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LKor\Box\B_WORK\Lunar Meteorites Website - working\"/>
    </mc:Choice>
  </mc:AlternateContent>
  <xr:revisionPtr revIDLastSave="0" documentId="13_ncr:1_{0FD1C460-FB91-4FAB-8EE1-03A6DEEC4E95}" xr6:coauthVersionLast="47" xr6:coauthVersionMax="47" xr10:uidLastSave="{00000000-0000-0000-0000-000000000000}"/>
  <bookViews>
    <workbookView xWindow="-26940" yWindow="0" windowWidth="26625" windowHeight="15210" tabRatio="796" xr2:uid="{00000000-000D-0000-FFFF-FFFF00000000}"/>
  </bookViews>
  <sheets>
    <sheet name="order" sheetId="7" r:id="rId1"/>
    <sheet name="our samples" sheetId="21" r:id="rId2"/>
    <sheet name="where" sheetId="26" r:id="rId3"/>
    <sheet name="mass" sheetId="20" r:id="rId4"/>
    <sheet name="means" sheetId="1" r:id="rId5"/>
    <sheet name="histogram" sheetId="15" r:id="rId6"/>
    <sheet name="nonmare" sheetId="4" r:id="rId7"/>
    <sheet name="nonhighlands" sheetId="5" r:id="rId8"/>
    <sheet name="ebay" sheetId="14" r:id="rId9"/>
    <sheet name="bought" sheetId="13" r:id="rId10"/>
    <sheet name="Oman" sheetId="23" r:id="rId11"/>
    <sheet name="ages" sheetId="2" r:id="rId12"/>
    <sheet name="alias" sheetId="18" r:id="rId13"/>
    <sheet name="FUpCr" sheetId="3" r:id="rId14"/>
    <sheet name="souce craters" sheetId="25" r:id="rId15"/>
    <sheet name="Antarctica" sheetId="22" r:id="rId16"/>
    <sheet name="flm LEGEND sp" sheetId="16" r:id="rId17"/>
  </sheets>
  <definedNames>
    <definedName name="aaa">nonmare!$B$10</definedName>
    <definedName name="Al_intercept">nonmare!$C$652</definedName>
    <definedName name="Al_slope">nonmare!$C$651</definedName>
    <definedName name="bin">histogram!$AG$3:$AG$46</definedName>
    <definedName name="GdSm">nonmare!#REF!</definedName>
    <definedName name="icept">nonmare!$C$10</definedName>
    <definedName name="INAA">nonmare!$A$672</definedName>
    <definedName name="input">histogram!$AF$3:$AF$721</definedName>
    <definedName name="N">nonmare!$B$3</definedName>
    <definedName name="out">histogram!#REF!</definedName>
    <definedName name="_xlnm.Print_Area" localSheetId="12">alias!$A$1:$B$96</definedName>
    <definedName name="_xlnm.Print_Area" localSheetId="9">bought!$A$3:$K$56</definedName>
    <definedName name="_xlnm.Print_Area" localSheetId="13">FUpCr!$A$1:$Q$15</definedName>
    <definedName name="_xlnm.Print_Area" localSheetId="0">order!$G$166:$K$873</definedName>
    <definedName name="_xlnm.Print_Area" localSheetId="1">'our samples'!$A$3:$R$556</definedName>
    <definedName name="_xlnm.Print_Titles" localSheetId="1">'our samples'!$1:$2</definedName>
    <definedName name="rho">ages!$D$1</definedName>
    <definedName name="slope">nonmare!$B$10</definedName>
    <definedName name="sort">histogram!$AF$3:$AF$718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735" i="7" l="1"/>
  <c r="AC735" i="7"/>
  <c r="AD735" i="7"/>
  <c r="AE735" i="7"/>
  <c r="AF735" i="7"/>
  <c r="AI735" i="7"/>
  <c r="AB734" i="7"/>
  <c r="AC734" i="7"/>
  <c r="AD734" i="7"/>
  <c r="AE734" i="7"/>
  <c r="AF734" i="7"/>
  <c r="AI734" i="7"/>
  <c r="AB733" i="7"/>
  <c r="AC733" i="7"/>
  <c r="AD733" i="7"/>
  <c r="AE733" i="7"/>
  <c r="AF733" i="7"/>
  <c r="AI733" i="7"/>
  <c r="AB732" i="7"/>
  <c r="AC732" i="7"/>
  <c r="AD732" i="7"/>
  <c r="AE732" i="7"/>
  <c r="AF732" i="7"/>
  <c r="AI732" i="7"/>
  <c r="AB731" i="7"/>
  <c r="AC731" i="7"/>
  <c r="AD731" i="7"/>
  <c r="AE731" i="7"/>
  <c r="AF731" i="7"/>
  <c r="AI731" i="7"/>
  <c r="AG730" i="7"/>
  <c r="AG729" i="7"/>
  <c r="AG728" i="7"/>
  <c r="AG727" i="7"/>
  <c r="W730" i="7"/>
  <c r="W729" i="7"/>
  <c r="W728" i="7"/>
  <c r="W727" i="7"/>
  <c r="AB730" i="7"/>
  <c r="AC730" i="7"/>
  <c r="AD730" i="7"/>
  <c r="AE730" i="7"/>
  <c r="AF730" i="7"/>
  <c r="AI730" i="7"/>
  <c r="AB729" i="7"/>
  <c r="AC729" i="7"/>
  <c r="AD729" i="7"/>
  <c r="AE729" i="7"/>
  <c r="AF729" i="7"/>
  <c r="AI729" i="7"/>
  <c r="AB728" i="7"/>
  <c r="AC728" i="7"/>
  <c r="AD728" i="7"/>
  <c r="AE728" i="7"/>
  <c r="AF728" i="7"/>
  <c r="AI728" i="7"/>
  <c r="AB727" i="7"/>
  <c r="AC727" i="7"/>
  <c r="AD727" i="7"/>
  <c r="AE727" i="7"/>
  <c r="AF727" i="7"/>
  <c r="AI727" i="7"/>
  <c r="AH674" i="7"/>
  <c r="AH787" i="7" s="1"/>
  <c r="V787" i="7"/>
  <c r="W726" i="7"/>
  <c r="W725" i="7"/>
  <c r="W724" i="7"/>
  <c r="W723" i="7"/>
  <c r="W722" i="7"/>
  <c r="W721" i="7"/>
  <c r="W720" i="7"/>
  <c r="W719" i="7"/>
  <c r="W718" i="7"/>
  <c r="W717" i="7"/>
  <c r="W716" i="7"/>
  <c r="W715" i="7"/>
  <c r="W714" i="7"/>
  <c r="W713" i="7"/>
  <c r="W712" i="7"/>
  <c r="W711" i="7"/>
  <c r="W710" i="7"/>
  <c r="W709" i="7"/>
  <c r="W708" i="7"/>
  <c r="W707" i="7"/>
  <c r="W706" i="7"/>
  <c r="W705" i="7"/>
  <c r="W704" i="7"/>
  <c r="W703" i="7"/>
  <c r="W702" i="7"/>
  <c r="W701" i="7"/>
  <c r="W700" i="7"/>
  <c r="W699" i="7"/>
  <c r="W698" i="7"/>
  <c r="W697" i="7"/>
  <c r="W696" i="7"/>
  <c r="W695" i="7"/>
  <c r="W694" i="7"/>
  <c r="W693" i="7"/>
  <c r="W692" i="7"/>
  <c r="W691" i="7"/>
  <c r="W690" i="7"/>
  <c r="W689" i="7"/>
  <c r="W688" i="7"/>
  <c r="W687" i="7"/>
  <c r="W686" i="7"/>
  <c r="W685" i="7"/>
  <c r="W684" i="7"/>
  <c r="W683" i="7"/>
  <c r="W682" i="7"/>
  <c r="W681" i="7"/>
  <c r="W680" i="7"/>
  <c r="W679" i="7"/>
  <c r="W678" i="7"/>
  <c r="W677" i="7"/>
  <c r="W676" i="7"/>
  <c r="W675" i="7"/>
  <c r="W674" i="7"/>
  <c r="W673" i="7"/>
  <c r="W672" i="7"/>
  <c r="W671" i="7"/>
  <c r="W670" i="7"/>
  <c r="W669" i="7"/>
  <c r="W668" i="7"/>
  <c r="W667" i="7"/>
  <c r="W666" i="7"/>
  <c r="W665" i="7"/>
  <c r="W664" i="7"/>
  <c r="W663" i="7"/>
  <c r="W662" i="7"/>
  <c r="W661" i="7"/>
  <c r="W660" i="7"/>
  <c r="W659" i="7"/>
  <c r="W658" i="7"/>
  <c r="W657" i="7"/>
  <c r="W656" i="7"/>
  <c r="W655" i="7"/>
  <c r="W654" i="7"/>
  <c r="W653" i="7"/>
  <c r="W652" i="7"/>
  <c r="W651" i="7"/>
  <c r="W650" i="7"/>
  <c r="W649" i="7"/>
  <c r="W648" i="7"/>
  <c r="W647" i="7"/>
  <c r="W646" i="7"/>
  <c r="W645" i="7"/>
  <c r="W644" i="7"/>
  <c r="W643" i="7"/>
  <c r="W642" i="7"/>
  <c r="W641" i="7"/>
  <c r="W640" i="7"/>
  <c r="W639" i="7"/>
  <c r="W638" i="7"/>
  <c r="W637" i="7"/>
  <c r="W636" i="7"/>
  <c r="W635" i="7"/>
  <c r="W634" i="7"/>
  <c r="W633" i="7"/>
  <c r="W632" i="7"/>
  <c r="W631" i="7"/>
  <c r="W630" i="7"/>
  <c r="W629" i="7"/>
  <c r="W628" i="7"/>
  <c r="W627" i="7"/>
  <c r="W626" i="7"/>
  <c r="W625" i="7"/>
  <c r="W624" i="7"/>
  <c r="W623" i="7"/>
  <c r="W622" i="7"/>
  <c r="W621" i="7"/>
  <c r="W620" i="7"/>
  <c r="W619" i="7"/>
  <c r="W618" i="7"/>
  <c r="W617" i="7"/>
  <c r="W616" i="7"/>
  <c r="W615" i="7"/>
  <c r="W614" i="7"/>
  <c r="W613" i="7"/>
  <c r="W612" i="7"/>
  <c r="W611" i="7"/>
  <c r="W610" i="7"/>
  <c r="W609" i="7"/>
  <c r="W608" i="7"/>
  <c r="W607" i="7"/>
  <c r="W606" i="7"/>
  <c r="W605" i="7"/>
  <c r="W604" i="7"/>
  <c r="W603" i="7"/>
  <c r="W602" i="7"/>
  <c r="W601" i="7"/>
  <c r="W600" i="7"/>
  <c r="W599" i="7"/>
  <c r="W598" i="7"/>
  <c r="W597" i="7"/>
  <c r="W596" i="7"/>
  <c r="W595" i="7"/>
  <c r="W594" i="7"/>
  <c r="W593" i="7"/>
  <c r="W592" i="7"/>
  <c r="W591" i="7"/>
  <c r="W590" i="7"/>
  <c r="W589" i="7"/>
  <c r="W588" i="7"/>
  <c r="W587" i="7"/>
  <c r="W586" i="7"/>
  <c r="W585" i="7"/>
  <c r="W584" i="7"/>
  <c r="W583" i="7"/>
  <c r="W582" i="7"/>
  <c r="W581" i="7"/>
  <c r="W580" i="7"/>
  <c r="W579" i="7"/>
  <c r="W578" i="7"/>
  <c r="W577" i="7"/>
  <c r="W576" i="7"/>
  <c r="W575" i="7"/>
  <c r="W574" i="7"/>
  <c r="W573" i="7"/>
  <c r="W572" i="7"/>
  <c r="W571" i="7"/>
  <c r="W570" i="7"/>
  <c r="W569" i="7"/>
  <c r="W568" i="7"/>
  <c r="W567" i="7"/>
  <c r="W566" i="7"/>
  <c r="W565" i="7"/>
  <c r="W564" i="7"/>
  <c r="W563" i="7"/>
  <c r="W562" i="7"/>
  <c r="W561" i="7"/>
  <c r="W560" i="7"/>
  <c r="W559" i="7"/>
  <c r="W558" i="7"/>
  <c r="W557" i="7"/>
  <c r="W556" i="7"/>
  <c r="W555" i="7"/>
  <c r="W554" i="7"/>
  <c r="W553" i="7"/>
  <c r="W552" i="7"/>
  <c r="W551" i="7"/>
  <c r="W550" i="7"/>
  <c r="W549" i="7"/>
  <c r="W548" i="7"/>
  <c r="W547" i="7"/>
  <c r="W546" i="7"/>
  <c r="W545" i="7"/>
  <c r="W544" i="7"/>
  <c r="W543" i="7"/>
  <c r="W542" i="7"/>
  <c r="W541" i="7"/>
  <c r="W540" i="7"/>
  <c r="W539" i="7"/>
  <c r="W538" i="7"/>
  <c r="W537" i="7"/>
  <c r="W536" i="7"/>
  <c r="W535" i="7"/>
  <c r="W534" i="7"/>
  <c r="W533" i="7"/>
  <c r="W532" i="7"/>
  <c r="W531" i="7"/>
  <c r="W530" i="7"/>
  <c r="W529" i="7"/>
  <c r="W528" i="7"/>
  <c r="W527" i="7"/>
  <c r="W526" i="7"/>
  <c r="W525" i="7"/>
  <c r="W524" i="7"/>
  <c r="W523" i="7"/>
  <c r="W522" i="7"/>
  <c r="W521" i="7"/>
  <c r="W520" i="7"/>
  <c r="W519" i="7"/>
  <c r="W518" i="7"/>
  <c r="W517" i="7"/>
  <c r="W516" i="7"/>
  <c r="W515" i="7"/>
  <c r="W514" i="7"/>
  <c r="W513" i="7"/>
  <c r="W512" i="7"/>
  <c r="W511" i="7"/>
  <c r="W510" i="7"/>
  <c r="W509" i="7"/>
  <c r="W508" i="7"/>
  <c r="W507" i="7"/>
  <c r="W506" i="7"/>
  <c r="W505" i="7"/>
  <c r="W504" i="7"/>
  <c r="W503" i="7"/>
  <c r="W502" i="7"/>
  <c r="W501" i="7"/>
  <c r="W500" i="7"/>
  <c r="W499" i="7"/>
  <c r="W498" i="7"/>
  <c r="W497" i="7"/>
  <c r="W496" i="7"/>
  <c r="W495" i="7"/>
  <c r="W494" i="7"/>
  <c r="W493" i="7"/>
  <c r="W492" i="7"/>
  <c r="W491" i="7"/>
  <c r="W490" i="7"/>
  <c r="W489" i="7"/>
  <c r="W488" i="7"/>
  <c r="W487" i="7"/>
  <c r="W486" i="7"/>
  <c r="W485" i="7"/>
  <c r="W484" i="7"/>
  <c r="W483" i="7"/>
  <c r="W482" i="7"/>
  <c r="W481" i="7"/>
  <c r="W480" i="7"/>
  <c r="W479" i="7"/>
  <c r="W478" i="7"/>
  <c r="W477" i="7"/>
  <c r="W476" i="7"/>
  <c r="W475" i="7"/>
  <c r="W474" i="7"/>
  <c r="W473" i="7"/>
  <c r="W472" i="7"/>
  <c r="W471" i="7"/>
  <c r="W470" i="7"/>
  <c r="W469" i="7"/>
  <c r="W468" i="7"/>
  <c r="W467" i="7"/>
  <c r="W466" i="7"/>
  <c r="W465" i="7"/>
  <c r="W464" i="7"/>
  <c r="W463" i="7"/>
  <c r="W462" i="7"/>
  <c r="W461" i="7"/>
  <c r="W460" i="7"/>
  <c r="W459" i="7"/>
  <c r="W458" i="7"/>
  <c r="W457" i="7"/>
  <c r="W456" i="7"/>
  <c r="W455" i="7"/>
  <c r="W454" i="7"/>
  <c r="W453" i="7"/>
  <c r="W452" i="7"/>
  <c r="W451" i="7"/>
  <c r="W450" i="7"/>
  <c r="W449" i="7"/>
  <c r="W448" i="7"/>
  <c r="W447" i="7"/>
  <c r="W446" i="7"/>
  <c r="W445" i="7"/>
  <c r="W444" i="7"/>
  <c r="W443" i="7"/>
  <c r="W442" i="7"/>
  <c r="W441" i="7"/>
  <c r="W440" i="7"/>
  <c r="W439" i="7"/>
  <c r="W438" i="7"/>
  <c r="W437" i="7"/>
  <c r="W436" i="7"/>
  <c r="W435" i="7"/>
  <c r="W434" i="7"/>
  <c r="W433" i="7"/>
  <c r="W432" i="7"/>
  <c r="W431" i="7"/>
  <c r="W430" i="7"/>
  <c r="W429" i="7"/>
  <c r="W428" i="7"/>
  <c r="W427" i="7"/>
  <c r="W426" i="7"/>
  <c r="W425" i="7"/>
  <c r="W424" i="7"/>
  <c r="W423" i="7"/>
  <c r="W422" i="7"/>
  <c r="W421" i="7"/>
  <c r="W420" i="7"/>
  <c r="W419" i="7"/>
  <c r="W418" i="7"/>
  <c r="W417" i="7"/>
  <c r="W416" i="7"/>
  <c r="W415" i="7"/>
  <c r="W414" i="7"/>
  <c r="W413" i="7"/>
  <c r="W412" i="7"/>
  <c r="W411" i="7"/>
  <c r="W410" i="7"/>
  <c r="W409" i="7"/>
  <c r="W408" i="7"/>
  <c r="W407" i="7"/>
  <c r="W406" i="7"/>
  <c r="W405" i="7"/>
  <c r="W404" i="7"/>
  <c r="W403" i="7"/>
  <c r="W402" i="7"/>
  <c r="W401" i="7"/>
  <c r="W400" i="7"/>
  <c r="W399" i="7"/>
  <c r="W398" i="7"/>
  <c r="W397" i="7"/>
  <c r="W396" i="7"/>
  <c r="W395" i="7"/>
  <c r="W394" i="7"/>
  <c r="W393" i="7"/>
  <c r="W392" i="7"/>
  <c r="W391" i="7"/>
  <c r="W390" i="7"/>
  <c r="W389" i="7"/>
  <c r="W388" i="7"/>
  <c r="W387" i="7"/>
  <c r="W386" i="7"/>
  <c r="W385" i="7"/>
  <c r="W384" i="7"/>
  <c r="W383" i="7"/>
  <c r="W382" i="7"/>
  <c r="W381" i="7"/>
  <c r="W380" i="7"/>
  <c r="W379" i="7"/>
  <c r="W378" i="7"/>
  <c r="W377" i="7"/>
  <c r="W376" i="7"/>
  <c r="W375" i="7"/>
  <c r="W374" i="7"/>
  <c r="W373" i="7"/>
  <c r="W372" i="7"/>
  <c r="W371" i="7"/>
  <c r="W370" i="7"/>
  <c r="W369" i="7"/>
  <c r="W368" i="7"/>
  <c r="W367" i="7"/>
  <c r="W366" i="7"/>
  <c r="W365" i="7"/>
  <c r="W364" i="7"/>
  <c r="W363" i="7"/>
  <c r="W362" i="7"/>
  <c r="W361" i="7"/>
  <c r="W360" i="7"/>
  <c r="W359" i="7"/>
  <c r="W358" i="7"/>
  <c r="W357" i="7"/>
  <c r="W356" i="7"/>
  <c r="W355" i="7"/>
  <c r="W354" i="7"/>
  <c r="W353" i="7"/>
  <c r="W352" i="7"/>
  <c r="W351" i="7"/>
  <c r="W350" i="7"/>
  <c r="W349" i="7"/>
  <c r="W348" i="7"/>
  <c r="W347" i="7"/>
  <c r="W346" i="7"/>
  <c r="W345" i="7"/>
  <c r="W344" i="7"/>
  <c r="W343" i="7"/>
  <c r="W342" i="7"/>
  <c r="W341" i="7"/>
  <c r="W340" i="7"/>
  <c r="W339" i="7"/>
  <c r="W338" i="7"/>
  <c r="W337" i="7"/>
  <c r="W336" i="7"/>
  <c r="W335" i="7"/>
  <c r="W334" i="7"/>
  <c r="W333" i="7"/>
  <c r="W332" i="7"/>
  <c r="W331" i="7"/>
  <c r="W330" i="7"/>
  <c r="W329" i="7"/>
  <c r="W328" i="7"/>
  <c r="W327" i="7"/>
  <c r="W326" i="7"/>
  <c r="W325" i="7"/>
  <c r="W324" i="7"/>
  <c r="W323" i="7"/>
  <c r="W322" i="7"/>
  <c r="W321" i="7"/>
  <c r="W320" i="7"/>
  <c r="W319" i="7"/>
  <c r="W318" i="7"/>
  <c r="W317" i="7"/>
  <c r="W316" i="7"/>
  <c r="W315" i="7"/>
  <c r="W314" i="7"/>
  <c r="W313" i="7"/>
  <c r="W312" i="7"/>
  <c r="W311" i="7"/>
  <c r="W310" i="7"/>
  <c r="W309" i="7"/>
  <c r="W308" i="7"/>
  <c r="W307" i="7"/>
  <c r="W306" i="7"/>
  <c r="W305" i="7"/>
  <c r="W304" i="7"/>
  <c r="W303" i="7"/>
  <c r="W302" i="7"/>
  <c r="W301" i="7"/>
  <c r="W300" i="7"/>
  <c r="W299" i="7"/>
  <c r="W298" i="7"/>
  <c r="W297" i="7"/>
  <c r="W296" i="7"/>
  <c r="W295" i="7"/>
  <c r="W294" i="7"/>
  <c r="W293" i="7"/>
  <c r="W292" i="7"/>
  <c r="W291" i="7"/>
  <c r="W290" i="7"/>
  <c r="W289" i="7"/>
  <c r="W288" i="7"/>
  <c r="W287" i="7"/>
  <c r="W286" i="7"/>
  <c r="W285" i="7"/>
  <c r="W284" i="7"/>
  <c r="W283" i="7"/>
  <c r="W282" i="7"/>
  <c r="W281" i="7"/>
  <c r="W280" i="7"/>
  <c r="W279" i="7"/>
  <c r="W278" i="7"/>
  <c r="W277" i="7"/>
  <c r="W276" i="7"/>
  <c r="W275" i="7"/>
  <c r="W274" i="7"/>
  <c r="W273" i="7"/>
  <c r="W272" i="7"/>
  <c r="W271" i="7"/>
  <c r="W270" i="7"/>
  <c r="W269" i="7"/>
  <c r="W268" i="7"/>
  <c r="W267" i="7"/>
  <c r="W266" i="7"/>
  <c r="W265" i="7"/>
  <c r="W264" i="7"/>
  <c r="W263" i="7"/>
  <c r="W262" i="7"/>
  <c r="W261" i="7"/>
  <c r="W260" i="7"/>
  <c r="W259" i="7"/>
  <c r="W258" i="7"/>
  <c r="W257" i="7"/>
  <c r="W256" i="7"/>
  <c r="W255" i="7"/>
  <c r="W254" i="7"/>
  <c r="W253" i="7"/>
  <c r="W250" i="7"/>
  <c r="W249" i="7"/>
  <c r="W248" i="7"/>
  <c r="W247" i="7"/>
  <c r="W246" i="7"/>
  <c r="W245" i="7"/>
  <c r="W244" i="7"/>
  <c r="W243" i="7"/>
  <c r="W242" i="7"/>
  <c r="W241" i="7"/>
  <c r="W240" i="7"/>
  <c r="W239" i="7"/>
  <c r="W238" i="7"/>
  <c r="W237" i="7"/>
  <c r="W236" i="7"/>
  <c r="W235" i="7"/>
  <c r="W234" i="7"/>
  <c r="W233" i="7"/>
  <c r="W232" i="7"/>
  <c r="W231" i="7"/>
  <c r="W230" i="7"/>
  <c r="W229" i="7"/>
  <c r="W228" i="7"/>
  <c r="W227" i="7"/>
  <c r="W226" i="7"/>
  <c r="W225" i="7"/>
  <c r="W224" i="7"/>
  <c r="W223" i="7"/>
  <c r="W222" i="7"/>
  <c r="W221" i="7"/>
  <c r="W220" i="7"/>
  <c r="W219" i="7"/>
  <c r="W218" i="7"/>
  <c r="W217" i="7"/>
  <c r="W216" i="7"/>
  <c r="W215" i="7"/>
  <c r="W214" i="7"/>
  <c r="W213" i="7"/>
  <c r="W212" i="7"/>
  <c r="W211" i="7"/>
  <c r="W210" i="7"/>
  <c r="W209" i="7"/>
  <c r="W208" i="7"/>
  <c r="W207" i="7"/>
  <c r="W206" i="7"/>
  <c r="W205" i="7"/>
  <c r="W204" i="7"/>
  <c r="W203" i="7"/>
  <c r="W202" i="7"/>
  <c r="W201" i="7"/>
  <c r="W200" i="7"/>
  <c r="W199" i="7"/>
  <c r="W198" i="7"/>
  <c r="W197" i="7"/>
  <c r="W196" i="7"/>
  <c r="W195" i="7"/>
  <c r="W194" i="7"/>
  <c r="W193" i="7"/>
  <c r="W192" i="7"/>
  <c r="W191" i="7"/>
  <c r="W190" i="7"/>
  <c r="W189" i="7"/>
  <c r="W188" i="7"/>
  <c r="W187" i="7"/>
  <c r="W186" i="7"/>
  <c r="W185" i="7"/>
  <c r="W184" i="7"/>
  <c r="W183" i="7"/>
  <c r="W182" i="7"/>
  <c r="W181" i="7"/>
  <c r="W180" i="7"/>
  <c r="W179" i="7"/>
  <c r="W178" i="7"/>
  <c r="W177" i="7"/>
  <c r="W176" i="7"/>
  <c r="W175" i="7"/>
  <c r="W174" i="7"/>
  <c r="W173" i="7"/>
  <c r="W172" i="7"/>
  <c r="W171" i="7"/>
  <c r="W170" i="7"/>
  <c r="W169" i="7"/>
  <c r="W168" i="7"/>
  <c r="W167" i="7"/>
  <c r="W166" i="7"/>
  <c r="W165" i="7"/>
  <c r="W164" i="7"/>
  <c r="W163" i="7"/>
  <c r="W162" i="7"/>
  <c r="W161" i="7"/>
  <c r="W160" i="7"/>
  <c r="W159" i="7"/>
  <c r="W158" i="7"/>
  <c r="W157" i="7"/>
  <c r="W156" i="7"/>
  <c r="W155" i="7"/>
  <c r="W154" i="7"/>
  <c r="W153" i="7"/>
  <c r="W152" i="7"/>
  <c r="W151" i="7"/>
  <c r="W150" i="7"/>
  <c r="W149" i="7"/>
  <c r="W148" i="7"/>
  <c r="W147" i="7"/>
  <c r="W146" i="7"/>
  <c r="W145" i="7"/>
  <c r="W144" i="7"/>
  <c r="W143" i="7"/>
  <c r="W142" i="7"/>
  <c r="W141" i="7"/>
  <c r="W140" i="7"/>
  <c r="W139" i="7"/>
  <c r="W138" i="7"/>
  <c r="W137" i="7"/>
  <c r="W136" i="7"/>
  <c r="W135" i="7"/>
  <c r="W134" i="7"/>
  <c r="W133" i="7"/>
  <c r="W132" i="7"/>
  <c r="W131" i="7"/>
  <c r="W130" i="7"/>
  <c r="W129" i="7"/>
  <c r="W128" i="7"/>
  <c r="W127" i="7"/>
  <c r="W126" i="7"/>
  <c r="W125" i="7"/>
  <c r="W124" i="7"/>
  <c r="W123" i="7"/>
  <c r="W122" i="7"/>
  <c r="W121" i="7"/>
  <c r="W120" i="7"/>
  <c r="W119" i="7"/>
  <c r="W118" i="7"/>
  <c r="W117" i="7"/>
  <c r="W116" i="7"/>
  <c r="W115" i="7"/>
  <c r="W114" i="7"/>
  <c r="W113" i="7"/>
  <c r="W112" i="7"/>
  <c r="W111" i="7"/>
  <c r="W110" i="7"/>
  <c r="W109" i="7"/>
  <c r="W108" i="7"/>
  <c r="W107" i="7"/>
  <c r="W106" i="7"/>
  <c r="W10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0" i="7"/>
  <c r="W29" i="7"/>
  <c r="W28" i="7"/>
  <c r="W27" i="7"/>
  <c r="W26" i="7"/>
  <c r="W24" i="7"/>
  <c r="W23" i="7"/>
  <c r="W22" i="7"/>
  <c r="W21" i="7"/>
  <c r="W19" i="7"/>
  <c r="W17" i="7"/>
  <c r="W16" i="7"/>
  <c r="W15" i="7"/>
  <c r="W14" i="7"/>
  <c r="W11" i="7"/>
  <c r="W10" i="7"/>
  <c r="W9" i="7"/>
  <c r="W7" i="7"/>
  <c r="W6" i="7"/>
  <c r="W5" i="7"/>
  <c r="W4" i="7"/>
  <c r="W3" i="7"/>
  <c r="W2" i="7"/>
  <c r="AI726" i="7"/>
  <c r="AG726" i="7"/>
  <c r="AF726" i="7"/>
  <c r="AE726" i="7"/>
  <c r="AD726" i="7"/>
  <c r="AC726" i="7"/>
  <c r="AB726" i="7"/>
  <c r="AI725" i="7"/>
  <c r="AG725" i="7"/>
  <c r="AF725" i="7"/>
  <c r="AE725" i="7"/>
  <c r="AD725" i="7"/>
  <c r="AC725" i="7"/>
  <c r="AB725" i="7"/>
  <c r="AI724" i="7"/>
  <c r="AG724" i="7"/>
  <c r="AF724" i="7"/>
  <c r="AE724" i="7"/>
  <c r="AD724" i="7"/>
  <c r="AC724" i="7"/>
  <c r="AB724" i="7"/>
  <c r="AI723" i="7"/>
  <c r="AG723" i="7"/>
  <c r="AF723" i="7"/>
  <c r="AE723" i="7"/>
  <c r="AD723" i="7"/>
  <c r="AC723" i="7"/>
  <c r="AB723" i="7"/>
  <c r="AI722" i="7"/>
  <c r="AG722" i="7"/>
  <c r="AF722" i="7"/>
  <c r="AE722" i="7"/>
  <c r="AD722" i="7"/>
  <c r="AC722" i="7"/>
  <c r="AB722" i="7"/>
  <c r="AI721" i="7"/>
  <c r="AG721" i="7"/>
  <c r="AF721" i="7"/>
  <c r="AE721" i="7"/>
  <c r="AD721" i="7"/>
  <c r="AC721" i="7"/>
  <c r="AB721" i="7"/>
  <c r="AI720" i="7"/>
  <c r="AG720" i="7"/>
  <c r="AF720" i="7"/>
  <c r="AE720" i="7"/>
  <c r="AD720" i="7"/>
  <c r="AC720" i="7"/>
  <c r="AB720" i="7"/>
  <c r="AI719" i="7"/>
  <c r="AG719" i="7"/>
  <c r="AF719" i="7"/>
  <c r="AE719" i="7"/>
  <c r="AD719" i="7"/>
  <c r="AC719" i="7"/>
  <c r="AB719" i="7"/>
  <c r="AI718" i="7"/>
  <c r="AG718" i="7"/>
  <c r="AF718" i="7"/>
  <c r="AE718" i="7"/>
  <c r="AD718" i="7"/>
  <c r="AC718" i="7"/>
  <c r="AB718" i="7"/>
  <c r="AI717" i="7"/>
  <c r="AG717" i="7"/>
  <c r="AF717" i="7"/>
  <c r="AE717" i="7"/>
  <c r="AD717" i="7"/>
  <c r="AC717" i="7"/>
  <c r="AB717" i="7"/>
  <c r="AI716" i="7"/>
  <c r="AG716" i="7"/>
  <c r="AF716" i="7"/>
  <c r="AE716" i="7"/>
  <c r="AD716" i="7"/>
  <c r="AC716" i="7"/>
  <c r="AB716" i="7"/>
  <c r="AI715" i="7"/>
  <c r="AG715" i="7"/>
  <c r="AF715" i="7"/>
  <c r="AE715" i="7"/>
  <c r="AD715" i="7"/>
  <c r="AC715" i="7"/>
  <c r="AB715" i="7"/>
  <c r="AI714" i="7"/>
  <c r="AG714" i="7"/>
  <c r="AF714" i="7"/>
  <c r="AE714" i="7"/>
  <c r="AD714" i="7"/>
  <c r="AC714" i="7"/>
  <c r="AB714" i="7"/>
  <c r="AI713" i="7"/>
  <c r="AG713" i="7"/>
  <c r="AF713" i="7"/>
  <c r="AE713" i="7"/>
  <c r="AD713" i="7"/>
  <c r="AC713" i="7"/>
  <c r="AB713" i="7"/>
  <c r="AI712" i="7"/>
  <c r="AG712" i="7"/>
  <c r="AF712" i="7"/>
  <c r="AE712" i="7"/>
  <c r="AD712" i="7"/>
  <c r="AC712" i="7"/>
  <c r="AB712" i="7"/>
  <c r="AI711" i="7"/>
  <c r="AG711" i="7"/>
  <c r="AF711" i="7"/>
  <c r="AE711" i="7"/>
  <c r="AD711" i="7"/>
  <c r="AC711" i="7"/>
  <c r="AB711" i="7"/>
  <c r="AI710" i="7"/>
  <c r="AG710" i="7"/>
  <c r="AF710" i="7"/>
  <c r="AE710" i="7"/>
  <c r="AD710" i="7"/>
  <c r="AC710" i="7"/>
  <c r="AB710" i="7"/>
  <c r="AI709" i="7"/>
  <c r="AG709" i="7"/>
  <c r="AF709" i="7"/>
  <c r="AE709" i="7"/>
  <c r="AD709" i="7"/>
  <c r="AC709" i="7"/>
  <c r="AB709" i="7"/>
  <c r="AI708" i="7"/>
  <c r="AG708" i="7"/>
  <c r="AF708" i="7"/>
  <c r="AE708" i="7"/>
  <c r="AD708" i="7"/>
  <c r="AC708" i="7"/>
  <c r="AB708" i="7"/>
  <c r="AI707" i="7"/>
  <c r="AG707" i="7"/>
  <c r="AF707" i="7"/>
  <c r="AE707" i="7"/>
  <c r="AD707" i="7"/>
  <c r="AC707" i="7"/>
  <c r="AB707" i="7"/>
  <c r="AI706" i="7"/>
  <c r="AG706" i="7"/>
  <c r="AF706" i="7"/>
  <c r="AE706" i="7"/>
  <c r="AD706" i="7"/>
  <c r="AC706" i="7"/>
  <c r="AB706" i="7"/>
  <c r="AI705" i="7"/>
  <c r="AG705" i="7"/>
  <c r="AF705" i="7"/>
  <c r="AE705" i="7"/>
  <c r="AD705" i="7"/>
  <c r="AC705" i="7"/>
  <c r="AB705" i="7"/>
  <c r="AI704" i="7"/>
  <c r="AG704" i="7"/>
  <c r="AF704" i="7"/>
  <c r="AE704" i="7"/>
  <c r="AD704" i="7"/>
  <c r="AC704" i="7"/>
  <c r="AB704" i="7"/>
  <c r="AI703" i="7"/>
  <c r="AG703" i="7"/>
  <c r="AF703" i="7"/>
  <c r="AE703" i="7"/>
  <c r="AD703" i="7"/>
  <c r="AC703" i="7"/>
  <c r="AB703" i="7"/>
  <c r="AI702" i="7"/>
  <c r="AG702" i="7"/>
  <c r="AF702" i="7"/>
  <c r="AE702" i="7"/>
  <c r="AD702" i="7"/>
  <c r="AC702" i="7"/>
  <c r="AB702" i="7"/>
  <c r="AI701" i="7"/>
  <c r="AG701" i="7"/>
  <c r="AF701" i="7"/>
  <c r="AE701" i="7"/>
  <c r="AD701" i="7"/>
  <c r="AC701" i="7"/>
  <c r="AB701" i="7"/>
  <c r="AI700" i="7"/>
  <c r="AG700" i="7"/>
  <c r="AF700" i="7"/>
  <c r="AE700" i="7"/>
  <c r="AD700" i="7"/>
  <c r="AC700" i="7"/>
  <c r="AB700" i="7"/>
  <c r="AI699" i="7"/>
  <c r="AG699" i="7"/>
  <c r="AF699" i="7"/>
  <c r="AE699" i="7"/>
  <c r="AD699" i="7"/>
  <c r="AC699" i="7"/>
  <c r="AB699" i="7"/>
  <c r="AI698" i="7"/>
  <c r="AG698" i="7"/>
  <c r="AF698" i="7"/>
  <c r="AE698" i="7"/>
  <c r="AD698" i="7"/>
  <c r="AC698" i="7"/>
  <c r="AB698" i="7"/>
  <c r="AI697" i="7"/>
  <c r="AG697" i="7"/>
  <c r="AF697" i="7"/>
  <c r="AE697" i="7"/>
  <c r="AD697" i="7"/>
  <c r="AC697" i="7"/>
  <c r="AB697" i="7"/>
  <c r="AI696" i="7"/>
  <c r="AG696" i="7"/>
  <c r="AF696" i="7"/>
  <c r="AE696" i="7"/>
  <c r="AD696" i="7"/>
  <c r="AC696" i="7"/>
  <c r="AB696" i="7"/>
  <c r="AI695" i="7"/>
  <c r="AG695" i="7"/>
  <c r="AF695" i="7"/>
  <c r="AE695" i="7"/>
  <c r="AD695" i="7"/>
  <c r="AC695" i="7"/>
  <c r="AB695" i="7"/>
  <c r="AI694" i="7"/>
  <c r="AG694" i="7"/>
  <c r="AF694" i="7"/>
  <c r="AE694" i="7"/>
  <c r="AD694" i="7"/>
  <c r="AC694" i="7"/>
  <c r="AB694" i="7"/>
  <c r="AI693" i="7"/>
  <c r="AG693" i="7"/>
  <c r="AF693" i="7"/>
  <c r="AE693" i="7"/>
  <c r="AD693" i="7"/>
  <c r="AC693" i="7"/>
  <c r="AB693" i="7"/>
  <c r="AI692" i="7"/>
  <c r="AG692" i="7"/>
  <c r="AF692" i="7"/>
  <c r="AE692" i="7"/>
  <c r="AD692" i="7"/>
  <c r="AC692" i="7"/>
  <c r="AB692" i="7"/>
  <c r="AI691" i="7"/>
  <c r="AG691" i="7"/>
  <c r="AF691" i="7"/>
  <c r="AE691" i="7"/>
  <c r="AD691" i="7"/>
  <c r="AC691" i="7"/>
  <c r="AB691" i="7"/>
  <c r="AI690" i="7"/>
  <c r="AG690" i="7"/>
  <c r="AF690" i="7"/>
  <c r="AE690" i="7"/>
  <c r="AD690" i="7"/>
  <c r="AC690" i="7"/>
  <c r="AB690" i="7"/>
  <c r="AI689" i="7"/>
  <c r="AG689" i="7"/>
  <c r="AF689" i="7"/>
  <c r="AE689" i="7"/>
  <c r="AD689" i="7"/>
  <c r="AC689" i="7"/>
  <c r="AB689" i="7"/>
  <c r="AI688" i="7"/>
  <c r="AG688" i="7"/>
  <c r="AF688" i="7"/>
  <c r="AE688" i="7"/>
  <c r="AD688" i="7"/>
  <c r="AC688" i="7"/>
  <c r="AB688" i="7"/>
  <c r="AI687" i="7"/>
  <c r="AG687" i="7"/>
  <c r="AF687" i="7"/>
  <c r="AE687" i="7"/>
  <c r="AD687" i="7"/>
  <c r="AC687" i="7"/>
  <c r="AB687" i="7"/>
  <c r="AI686" i="7"/>
  <c r="AG686" i="7"/>
  <c r="AF686" i="7"/>
  <c r="AE686" i="7"/>
  <c r="AD686" i="7"/>
  <c r="AC686" i="7"/>
  <c r="AB686" i="7"/>
  <c r="AI685" i="7"/>
  <c r="AG685" i="7"/>
  <c r="AF685" i="7"/>
  <c r="AE685" i="7"/>
  <c r="AD685" i="7"/>
  <c r="AC685" i="7"/>
  <c r="AB685" i="7"/>
  <c r="AI684" i="7"/>
  <c r="AG684" i="7"/>
  <c r="AF684" i="7"/>
  <c r="AE684" i="7"/>
  <c r="AD684" i="7"/>
  <c r="AC684" i="7"/>
  <c r="AB684" i="7"/>
  <c r="AI683" i="7"/>
  <c r="AG683" i="7"/>
  <c r="AF683" i="7"/>
  <c r="AE683" i="7"/>
  <c r="AD683" i="7"/>
  <c r="AC683" i="7"/>
  <c r="AB683" i="7"/>
  <c r="AI682" i="7"/>
  <c r="AG682" i="7"/>
  <c r="AF682" i="7"/>
  <c r="AE682" i="7"/>
  <c r="AD682" i="7"/>
  <c r="AC682" i="7"/>
  <c r="AB682" i="7"/>
  <c r="AI681" i="7"/>
  <c r="AG681" i="7"/>
  <c r="AF681" i="7"/>
  <c r="AE681" i="7"/>
  <c r="AD681" i="7"/>
  <c r="AC681" i="7"/>
  <c r="AB681" i="7"/>
  <c r="AI680" i="7"/>
  <c r="AG680" i="7"/>
  <c r="AF680" i="7"/>
  <c r="AE680" i="7"/>
  <c r="AD680" i="7"/>
  <c r="AC680" i="7"/>
  <c r="AB680" i="7"/>
  <c r="AI679" i="7"/>
  <c r="AG679" i="7"/>
  <c r="AF679" i="7"/>
  <c r="AE679" i="7"/>
  <c r="AD679" i="7"/>
  <c r="AC679" i="7"/>
  <c r="AB679" i="7"/>
  <c r="AI678" i="7"/>
  <c r="AG678" i="7"/>
  <c r="AF678" i="7"/>
  <c r="AE678" i="7"/>
  <c r="AD678" i="7"/>
  <c r="AC678" i="7"/>
  <c r="AB678" i="7"/>
  <c r="AI677" i="7"/>
  <c r="AG677" i="7"/>
  <c r="AF677" i="7"/>
  <c r="AE677" i="7"/>
  <c r="AD677" i="7"/>
  <c r="AC677" i="7"/>
  <c r="AB677" i="7"/>
  <c r="AI676" i="7"/>
  <c r="AG676" i="7"/>
  <c r="AF676" i="7"/>
  <c r="AE676" i="7"/>
  <c r="AD676" i="7"/>
  <c r="AC676" i="7"/>
  <c r="AB676" i="7"/>
  <c r="AI675" i="7"/>
  <c r="AG675" i="7"/>
  <c r="AF675" i="7"/>
  <c r="AE675" i="7"/>
  <c r="AD675" i="7"/>
  <c r="AC675" i="7"/>
  <c r="AB675" i="7"/>
  <c r="AI674" i="7"/>
  <c r="AF674" i="7"/>
  <c r="AE674" i="7"/>
  <c r="AD674" i="7"/>
  <c r="AC674" i="7"/>
  <c r="AB674" i="7"/>
  <c r="AI673" i="7"/>
  <c r="AG673" i="7"/>
  <c r="AF673" i="7"/>
  <c r="AE673" i="7"/>
  <c r="AD673" i="7"/>
  <c r="AC673" i="7"/>
  <c r="AB673" i="7"/>
  <c r="AI672" i="7"/>
  <c r="AG672" i="7"/>
  <c r="AF672" i="7"/>
  <c r="AE672" i="7"/>
  <c r="AD672" i="7"/>
  <c r="AC672" i="7"/>
  <c r="AB672" i="7"/>
  <c r="AI671" i="7"/>
  <c r="AG671" i="7"/>
  <c r="AF671" i="7"/>
  <c r="AE671" i="7"/>
  <c r="AD671" i="7"/>
  <c r="AC671" i="7"/>
  <c r="AB671" i="7"/>
  <c r="AI670" i="7"/>
  <c r="AG670" i="7"/>
  <c r="AF670" i="7"/>
  <c r="AE670" i="7"/>
  <c r="AD670" i="7"/>
  <c r="AC670" i="7"/>
  <c r="AB670" i="7"/>
  <c r="AI669" i="7"/>
  <c r="AG669" i="7"/>
  <c r="AF669" i="7"/>
  <c r="AE669" i="7"/>
  <c r="AD669" i="7"/>
  <c r="AC669" i="7"/>
  <c r="AB669" i="7"/>
  <c r="AI668" i="7"/>
  <c r="AG668" i="7"/>
  <c r="AF668" i="7"/>
  <c r="AE668" i="7"/>
  <c r="AD668" i="7"/>
  <c r="AC668" i="7"/>
  <c r="AB668" i="7"/>
  <c r="AI667" i="7"/>
  <c r="AG667" i="7"/>
  <c r="AF667" i="7"/>
  <c r="AE667" i="7"/>
  <c r="AD667" i="7"/>
  <c r="AC667" i="7"/>
  <c r="AB667" i="7"/>
  <c r="AI666" i="7"/>
  <c r="AG666" i="7"/>
  <c r="AF666" i="7"/>
  <c r="AE666" i="7"/>
  <c r="AD666" i="7"/>
  <c r="AC666" i="7"/>
  <c r="AB666" i="7"/>
  <c r="AI665" i="7"/>
  <c r="AG665" i="7"/>
  <c r="AF665" i="7"/>
  <c r="AE665" i="7"/>
  <c r="AD665" i="7"/>
  <c r="AC665" i="7"/>
  <c r="AB665" i="7"/>
  <c r="AI664" i="7"/>
  <c r="AG664" i="7"/>
  <c r="AF664" i="7"/>
  <c r="AE664" i="7"/>
  <c r="AD664" i="7"/>
  <c r="AC664" i="7"/>
  <c r="AB664" i="7"/>
  <c r="AI663" i="7"/>
  <c r="AG663" i="7"/>
  <c r="AF663" i="7"/>
  <c r="AE663" i="7"/>
  <c r="AD663" i="7"/>
  <c r="AC663" i="7"/>
  <c r="AB663" i="7"/>
  <c r="AI662" i="7"/>
  <c r="AG662" i="7"/>
  <c r="AF662" i="7"/>
  <c r="AE662" i="7"/>
  <c r="AD662" i="7"/>
  <c r="AC662" i="7"/>
  <c r="AB662" i="7"/>
  <c r="AI661" i="7"/>
  <c r="AG661" i="7"/>
  <c r="AF661" i="7"/>
  <c r="AE661" i="7"/>
  <c r="AD661" i="7"/>
  <c r="AC661" i="7"/>
  <c r="AB661" i="7"/>
  <c r="AI660" i="7"/>
  <c r="AG660" i="7"/>
  <c r="AF660" i="7"/>
  <c r="AE660" i="7"/>
  <c r="AD660" i="7"/>
  <c r="AC660" i="7"/>
  <c r="AB660" i="7"/>
  <c r="AI659" i="7"/>
  <c r="AG659" i="7"/>
  <c r="AF659" i="7"/>
  <c r="AE659" i="7"/>
  <c r="AD659" i="7"/>
  <c r="AC659" i="7"/>
  <c r="AB659" i="7"/>
  <c r="AI658" i="7"/>
  <c r="AG658" i="7"/>
  <c r="AF658" i="7"/>
  <c r="AE658" i="7"/>
  <c r="AD658" i="7"/>
  <c r="AC658" i="7"/>
  <c r="AB658" i="7"/>
  <c r="AI657" i="7"/>
  <c r="AG657" i="7"/>
  <c r="AF657" i="7"/>
  <c r="AE657" i="7"/>
  <c r="AD657" i="7"/>
  <c r="AC657" i="7"/>
  <c r="AB657" i="7"/>
  <c r="AI656" i="7"/>
  <c r="AG656" i="7"/>
  <c r="AF656" i="7"/>
  <c r="AE656" i="7"/>
  <c r="AD656" i="7"/>
  <c r="AC656" i="7"/>
  <c r="AB656" i="7"/>
  <c r="AI655" i="7"/>
  <c r="AG655" i="7"/>
  <c r="AF655" i="7"/>
  <c r="AE655" i="7"/>
  <c r="AD655" i="7"/>
  <c r="AC655" i="7"/>
  <c r="AB655" i="7"/>
  <c r="AI654" i="7"/>
  <c r="AG654" i="7"/>
  <c r="AF654" i="7"/>
  <c r="AE654" i="7"/>
  <c r="AD654" i="7"/>
  <c r="AC654" i="7"/>
  <c r="AB654" i="7"/>
  <c r="AI653" i="7"/>
  <c r="AG653" i="7"/>
  <c r="AF653" i="7"/>
  <c r="AE653" i="7"/>
  <c r="AD653" i="7"/>
  <c r="AC653" i="7"/>
  <c r="AB653" i="7"/>
  <c r="AI652" i="7"/>
  <c r="AG652" i="7"/>
  <c r="AF652" i="7"/>
  <c r="AE652" i="7"/>
  <c r="AD652" i="7"/>
  <c r="AC652" i="7"/>
  <c r="AB652" i="7"/>
  <c r="AI651" i="7"/>
  <c r="AG651" i="7"/>
  <c r="AF651" i="7"/>
  <c r="AE651" i="7"/>
  <c r="AD651" i="7"/>
  <c r="AC651" i="7"/>
  <c r="AB651" i="7"/>
  <c r="AI650" i="7"/>
  <c r="AG650" i="7"/>
  <c r="AF650" i="7"/>
  <c r="AE650" i="7"/>
  <c r="AD650" i="7"/>
  <c r="AC650" i="7"/>
  <c r="AB650" i="7"/>
  <c r="AI649" i="7"/>
  <c r="AG649" i="7"/>
  <c r="AF649" i="7"/>
  <c r="AE649" i="7"/>
  <c r="AD649" i="7"/>
  <c r="AC649" i="7"/>
  <c r="AB649" i="7"/>
  <c r="AI648" i="7"/>
  <c r="AG648" i="7"/>
  <c r="AF648" i="7"/>
  <c r="AE648" i="7"/>
  <c r="AD648" i="7"/>
  <c r="AC648" i="7"/>
  <c r="AB648" i="7"/>
  <c r="AI647" i="7"/>
  <c r="AG647" i="7"/>
  <c r="AF647" i="7"/>
  <c r="AE647" i="7"/>
  <c r="AD647" i="7"/>
  <c r="AC647" i="7"/>
  <c r="AB647" i="7"/>
  <c r="AI646" i="7"/>
  <c r="AG646" i="7"/>
  <c r="AF646" i="7"/>
  <c r="AE646" i="7"/>
  <c r="AD646" i="7"/>
  <c r="AC646" i="7"/>
  <c r="AB646" i="7"/>
  <c r="AI645" i="7"/>
  <c r="AG645" i="7"/>
  <c r="AF645" i="7"/>
  <c r="AE645" i="7"/>
  <c r="AD645" i="7"/>
  <c r="AC645" i="7"/>
  <c r="AB645" i="7"/>
  <c r="AI644" i="7"/>
  <c r="AG644" i="7"/>
  <c r="AF644" i="7"/>
  <c r="AE644" i="7"/>
  <c r="AD644" i="7"/>
  <c r="AC644" i="7"/>
  <c r="AB644" i="7"/>
  <c r="AI643" i="7"/>
  <c r="AG643" i="7"/>
  <c r="AF643" i="7"/>
  <c r="AE643" i="7"/>
  <c r="AD643" i="7"/>
  <c r="AC643" i="7"/>
  <c r="AB643" i="7"/>
  <c r="AI642" i="7"/>
  <c r="AG642" i="7"/>
  <c r="AF642" i="7"/>
  <c r="AE642" i="7"/>
  <c r="AD642" i="7"/>
  <c r="AC642" i="7"/>
  <c r="AB642" i="7"/>
  <c r="AI641" i="7"/>
  <c r="AG641" i="7"/>
  <c r="AF641" i="7"/>
  <c r="AE641" i="7"/>
  <c r="AD641" i="7"/>
  <c r="AC641" i="7"/>
  <c r="AB641" i="7"/>
  <c r="AI640" i="7"/>
  <c r="AG640" i="7"/>
  <c r="AF640" i="7"/>
  <c r="AE640" i="7"/>
  <c r="AD640" i="7"/>
  <c r="AC640" i="7"/>
  <c r="AB640" i="7"/>
  <c r="AI639" i="7"/>
  <c r="AG639" i="7"/>
  <c r="AF639" i="7"/>
  <c r="AE639" i="7"/>
  <c r="AD639" i="7"/>
  <c r="AC639" i="7"/>
  <c r="AB639" i="7"/>
  <c r="AI638" i="7"/>
  <c r="AG638" i="7"/>
  <c r="AF638" i="7"/>
  <c r="AE638" i="7"/>
  <c r="AD638" i="7"/>
  <c r="AC638" i="7"/>
  <c r="AB638" i="7"/>
  <c r="AI637" i="7"/>
  <c r="AG637" i="7"/>
  <c r="AF637" i="7"/>
  <c r="AE637" i="7"/>
  <c r="AD637" i="7"/>
  <c r="AC637" i="7"/>
  <c r="AB637" i="7"/>
  <c r="AI636" i="7"/>
  <c r="AG636" i="7"/>
  <c r="AF636" i="7"/>
  <c r="AE636" i="7"/>
  <c r="AD636" i="7"/>
  <c r="AC636" i="7"/>
  <c r="AB636" i="7"/>
  <c r="AI635" i="7"/>
  <c r="AG635" i="7"/>
  <c r="AF635" i="7"/>
  <c r="AE635" i="7"/>
  <c r="AD635" i="7"/>
  <c r="AC635" i="7"/>
  <c r="AB635" i="7"/>
  <c r="AI634" i="7"/>
  <c r="AG634" i="7"/>
  <c r="AF634" i="7"/>
  <c r="AE634" i="7"/>
  <c r="AD634" i="7"/>
  <c r="AC634" i="7"/>
  <c r="AB634" i="7"/>
  <c r="AI633" i="7"/>
  <c r="AG633" i="7"/>
  <c r="AF633" i="7"/>
  <c r="AE633" i="7"/>
  <c r="AD633" i="7"/>
  <c r="AC633" i="7"/>
  <c r="AB633" i="7"/>
  <c r="AI632" i="7"/>
  <c r="AG632" i="7"/>
  <c r="AF632" i="7"/>
  <c r="AE632" i="7"/>
  <c r="AD632" i="7"/>
  <c r="AC632" i="7"/>
  <c r="AB632" i="7"/>
  <c r="AI631" i="7"/>
  <c r="AG631" i="7"/>
  <c r="AF631" i="7"/>
  <c r="AE631" i="7"/>
  <c r="AD631" i="7"/>
  <c r="AC631" i="7"/>
  <c r="AB631" i="7"/>
  <c r="AI630" i="7"/>
  <c r="AG630" i="7"/>
  <c r="AF630" i="7"/>
  <c r="AE630" i="7"/>
  <c r="AD630" i="7"/>
  <c r="AC630" i="7"/>
  <c r="AB630" i="7"/>
  <c r="AI629" i="7"/>
  <c r="AG629" i="7"/>
  <c r="AF629" i="7"/>
  <c r="AE629" i="7"/>
  <c r="AD629" i="7"/>
  <c r="AC629" i="7"/>
  <c r="AB629" i="7"/>
  <c r="AI628" i="7"/>
  <c r="AG628" i="7"/>
  <c r="AF628" i="7"/>
  <c r="AE628" i="7"/>
  <c r="AD628" i="7"/>
  <c r="AC628" i="7"/>
  <c r="AB628" i="7"/>
  <c r="AI627" i="7"/>
  <c r="AG627" i="7"/>
  <c r="AF627" i="7"/>
  <c r="AE627" i="7"/>
  <c r="AD627" i="7"/>
  <c r="AC627" i="7"/>
  <c r="AB627" i="7"/>
  <c r="AI626" i="7"/>
  <c r="AG626" i="7"/>
  <c r="AF626" i="7"/>
  <c r="AE626" i="7"/>
  <c r="AD626" i="7"/>
  <c r="AC626" i="7"/>
  <c r="AB626" i="7"/>
  <c r="AI625" i="7"/>
  <c r="AG625" i="7"/>
  <c r="AF625" i="7"/>
  <c r="AE625" i="7"/>
  <c r="AD625" i="7"/>
  <c r="AC625" i="7"/>
  <c r="AB625" i="7"/>
  <c r="AI624" i="7"/>
  <c r="AG624" i="7"/>
  <c r="AF624" i="7"/>
  <c r="AE624" i="7"/>
  <c r="AD624" i="7"/>
  <c r="AC624" i="7"/>
  <c r="AB624" i="7"/>
  <c r="AI623" i="7"/>
  <c r="AG623" i="7"/>
  <c r="AF623" i="7"/>
  <c r="AE623" i="7"/>
  <c r="AD623" i="7"/>
  <c r="AC623" i="7"/>
  <c r="AB623" i="7"/>
  <c r="AI622" i="7"/>
  <c r="AG622" i="7"/>
  <c r="AF622" i="7"/>
  <c r="AE622" i="7"/>
  <c r="AD622" i="7"/>
  <c r="AC622" i="7"/>
  <c r="AB622" i="7"/>
  <c r="AI621" i="7"/>
  <c r="AG621" i="7"/>
  <c r="AF621" i="7"/>
  <c r="AE621" i="7"/>
  <c r="AD621" i="7"/>
  <c r="AC621" i="7"/>
  <c r="AB621" i="7"/>
  <c r="AI620" i="7"/>
  <c r="AG620" i="7"/>
  <c r="AF620" i="7"/>
  <c r="AE620" i="7"/>
  <c r="AD620" i="7"/>
  <c r="AC620" i="7"/>
  <c r="AB620" i="7"/>
  <c r="AI619" i="7"/>
  <c r="AG619" i="7"/>
  <c r="AF619" i="7"/>
  <c r="AE619" i="7"/>
  <c r="AD619" i="7"/>
  <c r="AC619" i="7"/>
  <c r="AB619" i="7"/>
  <c r="AI618" i="7"/>
  <c r="AG618" i="7"/>
  <c r="AF618" i="7"/>
  <c r="AE618" i="7"/>
  <c r="AD618" i="7"/>
  <c r="AC618" i="7"/>
  <c r="AB618" i="7"/>
  <c r="AI617" i="7"/>
  <c r="AG617" i="7"/>
  <c r="AF617" i="7"/>
  <c r="AE617" i="7"/>
  <c r="AD617" i="7"/>
  <c r="AC617" i="7"/>
  <c r="AB617" i="7"/>
  <c r="AI616" i="7"/>
  <c r="AG616" i="7"/>
  <c r="AF616" i="7"/>
  <c r="AE616" i="7"/>
  <c r="AD616" i="7"/>
  <c r="AC616" i="7"/>
  <c r="AB616" i="7"/>
  <c r="AR722" i="15"/>
  <c r="AC724" i="15" l="1"/>
  <c r="AB723" i="15"/>
  <c r="AB722" i="15"/>
  <c r="AB724" i="15" s="1"/>
  <c r="AB718" i="15"/>
  <c r="AB717" i="15"/>
  <c r="AB716" i="15"/>
  <c r="AB715" i="15"/>
  <c r="AB714" i="15"/>
  <c r="AB713" i="15"/>
  <c r="AB712" i="15"/>
  <c r="AB711" i="15"/>
  <c r="AB710" i="15"/>
  <c r="AB709" i="15"/>
  <c r="AB708" i="15"/>
  <c r="AB707" i="15"/>
  <c r="AB706" i="15"/>
  <c r="AB705" i="15"/>
  <c r="AB704" i="15"/>
  <c r="AB703" i="15"/>
  <c r="AB702" i="15"/>
  <c r="AB701" i="15"/>
  <c r="AB700" i="15"/>
  <c r="AB699" i="15"/>
  <c r="AB698" i="15"/>
  <c r="AB697" i="15"/>
  <c r="AB696" i="15"/>
  <c r="AB695" i="15"/>
  <c r="AB694" i="15"/>
  <c r="AB693" i="15"/>
  <c r="AB692" i="15"/>
  <c r="AB691" i="15"/>
  <c r="AB690" i="15"/>
  <c r="AB689" i="15"/>
  <c r="AB688" i="15"/>
  <c r="AB687" i="15"/>
  <c r="AB686" i="15"/>
  <c r="AB685" i="15"/>
  <c r="AB684" i="15"/>
  <c r="AB683" i="15"/>
  <c r="AB682" i="15"/>
  <c r="AB681" i="15"/>
  <c r="AB680" i="15"/>
  <c r="AB679" i="15"/>
  <c r="AB678" i="15"/>
  <c r="AB677" i="15"/>
  <c r="AB676" i="15"/>
  <c r="AB675" i="15"/>
  <c r="AB674" i="15"/>
  <c r="AB673" i="15"/>
  <c r="AB672" i="15"/>
  <c r="AB671" i="15"/>
  <c r="AB670" i="15"/>
  <c r="AB669" i="15"/>
  <c r="AB668" i="15"/>
  <c r="AB667" i="15"/>
  <c r="AB666" i="15"/>
  <c r="AB665" i="15"/>
  <c r="AB664" i="15"/>
  <c r="AB663" i="15"/>
  <c r="AB662" i="15"/>
  <c r="AB661" i="15"/>
  <c r="AB660" i="15"/>
  <c r="AB659" i="15"/>
  <c r="AB658" i="15"/>
  <c r="AB657" i="15"/>
  <c r="AB656" i="15"/>
  <c r="AB655" i="15"/>
  <c r="AB654" i="15"/>
  <c r="AB653" i="15"/>
  <c r="AB652" i="15"/>
  <c r="AB651" i="15"/>
  <c r="AB650" i="15"/>
  <c r="AB649" i="15"/>
  <c r="AB648" i="15"/>
  <c r="AB647" i="15"/>
  <c r="AB646" i="15"/>
  <c r="AB645" i="15"/>
  <c r="AB644" i="15"/>
  <c r="AB643" i="15"/>
  <c r="AB642" i="15"/>
  <c r="AB641" i="15"/>
  <c r="AB640" i="15"/>
  <c r="AB639" i="15"/>
  <c r="AB638" i="15"/>
  <c r="AB637" i="15"/>
  <c r="AB636" i="15"/>
  <c r="AB635" i="15"/>
  <c r="AB634" i="15"/>
  <c r="AB633" i="15"/>
  <c r="AB632" i="15"/>
  <c r="AB631" i="15"/>
  <c r="AB630" i="15"/>
  <c r="AB629" i="15"/>
  <c r="AB628" i="15"/>
  <c r="AB627" i="15"/>
  <c r="AB626" i="15"/>
  <c r="AB625" i="15"/>
  <c r="AB624" i="15"/>
  <c r="AB623" i="15"/>
  <c r="AB622" i="15"/>
  <c r="AB621" i="15"/>
  <c r="AB620" i="15"/>
  <c r="AB619" i="15"/>
  <c r="AB618" i="15"/>
  <c r="AB617" i="15"/>
  <c r="AB616" i="15"/>
  <c r="AB615" i="15"/>
  <c r="AB614" i="15"/>
  <c r="AB613" i="15"/>
  <c r="AB612" i="15"/>
  <c r="AB611" i="15"/>
  <c r="AB610" i="15"/>
  <c r="AB609" i="15"/>
  <c r="AB608" i="15"/>
  <c r="AB607" i="15"/>
  <c r="AB606" i="15"/>
  <c r="AB605" i="15"/>
  <c r="AB604" i="15"/>
  <c r="AB603" i="15"/>
  <c r="AB602" i="15"/>
  <c r="AB601" i="15"/>
  <c r="AB600" i="15"/>
  <c r="AB599" i="15"/>
  <c r="AB598" i="15"/>
  <c r="AB597" i="15"/>
  <c r="AB596" i="15"/>
  <c r="AB595" i="15"/>
  <c r="AB594" i="15"/>
  <c r="AB593" i="15"/>
  <c r="AB592" i="15"/>
  <c r="AB591" i="15"/>
  <c r="AB590" i="15"/>
  <c r="AB589" i="15"/>
  <c r="AB588" i="15"/>
  <c r="AB587" i="15"/>
  <c r="AB586" i="15"/>
  <c r="AB585" i="15"/>
  <c r="AB584" i="15"/>
  <c r="AB583" i="15"/>
  <c r="AB582" i="15"/>
  <c r="AB581" i="15"/>
  <c r="AB580" i="15"/>
  <c r="AB579" i="15"/>
  <c r="AB578" i="15"/>
  <c r="AB577" i="15"/>
  <c r="AB576" i="15"/>
  <c r="AB575" i="15"/>
  <c r="AB574" i="15"/>
  <c r="AB573" i="15"/>
  <c r="AB572" i="15"/>
  <c r="AB571" i="15"/>
  <c r="AB570" i="15"/>
  <c r="AB569" i="15"/>
  <c r="AB568" i="15"/>
  <c r="AB567" i="15"/>
  <c r="AB566" i="15"/>
  <c r="AB565" i="15"/>
  <c r="AB564" i="15"/>
  <c r="AB563" i="15"/>
  <c r="AB562" i="15"/>
  <c r="AB561" i="15"/>
  <c r="AB560" i="15"/>
  <c r="AB559" i="15"/>
  <c r="AB558" i="15"/>
  <c r="AB557" i="15"/>
  <c r="AB556" i="15"/>
  <c r="AB555" i="15"/>
  <c r="AB554" i="15"/>
  <c r="AB553" i="15"/>
  <c r="AB552" i="15"/>
  <c r="AB551" i="15"/>
  <c r="AB550" i="15"/>
  <c r="AB549" i="15"/>
  <c r="AB548" i="15"/>
  <c r="AB547" i="15"/>
  <c r="AB546" i="15"/>
  <c r="AB545" i="15"/>
  <c r="AB544" i="15"/>
  <c r="AB543" i="15"/>
  <c r="AB542" i="15"/>
  <c r="AB541" i="15"/>
  <c r="AB540" i="15"/>
  <c r="AB539" i="15"/>
  <c r="AB538" i="15"/>
  <c r="AB537" i="15"/>
  <c r="AB536" i="15"/>
  <c r="AB535" i="15"/>
  <c r="AB534" i="15"/>
  <c r="AB533" i="15"/>
  <c r="AB532" i="15"/>
  <c r="AB531" i="15"/>
  <c r="AB530" i="15"/>
  <c r="AB529" i="15"/>
  <c r="AB528" i="15"/>
  <c r="AB527" i="15"/>
  <c r="AB526" i="15"/>
  <c r="AB525" i="15"/>
  <c r="AB524" i="15"/>
  <c r="AB523" i="15"/>
  <c r="AB522" i="15"/>
  <c r="AB521" i="15"/>
  <c r="AB520" i="15"/>
  <c r="AB519" i="15"/>
  <c r="AB518" i="15"/>
  <c r="AB517" i="15"/>
  <c r="AB516" i="15"/>
  <c r="AB515" i="15"/>
  <c r="AB514" i="15"/>
  <c r="AB513" i="15"/>
  <c r="AB512" i="15"/>
  <c r="AB511" i="15"/>
  <c r="AB510" i="15"/>
  <c r="AB509" i="15"/>
  <c r="AB508" i="15"/>
  <c r="AB507" i="15"/>
  <c r="AB506" i="15"/>
  <c r="AB505" i="15"/>
  <c r="AB504" i="15"/>
  <c r="AB503" i="15"/>
  <c r="AB502" i="15"/>
  <c r="AB501" i="15"/>
  <c r="AB500" i="15"/>
  <c r="AB499" i="15"/>
  <c r="AB498" i="15"/>
  <c r="AB497" i="15"/>
  <c r="AB496" i="15"/>
  <c r="AB495" i="15"/>
  <c r="AB494" i="15"/>
  <c r="AB493" i="15"/>
  <c r="AB492" i="15"/>
  <c r="AB491" i="15"/>
  <c r="AB490" i="15"/>
  <c r="AB489" i="15"/>
  <c r="AB488" i="15"/>
  <c r="AB487" i="15"/>
  <c r="AB486" i="15"/>
  <c r="AB485" i="15"/>
  <c r="AB484" i="15"/>
  <c r="AB483" i="15"/>
  <c r="AB482" i="15"/>
  <c r="AB481" i="15"/>
  <c r="AB480" i="15"/>
  <c r="AB479" i="15"/>
  <c r="AB478" i="15"/>
  <c r="AB477" i="15"/>
  <c r="AB476" i="15"/>
  <c r="AB475" i="15"/>
  <c r="AB474" i="15"/>
  <c r="AB473" i="15"/>
  <c r="AB472" i="15"/>
  <c r="AB471" i="15"/>
  <c r="AB470" i="15"/>
  <c r="AB469" i="15"/>
  <c r="AB468" i="15"/>
  <c r="AB467" i="15"/>
  <c r="AB466" i="15"/>
  <c r="AB465" i="15"/>
  <c r="AB464" i="15"/>
  <c r="AB463" i="15"/>
  <c r="AB462" i="15"/>
  <c r="AB461" i="15"/>
  <c r="AB460" i="15"/>
  <c r="AB459" i="15"/>
  <c r="AB458" i="15"/>
  <c r="AB457" i="15"/>
  <c r="AB456" i="15"/>
  <c r="AB455" i="15"/>
  <c r="AB454" i="15"/>
  <c r="AB453" i="15"/>
  <c r="AB452" i="15"/>
  <c r="AB451" i="15"/>
  <c r="AB450" i="15"/>
  <c r="AB449" i="15"/>
  <c r="AB448" i="15"/>
  <c r="AB447" i="15"/>
  <c r="AB446" i="15"/>
  <c r="AB445" i="15"/>
  <c r="AB444" i="15"/>
  <c r="AB443" i="15"/>
  <c r="AB442" i="15"/>
  <c r="AB441" i="15"/>
  <c r="AB440" i="15"/>
  <c r="AB439" i="15"/>
  <c r="AB438" i="15"/>
  <c r="AB437" i="15"/>
  <c r="AB436" i="15"/>
  <c r="AB435" i="15"/>
  <c r="AB434" i="15"/>
  <c r="AB433" i="15"/>
  <c r="AB432" i="15"/>
  <c r="AB431" i="15"/>
  <c r="AB430" i="15"/>
  <c r="AB429" i="15"/>
  <c r="AB428" i="15"/>
  <c r="AB427" i="15"/>
  <c r="AB426" i="15"/>
  <c r="AB425" i="15"/>
  <c r="AB424" i="15"/>
  <c r="AB423" i="15"/>
  <c r="AB422" i="15"/>
  <c r="AB421" i="15"/>
  <c r="AB420" i="15"/>
  <c r="AB419" i="15"/>
  <c r="AB418" i="15"/>
  <c r="AB417" i="15"/>
  <c r="AB416" i="15"/>
  <c r="AB415" i="15"/>
  <c r="AB414" i="15"/>
  <c r="AB413" i="15"/>
  <c r="AB412" i="15"/>
  <c r="AB411" i="15"/>
  <c r="AB410" i="15"/>
  <c r="AB409" i="15"/>
  <c r="AB408" i="15"/>
  <c r="AB407" i="15"/>
  <c r="AB406" i="15"/>
  <c r="AB405" i="15"/>
  <c r="AB404" i="15"/>
  <c r="AB403" i="15"/>
  <c r="AB402" i="15"/>
  <c r="AB401" i="15"/>
  <c r="AB400" i="15"/>
  <c r="AB399" i="15"/>
  <c r="AB398" i="15"/>
  <c r="AB397" i="15"/>
  <c r="AB396" i="15"/>
  <c r="AB395" i="15"/>
  <c r="AB394" i="15"/>
  <c r="AB393" i="15"/>
  <c r="AB392" i="15"/>
  <c r="AB391" i="15"/>
  <c r="AB390" i="15"/>
  <c r="AB389" i="15"/>
  <c r="AB388" i="15"/>
  <c r="AB387" i="15"/>
  <c r="AB386" i="15"/>
  <c r="AB385" i="15"/>
  <c r="AB384" i="15"/>
  <c r="AB383" i="15"/>
  <c r="AB382" i="15"/>
  <c r="AB381" i="15"/>
  <c r="AB380" i="15"/>
  <c r="AB379" i="15"/>
  <c r="AB378" i="15"/>
  <c r="AB377" i="15"/>
  <c r="AB376" i="15"/>
  <c r="AB375" i="15"/>
  <c r="AB374" i="15"/>
  <c r="AB373" i="15"/>
  <c r="AB372" i="15"/>
  <c r="AB371" i="15"/>
  <c r="AB370" i="15"/>
  <c r="AB369" i="15"/>
  <c r="AB368" i="15"/>
  <c r="AB367" i="15"/>
  <c r="AB366" i="15"/>
  <c r="AB365" i="15"/>
  <c r="AB364" i="15"/>
  <c r="AB363" i="15"/>
  <c r="AB362" i="15"/>
  <c r="AB361" i="15"/>
  <c r="AB360" i="15"/>
  <c r="AB359" i="15"/>
  <c r="AB358" i="15"/>
  <c r="AB357" i="15"/>
  <c r="AB356" i="15"/>
  <c r="AB355" i="15"/>
  <c r="AB354" i="15"/>
  <c r="AB353" i="15"/>
  <c r="AB352" i="15"/>
  <c r="AB351" i="15"/>
  <c r="AB350" i="15"/>
  <c r="AB349" i="15"/>
  <c r="AB348" i="15"/>
  <c r="AB347" i="15"/>
  <c r="AB346" i="15"/>
  <c r="AB345" i="15"/>
  <c r="AB344" i="15"/>
  <c r="AB343" i="15"/>
  <c r="AB342" i="15"/>
  <c r="AB341" i="15"/>
  <c r="AB340" i="15"/>
  <c r="AB339" i="15"/>
  <c r="AB338" i="15"/>
  <c r="AB337" i="15"/>
  <c r="AB336" i="15"/>
  <c r="AB335" i="15"/>
  <c r="AB334" i="15"/>
  <c r="AB333" i="15"/>
  <c r="AB332" i="15"/>
  <c r="AB331" i="15"/>
  <c r="AB330" i="15"/>
  <c r="AB329" i="15"/>
  <c r="AB328" i="15"/>
  <c r="AB327" i="15"/>
  <c r="AB326" i="15"/>
  <c r="AB325" i="15"/>
  <c r="AB324" i="15"/>
  <c r="AB323" i="15"/>
  <c r="AB322" i="15"/>
  <c r="AB321" i="15"/>
  <c r="AB320" i="15"/>
  <c r="AB319" i="15"/>
  <c r="AB318" i="15"/>
  <c r="AB317" i="15"/>
  <c r="AB316" i="15"/>
  <c r="AB315" i="15"/>
  <c r="AB314" i="15"/>
  <c r="AB313" i="15"/>
  <c r="AB312" i="15"/>
  <c r="AB311" i="15"/>
  <c r="AB310" i="15"/>
  <c r="AB309" i="15"/>
  <c r="AB308" i="15"/>
  <c r="AB307" i="15"/>
  <c r="AB306" i="15"/>
  <c r="AB305" i="15"/>
  <c r="AB304" i="15"/>
  <c r="AB303" i="15"/>
  <c r="AB302" i="15"/>
  <c r="AB301" i="15"/>
  <c r="AB300" i="15"/>
  <c r="AB299" i="15"/>
  <c r="AB298" i="15"/>
  <c r="AB297" i="15"/>
  <c r="AB296" i="15"/>
  <c r="AB295" i="15"/>
  <c r="AB294" i="15"/>
  <c r="AB293" i="15"/>
  <c r="AB292" i="15"/>
  <c r="AB291" i="15"/>
  <c r="AB290" i="15"/>
  <c r="AB289" i="15"/>
  <c r="AB288" i="15"/>
  <c r="AB287" i="15"/>
  <c r="AB286" i="15"/>
  <c r="AB285" i="15"/>
  <c r="AB284" i="15"/>
  <c r="AB283" i="15"/>
  <c r="AB282" i="15"/>
  <c r="AB281" i="15"/>
  <c r="AB280" i="15"/>
  <c r="AB279" i="15"/>
  <c r="AB278" i="15"/>
  <c r="AB277" i="15"/>
  <c r="AB276" i="15"/>
  <c r="AB275" i="15"/>
  <c r="AB274" i="15"/>
  <c r="AB273" i="15"/>
  <c r="AB272" i="15"/>
  <c r="AB271" i="15"/>
  <c r="AB270" i="15"/>
  <c r="AB269" i="15"/>
  <c r="AB268" i="15"/>
  <c r="AB267" i="15"/>
  <c r="AB266" i="15"/>
  <c r="AB265" i="15"/>
  <c r="AB264" i="15"/>
  <c r="AB263" i="15"/>
  <c r="AB262" i="15"/>
  <c r="AB261" i="15"/>
  <c r="AB260" i="15"/>
  <c r="AB259" i="15"/>
  <c r="AB258" i="15"/>
  <c r="AB257" i="15"/>
  <c r="AB256" i="15"/>
  <c r="AB255" i="15"/>
  <c r="AB254" i="15"/>
  <c r="AB253" i="15"/>
  <c r="AB252" i="15"/>
  <c r="AB251" i="15"/>
  <c r="AB250" i="15"/>
  <c r="AB249" i="15"/>
  <c r="AB248" i="15"/>
  <c r="AB247" i="15"/>
  <c r="AB246" i="15"/>
  <c r="AB245" i="15"/>
  <c r="AB244" i="15"/>
  <c r="AB243" i="15"/>
  <c r="AB242" i="15"/>
  <c r="AB241" i="15"/>
  <c r="AB240" i="15"/>
  <c r="AB239" i="15"/>
  <c r="AB238" i="15"/>
  <c r="AB237" i="15"/>
  <c r="AB236" i="15"/>
  <c r="AB235" i="15"/>
  <c r="AB234" i="15"/>
  <c r="AB233" i="15"/>
  <c r="AB232" i="15"/>
  <c r="AB231" i="15"/>
  <c r="AB230" i="15"/>
  <c r="AB229" i="15"/>
  <c r="AB228" i="15"/>
  <c r="AB227" i="15"/>
  <c r="AB226" i="15"/>
  <c r="AB225" i="15"/>
  <c r="AB224" i="15"/>
  <c r="AB223" i="15"/>
  <c r="AB222" i="15"/>
  <c r="AB221" i="15"/>
  <c r="AB220" i="15"/>
  <c r="AB219" i="15"/>
  <c r="AB218" i="15"/>
  <c r="AB217" i="15"/>
  <c r="AB216" i="15"/>
  <c r="AB215" i="15"/>
  <c r="AB214" i="15"/>
  <c r="AB213" i="15"/>
  <c r="AB212" i="15"/>
  <c r="AB211" i="15"/>
  <c r="AB210" i="15"/>
  <c r="AB209" i="15"/>
  <c r="AB208" i="15"/>
  <c r="AB207" i="15"/>
  <c r="AB206" i="15"/>
  <c r="AB205" i="15"/>
  <c r="AB204" i="15"/>
  <c r="AB203" i="15"/>
  <c r="AB202" i="15"/>
  <c r="AB201" i="15"/>
  <c r="AB200" i="15"/>
  <c r="AB199" i="15"/>
  <c r="AB198" i="15"/>
  <c r="AB197" i="15"/>
  <c r="AB196" i="15"/>
  <c r="AB195" i="15"/>
  <c r="AB194" i="15"/>
  <c r="AB193" i="15"/>
  <c r="AB192" i="15"/>
  <c r="AB191" i="15"/>
  <c r="AB190" i="15"/>
  <c r="AB189" i="15"/>
  <c r="AB188" i="15"/>
  <c r="AB187" i="15"/>
  <c r="AB186" i="15"/>
  <c r="AB185" i="15"/>
  <c r="AB184" i="15"/>
  <c r="AB183" i="15"/>
  <c r="AB182" i="15"/>
  <c r="AB181" i="15"/>
  <c r="AB180" i="15"/>
  <c r="AB179" i="15"/>
  <c r="AB178" i="15"/>
  <c r="AB177" i="15"/>
  <c r="AB176" i="15"/>
  <c r="AB175" i="15"/>
  <c r="AB174" i="15"/>
  <c r="AB173" i="15"/>
  <c r="AB172" i="15"/>
  <c r="AB171" i="15"/>
  <c r="AB170" i="15"/>
  <c r="AB169" i="15"/>
  <c r="AB168" i="15"/>
  <c r="AB167" i="15"/>
  <c r="AB166" i="15"/>
  <c r="AB165" i="15"/>
  <c r="AB164" i="15"/>
  <c r="AB163" i="15"/>
  <c r="AB162" i="15"/>
  <c r="AB161" i="15"/>
  <c r="AB160" i="15"/>
  <c r="AB159" i="15"/>
  <c r="AB158" i="15"/>
  <c r="AB157" i="15"/>
  <c r="AB156" i="15"/>
  <c r="AB155" i="15"/>
  <c r="AB154" i="15"/>
  <c r="AB153" i="15"/>
  <c r="AB152" i="15"/>
  <c r="AB151" i="15"/>
  <c r="AB150" i="15"/>
  <c r="AB149" i="15"/>
  <c r="AB148" i="15"/>
  <c r="AB147" i="15"/>
  <c r="AB146" i="15"/>
  <c r="AB145" i="15"/>
  <c r="AB144" i="15"/>
  <c r="AB143" i="15"/>
  <c r="AB142" i="15"/>
  <c r="AB141" i="15"/>
  <c r="AB140" i="15"/>
  <c r="AB139" i="15"/>
  <c r="AB138" i="15"/>
  <c r="AB137" i="15"/>
  <c r="AB136" i="15"/>
  <c r="AB135" i="15"/>
  <c r="AB134" i="15"/>
  <c r="AB133" i="15"/>
  <c r="AB132" i="15"/>
  <c r="AB131" i="15"/>
  <c r="AB130" i="15"/>
  <c r="AB129" i="15"/>
  <c r="AB128" i="15"/>
  <c r="AB127" i="15"/>
  <c r="AB126" i="15"/>
  <c r="AB125" i="15"/>
  <c r="AB124" i="15"/>
  <c r="AB123" i="15"/>
  <c r="AB122" i="15"/>
  <c r="AB121" i="15"/>
  <c r="AB120" i="15"/>
  <c r="AB119" i="15"/>
  <c r="AB118" i="15"/>
  <c r="AB117" i="15"/>
  <c r="AB116" i="15"/>
  <c r="AB115" i="15"/>
  <c r="AB114" i="15"/>
  <c r="AB113" i="15"/>
  <c r="AB112" i="15"/>
  <c r="AB111" i="15"/>
  <c r="AB110" i="15"/>
  <c r="AB109" i="15"/>
  <c r="AB108" i="15"/>
  <c r="AB107" i="15"/>
  <c r="AB106" i="15"/>
  <c r="AB105" i="15"/>
  <c r="AB104" i="15"/>
  <c r="AB103" i="15"/>
  <c r="AB102" i="15"/>
  <c r="AB10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86" i="15"/>
  <c r="AB85" i="15"/>
  <c r="AB84" i="15"/>
  <c r="AB83" i="15"/>
  <c r="AB82" i="15"/>
  <c r="AB81" i="15"/>
  <c r="AB80" i="15"/>
  <c r="AB79" i="15"/>
  <c r="AB78" i="15"/>
  <c r="AB77" i="15"/>
  <c r="AB76" i="15"/>
  <c r="AB75" i="15"/>
  <c r="AB74" i="15"/>
  <c r="AB73" i="15"/>
  <c r="AB72" i="15"/>
  <c r="AB71" i="15"/>
  <c r="AB70" i="15"/>
  <c r="AB69" i="15"/>
  <c r="AB68" i="15"/>
  <c r="AB67" i="15"/>
  <c r="AB66" i="15"/>
  <c r="AB65" i="15"/>
  <c r="AB64" i="15"/>
  <c r="AB63" i="15"/>
  <c r="AB62" i="15"/>
  <c r="AB61" i="15"/>
  <c r="AB60" i="15"/>
  <c r="AB59" i="15"/>
  <c r="AB58" i="15"/>
  <c r="AB57" i="15"/>
  <c r="AB56" i="15"/>
  <c r="AB55" i="15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2" i="15"/>
  <c r="AB11" i="15"/>
  <c r="AB10" i="15"/>
  <c r="AB9" i="15"/>
  <c r="AB8" i="15"/>
  <c r="AB7" i="15"/>
  <c r="AB6" i="15"/>
  <c r="AB5" i="15"/>
  <c r="AB4" i="15"/>
  <c r="AB3" i="15"/>
  <c r="AA718" i="15"/>
  <c r="Z718" i="15"/>
  <c r="Y718" i="15"/>
  <c r="X718" i="15"/>
  <c r="W718" i="15"/>
  <c r="AA717" i="15"/>
  <c r="Z717" i="15"/>
  <c r="Y717" i="15"/>
  <c r="X717" i="15"/>
  <c r="W717" i="15"/>
  <c r="AA716" i="15"/>
  <c r="Z716" i="15"/>
  <c r="Y716" i="15"/>
  <c r="X716" i="15"/>
  <c r="W716" i="15"/>
  <c r="AA715" i="15"/>
  <c r="Z715" i="15"/>
  <c r="Y715" i="15"/>
  <c r="X715" i="15"/>
  <c r="W715" i="15"/>
  <c r="AA714" i="15"/>
  <c r="Z714" i="15"/>
  <c r="Y714" i="15"/>
  <c r="X714" i="15"/>
  <c r="W714" i="15"/>
  <c r="AA713" i="15"/>
  <c r="Z713" i="15"/>
  <c r="Y713" i="15"/>
  <c r="X713" i="15"/>
  <c r="W713" i="15"/>
  <c r="AA712" i="15"/>
  <c r="Z712" i="15"/>
  <c r="Y712" i="15"/>
  <c r="X712" i="15"/>
  <c r="W712" i="15"/>
  <c r="AA711" i="15"/>
  <c r="Z711" i="15"/>
  <c r="Y711" i="15"/>
  <c r="X711" i="15"/>
  <c r="W711" i="15"/>
  <c r="AA710" i="15"/>
  <c r="Z710" i="15"/>
  <c r="Y710" i="15"/>
  <c r="X710" i="15"/>
  <c r="W710" i="15"/>
  <c r="AA709" i="15"/>
  <c r="Z709" i="15"/>
  <c r="Y709" i="15"/>
  <c r="X709" i="15"/>
  <c r="W709" i="15"/>
  <c r="AA708" i="15"/>
  <c r="Z708" i="15"/>
  <c r="Y708" i="15"/>
  <c r="X708" i="15"/>
  <c r="W708" i="15"/>
  <c r="AA707" i="15"/>
  <c r="Z707" i="15"/>
  <c r="Y707" i="15"/>
  <c r="X707" i="15"/>
  <c r="W707" i="15"/>
  <c r="AA706" i="15"/>
  <c r="Z706" i="15"/>
  <c r="Y706" i="15"/>
  <c r="X706" i="15"/>
  <c r="W706" i="15"/>
  <c r="AA705" i="15"/>
  <c r="Z705" i="15"/>
  <c r="Y705" i="15"/>
  <c r="X705" i="15"/>
  <c r="W705" i="15"/>
  <c r="AA704" i="15"/>
  <c r="Z704" i="15"/>
  <c r="Y704" i="15"/>
  <c r="X704" i="15"/>
  <c r="W704" i="15"/>
  <c r="AA703" i="15"/>
  <c r="Z703" i="15"/>
  <c r="Y703" i="15"/>
  <c r="X703" i="15"/>
  <c r="W703" i="15"/>
  <c r="AA702" i="15"/>
  <c r="Z702" i="15"/>
  <c r="Y702" i="15"/>
  <c r="X702" i="15"/>
  <c r="W702" i="15"/>
  <c r="AA701" i="15"/>
  <c r="Z701" i="15"/>
  <c r="Y701" i="15"/>
  <c r="X701" i="15"/>
  <c r="W701" i="15"/>
  <c r="AA700" i="15"/>
  <c r="Z700" i="15"/>
  <c r="Y700" i="15"/>
  <c r="X700" i="15"/>
  <c r="W700" i="15"/>
  <c r="AA699" i="15"/>
  <c r="Z699" i="15"/>
  <c r="Y699" i="15"/>
  <c r="X699" i="15"/>
  <c r="W699" i="15"/>
  <c r="AA698" i="15"/>
  <c r="Z698" i="15"/>
  <c r="Y698" i="15"/>
  <c r="X698" i="15"/>
  <c r="W698" i="15"/>
  <c r="AA697" i="15"/>
  <c r="Z697" i="15"/>
  <c r="Y697" i="15"/>
  <c r="X697" i="15"/>
  <c r="W697" i="15"/>
  <c r="AA696" i="15"/>
  <c r="Z696" i="15"/>
  <c r="Y696" i="15"/>
  <c r="X696" i="15"/>
  <c r="W696" i="15"/>
  <c r="AA695" i="15"/>
  <c r="Z695" i="15"/>
  <c r="Y695" i="15"/>
  <c r="X695" i="15"/>
  <c r="W695" i="15"/>
  <c r="AA694" i="15"/>
  <c r="Z694" i="15"/>
  <c r="Y694" i="15"/>
  <c r="X694" i="15"/>
  <c r="W694" i="15"/>
  <c r="AA693" i="15"/>
  <c r="Z693" i="15"/>
  <c r="Y693" i="15"/>
  <c r="X693" i="15"/>
  <c r="W693" i="15"/>
  <c r="AA692" i="15"/>
  <c r="Z692" i="15"/>
  <c r="Y692" i="15"/>
  <c r="X692" i="15"/>
  <c r="W692" i="15"/>
  <c r="AA691" i="15"/>
  <c r="Z691" i="15"/>
  <c r="Y691" i="15"/>
  <c r="X691" i="15"/>
  <c r="W691" i="15"/>
  <c r="AA690" i="15"/>
  <c r="Z690" i="15"/>
  <c r="Y690" i="15"/>
  <c r="X690" i="15"/>
  <c r="W690" i="15"/>
  <c r="AA689" i="15"/>
  <c r="Z689" i="15"/>
  <c r="Y689" i="15"/>
  <c r="X689" i="15"/>
  <c r="W689" i="15"/>
  <c r="AA688" i="15"/>
  <c r="Z688" i="15"/>
  <c r="Y688" i="15"/>
  <c r="X688" i="15"/>
  <c r="W688" i="15"/>
  <c r="AA687" i="15"/>
  <c r="Z687" i="15"/>
  <c r="Y687" i="15"/>
  <c r="X687" i="15"/>
  <c r="W687" i="15"/>
  <c r="AA686" i="15"/>
  <c r="Z686" i="15"/>
  <c r="Y686" i="15"/>
  <c r="X686" i="15"/>
  <c r="W686" i="15"/>
  <c r="AA685" i="15"/>
  <c r="Z685" i="15"/>
  <c r="Y685" i="15"/>
  <c r="X685" i="15"/>
  <c r="W685" i="15"/>
  <c r="AA684" i="15"/>
  <c r="Z684" i="15"/>
  <c r="Y684" i="15"/>
  <c r="X684" i="15"/>
  <c r="W684" i="15"/>
  <c r="AA683" i="15"/>
  <c r="Z683" i="15"/>
  <c r="Y683" i="15"/>
  <c r="X683" i="15"/>
  <c r="W683" i="15"/>
  <c r="AA682" i="15"/>
  <c r="Z682" i="15"/>
  <c r="Y682" i="15"/>
  <c r="X682" i="15"/>
  <c r="W682" i="15"/>
  <c r="AA681" i="15"/>
  <c r="Z681" i="15"/>
  <c r="Y681" i="15"/>
  <c r="X681" i="15"/>
  <c r="W681" i="15"/>
  <c r="AA680" i="15"/>
  <c r="Z680" i="15"/>
  <c r="Y680" i="15"/>
  <c r="X680" i="15"/>
  <c r="W680" i="15"/>
  <c r="AA679" i="15"/>
  <c r="Z679" i="15"/>
  <c r="Y679" i="15"/>
  <c r="X679" i="15"/>
  <c r="W679" i="15"/>
  <c r="AA678" i="15"/>
  <c r="Z678" i="15"/>
  <c r="Y678" i="15"/>
  <c r="X678" i="15"/>
  <c r="W678" i="15"/>
  <c r="AA677" i="15"/>
  <c r="Z677" i="15"/>
  <c r="Y677" i="15"/>
  <c r="X677" i="15"/>
  <c r="W677" i="15"/>
  <c r="AA676" i="15"/>
  <c r="Z676" i="15"/>
  <c r="Y676" i="15"/>
  <c r="X676" i="15"/>
  <c r="W676" i="15"/>
  <c r="AA675" i="15"/>
  <c r="Z675" i="15"/>
  <c r="Y675" i="15"/>
  <c r="X675" i="15"/>
  <c r="W675" i="15"/>
  <c r="AA674" i="15"/>
  <c r="Z674" i="15"/>
  <c r="Y674" i="15"/>
  <c r="X674" i="15"/>
  <c r="W674" i="15"/>
  <c r="AA673" i="15"/>
  <c r="Z673" i="15"/>
  <c r="Y673" i="15"/>
  <c r="X673" i="15"/>
  <c r="W673" i="15"/>
  <c r="AA672" i="15"/>
  <c r="Z672" i="15"/>
  <c r="Y672" i="15"/>
  <c r="X672" i="15"/>
  <c r="W672" i="15"/>
  <c r="AA671" i="15"/>
  <c r="Z671" i="15"/>
  <c r="Y671" i="15"/>
  <c r="X671" i="15"/>
  <c r="W671" i="15"/>
  <c r="AA670" i="15"/>
  <c r="Z670" i="15"/>
  <c r="Y670" i="15"/>
  <c r="X670" i="15"/>
  <c r="W670" i="15"/>
  <c r="AA669" i="15"/>
  <c r="Z669" i="15"/>
  <c r="Y669" i="15"/>
  <c r="X669" i="15"/>
  <c r="W669" i="15"/>
  <c r="AA668" i="15"/>
  <c r="Z668" i="15"/>
  <c r="Y668" i="15"/>
  <c r="X668" i="15"/>
  <c r="W668" i="15"/>
  <c r="AA667" i="15"/>
  <c r="Z667" i="15"/>
  <c r="Y667" i="15"/>
  <c r="X667" i="15"/>
  <c r="W667" i="15"/>
  <c r="AA666" i="15"/>
  <c r="Z666" i="15"/>
  <c r="Y666" i="15"/>
  <c r="X666" i="15"/>
  <c r="W666" i="15"/>
  <c r="AA665" i="15"/>
  <c r="Z665" i="15"/>
  <c r="Y665" i="15"/>
  <c r="X665" i="15"/>
  <c r="W665" i="15"/>
  <c r="AA664" i="15"/>
  <c r="Z664" i="15"/>
  <c r="Y664" i="15"/>
  <c r="X664" i="15"/>
  <c r="W664" i="15"/>
  <c r="AA663" i="15"/>
  <c r="Z663" i="15"/>
  <c r="Y663" i="15"/>
  <c r="X663" i="15"/>
  <c r="W663" i="15"/>
  <c r="AA662" i="15"/>
  <c r="Z662" i="15"/>
  <c r="Y662" i="15"/>
  <c r="X662" i="15"/>
  <c r="W662" i="15"/>
  <c r="AA661" i="15"/>
  <c r="Z661" i="15"/>
  <c r="Y661" i="15"/>
  <c r="X661" i="15"/>
  <c r="W661" i="15"/>
  <c r="AA660" i="15"/>
  <c r="Z660" i="15"/>
  <c r="Y660" i="15"/>
  <c r="X660" i="15"/>
  <c r="W660" i="15"/>
  <c r="AA659" i="15"/>
  <c r="Z659" i="15"/>
  <c r="Y659" i="15"/>
  <c r="X659" i="15"/>
  <c r="W659" i="15"/>
  <c r="AA658" i="15"/>
  <c r="Z658" i="15"/>
  <c r="Y658" i="15"/>
  <c r="X658" i="15"/>
  <c r="W658" i="15"/>
  <c r="AA657" i="15"/>
  <c r="Z657" i="15"/>
  <c r="Y657" i="15"/>
  <c r="X657" i="15"/>
  <c r="W657" i="15"/>
  <c r="AA656" i="15"/>
  <c r="Z656" i="15"/>
  <c r="Y656" i="15"/>
  <c r="X656" i="15"/>
  <c r="W656" i="15"/>
  <c r="AA655" i="15"/>
  <c r="Z655" i="15"/>
  <c r="Y655" i="15"/>
  <c r="X655" i="15"/>
  <c r="W655" i="15"/>
  <c r="AA654" i="15"/>
  <c r="Z654" i="15"/>
  <c r="Y654" i="15"/>
  <c r="X654" i="15"/>
  <c r="W654" i="15"/>
  <c r="AA653" i="15"/>
  <c r="Z653" i="15"/>
  <c r="Y653" i="15"/>
  <c r="X653" i="15"/>
  <c r="W653" i="15"/>
  <c r="AA652" i="15"/>
  <c r="Z652" i="15"/>
  <c r="Y652" i="15"/>
  <c r="X652" i="15"/>
  <c r="W652" i="15"/>
  <c r="U718" i="15"/>
  <c r="U717" i="15"/>
  <c r="U716" i="15"/>
  <c r="U715" i="15"/>
  <c r="U714" i="15"/>
  <c r="U713" i="15"/>
  <c r="U712" i="15"/>
  <c r="U711" i="15"/>
  <c r="U710" i="15"/>
  <c r="U709" i="15"/>
  <c r="U708" i="15"/>
  <c r="U707" i="15"/>
  <c r="U706" i="15"/>
  <c r="U705" i="15"/>
  <c r="U704" i="15"/>
  <c r="U703" i="15"/>
  <c r="U702" i="15"/>
  <c r="U701" i="15"/>
  <c r="U700" i="15"/>
  <c r="U699" i="15"/>
  <c r="U698" i="15"/>
  <c r="U697" i="15"/>
  <c r="U696" i="15"/>
  <c r="U695" i="15"/>
  <c r="U694" i="15"/>
  <c r="U693" i="15"/>
  <c r="U692" i="15"/>
  <c r="U691" i="15"/>
  <c r="U690" i="15"/>
  <c r="U689" i="15"/>
  <c r="U688" i="15"/>
  <c r="U687" i="15"/>
  <c r="U686" i="15"/>
  <c r="U685" i="15"/>
  <c r="U684" i="15"/>
  <c r="U683" i="15"/>
  <c r="U682" i="15"/>
  <c r="U681" i="15"/>
  <c r="U680" i="15"/>
  <c r="U679" i="15"/>
  <c r="U678" i="15"/>
  <c r="U677" i="15"/>
  <c r="U676" i="15"/>
  <c r="U675" i="15"/>
  <c r="U674" i="15"/>
  <c r="U673" i="15"/>
  <c r="U672" i="15"/>
  <c r="U671" i="15"/>
  <c r="U670" i="15"/>
  <c r="U669" i="15"/>
  <c r="U668" i="15"/>
  <c r="U667" i="15"/>
  <c r="U666" i="15"/>
  <c r="U665" i="15"/>
  <c r="U664" i="15"/>
  <c r="U663" i="15"/>
  <c r="U662" i="15"/>
  <c r="U661" i="15"/>
  <c r="U660" i="15"/>
  <c r="U659" i="15"/>
  <c r="U658" i="15"/>
  <c r="U657" i="15"/>
  <c r="U656" i="15"/>
  <c r="U655" i="15"/>
  <c r="U654" i="15"/>
  <c r="U653" i="15"/>
  <c r="U652" i="15"/>
  <c r="U651" i="15"/>
  <c r="U650" i="15"/>
  <c r="U649" i="15"/>
  <c r="U648" i="15"/>
  <c r="U647" i="15"/>
  <c r="U646" i="15"/>
  <c r="U645" i="15"/>
  <c r="U644" i="15"/>
  <c r="U643" i="15"/>
  <c r="U642" i="15"/>
  <c r="U641" i="15"/>
  <c r="U640" i="15"/>
  <c r="U639" i="15"/>
  <c r="U638" i="15"/>
  <c r="U637" i="15"/>
  <c r="U636" i="15"/>
  <c r="U635" i="15"/>
  <c r="U634" i="15"/>
  <c r="U633" i="15"/>
  <c r="U632" i="15"/>
  <c r="U631" i="15"/>
  <c r="U630" i="15"/>
  <c r="U629" i="15"/>
  <c r="U628" i="15"/>
  <c r="U627" i="15"/>
  <c r="U626" i="15"/>
  <c r="U625" i="15"/>
  <c r="U624" i="15"/>
  <c r="U623" i="15"/>
  <c r="U622" i="15"/>
  <c r="U621" i="15"/>
  <c r="U620" i="15"/>
  <c r="U619" i="15"/>
  <c r="U618" i="15"/>
  <c r="U617" i="15"/>
  <c r="U616" i="15"/>
  <c r="U615" i="15"/>
  <c r="U614" i="15"/>
  <c r="U613" i="15"/>
  <c r="U612" i="15"/>
  <c r="U611" i="15"/>
  <c r="U610" i="15"/>
  <c r="U609" i="15"/>
  <c r="U608" i="15"/>
  <c r="U607" i="15"/>
  <c r="U606" i="15"/>
  <c r="U605" i="15"/>
  <c r="U604" i="15"/>
  <c r="U603" i="15"/>
  <c r="U602" i="15"/>
  <c r="U601" i="15"/>
  <c r="U600" i="15"/>
  <c r="U599" i="15"/>
  <c r="U598" i="15"/>
  <c r="U597" i="15"/>
  <c r="U596" i="15"/>
  <c r="U595" i="15"/>
  <c r="U594" i="15"/>
  <c r="U593" i="15"/>
  <c r="U592" i="15"/>
  <c r="U591" i="15"/>
  <c r="U590" i="15"/>
  <c r="U589" i="15"/>
  <c r="U588" i="15"/>
  <c r="U587" i="15"/>
  <c r="U586" i="15"/>
  <c r="U585" i="15"/>
  <c r="U584" i="15"/>
  <c r="U583" i="15"/>
  <c r="U582" i="15"/>
  <c r="U581" i="15"/>
  <c r="U580" i="15"/>
  <c r="U579" i="15"/>
  <c r="U578" i="15"/>
  <c r="U577" i="15"/>
  <c r="U576" i="15"/>
  <c r="U575" i="15"/>
  <c r="U574" i="15"/>
  <c r="U573" i="15"/>
  <c r="U572" i="15"/>
  <c r="U571" i="15"/>
  <c r="U570" i="15"/>
  <c r="U569" i="15"/>
  <c r="U568" i="15"/>
  <c r="U567" i="15"/>
  <c r="U566" i="15"/>
  <c r="U565" i="15"/>
  <c r="U564" i="15"/>
  <c r="U563" i="15"/>
  <c r="U562" i="15"/>
  <c r="U561" i="15"/>
  <c r="U560" i="15"/>
  <c r="U559" i="15"/>
  <c r="U558" i="15"/>
  <c r="U557" i="15"/>
  <c r="U556" i="15"/>
  <c r="U555" i="15"/>
  <c r="U554" i="15"/>
  <c r="U553" i="15"/>
  <c r="U552" i="15"/>
  <c r="U551" i="15"/>
  <c r="U550" i="15"/>
  <c r="U549" i="15"/>
  <c r="U548" i="15"/>
  <c r="U547" i="15"/>
  <c r="U546" i="15"/>
  <c r="U545" i="15"/>
  <c r="U544" i="15"/>
  <c r="U543" i="15"/>
  <c r="U542" i="15"/>
  <c r="U541" i="15"/>
  <c r="U540" i="15"/>
  <c r="U539" i="15"/>
  <c r="U538" i="15"/>
  <c r="U537" i="15"/>
  <c r="U536" i="15"/>
  <c r="U535" i="15"/>
  <c r="U534" i="15"/>
  <c r="U533" i="15"/>
  <c r="U532" i="15"/>
  <c r="U531" i="15"/>
  <c r="U530" i="15"/>
  <c r="U529" i="15"/>
  <c r="U528" i="15"/>
  <c r="U527" i="15"/>
  <c r="U526" i="15"/>
  <c r="U525" i="15"/>
  <c r="U524" i="15"/>
  <c r="U523" i="15"/>
  <c r="U522" i="15"/>
  <c r="U521" i="15"/>
  <c r="U520" i="15"/>
  <c r="U519" i="15"/>
  <c r="U518" i="15"/>
  <c r="U517" i="15"/>
  <c r="U516" i="15"/>
  <c r="U515" i="15"/>
  <c r="U514" i="15"/>
  <c r="U513" i="15"/>
  <c r="U512" i="15"/>
  <c r="U511" i="15"/>
  <c r="U510" i="15"/>
  <c r="U509" i="15"/>
  <c r="U508" i="15"/>
  <c r="U507" i="15"/>
  <c r="U506" i="15"/>
  <c r="U505" i="15"/>
  <c r="U504" i="15"/>
  <c r="U503" i="15"/>
  <c r="U502" i="15"/>
  <c r="U501" i="15"/>
  <c r="U500" i="15"/>
  <c r="U499" i="15"/>
  <c r="U498" i="15"/>
  <c r="U497" i="15"/>
  <c r="U496" i="15"/>
  <c r="U495" i="15"/>
  <c r="U494" i="15"/>
  <c r="U493" i="15"/>
  <c r="U492" i="15"/>
  <c r="U491" i="15"/>
  <c r="U490" i="15"/>
  <c r="U489" i="15"/>
  <c r="U488" i="15"/>
  <c r="U487" i="15"/>
  <c r="U486" i="15"/>
  <c r="U485" i="15"/>
  <c r="U484" i="15"/>
  <c r="U483" i="15"/>
  <c r="U482" i="15"/>
  <c r="U481" i="15"/>
  <c r="U480" i="15"/>
  <c r="U479" i="15"/>
  <c r="U478" i="15"/>
  <c r="U477" i="15"/>
  <c r="U476" i="15"/>
  <c r="U475" i="15"/>
  <c r="U474" i="15"/>
  <c r="U473" i="15"/>
  <c r="U472" i="15"/>
  <c r="U471" i="15"/>
  <c r="U470" i="15"/>
  <c r="U469" i="15"/>
  <c r="U468" i="15"/>
  <c r="U467" i="15"/>
  <c r="U466" i="15"/>
  <c r="U465" i="15"/>
  <c r="U464" i="15"/>
  <c r="U463" i="15"/>
  <c r="U462" i="15"/>
  <c r="U461" i="15"/>
  <c r="U460" i="15"/>
  <c r="U459" i="15"/>
  <c r="U458" i="15"/>
  <c r="U457" i="15"/>
  <c r="U456" i="15"/>
  <c r="U455" i="15"/>
  <c r="U454" i="15"/>
  <c r="U453" i="15"/>
  <c r="U452" i="15"/>
  <c r="U451" i="15"/>
  <c r="U450" i="15"/>
  <c r="U449" i="15"/>
  <c r="U448" i="15"/>
  <c r="U447" i="15"/>
  <c r="U446" i="15"/>
  <c r="U445" i="15"/>
  <c r="U444" i="15"/>
  <c r="U443" i="15"/>
  <c r="U442" i="15"/>
  <c r="U441" i="15"/>
  <c r="U440" i="15"/>
  <c r="U439" i="15"/>
  <c r="U438" i="15"/>
  <c r="U437" i="15"/>
  <c r="U436" i="15"/>
  <c r="U435" i="15"/>
  <c r="U434" i="15"/>
  <c r="U433" i="15"/>
  <c r="U432" i="15"/>
  <c r="U431" i="15"/>
  <c r="U430" i="15"/>
  <c r="U429" i="15"/>
  <c r="U428" i="15"/>
  <c r="U427" i="15"/>
  <c r="U426" i="15"/>
  <c r="U425" i="15"/>
  <c r="U424" i="15"/>
  <c r="U423" i="15"/>
  <c r="U422" i="15"/>
  <c r="U421" i="15"/>
  <c r="U420" i="15"/>
  <c r="U419" i="15"/>
  <c r="U418" i="15"/>
  <c r="U417" i="15"/>
  <c r="U416" i="15"/>
  <c r="U415" i="15"/>
  <c r="U414" i="15"/>
  <c r="U413" i="15"/>
  <c r="U412" i="15"/>
  <c r="U411" i="15"/>
  <c r="U410" i="15"/>
  <c r="U409" i="15"/>
  <c r="U408" i="15"/>
  <c r="U407" i="15"/>
  <c r="U406" i="15"/>
  <c r="U405" i="15"/>
  <c r="U404" i="15"/>
  <c r="U403" i="15"/>
  <c r="U402" i="15"/>
  <c r="U401" i="15"/>
  <c r="U400" i="15"/>
  <c r="U399" i="15"/>
  <c r="U398" i="15"/>
  <c r="U397" i="15"/>
  <c r="U396" i="15"/>
  <c r="U395" i="15"/>
  <c r="U394" i="15"/>
  <c r="U393" i="15"/>
  <c r="U392" i="15"/>
  <c r="U391" i="15"/>
  <c r="U390" i="15"/>
  <c r="U389" i="15"/>
  <c r="U388" i="15"/>
  <c r="U387" i="15"/>
  <c r="U386" i="15"/>
  <c r="U385" i="15"/>
  <c r="U384" i="15"/>
  <c r="U383" i="15"/>
  <c r="U382" i="15"/>
  <c r="U381" i="15"/>
  <c r="U380" i="15"/>
  <c r="U379" i="15"/>
  <c r="U378" i="15"/>
  <c r="U377" i="15"/>
  <c r="U376" i="15"/>
  <c r="U375" i="15"/>
  <c r="U374" i="15"/>
  <c r="U373" i="15"/>
  <c r="U372" i="15"/>
  <c r="U371" i="15"/>
  <c r="U370" i="15"/>
  <c r="U369" i="15"/>
  <c r="U368" i="15"/>
  <c r="U367" i="15"/>
  <c r="U366" i="15"/>
  <c r="U365" i="15"/>
  <c r="U364" i="15"/>
  <c r="U363" i="15"/>
  <c r="U362" i="15"/>
  <c r="U361" i="15"/>
  <c r="U360" i="15"/>
  <c r="U359" i="15"/>
  <c r="U358" i="15"/>
  <c r="U357" i="15"/>
  <c r="U356" i="15"/>
  <c r="U355" i="15"/>
  <c r="U354" i="15"/>
  <c r="U353" i="15"/>
  <c r="U352" i="15"/>
  <c r="U351" i="15"/>
  <c r="U350" i="15"/>
  <c r="U349" i="15"/>
  <c r="U348" i="15"/>
  <c r="U347" i="15"/>
  <c r="U346" i="15"/>
  <c r="U345" i="15"/>
  <c r="U344" i="15"/>
  <c r="U343" i="15"/>
  <c r="U342" i="15"/>
  <c r="U341" i="15"/>
  <c r="U340" i="15"/>
  <c r="U339" i="15"/>
  <c r="U338" i="15"/>
  <c r="U337" i="15"/>
  <c r="U336" i="15"/>
  <c r="U335" i="15"/>
  <c r="U334" i="15"/>
  <c r="U333" i="15"/>
  <c r="U332" i="15"/>
  <c r="U331" i="15"/>
  <c r="U330" i="15"/>
  <c r="U329" i="15"/>
  <c r="U328" i="15"/>
  <c r="U327" i="15"/>
  <c r="U326" i="15"/>
  <c r="U325" i="15"/>
  <c r="U324" i="15"/>
  <c r="U323" i="15"/>
  <c r="U322" i="15"/>
  <c r="U321" i="15"/>
  <c r="U320" i="15"/>
  <c r="U319" i="15"/>
  <c r="U318" i="15"/>
  <c r="U317" i="15"/>
  <c r="U316" i="15"/>
  <c r="U315" i="15"/>
  <c r="U314" i="15"/>
  <c r="U313" i="15"/>
  <c r="U312" i="15"/>
  <c r="U311" i="15"/>
  <c r="U310" i="15"/>
  <c r="U309" i="15"/>
  <c r="U308" i="15"/>
  <c r="U307" i="15"/>
  <c r="U306" i="15"/>
  <c r="U305" i="15"/>
  <c r="U304" i="15"/>
  <c r="U303" i="15"/>
  <c r="U302" i="15"/>
  <c r="U301" i="15"/>
  <c r="U300" i="15"/>
  <c r="U299" i="15"/>
  <c r="U298" i="15"/>
  <c r="U297" i="15"/>
  <c r="U296" i="15"/>
  <c r="U295" i="15"/>
  <c r="U294" i="15"/>
  <c r="U293" i="15"/>
  <c r="U292" i="15"/>
  <c r="U291" i="15"/>
  <c r="U290" i="15"/>
  <c r="U289" i="15"/>
  <c r="U288" i="15"/>
  <c r="U287" i="15"/>
  <c r="U286" i="15"/>
  <c r="U285" i="15"/>
  <c r="U284" i="15"/>
  <c r="U283" i="15"/>
  <c r="U282" i="15"/>
  <c r="U281" i="15"/>
  <c r="U280" i="15"/>
  <c r="U279" i="15"/>
  <c r="U278" i="15"/>
  <c r="U277" i="15"/>
  <c r="U276" i="15"/>
  <c r="U275" i="15"/>
  <c r="U274" i="15"/>
  <c r="U273" i="15"/>
  <c r="U272" i="15"/>
  <c r="U271" i="15"/>
  <c r="U270" i="15"/>
  <c r="U269" i="15"/>
  <c r="U268" i="15"/>
  <c r="U267" i="15"/>
  <c r="U266" i="15"/>
  <c r="U265" i="15"/>
  <c r="U264" i="15"/>
  <c r="U263" i="15"/>
  <c r="U262" i="15"/>
  <c r="U261" i="15"/>
  <c r="U260" i="15"/>
  <c r="U259" i="15"/>
  <c r="U258" i="15"/>
  <c r="U257" i="15"/>
  <c r="U256" i="15"/>
  <c r="U255" i="15"/>
  <c r="U254" i="15"/>
  <c r="U253" i="15"/>
  <c r="U252" i="15"/>
  <c r="U251" i="15"/>
  <c r="U250" i="15"/>
  <c r="U249" i="15"/>
  <c r="U248" i="15"/>
  <c r="U247" i="15"/>
  <c r="U246" i="15"/>
  <c r="U245" i="15"/>
  <c r="U244" i="15"/>
  <c r="U243" i="15"/>
  <c r="U242" i="15"/>
  <c r="U241" i="15"/>
  <c r="U240" i="15"/>
  <c r="U239" i="15"/>
  <c r="U238" i="15"/>
  <c r="U237" i="15"/>
  <c r="U236" i="15"/>
  <c r="U235" i="15"/>
  <c r="U234" i="15"/>
  <c r="U233" i="15"/>
  <c r="U232" i="15"/>
  <c r="U231" i="15"/>
  <c r="U230" i="15"/>
  <c r="U229" i="15"/>
  <c r="U228" i="15"/>
  <c r="U227" i="15"/>
  <c r="U226" i="15"/>
  <c r="U225" i="15"/>
  <c r="U224" i="15"/>
  <c r="U223" i="15"/>
  <c r="U222" i="15"/>
  <c r="U221" i="15"/>
  <c r="U220" i="15"/>
  <c r="U219" i="15"/>
  <c r="U218" i="15"/>
  <c r="U217" i="15"/>
  <c r="U216" i="15"/>
  <c r="U215" i="15"/>
  <c r="U214" i="15"/>
  <c r="U213" i="15"/>
  <c r="U212" i="15"/>
  <c r="U211" i="15"/>
  <c r="U210" i="15"/>
  <c r="U209" i="15"/>
  <c r="U208" i="15"/>
  <c r="U207" i="15"/>
  <c r="U206" i="15"/>
  <c r="U205" i="15"/>
  <c r="U204" i="15"/>
  <c r="U203" i="15"/>
  <c r="U202" i="15"/>
  <c r="U201" i="15"/>
  <c r="U200" i="15"/>
  <c r="U199" i="15"/>
  <c r="U198" i="15"/>
  <c r="U197" i="15"/>
  <c r="U196" i="15"/>
  <c r="U195" i="15"/>
  <c r="U194" i="15"/>
  <c r="U193" i="15"/>
  <c r="U192" i="15"/>
  <c r="U191" i="15"/>
  <c r="U190" i="15"/>
  <c r="U189" i="15"/>
  <c r="U188" i="15"/>
  <c r="U187" i="15"/>
  <c r="U186" i="15"/>
  <c r="U185" i="15"/>
  <c r="U184" i="15"/>
  <c r="U183" i="15"/>
  <c r="U182" i="15"/>
  <c r="U181" i="15"/>
  <c r="U180" i="15"/>
  <c r="U179" i="15"/>
  <c r="U178" i="15"/>
  <c r="U177" i="15"/>
  <c r="U176" i="15"/>
  <c r="U175" i="15"/>
  <c r="U174" i="15"/>
  <c r="U173" i="15"/>
  <c r="U172" i="15"/>
  <c r="U171" i="15"/>
  <c r="U170" i="15"/>
  <c r="U169" i="15"/>
  <c r="U168" i="15"/>
  <c r="U167" i="15"/>
  <c r="U166" i="15"/>
  <c r="U165" i="15"/>
  <c r="U164" i="15"/>
  <c r="U163" i="15"/>
  <c r="U162" i="15"/>
  <c r="U161" i="15"/>
  <c r="U160" i="15"/>
  <c r="U159" i="15"/>
  <c r="U158" i="15"/>
  <c r="U157" i="15"/>
  <c r="U156" i="15"/>
  <c r="U155" i="15"/>
  <c r="U154" i="15"/>
  <c r="U153" i="15"/>
  <c r="U152" i="15"/>
  <c r="U151" i="15"/>
  <c r="U150" i="15"/>
  <c r="U149" i="15"/>
  <c r="U148" i="15"/>
  <c r="U147" i="15"/>
  <c r="U146" i="15"/>
  <c r="U145" i="15"/>
  <c r="U144" i="15"/>
  <c r="U143" i="15"/>
  <c r="U142" i="15"/>
  <c r="U141" i="15"/>
  <c r="U140" i="15"/>
  <c r="U139" i="15"/>
  <c r="U138" i="15"/>
  <c r="U137" i="15"/>
  <c r="U136" i="15"/>
  <c r="U135" i="15"/>
  <c r="U134" i="15"/>
  <c r="U133" i="15"/>
  <c r="U132" i="15"/>
  <c r="U131" i="15"/>
  <c r="U130" i="15"/>
  <c r="U129" i="15"/>
  <c r="U128" i="15"/>
  <c r="U127" i="15"/>
  <c r="U126" i="15"/>
  <c r="U125" i="15"/>
  <c r="U124" i="15"/>
  <c r="U123" i="15"/>
  <c r="U122" i="15"/>
  <c r="U121" i="15"/>
  <c r="U120" i="15"/>
  <c r="U119" i="15"/>
  <c r="U118" i="15"/>
  <c r="U117" i="15"/>
  <c r="U116" i="15"/>
  <c r="U115" i="15"/>
  <c r="U114" i="15"/>
  <c r="U113" i="15"/>
  <c r="U112" i="15"/>
  <c r="U111" i="15"/>
  <c r="U110" i="15"/>
  <c r="U109" i="15"/>
  <c r="U108" i="15"/>
  <c r="U107" i="15"/>
  <c r="U106" i="15"/>
  <c r="U105" i="15"/>
  <c r="U104" i="15"/>
  <c r="U103" i="15"/>
  <c r="U102" i="15"/>
  <c r="U101" i="15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39" i="15"/>
  <c r="U38" i="15"/>
  <c r="U37" i="15"/>
  <c r="U36" i="15"/>
  <c r="U35" i="15"/>
  <c r="U34" i="15"/>
  <c r="U33" i="15"/>
  <c r="U32" i="15"/>
  <c r="U31" i="15"/>
  <c r="U30" i="15"/>
  <c r="U29" i="15"/>
  <c r="U28" i="15"/>
  <c r="U27" i="15"/>
  <c r="U26" i="15"/>
  <c r="U25" i="15"/>
  <c r="U24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9" i="15"/>
  <c r="U8" i="15"/>
  <c r="U7" i="15"/>
  <c r="U6" i="15"/>
  <c r="U5" i="15"/>
  <c r="U4" i="15"/>
  <c r="U3" i="15"/>
  <c r="AB725" i="15" l="1"/>
  <c r="N718" i="15" l="1"/>
  <c r="M718" i="15"/>
  <c r="N717" i="15"/>
  <c r="M717" i="15"/>
  <c r="N716" i="15"/>
  <c r="M716" i="15"/>
  <c r="N715" i="15"/>
  <c r="M715" i="15"/>
  <c r="N714" i="15"/>
  <c r="M714" i="15"/>
  <c r="N713" i="15"/>
  <c r="M713" i="15"/>
  <c r="N712" i="15"/>
  <c r="M712" i="15"/>
  <c r="N711" i="15"/>
  <c r="M711" i="15"/>
  <c r="N710" i="15"/>
  <c r="M710" i="15"/>
  <c r="N709" i="15"/>
  <c r="M709" i="15"/>
  <c r="N708" i="15"/>
  <c r="M708" i="15"/>
  <c r="N707" i="15"/>
  <c r="M707" i="15"/>
  <c r="N706" i="15"/>
  <c r="M706" i="15"/>
  <c r="N705" i="15"/>
  <c r="M705" i="15"/>
  <c r="N704" i="15"/>
  <c r="M704" i="15"/>
  <c r="N703" i="15"/>
  <c r="M703" i="15"/>
  <c r="N702" i="15"/>
  <c r="M702" i="15"/>
  <c r="N701" i="15"/>
  <c r="M701" i="15"/>
  <c r="N700" i="15"/>
  <c r="M700" i="15"/>
  <c r="N699" i="15"/>
  <c r="M699" i="15"/>
  <c r="N698" i="15"/>
  <c r="M698" i="15"/>
  <c r="N697" i="15"/>
  <c r="M697" i="15"/>
  <c r="N696" i="15"/>
  <c r="M696" i="15"/>
  <c r="N695" i="15"/>
  <c r="M695" i="15"/>
  <c r="N694" i="15"/>
  <c r="M694" i="15"/>
  <c r="N693" i="15"/>
  <c r="M693" i="15"/>
  <c r="N692" i="15"/>
  <c r="M692" i="15"/>
  <c r="N691" i="15"/>
  <c r="M691" i="15"/>
  <c r="N690" i="15"/>
  <c r="M690" i="15"/>
  <c r="N689" i="15"/>
  <c r="M689" i="15"/>
  <c r="N688" i="15"/>
  <c r="M688" i="15"/>
  <c r="N687" i="15"/>
  <c r="M687" i="15"/>
  <c r="N686" i="15"/>
  <c r="M686" i="15"/>
  <c r="N685" i="15"/>
  <c r="M685" i="15"/>
  <c r="N684" i="15"/>
  <c r="M684" i="15"/>
  <c r="N683" i="15"/>
  <c r="M683" i="15"/>
  <c r="N682" i="15"/>
  <c r="M682" i="15"/>
  <c r="N681" i="15"/>
  <c r="M681" i="15"/>
  <c r="N680" i="15"/>
  <c r="M680" i="15"/>
  <c r="N679" i="15"/>
  <c r="M679" i="15"/>
  <c r="N678" i="15"/>
  <c r="M678" i="15"/>
  <c r="N677" i="15"/>
  <c r="M677" i="15"/>
  <c r="N676" i="15"/>
  <c r="M676" i="15"/>
  <c r="N675" i="15"/>
  <c r="M675" i="15"/>
  <c r="N674" i="15"/>
  <c r="M674" i="15"/>
  <c r="N673" i="15"/>
  <c r="M673" i="15"/>
  <c r="N672" i="15"/>
  <c r="M672" i="15"/>
  <c r="N671" i="15"/>
  <c r="M671" i="15"/>
  <c r="N670" i="15"/>
  <c r="M670" i="15"/>
  <c r="N669" i="15"/>
  <c r="M669" i="15"/>
  <c r="N668" i="15"/>
  <c r="M668" i="15"/>
  <c r="N667" i="15"/>
  <c r="M667" i="15"/>
  <c r="N666" i="15"/>
  <c r="M666" i="15"/>
  <c r="N665" i="15"/>
  <c r="M665" i="15"/>
  <c r="N664" i="15"/>
  <c r="M664" i="15"/>
  <c r="N663" i="15"/>
  <c r="M663" i="15"/>
  <c r="N662" i="15"/>
  <c r="M662" i="15"/>
  <c r="N661" i="15"/>
  <c r="M661" i="15"/>
  <c r="N660" i="15"/>
  <c r="M660" i="15"/>
  <c r="N659" i="15"/>
  <c r="M659" i="15"/>
  <c r="N658" i="15"/>
  <c r="M658" i="15"/>
  <c r="N657" i="15"/>
  <c r="M657" i="15"/>
  <c r="N656" i="15"/>
  <c r="M656" i="15"/>
  <c r="N655" i="15"/>
  <c r="M655" i="15"/>
  <c r="N654" i="15"/>
  <c r="M654" i="15"/>
  <c r="N653" i="15"/>
  <c r="M653" i="15"/>
  <c r="N652" i="15"/>
  <c r="M652" i="15"/>
  <c r="A787" i="7" l="1"/>
  <c r="P787" i="7"/>
  <c r="Q787" i="7"/>
  <c r="R787" i="7"/>
  <c r="S787" i="7"/>
  <c r="T787" i="7"/>
  <c r="U787" i="7"/>
  <c r="X787" i="7"/>
  <c r="Y787" i="7"/>
  <c r="Z787" i="7"/>
  <c r="N651" i="15"/>
  <c r="M651" i="15"/>
  <c r="N650" i="15"/>
  <c r="M650" i="15"/>
  <c r="N649" i="15"/>
  <c r="M649" i="15"/>
  <c r="N648" i="15"/>
  <c r="M648" i="15"/>
  <c r="N647" i="15"/>
  <c r="M647" i="15"/>
  <c r="N646" i="15"/>
  <c r="M646" i="15"/>
  <c r="N645" i="15"/>
  <c r="M645" i="15"/>
  <c r="N644" i="15"/>
  <c r="M644" i="15"/>
  <c r="N643" i="15"/>
  <c r="M643" i="15"/>
  <c r="N642" i="15"/>
  <c r="M642" i="15"/>
  <c r="N641" i="15"/>
  <c r="M641" i="15"/>
  <c r="N640" i="15"/>
  <c r="M640" i="15"/>
  <c r="N639" i="15"/>
  <c r="M639" i="15"/>
  <c r="N638" i="15"/>
  <c r="M638" i="15"/>
  <c r="N637" i="15"/>
  <c r="M637" i="15"/>
  <c r="N636" i="15"/>
  <c r="M636" i="15"/>
  <c r="N635" i="15"/>
  <c r="M635" i="15"/>
  <c r="N634" i="15"/>
  <c r="M634" i="15"/>
  <c r="N633" i="15"/>
  <c r="M633" i="15"/>
  <c r="N632" i="15"/>
  <c r="M632" i="15"/>
  <c r="N631" i="15"/>
  <c r="M631" i="15"/>
  <c r="N630" i="15"/>
  <c r="M630" i="15"/>
  <c r="N629" i="15"/>
  <c r="M629" i="15"/>
  <c r="N628" i="15"/>
  <c r="M628" i="15"/>
  <c r="N627" i="15"/>
  <c r="M627" i="15"/>
  <c r="N626" i="15"/>
  <c r="M626" i="15"/>
  <c r="N625" i="15"/>
  <c r="M625" i="15"/>
  <c r="N624" i="15"/>
  <c r="M624" i="15"/>
  <c r="N623" i="15"/>
  <c r="M623" i="15"/>
  <c r="N622" i="15"/>
  <c r="M622" i="15"/>
  <c r="N621" i="15"/>
  <c r="M621" i="15"/>
  <c r="N620" i="15"/>
  <c r="M620" i="15"/>
  <c r="N619" i="15"/>
  <c r="M619" i="15"/>
  <c r="N618" i="15"/>
  <c r="M618" i="15"/>
  <c r="N617" i="15"/>
  <c r="M617" i="15"/>
  <c r="N616" i="15"/>
  <c r="M616" i="15"/>
  <c r="N615" i="15"/>
  <c r="M615" i="15"/>
  <c r="N614" i="15"/>
  <c r="M614" i="15"/>
  <c r="N613" i="15"/>
  <c r="M613" i="15"/>
  <c r="N612" i="15"/>
  <c r="M612" i="15"/>
  <c r="N611" i="15"/>
  <c r="M611" i="15"/>
  <c r="N610" i="15"/>
  <c r="M610" i="15"/>
  <c r="N609" i="15"/>
  <c r="M609" i="15"/>
  <c r="N608" i="15"/>
  <c r="M608" i="15"/>
  <c r="N607" i="15"/>
  <c r="M607" i="15"/>
  <c r="N606" i="15"/>
  <c r="M606" i="15"/>
  <c r="N605" i="15"/>
  <c r="M605" i="15"/>
  <c r="N604" i="15"/>
  <c r="M604" i="15"/>
  <c r="N603" i="15"/>
  <c r="M603" i="15"/>
  <c r="N602" i="15"/>
  <c r="M602" i="15"/>
  <c r="N601" i="15"/>
  <c r="M601" i="15"/>
  <c r="N600" i="15"/>
  <c r="M600" i="15"/>
  <c r="N599" i="15"/>
  <c r="M599" i="15"/>
  <c r="N598" i="15"/>
  <c r="M598" i="15"/>
  <c r="N597" i="15"/>
  <c r="M597" i="15"/>
  <c r="N596" i="15"/>
  <c r="M596" i="15"/>
  <c r="N595" i="15"/>
  <c r="M595" i="15"/>
  <c r="N594" i="15"/>
  <c r="M594" i="15"/>
  <c r="N593" i="15"/>
  <c r="M593" i="15"/>
  <c r="N592" i="15"/>
  <c r="M592" i="15"/>
  <c r="N591" i="15"/>
  <c r="M591" i="15"/>
  <c r="N590" i="15"/>
  <c r="M590" i="15"/>
  <c r="N589" i="15"/>
  <c r="M589" i="15"/>
  <c r="N588" i="15"/>
  <c r="M588" i="15"/>
  <c r="AA651" i="15"/>
  <c r="Z651" i="15"/>
  <c r="Y651" i="15"/>
  <c r="X651" i="15"/>
  <c r="W651" i="15"/>
  <c r="AA650" i="15"/>
  <c r="Z650" i="15"/>
  <c r="Y650" i="15"/>
  <c r="X650" i="15"/>
  <c r="W650" i="15"/>
  <c r="AA649" i="15"/>
  <c r="Z649" i="15"/>
  <c r="Y649" i="15"/>
  <c r="X649" i="15"/>
  <c r="W649" i="15"/>
  <c r="AA648" i="15"/>
  <c r="Z648" i="15"/>
  <c r="Y648" i="15"/>
  <c r="X648" i="15"/>
  <c r="W648" i="15"/>
  <c r="AA647" i="15"/>
  <c r="Z647" i="15"/>
  <c r="Y647" i="15"/>
  <c r="X647" i="15"/>
  <c r="W647" i="15"/>
  <c r="AA646" i="15"/>
  <c r="Z646" i="15"/>
  <c r="Y646" i="15"/>
  <c r="X646" i="15"/>
  <c r="W646" i="15"/>
  <c r="AA645" i="15"/>
  <c r="Z645" i="15"/>
  <c r="Y645" i="15"/>
  <c r="X645" i="15"/>
  <c r="W645" i="15"/>
  <c r="AA644" i="15"/>
  <c r="Z644" i="15"/>
  <c r="Y644" i="15"/>
  <c r="X644" i="15"/>
  <c r="W644" i="15"/>
  <c r="AA643" i="15"/>
  <c r="Z643" i="15"/>
  <c r="Y643" i="15"/>
  <c r="X643" i="15"/>
  <c r="W643" i="15"/>
  <c r="AA642" i="15"/>
  <c r="Z642" i="15"/>
  <c r="Y642" i="15"/>
  <c r="X642" i="15"/>
  <c r="W642" i="15"/>
  <c r="AA641" i="15"/>
  <c r="Z641" i="15"/>
  <c r="Y641" i="15"/>
  <c r="X641" i="15"/>
  <c r="W641" i="15"/>
  <c r="AA640" i="15"/>
  <c r="Z640" i="15"/>
  <c r="Y640" i="15"/>
  <c r="X640" i="15"/>
  <c r="W640" i="15"/>
  <c r="AA639" i="15"/>
  <c r="Z639" i="15"/>
  <c r="Y639" i="15"/>
  <c r="X639" i="15"/>
  <c r="W639" i="15"/>
  <c r="AA638" i="15"/>
  <c r="Z638" i="15"/>
  <c r="Y638" i="15"/>
  <c r="X638" i="15"/>
  <c r="W638" i="15"/>
  <c r="AA637" i="15"/>
  <c r="Z637" i="15"/>
  <c r="Y637" i="15"/>
  <c r="X637" i="15"/>
  <c r="W637" i="15"/>
  <c r="AA636" i="15"/>
  <c r="Z636" i="15"/>
  <c r="Y636" i="15"/>
  <c r="X636" i="15"/>
  <c r="W636" i="15"/>
  <c r="AA635" i="15"/>
  <c r="Z635" i="15"/>
  <c r="Y635" i="15"/>
  <c r="X635" i="15"/>
  <c r="W635" i="15"/>
  <c r="AA634" i="15"/>
  <c r="Z634" i="15"/>
  <c r="Y634" i="15"/>
  <c r="X634" i="15"/>
  <c r="W634" i="15"/>
  <c r="AA633" i="15"/>
  <c r="Z633" i="15"/>
  <c r="Y633" i="15"/>
  <c r="X633" i="15"/>
  <c r="W633" i="15"/>
  <c r="AA632" i="15"/>
  <c r="Z632" i="15"/>
  <c r="Y632" i="15"/>
  <c r="X632" i="15"/>
  <c r="W632" i="15"/>
  <c r="AA631" i="15"/>
  <c r="Z631" i="15"/>
  <c r="Y631" i="15"/>
  <c r="X631" i="15"/>
  <c r="W631" i="15"/>
  <c r="AA630" i="15"/>
  <c r="Z630" i="15"/>
  <c r="Y630" i="15"/>
  <c r="X630" i="15"/>
  <c r="W630" i="15"/>
  <c r="AA629" i="15"/>
  <c r="Z629" i="15"/>
  <c r="Y629" i="15"/>
  <c r="X629" i="15"/>
  <c r="W629" i="15"/>
  <c r="AA628" i="15"/>
  <c r="Z628" i="15"/>
  <c r="Y628" i="15"/>
  <c r="X628" i="15"/>
  <c r="W628" i="15"/>
  <c r="AA627" i="15"/>
  <c r="Z627" i="15"/>
  <c r="Y627" i="15"/>
  <c r="X627" i="15"/>
  <c r="W627" i="15"/>
  <c r="AA626" i="15"/>
  <c r="Z626" i="15"/>
  <c r="Y626" i="15"/>
  <c r="X626" i="15"/>
  <c r="W626" i="15"/>
  <c r="AA625" i="15"/>
  <c r="Z625" i="15"/>
  <c r="Y625" i="15"/>
  <c r="X625" i="15"/>
  <c r="W625" i="15"/>
  <c r="AA624" i="15"/>
  <c r="Z624" i="15"/>
  <c r="Y624" i="15"/>
  <c r="X624" i="15"/>
  <c r="W624" i="15"/>
  <c r="AA623" i="15"/>
  <c r="Z623" i="15"/>
  <c r="Y623" i="15"/>
  <c r="X623" i="15"/>
  <c r="W623" i="15"/>
  <c r="AA622" i="15"/>
  <c r="Z622" i="15"/>
  <c r="Y622" i="15"/>
  <c r="X622" i="15"/>
  <c r="W622" i="15"/>
  <c r="AA621" i="15"/>
  <c r="Z621" i="15"/>
  <c r="Y621" i="15"/>
  <c r="X621" i="15"/>
  <c r="W621" i="15"/>
  <c r="AA620" i="15"/>
  <c r="Z620" i="15"/>
  <c r="Y620" i="15"/>
  <c r="X620" i="15"/>
  <c r="W620" i="15"/>
  <c r="AA619" i="15"/>
  <c r="Z619" i="15"/>
  <c r="Y619" i="15"/>
  <c r="X619" i="15"/>
  <c r="W619" i="15"/>
  <c r="AA618" i="15"/>
  <c r="Z618" i="15"/>
  <c r="Y618" i="15"/>
  <c r="X618" i="15"/>
  <c r="W618" i="15"/>
  <c r="AA617" i="15"/>
  <c r="Z617" i="15"/>
  <c r="Y617" i="15"/>
  <c r="X617" i="15"/>
  <c r="W617" i="15"/>
  <c r="AA616" i="15"/>
  <c r="Z616" i="15"/>
  <c r="Y616" i="15"/>
  <c r="X616" i="15"/>
  <c r="W616" i="15"/>
  <c r="AA615" i="15"/>
  <c r="Z615" i="15"/>
  <c r="Y615" i="15"/>
  <c r="X615" i="15"/>
  <c r="W615" i="15"/>
  <c r="AA614" i="15"/>
  <c r="Z614" i="15"/>
  <c r="Y614" i="15"/>
  <c r="X614" i="15"/>
  <c r="W614" i="15"/>
  <c r="AA613" i="15"/>
  <c r="Z613" i="15"/>
  <c r="Y613" i="15"/>
  <c r="X613" i="15"/>
  <c r="W613" i="15"/>
  <c r="AA612" i="15"/>
  <c r="Z612" i="15"/>
  <c r="Y612" i="15"/>
  <c r="X612" i="15"/>
  <c r="W612" i="15"/>
  <c r="AA611" i="15"/>
  <c r="Z611" i="15"/>
  <c r="Y611" i="15"/>
  <c r="X611" i="15"/>
  <c r="W611" i="15"/>
  <c r="AA610" i="15"/>
  <c r="Z610" i="15"/>
  <c r="Y610" i="15"/>
  <c r="X610" i="15"/>
  <c r="W610" i="15"/>
  <c r="AA609" i="15"/>
  <c r="Z609" i="15"/>
  <c r="Y609" i="15"/>
  <c r="X609" i="15"/>
  <c r="W609" i="15"/>
  <c r="AA608" i="15"/>
  <c r="Z608" i="15"/>
  <c r="Y608" i="15"/>
  <c r="X608" i="15"/>
  <c r="W608" i="15"/>
  <c r="AA607" i="15"/>
  <c r="Z607" i="15"/>
  <c r="Y607" i="15"/>
  <c r="X607" i="15"/>
  <c r="W607" i="15"/>
  <c r="AA606" i="15"/>
  <c r="Z606" i="15"/>
  <c r="Y606" i="15"/>
  <c r="X606" i="15"/>
  <c r="W606" i="15"/>
  <c r="AA605" i="15"/>
  <c r="Z605" i="15"/>
  <c r="Y605" i="15"/>
  <c r="X605" i="15"/>
  <c r="W605" i="15"/>
  <c r="AA604" i="15"/>
  <c r="Z604" i="15"/>
  <c r="Y604" i="15"/>
  <c r="X604" i="15"/>
  <c r="W604" i="15"/>
  <c r="AA603" i="15"/>
  <c r="Z603" i="15"/>
  <c r="Y603" i="15"/>
  <c r="X603" i="15"/>
  <c r="W603" i="15"/>
  <c r="AA602" i="15"/>
  <c r="Z602" i="15"/>
  <c r="Y602" i="15"/>
  <c r="X602" i="15"/>
  <c r="W602" i="15"/>
  <c r="AA601" i="15"/>
  <c r="Z601" i="15"/>
  <c r="Y601" i="15"/>
  <c r="X601" i="15"/>
  <c r="W601" i="15"/>
  <c r="AA600" i="15"/>
  <c r="Z600" i="15"/>
  <c r="Y600" i="15"/>
  <c r="X600" i="15"/>
  <c r="W600" i="15"/>
  <c r="AA599" i="15"/>
  <c r="Z599" i="15"/>
  <c r="Y599" i="15"/>
  <c r="X599" i="15"/>
  <c r="W599" i="15"/>
  <c r="AA598" i="15"/>
  <c r="Z598" i="15"/>
  <c r="Y598" i="15"/>
  <c r="X598" i="15"/>
  <c r="W598" i="15"/>
  <c r="AA597" i="15"/>
  <c r="Z597" i="15"/>
  <c r="Y597" i="15"/>
  <c r="X597" i="15"/>
  <c r="W597" i="15"/>
  <c r="AA596" i="15"/>
  <c r="Z596" i="15"/>
  <c r="Y596" i="15"/>
  <c r="X596" i="15"/>
  <c r="W596" i="15"/>
  <c r="AA595" i="15"/>
  <c r="Z595" i="15"/>
  <c r="Y595" i="15"/>
  <c r="X595" i="15"/>
  <c r="W595" i="15"/>
  <c r="AA594" i="15"/>
  <c r="Z594" i="15"/>
  <c r="Y594" i="15"/>
  <c r="X594" i="15"/>
  <c r="W594" i="15"/>
  <c r="AA593" i="15"/>
  <c r="Z593" i="15"/>
  <c r="Y593" i="15"/>
  <c r="X593" i="15"/>
  <c r="W593" i="15"/>
  <c r="AA592" i="15"/>
  <c r="Z592" i="15"/>
  <c r="Y592" i="15"/>
  <c r="X592" i="15"/>
  <c r="W592" i="15"/>
  <c r="AA591" i="15"/>
  <c r="Z591" i="15"/>
  <c r="Y591" i="15"/>
  <c r="X591" i="15"/>
  <c r="W591" i="15"/>
  <c r="AA590" i="15"/>
  <c r="Z590" i="15"/>
  <c r="Y590" i="15"/>
  <c r="X590" i="15"/>
  <c r="W590" i="15"/>
  <c r="AA589" i="15"/>
  <c r="Z589" i="15"/>
  <c r="Y589" i="15"/>
  <c r="X589" i="15"/>
  <c r="W589" i="15"/>
  <c r="AA588" i="15"/>
  <c r="Z588" i="15"/>
  <c r="Y588" i="15"/>
  <c r="X588" i="15"/>
  <c r="W588" i="15"/>
  <c r="AA587" i="15"/>
  <c r="Z587" i="15"/>
  <c r="Y587" i="15"/>
  <c r="X587" i="15"/>
  <c r="W587" i="15"/>
  <c r="N587" i="15"/>
  <c r="M587" i="15"/>
  <c r="AD107" i="7"/>
  <c r="W788" i="7" l="1"/>
  <c r="AF615" i="7"/>
  <c r="AE615" i="7"/>
  <c r="AD615" i="7"/>
  <c r="AC615" i="7"/>
  <c r="AB615" i="7"/>
  <c r="AI615" i="7"/>
  <c r="AG615" i="7"/>
  <c r="AG614" i="7"/>
  <c r="AG613" i="7"/>
  <c r="AG612" i="7"/>
  <c r="AG611" i="7"/>
  <c r="AG610" i="7"/>
  <c r="AG609" i="7"/>
  <c r="AG608" i="7"/>
  <c r="AG607" i="7"/>
  <c r="AG606" i="7"/>
  <c r="AG605" i="7"/>
  <c r="AG604" i="7"/>
  <c r="AB614" i="7"/>
  <c r="AC614" i="7"/>
  <c r="AD614" i="7"/>
  <c r="AE614" i="7"/>
  <c r="AF614" i="7"/>
  <c r="AI614" i="7"/>
  <c r="AB613" i="7"/>
  <c r="AC613" i="7"/>
  <c r="AD613" i="7"/>
  <c r="AE613" i="7"/>
  <c r="AF613" i="7"/>
  <c r="AI613" i="7"/>
  <c r="AB612" i="7"/>
  <c r="AC612" i="7"/>
  <c r="AD612" i="7"/>
  <c r="AE612" i="7"/>
  <c r="AF612" i="7"/>
  <c r="AI612" i="7"/>
  <c r="AB611" i="7"/>
  <c r="AC611" i="7"/>
  <c r="AD611" i="7"/>
  <c r="AE611" i="7"/>
  <c r="AF611" i="7"/>
  <c r="AI611" i="7"/>
  <c r="AB610" i="7"/>
  <c r="AC610" i="7"/>
  <c r="AD610" i="7"/>
  <c r="AE610" i="7"/>
  <c r="AF610" i="7"/>
  <c r="AI610" i="7"/>
  <c r="AB609" i="7"/>
  <c r="AC609" i="7"/>
  <c r="AD609" i="7"/>
  <c r="AE609" i="7"/>
  <c r="AF609" i="7"/>
  <c r="AI609" i="7"/>
  <c r="AB608" i="7"/>
  <c r="AC608" i="7"/>
  <c r="AD608" i="7"/>
  <c r="AE608" i="7"/>
  <c r="AF608" i="7"/>
  <c r="AI608" i="7"/>
  <c r="AB607" i="7"/>
  <c r="AC607" i="7"/>
  <c r="AD607" i="7"/>
  <c r="AE607" i="7"/>
  <c r="AF607" i="7"/>
  <c r="AI607" i="7"/>
  <c r="AB606" i="7"/>
  <c r="AC606" i="7"/>
  <c r="AD606" i="7"/>
  <c r="AE606" i="7"/>
  <c r="AF606" i="7"/>
  <c r="AI606" i="7"/>
  <c r="AB605" i="7"/>
  <c r="AC605" i="7"/>
  <c r="AD605" i="7"/>
  <c r="AE605" i="7"/>
  <c r="AF605" i="7"/>
  <c r="AI605" i="7"/>
  <c r="AB604" i="7"/>
  <c r="AC604" i="7"/>
  <c r="AD604" i="7"/>
  <c r="AE604" i="7"/>
  <c r="AF604" i="7"/>
  <c r="AI604" i="7"/>
  <c r="AB792" i="7" l="1"/>
  <c r="AK594" i="7"/>
  <c r="AK787" i="7" s="1"/>
  <c r="AK788" i="7" s="1"/>
  <c r="AI603" i="7"/>
  <c r="AI602" i="7"/>
  <c r="AI601" i="7"/>
  <c r="AI600" i="7"/>
  <c r="AI599" i="7"/>
  <c r="AI598" i="7"/>
  <c r="AI597" i="7"/>
  <c r="AI596" i="7"/>
  <c r="AI595" i="7"/>
  <c r="AI594" i="7"/>
  <c r="AI593" i="7"/>
  <c r="AI592" i="7"/>
  <c r="AI591" i="7"/>
  <c r="AI590" i="7"/>
  <c r="AI589" i="7"/>
  <c r="AI588" i="7"/>
  <c r="AI587" i="7"/>
  <c r="AI586" i="7"/>
  <c r="AI585" i="7"/>
  <c r="AI584" i="7"/>
  <c r="AI583" i="7"/>
  <c r="AI582" i="7"/>
  <c r="AI581" i="7"/>
  <c r="AI580" i="7"/>
  <c r="AI579" i="7"/>
  <c r="AI578" i="7"/>
  <c r="AI577" i="7"/>
  <c r="AI576" i="7"/>
  <c r="AI575" i="7"/>
  <c r="AI574" i="7"/>
  <c r="AI573" i="7"/>
  <c r="AI572" i="7"/>
  <c r="AI571" i="7"/>
  <c r="AI570" i="7"/>
  <c r="AI569" i="7"/>
  <c r="AI568" i="7"/>
  <c r="AI567" i="7"/>
  <c r="AI566" i="7"/>
  <c r="AI565" i="7"/>
  <c r="AI564" i="7"/>
  <c r="AI563" i="7"/>
  <c r="AI562" i="7"/>
  <c r="AI561" i="7"/>
  <c r="AI560" i="7"/>
  <c r="AI559" i="7"/>
  <c r="AI558" i="7"/>
  <c r="AI557" i="7"/>
  <c r="AI556" i="7"/>
  <c r="AI555" i="7"/>
  <c r="AI554" i="7"/>
  <c r="AI553" i="7"/>
  <c r="AI552" i="7"/>
  <c r="AI551" i="7"/>
  <c r="AI550" i="7"/>
  <c r="AI549" i="7"/>
  <c r="AI548" i="7"/>
  <c r="AI547" i="7"/>
  <c r="AI546" i="7"/>
  <c r="AI545" i="7"/>
  <c r="AI544" i="7"/>
  <c r="AI543" i="7"/>
  <c r="AI542" i="7"/>
  <c r="AI541" i="7"/>
  <c r="AI540" i="7"/>
  <c r="AI539" i="7"/>
  <c r="AI538" i="7"/>
  <c r="AI537" i="7"/>
  <c r="AI536" i="7"/>
  <c r="AI535" i="7"/>
  <c r="AI534" i="7"/>
  <c r="AI533" i="7"/>
  <c r="AI532" i="7"/>
  <c r="AI531" i="7"/>
  <c r="AI530" i="7"/>
  <c r="AI529" i="7"/>
  <c r="AI528" i="7"/>
  <c r="AI527" i="7"/>
  <c r="AI526" i="7"/>
  <c r="AI525" i="7"/>
  <c r="AI524" i="7"/>
  <c r="AI523" i="7"/>
  <c r="AI522" i="7"/>
  <c r="AI521" i="7"/>
  <c r="AI520" i="7"/>
  <c r="AI519" i="7"/>
  <c r="AI518" i="7"/>
  <c r="AI517" i="7"/>
  <c r="AI516" i="7"/>
  <c r="AI515" i="7"/>
  <c r="AI514" i="7"/>
  <c r="AI513" i="7"/>
  <c r="AI512" i="7"/>
  <c r="AI511" i="7"/>
  <c r="AI510" i="7"/>
  <c r="AI509" i="7"/>
  <c r="AI508" i="7"/>
  <c r="AI507" i="7"/>
  <c r="AI506" i="7"/>
  <c r="AI505" i="7"/>
  <c r="AI504" i="7"/>
  <c r="AI503" i="7"/>
  <c r="AI502" i="7"/>
  <c r="AI501" i="7"/>
  <c r="AI500" i="7"/>
  <c r="AI499" i="7"/>
  <c r="AI498" i="7"/>
  <c r="AI497" i="7"/>
  <c r="AI496" i="7"/>
  <c r="AI495" i="7"/>
  <c r="AI494" i="7"/>
  <c r="AI493" i="7"/>
  <c r="AI492" i="7"/>
  <c r="AI491" i="7"/>
  <c r="AI490" i="7"/>
  <c r="AI489" i="7"/>
  <c r="AI488" i="7"/>
  <c r="AI487" i="7"/>
  <c r="AI486" i="7"/>
  <c r="AI485" i="7"/>
  <c r="AI484" i="7"/>
  <c r="AI483" i="7"/>
  <c r="AI482" i="7"/>
  <c r="AI481" i="7"/>
  <c r="AI480" i="7"/>
  <c r="AI479" i="7"/>
  <c r="AI478" i="7"/>
  <c r="AI477" i="7"/>
  <c r="AI476" i="7"/>
  <c r="AI475" i="7"/>
  <c r="AI474" i="7"/>
  <c r="AI473" i="7"/>
  <c r="AI472" i="7"/>
  <c r="AI471" i="7"/>
  <c r="AI470" i="7"/>
  <c r="AI469" i="7"/>
  <c r="AI468" i="7"/>
  <c r="AI467" i="7"/>
  <c r="AI466" i="7"/>
  <c r="AI465" i="7"/>
  <c r="AI464" i="7"/>
  <c r="AI463" i="7"/>
  <c r="AI462" i="7"/>
  <c r="AI461" i="7"/>
  <c r="AI460" i="7"/>
  <c r="AI459" i="7"/>
  <c r="AI458" i="7"/>
  <c r="AI457" i="7"/>
  <c r="AI456" i="7"/>
  <c r="AI455" i="7"/>
  <c r="AI454" i="7"/>
  <c r="AI453" i="7"/>
  <c r="AI452" i="7"/>
  <c r="AI451" i="7"/>
  <c r="AI450" i="7"/>
  <c r="AI449" i="7"/>
  <c r="AI448" i="7"/>
  <c r="AI447" i="7"/>
  <c r="AI446" i="7"/>
  <c r="AI445" i="7"/>
  <c r="AI444" i="7"/>
  <c r="AI443" i="7"/>
  <c r="AI442" i="7"/>
  <c r="AI441" i="7"/>
  <c r="AI440" i="7"/>
  <c r="AI439" i="7"/>
  <c r="AI438" i="7"/>
  <c r="AI437" i="7"/>
  <c r="AI436" i="7"/>
  <c r="AI435" i="7"/>
  <c r="AI434" i="7"/>
  <c r="AI433" i="7"/>
  <c r="AI432" i="7"/>
  <c r="AI431" i="7"/>
  <c r="AI430" i="7"/>
  <c r="AI429" i="7"/>
  <c r="AI428" i="7"/>
  <c r="AI427" i="7"/>
  <c r="AI426" i="7"/>
  <c r="AI425" i="7"/>
  <c r="AI424" i="7"/>
  <c r="AI423" i="7"/>
  <c r="AI422" i="7"/>
  <c r="AI421" i="7"/>
  <c r="AI420" i="7"/>
  <c r="AI419" i="7"/>
  <c r="AI418" i="7"/>
  <c r="AI417" i="7"/>
  <c r="AI416" i="7"/>
  <c r="AI415" i="7"/>
  <c r="AI414" i="7"/>
  <c r="AI413" i="7"/>
  <c r="AI412" i="7"/>
  <c r="AI411" i="7"/>
  <c r="AI410" i="7"/>
  <c r="AI409" i="7"/>
  <c r="AG603" i="7"/>
  <c r="AF603" i="7"/>
  <c r="AE603" i="7"/>
  <c r="AD603" i="7"/>
  <c r="AC603" i="7"/>
  <c r="AB603" i="7"/>
  <c r="AG602" i="7"/>
  <c r="AF602" i="7"/>
  <c r="AE602" i="7"/>
  <c r="AD602" i="7"/>
  <c r="AC602" i="7"/>
  <c r="AB602" i="7"/>
  <c r="AG601" i="7"/>
  <c r="AF601" i="7"/>
  <c r="AE601" i="7"/>
  <c r="AD601" i="7"/>
  <c r="AC601" i="7"/>
  <c r="AB601" i="7"/>
  <c r="AG600" i="7"/>
  <c r="AF600" i="7"/>
  <c r="AE600" i="7"/>
  <c r="AD600" i="7"/>
  <c r="AC600" i="7"/>
  <c r="AB600" i="7"/>
  <c r="AG599" i="7"/>
  <c r="AF599" i="7"/>
  <c r="AE599" i="7"/>
  <c r="AD599" i="7"/>
  <c r="AC599" i="7"/>
  <c r="AB599" i="7"/>
  <c r="AG598" i="7"/>
  <c r="AF598" i="7"/>
  <c r="AE598" i="7"/>
  <c r="AD598" i="7"/>
  <c r="AC598" i="7"/>
  <c r="AB598" i="7"/>
  <c r="AG597" i="7"/>
  <c r="AF597" i="7"/>
  <c r="AE597" i="7"/>
  <c r="AD597" i="7"/>
  <c r="AC597" i="7"/>
  <c r="AB597" i="7"/>
  <c r="AG596" i="7"/>
  <c r="AF596" i="7"/>
  <c r="AE596" i="7"/>
  <c r="AD596" i="7"/>
  <c r="AC596" i="7"/>
  <c r="AB596" i="7"/>
  <c r="AG595" i="7"/>
  <c r="AF595" i="7"/>
  <c r="AE595" i="7"/>
  <c r="AD595" i="7"/>
  <c r="AC595" i="7"/>
  <c r="AB595" i="7"/>
  <c r="AG594" i="7"/>
  <c r="AF594" i="7"/>
  <c r="AE594" i="7"/>
  <c r="AD594" i="7"/>
  <c r="AC594" i="7"/>
  <c r="AB594" i="7"/>
  <c r="AG593" i="7"/>
  <c r="AF593" i="7"/>
  <c r="AE593" i="7"/>
  <c r="AD593" i="7"/>
  <c r="AC593" i="7"/>
  <c r="AB593" i="7"/>
  <c r="AG592" i="7"/>
  <c r="AF592" i="7"/>
  <c r="AE592" i="7"/>
  <c r="AD592" i="7"/>
  <c r="AC592" i="7"/>
  <c r="AB592" i="7"/>
  <c r="AG591" i="7"/>
  <c r="AF591" i="7"/>
  <c r="AE591" i="7"/>
  <c r="AD591" i="7"/>
  <c r="AC591" i="7"/>
  <c r="AB591" i="7"/>
  <c r="AG590" i="7"/>
  <c r="AF590" i="7"/>
  <c r="AE590" i="7"/>
  <c r="AD590" i="7"/>
  <c r="AC590" i="7"/>
  <c r="AB590" i="7"/>
  <c r="AG589" i="7"/>
  <c r="AF589" i="7"/>
  <c r="AE589" i="7"/>
  <c r="AD589" i="7"/>
  <c r="AC589" i="7"/>
  <c r="AB589" i="7"/>
  <c r="AG588" i="7"/>
  <c r="AF588" i="7"/>
  <c r="AE588" i="7"/>
  <c r="AD588" i="7"/>
  <c r="AC588" i="7"/>
  <c r="AB588" i="7"/>
  <c r="AG587" i="7"/>
  <c r="AF587" i="7"/>
  <c r="AE587" i="7"/>
  <c r="AD587" i="7"/>
  <c r="AC587" i="7"/>
  <c r="AB587" i="7"/>
  <c r="AG586" i="7"/>
  <c r="AF586" i="7"/>
  <c r="AE586" i="7"/>
  <c r="AD586" i="7"/>
  <c r="AC586" i="7"/>
  <c r="AB586" i="7"/>
  <c r="AG585" i="7"/>
  <c r="AF585" i="7"/>
  <c r="AE585" i="7"/>
  <c r="AD585" i="7"/>
  <c r="AC585" i="7"/>
  <c r="AB585" i="7"/>
  <c r="AG584" i="7"/>
  <c r="AF584" i="7"/>
  <c r="AE584" i="7"/>
  <c r="AD584" i="7"/>
  <c r="AC584" i="7"/>
  <c r="AB584" i="7"/>
  <c r="AG583" i="7"/>
  <c r="AF583" i="7"/>
  <c r="AE583" i="7"/>
  <c r="AD583" i="7"/>
  <c r="AC583" i="7"/>
  <c r="AB583" i="7"/>
  <c r="AG582" i="7"/>
  <c r="AF582" i="7"/>
  <c r="AE582" i="7"/>
  <c r="AD582" i="7"/>
  <c r="AC582" i="7"/>
  <c r="AB582" i="7"/>
  <c r="AG581" i="7"/>
  <c r="AF581" i="7"/>
  <c r="AE581" i="7"/>
  <c r="AD581" i="7"/>
  <c r="AC581" i="7"/>
  <c r="AB581" i="7"/>
  <c r="AG580" i="7"/>
  <c r="AF580" i="7"/>
  <c r="AE580" i="7"/>
  <c r="AD580" i="7"/>
  <c r="AC580" i="7"/>
  <c r="AB580" i="7"/>
  <c r="AG579" i="7"/>
  <c r="AF579" i="7"/>
  <c r="AE579" i="7"/>
  <c r="AD579" i="7"/>
  <c r="AC579" i="7"/>
  <c r="AB579" i="7"/>
  <c r="AG578" i="7"/>
  <c r="AF578" i="7"/>
  <c r="AE578" i="7"/>
  <c r="AD578" i="7"/>
  <c r="AC578" i="7"/>
  <c r="AB578" i="7"/>
  <c r="AG577" i="7"/>
  <c r="AF577" i="7"/>
  <c r="AE577" i="7"/>
  <c r="AD577" i="7"/>
  <c r="AC577" i="7"/>
  <c r="AB577" i="7"/>
  <c r="AG576" i="7"/>
  <c r="AF576" i="7"/>
  <c r="AE576" i="7"/>
  <c r="AD576" i="7"/>
  <c r="AC576" i="7"/>
  <c r="AB576" i="7"/>
  <c r="AG575" i="7"/>
  <c r="AF575" i="7"/>
  <c r="AE575" i="7"/>
  <c r="AD575" i="7"/>
  <c r="AC575" i="7"/>
  <c r="AB575" i="7"/>
  <c r="AG574" i="7"/>
  <c r="AF574" i="7"/>
  <c r="AE574" i="7"/>
  <c r="AD574" i="7"/>
  <c r="AC574" i="7"/>
  <c r="AB574" i="7"/>
  <c r="AG573" i="7"/>
  <c r="AF573" i="7"/>
  <c r="AE573" i="7"/>
  <c r="AD573" i="7"/>
  <c r="AC573" i="7"/>
  <c r="AB573" i="7"/>
  <c r="AG572" i="7"/>
  <c r="AF572" i="7"/>
  <c r="AE572" i="7"/>
  <c r="AD572" i="7"/>
  <c r="AC572" i="7"/>
  <c r="AB572" i="7"/>
  <c r="AG571" i="7"/>
  <c r="AF571" i="7"/>
  <c r="AE571" i="7"/>
  <c r="AD571" i="7"/>
  <c r="AC571" i="7"/>
  <c r="AB571" i="7"/>
  <c r="AG570" i="7"/>
  <c r="AF570" i="7"/>
  <c r="AE570" i="7"/>
  <c r="AD570" i="7"/>
  <c r="AC570" i="7"/>
  <c r="AB570" i="7"/>
  <c r="AG569" i="7"/>
  <c r="AF569" i="7"/>
  <c r="AE569" i="7"/>
  <c r="AD569" i="7"/>
  <c r="AC569" i="7"/>
  <c r="AB569" i="7"/>
  <c r="AG568" i="7"/>
  <c r="AF568" i="7"/>
  <c r="AE568" i="7"/>
  <c r="AD568" i="7"/>
  <c r="AC568" i="7"/>
  <c r="AB568" i="7"/>
  <c r="AG567" i="7"/>
  <c r="AF567" i="7"/>
  <c r="AE567" i="7"/>
  <c r="AD567" i="7"/>
  <c r="AC567" i="7"/>
  <c r="AB567" i="7"/>
  <c r="AG566" i="7"/>
  <c r="AF566" i="7"/>
  <c r="AE566" i="7"/>
  <c r="AD566" i="7"/>
  <c r="AC566" i="7"/>
  <c r="AB566" i="7"/>
  <c r="AG565" i="7"/>
  <c r="AF565" i="7"/>
  <c r="AE565" i="7"/>
  <c r="AD565" i="7"/>
  <c r="AC565" i="7"/>
  <c r="AB565" i="7"/>
  <c r="AG564" i="7"/>
  <c r="AF564" i="7"/>
  <c r="AE564" i="7"/>
  <c r="AD564" i="7"/>
  <c r="AC564" i="7"/>
  <c r="AB564" i="7"/>
  <c r="AG563" i="7"/>
  <c r="AF563" i="7"/>
  <c r="AE563" i="7"/>
  <c r="AD563" i="7"/>
  <c r="AC563" i="7"/>
  <c r="AB563" i="7"/>
  <c r="AG562" i="7"/>
  <c r="AF562" i="7"/>
  <c r="AE562" i="7"/>
  <c r="AD562" i="7"/>
  <c r="AC562" i="7"/>
  <c r="AB562" i="7"/>
  <c r="AG561" i="7"/>
  <c r="AF561" i="7"/>
  <c r="AE561" i="7"/>
  <c r="AD561" i="7"/>
  <c r="AC561" i="7"/>
  <c r="AB561" i="7"/>
  <c r="AG560" i="7"/>
  <c r="AF560" i="7"/>
  <c r="AE560" i="7"/>
  <c r="AD560" i="7"/>
  <c r="AC560" i="7"/>
  <c r="AB560" i="7"/>
  <c r="AG559" i="7"/>
  <c r="AF559" i="7"/>
  <c r="AE559" i="7"/>
  <c r="AD559" i="7"/>
  <c r="AC559" i="7"/>
  <c r="AB559" i="7"/>
  <c r="AG558" i="7"/>
  <c r="AF558" i="7"/>
  <c r="AE558" i="7"/>
  <c r="AD558" i="7"/>
  <c r="AC558" i="7"/>
  <c r="AB558" i="7"/>
  <c r="AG557" i="7"/>
  <c r="AF557" i="7"/>
  <c r="AE557" i="7"/>
  <c r="AD557" i="7"/>
  <c r="AC557" i="7"/>
  <c r="AB557" i="7"/>
  <c r="AG556" i="7"/>
  <c r="AF556" i="7"/>
  <c r="AE556" i="7"/>
  <c r="AD556" i="7"/>
  <c r="AC556" i="7"/>
  <c r="AB556" i="7"/>
  <c r="AG555" i="7"/>
  <c r="AF555" i="7"/>
  <c r="AE555" i="7"/>
  <c r="AD555" i="7"/>
  <c r="AC555" i="7"/>
  <c r="AB555" i="7"/>
  <c r="AG554" i="7"/>
  <c r="AF554" i="7"/>
  <c r="AE554" i="7"/>
  <c r="AD554" i="7"/>
  <c r="AC554" i="7"/>
  <c r="AB554" i="7"/>
  <c r="AG553" i="7"/>
  <c r="AF553" i="7"/>
  <c r="AE553" i="7"/>
  <c r="AD553" i="7"/>
  <c r="AC553" i="7"/>
  <c r="AB553" i="7"/>
  <c r="AG552" i="7"/>
  <c r="AF552" i="7"/>
  <c r="AE552" i="7"/>
  <c r="AD552" i="7"/>
  <c r="AC552" i="7"/>
  <c r="AB552" i="7"/>
  <c r="AG551" i="7"/>
  <c r="AF551" i="7"/>
  <c r="AE551" i="7"/>
  <c r="AD551" i="7"/>
  <c r="AC551" i="7"/>
  <c r="AB551" i="7"/>
  <c r="AG550" i="7"/>
  <c r="AF550" i="7"/>
  <c r="AE550" i="7"/>
  <c r="AD550" i="7"/>
  <c r="AC550" i="7"/>
  <c r="AB550" i="7"/>
  <c r="AG549" i="7"/>
  <c r="AF549" i="7"/>
  <c r="AE549" i="7"/>
  <c r="AD549" i="7"/>
  <c r="AC549" i="7"/>
  <c r="AB549" i="7"/>
  <c r="AG548" i="7"/>
  <c r="AF548" i="7"/>
  <c r="AE548" i="7"/>
  <c r="AD548" i="7"/>
  <c r="AC548" i="7"/>
  <c r="AB548" i="7"/>
  <c r="AG547" i="7"/>
  <c r="AF547" i="7"/>
  <c r="AE547" i="7"/>
  <c r="AD547" i="7"/>
  <c r="AC547" i="7"/>
  <c r="AB547" i="7"/>
  <c r="AG546" i="7"/>
  <c r="AF546" i="7"/>
  <c r="AE546" i="7"/>
  <c r="AD546" i="7"/>
  <c r="AC546" i="7"/>
  <c r="AB546" i="7"/>
  <c r="AG545" i="7"/>
  <c r="AF545" i="7"/>
  <c r="AE545" i="7"/>
  <c r="AD545" i="7"/>
  <c r="AC545" i="7"/>
  <c r="AB545" i="7"/>
  <c r="AG544" i="7"/>
  <c r="AF544" i="7"/>
  <c r="AE544" i="7"/>
  <c r="AD544" i="7"/>
  <c r="AC544" i="7"/>
  <c r="AB544" i="7"/>
  <c r="AG543" i="7"/>
  <c r="AF543" i="7"/>
  <c r="AE543" i="7"/>
  <c r="AD543" i="7"/>
  <c r="AC543" i="7"/>
  <c r="AB543" i="7"/>
  <c r="AG542" i="7"/>
  <c r="AF542" i="7"/>
  <c r="AE542" i="7"/>
  <c r="AD542" i="7"/>
  <c r="AC542" i="7"/>
  <c r="AB542" i="7"/>
  <c r="AG541" i="7"/>
  <c r="AF541" i="7"/>
  <c r="AE541" i="7"/>
  <c r="AD541" i="7"/>
  <c r="AC541" i="7"/>
  <c r="AB541" i="7"/>
  <c r="AG540" i="7"/>
  <c r="AF540" i="7"/>
  <c r="AE540" i="7"/>
  <c r="AD540" i="7"/>
  <c r="AC540" i="7"/>
  <c r="AB540" i="7"/>
  <c r="AG539" i="7"/>
  <c r="AF539" i="7"/>
  <c r="AE539" i="7"/>
  <c r="AD539" i="7"/>
  <c r="AC539" i="7"/>
  <c r="AB539" i="7"/>
  <c r="AG538" i="7"/>
  <c r="AF538" i="7"/>
  <c r="AE538" i="7"/>
  <c r="AD538" i="7"/>
  <c r="AC538" i="7"/>
  <c r="AB538" i="7"/>
  <c r="AG537" i="7"/>
  <c r="AF537" i="7"/>
  <c r="AE537" i="7"/>
  <c r="AD537" i="7"/>
  <c r="AC537" i="7"/>
  <c r="AB537" i="7"/>
  <c r="AG536" i="7"/>
  <c r="AF536" i="7"/>
  <c r="AE536" i="7"/>
  <c r="AD536" i="7"/>
  <c r="AC536" i="7"/>
  <c r="AB536" i="7"/>
  <c r="AG535" i="7"/>
  <c r="AF535" i="7"/>
  <c r="AE535" i="7"/>
  <c r="AD535" i="7"/>
  <c r="AC535" i="7"/>
  <c r="AB535" i="7"/>
  <c r="AG534" i="7"/>
  <c r="AF534" i="7"/>
  <c r="AE534" i="7"/>
  <c r="AD534" i="7"/>
  <c r="AC534" i="7"/>
  <c r="AB534" i="7"/>
  <c r="AG533" i="7"/>
  <c r="AF533" i="7"/>
  <c r="AE533" i="7"/>
  <c r="AD533" i="7"/>
  <c r="AC533" i="7"/>
  <c r="AB533" i="7"/>
  <c r="AG532" i="7"/>
  <c r="AF532" i="7"/>
  <c r="AE532" i="7"/>
  <c r="AD532" i="7"/>
  <c r="AC532" i="7"/>
  <c r="AB532" i="7"/>
  <c r="AG531" i="7"/>
  <c r="AF531" i="7"/>
  <c r="AE531" i="7"/>
  <c r="AD531" i="7"/>
  <c r="AC531" i="7"/>
  <c r="AB531" i="7"/>
  <c r="AG530" i="7"/>
  <c r="AF530" i="7"/>
  <c r="AE530" i="7"/>
  <c r="AD530" i="7"/>
  <c r="AC530" i="7"/>
  <c r="AB530" i="7"/>
  <c r="AG529" i="7"/>
  <c r="AF529" i="7"/>
  <c r="AE529" i="7"/>
  <c r="AD529" i="7"/>
  <c r="AC529" i="7"/>
  <c r="AB529" i="7"/>
  <c r="AG528" i="7"/>
  <c r="AF528" i="7"/>
  <c r="AE528" i="7"/>
  <c r="AD528" i="7"/>
  <c r="AC528" i="7"/>
  <c r="AB528" i="7"/>
  <c r="AG527" i="7"/>
  <c r="AF527" i="7"/>
  <c r="AE527" i="7"/>
  <c r="AD527" i="7"/>
  <c r="AC527" i="7"/>
  <c r="AB527" i="7"/>
  <c r="AG526" i="7"/>
  <c r="AF526" i="7"/>
  <c r="AE526" i="7"/>
  <c r="AD526" i="7"/>
  <c r="AC526" i="7"/>
  <c r="AB526" i="7"/>
  <c r="AG525" i="7"/>
  <c r="AF525" i="7"/>
  <c r="AE525" i="7"/>
  <c r="AD525" i="7"/>
  <c r="AC525" i="7"/>
  <c r="AB525" i="7"/>
  <c r="AG524" i="7"/>
  <c r="AF524" i="7"/>
  <c r="AE524" i="7"/>
  <c r="AD524" i="7"/>
  <c r="AC524" i="7"/>
  <c r="AB524" i="7"/>
  <c r="AG523" i="7"/>
  <c r="AF523" i="7"/>
  <c r="AE523" i="7"/>
  <c r="AD523" i="7"/>
  <c r="AC523" i="7"/>
  <c r="AB523" i="7"/>
  <c r="AG522" i="7"/>
  <c r="AF522" i="7"/>
  <c r="AE522" i="7"/>
  <c r="AD522" i="7"/>
  <c r="AC522" i="7"/>
  <c r="AB522" i="7"/>
  <c r="AG521" i="7"/>
  <c r="AF521" i="7"/>
  <c r="AE521" i="7"/>
  <c r="AD521" i="7"/>
  <c r="AC521" i="7"/>
  <c r="AB521" i="7"/>
  <c r="AG520" i="7"/>
  <c r="AF520" i="7"/>
  <c r="AE520" i="7"/>
  <c r="AD520" i="7"/>
  <c r="AC520" i="7"/>
  <c r="AB520" i="7"/>
  <c r="AG519" i="7"/>
  <c r="AF519" i="7"/>
  <c r="AE519" i="7"/>
  <c r="AD519" i="7"/>
  <c r="AC519" i="7"/>
  <c r="AB519" i="7"/>
  <c r="AG518" i="7"/>
  <c r="AF518" i="7"/>
  <c r="AE518" i="7"/>
  <c r="AD518" i="7"/>
  <c r="AC518" i="7"/>
  <c r="AB518" i="7"/>
  <c r="AG517" i="7"/>
  <c r="AF517" i="7"/>
  <c r="AE517" i="7"/>
  <c r="AD517" i="7"/>
  <c r="AC517" i="7"/>
  <c r="AB517" i="7"/>
  <c r="AG516" i="7"/>
  <c r="AF516" i="7"/>
  <c r="AE516" i="7"/>
  <c r="AD516" i="7"/>
  <c r="AC516" i="7"/>
  <c r="AB516" i="7"/>
  <c r="AG515" i="7"/>
  <c r="AF515" i="7"/>
  <c r="AE515" i="7"/>
  <c r="AD515" i="7"/>
  <c r="AC515" i="7"/>
  <c r="AB515" i="7"/>
  <c r="AG514" i="7"/>
  <c r="AF514" i="7"/>
  <c r="AE514" i="7"/>
  <c r="AD514" i="7"/>
  <c r="AC514" i="7"/>
  <c r="AB514" i="7"/>
  <c r="AG513" i="7"/>
  <c r="AF513" i="7"/>
  <c r="AE513" i="7"/>
  <c r="AD513" i="7"/>
  <c r="AC513" i="7"/>
  <c r="AB513" i="7"/>
  <c r="AG512" i="7"/>
  <c r="AF512" i="7"/>
  <c r="AE512" i="7"/>
  <c r="AD512" i="7"/>
  <c r="AC512" i="7"/>
  <c r="AB512" i="7"/>
  <c r="AG511" i="7"/>
  <c r="AF511" i="7"/>
  <c r="AE511" i="7"/>
  <c r="AD511" i="7"/>
  <c r="AC511" i="7"/>
  <c r="AB511" i="7"/>
  <c r="AG510" i="7"/>
  <c r="AF510" i="7"/>
  <c r="AE510" i="7"/>
  <c r="AD510" i="7"/>
  <c r="AC510" i="7"/>
  <c r="AB510" i="7"/>
  <c r="AG509" i="7"/>
  <c r="AF509" i="7"/>
  <c r="AE509" i="7"/>
  <c r="AD509" i="7"/>
  <c r="AC509" i="7"/>
  <c r="AB509" i="7"/>
  <c r="AG508" i="7"/>
  <c r="AF508" i="7"/>
  <c r="AE508" i="7"/>
  <c r="AD508" i="7"/>
  <c r="AC508" i="7"/>
  <c r="AB508" i="7"/>
  <c r="AG507" i="7"/>
  <c r="AF507" i="7"/>
  <c r="AE507" i="7"/>
  <c r="AD507" i="7"/>
  <c r="AC507" i="7"/>
  <c r="AB507" i="7"/>
  <c r="AG506" i="7"/>
  <c r="AF506" i="7"/>
  <c r="AE506" i="7"/>
  <c r="AD506" i="7"/>
  <c r="AC506" i="7"/>
  <c r="AB506" i="7"/>
  <c r="AG505" i="7"/>
  <c r="AF505" i="7"/>
  <c r="AE505" i="7"/>
  <c r="AD505" i="7"/>
  <c r="AC505" i="7"/>
  <c r="AB505" i="7"/>
  <c r="AG504" i="7"/>
  <c r="AF504" i="7"/>
  <c r="AE504" i="7"/>
  <c r="AD504" i="7"/>
  <c r="AC504" i="7"/>
  <c r="AB504" i="7"/>
  <c r="AG503" i="7"/>
  <c r="AF503" i="7"/>
  <c r="AE503" i="7"/>
  <c r="AD503" i="7"/>
  <c r="AC503" i="7"/>
  <c r="AB503" i="7"/>
  <c r="AG502" i="7"/>
  <c r="AF502" i="7"/>
  <c r="AE502" i="7"/>
  <c r="AD502" i="7"/>
  <c r="AC502" i="7"/>
  <c r="AB502" i="7"/>
  <c r="AG501" i="7"/>
  <c r="AF501" i="7"/>
  <c r="AE501" i="7"/>
  <c r="AD501" i="7"/>
  <c r="AC501" i="7"/>
  <c r="AB501" i="7"/>
  <c r="AG500" i="7"/>
  <c r="AF500" i="7"/>
  <c r="AE500" i="7"/>
  <c r="AD500" i="7"/>
  <c r="AC500" i="7"/>
  <c r="AB500" i="7"/>
  <c r="AG499" i="7"/>
  <c r="AF499" i="7"/>
  <c r="AE499" i="7"/>
  <c r="AD499" i="7"/>
  <c r="AC499" i="7"/>
  <c r="AB499" i="7"/>
  <c r="AG498" i="7"/>
  <c r="AF498" i="7"/>
  <c r="AE498" i="7"/>
  <c r="AD498" i="7"/>
  <c r="AC498" i="7"/>
  <c r="AB498" i="7"/>
  <c r="AG497" i="7"/>
  <c r="AF497" i="7"/>
  <c r="AE497" i="7"/>
  <c r="AD497" i="7"/>
  <c r="AC497" i="7"/>
  <c r="AB497" i="7"/>
  <c r="AG496" i="7"/>
  <c r="AF496" i="7"/>
  <c r="AE496" i="7"/>
  <c r="AD496" i="7"/>
  <c r="AC496" i="7"/>
  <c r="AB496" i="7"/>
  <c r="AG495" i="7"/>
  <c r="AF495" i="7"/>
  <c r="AE495" i="7"/>
  <c r="AD495" i="7"/>
  <c r="AC495" i="7"/>
  <c r="AB495" i="7"/>
  <c r="AG494" i="7"/>
  <c r="AF494" i="7"/>
  <c r="AE494" i="7"/>
  <c r="AD494" i="7"/>
  <c r="AC494" i="7"/>
  <c r="AB494" i="7"/>
  <c r="AG493" i="7"/>
  <c r="AF493" i="7"/>
  <c r="AE493" i="7"/>
  <c r="AD493" i="7"/>
  <c r="AC493" i="7"/>
  <c r="AB493" i="7"/>
  <c r="AG492" i="7"/>
  <c r="AF492" i="7"/>
  <c r="AE492" i="7"/>
  <c r="AD492" i="7"/>
  <c r="AC492" i="7"/>
  <c r="AB492" i="7"/>
  <c r="AG491" i="7"/>
  <c r="AF491" i="7"/>
  <c r="AE491" i="7"/>
  <c r="AD491" i="7"/>
  <c r="AC491" i="7"/>
  <c r="AB491" i="7"/>
  <c r="AG490" i="7"/>
  <c r="AF490" i="7"/>
  <c r="AE490" i="7"/>
  <c r="AD490" i="7"/>
  <c r="AC490" i="7"/>
  <c r="AB490" i="7"/>
  <c r="AG489" i="7"/>
  <c r="AF489" i="7"/>
  <c r="AE489" i="7"/>
  <c r="AD489" i="7"/>
  <c r="AC489" i="7"/>
  <c r="AB489" i="7"/>
  <c r="AG488" i="7"/>
  <c r="AF488" i="7"/>
  <c r="AE488" i="7"/>
  <c r="AD488" i="7"/>
  <c r="AC488" i="7"/>
  <c r="AB488" i="7"/>
  <c r="AG487" i="7"/>
  <c r="AF487" i="7"/>
  <c r="AE487" i="7"/>
  <c r="AD487" i="7"/>
  <c r="AC487" i="7"/>
  <c r="AB487" i="7"/>
  <c r="AG486" i="7"/>
  <c r="AF486" i="7"/>
  <c r="AE486" i="7"/>
  <c r="AD486" i="7"/>
  <c r="AC486" i="7"/>
  <c r="AB486" i="7"/>
  <c r="AG485" i="7"/>
  <c r="AF485" i="7"/>
  <c r="AE485" i="7"/>
  <c r="AD485" i="7"/>
  <c r="AC485" i="7"/>
  <c r="AB485" i="7"/>
  <c r="AG484" i="7"/>
  <c r="AF484" i="7"/>
  <c r="AE484" i="7"/>
  <c r="AD484" i="7"/>
  <c r="AC484" i="7"/>
  <c r="AB484" i="7"/>
  <c r="AG483" i="7"/>
  <c r="AF483" i="7"/>
  <c r="AE483" i="7"/>
  <c r="AD483" i="7"/>
  <c r="AC483" i="7"/>
  <c r="AB483" i="7"/>
  <c r="AG482" i="7"/>
  <c r="AF482" i="7"/>
  <c r="AE482" i="7"/>
  <c r="AD482" i="7"/>
  <c r="AC482" i="7"/>
  <c r="AB482" i="7"/>
  <c r="AG481" i="7"/>
  <c r="AF481" i="7"/>
  <c r="AE481" i="7"/>
  <c r="AD481" i="7"/>
  <c r="AC481" i="7"/>
  <c r="AB481" i="7"/>
  <c r="AG480" i="7"/>
  <c r="AF480" i="7"/>
  <c r="AE480" i="7"/>
  <c r="AD480" i="7"/>
  <c r="AC480" i="7"/>
  <c r="AB480" i="7"/>
  <c r="AG479" i="7"/>
  <c r="AF479" i="7"/>
  <c r="AE479" i="7"/>
  <c r="AD479" i="7"/>
  <c r="AC479" i="7"/>
  <c r="AB479" i="7"/>
  <c r="AG478" i="7"/>
  <c r="AF478" i="7"/>
  <c r="AE478" i="7"/>
  <c r="AD478" i="7"/>
  <c r="AC478" i="7"/>
  <c r="AB478" i="7"/>
  <c r="AG477" i="7"/>
  <c r="AF477" i="7"/>
  <c r="AE477" i="7"/>
  <c r="AD477" i="7"/>
  <c r="AC477" i="7"/>
  <c r="AB477" i="7"/>
  <c r="AG476" i="7"/>
  <c r="AF476" i="7"/>
  <c r="AE476" i="7"/>
  <c r="AD476" i="7"/>
  <c r="AC476" i="7"/>
  <c r="AB476" i="7"/>
  <c r="AG475" i="7"/>
  <c r="AF475" i="7"/>
  <c r="AE475" i="7"/>
  <c r="AD475" i="7"/>
  <c r="AC475" i="7"/>
  <c r="AB475" i="7"/>
  <c r="AG474" i="7"/>
  <c r="AF474" i="7"/>
  <c r="AE474" i="7"/>
  <c r="AD474" i="7"/>
  <c r="AC474" i="7"/>
  <c r="AB474" i="7"/>
  <c r="AG473" i="7"/>
  <c r="AF473" i="7"/>
  <c r="AE473" i="7"/>
  <c r="AD473" i="7"/>
  <c r="AC473" i="7"/>
  <c r="AB473" i="7"/>
  <c r="AG472" i="7"/>
  <c r="AF472" i="7"/>
  <c r="AE472" i="7"/>
  <c r="AD472" i="7"/>
  <c r="AC472" i="7"/>
  <c r="AB472" i="7"/>
  <c r="AG471" i="7"/>
  <c r="AF471" i="7"/>
  <c r="AE471" i="7"/>
  <c r="AD471" i="7"/>
  <c r="AC471" i="7"/>
  <c r="AB471" i="7"/>
  <c r="AG470" i="7"/>
  <c r="AF470" i="7"/>
  <c r="AE470" i="7"/>
  <c r="AD470" i="7"/>
  <c r="AC470" i="7"/>
  <c r="AB470" i="7"/>
  <c r="AG469" i="7"/>
  <c r="AF469" i="7"/>
  <c r="AE469" i="7"/>
  <c r="AD469" i="7"/>
  <c r="AC469" i="7"/>
  <c r="AB469" i="7"/>
  <c r="AG468" i="7"/>
  <c r="AF468" i="7"/>
  <c r="AE468" i="7"/>
  <c r="AD468" i="7"/>
  <c r="AC468" i="7"/>
  <c r="AB468" i="7"/>
  <c r="AG467" i="7"/>
  <c r="AF467" i="7"/>
  <c r="AE467" i="7"/>
  <c r="AD467" i="7"/>
  <c r="AC467" i="7"/>
  <c r="AB467" i="7"/>
  <c r="AG466" i="7"/>
  <c r="AF466" i="7"/>
  <c r="AE466" i="7"/>
  <c r="AD466" i="7"/>
  <c r="AC466" i="7"/>
  <c r="AB466" i="7"/>
  <c r="AG465" i="7"/>
  <c r="AF465" i="7"/>
  <c r="AE465" i="7"/>
  <c r="AD465" i="7"/>
  <c r="AC465" i="7"/>
  <c r="AB465" i="7"/>
  <c r="AG464" i="7"/>
  <c r="AF464" i="7"/>
  <c r="AE464" i="7"/>
  <c r="AD464" i="7"/>
  <c r="AC464" i="7"/>
  <c r="AB464" i="7"/>
  <c r="AG463" i="7"/>
  <c r="AF463" i="7"/>
  <c r="AE463" i="7"/>
  <c r="AD463" i="7"/>
  <c r="AC463" i="7"/>
  <c r="AB463" i="7"/>
  <c r="AG462" i="7"/>
  <c r="AF462" i="7"/>
  <c r="AE462" i="7"/>
  <c r="AD462" i="7"/>
  <c r="AC462" i="7"/>
  <c r="AB462" i="7"/>
  <c r="AG461" i="7"/>
  <c r="AF461" i="7"/>
  <c r="AE461" i="7"/>
  <c r="AD461" i="7"/>
  <c r="AC461" i="7"/>
  <c r="AB461" i="7"/>
  <c r="AG460" i="7"/>
  <c r="AF460" i="7"/>
  <c r="AE460" i="7"/>
  <c r="AD460" i="7"/>
  <c r="AC460" i="7"/>
  <c r="AB460" i="7"/>
  <c r="AG459" i="7"/>
  <c r="AF459" i="7"/>
  <c r="AE459" i="7"/>
  <c r="AD459" i="7"/>
  <c r="AC459" i="7"/>
  <c r="AB459" i="7"/>
  <c r="AG458" i="7"/>
  <c r="AF458" i="7"/>
  <c r="AE458" i="7"/>
  <c r="AD458" i="7"/>
  <c r="AC458" i="7"/>
  <c r="AB458" i="7"/>
  <c r="AG457" i="7"/>
  <c r="AF457" i="7"/>
  <c r="AE457" i="7"/>
  <c r="AD457" i="7"/>
  <c r="AC457" i="7"/>
  <c r="AB457" i="7"/>
  <c r="AG456" i="7"/>
  <c r="AF456" i="7"/>
  <c r="AE456" i="7"/>
  <c r="AD456" i="7"/>
  <c r="AC456" i="7"/>
  <c r="AB456" i="7"/>
  <c r="AG455" i="7"/>
  <c r="AF455" i="7"/>
  <c r="AE455" i="7"/>
  <c r="AD455" i="7"/>
  <c r="AC455" i="7"/>
  <c r="AB455" i="7"/>
  <c r="AG454" i="7"/>
  <c r="AF454" i="7"/>
  <c r="AE454" i="7"/>
  <c r="AD454" i="7"/>
  <c r="AC454" i="7"/>
  <c r="AB454" i="7"/>
  <c r="AG453" i="7"/>
  <c r="AF453" i="7"/>
  <c r="AE453" i="7"/>
  <c r="AD453" i="7"/>
  <c r="AC453" i="7"/>
  <c r="AB453" i="7"/>
  <c r="AG452" i="7"/>
  <c r="AF452" i="7"/>
  <c r="AE452" i="7"/>
  <c r="AD452" i="7"/>
  <c r="AC452" i="7"/>
  <c r="AB452" i="7"/>
  <c r="AG451" i="7"/>
  <c r="AF451" i="7"/>
  <c r="AE451" i="7"/>
  <c r="AD451" i="7"/>
  <c r="AC451" i="7"/>
  <c r="AB451" i="7"/>
  <c r="AG450" i="7"/>
  <c r="AF450" i="7"/>
  <c r="AE450" i="7"/>
  <c r="AD450" i="7"/>
  <c r="AC450" i="7"/>
  <c r="AB450" i="7"/>
  <c r="AG449" i="7"/>
  <c r="AF449" i="7"/>
  <c r="AE449" i="7"/>
  <c r="AD449" i="7"/>
  <c r="AC449" i="7"/>
  <c r="AB449" i="7"/>
  <c r="AG448" i="7"/>
  <c r="AF448" i="7"/>
  <c r="AE448" i="7"/>
  <c r="AD448" i="7"/>
  <c r="AC448" i="7"/>
  <c r="AB448" i="7"/>
  <c r="AG447" i="7"/>
  <c r="AF447" i="7"/>
  <c r="AE447" i="7"/>
  <c r="AD447" i="7"/>
  <c r="AC447" i="7"/>
  <c r="AB447" i="7"/>
  <c r="AG446" i="7"/>
  <c r="AF446" i="7"/>
  <c r="AE446" i="7"/>
  <c r="AD446" i="7"/>
  <c r="AC446" i="7"/>
  <c r="AB446" i="7"/>
  <c r="AG445" i="7"/>
  <c r="AF445" i="7"/>
  <c r="AE445" i="7"/>
  <c r="AD445" i="7"/>
  <c r="AC445" i="7"/>
  <c r="AB445" i="7"/>
  <c r="AG444" i="7"/>
  <c r="AF444" i="7"/>
  <c r="AE444" i="7"/>
  <c r="AD444" i="7"/>
  <c r="AC444" i="7"/>
  <c r="AB444" i="7"/>
  <c r="AG443" i="7"/>
  <c r="AF443" i="7"/>
  <c r="AE443" i="7"/>
  <c r="AD443" i="7"/>
  <c r="AC443" i="7"/>
  <c r="AB443" i="7"/>
  <c r="AG442" i="7"/>
  <c r="AF442" i="7"/>
  <c r="AE442" i="7"/>
  <c r="AD442" i="7"/>
  <c r="AC442" i="7"/>
  <c r="AB442" i="7"/>
  <c r="AG441" i="7"/>
  <c r="AF441" i="7"/>
  <c r="AE441" i="7"/>
  <c r="AD441" i="7"/>
  <c r="AC441" i="7"/>
  <c r="AB441" i="7"/>
  <c r="AG440" i="7"/>
  <c r="AF440" i="7"/>
  <c r="AE440" i="7"/>
  <c r="AD440" i="7"/>
  <c r="AC440" i="7"/>
  <c r="AB440" i="7"/>
  <c r="AG439" i="7"/>
  <c r="AF439" i="7"/>
  <c r="AE439" i="7"/>
  <c r="AD439" i="7"/>
  <c r="AC439" i="7"/>
  <c r="AB439" i="7"/>
  <c r="AG438" i="7"/>
  <c r="AF438" i="7"/>
  <c r="AE438" i="7"/>
  <c r="AD438" i="7"/>
  <c r="AC438" i="7"/>
  <c r="AB438" i="7"/>
  <c r="AG437" i="7"/>
  <c r="AF437" i="7"/>
  <c r="AE437" i="7"/>
  <c r="AD437" i="7"/>
  <c r="AC437" i="7"/>
  <c r="AB437" i="7"/>
  <c r="AG436" i="7"/>
  <c r="AF436" i="7"/>
  <c r="AE436" i="7"/>
  <c r="AD436" i="7"/>
  <c r="AC436" i="7"/>
  <c r="AB436" i="7"/>
  <c r="AG435" i="7"/>
  <c r="AF435" i="7"/>
  <c r="AE435" i="7"/>
  <c r="AD435" i="7"/>
  <c r="AC435" i="7"/>
  <c r="AB435" i="7"/>
  <c r="AG434" i="7"/>
  <c r="AF434" i="7"/>
  <c r="AE434" i="7"/>
  <c r="AD434" i="7"/>
  <c r="AC434" i="7"/>
  <c r="AB434" i="7"/>
  <c r="AG433" i="7"/>
  <c r="AF433" i="7"/>
  <c r="AE433" i="7"/>
  <c r="AD433" i="7"/>
  <c r="AC433" i="7"/>
  <c r="AB433" i="7"/>
  <c r="AG432" i="7"/>
  <c r="AF432" i="7"/>
  <c r="AE432" i="7"/>
  <c r="AD432" i="7"/>
  <c r="AC432" i="7"/>
  <c r="AB432" i="7"/>
  <c r="AG431" i="7"/>
  <c r="AF431" i="7"/>
  <c r="AE431" i="7"/>
  <c r="AD431" i="7"/>
  <c r="AC431" i="7"/>
  <c r="AB431" i="7"/>
  <c r="AG430" i="7"/>
  <c r="AF430" i="7"/>
  <c r="AE430" i="7"/>
  <c r="AD430" i="7"/>
  <c r="AC430" i="7"/>
  <c r="AB430" i="7"/>
  <c r="AG429" i="7"/>
  <c r="AF429" i="7"/>
  <c r="AE429" i="7"/>
  <c r="AD429" i="7"/>
  <c r="AC429" i="7"/>
  <c r="AB429" i="7"/>
  <c r="AG428" i="7"/>
  <c r="AF428" i="7"/>
  <c r="AE428" i="7"/>
  <c r="AD428" i="7"/>
  <c r="AC428" i="7"/>
  <c r="AB428" i="7"/>
  <c r="AG427" i="7"/>
  <c r="AF427" i="7"/>
  <c r="AE427" i="7"/>
  <c r="AD427" i="7"/>
  <c r="AC427" i="7"/>
  <c r="AB427" i="7"/>
  <c r="AG426" i="7"/>
  <c r="AF426" i="7"/>
  <c r="AE426" i="7"/>
  <c r="AD426" i="7"/>
  <c r="AC426" i="7"/>
  <c r="AB426" i="7"/>
  <c r="AG425" i="7"/>
  <c r="AF425" i="7"/>
  <c r="AE425" i="7"/>
  <c r="AD425" i="7"/>
  <c r="AC425" i="7"/>
  <c r="AB425" i="7"/>
  <c r="AG424" i="7"/>
  <c r="AF424" i="7"/>
  <c r="AE424" i="7"/>
  <c r="AD424" i="7"/>
  <c r="AC424" i="7"/>
  <c r="AB424" i="7"/>
  <c r="AG423" i="7"/>
  <c r="AF423" i="7"/>
  <c r="AE423" i="7"/>
  <c r="AD423" i="7"/>
  <c r="AC423" i="7"/>
  <c r="AB423" i="7"/>
  <c r="AG422" i="7"/>
  <c r="AF422" i="7"/>
  <c r="AE422" i="7"/>
  <c r="AD422" i="7"/>
  <c r="AC422" i="7"/>
  <c r="AB422" i="7"/>
  <c r="AG421" i="7"/>
  <c r="AF421" i="7"/>
  <c r="AE421" i="7"/>
  <c r="AD421" i="7"/>
  <c r="AC421" i="7"/>
  <c r="AB421" i="7"/>
  <c r="AG420" i="7"/>
  <c r="AF420" i="7"/>
  <c r="AE420" i="7"/>
  <c r="AD420" i="7"/>
  <c r="AC420" i="7"/>
  <c r="AB420" i="7"/>
  <c r="AG419" i="7"/>
  <c r="AF419" i="7"/>
  <c r="AE419" i="7"/>
  <c r="AD419" i="7"/>
  <c r="AC419" i="7"/>
  <c r="AB419" i="7"/>
  <c r="AG418" i="7"/>
  <c r="AF418" i="7"/>
  <c r="AE418" i="7"/>
  <c r="AD418" i="7"/>
  <c r="AC418" i="7"/>
  <c r="AB418" i="7"/>
  <c r="AG417" i="7"/>
  <c r="AF417" i="7"/>
  <c r="AE417" i="7"/>
  <c r="AD417" i="7"/>
  <c r="AC417" i="7"/>
  <c r="AB417" i="7"/>
  <c r="AG416" i="7"/>
  <c r="AF416" i="7"/>
  <c r="AE416" i="7"/>
  <c r="AD416" i="7"/>
  <c r="AC416" i="7"/>
  <c r="AB416" i="7"/>
  <c r="AG415" i="7"/>
  <c r="AF415" i="7"/>
  <c r="AE415" i="7"/>
  <c r="AD415" i="7"/>
  <c r="AC415" i="7"/>
  <c r="AB415" i="7"/>
  <c r="AG414" i="7"/>
  <c r="AF414" i="7"/>
  <c r="AE414" i="7"/>
  <c r="AD414" i="7"/>
  <c r="AC414" i="7"/>
  <c r="AB414" i="7"/>
  <c r="AG413" i="7"/>
  <c r="AF413" i="7"/>
  <c r="AE413" i="7"/>
  <c r="AD413" i="7"/>
  <c r="AC413" i="7"/>
  <c r="AB413" i="7"/>
  <c r="AG412" i="7"/>
  <c r="AF412" i="7"/>
  <c r="AE412" i="7"/>
  <c r="AD412" i="7"/>
  <c r="AC412" i="7"/>
  <c r="AB412" i="7"/>
  <c r="AG411" i="7"/>
  <c r="AF411" i="7"/>
  <c r="AE411" i="7"/>
  <c r="AD411" i="7"/>
  <c r="AC411" i="7"/>
  <c r="AB411" i="7"/>
  <c r="AG410" i="7"/>
  <c r="AF410" i="7"/>
  <c r="AE410" i="7"/>
  <c r="AD410" i="7"/>
  <c r="AC410" i="7"/>
  <c r="AB410" i="7"/>
  <c r="AG409" i="7"/>
  <c r="AF409" i="7"/>
  <c r="AE409" i="7"/>
  <c r="AD409" i="7"/>
  <c r="AC409" i="7"/>
  <c r="AB409" i="7"/>
  <c r="AG408" i="7"/>
  <c r="AF408" i="7"/>
  <c r="AE408" i="7"/>
  <c r="AD408" i="7"/>
  <c r="AC408" i="7"/>
  <c r="AB408" i="7"/>
  <c r="AG407" i="7"/>
  <c r="AF407" i="7"/>
  <c r="AE407" i="7"/>
  <c r="AD407" i="7"/>
  <c r="AC407" i="7"/>
  <c r="AB407" i="7"/>
  <c r="AG406" i="7"/>
  <c r="AF406" i="7"/>
  <c r="AE406" i="7"/>
  <c r="AD406" i="7"/>
  <c r="AC406" i="7"/>
  <c r="AB406" i="7"/>
  <c r="AG405" i="7"/>
  <c r="AF405" i="7"/>
  <c r="AE405" i="7"/>
  <c r="AD405" i="7"/>
  <c r="AC405" i="7"/>
  <c r="AB405" i="7"/>
  <c r="AG404" i="7"/>
  <c r="AF404" i="7"/>
  <c r="AE404" i="7"/>
  <c r="AD404" i="7"/>
  <c r="AC404" i="7"/>
  <c r="AB404" i="7"/>
  <c r="AG403" i="7"/>
  <c r="AF403" i="7"/>
  <c r="AE403" i="7"/>
  <c r="AD403" i="7"/>
  <c r="AC403" i="7"/>
  <c r="AB403" i="7"/>
  <c r="AG402" i="7"/>
  <c r="AF402" i="7"/>
  <c r="AE402" i="7"/>
  <c r="AD402" i="7"/>
  <c r="AC402" i="7"/>
  <c r="AB402" i="7"/>
  <c r="AG401" i="7"/>
  <c r="AF401" i="7"/>
  <c r="AE401" i="7"/>
  <c r="AD401" i="7"/>
  <c r="AC401" i="7"/>
  <c r="AB401" i="7"/>
  <c r="AG400" i="7"/>
  <c r="AF400" i="7"/>
  <c r="AE400" i="7"/>
  <c r="AD400" i="7"/>
  <c r="AC400" i="7"/>
  <c r="AB400" i="7"/>
  <c r="AG399" i="7"/>
  <c r="AF399" i="7"/>
  <c r="AE399" i="7"/>
  <c r="AD399" i="7"/>
  <c r="AC399" i="7"/>
  <c r="AB399" i="7"/>
  <c r="AG398" i="7"/>
  <c r="AF398" i="7"/>
  <c r="AE398" i="7"/>
  <c r="AD398" i="7"/>
  <c r="AC398" i="7"/>
  <c r="AB398" i="7"/>
  <c r="AG397" i="7"/>
  <c r="AF397" i="7"/>
  <c r="AE397" i="7"/>
  <c r="AD397" i="7"/>
  <c r="AC397" i="7"/>
  <c r="AB397" i="7"/>
  <c r="AG396" i="7"/>
  <c r="AF396" i="7"/>
  <c r="AE396" i="7"/>
  <c r="AD396" i="7"/>
  <c r="AC396" i="7"/>
  <c r="AB396" i="7"/>
  <c r="AG395" i="7"/>
  <c r="AF395" i="7"/>
  <c r="AE395" i="7"/>
  <c r="AD395" i="7"/>
  <c r="AC395" i="7"/>
  <c r="AB395" i="7"/>
  <c r="AG394" i="7"/>
  <c r="AF394" i="7"/>
  <c r="AE394" i="7"/>
  <c r="AD394" i="7"/>
  <c r="AC394" i="7"/>
  <c r="AB394" i="7"/>
  <c r="AG393" i="7"/>
  <c r="AF393" i="7"/>
  <c r="AE393" i="7"/>
  <c r="AD393" i="7"/>
  <c r="AC393" i="7"/>
  <c r="AB393" i="7"/>
  <c r="AG392" i="7"/>
  <c r="AF392" i="7"/>
  <c r="AE392" i="7"/>
  <c r="AD392" i="7"/>
  <c r="AC392" i="7"/>
  <c r="AB392" i="7"/>
  <c r="AG391" i="7"/>
  <c r="AF391" i="7"/>
  <c r="AE391" i="7"/>
  <c r="AD391" i="7"/>
  <c r="AC391" i="7"/>
  <c r="AB391" i="7"/>
  <c r="AG390" i="7"/>
  <c r="AF390" i="7"/>
  <c r="AE390" i="7"/>
  <c r="AD390" i="7"/>
  <c r="AC390" i="7"/>
  <c r="AB390" i="7"/>
  <c r="AG389" i="7"/>
  <c r="AF389" i="7"/>
  <c r="AE389" i="7"/>
  <c r="AD389" i="7"/>
  <c r="AC389" i="7"/>
  <c r="AB389" i="7"/>
  <c r="AG388" i="7"/>
  <c r="AF388" i="7"/>
  <c r="AE388" i="7"/>
  <c r="AD388" i="7"/>
  <c r="AC388" i="7"/>
  <c r="AB388" i="7"/>
  <c r="AG387" i="7"/>
  <c r="AF387" i="7"/>
  <c r="AE387" i="7"/>
  <c r="AD387" i="7"/>
  <c r="AC387" i="7"/>
  <c r="AB387" i="7"/>
  <c r="AG386" i="7"/>
  <c r="AF386" i="7"/>
  <c r="AE386" i="7"/>
  <c r="AD386" i="7"/>
  <c r="AC386" i="7"/>
  <c r="AB386" i="7"/>
  <c r="AG385" i="7"/>
  <c r="AF385" i="7"/>
  <c r="AE385" i="7"/>
  <c r="AD385" i="7"/>
  <c r="AC385" i="7"/>
  <c r="AB385" i="7"/>
  <c r="AG384" i="7"/>
  <c r="AF384" i="7"/>
  <c r="AE384" i="7"/>
  <c r="AD384" i="7"/>
  <c r="AC384" i="7"/>
  <c r="AB384" i="7"/>
  <c r="AG383" i="7"/>
  <c r="AF383" i="7"/>
  <c r="AE383" i="7"/>
  <c r="AD383" i="7"/>
  <c r="AC383" i="7"/>
  <c r="AB383" i="7"/>
  <c r="AG382" i="7"/>
  <c r="AF382" i="7"/>
  <c r="AE382" i="7"/>
  <c r="AD382" i="7"/>
  <c r="AC382" i="7"/>
  <c r="AB382" i="7"/>
  <c r="AG381" i="7"/>
  <c r="AF381" i="7"/>
  <c r="AE381" i="7"/>
  <c r="AD381" i="7"/>
  <c r="AC381" i="7"/>
  <c r="AB381" i="7"/>
  <c r="AG380" i="7"/>
  <c r="AF380" i="7"/>
  <c r="AE380" i="7"/>
  <c r="AD380" i="7"/>
  <c r="AC380" i="7"/>
  <c r="AB380" i="7"/>
  <c r="AG379" i="7"/>
  <c r="AF379" i="7"/>
  <c r="AE379" i="7"/>
  <c r="AD379" i="7"/>
  <c r="AC379" i="7"/>
  <c r="AB379" i="7"/>
  <c r="AG378" i="7"/>
  <c r="AF378" i="7"/>
  <c r="AE378" i="7"/>
  <c r="AD378" i="7"/>
  <c r="AC378" i="7"/>
  <c r="AB378" i="7"/>
  <c r="AG377" i="7"/>
  <c r="AF377" i="7"/>
  <c r="AE377" i="7"/>
  <c r="AD377" i="7"/>
  <c r="AC377" i="7"/>
  <c r="AB377" i="7"/>
  <c r="AG376" i="7"/>
  <c r="AF376" i="7"/>
  <c r="AE376" i="7"/>
  <c r="AD376" i="7"/>
  <c r="AC376" i="7"/>
  <c r="AB376" i="7"/>
  <c r="AG375" i="7"/>
  <c r="AF375" i="7"/>
  <c r="AE375" i="7"/>
  <c r="AD375" i="7"/>
  <c r="AC375" i="7"/>
  <c r="AB375" i="7"/>
  <c r="AG374" i="7"/>
  <c r="AF374" i="7"/>
  <c r="AE374" i="7"/>
  <c r="AD374" i="7"/>
  <c r="AC374" i="7"/>
  <c r="AB374" i="7"/>
  <c r="AG373" i="7"/>
  <c r="AF373" i="7"/>
  <c r="AE373" i="7"/>
  <c r="AD373" i="7"/>
  <c r="AC373" i="7"/>
  <c r="AB373" i="7"/>
  <c r="AG372" i="7"/>
  <c r="AF372" i="7"/>
  <c r="AE372" i="7"/>
  <c r="AD372" i="7"/>
  <c r="AC372" i="7"/>
  <c r="AB372" i="7"/>
  <c r="AG371" i="7"/>
  <c r="AF371" i="7"/>
  <c r="AE371" i="7"/>
  <c r="AD371" i="7"/>
  <c r="AC371" i="7"/>
  <c r="AB371" i="7"/>
  <c r="AG370" i="7"/>
  <c r="AF370" i="7"/>
  <c r="AE370" i="7"/>
  <c r="AD370" i="7"/>
  <c r="AC370" i="7"/>
  <c r="AB370" i="7"/>
  <c r="AG369" i="7"/>
  <c r="AF369" i="7"/>
  <c r="AE369" i="7"/>
  <c r="AD369" i="7"/>
  <c r="AC369" i="7"/>
  <c r="AB369" i="7"/>
  <c r="AG368" i="7"/>
  <c r="AF368" i="7"/>
  <c r="AE368" i="7"/>
  <c r="AD368" i="7"/>
  <c r="AC368" i="7"/>
  <c r="AB368" i="7"/>
  <c r="AG367" i="7"/>
  <c r="AF367" i="7"/>
  <c r="AE367" i="7"/>
  <c r="AD367" i="7"/>
  <c r="AC367" i="7"/>
  <c r="AB367" i="7"/>
  <c r="AG366" i="7"/>
  <c r="AF366" i="7"/>
  <c r="AE366" i="7"/>
  <c r="AD366" i="7"/>
  <c r="AC366" i="7"/>
  <c r="AB366" i="7"/>
  <c r="AG365" i="7"/>
  <c r="AF365" i="7"/>
  <c r="AE365" i="7"/>
  <c r="AD365" i="7"/>
  <c r="AC365" i="7"/>
  <c r="AB365" i="7"/>
  <c r="AG364" i="7"/>
  <c r="AF364" i="7"/>
  <c r="AE364" i="7"/>
  <c r="AD364" i="7"/>
  <c r="AC364" i="7"/>
  <c r="AB364" i="7"/>
  <c r="AG363" i="7"/>
  <c r="AF363" i="7"/>
  <c r="AE363" i="7"/>
  <c r="AD363" i="7"/>
  <c r="AC363" i="7"/>
  <c r="AB363" i="7"/>
  <c r="AG362" i="7"/>
  <c r="AF362" i="7"/>
  <c r="AE362" i="7"/>
  <c r="AD362" i="7"/>
  <c r="AC362" i="7"/>
  <c r="AB362" i="7"/>
  <c r="AG361" i="7"/>
  <c r="AF361" i="7"/>
  <c r="AE361" i="7"/>
  <c r="AD361" i="7"/>
  <c r="AC361" i="7"/>
  <c r="AB361" i="7"/>
  <c r="AG360" i="7"/>
  <c r="AF360" i="7"/>
  <c r="AE360" i="7"/>
  <c r="AD360" i="7"/>
  <c r="AC360" i="7"/>
  <c r="AB360" i="7"/>
  <c r="AG359" i="7"/>
  <c r="AF359" i="7"/>
  <c r="AE359" i="7"/>
  <c r="AD359" i="7"/>
  <c r="AC359" i="7"/>
  <c r="AB359" i="7"/>
  <c r="AG358" i="7"/>
  <c r="AF358" i="7"/>
  <c r="AE358" i="7"/>
  <c r="AD358" i="7"/>
  <c r="AC358" i="7"/>
  <c r="AB358" i="7"/>
  <c r="AG357" i="7"/>
  <c r="AF357" i="7"/>
  <c r="AE357" i="7"/>
  <c r="AD357" i="7"/>
  <c r="AC357" i="7"/>
  <c r="AB357" i="7"/>
  <c r="AG356" i="7"/>
  <c r="AF356" i="7"/>
  <c r="AE356" i="7"/>
  <c r="AD356" i="7"/>
  <c r="AC356" i="7"/>
  <c r="AB356" i="7"/>
  <c r="AG355" i="7"/>
  <c r="AF355" i="7"/>
  <c r="AE355" i="7"/>
  <c r="AD355" i="7"/>
  <c r="AC355" i="7"/>
  <c r="AB355" i="7"/>
  <c r="AG354" i="7"/>
  <c r="AF354" i="7"/>
  <c r="AE354" i="7"/>
  <c r="AD354" i="7"/>
  <c r="AC354" i="7"/>
  <c r="AB354" i="7"/>
  <c r="AG353" i="7"/>
  <c r="AF353" i="7"/>
  <c r="AE353" i="7"/>
  <c r="AD353" i="7"/>
  <c r="AC353" i="7"/>
  <c r="AB353" i="7"/>
  <c r="AG352" i="7"/>
  <c r="AF352" i="7"/>
  <c r="AE352" i="7"/>
  <c r="AD352" i="7"/>
  <c r="AC352" i="7"/>
  <c r="AB352" i="7"/>
  <c r="AG351" i="7"/>
  <c r="AF351" i="7"/>
  <c r="AE351" i="7"/>
  <c r="AD351" i="7"/>
  <c r="AC351" i="7"/>
  <c r="AB351" i="7"/>
  <c r="AG350" i="7"/>
  <c r="AF350" i="7"/>
  <c r="AE350" i="7"/>
  <c r="AD350" i="7"/>
  <c r="AC350" i="7"/>
  <c r="AB350" i="7"/>
  <c r="AG349" i="7"/>
  <c r="AF349" i="7"/>
  <c r="AE349" i="7"/>
  <c r="AD349" i="7"/>
  <c r="AC349" i="7"/>
  <c r="AB349" i="7"/>
  <c r="AG348" i="7"/>
  <c r="AF348" i="7"/>
  <c r="AE348" i="7"/>
  <c r="AD348" i="7"/>
  <c r="AC348" i="7"/>
  <c r="AB348" i="7"/>
  <c r="AG347" i="7"/>
  <c r="AF347" i="7"/>
  <c r="AE347" i="7"/>
  <c r="AD347" i="7"/>
  <c r="AC347" i="7"/>
  <c r="AB347" i="7"/>
  <c r="AG346" i="7"/>
  <c r="AF346" i="7"/>
  <c r="AE346" i="7"/>
  <c r="AD346" i="7"/>
  <c r="AC346" i="7"/>
  <c r="AB346" i="7"/>
  <c r="AG345" i="7"/>
  <c r="AF345" i="7"/>
  <c r="AE345" i="7"/>
  <c r="AD345" i="7"/>
  <c r="AC345" i="7"/>
  <c r="AB345" i="7"/>
  <c r="AG344" i="7"/>
  <c r="AF344" i="7"/>
  <c r="AE344" i="7"/>
  <c r="AD344" i="7"/>
  <c r="AC344" i="7"/>
  <c r="AB344" i="7"/>
  <c r="AG343" i="7"/>
  <c r="AF343" i="7"/>
  <c r="AE343" i="7"/>
  <c r="AD343" i="7"/>
  <c r="AC343" i="7"/>
  <c r="AB343" i="7"/>
  <c r="AG342" i="7"/>
  <c r="AF342" i="7"/>
  <c r="AE342" i="7"/>
  <c r="AD342" i="7"/>
  <c r="AC342" i="7"/>
  <c r="AB342" i="7"/>
  <c r="AG341" i="7"/>
  <c r="AF341" i="7"/>
  <c r="AE341" i="7"/>
  <c r="AD341" i="7"/>
  <c r="AC341" i="7"/>
  <c r="AB341" i="7"/>
  <c r="AG340" i="7"/>
  <c r="AF340" i="7"/>
  <c r="AE340" i="7"/>
  <c r="AD340" i="7"/>
  <c r="AC340" i="7"/>
  <c r="AB340" i="7"/>
  <c r="AG339" i="7"/>
  <c r="AF339" i="7"/>
  <c r="AE339" i="7"/>
  <c r="AD339" i="7"/>
  <c r="AC339" i="7"/>
  <c r="AB339" i="7"/>
  <c r="AG338" i="7"/>
  <c r="AF338" i="7"/>
  <c r="AE338" i="7"/>
  <c r="AD338" i="7"/>
  <c r="AC338" i="7"/>
  <c r="AB338" i="7"/>
  <c r="AG337" i="7"/>
  <c r="AF337" i="7"/>
  <c r="AE337" i="7"/>
  <c r="AD337" i="7"/>
  <c r="AC337" i="7"/>
  <c r="AB337" i="7"/>
  <c r="AG336" i="7"/>
  <c r="AF336" i="7"/>
  <c r="AE336" i="7"/>
  <c r="AD336" i="7"/>
  <c r="AC336" i="7"/>
  <c r="AB336" i="7"/>
  <c r="AG335" i="7"/>
  <c r="AF335" i="7"/>
  <c r="AE335" i="7"/>
  <c r="AD335" i="7"/>
  <c r="AC335" i="7"/>
  <c r="AB335" i="7"/>
  <c r="AG334" i="7"/>
  <c r="AF334" i="7"/>
  <c r="AE334" i="7"/>
  <c r="AD334" i="7"/>
  <c r="AC334" i="7"/>
  <c r="AB334" i="7"/>
  <c r="AG333" i="7"/>
  <c r="AF333" i="7"/>
  <c r="AE333" i="7"/>
  <c r="AD333" i="7"/>
  <c r="AC333" i="7"/>
  <c r="AB333" i="7"/>
  <c r="AG332" i="7"/>
  <c r="AF332" i="7"/>
  <c r="AE332" i="7"/>
  <c r="AD332" i="7"/>
  <c r="AC332" i="7"/>
  <c r="AB332" i="7"/>
  <c r="AG331" i="7"/>
  <c r="AF331" i="7"/>
  <c r="AE331" i="7"/>
  <c r="AD331" i="7"/>
  <c r="AC331" i="7"/>
  <c r="AB331" i="7"/>
  <c r="AG330" i="7"/>
  <c r="AF330" i="7"/>
  <c r="AE330" i="7"/>
  <c r="AD330" i="7"/>
  <c r="AC330" i="7"/>
  <c r="AB330" i="7"/>
  <c r="AG329" i="7"/>
  <c r="AF329" i="7"/>
  <c r="AE329" i="7"/>
  <c r="AD329" i="7"/>
  <c r="AC329" i="7"/>
  <c r="AB329" i="7"/>
  <c r="AG328" i="7"/>
  <c r="AF328" i="7"/>
  <c r="AE328" i="7"/>
  <c r="AD328" i="7"/>
  <c r="AC328" i="7"/>
  <c r="AB328" i="7"/>
  <c r="AG327" i="7"/>
  <c r="AF327" i="7"/>
  <c r="AE327" i="7"/>
  <c r="AD327" i="7"/>
  <c r="AC327" i="7"/>
  <c r="AB327" i="7"/>
  <c r="AG326" i="7"/>
  <c r="AF326" i="7"/>
  <c r="AE326" i="7"/>
  <c r="AD326" i="7"/>
  <c r="AC326" i="7"/>
  <c r="AB326" i="7"/>
  <c r="AG325" i="7"/>
  <c r="AF325" i="7"/>
  <c r="AE325" i="7"/>
  <c r="AD325" i="7"/>
  <c r="AC325" i="7"/>
  <c r="AB325" i="7"/>
  <c r="AG324" i="7"/>
  <c r="AF324" i="7"/>
  <c r="AE324" i="7"/>
  <c r="AD324" i="7"/>
  <c r="AC324" i="7"/>
  <c r="AB324" i="7"/>
  <c r="AG323" i="7"/>
  <c r="AF323" i="7"/>
  <c r="AE323" i="7"/>
  <c r="AD323" i="7"/>
  <c r="AC323" i="7"/>
  <c r="AB323" i="7"/>
  <c r="AG322" i="7"/>
  <c r="AF322" i="7"/>
  <c r="AE322" i="7"/>
  <c r="AD322" i="7"/>
  <c r="AC322" i="7"/>
  <c r="AB322" i="7"/>
  <c r="AG321" i="7"/>
  <c r="AF321" i="7"/>
  <c r="AE321" i="7"/>
  <c r="AD321" i="7"/>
  <c r="AC321" i="7"/>
  <c r="AB321" i="7"/>
  <c r="AG320" i="7"/>
  <c r="AF320" i="7"/>
  <c r="AE320" i="7"/>
  <c r="AD320" i="7"/>
  <c r="AC320" i="7"/>
  <c r="AB320" i="7"/>
  <c r="AG319" i="7"/>
  <c r="AF319" i="7"/>
  <c r="AE319" i="7"/>
  <c r="AD319" i="7"/>
  <c r="AC319" i="7"/>
  <c r="AB319" i="7"/>
  <c r="AG318" i="7"/>
  <c r="AF318" i="7"/>
  <c r="AE318" i="7"/>
  <c r="AD318" i="7"/>
  <c r="AC318" i="7"/>
  <c r="AB318" i="7"/>
  <c r="AG317" i="7"/>
  <c r="AF317" i="7"/>
  <c r="AE317" i="7"/>
  <c r="AD317" i="7"/>
  <c r="AC317" i="7"/>
  <c r="AB317" i="7"/>
  <c r="AG316" i="7"/>
  <c r="AF316" i="7"/>
  <c r="AE316" i="7"/>
  <c r="AD316" i="7"/>
  <c r="AC316" i="7"/>
  <c r="AB316" i="7"/>
  <c r="AG315" i="7"/>
  <c r="AF315" i="7"/>
  <c r="AE315" i="7"/>
  <c r="AD315" i="7"/>
  <c r="AC315" i="7"/>
  <c r="AB315" i="7"/>
  <c r="AG314" i="7"/>
  <c r="AF314" i="7"/>
  <c r="AE314" i="7"/>
  <c r="AD314" i="7"/>
  <c r="AC314" i="7"/>
  <c r="AB314" i="7"/>
  <c r="AG313" i="7"/>
  <c r="AF313" i="7"/>
  <c r="AE313" i="7"/>
  <c r="AD313" i="7"/>
  <c r="AC313" i="7"/>
  <c r="AB313" i="7"/>
  <c r="AG312" i="7"/>
  <c r="AF312" i="7"/>
  <c r="AE312" i="7"/>
  <c r="AD312" i="7"/>
  <c r="AC312" i="7"/>
  <c r="AB312" i="7"/>
  <c r="AG311" i="7"/>
  <c r="AF311" i="7"/>
  <c r="AE311" i="7"/>
  <c r="AD311" i="7"/>
  <c r="AC311" i="7"/>
  <c r="AB311" i="7"/>
  <c r="AG310" i="7"/>
  <c r="AF310" i="7"/>
  <c r="AE310" i="7"/>
  <c r="AD310" i="7"/>
  <c r="AC310" i="7"/>
  <c r="AB310" i="7"/>
  <c r="AG309" i="7"/>
  <c r="AF309" i="7"/>
  <c r="AE309" i="7"/>
  <c r="AD309" i="7"/>
  <c r="AC309" i="7"/>
  <c r="AB309" i="7"/>
  <c r="AG308" i="7"/>
  <c r="AF308" i="7"/>
  <c r="AE308" i="7"/>
  <c r="AD308" i="7"/>
  <c r="AC308" i="7"/>
  <c r="AB308" i="7"/>
  <c r="AG307" i="7"/>
  <c r="AF307" i="7"/>
  <c r="AE307" i="7"/>
  <c r="AD307" i="7"/>
  <c r="AC307" i="7"/>
  <c r="AB307" i="7"/>
  <c r="AG306" i="7"/>
  <c r="AF306" i="7"/>
  <c r="AE306" i="7"/>
  <c r="AD306" i="7"/>
  <c r="AC306" i="7"/>
  <c r="AB306" i="7"/>
  <c r="AG305" i="7"/>
  <c r="AF305" i="7"/>
  <c r="AE305" i="7"/>
  <c r="AD305" i="7"/>
  <c r="AC305" i="7"/>
  <c r="AB305" i="7"/>
  <c r="AG304" i="7"/>
  <c r="AF304" i="7"/>
  <c r="AE304" i="7"/>
  <c r="AD304" i="7"/>
  <c r="AC304" i="7"/>
  <c r="AB304" i="7"/>
  <c r="AG303" i="7"/>
  <c r="AF303" i="7"/>
  <c r="AE303" i="7"/>
  <c r="AD303" i="7"/>
  <c r="AC303" i="7"/>
  <c r="AB303" i="7"/>
  <c r="AG302" i="7"/>
  <c r="AF302" i="7"/>
  <c r="AE302" i="7"/>
  <c r="AD302" i="7"/>
  <c r="AC302" i="7"/>
  <c r="AB302" i="7"/>
  <c r="AG301" i="7"/>
  <c r="AF301" i="7"/>
  <c r="AE301" i="7"/>
  <c r="AD301" i="7"/>
  <c r="AC301" i="7"/>
  <c r="AB301" i="7"/>
  <c r="AG300" i="7"/>
  <c r="AF300" i="7"/>
  <c r="AE300" i="7"/>
  <c r="AD300" i="7"/>
  <c r="AC300" i="7"/>
  <c r="AB300" i="7"/>
  <c r="AG299" i="7"/>
  <c r="AF299" i="7"/>
  <c r="AE299" i="7"/>
  <c r="AD299" i="7"/>
  <c r="AC299" i="7"/>
  <c r="AB299" i="7"/>
  <c r="AG298" i="7"/>
  <c r="AF298" i="7"/>
  <c r="AE298" i="7"/>
  <c r="AD298" i="7"/>
  <c r="AC298" i="7"/>
  <c r="AB298" i="7"/>
  <c r="AG297" i="7"/>
  <c r="AF297" i="7"/>
  <c r="AE297" i="7"/>
  <c r="AD297" i="7"/>
  <c r="AC297" i="7"/>
  <c r="AB297" i="7"/>
  <c r="AG296" i="7"/>
  <c r="AF296" i="7"/>
  <c r="AE296" i="7"/>
  <c r="AD296" i="7"/>
  <c r="AC296" i="7"/>
  <c r="AB296" i="7"/>
  <c r="AG295" i="7"/>
  <c r="AF295" i="7"/>
  <c r="AE295" i="7"/>
  <c r="AD295" i="7"/>
  <c r="AC295" i="7"/>
  <c r="AB295" i="7"/>
  <c r="AG294" i="7"/>
  <c r="AF294" i="7"/>
  <c r="AE294" i="7"/>
  <c r="AD294" i="7"/>
  <c r="AC294" i="7"/>
  <c r="AB294" i="7"/>
  <c r="AG293" i="7"/>
  <c r="AF293" i="7"/>
  <c r="AE293" i="7"/>
  <c r="AD293" i="7"/>
  <c r="AC293" i="7"/>
  <c r="AB293" i="7"/>
  <c r="AG292" i="7"/>
  <c r="AF292" i="7"/>
  <c r="AE292" i="7"/>
  <c r="AD292" i="7"/>
  <c r="AC292" i="7"/>
  <c r="AB292" i="7"/>
  <c r="AG291" i="7"/>
  <c r="AF291" i="7"/>
  <c r="AE291" i="7"/>
  <c r="AD291" i="7"/>
  <c r="AC291" i="7"/>
  <c r="AB291" i="7"/>
  <c r="AG290" i="7"/>
  <c r="AF290" i="7"/>
  <c r="AE290" i="7"/>
  <c r="AD290" i="7"/>
  <c r="AC290" i="7"/>
  <c r="AB290" i="7"/>
  <c r="AG289" i="7"/>
  <c r="AF289" i="7"/>
  <c r="AE289" i="7"/>
  <c r="AD289" i="7"/>
  <c r="AC289" i="7"/>
  <c r="AB289" i="7"/>
  <c r="AG288" i="7"/>
  <c r="AF288" i="7"/>
  <c r="AE288" i="7"/>
  <c r="AD288" i="7"/>
  <c r="AC288" i="7"/>
  <c r="AB288" i="7"/>
  <c r="AG287" i="7"/>
  <c r="AF287" i="7"/>
  <c r="AE287" i="7"/>
  <c r="AD287" i="7"/>
  <c r="AC287" i="7"/>
  <c r="AB287" i="7"/>
  <c r="AG286" i="7"/>
  <c r="AF286" i="7"/>
  <c r="AE286" i="7"/>
  <c r="AD286" i="7"/>
  <c r="AC286" i="7"/>
  <c r="AB286" i="7"/>
  <c r="AG285" i="7"/>
  <c r="AF285" i="7"/>
  <c r="AE285" i="7"/>
  <c r="AD285" i="7"/>
  <c r="AC285" i="7"/>
  <c r="AB285" i="7"/>
  <c r="AG284" i="7"/>
  <c r="AF284" i="7"/>
  <c r="AE284" i="7"/>
  <c r="AD284" i="7"/>
  <c r="AC284" i="7"/>
  <c r="AB284" i="7"/>
  <c r="AG283" i="7"/>
  <c r="AF283" i="7"/>
  <c r="AE283" i="7"/>
  <c r="AD283" i="7"/>
  <c r="AC283" i="7"/>
  <c r="AB283" i="7"/>
  <c r="AG282" i="7"/>
  <c r="AF282" i="7"/>
  <c r="AE282" i="7"/>
  <c r="AD282" i="7"/>
  <c r="AC282" i="7"/>
  <c r="AB282" i="7"/>
  <c r="AG281" i="7"/>
  <c r="AF281" i="7"/>
  <c r="AE281" i="7"/>
  <c r="AD281" i="7"/>
  <c r="AC281" i="7"/>
  <c r="AB281" i="7"/>
  <c r="AG280" i="7"/>
  <c r="AF280" i="7"/>
  <c r="AE280" i="7"/>
  <c r="AD280" i="7"/>
  <c r="AC280" i="7"/>
  <c r="AB280" i="7"/>
  <c r="AG279" i="7"/>
  <c r="AF279" i="7"/>
  <c r="AE279" i="7"/>
  <c r="AD279" i="7"/>
  <c r="AC279" i="7"/>
  <c r="AB279" i="7"/>
  <c r="AG278" i="7"/>
  <c r="AF278" i="7"/>
  <c r="AE278" i="7"/>
  <c r="AD278" i="7"/>
  <c r="AC278" i="7"/>
  <c r="AB278" i="7"/>
  <c r="AG277" i="7"/>
  <c r="AF277" i="7"/>
  <c r="AE277" i="7"/>
  <c r="AD277" i="7"/>
  <c r="AC277" i="7"/>
  <c r="AB277" i="7"/>
  <c r="AG276" i="7"/>
  <c r="AF276" i="7"/>
  <c r="AE276" i="7"/>
  <c r="AD276" i="7"/>
  <c r="AC276" i="7"/>
  <c r="AB276" i="7"/>
  <c r="AG275" i="7"/>
  <c r="AF275" i="7"/>
  <c r="AE275" i="7"/>
  <c r="AD275" i="7"/>
  <c r="AC275" i="7"/>
  <c r="AB275" i="7"/>
  <c r="AG274" i="7"/>
  <c r="AF274" i="7"/>
  <c r="AE274" i="7"/>
  <c r="AD274" i="7"/>
  <c r="AC274" i="7"/>
  <c r="AB274" i="7"/>
  <c r="AG273" i="7"/>
  <c r="AF273" i="7"/>
  <c r="AE273" i="7"/>
  <c r="AD273" i="7"/>
  <c r="AC273" i="7"/>
  <c r="AB273" i="7"/>
  <c r="AG272" i="7"/>
  <c r="AF272" i="7"/>
  <c r="AE272" i="7"/>
  <c r="AD272" i="7"/>
  <c r="AC272" i="7"/>
  <c r="AB272" i="7"/>
  <c r="AG271" i="7"/>
  <c r="AF271" i="7"/>
  <c r="AE271" i="7"/>
  <c r="AD271" i="7"/>
  <c r="AC271" i="7"/>
  <c r="AB271" i="7"/>
  <c r="AG270" i="7"/>
  <c r="AF270" i="7"/>
  <c r="AE270" i="7"/>
  <c r="AD270" i="7"/>
  <c r="AC270" i="7"/>
  <c r="AB270" i="7"/>
  <c r="AG269" i="7"/>
  <c r="AF269" i="7"/>
  <c r="AE269" i="7"/>
  <c r="AD269" i="7"/>
  <c r="AC269" i="7"/>
  <c r="AB269" i="7"/>
  <c r="AG268" i="7"/>
  <c r="AF268" i="7"/>
  <c r="AE268" i="7"/>
  <c r="AD268" i="7"/>
  <c r="AC268" i="7"/>
  <c r="AB268" i="7"/>
  <c r="AG267" i="7"/>
  <c r="AF267" i="7"/>
  <c r="AE267" i="7"/>
  <c r="AD267" i="7"/>
  <c r="AC267" i="7"/>
  <c r="AB267" i="7"/>
  <c r="AG266" i="7"/>
  <c r="AF266" i="7"/>
  <c r="AE266" i="7"/>
  <c r="AD266" i="7"/>
  <c r="AC266" i="7"/>
  <c r="AB266" i="7"/>
  <c r="AG265" i="7"/>
  <c r="AF265" i="7"/>
  <c r="AE265" i="7"/>
  <c r="AD265" i="7"/>
  <c r="AC265" i="7"/>
  <c r="AB265" i="7"/>
  <c r="AG264" i="7"/>
  <c r="AF264" i="7"/>
  <c r="AE264" i="7"/>
  <c r="AD264" i="7"/>
  <c r="AC264" i="7"/>
  <c r="AB264" i="7"/>
  <c r="AG263" i="7"/>
  <c r="AF263" i="7"/>
  <c r="AE263" i="7"/>
  <c r="AD263" i="7"/>
  <c r="AC263" i="7"/>
  <c r="AB263" i="7"/>
  <c r="AG262" i="7"/>
  <c r="AF262" i="7"/>
  <c r="AE262" i="7"/>
  <c r="AD262" i="7"/>
  <c r="AC262" i="7"/>
  <c r="AB262" i="7"/>
  <c r="AG261" i="7"/>
  <c r="AF261" i="7"/>
  <c r="AE261" i="7"/>
  <c r="AD261" i="7"/>
  <c r="AC261" i="7"/>
  <c r="AB261" i="7"/>
  <c r="AG260" i="7"/>
  <c r="AF260" i="7"/>
  <c r="AE260" i="7"/>
  <c r="AD260" i="7"/>
  <c r="AC260" i="7"/>
  <c r="AB260" i="7"/>
  <c r="AG259" i="7"/>
  <c r="AF259" i="7"/>
  <c r="AE259" i="7"/>
  <c r="AD259" i="7"/>
  <c r="AC259" i="7"/>
  <c r="AB259" i="7"/>
  <c r="AG258" i="7"/>
  <c r="AF258" i="7"/>
  <c r="AE258" i="7"/>
  <c r="AD258" i="7"/>
  <c r="AC258" i="7"/>
  <c r="AB258" i="7"/>
  <c r="AG257" i="7"/>
  <c r="AF257" i="7"/>
  <c r="AE257" i="7"/>
  <c r="AD257" i="7"/>
  <c r="AC257" i="7"/>
  <c r="AB257" i="7"/>
  <c r="AG256" i="7"/>
  <c r="AF256" i="7"/>
  <c r="AE256" i="7"/>
  <c r="AD256" i="7"/>
  <c r="AC256" i="7"/>
  <c r="AB256" i="7"/>
  <c r="AG255" i="7"/>
  <c r="AF255" i="7"/>
  <c r="AE255" i="7"/>
  <c r="AD255" i="7"/>
  <c r="AC255" i="7"/>
  <c r="AB255" i="7"/>
  <c r="AG254" i="7"/>
  <c r="AF254" i="7"/>
  <c r="AE254" i="7"/>
  <c r="AD254" i="7"/>
  <c r="AC254" i="7"/>
  <c r="AB254" i="7"/>
  <c r="AG253" i="7"/>
  <c r="AF253" i="7"/>
  <c r="AE253" i="7"/>
  <c r="AD253" i="7"/>
  <c r="AC253" i="7"/>
  <c r="AB253" i="7"/>
  <c r="AG252" i="7"/>
  <c r="AF252" i="7"/>
  <c r="AE252" i="7"/>
  <c r="AD252" i="7"/>
  <c r="AC252" i="7"/>
  <c r="AB252" i="7"/>
  <c r="AG251" i="7"/>
  <c r="AF251" i="7"/>
  <c r="AE251" i="7"/>
  <c r="AD251" i="7"/>
  <c r="AC251" i="7"/>
  <c r="AB251" i="7"/>
  <c r="AG250" i="7"/>
  <c r="AF250" i="7"/>
  <c r="AE250" i="7"/>
  <c r="AD250" i="7"/>
  <c r="AC250" i="7"/>
  <c r="AB250" i="7"/>
  <c r="AG249" i="7"/>
  <c r="AF249" i="7"/>
  <c r="AE249" i="7"/>
  <c r="AD249" i="7"/>
  <c r="AC249" i="7"/>
  <c r="AB249" i="7"/>
  <c r="AF248" i="7"/>
  <c r="AE248" i="7"/>
  <c r="AD248" i="7"/>
  <c r="AC248" i="7"/>
  <c r="AB248" i="7"/>
  <c r="AG247" i="7"/>
  <c r="AF247" i="7"/>
  <c r="AE247" i="7"/>
  <c r="AD247" i="7"/>
  <c r="AC247" i="7"/>
  <c r="AB247" i="7"/>
  <c r="AG246" i="7"/>
  <c r="AF246" i="7"/>
  <c r="AE246" i="7"/>
  <c r="AD246" i="7"/>
  <c r="AC246" i="7"/>
  <c r="AB246" i="7"/>
  <c r="AG245" i="7"/>
  <c r="AF245" i="7"/>
  <c r="AE245" i="7"/>
  <c r="AD245" i="7"/>
  <c r="AC245" i="7"/>
  <c r="AB245" i="7"/>
  <c r="AG244" i="7"/>
  <c r="AF244" i="7"/>
  <c r="AE244" i="7"/>
  <c r="AD244" i="7"/>
  <c r="AC244" i="7"/>
  <c r="AB244" i="7"/>
  <c r="AG243" i="7"/>
  <c r="AF243" i="7"/>
  <c r="AE243" i="7"/>
  <c r="AD243" i="7"/>
  <c r="AC243" i="7"/>
  <c r="AB243" i="7"/>
  <c r="AG242" i="7"/>
  <c r="AF242" i="7"/>
  <c r="AE242" i="7"/>
  <c r="AD242" i="7"/>
  <c r="AC242" i="7"/>
  <c r="AB242" i="7"/>
  <c r="AG241" i="7"/>
  <c r="AF241" i="7"/>
  <c r="AE241" i="7"/>
  <c r="AD241" i="7"/>
  <c r="AC241" i="7"/>
  <c r="AB241" i="7"/>
  <c r="AG240" i="7"/>
  <c r="AF240" i="7"/>
  <c r="AE240" i="7"/>
  <c r="AD240" i="7"/>
  <c r="AC240" i="7"/>
  <c r="AB240" i="7"/>
  <c r="AG239" i="7"/>
  <c r="AF239" i="7"/>
  <c r="AE239" i="7"/>
  <c r="AD239" i="7"/>
  <c r="AC239" i="7"/>
  <c r="AB239" i="7"/>
  <c r="AG238" i="7"/>
  <c r="AF238" i="7"/>
  <c r="AE238" i="7"/>
  <c r="AD238" i="7"/>
  <c r="AC238" i="7"/>
  <c r="AB238" i="7"/>
  <c r="AG237" i="7"/>
  <c r="AF237" i="7"/>
  <c r="AE237" i="7"/>
  <c r="AD237" i="7"/>
  <c r="AC237" i="7"/>
  <c r="AB237" i="7"/>
  <c r="AG236" i="7"/>
  <c r="AF236" i="7"/>
  <c r="AE236" i="7"/>
  <c r="AD236" i="7"/>
  <c r="AC236" i="7"/>
  <c r="AB236" i="7"/>
  <c r="AG235" i="7"/>
  <c r="AF235" i="7"/>
  <c r="AE235" i="7"/>
  <c r="AD235" i="7"/>
  <c r="AC235" i="7"/>
  <c r="AB235" i="7"/>
  <c r="AG234" i="7"/>
  <c r="AF234" i="7"/>
  <c r="AE234" i="7"/>
  <c r="AD234" i="7"/>
  <c r="AC234" i="7"/>
  <c r="AB234" i="7"/>
  <c r="AG233" i="7"/>
  <c r="AF233" i="7"/>
  <c r="AE233" i="7"/>
  <c r="AD233" i="7"/>
  <c r="AC233" i="7"/>
  <c r="AB233" i="7"/>
  <c r="AG232" i="7"/>
  <c r="AF232" i="7"/>
  <c r="AE232" i="7"/>
  <c r="AD232" i="7"/>
  <c r="AC232" i="7"/>
  <c r="AB232" i="7"/>
  <c r="AG231" i="7"/>
  <c r="AF231" i="7"/>
  <c r="AE231" i="7"/>
  <c r="AD231" i="7"/>
  <c r="AC231" i="7"/>
  <c r="AB231" i="7"/>
  <c r="AG230" i="7"/>
  <c r="AF230" i="7"/>
  <c r="AE230" i="7"/>
  <c r="AD230" i="7"/>
  <c r="AC230" i="7"/>
  <c r="AB230" i="7"/>
  <c r="AG229" i="7"/>
  <c r="AF229" i="7"/>
  <c r="AE229" i="7"/>
  <c r="AD229" i="7"/>
  <c r="AC229" i="7"/>
  <c r="AB229" i="7"/>
  <c r="AG228" i="7"/>
  <c r="AF228" i="7"/>
  <c r="AE228" i="7"/>
  <c r="AD228" i="7"/>
  <c r="AC228" i="7"/>
  <c r="AB228" i="7"/>
  <c r="AG227" i="7"/>
  <c r="AF227" i="7"/>
  <c r="AE227" i="7"/>
  <c r="AD227" i="7"/>
  <c r="AC227" i="7"/>
  <c r="AB227" i="7"/>
  <c r="AG226" i="7"/>
  <c r="AF226" i="7"/>
  <c r="AE226" i="7"/>
  <c r="AD226" i="7"/>
  <c r="AC226" i="7"/>
  <c r="AB226" i="7"/>
  <c r="AG225" i="7"/>
  <c r="AF225" i="7"/>
  <c r="AE225" i="7"/>
  <c r="AD225" i="7"/>
  <c r="AC225" i="7"/>
  <c r="AB225" i="7"/>
  <c r="AG224" i="7"/>
  <c r="AF224" i="7"/>
  <c r="AE224" i="7"/>
  <c r="AD224" i="7"/>
  <c r="AC224" i="7"/>
  <c r="AB224" i="7"/>
  <c r="AG223" i="7"/>
  <c r="AF223" i="7"/>
  <c r="AE223" i="7"/>
  <c r="AD223" i="7"/>
  <c r="AC223" i="7"/>
  <c r="AB223" i="7"/>
  <c r="AG222" i="7"/>
  <c r="AF222" i="7"/>
  <c r="AE222" i="7"/>
  <c r="AD222" i="7"/>
  <c r="AC222" i="7"/>
  <c r="AB222" i="7"/>
  <c r="AG221" i="7"/>
  <c r="AF221" i="7"/>
  <c r="AE221" i="7"/>
  <c r="AD221" i="7"/>
  <c r="AC221" i="7"/>
  <c r="AB221" i="7"/>
  <c r="AG220" i="7"/>
  <c r="AF220" i="7"/>
  <c r="AE220" i="7"/>
  <c r="AD220" i="7"/>
  <c r="AC220" i="7"/>
  <c r="AB220" i="7"/>
  <c r="AG219" i="7"/>
  <c r="AF219" i="7"/>
  <c r="AE219" i="7"/>
  <c r="AD219" i="7"/>
  <c r="AC219" i="7"/>
  <c r="AB219" i="7"/>
  <c r="AG218" i="7"/>
  <c r="AF218" i="7"/>
  <c r="AE218" i="7"/>
  <c r="AD218" i="7"/>
  <c r="AC218" i="7"/>
  <c r="AB218" i="7"/>
  <c r="AG217" i="7"/>
  <c r="AF217" i="7"/>
  <c r="AE217" i="7"/>
  <c r="AD217" i="7"/>
  <c r="AC217" i="7"/>
  <c r="AB217" i="7"/>
  <c r="AG216" i="7"/>
  <c r="AF216" i="7"/>
  <c r="AE216" i="7"/>
  <c r="AD216" i="7"/>
  <c r="AC216" i="7"/>
  <c r="AB216" i="7"/>
  <c r="AG215" i="7"/>
  <c r="AF215" i="7"/>
  <c r="AE215" i="7"/>
  <c r="AD215" i="7"/>
  <c r="AC215" i="7"/>
  <c r="AB215" i="7"/>
  <c r="AG214" i="7"/>
  <c r="AF214" i="7"/>
  <c r="AE214" i="7"/>
  <c r="AD214" i="7"/>
  <c r="AC214" i="7"/>
  <c r="AB214" i="7"/>
  <c r="AG213" i="7"/>
  <c r="AF213" i="7"/>
  <c r="AE213" i="7"/>
  <c r="AD213" i="7"/>
  <c r="AC213" i="7"/>
  <c r="AB213" i="7"/>
  <c r="AG212" i="7"/>
  <c r="AF212" i="7"/>
  <c r="AE212" i="7"/>
  <c r="AD212" i="7"/>
  <c r="AC212" i="7"/>
  <c r="AB212" i="7"/>
  <c r="AG211" i="7"/>
  <c r="AF211" i="7"/>
  <c r="AE211" i="7"/>
  <c r="AD211" i="7"/>
  <c r="AC211" i="7"/>
  <c r="AB211" i="7"/>
  <c r="AG210" i="7"/>
  <c r="AF210" i="7"/>
  <c r="AE210" i="7"/>
  <c r="AD210" i="7"/>
  <c r="AC210" i="7"/>
  <c r="AB210" i="7"/>
  <c r="AG209" i="7"/>
  <c r="AF209" i="7"/>
  <c r="AE209" i="7"/>
  <c r="AD209" i="7"/>
  <c r="AC209" i="7"/>
  <c r="AB209" i="7"/>
  <c r="AG208" i="7"/>
  <c r="AF208" i="7"/>
  <c r="AE208" i="7"/>
  <c r="AD208" i="7"/>
  <c r="AC208" i="7"/>
  <c r="AB208" i="7"/>
  <c r="AG207" i="7"/>
  <c r="AF207" i="7"/>
  <c r="AE207" i="7"/>
  <c r="AD207" i="7"/>
  <c r="AC207" i="7"/>
  <c r="AB207" i="7"/>
  <c r="AG206" i="7"/>
  <c r="AF206" i="7"/>
  <c r="AE206" i="7"/>
  <c r="AD206" i="7"/>
  <c r="AC206" i="7"/>
  <c r="AB206" i="7"/>
  <c r="AG205" i="7"/>
  <c r="AF205" i="7"/>
  <c r="AE205" i="7"/>
  <c r="AD205" i="7"/>
  <c r="AC205" i="7"/>
  <c r="AB205" i="7"/>
  <c r="AG204" i="7"/>
  <c r="AF204" i="7"/>
  <c r="AE204" i="7"/>
  <c r="AD204" i="7"/>
  <c r="AC204" i="7"/>
  <c r="AB204" i="7"/>
  <c r="AG203" i="7"/>
  <c r="AF203" i="7"/>
  <c r="AE203" i="7"/>
  <c r="AD203" i="7"/>
  <c r="AC203" i="7"/>
  <c r="AB203" i="7"/>
  <c r="AG202" i="7"/>
  <c r="AF202" i="7"/>
  <c r="AE202" i="7"/>
  <c r="AD202" i="7"/>
  <c r="AC202" i="7"/>
  <c r="AB202" i="7"/>
  <c r="AG201" i="7"/>
  <c r="AF201" i="7"/>
  <c r="AE201" i="7"/>
  <c r="AD201" i="7"/>
  <c r="AC201" i="7"/>
  <c r="AB201" i="7"/>
  <c r="AG200" i="7"/>
  <c r="AF200" i="7"/>
  <c r="AE200" i="7"/>
  <c r="AD200" i="7"/>
  <c r="AC200" i="7"/>
  <c r="AB200" i="7"/>
  <c r="AG199" i="7"/>
  <c r="AF199" i="7"/>
  <c r="AE199" i="7"/>
  <c r="AD199" i="7"/>
  <c r="AC199" i="7"/>
  <c r="AB199" i="7"/>
  <c r="AG198" i="7"/>
  <c r="AF198" i="7"/>
  <c r="AE198" i="7"/>
  <c r="AD198" i="7"/>
  <c r="AC198" i="7"/>
  <c r="AB198" i="7"/>
  <c r="AG197" i="7"/>
  <c r="AF197" i="7"/>
  <c r="AE197" i="7"/>
  <c r="AD197" i="7"/>
  <c r="AC197" i="7"/>
  <c r="AB197" i="7"/>
  <c r="AG196" i="7"/>
  <c r="AF196" i="7"/>
  <c r="AE196" i="7"/>
  <c r="AD196" i="7"/>
  <c r="AC196" i="7"/>
  <c r="AB196" i="7"/>
  <c r="AG195" i="7"/>
  <c r="AF195" i="7"/>
  <c r="AE195" i="7"/>
  <c r="AD195" i="7"/>
  <c r="AC195" i="7"/>
  <c r="AB195" i="7"/>
  <c r="AG194" i="7"/>
  <c r="AF194" i="7"/>
  <c r="AE194" i="7"/>
  <c r="AD194" i="7"/>
  <c r="AC194" i="7"/>
  <c r="AB194" i="7"/>
  <c r="AG193" i="7"/>
  <c r="AF193" i="7"/>
  <c r="AE193" i="7"/>
  <c r="AD193" i="7"/>
  <c r="AC193" i="7"/>
  <c r="AB193" i="7"/>
  <c r="AG192" i="7"/>
  <c r="AF192" i="7"/>
  <c r="AE192" i="7"/>
  <c r="AD192" i="7"/>
  <c r="AC192" i="7"/>
  <c r="AB192" i="7"/>
  <c r="AG191" i="7"/>
  <c r="AF191" i="7"/>
  <c r="AE191" i="7"/>
  <c r="AD191" i="7"/>
  <c r="AC191" i="7"/>
  <c r="AB191" i="7"/>
  <c r="AG190" i="7"/>
  <c r="AF190" i="7"/>
  <c r="AE190" i="7"/>
  <c r="AD190" i="7"/>
  <c r="AC190" i="7"/>
  <c r="AB190" i="7"/>
  <c r="AG189" i="7"/>
  <c r="AF189" i="7"/>
  <c r="AE189" i="7"/>
  <c r="AD189" i="7"/>
  <c r="AC189" i="7"/>
  <c r="AB189" i="7"/>
  <c r="AG188" i="7"/>
  <c r="AF188" i="7"/>
  <c r="AE188" i="7"/>
  <c r="AD188" i="7"/>
  <c r="AC188" i="7"/>
  <c r="AB188" i="7"/>
  <c r="AG187" i="7"/>
  <c r="AF187" i="7"/>
  <c r="AE187" i="7"/>
  <c r="AD187" i="7"/>
  <c r="AC187" i="7"/>
  <c r="AB187" i="7"/>
  <c r="AG186" i="7"/>
  <c r="AF186" i="7"/>
  <c r="AE186" i="7"/>
  <c r="AD186" i="7"/>
  <c r="AC186" i="7"/>
  <c r="AB186" i="7"/>
  <c r="AG185" i="7"/>
  <c r="AF185" i="7"/>
  <c r="AE185" i="7"/>
  <c r="AD185" i="7"/>
  <c r="AC185" i="7"/>
  <c r="AB185" i="7"/>
  <c r="AG184" i="7"/>
  <c r="AF184" i="7"/>
  <c r="AE184" i="7"/>
  <c r="AD184" i="7"/>
  <c r="AC184" i="7"/>
  <c r="AB184" i="7"/>
  <c r="AG183" i="7"/>
  <c r="AF183" i="7"/>
  <c r="AE183" i="7"/>
  <c r="AD183" i="7"/>
  <c r="AC183" i="7"/>
  <c r="AB183" i="7"/>
  <c r="AG182" i="7"/>
  <c r="AF182" i="7"/>
  <c r="AE182" i="7"/>
  <c r="AD182" i="7"/>
  <c r="AC182" i="7"/>
  <c r="AB182" i="7"/>
  <c r="AG181" i="7"/>
  <c r="AF181" i="7"/>
  <c r="AE181" i="7"/>
  <c r="AD181" i="7"/>
  <c r="AC181" i="7"/>
  <c r="AB181" i="7"/>
  <c r="AG180" i="7"/>
  <c r="AF180" i="7"/>
  <c r="AE180" i="7"/>
  <c r="AD180" i="7"/>
  <c r="AC180" i="7"/>
  <c r="AB180" i="7"/>
  <c r="AG179" i="7"/>
  <c r="AF179" i="7"/>
  <c r="AE179" i="7"/>
  <c r="AD179" i="7"/>
  <c r="AC179" i="7"/>
  <c r="AB179" i="7"/>
  <c r="AG178" i="7"/>
  <c r="AF178" i="7"/>
  <c r="AE178" i="7"/>
  <c r="AD178" i="7"/>
  <c r="AC178" i="7"/>
  <c r="AB178" i="7"/>
  <c r="AG177" i="7"/>
  <c r="AF177" i="7"/>
  <c r="AE177" i="7"/>
  <c r="AD177" i="7"/>
  <c r="AC177" i="7"/>
  <c r="AB177" i="7"/>
  <c r="AG176" i="7"/>
  <c r="AF176" i="7"/>
  <c r="AE176" i="7"/>
  <c r="AD176" i="7"/>
  <c r="AC176" i="7"/>
  <c r="AB176" i="7"/>
  <c r="AG175" i="7"/>
  <c r="AF175" i="7"/>
  <c r="AE175" i="7"/>
  <c r="AD175" i="7"/>
  <c r="AC175" i="7"/>
  <c r="AB175" i="7"/>
  <c r="AG174" i="7"/>
  <c r="AF174" i="7"/>
  <c r="AE174" i="7"/>
  <c r="AD174" i="7"/>
  <c r="AC174" i="7"/>
  <c r="AB174" i="7"/>
  <c r="AG173" i="7"/>
  <c r="AF173" i="7"/>
  <c r="AE173" i="7"/>
  <c r="AD173" i="7"/>
  <c r="AC173" i="7"/>
  <c r="AB173" i="7"/>
  <c r="AG172" i="7"/>
  <c r="AF172" i="7"/>
  <c r="AE172" i="7"/>
  <c r="AD172" i="7"/>
  <c r="AC172" i="7"/>
  <c r="AB172" i="7"/>
  <c r="AG171" i="7"/>
  <c r="AF171" i="7"/>
  <c r="AE171" i="7"/>
  <c r="AD171" i="7"/>
  <c r="AC171" i="7"/>
  <c r="AB171" i="7"/>
  <c r="AG170" i="7"/>
  <c r="AF170" i="7"/>
  <c r="AE170" i="7"/>
  <c r="AD170" i="7"/>
  <c r="AC170" i="7"/>
  <c r="AB170" i="7"/>
  <c r="AG169" i="7"/>
  <c r="AF169" i="7"/>
  <c r="AE169" i="7"/>
  <c r="AD169" i="7"/>
  <c r="AC169" i="7"/>
  <c r="AB169" i="7"/>
  <c r="AG168" i="7"/>
  <c r="AF168" i="7"/>
  <c r="AE168" i="7"/>
  <c r="AD168" i="7"/>
  <c r="AC168" i="7"/>
  <c r="AB168" i="7"/>
  <c r="AG167" i="7"/>
  <c r="AF167" i="7"/>
  <c r="AE167" i="7"/>
  <c r="AD167" i="7"/>
  <c r="AC167" i="7"/>
  <c r="AB167" i="7"/>
  <c r="AG166" i="7"/>
  <c r="AF166" i="7"/>
  <c r="AE166" i="7"/>
  <c r="AD166" i="7"/>
  <c r="AC166" i="7"/>
  <c r="AB166" i="7"/>
  <c r="AG165" i="7"/>
  <c r="AF165" i="7"/>
  <c r="AE165" i="7"/>
  <c r="AD165" i="7"/>
  <c r="AC165" i="7"/>
  <c r="AB165" i="7"/>
  <c r="AG164" i="7"/>
  <c r="AF164" i="7"/>
  <c r="AE164" i="7"/>
  <c r="AD164" i="7"/>
  <c r="AC164" i="7"/>
  <c r="AB164" i="7"/>
  <c r="AG163" i="7"/>
  <c r="AF163" i="7"/>
  <c r="AE163" i="7"/>
  <c r="AD163" i="7"/>
  <c r="AC163" i="7"/>
  <c r="AB163" i="7"/>
  <c r="AG162" i="7"/>
  <c r="AF162" i="7"/>
  <c r="AE162" i="7"/>
  <c r="AD162" i="7"/>
  <c r="AC162" i="7"/>
  <c r="AB162" i="7"/>
  <c r="AG161" i="7"/>
  <c r="AF161" i="7"/>
  <c r="AE161" i="7"/>
  <c r="AD161" i="7"/>
  <c r="AC161" i="7"/>
  <c r="AB161" i="7"/>
  <c r="AG160" i="7"/>
  <c r="AF160" i="7"/>
  <c r="AE160" i="7"/>
  <c r="AD160" i="7"/>
  <c r="AC160" i="7"/>
  <c r="AB160" i="7"/>
  <c r="AG159" i="7"/>
  <c r="AF159" i="7"/>
  <c r="AE159" i="7"/>
  <c r="AD159" i="7"/>
  <c r="AC159" i="7"/>
  <c r="AB159" i="7"/>
  <c r="AG158" i="7"/>
  <c r="AF158" i="7"/>
  <c r="AE158" i="7"/>
  <c r="AD158" i="7"/>
  <c r="AC158" i="7"/>
  <c r="AB158" i="7"/>
  <c r="AG157" i="7"/>
  <c r="AF157" i="7"/>
  <c r="AE157" i="7"/>
  <c r="AD157" i="7"/>
  <c r="AC157" i="7"/>
  <c r="AB157" i="7"/>
  <c r="AG156" i="7"/>
  <c r="AF156" i="7"/>
  <c r="AE156" i="7"/>
  <c r="AD156" i="7"/>
  <c r="AC156" i="7"/>
  <c r="AB156" i="7"/>
  <c r="AG155" i="7"/>
  <c r="AF155" i="7"/>
  <c r="AE155" i="7"/>
  <c r="AD155" i="7"/>
  <c r="AC155" i="7"/>
  <c r="AB155" i="7"/>
  <c r="AG154" i="7"/>
  <c r="AF154" i="7"/>
  <c r="AE154" i="7"/>
  <c r="AD154" i="7"/>
  <c r="AC154" i="7"/>
  <c r="AB154" i="7"/>
  <c r="AG153" i="7"/>
  <c r="AF153" i="7"/>
  <c r="AE153" i="7"/>
  <c r="AD153" i="7"/>
  <c r="AC153" i="7"/>
  <c r="AB153" i="7"/>
  <c r="AG152" i="7"/>
  <c r="AF152" i="7"/>
  <c r="AE152" i="7"/>
  <c r="AD152" i="7"/>
  <c r="AC152" i="7"/>
  <c r="AB152" i="7"/>
  <c r="AG151" i="7"/>
  <c r="AF151" i="7"/>
  <c r="AE151" i="7"/>
  <c r="AD151" i="7"/>
  <c r="AC151" i="7"/>
  <c r="AB151" i="7"/>
  <c r="AG150" i="7"/>
  <c r="AF150" i="7"/>
  <c r="AE150" i="7"/>
  <c r="AD150" i="7"/>
  <c r="AC150" i="7"/>
  <c r="AB150" i="7"/>
  <c r="AG149" i="7"/>
  <c r="AF149" i="7"/>
  <c r="AE149" i="7"/>
  <c r="AD149" i="7"/>
  <c r="AC149" i="7"/>
  <c r="AB149" i="7"/>
  <c r="AG148" i="7"/>
  <c r="AF148" i="7"/>
  <c r="AE148" i="7"/>
  <c r="AD148" i="7"/>
  <c r="AC148" i="7"/>
  <c r="AB148" i="7"/>
  <c r="AG147" i="7"/>
  <c r="AF147" i="7"/>
  <c r="AE147" i="7"/>
  <c r="AD147" i="7"/>
  <c r="AC147" i="7"/>
  <c r="AB147" i="7"/>
  <c r="AG146" i="7"/>
  <c r="AF146" i="7"/>
  <c r="AE146" i="7"/>
  <c r="AD146" i="7"/>
  <c r="AC146" i="7"/>
  <c r="AB146" i="7"/>
  <c r="AG145" i="7"/>
  <c r="AF145" i="7"/>
  <c r="AE145" i="7"/>
  <c r="AD145" i="7"/>
  <c r="AC145" i="7"/>
  <c r="AB145" i="7"/>
  <c r="AG144" i="7"/>
  <c r="AF144" i="7"/>
  <c r="AE144" i="7"/>
  <c r="AD144" i="7"/>
  <c r="AC144" i="7"/>
  <c r="AB144" i="7"/>
  <c r="AG143" i="7"/>
  <c r="AF143" i="7"/>
  <c r="AE143" i="7"/>
  <c r="AD143" i="7"/>
  <c r="AC143" i="7"/>
  <c r="AB143" i="7"/>
  <c r="AG142" i="7"/>
  <c r="AF142" i="7"/>
  <c r="AE142" i="7"/>
  <c r="AD142" i="7"/>
  <c r="AC142" i="7"/>
  <c r="AB142" i="7"/>
  <c r="AG141" i="7"/>
  <c r="AF141" i="7"/>
  <c r="AE141" i="7"/>
  <c r="AD141" i="7"/>
  <c r="AC141" i="7"/>
  <c r="AG140" i="7"/>
  <c r="AF140" i="7"/>
  <c r="AE140" i="7"/>
  <c r="AD140" i="7"/>
  <c r="AC140" i="7"/>
  <c r="AB140" i="7"/>
  <c r="AG139" i="7"/>
  <c r="AF139" i="7"/>
  <c r="AE139" i="7"/>
  <c r="AD139" i="7"/>
  <c r="AC139" i="7"/>
  <c r="AB139" i="7"/>
  <c r="AG138" i="7"/>
  <c r="AF138" i="7"/>
  <c r="AE138" i="7"/>
  <c r="AD138" i="7"/>
  <c r="AC138" i="7"/>
  <c r="AB138" i="7"/>
  <c r="AG137" i="7"/>
  <c r="AF137" i="7"/>
  <c r="AE137" i="7"/>
  <c r="AD137" i="7"/>
  <c r="AC137" i="7"/>
  <c r="AB137" i="7"/>
  <c r="AG136" i="7"/>
  <c r="AF136" i="7"/>
  <c r="AE136" i="7"/>
  <c r="AD136" i="7"/>
  <c r="AC136" i="7"/>
  <c r="AB136" i="7"/>
  <c r="AG135" i="7"/>
  <c r="AF135" i="7"/>
  <c r="AE135" i="7"/>
  <c r="AD135" i="7"/>
  <c r="AC135" i="7"/>
  <c r="AB135" i="7"/>
  <c r="AG134" i="7"/>
  <c r="AF134" i="7"/>
  <c r="AE134" i="7"/>
  <c r="AD134" i="7"/>
  <c r="AC134" i="7"/>
  <c r="AB134" i="7"/>
  <c r="AG133" i="7"/>
  <c r="AF133" i="7"/>
  <c r="AE133" i="7"/>
  <c r="AD133" i="7"/>
  <c r="AC133" i="7"/>
  <c r="AB133" i="7"/>
  <c r="AG132" i="7"/>
  <c r="AF132" i="7"/>
  <c r="AE132" i="7"/>
  <c r="AD132" i="7"/>
  <c r="AC132" i="7"/>
  <c r="AB132" i="7"/>
  <c r="AG131" i="7"/>
  <c r="AF131" i="7"/>
  <c r="AE131" i="7"/>
  <c r="AD131" i="7"/>
  <c r="AC131" i="7"/>
  <c r="AB131" i="7"/>
  <c r="AG130" i="7"/>
  <c r="AF130" i="7"/>
  <c r="AE130" i="7"/>
  <c r="AD130" i="7"/>
  <c r="AC130" i="7"/>
  <c r="AB130" i="7"/>
  <c r="AG129" i="7"/>
  <c r="AF129" i="7"/>
  <c r="AE129" i="7"/>
  <c r="AD129" i="7"/>
  <c r="AC129" i="7"/>
  <c r="AB129" i="7"/>
  <c r="AG128" i="7"/>
  <c r="AF128" i="7"/>
  <c r="AE128" i="7"/>
  <c r="AD128" i="7"/>
  <c r="AC128" i="7"/>
  <c r="AB128" i="7"/>
  <c r="AG127" i="7"/>
  <c r="AF127" i="7"/>
  <c r="AE127" i="7"/>
  <c r="AD127" i="7"/>
  <c r="AC127" i="7"/>
  <c r="AB127" i="7"/>
  <c r="AG126" i="7"/>
  <c r="AF126" i="7"/>
  <c r="AE126" i="7"/>
  <c r="AD126" i="7"/>
  <c r="AC126" i="7"/>
  <c r="AB126" i="7"/>
  <c r="AG125" i="7"/>
  <c r="AF125" i="7"/>
  <c r="AE125" i="7"/>
  <c r="AD125" i="7"/>
  <c r="AC125" i="7"/>
  <c r="AB125" i="7"/>
  <c r="AG124" i="7"/>
  <c r="AF124" i="7"/>
  <c r="AE124" i="7"/>
  <c r="AD124" i="7"/>
  <c r="AC124" i="7"/>
  <c r="AB124" i="7"/>
  <c r="AF123" i="7"/>
  <c r="AE123" i="7"/>
  <c r="AD123" i="7"/>
  <c r="AC123" i="7"/>
  <c r="AB123" i="7"/>
  <c r="AG122" i="7"/>
  <c r="AF122" i="7"/>
  <c r="AE122" i="7"/>
  <c r="AD122" i="7"/>
  <c r="AC122" i="7"/>
  <c r="AB122" i="7"/>
  <c r="AG121" i="7"/>
  <c r="AF121" i="7"/>
  <c r="AE121" i="7"/>
  <c r="AD121" i="7"/>
  <c r="AC121" i="7"/>
  <c r="AB121" i="7"/>
  <c r="AG120" i="7"/>
  <c r="AF120" i="7"/>
  <c r="AE120" i="7"/>
  <c r="AD120" i="7"/>
  <c r="AC120" i="7"/>
  <c r="AB120" i="7"/>
  <c r="AG119" i="7"/>
  <c r="AF119" i="7"/>
  <c r="AE119" i="7"/>
  <c r="AD119" i="7"/>
  <c r="AC119" i="7"/>
  <c r="AB119" i="7"/>
  <c r="AG118" i="7"/>
  <c r="AF118" i="7"/>
  <c r="AE118" i="7"/>
  <c r="AD118" i="7"/>
  <c r="AC118" i="7"/>
  <c r="AB118" i="7"/>
  <c r="AG117" i="7"/>
  <c r="AF117" i="7"/>
  <c r="AE117" i="7"/>
  <c r="AD117" i="7"/>
  <c r="AC117" i="7"/>
  <c r="AB117" i="7"/>
  <c r="AG116" i="7"/>
  <c r="AF116" i="7"/>
  <c r="AE116" i="7"/>
  <c r="AD116" i="7"/>
  <c r="AC116" i="7"/>
  <c r="AB116" i="7"/>
  <c r="AG115" i="7"/>
  <c r="AF115" i="7"/>
  <c r="AE115" i="7"/>
  <c r="AD115" i="7"/>
  <c r="AC115" i="7"/>
  <c r="AB115" i="7"/>
  <c r="AF114" i="7"/>
  <c r="AE114" i="7"/>
  <c r="AD114" i="7"/>
  <c r="AC114" i="7"/>
  <c r="AB114" i="7"/>
  <c r="AG113" i="7"/>
  <c r="AF113" i="7"/>
  <c r="AE113" i="7"/>
  <c r="AD113" i="7"/>
  <c r="AC113" i="7"/>
  <c r="AB113" i="7"/>
  <c r="AG112" i="7"/>
  <c r="AF112" i="7"/>
  <c r="AE112" i="7"/>
  <c r="AD112" i="7"/>
  <c r="AC112" i="7"/>
  <c r="AB112" i="7"/>
  <c r="AG111" i="7"/>
  <c r="AF111" i="7"/>
  <c r="AE111" i="7"/>
  <c r="AD111" i="7"/>
  <c r="AC111" i="7"/>
  <c r="AB111" i="7"/>
  <c r="AG110" i="7"/>
  <c r="AF110" i="7"/>
  <c r="AE110" i="7"/>
  <c r="AD110" i="7"/>
  <c r="AC110" i="7"/>
  <c r="AB110" i="7"/>
  <c r="AG109" i="7"/>
  <c r="AF109" i="7"/>
  <c r="AE109" i="7"/>
  <c r="AD109" i="7"/>
  <c r="AC109" i="7"/>
  <c r="AB109" i="7"/>
  <c r="AG108" i="7"/>
  <c r="AF108" i="7"/>
  <c r="AE108" i="7"/>
  <c r="AD108" i="7"/>
  <c r="AC108" i="7"/>
  <c r="AB108" i="7"/>
  <c r="AG107" i="7"/>
  <c r="AF107" i="7"/>
  <c r="AE107" i="7"/>
  <c r="AC107" i="7"/>
  <c r="AB107" i="7"/>
  <c r="AG106" i="7"/>
  <c r="AF106" i="7"/>
  <c r="AE106" i="7"/>
  <c r="AD106" i="7"/>
  <c r="AC106" i="7"/>
  <c r="AB106" i="7"/>
  <c r="AG105" i="7"/>
  <c r="AF105" i="7"/>
  <c r="AE105" i="7"/>
  <c r="AD105" i="7"/>
  <c r="AC105" i="7"/>
  <c r="AB105" i="7"/>
  <c r="AG104" i="7"/>
  <c r="AF104" i="7"/>
  <c r="AE104" i="7"/>
  <c r="AD104" i="7"/>
  <c r="AC104" i="7"/>
  <c r="AB104" i="7"/>
  <c r="AG103" i="7"/>
  <c r="AF103" i="7"/>
  <c r="AE103" i="7"/>
  <c r="AD103" i="7"/>
  <c r="AC103" i="7"/>
  <c r="AB103" i="7"/>
  <c r="AG102" i="7"/>
  <c r="AF102" i="7"/>
  <c r="AE102" i="7"/>
  <c r="AD102" i="7"/>
  <c r="AC102" i="7"/>
  <c r="AB102" i="7"/>
  <c r="AG101" i="7"/>
  <c r="AF101" i="7"/>
  <c r="AE101" i="7"/>
  <c r="AD101" i="7"/>
  <c r="AC101" i="7"/>
  <c r="AB101" i="7"/>
  <c r="AG100" i="7"/>
  <c r="AF100" i="7"/>
  <c r="AE100" i="7"/>
  <c r="AD100" i="7"/>
  <c r="AC100" i="7"/>
  <c r="AB100" i="7"/>
  <c r="AG99" i="7"/>
  <c r="AF99" i="7"/>
  <c r="AE99" i="7"/>
  <c r="AD99" i="7"/>
  <c r="AC99" i="7"/>
  <c r="AB99" i="7"/>
  <c r="AG98" i="7"/>
  <c r="AF98" i="7"/>
  <c r="AE98" i="7"/>
  <c r="AD98" i="7"/>
  <c r="AC98" i="7"/>
  <c r="AB98" i="7"/>
  <c r="AG97" i="7"/>
  <c r="AF97" i="7"/>
  <c r="AE97" i="7"/>
  <c r="AD97" i="7"/>
  <c r="AC97" i="7"/>
  <c r="AB97" i="7"/>
  <c r="AG96" i="7"/>
  <c r="AF96" i="7"/>
  <c r="AE96" i="7"/>
  <c r="AD96" i="7"/>
  <c r="AC96" i="7"/>
  <c r="AB96" i="7"/>
  <c r="AG95" i="7"/>
  <c r="AF95" i="7"/>
  <c r="AE95" i="7"/>
  <c r="AD95" i="7"/>
  <c r="AC95" i="7"/>
  <c r="AB95" i="7"/>
  <c r="AG94" i="7"/>
  <c r="AF94" i="7"/>
  <c r="AE94" i="7"/>
  <c r="AD94" i="7"/>
  <c r="AC94" i="7"/>
  <c r="AB94" i="7"/>
  <c r="AG93" i="7"/>
  <c r="AF93" i="7"/>
  <c r="AE93" i="7"/>
  <c r="AD93" i="7"/>
  <c r="AC93" i="7"/>
  <c r="AB93" i="7"/>
  <c r="AF92" i="7"/>
  <c r="AE92" i="7"/>
  <c r="AD92" i="7"/>
  <c r="AC92" i="7"/>
  <c r="AB92" i="7"/>
  <c r="AF91" i="7"/>
  <c r="AE91" i="7"/>
  <c r="AD91" i="7"/>
  <c r="AC91" i="7"/>
  <c r="AB91" i="7"/>
  <c r="AG90" i="7"/>
  <c r="AF90" i="7"/>
  <c r="AE90" i="7"/>
  <c r="AD90" i="7"/>
  <c r="AC90" i="7"/>
  <c r="AB90" i="7"/>
  <c r="AG89" i="7"/>
  <c r="AF89" i="7"/>
  <c r="AE89" i="7"/>
  <c r="AD89" i="7"/>
  <c r="AC89" i="7"/>
  <c r="AB89" i="7"/>
  <c r="AG88" i="7"/>
  <c r="AF88" i="7"/>
  <c r="AE88" i="7"/>
  <c r="AD88" i="7"/>
  <c r="AC88" i="7"/>
  <c r="AB88" i="7"/>
  <c r="AG87" i="7"/>
  <c r="AF87" i="7"/>
  <c r="AE87" i="7"/>
  <c r="AD87" i="7"/>
  <c r="AC87" i="7"/>
  <c r="AB87" i="7"/>
  <c r="AG86" i="7"/>
  <c r="AF86" i="7"/>
  <c r="AE86" i="7"/>
  <c r="AD86" i="7"/>
  <c r="AC86" i="7"/>
  <c r="AB86" i="7"/>
  <c r="AG85" i="7"/>
  <c r="AF85" i="7"/>
  <c r="AE85" i="7"/>
  <c r="AD85" i="7"/>
  <c r="AC85" i="7"/>
  <c r="AB85" i="7"/>
  <c r="AG84" i="7"/>
  <c r="AF84" i="7"/>
  <c r="AE84" i="7"/>
  <c r="AD84" i="7"/>
  <c r="AC84" i="7"/>
  <c r="AB84" i="7"/>
  <c r="AG83" i="7"/>
  <c r="AF83" i="7"/>
  <c r="AE83" i="7"/>
  <c r="AD83" i="7"/>
  <c r="AC83" i="7"/>
  <c r="AB83" i="7"/>
  <c r="AG82" i="7"/>
  <c r="AF82" i="7"/>
  <c r="AE82" i="7"/>
  <c r="AD82" i="7"/>
  <c r="AC82" i="7"/>
  <c r="AB82" i="7"/>
  <c r="AG81" i="7"/>
  <c r="AF81" i="7"/>
  <c r="AE81" i="7"/>
  <c r="AD81" i="7"/>
  <c r="AC81" i="7"/>
  <c r="AB81" i="7"/>
  <c r="AG80" i="7"/>
  <c r="AF80" i="7"/>
  <c r="AE80" i="7"/>
  <c r="AD80" i="7"/>
  <c r="AC80" i="7"/>
  <c r="AB80" i="7"/>
  <c r="AG79" i="7"/>
  <c r="AF79" i="7"/>
  <c r="AE79" i="7"/>
  <c r="AD79" i="7"/>
  <c r="AC79" i="7"/>
  <c r="AB79" i="7"/>
  <c r="AG78" i="7"/>
  <c r="AF78" i="7"/>
  <c r="AE78" i="7"/>
  <c r="AD78" i="7"/>
  <c r="AC78" i="7"/>
  <c r="AB78" i="7"/>
  <c r="AG77" i="7"/>
  <c r="AF77" i="7"/>
  <c r="AE77" i="7"/>
  <c r="AD77" i="7"/>
  <c r="AC77" i="7"/>
  <c r="AB77" i="7"/>
  <c r="AG76" i="7"/>
  <c r="AF76" i="7"/>
  <c r="AE76" i="7"/>
  <c r="AD76" i="7"/>
  <c r="AC76" i="7"/>
  <c r="AB76" i="7"/>
  <c r="AG75" i="7"/>
  <c r="AF75" i="7"/>
  <c r="AE75" i="7"/>
  <c r="AD75" i="7"/>
  <c r="AC75" i="7"/>
  <c r="AB75" i="7"/>
  <c r="AG74" i="7"/>
  <c r="AF74" i="7"/>
  <c r="AE74" i="7"/>
  <c r="AD74" i="7"/>
  <c r="AC74" i="7"/>
  <c r="AB74" i="7"/>
  <c r="AG73" i="7"/>
  <c r="AF73" i="7"/>
  <c r="AE73" i="7"/>
  <c r="AD73" i="7"/>
  <c r="AC73" i="7"/>
  <c r="AB73" i="7"/>
  <c r="AG72" i="7"/>
  <c r="AF72" i="7"/>
  <c r="AE72" i="7"/>
  <c r="AD72" i="7"/>
  <c r="AC72" i="7"/>
  <c r="AB72" i="7"/>
  <c r="AG71" i="7"/>
  <c r="AF71" i="7"/>
  <c r="AE71" i="7"/>
  <c r="AD71" i="7"/>
  <c r="AC71" i="7"/>
  <c r="AB71" i="7"/>
  <c r="AG70" i="7"/>
  <c r="AF70" i="7"/>
  <c r="AE70" i="7"/>
  <c r="AD70" i="7"/>
  <c r="AC70" i="7"/>
  <c r="AB70" i="7"/>
  <c r="AG69" i="7"/>
  <c r="AF69" i="7"/>
  <c r="AE69" i="7"/>
  <c r="AD69" i="7"/>
  <c r="AC69" i="7"/>
  <c r="AB69" i="7"/>
  <c r="AG68" i="7"/>
  <c r="AF68" i="7"/>
  <c r="AE68" i="7"/>
  <c r="AD68" i="7"/>
  <c r="AC68" i="7"/>
  <c r="AB68" i="7"/>
  <c r="AG67" i="7"/>
  <c r="AF67" i="7"/>
  <c r="AE67" i="7"/>
  <c r="AD67" i="7"/>
  <c r="AC67" i="7"/>
  <c r="AB67" i="7"/>
  <c r="AG66" i="7"/>
  <c r="AF66" i="7"/>
  <c r="AE66" i="7"/>
  <c r="AD66" i="7"/>
  <c r="AC66" i="7"/>
  <c r="AB66" i="7"/>
  <c r="AG65" i="7"/>
  <c r="AF65" i="7"/>
  <c r="AE65" i="7"/>
  <c r="AD65" i="7"/>
  <c r="AC65" i="7"/>
  <c r="AB65" i="7"/>
  <c r="AG64" i="7"/>
  <c r="AF64" i="7"/>
  <c r="AE64" i="7"/>
  <c r="AD64" i="7"/>
  <c r="AC64" i="7"/>
  <c r="AB64" i="7"/>
  <c r="AG63" i="7"/>
  <c r="AF63" i="7"/>
  <c r="AE63" i="7"/>
  <c r="AD63" i="7"/>
  <c r="AC63" i="7"/>
  <c r="AB63" i="7"/>
  <c r="AG62" i="7"/>
  <c r="AF62" i="7"/>
  <c r="AE62" i="7"/>
  <c r="AD62" i="7"/>
  <c r="AC62" i="7"/>
  <c r="AB62" i="7"/>
  <c r="AG61" i="7"/>
  <c r="AF61" i="7"/>
  <c r="AE61" i="7"/>
  <c r="AD61" i="7"/>
  <c r="AC61" i="7"/>
  <c r="AB61" i="7"/>
  <c r="AG60" i="7"/>
  <c r="AF60" i="7"/>
  <c r="AE60" i="7"/>
  <c r="AD60" i="7"/>
  <c r="AC60" i="7"/>
  <c r="AB60" i="7"/>
  <c r="AG59" i="7"/>
  <c r="AF59" i="7"/>
  <c r="AE59" i="7"/>
  <c r="AD59" i="7"/>
  <c r="AC59" i="7"/>
  <c r="AB59" i="7"/>
  <c r="AG58" i="7"/>
  <c r="AF58" i="7"/>
  <c r="AE58" i="7"/>
  <c r="AD58" i="7"/>
  <c r="AC58" i="7"/>
  <c r="AB58" i="7"/>
  <c r="AG57" i="7"/>
  <c r="AF57" i="7"/>
  <c r="AE57" i="7"/>
  <c r="AD57" i="7"/>
  <c r="AC57" i="7"/>
  <c r="AB57" i="7"/>
  <c r="AG56" i="7"/>
  <c r="AF56" i="7"/>
  <c r="AE56" i="7"/>
  <c r="AD56" i="7"/>
  <c r="AC56" i="7"/>
  <c r="AB56" i="7"/>
  <c r="AG55" i="7"/>
  <c r="AF55" i="7"/>
  <c r="AE55" i="7"/>
  <c r="AD55" i="7"/>
  <c r="AC55" i="7"/>
  <c r="AB55" i="7"/>
  <c r="AG54" i="7"/>
  <c r="AF54" i="7"/>
  <c r="AE54" i="7"/>
  <c r="AD54" i="7"/>
  <c r="AC54" i="7"/>
  <c r="AB54" i="7"/>
  <c r="AG53" i="7"/>
  <c r="AF53" i="7"/>
  <c r="AE53" i="7"/>
  <c r="AD53" i="7"/>
  <c r="AC53" i="7"/>
  <c r="AB53" i="7"/>
  <c r="AG52" i="7"/>
  <c r="AF52" i="7"/>
  <c r="AE52" i="7"/>
  <c r="AD52" i="7"/>
  <c r="AC52" i="7"/>
  <c r="AB52" i="7"/>
  <c r="AG51" i="7"/>
  <c r="AF51" i="7"/>
  <c r="AE51" i="7"/>
  <c r="AD51" i="7"/>
  <c r="AC51" i="7"/>
  <c r="AB51" i="7"/>
  <c r="AG50" i="7"/>
  <c r="AF50" i="7"/>
  <c r="AE50" i="7"/>
  <c r="AD50" i="7"/>
  <c r="AC50" i="7"/>
  <c r="AB50" i="7"/>
  <c r="AG49" i="7"/>
  <c r="AF49" i="7"/>
  <c r="AE49" i="7"/>
  <c r="AD49" i="7"/>
  <c r="AC49" i="7"/>
  <c r="AB49" i="7"/>
  <c r="AG48" i="7"/>
  <c r="AF48" i="7"/>
  <c r="AE48" i="7"/>
  <c r="AD48" i="7"/>
  <c r="AC48" i="7"/>
  <c r="AB48" i="7"/>
  <c r="AG47" i="7"/>
  <c r="AF47" i="7"/>
  <c r="AE47" i="7"/>
  <c r="AD47" i="7"/>
  <c r="AC47" i="7"/>
  <c r="AB47" i="7"/>
  <c r="AG46" i="7"/>
  <c r="AF46" i="7"/>
  <c r="AE46" i="7"/>
  <c r="AD46" i="7"/>
  <c r="AC46" i="7"/>
  <c r="AB46" i="7"/>
  <c r="AG45" i="7"/>
  <c r="AF45" i="7"/>
  <c r="AE45" i="7"/>
  <c r="AD45" i="7"/>
  <c r="AC45" i="7"/>
  <c r="AB45" i="7"/>
  <c r="AG44" i="7"/>
  <c r="AF44" i="7"/>
  <c r="AE44" i="7"/>
  <c r="AD44" i="7"/>
  <c r="AC44" i="7"/>
  <c r="AB44" i="7"/>
  <c r="AG43" i="7"/>
  <c r="AF43" i="7"/>
  <c r="AE43" i="7"/>
  <c r="AD43" i="7"/>
  <c r="AC43" i="7"/>
  <c r="AB43" i="7"/>
  <c r="AG42" i="7"/>
  <c r="AF42" i="7"/>
  <c r="AE42" i="7"/>
  <c r="AD42" i="7"/>
  <c r="AC42" i="7"/>
  <c r="AB42" i="7"/>
  <c r="AG41" i="7"/>
  <c r="AF41" i="7"/>
  <c r="AE41" i="7"/>
  <c r="AD41" i="7"/>
  <c r="AC41" i="7"/>
  <c r="AB41" i="7"/>
  <c r="AG40" i="7"/>
  <c r="AF40" i="7"/>
  <c r="AE40" i="7"/>
  <c r="AD40" i="7"/>
  <c r="AC40" i="7"/>
  <c r="AB40" i="7"/>
  <c r="AG39" i="7"/>
  <c r="AF39" i="7"/>
  <c r="AE39" i="7"/>
  <c r="AD39" i="7"/>
  <c r="AC39" i="7"/>
  <c r="AB39" i="7"/>
  <c r="AG38" i="7"/>
  <c r="AF38" i="7"/>
  <c r="AE38" i="7"/>
  <c r="AD38" i="7"/>
  <c r="AC38" i="7"/>
  <c r="AB38" i="7"/>
  <c r="AG37" i="7"/>
  <c r="AF37" i="7"/>
  <c r="AE37" i="7"/>
  <c r="AD37" i="7"/>
  <c r="AC37" i="7"/>
  <c r="AB37" i="7"/>
  <c r="AF36" i="7"/>
  <c r="AE36" i="7"/>
  <c r="AD36" i="7"/>
  <c r="AC36" i="7"/>
  <c r="AB36" i="7"/>
  <c r="AG35" i="7"/>
  <c r="AF35" i="7"/>
  <c r="AE35" i="7"/>
  <c r="AD35" i="7"/>
  <c r="AC35" i="7"/>
  <c r="AB35" i="7"/>
  <c r="AG34" i="7"/>
  <c r="AF34" i="7"/>
  <c r="AE34" i="7"/>
  <c r="AD34" i="7"/>
  <c r="AC34" i="7"/>
  <c r="AB34" i="7"/>
  <c r="AG33" i="7"/>
  <c r="AF33" i="7"/>
  <c r="AE33" i="7"/>
  <c r="AD33" i="7"/>
  <c r="AC33" i="7"/>
  <c r="AB33" i="7"/>
  <c r="AG32" i="7"/>
  <c r="AF32" i="7"/>
  <c r="AE32" i="7"/>
  <c r="AD32" i="7"/>
  <c r="AC32" i="7"/>
  <c r="AB32" i="7"/>
  <c r="AG31" i="7"/>
  <c r="AF31" i="7"/>
  <c r="AE31" i="7"/>
  <c r="AD31" i="7"/>
  <c r="AC31" i="7"/>
  <c r="AB31" i="7"/>
  <c r="AG30" i="7"/>
  <c r="AF30" i="7"/>
  <c r="AE30" i="7"/>
  <c r="AD30" i="7"/>
  <c r="AC30" i="7"/>
  <c r="AB30" i="7"/>
  <c r="AG29" i="7"/>
  <c r="AF29" i="7"/>
  <c r="AE29" i="7"/>
  <c r="AD29" i="7"/>
  <c r="AC29" i="7"/>
  <c r="AB29" i="7"/>
  <c r="AG28" i="7"/>
  <c r="AF28" i="7"/>
  <c r="AE28" i="7"/>
  <c r="AD28" i="7"/>
  <c r="AC28" i="7"/>
  <c r="AB28" i="7"/>
  <c r="AG27" i="7"/>
  <c r="AF27" i="7"/>
  <c r="AE27" i="7"/>
  <c r="AD27" i="7"/>
  <c r="AC27" i="7"/>
  <c r="AB27" i="7"/>
  <c r="AG26" i="7"/>
  <c r="AF26" i="7"/>
  <c r="AE26" i="7"/>
  <c r="AD26" i="7"/>
  <c r="AC26" i="7"/>
  <c r="AB26" i="7"/>
  <c r="AG25" i="7"/>
  <c r="AF25" i="7"/>
  <c r="AE25" i="7"/>
  <c r="AD25" i="7"/>
  <c r="AC25" i="7"/>
  <c r="AB25" i="7"/>
  <c r="AG24" i="7"/>
  <c r="AF24" i="7"/>
  <c r="AE24" i="7"/>
  <c r="AD24" i="7"/>
  <c r="AC24" i="7"/>
  <c r="AB24" i="7"/>
  <c r="AG23" i="7"/>
  <c r="AF23" i="7"/>
  <c r="AE23" i="7"/>
  <c r="AD23" i="7"/>
  <c r="AC23" i="7"/>
  <c r="AB23" i="7"/>
  <c r="AG22" i="7"/>
  <c r="AF22" i="7"/>
  <c r="AE22" i="7"/>
  <c r="AD22" i="7"/>
  <c r="AC22" i="7"/>
  <c r="AB22" i="7"/>
  <c r="AG21" i="7"/>
  <c r="AF21" i="7"/>
  <c r="AE21" i="7"/>
  <c r="AD21" i="7"/>
  <c r="AC21" i="7"/>
  <c r="AB21" i="7"/>
  <c r="AG20" i="7"/>
  <c r="AF20" i="7"/>
  <c r="AE20" i="7"/>
  <c r="AD20" i="7"/>
  <c r="AC20" i="7"/>
  <c r="AB20" i="7"/>
  <c r="AG19" i="7"/>
  <c r="AF19" i="7"/>
  <c r="AE19" i="7"/>
  <c r="AD19" i="7"/>
  <c r="AC19" i="7"/>
  <c r="AB19" i="7"/>
  <c r="AG18" i="7"/>
  <c r="AF18" i="7"/>
  <c r="AE18" i="7"/>
  <c r="AD18" i="7"/>
  <c r="AC18" i="7"/>
  <c r="AB18" i="7"/>
  <c r="AG17" i="7"/>
  <c r="AF17" i="7"/>
  <c r="AE17" i="7"/>
  <c r="AD17" i="7"/>
  <c r="AC17" i="7"/>
  <c r="AB17" i="7"/>
  <c r="AG16" i="7"/>
  <c r="AF16" i="7"/>
  <c r="AE16" i="7"/>
  <c r="AD16" i="7"/>
  <c r="AC16" i="7"/>
  <c r="AB16" i="7"/>
  <c r="AG15" i="7"/>
  <c r="AF15" i="7"/>
  <c r="AE15" i="7"/>
  <c r="AD15" i="7"/>
  <c r="AC15" i="7"/>
  <c r="AB15" i="7"/>
  <c r="AG14" i="7"/>
  <c r="AF14" i="7"/>
  <c r="AE14" i="7"/>
  <c r="AD14" i="7"/>
  <c r="AC14" i="7"/>
  <c r="AB14" i="7"/>
  <c r="AG13" i="7"/>
  <c r="AF13" i="7"/>
  <c r="AE13" i="7"/>
  <c r="AD13" i="7"/>
  <c r="AC13" i="7"/>
  <c r="AB13" i="7"/>
  <c r="AG12" i="7"/>
  <c r="AF12" i="7"/>
  <c r="AE12" i="7"/>
  <c r="AD12" i="7"/>
  <c r="AC12" i="7"/>
  <c r="AB12" i="7"/>
  <c r="AG11" i="7"/>
  <c r="AF11" i="7"/>
  <c r="AE11" i="7"/>
  <c r="AD11" i="7"/>
  <c r="AC11" i="7"/>
  <c r="AB11" i="7"/>
  <c r="AG10" i="7"/>
  <c r="AF10" i="7"/>
  <c r="AE10" i="7"/>
  <c r="AD10" i="7"/>
  <c r="AC10" i="7"/>
  <c r="AG9" i="7"/>
  <c r="AF9" i="7"/>
  <c r="AE9" i="7"/>
  <c r="AD9" i="7"/>
  <c r="AC9" i="7"/>
  <c r="AB9" i="7"/>
  <c r="AG8" i="7"/>
  <c r="AF8" i="7"/>
  <c r="AE8" i="7"/>
  <c r="AD8" i="7"/>
  <c r="AC8" i="7"/>
  <c r="AB8" i="7"/>
  <c r="AG7" i="7"/>
  <c r="AF7" i="7"/>
  <c r="AE7" i="7"/>
  <c r="AD7" i="7"/>
  <c r="AC7" i="7"/>
  <c r="AB7" i="7"/>
  <c r="AG6" i="7"/>
  <c r="AF6" i="7"/>
  <c r="AE6" i="7"/>
  <c r="AD6" i="7"/>
  <c r="AC6" i="7"/>
  <c r="AB6" i="7"/>
  <c r="AG5" i="7"/>
  <c r="AF5" i="7"/>
  <c r="AE5" i="7"/>
  <c r="AD5" i="7"/>
  <c r="AC5" i="7"/>
  <c r="AB5" i="7"/>
  <c r="AG4" i="7"/>
  <c r="AF4" i="7"/>
  <c r="AE4" i="7"/>
  <c r="AD4" i="7"/>
  <c r="AC4" i="7"/>
  <c r="AB4" i="7"/>
  <c r="AG3" i="7"/>
  <c r="AF3" i="7"/>
  <c r="AE3" i="7"/>
  <c r="AD3" i="7"/>
  <c r="AC3" i="7"/>
  <c r="AB3" i="7"/>
  <c r="AG2" i="7"/>
  <c r="AF2" i="7"/>
  <c r="AE2" i="7"/>
  <c r="AD2" i="7"/>
  <c r="AC2" i="7"/>
  <c r="AB2" i="7"/>
  <c r="AI2" i="7"/>
  <c r="AI3" i="7"/>
  <c r="AI4" i="7"/>
  <c r="AI5" i="7"/>
  <c r="AI6" i="7"/>
  <c r="AI7" i="7"/>
  <c r="AI9" i="7"/>
  <c r="AI11" i="7"/>
  <c r="AI14" i="7"/>
  <c r="AI15" i="7"/>
  <c r="AI16" i="7"/>
  <c r="AI17" i="7"/>
  <c r="AI19" i="7"/>
  <c r="AI21" i="7"/>
  <c r="AI22" i="7"/>
  <c r="AI23" i="7"/>
  <c r="AI24" i="7"/>
  <c r="AI26" i="7"/>
  <c r="AI27" i="7"/>
  <c r="AI28" i="7"/>
  <c r="AI29" i="7"/>
  <c r="AI30" i="7"/>
  <c r="AI32" i="7"/>
  <c r="AI33" i="7"/>
  <c r="AI34" i="7"/>
  <c r="AI35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5" i="7"/>
  <c r="AI116" i="7"/>
  <c r="AI117" i="7"/>
  <c r="AI118" i="7"/>
  <c r="AI119" i="7"/>
  <c r="AI120" i="7"/>
  <c r="AI121" i="7"/>
  <c r="AI122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195" i="7"/>
  <c r="AI196" i="7"/>
  <c r="AI197" i="7"/>
  <c r="AI198" i="7"/>
  <c r="AI199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3" i="7"/>
  <c r="AI224" i="7"/>
  <c r="AI225" i="7"/>
  <c r="AI226" i="7"/>
  <c r="AI227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9" i="7"/>
  <c r="AI250" i="7"/>
  <c r="AI253" i="7"/>
  <c r="AI254" i="7"/>
  <c r="AI255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79" i="7"/>
  <c r="AI280" i="7"/>
  <c r="AI281" i="7"/>
  <c r="AI282" i="7"/>
  <c r="AI283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307" i="7"/>
  <c r="AI308" i="7"/>
  <c r="AI309" i="7"/>
  <c r="AI310" i="7"/>
  <c r="AI311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335" i="7"/>
  <c r="AI336" i="7"/>
  <c r="AI337" i="7"/>
  <c r="AI338" i="7"/>
  <c r="AI339" i="7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63" i="7"/>
  <c r="AI364" i="7"/>
  <c r="AI365" i="7"/>
  <c r="AI366" i="7"/>
  <c r="AI367" i="7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91" i="7"/>
  <c r="AI392" i="7"/>
  <c r="AI393" i="7"/>
  <c r="AI394" i="7"/>
  <c r="AI395" i="7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D787" i="7" l="1"/>
  <c r="AC787" i="7"/>
  <c r="AE787" i="7"/>
  <c r="AF787" i="7"/>
  <c r="J370" i="21"/>
  <c r="AA481" i="15"/>
  <c r="Z481" i="15"/>
  <c r="Y481" i="15"/>
  <c r="X481" i="15"/>
  <c r="W481" i="15"/>
  <c r="AA480" i="15"/>
  <c r="Z480" i="15"/>
  <c r="Y480" i="15"/>
  <c r="X480" i="15"/>
  <c r="W480" i="15"/>
  <c r="AA479" i="15"/>
  <c r="Z479" i="15"/>
  <c r="Y479" i="15"/>
  <c r="X479" i="15"/>
  <c r="W479" i="15"/>
  <c r="AA586" i="15"/>
  <c r="Z586" i="15"/>
  <c r="Y586" i="15"/>
  <c r="X586" i="15"/>
  <c r="W586" i="15"/>
  <c r="AA585" i="15"/>
  <c r="Z585" i="15"/>
  <c r="Y585" i="15"/>
  <c r="X585" i="15"/>
  <c r="W585" i="15"/>
  <c r="AA584" i="15"/>
  <c r="Z584" i="15"/>
  <c r="Y584" i="15"/>
  <c r="X584" i="15"/>
  <c r="W584" i="15"/>
  <c r="AA583" i="15"/>
  <c r="Z583" i="15"/>
  <c r="Y583" i="15"/>
  <c r="X583" i="15"/>
  <c r="W583" i="15"/>
  <c r="AA582" i="15"/>
  <c r="Z582" i="15"/>
  <c r="Y582" i="15"/>
  <c r="X582" i="15"/>
  <c r="W582" i="15"/>
  <c r="AA581" i="15"/>
  <c r="Z581" i="15"/>
  <c r="Y581" i="15"/>
  <c r="X581" i="15"/>
  <c r="W581" i="15"/>
  <c r="AA580" i="15"/>
  <c r="Z580" i="15"/>
  <c r="Y580" i="15"/>
  <c r="X580" i="15"/>
  <c r="W580" i="15"/>
  <c r="AA579" i="15"/>
  <c r="Z579" i="15"/>
  <c r="Y579" i="15"/>
  <c r="X579" i="15"/>
  <c r="W579" i="15"/>
  <c r="AA578" i="15"/>
  <c r="Z578" i="15"/>
  <c r="Y578" i="15"/>
  <c r="X578" i="15"/>
  <c r="W578" i="15"/>
  <c r="AA577" i="15"/>
  <c r="Z577" i="15"/>
  <c r="Y577" i="15"/>
  <c r="X577" i="15"/>
  <c r="W577" i="15"/>
  <c r="AA576" i="15"/>
  <c r="Z576" i="15"/>
  <c r="Y576" i="15"/>
  <c r="X576" i="15"/>
  <c r="W576" i="15"/>
  <c r="AA575" i="15"/>
  <c r="Z575" i="15"/>
  <c r="Y575" i="15"/>
  <c r="X575" i="15"/>
  <c r="W575" i="15"/>
  <c r="AA574" i="15"/>
  <c r="Z574" i="15"/>
  <c r="Y574" i="15"/>
  <c r="X574" i="15"/>
  <c r="W574" i="15"/>
  <c r="AA573" i="15"/>
  <c r="Z573" i="15"/>
  <c r="Y573" i="15"/>
  <c r="X573" i="15"/>
  <c r="W573" i="15"/>
  <c r="AA572" i="15"/>
  <c r="Z572" i="15"/>
  <c r="Y572" i="15"/>
  <c r="X572" i="15"/>
  <c r="W572" i="15"/>
  <c r="AA571" i="15"/>
  <c r="Z571" i="15"/>
  <c r="Y571" i="15"/>
  <c r="X571" i="15"/>
  <c r="W571" i="15"/>
  <c r="AA570" i="15"/>
  <c r="Z570" i="15"/>
  <c r="Y570" i="15"/>
  <c r="X570" i="15"/>
  <c r="W570" i="15"/>
  <c r="AA569" i="15"/>
  <c r="Z569" i="15"/>
  <c r="Y569" i="15"/>
  <c r="X569" i="15"/>
  <c r="W569" i="15"/>
  <c r="AA568" i="15"/>
  <c r="Z568" i="15"/>
  <c r="Y568" i="15"/>
  <c r="X568" i="15"/>
  <c r="W568" i="15"/>
  <c r="AA567" i="15"/>
  <c r="Z567" i="15"/>
  <c r="Y567" i="15"/>
  <c r="X567" i="15"/>
  <c r="W567" i="15"/>
  <c r="AA566" i="15"/>
  <c r="Z566" i="15"/>
  <c r="Y566" i="15"/>
  <c r="X566" i="15"/>
  <c r="W566" i="15"/>
  <c r="AA565" i="15"/>
  <c r="Z565" i="15"/>
  <c r="Y565" i="15"/>
  <c r="X565" i="15"/>
  <c r="W565" i="15"/>
  <c r="AA564" i="15"/>
  <c r="Z564" i="15"/>
  <c r="Y564" i="15"/>
  <c r="X564" i="15"/>
  <c r="W564" i="15"/>
  <c r="AA563" i="15"/>
  <c r="Z563" i="15"/>
  <c r="Y563" i="15"/>
  <c r="X563" i="15"/>
  <c r="W563" i="15"/>
  <c r="AA562" i="15"/>
  <c r="Z562" i="15"/>
  <c r="Y562" i="15"/>
  <c r="X562" i="15"/>
  <c r="W562" i="15"/>
  <c r="AA561" i="15"/>
  <c r="Z561" i="15"/>
  <c r="Y561" i="15"/>
  <c r="X561" i="15"/>
  <c r="W561" i="15"/>
  <c r="AA560" i="15"/>
  <c r="Z560" i="15"/>
  <c r="Y560" i="15"/>
  <c r="X560" i="15"/>
  <c r="W560" i="15"/>
  <c r="AA559" i="15"/>
  <c r="Z559" i="15"/>
  <c r="Y559" i="15"/>
  <c r="X559" i="15"/>
  <c r="W559" i="15"/>
  <c r="AA558" i="15"/>
  <c r="Z558" i="15"/>
  <c r="Y558" i="15"/>
  <c r="X558" i="15"/>
  <c r="W558" i="15"/>
  <c r="AA557" i="15"/>
  <c r="Z557" i="15"/>
  <c r="Y557" i="15"/>
  <c r="X557" i="15"/>
  <c r="W557" i="15"/>
  <c r="AA556" i="15"/>
  <c r="Z556" i="15"/>
  <c r="Y556" i="15"/>
  <c r="X556" i="15"/>
  <c r="W556" i="15"/>
  <c r="AA555" i="15"/>
  <c r="Z555" i="15"/>
  <c r="Y555" i="15"/>
  <c r="X555" i="15"/>
  <c r="W555" i="15"/>
  <c r="AA554" i="15"/>
  <c r="Z554" i="15"/>
  <c r="Y554" i="15"/>
  <c r="X554" i="15"/>
  <c r="W554" i="15"/>
  <c r="AA553" i="15"/>
  <c r="Z553" i="15"/>
  <c r="Y553" i="15"/>
  <c r="X553" i="15"/>
  <c r="W553" i="15"/>
  <c r="AA552" i="15"/>
  <c r="Z552" i="15"/>
  <c r="Y552" i="15"/>
  <c r="X552" i="15"/>
  <c r="W552" i="15"/>
  <c r="AA551" i="15"/>
  <c r="Z551" i="15"/>
  <c r="Y551" i="15"/>
  <c r="X551" i="15"/>
  <c r="W551" i="15"/>
  <c r="AA550" i="15"/>
  <c r="Z550" i="15"/>
  <c r="Y550" i="15"/>
  <c r="X550" i="15"/>
  <c r="W550" i="15"/>
  <c r="AA549" i="15"/>
  <c r="Z549" i="15"/>
  <c r="Y549" i="15"/>
  <c r="X549" i="15"/>
  <c r="W549" i="15"/>
  <c r="AA548" i="15"/>
  <c r="Z548" i="15"/>
  <c r="Y548" i="15"/>
  <c r="X548" i="15"/>
  <c r="W548" i="15"/>
  <c r="AA547" i="15"/>
  <c r="Z547" i="15"/>
  <c r="Y547" i="15"/>
  <c r="X547" i="15"/>
  <c r="W547" i="15"/>
  <c r="AA546" i="15"/>
  <c r="Z546" i="15"/>
  <c r="Y546" i="15"/>
  <c r="X546" i="15"/>
  <c r="W546" i="15"/>
  <c r="AA545" i="15"/>
  <c r="Z545" i="15"/>
  <c r="Y545" i="15"/>
  <c r="X545" i="15"/>
  <c r="W545" i="15"/>
  <c r="AA544" i="15"/>
  <c r="Z544" i="15"/>
  <c r="Y544" i="15"/>
  <c r="X544" i="15"/>
  <c r="W544" i="15"/>
  <c r="AA543" i="15"/>
  <c r="Z543" i="15"/>
  <c r="Y543" i="15"/>
  <c r="X543" i="15"/>
  <c r="W543" i="15"/>
  <c r="AA542" i="15"/>
  <c r="Z542" i="15"/>
  <c r="Y542" i="15"/>
  <c r="X542" i="15"/>
  <c r="W542" i="15"/>
  <c r="AA541" i="15"/>
  <c r="Z541" i="15"/>
  <c r="Y541" i="15"/>
  <c r="X541" i="15"/>
  <c r="W541" i="15"/>
  <c r="AA540" i="15"/>
  <c r="Z540" i="15"/>
  <c r="Y540" i="15"/>
  <c r="X540" i="15"/>
  <c r="W540" i="15"/>
  <c r="AA539" i="15"/>
  <c r="Z539" i="15"/>
  <c r="Y539" i="15"/>
  <c r="X539" i="15"/>
  <c r="W539" i="15"/>
  <c r="AA538" i="15"/>
  <c r="Z538" i="15"/>
  <c r="Y538" i="15"/>
  <c r="X538" i="15"/>
  <c r="W538" i="15"/>
  <c r="AA537" i="15"/>
  <c r="Z537" i="15"/>
  <c r="Y537" i="15"/>
  <c r="X537" i="15"/>
  <c r="W537" i="15"/>
  <c r="AA536" i="15"/>
  <c r="Z536" i="15"/>
  <c r="Y536" i="15"/>
  <c r="X536" i="15"/>
  <c r="W536" i="15"/>
  <c r="AA535" i="15"/>
  <c r="Z535" i="15"/>
  <c r="Y535" i="15"/>
  <c r="X535" i="15"/>
  <c r="W535" i="15"/>
  <c r="AA534" i="15"/>
  <c r="Z534" i="15"/>
  <c r="Y534" i="15"/>
  <c r="X534" i="15"/>
  <c r="W534" i="15"/>
  <c r="AA533" i="15"/>
  <c r="Z533" i="15"/>
  <c r="Y533" i="15"/>
  <c r="X533" i="15"/>
  <c r="W533" i="15"/>
  <c r="AA532" i="15"/>
  <c r="Z532" i="15"/>
  <c r="Y532" i="15"/>
  <c r="X532" i="15"/>
  <c r="W532" i="15"/>
  <c r="AA531" i="15"/>
  <c r="Z531" i="15"/>
  <c r="Y531" i="15"/>
  <c r="X531" i="15"/>
  <c r="W531" i="15"/>
  <c r="AA530" i="15"/>
  <c r="Z530" i="15"/>
  <c r="Y530" i="15"/>
  <c r="X530" i="15"/>
  <c r="W530" i="15"/>
  <c r="AA529" i="15"/>
  <c r="Z529" i="15"/>
  <c r="Y529" i="15"/>
  <c r="X529" i="15"/>
  <c r="W529" i="15"/>
  <c r="AA528" i="15"/>
  <c r="Z528" i="15"/>
  <c r="Y528" i="15"/>
  <c r="X528" i="15"/>
  <c r="W528" i="15"/>
  <c r="AA527" i="15"/>
  <c r="Z527" i="15"/>
  <c r="Y527" i="15"/>
  <c r="X527" i="15"/>
  <c r="W527" i="15"/>
  <c r="AA526" i="15"/>
  <c r="Z526" i="15"/>
  <c r="Y526" i="15"/>
  <c r="X526" i="15"/>
  <c r="W526" i="15"/>
  <c r="AA525" i="15"/>
  <c r="Z525" i="15"/>
  <c r="Y525" i="15"/>
  <c r="X525" i="15"/>
  <c r="W525" i="15"/>
  <c r="AA524" i="15"/>
  <c r="Z524" i="15"/>
  <c r="Y524" i="15"/>
  <c r="X524" i="15"/>
  <c r="W524" i="15"/>
  <c r="AA523" i="15"/>
  <c r="Z523" i="15"/>
  <c r="Y523" i="15"/>
  <c r="X523" i="15"/>
  <c r="W523" i="15"/>
  <c r="AA522" i="15"/>
  <c r="Z522" i="15"/>
  <c r="Y522" i="15"/>
  <c r="X522" i="15"/>
  <c r="W522" i="15"/>
  <c r="AA521" i="15"/>
  <c r="Z521" i="15"/>
  <c r="Y521" i="15"/>
  <c r="X521" i="15"/>
  <c r="W521" i="15"/>
  <c r="AA520" i="15"/>
  <c r="Z520" i="15"/>
  <c r="Y520" i="15"/>
  <c r="X520" i="15"/>
  <c r="W520" i="15"/>
  <c r="AA519" i="15"/>
  <c r="Z519" i="15"/>
  <c r="Y519" i="15"/>
  <c r="X519" i="15"/>
  <c r="W519" i="15"/>
  <c r="AA518" i="15"/>
  <c r="Z518" i="15"/>
  <c r="Y518" i="15"/>
  <c r="X518" i="15"/>
  <c r="W518" i="15"/>
  <c r="AA517" i="15"/>
  <c r="Z517" i="15"/>
  <c r="Y517" i="15"/>
  <c r="X517" i="15"/>
  <c r="W517" i="15"/>
  <c r="AA516" i="15"/>
  <c r="Z516" i="15"/>
  <c r="Y516" i="15"/>
  <c r="X516" i="15"/>
  <c r="W516" i="15"/>
  <c r="AA515" i="15"/>
  <c r="Z515" i="15"/>
  <c r="Y515" i="15"/>
  <c r="X515" i="15"/>
  <c r="W515" i="15"/>
  <c r="AA514" i="15"/>
  <c r="Z514" i="15"/>
  <c r="Y514" i="15"/>
  <c r="X514" i="15"/>
  <c r="W514" i="15"/>
  <c r="AA513" i="15"/>
  <c r="Z513" i="15"/>
  <c r="Y513" i="15"/>
  <c r="X513" i="15"/>
  <c r="W513" i="15"/>
  <c r="AA512" i="15"/>
  <c r="Z512" i="15"/>
  <c r="Y512" i="15"/>
  <c r="X512" i="15"/>
  <c r="W512" i="15"/>
  <c r="AA511" i="15"/>
  <c r="Z511" i="15"/>
  <c r="Y511" i="15"/>
  <c r="X511" i="15"/>
  <c r="W511" i="15"/>
  <c r="AA510" i="15"/>
  <c r="Z510" i="15"/>
  <c r="Y510" i="15"/>
  <c r="X510" i="15"/>
  <c r="W510" i="15"/>
  <c r="AA509" i="15"/>
  <c r="Z509" i="15"/>
  <c r="Y509" i="15"/>
  <c r="X509" i="15"/>
  <c r="W509" i="15"/>
  <c r="AA508" i="15"/>
  <c r="Z508" i="15"/>
  <c r="Y508" i="15"/>
  <c r="X508" i="15"/>
  <c r="W508" i="15"/>
  <c r="AA507" i="15"/>
  <c r="Z507" i="15"/>
  <c r="Y507" i="15"/>
  <c r="X507" i="15"/>
  <c r="W507" i="15"/>
  <c r="AA506" i="15"/>
  <c r="Z506" i="15"/>
  <c r="Y506" i="15"/>
  <c r="X506" i="15"/>
  <c r="W506" i="15"/>
  <c r="N561" i="15" l="1"/>
  <c r="M561" i="15"/>
  <c r="N531" i="15"/>
  <c r="M531" i="15"/>
  <c r="N508" i="15"/>
  <c r="M508" i="15"/>
  <c r="N507" i="15"/>
  <c r="M507" i="15"/>
  <c r="N586" i="15"/>
  <c r="M586" i="15"/>
  <c r="N585" i="15"/>
  <c r="M585" i="15"/>
  <c r="N584" i="15"/>
  <c r="M584" i="15"/>
  <c r="N583" i="15"/>
  <c r="M583" i="15"/>
  <c r="N582" i="15"/>
  <c r="M582" i="15"/>
  <c r="N581" i="15"/>
  <c r="M581" i="15"/>
  <c r="N580" i="15"/>
  <c r="M580" i="15"/>
  <c r="N579" i="15"/>
  <c r="M579" i="15"/>
  <c r="N578" i="15"/>
  <c r="M578" i="15"/>
  <c r="N577" i="15"/>
  <c r="M577" i="15"/>
  <c r="N576" i="15"/>
  <c r="M576" i="15"/>
  <c r="N575" i="15"/>
  <c r="M575" i="15"/>
  <c r="N574" i="15"/>
  <c r="M574" i="15"/>
  <c r="N573" i="15"/>
  <c r="M573" i="15"/>
  <c r="N572" i="15"/>
  <c r="M572" i="15"/>
  <c r="N571" i="15"/>
  <c r="M571" i="15"/>
  <c r="N570" i="15"/>
  <c r="M570" i="15"/>
  <c r="N569" i="15"/>
  <c r="M569" i="15"/>
  <c r="N568" i="15"/>
  <c r="M568" i="15"/>
  <c r="N567" i="15"/>
  <c r="M567" i="15"/>
  <c r="N566" i="15"/>
  <c r="M566" i="15"/>
  <c r="N565" i="15"/>
  <c r="M565" i="15"/>
  <c r="N564" i="15"/>
  <c r="M564" i="15"/>
  <c r="N563" i="15"/>
  <c r="M563" i="15"/>
  <c r="N562" i="15"/>
  <c r="M562" i="15"/>
  <c r="N560" i="15"/>
  <c r="M560" i="15"/>
  <c r="N559" i="15"/>
  <c r="M559" i="15"/>
  <c r="N558" i="15"/>
  <c r="M558" i="15"/>
  <c r="N557" i="15"/>
  <c r="M557" i="15"/>
  <c r="N556" i="15"/>
  <c r="M556" i="15"/>
  <c r="N555" i="15"/>
  <c r="M555" i="15"/>
  <c r="N554" i="15"/>
  <c r="M554" i="15"/>
  <c r="N553" i="15"/>
  <c r="M553" i="15"/>
  <c r="N552" i="15"/>
  <c r="M552" i="15"/>
  <c r="N551" i="15"/>
  <c r="M551" i="15"/>
  <c r="N550" i="15"/>
  <c r="M550" i="15"/>
  <c r="N549" i="15"/>
  <c r="M549" i="15"/>
  <c r="N548" i="15"/>
  <c r="M548" i="15"/>
  <c r="N547" i="15"/>
  <c r="M547" i="15"/>
  <c r="N546" i="15"/>
  <c r="M546" i="15"/>
  <c r="N545" i="15"/>
  <c r="M545" i="15"/>
  <c r="N544" i="15"/>
  <c r="M544" i="15"/>
  <c r="N543" i="15"/>
  <c r="M543" i="15"/>
  <c r="N542" i="15"/>
  <c r="M542" i="15"/>
  <c r="N541" i="15"/>
  <c r="M541" i="15"/>
  <c r="N540" i="15"/>
  <c r="M540" i="15"/>
  <c r="N539" i="15"/>
  <c r="M539" i="15"/>
  <c r="N538" i="15"/>
  <c r="M538" i="15"/>
  <c r="N537" i="15"/>
  <c r="M537" i="15"/>
  <c r="N536" i="15"/>
  <c r="M536" i="15"/>
  <c r="N535" i="15"/>
  <c r="M535" i="15"/>
  <c r="N534" i="15"/>
  <c r="M534" i="15"/>
  <c r="N533" i="15"/>
  <c r="M533" i="15"/>
  <c r="N532" i="15"/>
  <c r="M532" i="15"/>
  <c r="N530" i="15"/>
  <c r="M530" i="15"/>
  <c r="N529" i="15"/>
  <c r="M529" i="15"/>
  <c r="N528" i="15"/>
  <c r="M528" i="15"/>
  <c r="N527" i="15"/>
  <c r="M527" i="15"/>
  <c r="N526" i="15"/>
  <c r="M526" i="15"/>
  <c r="N525" i="15"/>
  <c r="M525" i="15"/>
  <c r="N524" i="15"/>
  <c r="M524" i="15"/>
  <c r="N523" i="15"/>
  <c r="M523" i="15"/>
  <c r="N522" i="15"/>
  <c r="M522" i="15"/>
  <c r="N521" i="15"/>
  <c r="M521" i="15"/>
  <c r="N520" i="15"/>
  <c r="M520" i="15"/>
  <c r="N519" i="15"/>
  <c r="M519" i="15"/>
  <c r="N518" i="15"/>
  <c r="M518" i="15"/>
  <c r="N517" i="15"/>
  <c r="M517" i="15"/>
  <c r="N516" i="15"/>
  <c r="M516" i="15"/>
  <c r="N515" i="15"/>
  <c r="M515" i="15"/>
  <c r="N514" i="15"/>
  <c r="M514" i="15"/>
  <c r="N513" i="15"/>
  <c r="M513" i="15"/>
  <c r="N512" i="15"/>
  <c r="M512" i="15"/>
  <c r="N511" i="15"/>
  <c r="M511" i="15"/>
  <c r="N510" i="15"/>
  <c r="M510" i="15"/>
  <c r="N509" i="15"/>
  <c r="M509" i="15"/>
  <c r="N506" i="15"/>
  <c r="M506" i="15"/>
  <c r="M505" i="15"/>
  <c r="N505" i="15"/>
  <c r="Y505" i="15"/>
  <c r="W505" i="15" l="1"/>
  <c r="X505" i="15"/>
  <c r="Z505" i="15"/>
  <c r="AA505" i="15"/>
  <c r="N504" i="15"/>
  <c r="M504" i="15"/>
  <c r="N503" i="15"/>
  <c r="M503" i="15"/>
  <c r="N502" i="15"/>
  <c r="M502" i="15"/>
  <c r="N501" i="15"/>
  <c r="M501" i="15"/>
  <c r="N500" i="15"/>
  <c r="M500" i="15"/>
  <c r="N499" i="15"/>
  <c r="M499" i="15"/>
  <c r="N498" i="15"/>
  <c r="M498" i="15"/>
  <c r="N497" i="15"/>
  <c r="M497" i="15"/>
  <c r="N496" i="15"/>
  <c r="M496" i="15"/>
  <c r="N495" i="15"/>
  <c r="M495" i="15"/>
  <c r="N494" i="15"/>
  <c r="M494" i="15"/>
  <c r="N493" i="15"/>
  <c r="M493" i="15"/>
  <c r="N492" i="15"/>
  <c r="M492" i="15"/>
  <c r="N491" i="15"/>
  <c r="M491" i="15"/>
  <c r="N490" i="15"/>
  <c r="M490" i="15"/>
  <c r="N489" i="15"/>
  <c r="M489" i="15"/>
  <c r="N488" i="15"/>
  <c r="M488" i="15"/>
  <c r="N487" i="15"/>
  <c r="M487" i="15"/>
  <c r="N486" i="15"/>
  <c r="M486" i="15"/>
  <c r="N485" i="15"/>
  <c r="M485" i="15"/>
  <c r="N484" i="15"/>
  <c r="M484" i="15"/>
  <c r="N483" i="15"/>
  <c r="M483" i="15"/>
  <c r="N482" i="15"/>
  <c r="M482" i="15"/>
  <c r="N481" i="15"/>
  <c r="M481" i="15"/>
  <c r="N480" i="15"/>
  <c r="M480" i="15"/>
  <c r="N479" i="15"/>
  <c r="M479" i="15"/>
  <c r="N478" i="15"/>
  <c r="M478" i="15"/>
  <c r="N477" i="15"/>
  <c r="M477" i="15"/>
  <c r="N476" i="15"/>
  <c r="M476" i="15"/>
  <c r="N475" i="15"/>
  <c r="M475" i="15"/>
  <c r="N474" i="15"/>
  <c r="M474" i="15"/>
  <c r="N473" i="15"/>
  <c r="M473" i="15"/>
  <c r="N472" i="15"/>
  <c r="M472" i="15"/>
  <c r="N471" i="15"/>
  <c r="M471" i="15"/>
  <c r="N470" i="15"/>
  <c r="M470" i="15"/>
  <c r="N469" i="15"/>
  <c r="M469" i="15"/>
  <c r="N468" i="15"/>
  <c r="M468" i="15"/>
  <c r="N467" i="15"/>
  <c r="M467" i="15"/>
  <c r="N466" i="15"/>
  <c r="M466" i="15"/>
  <c r="N465" i="15"/>
  <c r="M465" i="15"/>
  <c r="N464" i="15"/>
  <c r="M464" i="15"/>
  <c r="N463" i="15"/>
  <c r="M463" i="15"/>
  <c r="N462" i="15"/>
  <c r="M462" i="15"/>
  <c r="N461" i="15"/>
  <c r="M461" i="15"/>
  <c r="N460" i="15"/>
  <c r="M460" i="15"/>
  <c r="N459" i="15"/>
  <c r="M459" i="15"/>
  <c r="N458" i="15"/>
  <c r="M458" i="15"/>
  <c r="N457" i="15"/>
  <c r="M457" i="15"/>
  <c r="N456" i="15"/>
  <c r="M456" i="15"/>
  <c r="N455" i="15"/>
  <c r="M455" i="15"/>
  <c r="N454" i="15"/>
  <c r="M454" i="15"/>
  <c r="N453" i="15"/>
  <c r="M453" i="15"/>
  <c r="N452" i="15"/>
  <c r="M452" i="15"/>
  <c r="N451" i="15"/>
  <c r="M451" i="15"/>
  <c r="N450" i="15"/>
  <c r="M450" i="15"/>
  <c r="N449" i="15"/>
  <c r="M449" i="15"/>
  <c r="N448" i="15"/>
  <c r="M448" i="15"/>
  <c r="N447" i="15"/>
  <c r="M447" i="15"/>
  <c r="N446" i="15"/>
  <c r="M446" i="15"/>
  <c r="N445" i="15"/>
  <c r="M445" i="15"/>
  <c r="N444" i="15"/>
  <c r="M444" i="15"/>
  <c r="N443" i="15"/>
  <c r="M443" i="15"/>
  <c r="N442" i="15"/>
  <c r="M442" i="15"/>
  <c r="N441" i="15"/>
  <c r="M441" i="15"/>
  <c r="N440" i="15"/>
  <c r="M440" i="15"/>
  <c r="N439" i="15"/>
  <c r="M439" i="15"/>
  <c r="N438" i="15"/>
  <c r="M438" i="15"/>
  <c r="N437" i="15"/>
  <c r="M437" i="15"/>
  <c r="N436" i="15"/>
  <c r="M436" i="15"/>
  <c r="N435" i="15"/>
  <c r="M435" i="15"/>
  <c r="N434" i="15"/>
  <c r="M434" i="15"/>
  <c r="N433" i="15"/>
  <c r="M433" i="15"/>
  <c r="N432" i="15"/>
  <c r="M432" i="15"/>
  <c r="N431" i="15"/>
  <c r="M431" i="15"/>
  <c r="N430" i="15"/>
  <c r="M430" i="15"/>
  <c r="N429" i="15"/>
  <c r="M429" i="15"/>
  <c r="N428" i="15"/>
  <c r="M428" i="15"/>
  <c r="N427" i="15"/>
  <c r="M427" i="15"/>
  <c r="N426" i="15"/>
  <c r="M426" i="15"/>
  <c r="N425" i="15"/>
  <c r="M425" i="15"/>
  <c r="N424" i="15"/>
  <c r="M424" i="15"/>
  <c r="N423" i="15"/>
  <c r="M423" i="15"/>
  <c r="N422" i="15"/>
  <c r="M422" i="15"/>
  <c r="N421" i="15"/>
  <c r="M421" i="15"/>
  <c r="N420" i="15"/>
  <c r="M420" i="15"/>
  <c r="N419" i="15"/>
  <c r="M419" i="15"/>
  <c r="N418" i="15"/>
  <c r="M418" i="15"/>
  <c r="N417" i="15"/>
  <c r="M417" i="15"/>
  <c r="N416" i="15"/>
  <c r="M416" i="15"/>
  <c r="N415" i="15"/>
  <c r="M415" i="15"/>
  <c r="N414" i="15"/>
  <c r="M414" i="15"/>
  <c r="N413" i="15"/>
  <c r="M413" i="15"/>
  <c r="N412" i="15"/>
  <c r="M412" i="15"/>
  <c r="N411" i="15"/>
  <c r="M411" i="15"/>
  <c r="N410" i="15"/>
  <c r="M410" i="15"/>
  <c r="N409" i="15"/>
  <c r="M409" i="15"/>
  <c r="N408" i="15"/>
  <c r="M408" i="15"/>
  <c r="N407" i="15"/>
  <c r="M407" i="15"/>
  <c r="N406" i="15"/>
  <c r="M406" i="15"/>
  <c r="N405" i="15"/>
  <c r="M405" i="15"/>
  <c r="N404" i="15"/>
  <c r="M404" i="15"/>
  <c r="N403" i="15"/>
  <c r="M403" i="15"/>
  <c r="N402" i="15"/>
  <c r="M402" i="15"/>
  <c r="N401" i="15"/>
  <c r="M401" i="15"/>
  <c r="N400" i="15"/>
  <c r="M400" i="15"/>
  <c r="N399" i="15"/>
  <c r="M399" i="15"/>
  <c r="N398" i="15"/>
  <c r="M398" i="15"/>
  <c r="N397" i="15"/>
  <c r="M397" i="15"/>
  <c r="N396" i="15"/>
  <c r="M396" i="15"/>
  <c r="N395" i="15"/>
  <c r="M395" i="15"/>
  <c r="N394" i="15"/>
  <c r="M394" i="15"/>
  <c r="N393" i="15"/>
  <c r="M393" i="15"/>
  <c r="N392" i="15"/>
  <c r="M392" i="15"/>
  <c r="N391" i="15"/>
  <c r="M391" i="15"/>
  <c r="N390" i="15"/>
  <c r="M390" i="15"/>
  <c r="N389" i="15"/>
  <c r="M389" i="15"/>
  <c r="N388" i="15"/>
  <c r="M388" i="15"/>
  <c r="N387" i="15"/>
  <c r="M387" i="15"/>
  <c r="N386" i="15"/>
  <c r="M386" i="15"/>
  <c r="N385" i="15"/>
  <c r="M385" i="15"/>
  <c r="N384" i="15"/>
  <c r="M384" i="15"/>
  <c r="N383" i="15"/>
  <c r="M383" i="15"/>
  <c r="N382" i="15"/>
  <c r="M382" i="15"/>
  <c r="N381" i="15"/>
  <c r="M381" i="15"/>
  <c r="N380" i="15"/>
  <c r="M380" i="15"/>
  <c r="N379" i="15"/>
  <c r="M379" i="15"/>
  <c r="N378" i="15"/>
  <c r="M378" i="15"/>
  <c r="N377" i="15"/>
  <c r="M377" i="15"/>
  <c r="N376" i="15"/>
  <c r="M376" i="15"/>
  <c r="N375" i="15"/>
  <c r="M375" i="15"/>
  <c r="N374" i="15"/>
  <c r="M374" i="15"/>
  <c r="N373" i="15"/>
  <c r="M373" i="15"/>
  <c r="N372" i="15"/>
  <c r="M372" i="15"/>
  <c r="N371" i="15"/>
  <c r="M371" i="15"/>
  <c r="N370" i="15"/>
  <c r="M370" i="15"/>
  <c r="N369" i="15"/>
  <c r="M369" i="15"/>
  <c r="N368" i="15"/>
  <c r="M368" i="15"/>
  <c r="N367" i="15"/>
  <c r="M367" i="15"/>
  <c r="N366" i="15"/>
  <c r="M366" i="15"/>
  <c r="N365" i="15"/>
  <c r="M365" i="15"/>
  <c r="N364" i="15"/>
  <c r="M364" i="15"/>
  <c r="N363" i="15"/>
  <c r="M363" i="15"/>
  <c r="N362" i="15"/>
  <c r="M362" i="15"/>
  <c r="N361" i="15"/>
  <c r="M361" i="15"/>
  <c r="N360" i="15"/>
  <c r="M360" i="15"/>
  <c r="N359" i="15"/>
  <c r="M359" i="15"/>
  <c r="N358" i="15"/>
  <c r="M358" i="15"/>
  <c r="N357" i="15"/>
  <c r="M357" i="15"/>
  <c r="N356" i="15"/>
  <c r="M356" i="15"/>
  <c r="N355" i="15"/>
  <c r="M355" i="15"/>
  <c r="N354" i="15"/>
  <c r="M354" i="15"/>
  <c r="N353" i="15"/>
  <c r="M353" i="15"/>
  <c r="N352" i="15"/>
  <c r="M352" i="15"/>
  <c r="N351" i="15"/>
  <c r="M351" i="15"/>
  <c r="N350" i="15"/>
  <c r="M350" i="15"/>
  <c r="N349" i="15"/>
  <c r="M349" i="15"/>
  <c r="N348" i="15"/>
  <c r="M348" i="15"/>
  <c r="N347" i="15"/>
  <c r="M347" i="15"/>
  <c r="N346" i="15"/>
  <c r="M346" i="15"/>
  <c r="N345" i="15"/>
  <c r="M345" i="15"/>
  <c r="N344" i="15"/>
  <c r="M344" i="15"/>
  <c r="N343" i="15"/>
  <c r="M343" i="15"/>
  <c r="N342" i="15"/>
  <c r="M342" i="15"/>
  <c r="N341" i="15"/>
  <c r="M341" i="15"/>
  <c r="N340" i="15"/>
  <c r="M340" i="15"/>
  <c r="N339" i="15"/>
  <c r="M339" i="15"/>
  <c r="N338" i="15"/>
  <c r="M338" i="15"/>
  <c r="N337" i="15"/>
  <c r="M337" i="15"/>
  <c r="N336" i="15"/>
  <c r="M336" i="15"/>
  <c r="N335" i="15"/>
  <c r="M335" i="15"/>
  <c r="N334" i="15"/>
  <c r="M334" i="15"/>
  <c r="N333" i="15"/>
  <c r="M333" i="15"/>
  <c r="N332" i="15"/>
  <c r="M332" i="15"/>
  <c r="N331" i="15"/>
  <c r="M331" i="15"/>
  <c r="N330" i="15"/>
  <c r="M330" i="15"/>
  <c r="N329" i="15"/>
  <c r="M329" i="15"/>
  <c r="N328" i="15"/>
  <c r="M328" i="15"/>
  <c r="N327" i="15"/>
  <c r="M327" i="15"/>
  <c r="N326" i="15"/>
  <c r="M326" i="15"/>
  <c r="N325" i="15"/>
  <c r="M325" i="15"/>
  <c r="N324" i="15"/>
  <c r="M324" i="15"/>
  <c r="N323" i="15"/>
  <c r="M323" i="15"/>
  <c r="N322" i="15"/>
  <c r="M322" i="15"/>
  <c r="N321" i="15"/>
  <c r="M321" i="15"/>
  <c r="N320" i="15"/>
  <c r="M320" i="15"/>
  <c r="N319" i="15"/>
  <c r="M319" i="15"/>
  <c r="N318" i="15"/>
  <c r="M318" i="15"/>
  <c r="N317" i="15"/>
  <c r="M317" i="15"/>
  <c r="N316" i="15"/>
  <c r="M316" i="15"/>
  <c r="N315" i="15"/>
  <c r="M315" i="15"/>
  <c r="N314" i="15"/>
  <c r="M314" i="15"/>
  <c r="N313" i="15"/>
  <c r="M313" i="15"/>
  <c r="N312" i="15"/>
  <c r="M312" i="15"/>
  <c r="N311" i="15"/>
  <c r="M311" i="15"/>
  <c r="N310" i="15"/>
  <c r="M310" i="15"/>
  <c r="N309" i="15"/>
  <c r="M309" i="15"/>
  <c r="N308" i="15"/>
  <c r="M308" i="15"/>
  <c r="N307" i="15"/>
  <c r="M307" i="15"/>
  <c r="N306" i="15"/>
  <c r="M306" i="15"/>
  <c r="N305" i="15"/>
  <c r="M305" i="15"/>
  <c r="N304" i="15"/>
  <c r="M304" i="15"/>
  <c r="N303" i="15"/>
  <c r="M303" i="15"/>
  <c r="N302" i="15"/>
  <c r="M302" i="15"/>
  <c r="N301" i="15"/>
  <c r="M301" i="15"/>
  <c r="N300" i="15"/>
  <c r="M300" i="15"/>
  <c r="N299" i="15"/>
  <c r="M299" i="15"/>
  <c r="N298" i="15"/>
  <c r="M298" i="15"/>
  <c r="N297" i="15"/>
  <c r="M297" i="15"/>
  <c r="N296" i="15"/>
  <c r="M296" i="15"/>
  <c r="N295" i="15"/>
  <c r="M295" i="15"/>
  <c r="N294" i="15"/>
  <c r="M294" i="15"/>
  <c r="N293" i="15"/>
  <c r="M293" i="15"/>
  <c r="N292" i="15"/>
  <c r="M292" i="15"/>
  <c r="N291" i="15"/>
  <c r="M291" i="15"/>
  <c r="N290" i="15"/>
  <c r="M290" i="15"/>
  <c r="N289" i="15"/>
  <c r="M289" i="15"/>
  <c r="N288" i="15"/>
  <c r="M288" i="15"/>
  <c r="N287" i="15"/>
  <c r="M287" i="15"/>
  <c r="N286" i="15"/>
  <c r="M286" i="15"/>
  <c r="N285" i="15"/>
  <c r="M285" i="15"/>
  <c r="N284" i="15"/>
  <c r="M284" i="15"/>
  <c r="N283" i="15"/>
  <c r="M283" i="15"/>
  <c r="N282" i="15"/>
  <c r="M282" i="15"/>
  <c r="N281" i="15"/>
  <c r="M281" i="15"/>
  <c r="N280" i="15"/>
  <c r="M280" i="15"/>
  <c r="N279" i="15"/>
  <c r="M279" i="15"/>
  <c r="N278" i="15"/>
  <c r="M278" i="15"/>
  <c r="N277" i="15"/>
  <c r="M277" i="15"/>
  <c r="N276" i="15"/>
  <c r="M276" i="15"/>
  <c r="N275" i="15"/>
  <c r="M275" i="15"/>
  <c r="N274" i="15"/>
  <c r="M274" i="15"/>
  <c r="N273" i="15"/>
  <c r="M273" i="15"/>
  <c r="N272" i="15"/>
  <c r="M272" i="15"/>
  <c r="N271" i="15"/>
  <c r="M271" i="15"/>
  <c r="N270" i="15"/>
  <c r="M270" i="15"/>
  <c r="N269" i="15"/>
  <c r="M269" i="15"/>
  <c r="N268" i="15"/>
  <c r="M268" i="15"/>
  <c r="N267" i="15"/>
  <c r="M267" i="15"/>
  <c r="N266" i="15"/>
  <c r="M266" i="15"/>
  <c r="N265" i="15"/>
  <c r="M265" i="15"/>
  <c r="N264" i="15"/>
  <c r="M264" i="15"/>
  <c r="N263" i="15"/>
  <c r="M263" i="15"/>
  <c r="N262" i="15"/>
  <c r="M262" i="15"/>
  <c r="N261" i="15"/>
  <c r="M261" i="15"/>
  <c r="N260" i="15"/>
  <c r="M260" i="15"/>
  <c r="N259" i="15"/>
  <c r="M259" i="15"/>
  <c r="N258" i="15"/>
  <c r="M258" i="15"/>
  <c r="N257" i="15"/>
  <c r="M257" i="15"/>
  <c r="N256" i="15"/>
  <c r="M256" i="15"/>
  <c r="N255" i="15"/>
  <c r="M255" i="15"/>
  <c r="N254" i="15"/>
  <c r="M254" i="15"/>
  <c r="N253" i="15"/>
  <c r="M253" i="15"/>
  <c r="N252" i="15"/>
  <c r="M252" i="15"/>
  <c r="N251" i="15"/>
  <c r="M251" i="15"/>
  <c r="N250" i="15"/>
  <c r="M250" i="15"/>
  <c r="N249" i="15"/>
  <c r="M249" i="15"/>
  <c r="N248" i="15"/>
  <c r="M248" i="15"/>
  <c r="N247" i="15"/>
  <c r="M247" i="15"/>
  <c r="N246" i="15"/>
  <c r="M246" i="15"/>
  <c r="N245" i="15"/>
  <c r="M245" i="15"/>
  <c r="N244" i="15"/>
  <c r="M244" i="15"/>
  <c r="N243" i="15"/>
  <c r="M243" i="15"/>
  <c r="N242" i="15"/>
  <c r="M242" i="15"/>
  <c r="N241" i="15"/>
  <c r="M241" i="15"/>
  <c r="N240" i="15"/>
  <c r="M240" i="15"/>
  <c r="N239" i="15"/>
  <c r="M239" i="15"/>
  <c r="N238" i="15"/>
  <c r="M238" i="15"/>
  <c r="N237" i="15"/>
  <c r="M237" i="15"/>
  <c r="N236" i="15"/>
  <c r="M236" i="15"/>
  <c r="N235" i="15"/>
  <c r="M235" i="15"/>
  <c r="N234" i="15"/>
  <c r="M234" i="15"/>
  <c r="N233" i="15"/>
  <c r="M233" i="15"/>
  <c r="N232" i="15"/>
  <c r="M232" i="15"/>
  <c r="N231" i="15"/>
  <c r="M231" i="15"/>
  <c r="N230" i="15"/>
  <c r="M230" i="15"/>
  <c r="N229" i="15"/>
  <c r="M229" i="15"/>
  <c r="N228" i="15"/>
  <c r="M228" i="15"/>
  <c r="N227" i="15"/>
  <c r="M227" i="15"/>
  <c r="N226" i="15"/>
  <c r="M226" i="15"/>
  <c r="N225" i="15"/>
  <c r="M225" i="15"/>
  <c r="N224" i="15"/>
  <c r="M224" i="15"/>
  <c r="N223" i="15"/>
  <c r="M223" i="15"/>
  <c r="N222" i="15"/>
  <c r="M222" i="15"/>
  <c r="N221" i="15"/>
  <c r="M221" i="15"/>
  <c r="N220" i="15"/>
  <c r="M220" i="15"/>
  <c r="N219" i="15"/>
  <c r="M219" i="15"/>
  <c r="N218" i="15"/>
  <c r="M218" i="15"/>
  <c r="N217" i="15"/>
  <c r="M217" i="15"/>
  <c r="N216" i="15"/>
  <c r="M216" i="15"/>
  <c r="N215" i="15"/>
  <c r="M215" i="15"/>
  <c r="N214" i="15"/>
  <c r="M214" i="15"/>
  <c r="N213" i="15"/>
  <c r="M213" i="15"/>
  <c r="N212" i="15"/>
  <c r="M212" i="15"/>
  <c r="N211" i="15"/>
  <c r="M211" i="15"/>
  <c r="N210" i="15"/>
  <c r="M210" i="15"/>
  <c r="N209" i="15"/>
  <c r="M209" i="15"/>
  <c r="N208" i="15"/>
  <c r="M208" i="15"/>
  <c r="N207" i="15"/>
  <c r="M207" i="15"/>
  <c r="N206" i="15"/>
  <c r="M206" i="15"/>
  <c r="N205" i="15"/>
  <c r="M205" i="15"/>
  <c r="N204" i="15"/>
  <c r="M204" i="15"/>
  <c r="N203" i="15"/>
  <c r="M203" i="15"/>
  <c r="N202" i="15"/>
  <c r="M202" i="15"/>
  <c r="N201" i="15"/>
  <c r="M201" i="15"/>
  <c r="N200" i="15"/>
  <c r="M200" i="15"/>
  <c r="N199" i="15"/>
  <c r="M199" i="15"/>
  <c r="N198" i="15"/>
  <c r="M198" i="15"/>
  <c r="N197" i="15"/>
  <c r="M197" i="15"/>
  <c r="N196" i="15"/>
  <c r="M196" i="15"/>
  <c r="N195" i="15"/>
  <c r="M195" i="15"/>
  <c r="N194" i="15"/>
  <c r="M194" i="15"/>
  <c r="N193" i="15"/>
  <c r="M193" i="15"/>
  <c r="N192" i="15"/>
  <c r="M192" i="15"/>
  <c r="N191" i="15"/>
  <c r="M191" i="15"/>
  <c r="N190" i="15"/>
  <c r="M190" i="15"/>
  <c r="N189" i="15"/>
  <c r="M189" i="15"/>
  <c r="N188" i="15"/>
  <c r="M188" i="15"/>
  <c r="N187" i="15"/>
  <c r="M187" i="15"/>
  <c r="N186" i="15"/>
  <c r="M186" i="15"/>
  <c r="N185" i="15"/>
  <c r="M185" i="15"/>
  <c r="N184" i="15"/>
  <c r="M184" i="15"/>
  <c r="N183" i="15"/>
  <c r="M183" i="15"/>
  <c r="N182" i="15"/>
  <c r="M182" i="15"/>
  <c r="N181" i="15"/>
  <c r="M181" i="15"/>
  <c r="N180" i="15"/>
  <c r="M180" i="15"/>
  <c r="N179" i="15"/>
  <c r="M179" i="15"/>
  <c r="N178" i="15"/>
  <c r="M178" i="15"/>
  <c r="N177" i="15"/>
  <c r="M177" i="15"/>
  <c r="N176" i="15"/>
  <c r="M176" i="15"/>
  <c r="N175" i="15"/>
  <c r="M175" i="15"/>
  <c r="N174" i="15"/>
  <c r="M174" i="15"/>
  <c r="N173" i="15"/>
  <c r="M173" i="15"/>
  <c r="N172" i="15"/>
  <c r="M172" i="15"/>
  <c r="N171" i="15"/>
  <c r="M171" i="15"/>
  <c r="N170" i="15"/>
  <c r="M170" i="15"/>
  <c r="N169" i="15"/>
  <c r="M169" i="15"/>
  <c r="N168" i="15"/>
  <c r="M168" i="15"/>
  <c r="N167" i="15"/>
  <c r="M167" i="15"/>
  <c r="N166" i="15"/>
  <c r="M166" i="15"/>
  <c r="N165" i="15"/>
  <c r="M165" i="15"/>
  <c r="N164" i="15"/>
  <c r="M164" i="15"/>
  <c r="N163" i="15"/>
  <c r="M163" i="15"/>
  <c r="N162" i="15"/>
  <c r="M162" i="15"/>
  <c r="N161" i="15"/>
  <c r="M161" i="15"/>
  <c r="N160" i="15"/>
  <c r="M160" i="15"/>
  <c r="N159" i="15"/>
  <c r="M159" i="15"/>
  <c r="N158" i="15"/>
  <c r="M158" i="15"/>
  <c r="N157" i="15"/>
  <c r="M157" i="15"/>
  <c r="N156" i="15"/>
  <c r="M156" i="15"/>
  <c r="N155" i="15"/>
  <c r="M155" i="15"/>
  <c r="N154" i="15"/>
  <c r="M154" i="15"/>
  <c r="N153" i="15"/>
  <c r="M153" i="15"/>
  <c r="N152" i="15"/>
  <c r="M152" i="15"/>
  <c r="N151" i="15"/>
  <c r="M151" i="15"/>
  <c r="N150" i="15"/>
  <c r="M150" i="15"/>
  <c r="N149" i="15"/>
  <c r="M149" i="15"/>
  <c r="N148" i="15"/>
  <c r="M148" i="15"/>
  <c r="N147" i="15"/>
  <c r="M147" i="15"/>
  <c r="N146" i="15"/>
  <c r="M146" i="15"/>
  <c r="N145" i="15"/>
  <c r="M145" i="15"/>
  <c r="N144" i="15"/>
  <c r="M144" i="15"/>
  <c r="N143" i="15"/>
  <c r="M143" i="15"/>
  <c r="N142" i="15"/>
  <c r="M142" i="15"/>
  <c r="N141" i="15"/>
  <c r="M141" i="15"/>
  <c r="N140" i="15"/>
  <c r="M140" i="15"/>
  <c r="N139" i="15"/>
  <c r="M139" i="15"/>
  <c r="N138" i="15"/>
  <c r="M138" i="15"/>
  <c r="N137" i="15"/>
  <c r="M137" i="15"/>
  <c r="N136" i="15"/>
  <c r="M136" i="15"/>
  <c r="N135" i="15"/>
  <c r="M135" i="15"/>
  <c r="N134" i="15"/>
  <c r="M134" i="15"/>
  <c r="N133" i="15"/>
  <c r="M133" i="15"/>
  <c r="N132" i="15"/>
  <c r="M132" i="15"/>
  <c r="N131" i="15"/>
  <c r="M131" i="15"/>
  <c r="N130" i="15"/>
  <c r="M130" i="15"/>
  <c r="N129" i="15"/>
  <c r="M129" i="15"/>
  <c r="N128" i="15"/>
  <c r="M128" i="15"/>
  <c r="N127" i="15"/>
  <c r="M127" i="15"/>
  <c r="N126" i="15"/>
  <c r="M126" i="15"/>
  <c r="N125" i="15"/>
  <c r="M125" i="15"/>
  <c r="N124" i="15"/>
  <c r="M124" i="15"/>
  <c r="N123" i="15"/>
  <c r="M123" i="15"/>
  <c r="N122" i="15"/>
  <c r="M122" i="15"/>
  <c r="N121" i="15"/>
  <c r="M121" i="15"/>
  <c r="N120" i="15"/>
  <c r="M120" i="15"/>
  <c r="N119" i="15"/>
  <c r="M119" i="15"/>
  <c r="N118" i="15"/>
  <c r="M118" i="15"/>
  <c r="N117" i="15"/>
  <c r="M117" i="15"/>
  <c r="N116" i="15"/>
  <c r="M116" i="15"/>
  <c r="N115" i="15"/>
  <c r="M115" i="15"/>
  <c r="N114" i="15"/>
  <c r="M114" i="15"/>
  <c r="N113" i="15"/>
  <c r="M113" i="15"/>
  <c r="N112" i="15"/>
  <c r="M112" i="15"/>
  <c r="N111" i="15"/>
  <c r="M111" i="15"/>
  <c r="N110" i="15"/>
  <c r="M110" i="15"/>
  <c r="N109" i="15"/>
  <c r="M109" i="15"/>
  <c r="N108" i="15"/>
  <c r="M108" i="15"/>
  <c r="N107" i="15"/>
  <c r="M107" i="15"/>
  <c r="N106" i="15"/>
  <c r="M106" i="15"/>
  <c r="N105" i="15"/>
  <c r="M105" i="15"/>
  <c r="N104" i="15"/>
  <c r="M104" i="15"/>
  <c r="N103" i="15"/>
  <c r="M103" i="15"/>
  <c r="N102" i="15"/>
  <c r="M102" i="15"/>
  <c r="N101" i="15"/>
  <c r="M101" i="15"/>
  <c r="N100" i="15"/>
  <c r="M100" i="15"/>
  <c r="N99" i="15"/>
  <c r="M99" i="15"/>
  <c r="N98" i="15"/>
  <c r="M98" i="15"/>
  <c r="N97" i="15"/>
  <c r="M97" i="15"/>
  <c r="N96" i="15"/>
  <c r="M96" i="15"/>
  <c r="N95" i="15"/>
  <c r="M95" i="15"/>
  <c r="N94" i="15"/>
  <c r="M94" i="15"/>
  <c r="N93" i="15"/>
  <c r="M93" i="15"/>
  <c r="N92" i="15"/>
  <c r="M92" i="15"/>
  <c r="N91" i="15"/>
  <c r="M91" i="15"/>
  <c r="N90" i="15"/>
  <c r="M90" i="15"/>
  <c r="N89" i="15"/>
  <c r="M89" i="15"/>
  <c r="N88" i="15"/>
  <c r="M88" i="15"/>
  <c r="N87" i="15"/>
  <c r="M87" i="15"/>
  <c r="N86" i="15"/>
  <c r="M86" i="15"/>
  <c r="N85" i="15"/>
  <c r="M85" i="15"/>
  <c r="N84" i="15"/>
  <c r="M84" i="15"/>
  <c r="N83" i="15"/>
  <c r="M83" i="15"/>
  <c r="N82" i="15"/>
  <c r="M82" i="15"/>
  <c r="N81" i="15"/>
  <c r="M81" i="15"/>
  <c r="N80" i="15"/>
  <c r="M80" i="15"/>
  <c r="N79" i="15"/>
  <c r="M79" i="15"/>
  <c r="N78" i="15"/>
  <c r="M78" i="15"/>
  <c r="N77" i="15"/>
  <c r="M77" i="15"/>
  <c r="N76" i="15"/>
  <c r="M76" i="15"/>
  <c r="N75" i="15"/>
  <c r="M75" i="15"/>
  <c r="N74" i="15"/>
  <c r="M74" i="15"/>
  <c r="N73" i="15"/>
  <c r="M73" i="15"/>
  <c r="N72" i="15"/>
  <c r="M72" i="15"/>
  <c r="N71" i="15"/>
  <c r="M71" i="15"/>
  <c r="N70" i="15"/>
  <c r="M70" i="15"/>
  <c r="N69" i="15"/>
  <c r="M69" i="15"/>
  <c r="N68" i="15"/>
  <c r="M68" i="15"/>
  <c r="N67" i="15"/>
  <c r="M67" i="15"/>
  <c r="N66" i="15"/>
  <c r="M66" i="15"/>
  <c r="N65" i="15"/>
  <c r="M65" i="15"/>
  <c r="N64" i="15"/>
  <c r="M64" i="15"/>
  <c r="N63" i="15"/>
  <c r="M63" i="15"/>
  <c r="N62" i="15"/>
  <c r="M62" i="15"/>
  <c r="N61" i="15"/>
  <c r="M61" i="15"/>
  <c r="N60" i="15"/>
  <c r="M60" i="15"/>
  <c r="N59" i="15"/>
  <c r="M59" i="15"/>
  <c r="N58" i="15"/>
  <c r="M58" i="15"/>
  <c r="N57" i="15"/>
  <c r="M57" i="15"/>
  <c r="N56" i="15"/>
  <c r="M56" i="15"/>
  <c r="N55" i="15"/>
  <c r="M55" i="15"/>
  <c r="N54" i="15"/>
  <c r="M54" i="15"/>
  <c r="N53" i="15"/>
  <c r="M53" i="15"/>
  <c r="N52" i="15"/>
  <c r="M52" i="15"/>
  <c r="N51" i="15"/>
  <c r="M51" i="15"/>
  <c r="N50" i="15"/>
  <c r="M50" i="15"/>
  <c r="N49" i="15"/>
  <c r="M49" i="15"/>
  <c r="N48" i="15"/>
  <c r="M48" i="15"/>
  <c r="N47" i="15"/>
  <c r="M47" i="15"/>
  <c r="N46" i="15"/>
  <c r="M46" i="15"/>
  <c r="N45" i="15"/>
  <c r="M45" i="15"/>
  <c r="N44" i="15"/>
  <c r="M44" i="15"/>
  <c r="N43" i="15"/>
  <c r="M43" i="15"/>
  <c r="N42" i="15"/>
  <c r="M42" i="15"/>
  <c r="N41" i="15"/>
  <c r="M41" i="15"/>
  <c r="N40" i="15"/>
  <c r="M40" i="15"/>
  <c r="N39" i="15"/>
  <c r="M39" i="15"/>
  <c r="N38" i="15"/>
  <c r="M38" i="15"/>
  <c r="N37" i="15"/>
  <c r="M37" i="15"/>
  <c r="N36" i="15"/>
  <c r="M36" i="15"/>
  <c r="N35" i="15"/>
  <c r="M35" i="15"/>
  <c r="N34" i="15"/>
  <c r="M34" i="15"/>
  <c r="N33" i="15"/>
  <c r="M33" i="15"/>
  <c r="N32" i="15"/>
  <c r="M32" i="15"/>
  <c r="N31" i="15"/>
  <c r="M31" i="15"/>
  <c r="N30" i="15"/>
  <c r="M30" i="15"/>
  <c r="N29" i="15"/>
  <c r="M29" i="15"/>
  <c r="N28" i="15"/>
  <c r="M28" i="15"/>
  <c r="N27" i="15"/>
  <c r="M27" i="15"/>
  <c r="N26" i="15"/>
  <c r="M26" i="15"/>
  <c r="N25" i="15"/>
  <c r="M25" i="15"/>
  <c r="N24" i="15"/>
  <c r="M24" i="15"/>
  <c r="N23" i="15"/>
  <c r="M23" i="15"/>
  <c r="N22" i="15"/>
  <c r="M22" i="15"/>
  <c r="N21" i="15"/>
  <c r="M21" i="15"/>
  <c r="N20" i="15"/>
  <c r="M20" i="15"/>
  <c r="N19" i="15"/>
  <c r="M19" i="15"/>
  <c r="N18" i="15"/>
  <c r="M18" i="15"/>
  <c r="N17" i="15"/>
  <c r="M17" i="15"/>
  <c r="N16" i="15"/>
  <c r="M16" i="15"/>
  <c r="N15" i="15"/>
  <c r="M15" i="15"/>
  <c r="N14" i="15"/>
  <c r="M14" i="15"/>
  <c r="N13" i="15"/>
  <c r="M13" i="15"/>
  <c r="N12" i="15"/>
  <c r="M12" i="15"/>
  <c r="N11" i="15"/>
  <c r="M11" i="15"/>
  <c r="N10" i="15"/>
  <c r="M10" i="15"/>
  <c r="N9" i="15"/>
  <c r="M9" i="15"/>
  <c r="N8" i="15"/>
  <c r="M8" i="15"/>
  <c r="N7" i="15"/>
  <c r="M7" i="15"/>
  <c r="N6" i="15"/>
  <c r="M6" i="15"/>
  <c r="N5" i="15"/>
  <c r="M5" i="15"/>
  <c r="N4" i="15"/>
  <c r="M4" i="15"/>
  <c r="N3" i="15"/>
  <c r="M3" i="15"/>
  <c r="AQ722" i="15"/>
  <c r="AP722" i="15"/>
  <c r="AO722" i="15"/>
  <c r="AS722" i="15" s="1"/>
  <c r="AN722" i="15"/>
  <c r="AM722" i="15"/>
  <c r="S724" i="15"/>
  <c r="R724" i="15"/>
  <c r="Q724" i="15"/>
  <c r="P724" i="15"/>
  <c r="O724" i="15"/>
  <c r="AA504" i="15"/>
  <c r="Z504" i="15"/>
  <c r="Y504" i="15"/>
  <c r="X504" i="15"/>
  <c r="W504" i="15"/>
  <c r="AA503" i="15"/>
  <c r="Z503" i="15"/>
  <c r="Y503" i="15"/>
  <c r="X503" i="15"/>
  <c r="W503" i="15"/>
  <c r="AA502" i="15"/>
  <c r="Z502" i="15"/>
  <c r="Y502" i="15"/>
  <c r="X502" i="15"/>
  <c r="W502" i="15"/>
  <c r="AA501" i="15"/>
  <c r="Z501" i="15"/>
  <c r="Y501" i="15"/>
  <c r="X501" i="15"/>
  <c r="W501" i="15"/>
  <c r="AA500" i="15"/>
  <c r="Z500" i="15"/>
  <c r="Y500" i="15"/>
  <c r="X500" i="15"/>
  <c r="W500" i="15"/>
  <c r="AA499" i="15"/>
  <c r="Z499" i="15"/>
  <c r="Y499" i="15"/>
  <c r="X499" i="15"/>
  <c r="W499" i="15"/>
  <c r="AA498" i="15"/>
  <c r="Z498" i="15"/>
  <c r="Y498" i="15"/>
  <c r="X498" i="15"/>
  <c r="W498" i="15"/>
  <c r="AA497" i="15"/>
  <c r="Z497" i="15"/>
  <c r="Y497" i="15"/>
  <c r="X497" i="15"/>
  <c r="W497" i="15"/>
  <c r="AA496" i="15"/>
  <c r="Z496" i="15"/>
  <c r="Y496" i="15"/>
  <c r="X496" i="15"/>
  <c r="W496" i="15"/>
  <c r="AA495" i="15"/>
  <c r="Z495" i="15"/>
  <c r="Y495" i="15"/>
  <c r="X495" i="15"/>
  <c r="W495" i="15"/>
  <c r="AA494" i="15"/>
  <c r="Z494" i="15"/>
  <c r="Y494" i="15"/>
  <c r="X494" i="15"/>
  <c r="W494" i="15"/>
  <c r="AA493" i="15"/>
  <c r="Z493" i="15"/>
  <c r="Y493" i="15"/>
  <c r="X493" i="15"/>
  <c r="W493" i="15"/>
  <c r="AA492" i="15"/>
  <c r="Z492" i="15"/>
  <c r="Y492" i="15"/>
  <c r="X492" i="15"/>
  <c r="W492" i="15"/>
  <c r="AA491" i="15"/>
  <c r="Z491" i="15"/>
  <c r="Y491" i="15"/>
  <c r="X491" i="15"/>
  <c r="W491" i="15"/>
  <c r="AA490" i="15"/>
  <c r="Z490" i="15"/>
  <c r="Y490" i="15"/>
  <c r="X490" i="15"/>
  <c r="W490" i="15"/>
  <c r="AA489" i="15"/>
  <c r="Z489" i="15"/>
  <c r="Y489" i="15"/>
  <c r="X489" i="15"/>
  <c r="W489" i="15"/>
  <c r="AA488" i="15"/>
  <c r="Z488" i="15"/>
  <c r="Y488" i="15"/>
  <c r="X488" i="15"/>
  <c r="W488" i="15"/>
  <c r="AA487" i="15"/>
  <c r="Z487" i="15"/>
  <c r="Y487" i="15"/>
  <c r="X487" i="15"/>
  <c r="W487" i="15"/>
  <c r="AA486" i="15"/>
  <c r="Z486" i="15"/>
  <c r="Y486" i="15"/>
  <c r="X486" i="15"/>
  <c r="W486" i="15"/>
  <c r="AA485" i="15"/>
  <c r="Z485" i="15"/>
  <c r="Y485" i="15"/>
  <c r="X485" i="15"/>
  <c r="W485" i="15"/>
  <c r="AA484" i="15"/>
  <c r="Z484" i="15"/>
  <c r="Y484" i="15"/>
  <c r="X484" i="15"/>
  <c r="W484" i="15"/>
  <c r="AA483" i="15"/>
  <c r="Z483" i="15"/>
  <c r="Y483" i="15"/>
  <c r="X483" i="15"/>
  <c r="W483" i="15"/>
  <c r="AA482" i="15"/>
  <c r="Z482" i="15"/>
  <c r="Y482" i="15"/>
  <c r="X482" i="15"/>
  <c r="W482" i="15"/>
  <c r="AA478" i="15"/>
  <c r="Z478" i="15"/>
  <c r="Y478" i="15"/>
  <c r="X478" i="15"/>
  <c r="W478" i="15"/>
  <c r="AA477" i="15"/>
  <c r="Z477" i="15"/>
  <c r="Y477" i="15"/>
  <c r="X477" i="15"/>
  <c r="W477" i="15"/>
  <c r="AA476" i="15"/>
  <c r="Z476" i="15"/>
  <c r="Y476" i="15"/>
  <c r="X476" i="15"/>
  <c r="W476" i="15"/>
  <c r="AA475" i="15"/>
  <c r="Z475" i="15"/>
  <c r="Y475" i="15"/>
  <c r="X475" i="15"/>
  <c r="W475" i="15"/>
  <c r="AA474" i="15"/>
  <c r="Z474" i="15"/>
  <c r="Y474" i="15"/>
  <c r="X474" i="15"/>
  <c r="W474" i="15"/>
  <c r="AA473" i="15"/>
  <c r="Z473" i="15"/>
  <c r="Y473" i="15"/>
  <c r="X473" i="15"/>
  <c r="W473" i="15"/>
  <c r="M724" i="15" l="1"/>
  <c r="M725" i="15" s="1"/>
  <c r="N724" i="15"/>
  <c r="N725" i="15" s="1"/>
  <c r="AR723" i="15"/>
  <c r="I106" i="23" l="1"/>
  <c r="F106" i="23"/>
  <c r="G106" i="23" s="1"/>
  <c r="K106" i="23" s="1"/>
  <c r="J107" i="23"/>
  <c r="J106" i="23"/>
  <c r="I107" i="23"/>
  <c r="G107" i="23"/>
  <c r="K107" i="23" s="1"/>
  <c r="F107" i="23"/>
  <c r="J105" i="23"/>
  <c r="G105" i="23"/>
  <c r="K105" i="23" s="1"/>
  <c r="N471" i="20"/>
  <c r="O471" i="20" s="1"/>
  <c r="N472" i="20"/>
  <c r="N470" i="20"/>
  <c r="C482" i="20"/>
  <c r="C474" i="20"/>
  <c r="K443" i="20"/>
  <c r="K435" i="20"/>
  <c r="K427" i="20"/>
  <c r="K419" i="20"/>
  <c r="K403" i="20"/>
  <c r="L379" i="20"/>
  <c r="L331" i="20"/>
  <c r="L323" i="20"/>
  <c r="L315" i="20"/>
  <c r="L307" i="20"/>
  <c r="L267" i="20"/>
  <c r="L235" i="20"/>
  <c r="L227" i="20"/>
  <c r="L195" i="20"/>
  <c r="L147" i="20"/>
  <c r="L139" i="20"/>
  <c r="L131" i="20"/>
  <c r="L115" i="20"/>
  <c r="L107" i="20"/>
  <c r="L91" i="20"/>
  <c r="L59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J4" i="20"/>
  <c r="J3" i="20"/>
  <c r="J2" i="20"/>
  <c r="J482" i="20" s="1"/>
  <c r="J483" i="20" s="1"/>
  <c r="G425" i="20"/>
  <c r="K425" i="20" s="1"/>
  <c r="G412" i="20"/>
  <c r="K412" i="20" s="1"/>
  <c r="G414" i="20"/>
  <c r="K414" i="20" s="1"/>
  <c r="G427" i="20"/>
  <c r="G415" i="20"/>
  <c r="K415" i="20" s="1"/>
  <c r="G434" i="20"/>
  <c r="K434" i="20" s="1"/>
  <c r="G458" i="20"/>
  <c r="K458" i="20" s="1"/>
  <c r="G453" i="20"/>
  <c r="K453" i="20" s="1"/>
  <c r="G400" i="20"/>
  <c r="K400" i="20" s="1"/>
  <c r="G463" i="20"/>
  <c r="K463" i="20" s="1"/>
  <c r="G444" i="20"/>
  <c r="K444" i="20" s="1"/>
  <c r="G428" i="20"/>
  <c r="K428" i="20" s="1"/>
  <c r="G448" i="20"/>
  <c r="K448" i="20" s="1"/>
  <c r="G423" i="20"/>
  <c r="K423" i="20" s="1"/>
  <c r="G426" i="20"/>
  <c r="K426" i="20" s="1"/>
  <c r="G413" i="20"/>
  <c r="K413" i="20" s="1"/>
  <c r="G429" i="20"/>
  <c r="K429" i="20" s="1"/>
  <c r="G438" i="20"/>
  <c r="K438" i="20" s="1"/>
  <c r="G439" i="20"/>
  <c r="K439" i="20" s="1"/>
  <c r="G416" i="20"/>
  <c r="K416" i="20" s="1"/>
  <c r="G419" i="20"/>
  <c r="G433" i="20"/>
  <c r="K433" i="20" s="1"/>
  <c r="G422" i="20"/>
  <c r="K422" i="20" s="1"/>
  <c r="G440" i="20"/>
  <c r="K440" i="20" s="1"/>
  <c r="G420" i="20"/>
  <c r="K420" i="20" s="1"/>
  <c r="G431" i="20"/>
  <c r="K431" i="20" s="1"/>
  <c r="G445" i="20"/>
  <c r="K445" i="20" s="1"/>
  <c r="G401" i="20"/>
  <c r="K401" i="20" s="1"/>
  <c r="G407" i="20"/>
  <c r="K407" i="20" s="1"/>
  <c r="G441" i="20"/>
  <c r="K441" i="20" s="1"/>
  <c r="G396" i="20"/>
  <c r="K396" i="20" s="1"/>
  <c r="G435" i="20"/>
  <c r="G408" i="20"/>
  <c r="K408" i="20" s="1"/>
  <c r="G424" i="20"/>
  <c r="K424" i="20" s="1"/>
  <c r="G406" i="20"/>
  <c r="K406" i="20" s="1"/>
  <c r="G402" i="20"/>
  <c r="K402" i="20" s="1"/>
  <c r="G399" i="20"/>
  <c r="K399" i="20" s="1"/>
  <c r="G405" i="20"/>
  <c r="K405" i="20" s="1"/>
  <c r="G456" i="20"/>
  <c r="K456" i="20" s="1"/>
  <c r="G464" i="20"/>
  <c r="K464" i="20" s="1"/>
  <c r="G409" i="20"/>
  <c r="K409" i="20" s="1"/>
  <c r="G404" i="20"/>
  <c r="K404" i="20" s="1"/>
  <c r="G421" i="20"/>
  <c r="K421" i="20" s="1"/>
  <c r="G436" i="20"/>
  <c r="K436" i="20" s="1"/>
  <c r="G417" i="20"/>
  <c r="K417" i="20" s="1"/>
  <c r="G451" i="20"/>
  <c r="K451" i="20" s="1"/>
  <c r="G465" i="20"/>
  <c r="K465" i="20" s="1"/>
  <c r="G410" i="20"/>
  <c r="K410" i="20" s="1"/>
  <c r="G398" i="20"/>
  <c r="K398" i="20" s="1"/>
  <c r="G397" i="20"/>
  <c r="K397" i="20" s="1"/>
  <c r="G442" i="20"/>
  <c r="K442" i="20" s="1"/>
  <c r="G462" i="20"/>
  <c r="K462" i="20" s="1"/>
  <c r="G432" i="20"/>
  <c r="K432" i="20" s="1"/>
  <c r="G430" i="20"/>
  <c r="K430" i="20" s="1"/>
  <c r="G447" i="20"/>
  <c r="K447" i="20" s="1"/>
  <c r="G418" i="20"/>
  <c r="K418" i="20" s="1"/>
  <c r="G461" i="20"/>
  <c r="K461" i="20" s="1"/>
  <c r="G403" i="20"/>
  <c r="G449" i="20"/>
  <c r="K449" i="20" s="1"/>
  <c r="G459" i="20"/>
  <c r="K459" i="20" s="1"/>
  <c r="G443" i="20"/>
  <c r="G457" i="20"/>
  <c r="K457" i="20" s="1"/>
  <c r="G454" i="20"/>
  <c r="K454" i="20" s="1"/>
  <c r="G466" i="20"/>
  <c r="F363" i="20"/>
  <c r="L363" i="20" s="1"/>
  <c r="F254" i="20"/>
  <c r="L254" i="20" s="1"/>
  <c r="F392" i="20"/>
  <c r="L392" i="20" s="1"/>
  <c r="F306" i="20"/>
  <c r="L306" i="20" s="1"/>
  <c r="F379" i="20"/>
  <c r="F47" i="20"/>
  <c r="L47" i="20" s="1"/>
  <c r="F134" i="20"/>
  <c r="L134" i="20" s="1"/>
  <c r="F216" i="20"/>
  <c r="L216" i="20" s="1"/>
  <c r="F367" i="20"/>
  <c r="L367" i="20" s="1"/>
  <c r="F240" i="20"/>
  <c r="L240" i="20" s="1"/>
  <c r="G452" i="20"/>
  <c r="K452" i="20" s="1"/>
  <c r="G468" i="20"/>
  <c r="K468" i="20" s="1"/>
  <c r="G437" i="20"/>
  <c r="K437" i="20" s="1"/>
  <c r="G446" i="20"/>
  <c r="K446" i="20" s="1"/>
  <c r="G411" i="20"/>
  <c r="K411" i="20" s="1"/>
  <c r="G455" i="20"/>
  <c r="K455" i="20" s="1"/>
  <c r="G460" i="20"/>
  <c r="K460" i="20" s="1"/>
  <c r="F223" i="20"/>
  <c r="L223" i="20" s="1"/>
  <c r="F366" i="20"/>
  <c r="L366" i="20" s="1"/>
  <c r="F368" i="20"/>
  <c r="L368" i="20" s="1"/>
  <c r="F70" i="20"/>
  <c r="L70" i="20" s="1"/>
  <c r="F385" i="20"/>
  <c r="L385" i="20" s="1"/>
  <c r="F374" i="20"/>
  <c r="L374" i="20" s="1"/>
  <c r="D14" i="20"/>
  <c r="F266" i="20"/>
  <c r="L266" i="20" s="1"/>
  <c r="F85" i="20"/>
  <c r="L85" i="20" s="1"/>
  <c r="F326" i="20"/>
  <c r="L326" i="20" s="1"/>
  <c r="F145" i="20"/>
  <c r="L145" i="20" s="1"/>
  <c r="F119" i="20"/>
  <c r="L119" i="20" s="1"/>
  <c r="F351" i="20"/>
  <c r="L351" i="20" s="1"/>
  <c r="F149" i="20"/>
  <c r="L149" i="20" s="1"/>
  <c r="F277" i="20"/>
  <c r="L277" i="20" s="1"/>
  <c r="F158" i="20"/>
  <c r="L158" i="20" s="1"/>
  <c r="F235" i="20"/>
  <c r="F198" i="20"/>
  <c r="L198" i="20" s="1"/>
  <c r="F282" i="20"/>
  <c r="L282" i="20" s="1"/>
  <c r="F372" i="20"/>
  <c r="L372" i="20" s="1"/>
  <c r="F78" i="20"/>
  <c r="L78" i="20" s="1"/>
  <c r="F113" i="20"/>
  <c r="L113" i="20" s="1"/>
  <c r="F232" i="20"/>
  <c r="L232" i="20" s="1"/>
  <c r="F99" i="20"/>
  <c r="L99" i="20" s="1"/>
  <c r="F290" i="20"/>
  <c r="L290" i="20" s="1"/>
  <c r="F357" i="20"/>
  <c r="L357" i="20" s="1"/>
  <c r="F328" i="20"/>
  <c r="L328" i="20" s="1"/>
  <c r="F296" i="20"/>
  <c r="L296" i="20" s="1"/>
  <c r="F217" i="20"/>
  <c r="L217" i="20" s="1"/>
  <c r="F63" i="20"/>
  <c r="L63" i="20" s="1"/>
  <c r="F65" i="20"/>
  <c r="L65" i="20" s="1"/>
  <c r="F274" i="20"/>
  <c r="L274" i="20" s="1"/>
  <c r="F168" i="20"/>
  <c r="L168" i="20" s="1"/>
  <c r="F115" i="20"/>
  <c r="F319" i="20"/>
  <c r="L319" i="20" s="1"/>
  <c r="F127" i="20"/>
  <c r="L127" i="20" s="1"/>
  <c r="F77" i="20"/>
  <c r="L77" i="20" s="1"/>
  <c r="F57" i="20"/>
  <c r="L57" i="20" s="1"/>
  <c r="F192" i="20"/>
  <c r="L192" i="20" s="1"/>
  <c r="F129" i="20"/>
  <c r="L129" i="20" s="1"/>
  <c r="F52" i="20"/>
  <c r="L52" i="20" s="1"/>
  <c r="F307" i="20"/>
  <c r="F286" i="20"/>
  <c r="L286" i="20" s="1"/>
  <c r="F309" i="20"/>
  <c r="L309" i="20" s="1"/>
  <c r="F270" i="20"/>
  <c r="L270" i="20" s="1"/>
  <c r="F259" i="20"/>
  <c r="L259" i="20" s="1"/>
  <c r="F263" i="20"/>
  <c r="L263" i="20" s="1"/>
  <c r="F50" i="20"/>
  <c r="L50" i="20" s="1"/>
  <c r="F267" i="20"/>
  <c r="F162" i="20"/>
  <c r="L162" i="20" s="1"/>
  <c r="F336" i="20"/>
  <c r="L336" i="20" s="1"/>
  <c r="F215" i="20"/>
  <c r="L215" i="20" s="1"/>
  <c r="F68" i="20"/>
  <c r="L68" i="20" s="1"/>
  <c r="F203" i="20"/>
  <c r="L203" i="20" s="1"/>
  <c r="F108" i="20"/>
  <c r="L108" i="20" s="1"/>
  <c r="F335" i="20"/>
  <c r="L335" i="20" s="1"/>
  <c r="F264" i="20"/>
  <c r="L264" i="20" s="1"/>
  <c r="F87" i="20"/>
  <c r="L87" i="20" s="1"/>
  <c r="F183" i="20"/>
  <c r="L183" i="20" s="1"/>
  <c r="F59" i="20"/>
  <c r="F167" i="20"/>
  <c r="L167" i="20" s="1"/>
  <c r="F294" i="20"/>
  <c r="L294" i="20" s="1"/>
  <c r="F45" i="20"/>
  <c r="L45" i="20" s="1"/>
  <c r="F176" i="20"/>
  <c r="L176" i="20" s="1"/>
  <c r="F173" i="20"/>
  <c r="L173" i="20" s="1"/>
  <c r="F199" i="20"/>
  <c r="L199" i="20" s="1"/>
  <c r="F239" i="20"/>
  <c r="L239" i="20" s="1"/>
  <c r="F170" i="20"/>
  <c r="L170" i="20" s="1"/>
  <c r="F118" i="20"/>
  <c r="L118" i="20" s="1"/>
  <c r="F101" i="20"/>
  <c r="L101" i="20" s="1"/>
  <c r="F244" i="20"/>
  <c r="L244" i="20" s="1"/>
  <c r="F382" i="20"/>
  <c r="L382" i="20" s="1"/>
  <c r="F202" i="20"/>
  <c r="L202" i="20" s="1"/>
  <c r="F164" i="20"/>
  <c r="L164" i="20" s="1"/>
  <c r="F181" i="20"/>
  <c r="L181" i="20" s="1"/>
  <c r="F107" i="20"/>
  <c r="F283" i="20"/>
  <c r="L283" i="20" s="1"/>
  <c r="F313" i="20"/>
  <c r="L313" i="20" s="1"/>
  <c r="F227" i="20"/>
  <c r="F191" i="20"/>
  <c r="L191" i="20" s="1"/>
  <c r="F327" i="20"/>
  <c r="L327" i="20" s="1"/>
  <c r="F147" i="20"/>
  <c r="F205" i="20"/>
  <c r="L205" i="20" s="1"/>
  <c r="F214" i="20"/>
  <c r="L214" i="20" s="1"/>
  <c r="F137" i="20"/>
  <c r="L137" i="20" s="1"/>
  <c r="F93" i="20"/>
  <c r="L93" i="20" s="1"/>
  <c r="F105" i="20"/>
  <c r="L105" i="20" s="1"/>
  <c r="F132" i="20"/>
  <c r="L132" i="20" s="1"/>
  <c r="F334" i="20"/>
  <c r="L334" i="20" s="1"/>
  <c r="F94" i="20"/>
  <c r="L94" i="20" s="1"/>
  <c r="F166" i="20"/>
  <c r="L166" i="20" s="1"/>
  <c r="F195" i="20"/>
  <c r="F310" i="20"/>
  <c r="L310" i="20" s="1"/>
  <c r="F275" i="20"/>
  <c r="L275" i="20" s="1"/>
  <c r="F226" i="20"/>
  <c r="L226" i="20" s="1"/>
  <c r="F209" i="20"/>
  <c r="L209" i="20" s="1"/>
  <c r="F90" i="20"/>
  <c r="L90" i="20" s="1"/>
  <c r="F301" i="20"/>
  <c r="L301" i="20" s="1"/>
  <c r="F261" i="20"/>
  <c r="L261" i="20" s="1"/>
  <c r="F269" i="20"/>
  <c r="L269" i="20" s="1"/>
  <c r="F276" i="20"/>
  <c r="L276" i="20" s="1"/>
  <c r="F144" i="20"/>
  <c r="L144" i="20" s="1"/>
  <c r="F383" i="20"/>
  <c r="L383" i="20" s="1"/>
  <c r="F206" i="20"/>
  <c r="L206" i="20" s="1"/>
  <c r="F359" i="20"/>
  <c r="L359" i="20" s="1"/>
  <c r="F350" i="20"/>
  <c r="L350" i="20" s="1"/>
  <c r="F62" i="20"/>
  <c r="L62" i="20" s="1"/>
  <c r="F315" i="20"/>
  <c r="F245" i="20"/>
  <c r="L245" i="20" s="1"/>
  <c r="F324" i="20"/>
  <c r="L324" i="20" s="1"/>
  <c r="F378" i="20"/>
  <c r="L378" i="20" s="1"/>
  <c r="F231" i="20"/>
  <c r="L231" i="20" s="1"/>
  <c r="F375" i="20"/>
  <c r="L375" i="20" s="1"/>
  <c r="F207" i="20"/>
  <c r="L207" i="20" s="1"/>
  <c r="F365" i="20"/>
  <c r="L365" i="20" s="1"/>
  <c r="F316" i="20"/>
  <c r="L316" i="20" s="1"/>
  <c r="F311" i="20"/>
  <c r="L311" i="20" s="1"/>
  <c r="F163" i="20"/>
  <c r="L163" i="20" s="1"/>
  <c r="F200" i="20"/>
  <c r="L200" i="20" s="1"/>
  <c r="F337" i="20"/>
  <c r="L337" i="20" s="1"/>
  <c r="F194" i="20"/>
  <c r="L194" i="20" s="1"/>
  <c r="F346" i="20"/>
  <c r="L346" i="20" s="1"/>
  <c r="F69" i="20"/>
  <c r="L69" i="20" s="1"/>
  <c r="F353" i="20"/>
  <c r="L353" i="20" s="1"/>
  <c r="F96" i="20"/>
  <c r="L96" i="20" s="1"/>
  <c r="F157" i="20"/>
  <c r="L157" i="20" s="1"/>
  <c r="F389" i="20"/>
  <c r="L389" i="20" s="1"/>
  <c r="F292" i="20"/>
  <c r="L292" i="20" s="1"/>
  <c r="F79" i="20"/>
  <c r="L79" i="20" s="1"/>
  <c r="F201" i="20"/>
  <c r="L201" i="20" s="1"/>
  <c r="F104" i="20"/>
  <c r="L104" i="20" s="1"/>
  <c r="F288" i="20"/>
  <c r="L288" i="20" s="1"/>
  <c r="F272" i="20"/>
  <c r="L272" i="20" s="1"/>
  <c r="F53" i="20"/>
  <c r="L53" i="20" s="1"/>
  <c r="F120" i="20"/>
  <c r="L120" i="20" s="1"/>
  <c r="F333" i="20"/>
  <c r="L333" i="20" s="1"/>
  <c r="F381" i="20"/>
  <c r="L381" i="20" s="1"/>
  <c r="F304" i="20"/>
  <c r="L304" i="20" s="1"/>
  <c r="F349" i="20"/>
  <c r="L349" i="20" s="1"/>
  <c r="F76" i="20"/>
  <c r="L76" i="20" s="1"/>
  <c r="F228" i="20"/>
  <c r="L228" i="20" s="1"/>
  <c r="F128" i="20"/>
  <c r="L128" i="20" s="1"/>
  <c r="F284" i="20"/>
  <c r="L284" i="20" s="1"/>
  <c r="F182" i="20"/>
  <c r="L182" i="20" s="1"/>
  <c r="F344" i="20"/>
  <c r="L344" i="20" s="1"/>
  <c r="F175" i="20"/>
  <c r="L175" i="20" s="1"/>
  <c r="F116" i="20"/>
  <c r="L116" i="20" s="1"/>
  <c r="F331" i="20"/>
  <c r="F212" i="20"/>
  <c r="L212" i="20" s="1"/>
  <c r="F80" i="20"/>
  <c r="L80" i="20" s="1"/>
  <c r="F358" i="20"/>
  <c r="L358" i="20" s="1"/>
  <c r="F211" i="20"/>
  <c r="L211" i="20" s="1"/>
  <c r="F169" i="20"/>
  <c r="L169" i="20" s="1"/>
  <c r="F180" i="20"/>
  <c r="L180" i="20" s="1"/>
  <c r="F247" i="20"/>
  <c r="L247" i="20" s="1"/>
  <c r="F64" i="20"/>
  <c r="L64" i="20" s="1"/>
  <c r="F302" i="20"/>
  <c r="L302" i="20" s="1"/>
  <c r="F377" i="20"/>
  <c r="L377" i="20" s="1"/>
  <c r="F260" i="20"/>
  <c r="L260" i="20" s="1"/>
  <c r="F394" i="20"/>
  <c r="L394" i="20" s="1"/>
  <c r="F338" i="20"/>
  <c r="L338" i="20" s="1"/>
  <c r="F131" i="20"/>
  <c r="F92" i="20"/>
  <c r="L92" i="20" s="1"/>
  <c r="F323" i="20"/>
  <c r="F238" i="20"/>
  <c r="L238" i="20" s="1"/>
  <c r="F46" i="20"/>
  <c r="L46" i="20" s="1"/>
  <c r="F300" i="20"/>
  <c r="L300" i="20" s="1"/>
  <c r="F355" i="20"/>
  <c r="L355" i="20" s="1"/>
  <c r="F88" i="20"/>
  <c r="L88" i="20" s="1"/>
  <c r="F143" i="20"/>
  <c r="L143" i="20" s="1"/>
  <c r="F187" i="20"/>
  <c r="L187" i="20" s="1"/>
  <c r="F224" i="20"/>
  <c r="L224" i="20" s="1"/>
  <c r="F83" i="20"/>
  <c r="L83" i="20" s="1"/>
  <c r="F387" i="20"/>
  <c r="L387" i="20" s="1"/>
  <c r="F393" i="20"/>
  <c r="L393" i="20" s="1"/>
  <c r="F185" i="20"/>
  <c r="L185" i="20" s="1"/>
  <c r="F220" i="20"/>
  <c r="L220" i="20" s="1"/>
  <c r="F395" i="20"/>
  <c r="L395" i="20" s="1"/>
  <c r="F354" i="20"/>
  <c r="L354" i="20" s="1"/>
  <c r="F225" i="20"/>
  <c r="L225" i="20" s="1"/>
  <c r="F285" i="20"/>
  <c r="L285" i="20" s="1"/>
  <c r="F114" i="20"/>
  <c r="L114" i="20" s="1"/>
  <c r="F252" i="20"/>
  <c r="L252" i="20" s="1"/>
  <c r="F329" i="20"/>
  <c r="L329" i="20" s="1"/>
  <c r="F347" i="20"/>
  <c r="L347" i="20" s="1"/>
  <c r="F362" i="20"/>
  <c r="L362" i="20" s="1"/>
  <c r="F109" i="20"/>
  <c r="L109" i="20" s="1"/>
  <c r="F320" i="20"/>
  <c r="L320" i="20" s="1"/>
  <c r="F229" i="20"/>
  <c r="L229" i="20" s="1"/>
  <c r="F343" i="20"/>
  <c r="L343" i="20" s="1"/>
  <c r="F341" i="20"/>
  <c r="L341" i="20" s="1"/>
  <c r="F322" i="20"/>
  <c r="L322" i="20" s="1"/>
  <c r="F100" i="20"/>
  <c r="L100" i="20" s="1"/>
  <c r="F95" i="20"/>
  <c r="L95" i="20" s="1"/>
  <c r="F278" i="20"/>
  <c r="L278" i="20" s="1"/>
  <c r="F265" i="20"/>
  <c r="L265" i="20" s="1"/>
  <c r="F193" i="20"/>
  <c r="L193" i="20" s="1"/>
  <c r="F159" i="20"/>
  <c r="L159" i="20" s="1"/>
  <c r="F295" i="20"/>
  <c r="L295" i="20" s="1"/>
  <c r="F97" i="20"/>
  <c r="L97" i="20" s="1"/>
  <c r="F72" i="20"/>
  <c r="L72" i="20" s="1"/>
  <c r="F221" i="20"/>
  <c r="L221" i="20" s="1"/>
  <c r="F370" i="20"/>
  <c r="L370" i="20" s="1"/>
  <c r="F139" i="20"/>
  <c r="F140" i="20"/>
  <c r="L140" i="20" s="1"/>
  <c r="F371" i="20"/>
  <c r="L371" i="20" s="1"/>
  <c r="F380" i="20"/>
  <c r="L380" i="20" s="1"/>
  <c r="F390" i="20"/>
  <c r="L390" i="20" s="1"/>
  <c r="F138" i="20"/>
  <c r="L138" i="20" s="1"/>
  <c r="F61" i="20"/>
  <c r="L61" i="20" s="1"/>
  <c r="F369" i="20"/>
  <c r="L369" i="20" s="1"/>
  <c r="F256" i="20"/>
  <c r="L256" i="20" s="1"/>
  <c r="F352" i="20"/>
  <c r="L352" i="20" s="1"/>
  <c r="F122" i="20"/>
  <c r="L122" i="20" s="1"/>
  <c r="F146" i="20"/>
  <c r="L146" i="20" s="1"/>
  <c r="F303" i="20"/>
  <c r="L303" i="20" s="1"/>
  <c r="F361" i="20"/>
  <c r="L361" i="20" s="1"/>
  <c r="F160" i="20"/>
  <c r="L160" i="20" s="1"/>
  <c r="F251" i="20"/>
  <c r="L251" i="20" s="1"/>
  <c r="F271" i="20"/>
  <c r="L271" i="20" s="1"/>
  <c r="F280" i="20"/>
  <c r="L280" i="20" s="1"/>
  <c r="F305" i="20"/>
  <c r="L305" i="20" s="1"/>
  <c r="F243" i="20"/>
  <c r="L243" i="20" s="1"/>
  <c r="F237" i="20"/>
  <c r="L237" i="20" s="1"/>
  <c r="F325" i="20"/>
  <c r="L325" i="20" s="1"/>
  <c r="F297" i="20"/>
  <c r="L297" i="20" s="1"/>
  <c r="F308" i="20"/>
  <c r="L308" i="20" s="1"/>
  <c r="F289" i="20"/>
  <c r="L289" i="20" s="1"/>
  <c r="F188" i="20"/>
  <c r="L188" i="20" s="1"/>
  <c r="F248" i="20"/>
  <c r="L248" i="20" s="1"/>
  <c r="F152" i="20"/>
  <c r="L152" i="20" s="1"/>
  <c r="F249" i="20"/>
  <c r="L249" i="20" s="1"/>
  <c r="F373" i="20"/>
  <c r="L373" i="20" s="1"/>
  <c r="F356" i="20"/>
  <c r="L356" i="20" s="1"/>
  <c r="F218" i="20"/>
  <c r="L218" i="20" s="1"/>
  <c r="F314" i="20"/>
  <c r="L314" i="20" s="1"/>
  <c r="F75" i="20"/>
  <c r="L75" i="20" s="1"/>
  <c r="F150" i="20"/>
  <c r="L150" i="20" s="1"/>
  <c r="F156" i="20"/>
  <c r="L156" i="20" s="1"/>
  <c r="F279" i="20"/>
  <c r="L279" i="20" s="1"/>
  <c r="F184" i="20"/>
  <c r="L184" i="20" s="1"/>
  <c r="F86" i="20"/>
  <c r="L86" i="20" s="1"/>
  <c r="F219" i="20"/>
  <c r="L219" i="20" s="1"/>
  <c r="F210" i="20"/>
  <c r="L210" i="20" s="1"/>
  <c r="F189" i="20"/>
  <c r="L189" i="20" s="1"/>
  <c r="F165" i="20"/>
  <c r="L165" i="20" s="1"/>
  <c r="F130" i="20"/>
  <c r="L130" i="20" s="1"/>
  <c r="F55" i="20"/>
  <c r="L55" i="20" s="1"/>
  <c r="F268" i="20"/>
  <c r="L268" i="20" s="1"/>
  <c r="F174" i="20"/>
  <c r="L174" i="20" s="1"/>
  <c r="F135" i="20"/>
  <c r="L135" i="20" s="1"/>
  <c r="F154" i="20"/>
  <c r="L154" i="20" s="1"/>
  <c r="F318" i="20"/>
  <c r="L318" i="20" s="1"/>
  <c r="F317" i="20"/>
  <c r="L317" i="20" s="1"/>
  <c r="F153" i="20"/>
  <c r="L153" i="20" s="1"/>
  <c r="F348" i="20"/>
  <c r="L348" i="20" s="1"/>
  <c r="F60" i="20"/>
  <c r="L60" i="20" s="1"/>
  <c r="F172" i="20"/>
  <c r="L172" i="20" s="1"/>
  <c r="F230" i="20"/>
  <c r="L230" i="20" s="1"/>
  <c r="F82" i="20"/>
  <c r="L82" i="20" s="1"/>
  <c r="F84" i="20"/>
  <c r="L84" i="20" s="1"/>
  <c r="F123" i="20"/>
  <c r="L123" i="20" s="1"/>
  <c r="F98" i="20"/>
  <c r="L98" i="20" s="1"/>
  <c r="F142" i="20"/>
  <c r="L142" i="20" s="1"/>
  <c r="F213" i="20"/>
  <c r="L213" i="20" s="1"/>
  <c r="F125" i="20"/>
  <c r="L125" i="20" s="1"/>
  <c r="F262" i="20"/>
  <c r="L262" i="20" s="1"/>
  <c r="F250" i="20"/>
  <c r="L250" i="20" s="1"/>
  <c r="F74" i="20"/>
  <c r="L74" i="20" s="1"/>
  <c r="F103" i="20"/>
  <c r="L103" i="20" s="1"/>
  <c r="F178" i="20"/>
  <c r="L178" i="20" s="1"/>
  <c r="F133" i="20"/>
  <c r="L133" i="20" s="1"/>
  <c r="F117" i="20"/>
  <c r="L117" i="20" s="1"/>
  <c r="F81" i="20"/>
  <c r="L81" i="20" s="1"/>
  <c r="F234" i="20"/>
  <c r="L234" i="20" s="1"/>
  <c r="F106" i="20"/>
  <c r="L106" i="20" s="1"/>
  <c r="F197" i="20"/>
  <c r="L197" i="20" s="1"/>
  <c r="F112" i="20"/>
  <c r="L112" i="20" s="1"/>
  <c r="F342" i="20"/>
  <c r="L342" i="20" s="1"/>
  <c r="F73" i="20"/>
  <c r="L73" i="20" s="1"/>
  <c r="F110" i="20"/>
  <c r="L110" i="20" s="1"/>
  <c r="F345" i="20"/>
  <c r="L345" i="20" s="1"/>
  <c r="F155" i="20"/>
  <c r="L155" i="20" s="1"/>
  <c r="F255" i="20"/>
  <c r="L255" i="20" s="1"/>
  <c r="F179" i="20"/>
  <c r="L179" i="20" s="1"/>
  <c r="F111" i="20"/>
  <c r="L111" i="20" s="1"/>
  <c r="F287" i="20"/>
  <c r="L287" i="20" s="1"/>
  <c r="F386" i="20"/>
  <c r="L386" i="20" s="1"/>
  <c r="F91" i="20"/>
  <c r="F242" i="20"/>
  <c r="L242" i="20" s="1"/>
  <c r="F71" i="20"/>
  <c r="L71" i="20" s="1"/>
  <c r="F196" i="20"/>
  <c r="L196" i="20" s="1"/>
  <c r="F222" i="20"/>
  <c r="L222" i="20" s="1"/>
  <c r="F258" i="20"/>
  <c r="L258" i="20" s="1"/>
  <c r="F67" i="20"/>
  <c r="L67" i="20" s="1"/>
  <c r="F89" i="20"/>
  <c r="L89" i="20" s="1"/>
  <c r="F56" i="20"/>
  <c r="L56" i="20" s="1"/>
  <c r="F388" i="20"/>
  <c r="L388" i="20" s="1"/>
  <c r="F54" i="20"/>
  <c r="L54" i="20" s="1"/>
  <c r="F151" i="20"/>
  <c r="L151" i="20" s="1"/>
  <c r="F312" i="20"/>
  <c r="L312" i="20" s="1"/>
  <c r="F126" i="20"/>
  <c r="L126" i="20" s="1"/>
  <c r="F376" i="20"/>
  <c r="L376" i="20" s="1"/>
  <c r="F66" i="20"/>
  <c r="L66" i="20" s="1"/>
  <c r="F360" i="20"/>
  <c r="L360" i="20" s="1"/>
  <c r="F321" i="20"/>
  <c r="L321" i="20" s="1"/>
  <c r="F298" i="20"/>
  <c r="L298" i="20" s="1"/>
  <c r="F340" i="20"/>
  <c r="L340" i="20" s="1"/>
  <c r="F171" i="20"/>
  <c r="L171" i="20" s="1"/>
  <c r="F102" i="20"/>
  <c r="L102" i="20" s="1"/>
  <c r="F141" i="20"/>
  <c r="L141" i="20" s="1"/>
  <c r="F121" i="20"/>
  <c r="L121" i="20" s="1"/>
  <c r="F208" i="20"/>
  <c r="L208" i="20" s="1"/>
  <c r="F186" i="20"/>
  <c r="L186" i="20" s="1"/>
  <c r="F48" i="20"/>
  <c r="L48" i="20" s="1"/>
  <c r="F49" i="20"/>
  <c r="L49" i="20" s="1"/>
  <c r="F136" i="20"/>
  <c r="L136" i="20" s="1"/>
  <c r="F241" i="20"/>
  <c r="L241" i="20" s="1"/>
  <c r="F124" i="20"/>
  <c r="L124" i="20" s="1"/>
  <c r="F257" i="20"/>
  <c r="L257" i="20" s="1"/>
  <c r="F246" i="20"/>
  <c r="L246" i="20" s="1"/>
  <c r="F332" i="20"/>
  <c r="L332" i="20" s="1"/>
  <c r="F177" i="20"/>
  <c r="L177" i="20" s="1"/>
  <c r="F233" i="20"/>
  <c r="L233" i="20" s="1"/>
  <c r="F204" i="20"/>
  <c r="L204" i="20" s="1"/>
  <c r="F148" i="20"/>
  <c r="L148" i="20" s="1"/>
  <c r="F384" i="20"/>
  <c r="L384" i="20" s="1"/>
  <c r="F391" i="20"/>
  <c r="L391" i="20" s="1"/>
  <c r="F253" i="20"/>
  <c r="L253" i="20" s="1"/>
  <c r="H472" i="20"/>
  <c r="H471" i="20"/>
  <c r="H482" i="20" s="1"/>
  <c r="F161" i="20"/>
  <c r="L161" i="20" s="1"/>
  <c r="F293" i="20"/>
  <c r="L293" i="20" s="1"/>
  <c r="F236" i="20"/>
  <c r="L236" i="20" s="1"/>
  <c r="F364" i="20"/>
  <c r="L364" i="20" s="1"/>
  <c r="F291" i="20"/>
  <c r="L291" i="20" s="1"/>
  <c r="F190" i="20"/>
  <c r="L190" i="20" s="1"/>
  <c r="D9" i="20"/>
  <c r="D23" i="20"/>
  <c r="D10" i="20"/>
  <c r="D12" i="20"/>
  <c r="D7" i="20"/>
  <c r="D17" i="20"/>
  <c r="D11" i="20"/>
  <c r="F58" i="20"/>
  <c r="L58" i="20" s="1"/>
  <c r="F330" i="20"/>
  <c r="L330" i="20" s="1"/>
  <c r="F273" i="20"/>
  <c r="L273" i="20" s="1"/>
  <c r="F339" i="20"/>
  <c r="L339" i="20" s="1"/>
  <c r="F44" i="20"/>
  <c r="L44" i="20" s="1"/>
  <c r="F299" i="20"/>
  <c r="L299" i="20" s="1"/>
  <c r="F281" i="20"/>
  <c r="L281" i="20" s="1"/>
  <c r="F51" i="20"/>
  <c r="L51" i="20" s="1"/>
  <c r="G467" i="20"/>
  <c r="K467" i="20" s="1"/>
  <c r="G450" i="20"/>
  <c r="K450" i="20" s="1"/>
  <c r="E470" i="20"/>
  <c r="E469" i="20"/>
  <c r="D24" i="20"/>
  <c r="D8" i="20"/>
  <c r="D6" i="20"/>
  <c r="D39" i="20"/>
  <c r="D34" i="20"/>
  <c r="D41" i="20"/>
  <c r="D18" i="20"/>
  <c r="D22" i="20"/>
  <c r="D13" i="20"/>
  <c r="D16" i="20"/>
  <c r="D4" i="20"/>
  <c r="D21" i="20"/>
  <c r="D33" i="20"/>
  <c r="D31" i="20"/>
  <c r="D37" i="20"/>
  <c r="D35" i="20"/>
  <c r="D3" i="20"/>
  <c r="D32" i="20"/>
  <c r="D15" i="20"/>
  <c r="D42" i="20"/>
  <c r="D28" i="20"/>
  <c r="D5" i="20"/>
  <c r="D26" i="20"/>
  <c r="D29" i="20"/>
  <c r="D27" i="20"/>
  <c r="D36" i="20"/>
  <c r="D38" i="20"/>
  <c r="D43" i="20"/>
  <c r="D2" i="20"/>
  <c r="D482" i="20" s="1"/>
  <c r="D25" i="20"/>
  <c r="D19" i="20"/>
  <c r="D30" i="20"/>
  <c r="D40" i="20"/>
  <c r="D20" i="20"/>
  <c r="L482" i="20" l="1"/>
  <c r="L483" i="20" s="1"/>
  <c r="F482" i="20"/>
  <c r="G474" i="20"/>
  <c r="K466" i="20"/>
  <c r="K482" i="20" s="1"/>
  <c r="K483" i="20" s="1"/>
  <c r="G482" i="20"/>
  <c r="E474" i="20"/>
  <c r="H474" i="20"/>
  <c r="E482" i="20"/>
  <c r="F474" i="20"/>
  <c r="D474" i="20"/>
  <c r="I474" i="20" s="1"/>
  <c r="AA472" i="15" l="1"/>
  <c r="Z472" i="15"/>
  <c r="Y472" i="15"/>
  <c r="X472" i="15"/>
  <c r="W472" i="15"/>
  <c r="AA471" i="15"/>
  <c r="Z471" i="15"/>
  <c r="Y471" i="15"/>
  <c r="X471" i="15"/>
  <c r="W471" i="15"/>
  <c r="AA470" i="15"/>
  <c r="Z470" i="15"/>
  <c r="Y470" i="15"/>
  <c r="X470" i="15"/>
  <c r="W470" i="15"/>
  <c r="AA469" i="15"/>
  <c r="Z469" i="15"/>
  <c r="Y469" i="15"/>
  <c r="X469" i="15"/>
  <c r="W469" i="15"/>
  <c r="AA468" i="15"/>
  <c r="Z468" i="15"/>
  <c r="Y468" i="15"/>
  <c r="X468" i="15"/>
  <c r="W468" i="15"/>
  <c r="AA467" i="15"/>
  <c r="Z467" i="15"/>
  <c r="Y467" i="15"/>
  <c r="X467" i="15"/>
  <c r="W467" i="15"/>
  <c r="AA466" i="15"/>
  <c r="Z466" i="15"/>
  <c r="Y466" i="15"/>
  <c r="X466" i="15"/>
  <c r="W466" i="15"/>
  <c r="AA465" i="15"/>
  <c r="Z465" i="15"/>
  <c r="Y465" i="15"/>
  <c r="X465" i="15"/>
  <c r="W465" i="15"/>
  <c r="AA464" i="15"/>
  <c r="Z464" i="15"/>
  <c r="Y464" i="15"/>
  <c r="X464" i="15"/>
  <c r="W464" i="15"/>
  <c r="AA463" i="15"/>
  <c r="Z463" i="15"/>
  <c r="Y463" i="15"/>
  <c r="X463" i="15"/>
  <c r="W463" i="15"/>
  <c r="AA462" i="15"/>
  <c r="Z462" i="15"/>
  <c r="Y462" i="15"/>
  <c r="X462" i="15"/>
  <c r="W462" i="15"/>
  <c r="AA461" i="15"/>
  <c r="Z461" i="15"/>
  <c r="Y461" i="15"/>
  <c r="X461" i="15"/>
  <c r="W461" i="15"/>
  <c r="AA460" i="15"/>
  <c r="Z460" i="15"/>
  <c r="Y460" i="15"/>
  <c r="X460" i="15"/>
  <c r="W460" i="15"/>
  <c r="AA459" i="15"/>
  <c r="Z459" i="15"/>
  <c r="Y459" i="15"/>
  <c r="X459" i="15"/>
  <c r="W459" i="15"/>
  <c r="AA458" i="15"/>
  <c r="Z458" i="15"/>
  <c r="Y458" i="15"/>
  <c r="X458" i="15"/>
  <c r="W458" i="15"/>
  <c r="AA457" i="15"/>
  <c r="Z457" i="15"/>
  <c r="Y457" i="15"/>
  <c r="X457" i="15"/>
  <c r="W457" i="15"/>
  <c r="AA456" i="15"/>
  <c r="Z456" i="15"/>
  <c r="Y456" i="15"/>
  <c r="X456" i="15"/>
  <c r="W456" i="15"/>
  <c r="AA455" i="15"/>
  <c r="Z455" i="15"/>
  <c r="Y455" i="15"/>
  <c r="X455" i="15"/>
  <c r="W455" i="15"/>
  <c r="AA454" i="15"/>
  <c r="Z454" i="15"/>
  <c r="Y454" i="15"/>
  <c r="X454" i="15"/>
  <c r="W454" i="15"/>
  <c r="AA453" i="15"/>
  <c r="Z453" i="15"/>
  <c r="Y453" i="15"/>
  <c r="X453" i="15"/>
  <c r="W453" i="15"/>
  <c r="AA452" i="15"/>
  <c r="Z452" i="15"/>
  <c r="Y452" i="15"/>
  <c r="X452" i="15"/>
  <c r="W452" i="15"/>
  <c r="AA451" i="15"/>
  <c r="Z451" i="15"/>
  <c r="Y451" i="15"/>
  <c r="X451" i="15"/>
  <c r="W451" i="15"/>
  <c r="AA450" i="15"/>
  <c r="Z450" i="15"/>
  <c r="Y450" i="15"/>
  <c r="X450" i="15"/>
  <c r="W450" i="15"/>
  <c r="AA449" i="15"/>
  <c r="Z449" i="15"/>
  <c r="Y449" i="15"/>
  <c r="X449" i="15"/>
  <c r="W449" i="15"/>
  <c r="AA448" i="15"/>
  <c r="Z448" i="15"/>
  <c r="Y448" i="15"/>
  <c r="X448" i="15"/>
  <c r="W448" i="15"/>
  <c r="AA447" i="15"/>
  <c r="Z447" i="15"/>
  <c r="Y447" i="15"/>
  <c r="X447" i="15"/>
  <c r="W447" i="15"/>
  <c r="AA446" i="15"/>
  <c r="Z446" i="15"/>
  <c r="Y446" i="15"/>
  <c r="X446" i="15"/>
  <c r="W446" i="15"/>
  <c r="AA445" i="15"/>
  <c r="Z445" i="15"/>
  <c r="Y445" i="15"/>
  <c r="X445" i="15"/>
  <c r="W445" i="15"/>
  <c r="AA444" i="15"/>
  <c r="Z444" i="15"/>
  <c r="Y444" i="15"/>
  <c r="X444" i="15"/>
  <c r="W444" i="15"/>
  <c r="AA443" i="15"/>
  <c r="Z443" i="15"/>
  <c r="Y443" i="15"/>
  <c r="X443" i="15"/>
  <c r="W443" i="15"/>
  <c r="AA442" i="15"/>
  <c r="Z442" i="15"/>
  <c r="Y442" i="15"/>
  <c r="X442" i="15"/>
  <c r="W442" i="15"/>
  <c r="AA441" i="15"/>
  <c r="Z441" i="15"/>
  <c r="Y441" i="15"/>
  <c r="X441" i="15"/>
  <c r="W441" i="15"/>
  <c r="AA440" i="15"/>
  <c r="Z440" i="15"/>
  <c r="Y440" i="15"/>
  <c r="X440" i="15"/>
  <c r="W440" i="15"/>
  <c r="AA439" i="15"/>
  <c r="Z439" i="15"/>
  <c r="Y439" i="15"/>
  <c r="X439" i="15"/>
  <c r="W439" i="15"/>
  <c r="AA438" i="15"/>
  <c r="Z438" i="15"/>
  <c r="Y438" i="15"/>
  <c r="X438" i="15"/>
  <c r="W438" i="15"/>
  <c r="AA437" i="15"/>
  <c r="Z437" i="15"/>
  <c r="Y437" i="15"/>
  <c r="X437" i="15"/>
  <c r="W437" i="15"/>
  <c r="AA436" i="15"/>
  <c r="Z436" i="15"/>
  <c r="Y436" i="15"/>
  <c r="X436" i="15"/>
  <c r="W436" i="15"/>
  <c r="AA435" i="15"/>
  <c r="Z435" i="15"/>
  <c r="Y435" i="15"/>
  <c r="X435" i="15"/>
  <c r="W435" i="15"/>
  <c r="AA434" i="15"/>
  <c r="Z434" i="15"/>
  <c r="Y434" i="15"/>
  <c r="X434" i="15"/>
  <c r="W434" i="15"/>
  <c r="AA433" i="15"/>
  <c r="Z433" i="15"/>
  <c r="Y433" i="15"/>
  <c r="X433" i="15"/>
  <c r="W433" i="15"/>
  <c r="AA432" i="15"/>
  <c r="Z432" i="15"/>
  <c r="Y432" i="15"/>
  <c r="X432" i="15"/>
  <c r="W432" i="15"/>
  <c r="AA431" i="15"/>
  <c r="Z431" i="15"/>
  <c r="Y431" i="15"/>
  <c r="X431" i="15"/>
  <c r="W431" i="15"/>
  <c r="AA430" i="15"/>
  <c r="Z430" i="15"/>
  <c r="Y430" i="15"/>
  <c r="X430" i="15"/>
  <c r="W430" i="15"/>
  <c r="AA429" i="15"/>
  <c r="Z429" i="15"/>
  <c r="Y429" i="15"/>
  <c r="X429" i="15"/>
  <c r="W429" i="15"/>
  <c r="AA428" i="15"/>
  <c r="Z428" i="15"/>
  <c r="Y428" i="15"/>
  <c r="X428" i="15"/>
  <c r="W428" i="15"/>
  <c r="AA427" i="15"/>
  <c r="Z427" i="15"/>
  <c r="Y427" i="15"/>
  <c r="X427" i="15"/>
  <c r="W427" i="15"/>
  <c r="AA426" i="15"/>
  <c r="Z426" i="15"/>
  <c r="Y426" i="15"/>
  <c r="X426" i="15"/>
  <c r="W426" i="15"/>
  <c r="AA425" i="15"/>
  <c r="Z425" i="15"/>
  <c r="Y425" i="15"/>
  <c r="X425" i="15"/>
  <c r="W425" i="15"/>
  <c r="AA424" i="15"/>
  <c r="Z424" i="15"/>
  <c r="Y424" i="15"/>
  <c r="X424" i="15"/>
  <c r="W424" i="15"/>
  <c r="AA423" i="15"/>
  <c r="Z423" i="15"/>
  <c r="Y423" i="15"/>
  <c r="X423" i="15"/>
  <c r="W423" i="15"/>
  <c r="AA422" i="15"/>
  <c r="Z422" i="15"/>
  <c r="Y422" i="15"/>
  <c r="X422" i="15"/>
  <c r="W422" i="15"/>
  <c r="AA421" i="15"/>
  <c r="Z421" i="15"/>
  <c r="Y421" i="15"/>
  <c r="X421" i="15"/>
  <c r="W421" i="15"/>
  <c r="AA420" i="15"/>
  <c r="Z420" i="15"/>
  <c r="Y420" i="15"/>
  <c r="X420" i="15"/>
  <c r="W420" i="15"/>
  <c r="AA419" i="15"/>
  <c r="Z419" i="15"/>
  <c r="Y419" i="15"/>
  <c r="X419" i="15"/>
  <c r="W419" i="15"/>
  <c r="AA418" i="15"/>
  <c r="Z418" i="15"/>
  <c r="Y418" i="15"/>
  <c r="X418" i="15"/>
  <c r="W418" i="15"/>
  <c r="AA417" i="15"/>
  <c r="Z417" i="15"/>
  <c r="Y417" i="15"/>
  <c r="X417" i="15"/>
  <c r="W417" i="15"/>
  <c r="AA416" i="15"/>
  <c r="Z416" i="15"/>
  <c r="Y416" i="15"/>
  <c r="X416" i="15"/>
  <c r="W416" i="15"/>
  <c r="AA415" i="15"/>
  <c r="Z415" i="15"/>
  <c r="Y415" i="15"/>
  <c r="X415" i="15"/>
  <c r="W415" i="15"/>
  <c r="AA414" i="15"/>
  <c r="Z414" i="15"/>
  <c r="Y414" i="15"/>
  <c r="X414" i="15"/>
  <c r="W414" i="15"/>
  <c r="AA413" i="15"/>
  <c r="Z413" i="15"/>
  <c r="Y413" i="15"/>
  <c r="X413" i="15"/>
  <c r="W413" i="15"/>
  <c r="AA412" i="15"/>
  <c r="Z412" i="15"/>
  <c r="Y412" i="15"/>
  <c r="X412" i="15"/>
  <c r="W412" i="15"/>
  <c r="AA411" i="15"/>
  <c r="Z411" i="15"/>
  <c r="Y411" i="15"/>
  <c r="X411" i="15"/>
  <c r="W411" i="15"/>
  <c r="AA410" i="15"/>
  <c r="Z410" i="15"/>
  <c r="Y410" i="15"/>
  <c r="X410" i="15"/>
  <c r="W410" i="15"/>
  <c r="AA409" i="15"/>
  <c r="Z409" i="15"/>
  <c r="Y409" i="15"/>
  <c r="X409" i="15"/>
  <c r="W409" i="15"/>
  <c r="AA408" i="15"/>
  <c r="Z408" i="15"/>
  <c r="Y408" i="15"/>
  <c r="X408" i="15"/>
  <c r="W408" i="15"/>
  <c r="AA407" i="15"/>
  <c r="Z407" i="15"/>
  <c r="Y407" i="15"/>
  <c r="X407" i="15"/>
  <c r="W407" i="15"/>
  <c r="AA406" i="15"/>
  <c r="Z406" i="15"/>
  <c r="Y406" i="15"/>
  <c r="X406" i="15"/>
  <c r="W406" i="15"/>
  <c r="AA405" i="15"/>
  <c r="Z405" i="15"/>
  <c r="Y405" i="15"/>
  <c r="X405" i="15"/>
  <c r="W405" i="15"/>
  <c r="AA404" i="15"/>
  <c r="Z404" i="15"/>
  <c r="Y404" i="15"/>
  <c r="X404" i="15"/>
  <c r="W404" i="15"/>
  <c r="AA403" i="15"/>
  <c r="Z403" i="15"/>
  <c r="Y403" i="15"/>
  <c r="X403" i="15"/>
  <c r="W403" i="15"/>
  <c r="AA402" i="15"/>
  <c r="Z402" i="15"/>
  <c r="Y402" i="15"/>
  <c r="X402" i="15"/>
  <c r="W402" i="15"/>
  <c r="AA401" i="15"/>
  <c r="Z401" i="15"/>
  <c r="Y401" i="15"/>
  <c r="X401" i="15"/>
  <c r="W401" i="15"/>
  <c r="K439" i="21"/>
  <c r="K431" i="21"/>
  <c r="K364" i="21"/>
  <c r="K138" i="21" l="1"/>
  <c r="K80" i="21" l="1"/>
  <c r="K449" i="21"/>
  <c r="K451" i="21"/>
  <c r="K448" i="21"/>
  <c r="K447" i="21"/>
  <c r="K446" i="21"/>
  <c r="K444" i="21"/>
  <c r="K40" i="21" l="1"/>
  <c r="K442" i="21" l="1"/>
  <c r="K441" i="21"/>
  <c r="K418" i="21" l="1"/>
  <c r="K416" i="21"/>
  <c r="K277" i="21"/>
  <c r="K258" i="21"/>
  <c r="K253" i="21"/>
  <c r="K219" i="21"/>
  <c r="K185" i="21"/>
  <c r="K164" i="21"/>
  <c r="K36" i="21" l="1"/>
  <c r="K34" i="21"/>
  <c r="K32" i="21"/>
  <c r="K33" i="21"/>
  <c r="K31" i="21"/>
  <c r="K29" i="21"/>
  <c r="K25" i="21"/>
  <c r="K28" i="21"/>
  <c r="K27" i="21"/>
  <c r="K26" i="21"/>
  <c r="K24" i="21"/>
  <c r="K23" i="21"/>
  <c r="K20" i="21"/>
  <c r="K19" i="21"/>
  <c r="K17" i="21"/>
  <c r="K16" i="21"/>
  <c r="K15" i="21"/>
  <c r="K14" i="21"/>
  <c r="K12" i="21" l="1"/>
  <c r="K7" i="21"/>
  <c r="K6" i="21"/>
  <c r="K5" i="21"/>
  <c r="K4" i="21"/>
  <c r="K437" i="21"/>
  <c r="K434" i="21"/>
  <c r="K433" i="21"/>
  <c r="K436" i="21"/>
  <c r="K435" i="21"/>
  <c r="K430" i="21"/>
  <c r="K429" i="21"/>
  <c r="K428" i="21"/>
  <c r="K426" i="21"/>
  <c r="K425" i="21"/>
  <c r="K424" i="21"/>
  <c r="K423" i="21"/>
  <c r="K422" i="21"/>
  <c r="K421" i="21"/>
  <c r="K420" i="21"/>
  <c r="K417" i="21"/>
  <c r="K414" i="21" l="1"/>
  <c r="K419" i="21" l="1"/>
  <c r="K394" i="21"/>
  <c r="K411" i="21" l="1"/>
  <c r="K410" i="21"/>
  <c r="K408" i="21" l="1"/>
  <c r="K407" i="21"/>
  <c r="K406" i="21"/>
  <c r="K405" i="21"/>
  <c r="K404" i="21"/>
  <c r="K403" i="21"/>
  <c r="K401" i="21"/>
  <c r="K402" i="21"/>
  <c r="K399" i="21"/>
  <c r="K398" i="21"/>
  <c r="K397" i="21"/>
  <c r="K396" i="21"/>
  <c r="K393" i="21"/>
  <c r="K391" i="21"/>
  <c r="K390" i="21"/>
  <c r="K389" i="21"/>
  <c r="K388" i="21"/>
  <c r="K387" i="21"/>
  <c r="K385" i="21"/>
  <c r="K386" i="21"/>
  <c r="K438" i="21"/>
  <c r="K384" i="21"/>
  <c r="K382" i="21"/>
  <c r="K381" i="21"/>
  <c r="K380" i="21"/>
  <c r="K379" i="21"/>
  <c r="K39" i="21"/>
  <c r="K30" i="21"/>
  <c r="K3" i="21"/>
  <c r="K453" i="21"/>
  <c r="K378" i="21"/>
  <c r="K377" i="21"/>
  <c r="K38" i="21"/>
  <c r="K440" i="21" l="1"/>
  <c r="W787" i="7" l="1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V788" i="7" l="1"/>
  <c r="T788" i="7"/>
  <c r="S788" i="7"/>
  <c r="U788" i="7"/>
  <c r="R788" i="7"/>
  <c r="Q788" i="7"/>
  <c r="P788" i="7"/>
  <c r="AA400" i="15"/>
  <c r="Z400" i="15"/>
  <c r="Y400" i="15"/>
  <c r="X400" i="15"/>
  <c r="W400" i="15"/>
  <c r="AA399" i="15"/>
  <c r="Z399" i="15"/>
  <c r="Y399" i="15"/>
  <c r="X399" i="15"/>
  <c r="W399" i="15"/>
  <c r="AA398" i="15"/>
  <c r="Z398" i="15"/>
  <c r="Y398" i="15"/>
  <c r="X398" i="15"/>
  <c r="W398" i="15"/>
  <c r="AA397" i="15"/>
  <c r="Z397" i="15"/>
  <c r="Y397" i="15"/>
  <c r="X397" i="15"/>
  <c r="W397" i="15"/>
  <c r="W396" i="15" l="1"/>
  <c r="X396" i="15"/>
  <c r="Y396" i="15"/>
  <c r="Z396" i="15"/>
  <c r="AA396" i="15"/>
  <c r="AA395" i="15" l="1"/>
  <c r="Z395" i="15"/>
  <c r="Y395" i="15"/>
  <c r="X395" i="15"/>
  <c r="W395" i="15"/>
  <c r="AA394" i="15" l="1"/>
  <c r="Z394" i="15"/>
  <c r="Y394" i="15"/>
  <c r="X394" i="15"/>
  <c r="W394" i="15"/>
  <c r="AA393" i="15"/>
  <c r="Z393" i="15"/>
  <c r="Y393" i="15"/>
  <c r="X393" i="15"/>
  <c r="W393" i="15"/>
  <c r="AA392" i="15"/>
  <c r="Z392" i="15"/>
  <c r="Y392" i="15"/>
  <c r="X392" i="15"/>
  <c r="W392" i="15"/>
  <c r="AA391" i="15"/>
  <c r="Z391" i="15"/>
  <c r="Y391" i="15"/>
  <c r="X391" i="15"/>
  <c r="W391" i="15"/>
  <c r="AA390" i="15"/>
  <c r="Z390" i="15"/>
  <c r="Y390" i="15"/>
  <c r="X390" i="15"/>
  <c r="W390" i="15"/>
  <c r="AA389" i="15"/>
  <c r="Z389" i="15"/>
  <c r="Y389" i="15"/>
  <c r="X389" i="15"/>
  <c r="W389" i="15"/>
  <c r="AA388" i="15"/>
  <c r="Z388" i="15"/>
  <c r="Y388" i="15"/>
  <c r="X388" i="15"/>
  <c r="W388" i="15"/>
  <c r="AA387" i="15"/>
  <c r="Z387" i="15"/>
  <c r="Y387" i="15"/>
  <c r="X387" i="15"/>
  <c r="W387" i="15"/>
  <c r="AA386" i="15"/>
  <c r="Z386" i="15"/>
  <c r="Y386" i="15"/>
  <c r="X386" i="15"/>
  <c r="W386" i="15"/>
  <c r="AA385" i="15"/>
  <c r="Z385" i="15"/>
  <c r="Y385" i="15"/>
  <c r="X385" i="15"/>
  <c r="W385" i="15"/>
  <c r="AA384" i="15"/>
  <c r="Z384" i="15"/>
  <c r="Y384" i="15"/>
  <c r="X384" i="15"/>
  <c r="W384" i="15"/>
  <c r="AA383" i="15"/>
  <c r="Z383" i="15"/>
  <c r="Y383" i="15"/>
  <c r="X383" i="15"/>
  <c r="W383" i="15"/>
  <c r="AA382" i="15"/>
  <c r="Z382" i="15"/>
  <c r="Y382" i="15"/>
  <c r="X382" i="15"/>
  <c r="W382" i="15"/>
  <c r="AA381" i="15"/>
  <c r="Z381" i="15"/>
  <c r="Y381" i="15"/>
  <c r="X381" i="15"/>
  <c r="W381" i="15"/>
  <c r="H402" i="7" l="1"/>
  <c r="H382" i="15" l="1"/>
  <c r="H476" i="20" l="1"/>
  <c r="F476" i="20" l="1"/>
  <c r="E476" i="20"/>
  <c r="D476" i="20"/>
  <c r="G476" i="20"/>
  <c r="I476" i="20" l="1"/>
  <c r="N3" i="20"/>
  <c r="N4" i="20" s="1"/>
  <c r="N5" i="20" s="1"/>
  <c r="N6" i="20" s="1"/>
  <c r="N7" i="20" s="1"/>
  <c r="N8" i="20" s="1"/>
  <c r="N9" i="20" s="1"/>
  <c r="N11" i="20" s="1"/>
  <c r="N12" i="20" s="1"/>
  <c r="N13" i="20" s="1"/>
  <c r="N14" i="20" s="1"/>
  <c r="N15" i="20" s="1"/>
  <c r="N16" i="20" s="1"/>
  <c r="N17" i="20" s="1"/>
  <c r="N18" i="20" s="1"/>
  <c r="N19" i="20" s="1"/>
  <c r="N22" i="20" s="1"/>
  <c r="N23" i="20" s="1"/>
  <c r="N24" i="20" s="1"/>
  <c r="N25" i="20" s="1"/>
  <c r="N26" i="20" s="1"/>
  <c r="N27" i="20" s="1"/>
  <c r="H480" i="20"/>
  <c r="C476" i="20"/>
  <c r="H477" i="20" s="1"/>
  <c r="E477" i="20" l="1"/>
  <c r="F480" i="20"/>
  <c r="I480" i="20"/>
  <c r="E480" i="20"/>
  <c r="D480" i="20"/>
  <c r="G477" i="20"/>
  <c r="F477" i="20"/>
  <c r="G480" i="20"/>
  <c r="D477" i="20"/>
  <c r="I477" i="20" l="1"/>
  <c r="I68" i="23"/>
  <c r="J68" i="23" s="1"/>
  <c r="L68" i="23" s="1"/>
  <c r="F68" i="23"/>
  <c r="G68" i="23" s="1"/>
  <c r="K68" i="23" s="1"/>
  <c r="AA380" i="15" l="1"/>
  <c r="Z380" i="15"/>
  <c r="Y380" i="15"/>
  <c r="X380" i="15"/>
  <c r="W380" i="15"/>
  <c r="AA379" i="15"/>
  <c r="Z379" i="15"/>
  <c r="Y379" i="15"/>
  <c r="X379" i="15"/>
  <c r="W379" i="15"/>
  <c r="AA378" i="15"/>
  <c r="Z378" i="15"/>
  <c r="Y378" i="15"/>
  <c r="X378" i="15"/>
  <c r="W378" i="15"/>
  <c r="AA377" i="15"/>
  <c r="Z377" i="15"/>
  <c r="Y377" i="15"/>
  <c r="X377" i="15"/>
  <c r="W377" i="15"/>
  <c r="AA376" i="15"/>
  <c r="Z376" i="15"/>
  <c r="Y376" i="15"/>
  <c r="X376" i="15"/>
  <c r="W376" i="15"/>
  <c r="AA375" i="15" l="1"/>
  <c r="Z375" i="15"/>
  <c r="Y375" i="15"/>
  <c r="X375" i="15"/>
  <c r="W375" i="15"/>
  <c r="AA374" i="15"/>
  <c r="Z374" i="15"/>
  <c r="Y374" i="15"/>
  <c r="X374" i="15"/>
  <c r="W374" i="15"/>
  <c r="H375" i="15"/>
  <c r="H374" i="15"/>
  <c r="H322" i="15" l="1"/>
  <c r="H355" i="15"/>
  <c r="H269" i="15"/>
  <c r="H247" i="15"/>
  <c r="H195" i="15"/>
  <c r="H175" i="15"/>
  <c r="H147" i="15"/>
  <c r="H146" i="15"/>
  <c r="H144" i="15"/>
  <c r="H140" i="15"/>
  <c r="H357" i="15"/>
  <c r="H97" i="15"/>
  <c r="H325" i="15"/>
  <c r="H324" i="15"/>
  <c r="H323" i="15"/>
  <c r="H321" i="15"/>
  <c r="H320" i="15"/>
  <c r="H319" i="15"/>
  <c r="H366" i="15"/>
  <c r="H365" i="15"/>
  <c r="H364" i="15"/>
  <c r="H334" i="15"/>
  <c r="H312" i="15"/>
  <c r="H282" i="15"/>
  <c r="H281" i="15"/>
  <c r="H263" i="15"/>
  <c r="H212" i="15"/>
  <c r="H208" i="15"/>
  <c r="H197" i="15"/>
  <c r="H168" i="15"/>
  <c r="H166" i="15"/>
  <c r="H163" i="15"/>
  <c r="H151" i="15"/>
  <c r="H150" i="15"/>
  <c r="H141" i="15"/>
  <c r="H139" i="15"/>
  <c r="H130" i="15"/>
  <c r="H119" i="15"/>
  <c r="H114" i="15"/>
  <c r="H110" i="15"/>
  <c r="H96" i="15"/>
  <c r="H101" i="15"/>
  <c r="H84" i="15"/>
  <c r="H28" i="15"/>
  <c r="H23" i="15"/>
  <c r="H90" i="15"/>
  <c r="H83" i="15"/>
  <c r="H358" i="15"/>
  <c r="H243" i="15"/>
  <c r="H328" i="15"/>
  <c r="H104" i="15"/>
  <c r="H203" i="15"/>
  <c r="H354" i="15"/>
  <c r="H148" i="15"/>
  <c r="H359" i="15"/>
  <c r="H244" i="15"/>
  <c r="H153" i="15"/>
  <c r="H98" i="15"/>
  <c r="H32" i="15"/>
  <c r="H19" i="15"/>
  <c r="H18" i="15"/>
  <c r="H326" i="15"/>
  <c r="H373" i="15"/>
  <c r="H372" i="15"/>
  <c r="H371" i="15"/>
  <c r="H370" i="15"/>
  <c r="H369" i="15"/>
  <c r="H368" i="15"/>
  <c r="H367" i="15"/>
  <c r="H363" i="15"/>
  <c r="H362" i="15"/>
  <c r="H353" i="15"/>
  <c r="H352" i="15"/>
  <c r="H361" i="15"/>
  <c r="H351" i="15"/>
  <c r="H350" i="15"/>
  <c r="H349" i="15"/>
  <c r="H348" i="15"/>
  <c r="H347" i="15"/>
  <c r="H346" i="15"/>
  <c r="H345" i="15"/>
  <c r="H344" i="15"/>
  <c r="H343" i="15"/>
  <c r="H342" i="15"/>
  <c r="H341" i="15"/>
  <c r="H340" i="15"/>
  <c r="H339" i="15"/>
  <c r="H338" i="15"/>
  <c r="H337" i="15"/>
  <c r="H336" i="15"/>
  <c r="H335" i="15"/>
  <c r="H333" i="15"/>
  <c r="H332" i="15"/>
  <c r="H318" i="15"/>
  <c r="H317" i="15"/>
  <c r="H316" i="15"/>
  <c r="H331" i="15"/>
  <c r="H315" i="15"/>
  <c r="H314" i="15"/>
  <c r="H313" i="15"/>
  <c r="H311" i="15"/>
  <c r="H310" i="15"/>
  <c r="H309" i="15"/>
  <c r="H308" i="15"/>
  <c r="H307" i="15"/>
  <c r="H306" i="15"/>
  <c r="H305" i="15"/>
  <c r="H304" i="15"/>
  <c r="H303" i="15"/>
  <c r="H302" i="15"/>
  <c r="H330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0" i="15"/>
  <c r="H278" i="15"/>
  <c r="H277" i="15"/>
  <c r="H276" i="15"/>
  <c r="H275" i="15"/>
  <c r="H274" i="15"/>
  <c r="H273" i="15"/>
  <c r="H279" i="15"/>
  <c r="H272" i="15"/>
  <c r="H271" i="15"/>
  <c r="H270" i="15"/>
  <c r="H268" i="15"/>
  <c r="H267" i="15"/>
  <c r="H266" i="15"/>
  <c r="H265" i="15"/>
  <c r="H264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6" i="15"/>
  <c r="H245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1" i="15"/>
  <c r="H210" i="15"/>
  <c r="H209" i="15"/>
  <c r="H207" i="15"/>
  <c r="H202" i="15"/>
  <c r="H201" i="15"/>
  <c r="H200" i="15"/>
  <c r="H199" i="15"/>
  <c r="H198" i="15"/>
  <c r="H196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76" i="15"/>
  <c r="H174" i="15"/>
  <c r="H173" i="15"/>
  <c r="H172" i="15"/>
  <c r="H171" i="15"/>
  <c r="H170" i="15"/>
  <c r="H169" i="15"/>
  <c r="H165" i="15"/>
  <c r="H164" i="15"/>
  <c r="H149" i="15"/>
  <c r="H360" i="15"/>
  <c r="H145" i="15"/>
  <c r="H143" i="15"/>
  <c r="H142" i="15"/>
  <c r="H138" i="15"/>
  <c r="H137" i="15"/>
  <c r="H162" i="15"/>
  <c r="H124" i="15"/>
  <c r="H123" i="15"/>
  <c r="H122" i="15"/>
  <c r="H121" i="15"/>
  <c r="H120" i="15"/>
  <c r="H118" i="15"/>
  <c r="H117" i="15"/>
  <c r="H116" i="15"/>
  <c r="H115" i="15"/>
  <c r="H113" i="15"/>
  <c r="H112" i="15"/>
  <c r="H111" i="15"/>
  <c r="H103" i="15"/>
  <c r="H102" i="15"/>
  <c r="H109" i="15"/>
  <c r="H108" i="15"/>
  <c r="H161" i="15"/>
  <c r="H95" i="15"/>
  <c r="H85" i="15"/>
  <c r="H107" i="15"/>
  <c r="H94" i="15"/>
  <c r="H93" i="15"/>
  <c r="H92" i="15"/>
  <c r="H91" i="15"/>
  <c r="H329" i="15"/>
  <c r="H30" i="15"/>
  <c r="H29" i="15"/>
  <c r="H327" i="15"/>
  <c r="AA372" i="15" l="1"/>
  <c r="Z372" i="15"/>
  <c r="Y372" i="15"/>
  <c r="X372" i="15"/>
  <c r="W372" i="15"/>
  <c r="AA359" i="15"/>
  <c r="Z359" i="15"/>
  <c r="Y359" i="15"/>
  <c r="X359" i="15"/>
  <c r="W359" i="15"/>
  <c r="AA373" i="15"/>
  <c r="Z373" i="15"/>
  <c r="Y373" i="15"/>
  <c r="X373" i="15"/>
  <c r="W373" i="15"/>
  <c r="AA260" i="26" l="1"/>
  <c r="AA259" i="26"/>
  <c r="AA258" i="26"/>
  <c r="AA257" i="26"/>
  <c r="AA256" i="26"/>
  <c r="AA255" i="26"/>
  <c r="AA254" i="26"/>
  <c r="AA253" i="26"/>
  <c r="AA252" i="26"/>
  <c r="AA251" i="26"/>
  <c r="AA250" i="26"/>
  <c r="AA249" i="26"/>
  <c r="AA248" i="26"/>
  <c r="AA247" i="26"/>
  <c r="AA246" i="26"/>
  <c r="AA245" i="26"/>
  <c r="AA244" i="26"/>
  <c r="AA243" i="26"/>
  <c r="AA242" i="26"/>
  <c r="AA241" i="26"/>
  <c r="AA240" i="26"/>
  <c r="AA239" i="26"/>
  <c r="AA238" i="26"/>
  <c r="AA237" i="26"/>
  <c r="AA236" i="26"/>
  <c r="AA235" i="26"/>
  <c r="AA234" i="26"/>
  <c r="AA233" i="26"/>
  <c r="AA232" i="26"/>
  <c r="AA231" i="26"/>
  <c r="AA230" i="26"/>
  <c r="AA229" i="26"/>
  <c r="AA228" i="26"/>
  <c r="AA227" i="26"/>
  <c r="AA226" i="26"/>
  <c r="AA225" i="26"/>
  <c r="AA224" i="26"/>
  <c r="AA223" i="26"/>
  <c r="AA222" i="26"/>
  <c r="AA221" i="26"/>
  <c r="AA220" i="26"/>
  <c r="AA219" i="26"/>
  <c r="AA218" i="26"/>
  <c r="AA217" i="26"/>
  <c r="AA216" i="26"/>
  <c r="AA215" i="26"/>
  <c r="AA214" i="26"/>
  <c r="AA213" i="26"/>
  <c r="AA212" i="26"/>
  <c r="AA211" i="26"/>
  <c r="AA210" i="26"/>
  <c r="AA209" i="26"/>
  <c r="AA208" i="26"/>
  <c r="AA207" i="26"/>
  <c r="AA206" i="26"/>
  <c r="AA205" i="26"/>
  <c r="AA204" i="26"/>
  <c r="AA203" i="26"/>
  <c r="AA202" i="26"/>
  <c r="AA201" i="26"/>
  <c r="AA200" i="26"/>
  <c r="AA199" i="26"/>
  <c r="AA198" i="26"/>
  <c r="AA197" i="26"/>
  <c r="AB258" i="26"/>
  <c r="AC258" i="26" s="1"/>
  <c r="AB259" i="26"/>
  <c r="AC259" i="26" s="1"/>
  <c r="AB256" i="26"/>
  <c r="AC256" i="26" s="1"/>
  <c r="AB255" i="26"/>
  <c r="AC255" i="26" s="1"/>
  <c r="AB254" i="26"/>
  <c r="AC254" i="26" s="1"/>
  <c r="AB253" i="26"/>
  <c r="AC253" i="26" s="1"/>
  <c r="AB251" i="26"/>
  <c r="AC251" i="26" s="1"/>
  <c r="AB252" i="26"/>
  <c r="AC252" i="26" s="1"/>
  <c r="AB250" i="26"/>
  <c r="AC250" i="26" s="1"/>
  <c r="AB249" i="26"/>
  <c r="AC249" i="26" s="1"/>
  <c r="AB246" i="26"/>
  <c r="AC246" i="26" s="1"/>
  <c r="AB260" i="26"/>
  <c r="AC260" i="26" s="1"/>
  <c r="AB245" i="26"/>
  <c r="AC245" i="26" s="1"/>
  <c r="AB237" i="26"/>
  <c r="AC237" i="26" s="1"/>
  <c r="AB236" i="26"/>
  <c r="AC236" i="26" s="1"/>
  <c r="AB235" i="26"/>
  <c r="AC235" i="26" s="1"/>
  <c r="AB234" i="26"/>
  <c r="AC234" i="26" s="1"/>
  <c r="AB233" i="26"/>
  <c r="AC233" i="26" s="1"/>
  <c r="AB232" i="26"/>
  <c r="AC232" i="26" s="1"/>
  <c r="AB244" i="26"/>
  <c r="AC244" i="26" s="1"/>
  <c r="AB243" i="26"/>
  <c r="AC243" i="26" s="1"/>
  <c r="AB242" i="26"/>
  <c r="AC242" i="26" s="1"/>
  <c r="AB240" i="26"/>
  <c r="AC240" i="26" s="1"/>
  <c r="AB238" i="26"/>
  <c r="AC238" i="26" s="1"/>
  <c r="AB231" i="26"/>
  <c r="AC231" i="26" s="1"/>
  <c r="AB230" i="26"/>
  <c r="AC230" i="26" s="1"/>
  <c r="AB229" i="26"/>
  <c r="AC229" i="26" s="1"/>
  <c r="AB226" i="26"/>
  <c r="AC226" i="26" s="1"/>
  <c r="AB225" i="26"/>
  <c r="AC225" i="26" s="1"/>
  <c r="AB224" i="26"/>
  <c r="AC224" i="26" s="1"/>
  <c r="AB223" i="26"/>
  <c r="AC223" i="26" s="1"/>
  <c r="AB222" i="26"/>
  <c r="AC222" i="26" s="1"/>
  <c r="AB221" i="26"/>
  <c r="AC221" i="26" s="1"/>
  <c r="AB220" i="26"/>
  <c r="AC220" i="26" s="1"/>
  <c r="AB219" i="26"/>
  <c r="AC219" i="26" s="1"/>
  <c r="AB217" i="26"/>
  <c r="AC217" i="26" s="1"/>
  <c r="AB216" i="26"/>
  <c r="AC216" i="26" s="1"/>
  <c r="AB215" i="26"/>
  <c r="AC215" i="26" s="1"/>
  <c r="AB214" i="26"/>
  <c r="AC214" i="26" s="1"/>
  <c r="AB213" i="26"/>
  <c r="AC213" i="26" s="1"/>
  <c r="AB210" i="26"/>
  <c r="AC210" i="26" s="1"/>
  <c r="AB209" i="26"/>
  <c r="AC209" i="26" s="1"/>
  <c r="AB208" i="26"/>
  <c r="AC208" i="26" s="1"/>
  <c r="AB207" i="26"/>
  <c r="AC207" i="26" s="1"/>
  <c r="AB212" i="26"/>
  <c r="AC212" i="26" s="1"/>
  <c r="AB211" i="26"/>
  <c r="AC211" i="26" s="1"/>
  <c r="AB241" i="26"/>
  <c r="AC241" i="26" s="1"/>
  <c r="AB228" i="26"/>
  <c r="AC228" i="26" s="1"/>
  <c r="AB239" i="26"/>
  <c r="AC239" i="26" s="1"/>
  <c r="AB203" i="26"/>
  <c r="AC203" i="26" s="1"/>
  <c r="AB206" i="26"/>
  <c r="AC206" i="26" s="1"/>
  <c r="AB201" i="26"/>
  <c r="AC201" i="26" s="1"/>
  <c r="AB204" i="26"/>
  <c r="AC204" i="26" s="1"/>
  <c r="AB202" i="26"/>
  <c r="AC202" i="26" s="1"/>
  <c r="AB199" i="26"/>
  <c r="AC199" i="26" s="1"/>
  <c r="AB198" i="26"/>
  <c r="AC198" i="26" s="1"/>
  <c r="AB197" i="26"/>
  <c r="AC197" i="26" s="1"/>
  <c r="AB196" i="26"/>
  <c r="AC196" i="26" s="1"/>
  <c r="AB200" i="26"/>
  <c r="AC200" i="26" s="1"/>
  <c r="AB141" i="26"/>
  <c r="AC141" i="26" s="1"/>
  <c r="AB195" i="26"/>
  <c r="AC195" i="26" s="1"/>
  <c r="AB185" i="26"/>
  <c r="AC185" i="26" s="1"/>
  <c r="AB194" i="26"/>
  <c r="AC194" i="26" s="1"/>
  <c r="AB181" i="26"/>
  <c r="AC181" i="26" s="1"/>
  <c r="AB180" i="26"/>
  <c r="AC180" i="26" s="1"/>
  <c r="AB125" i="26"/>
  <c r="AC125" i="26" s="1"/>
  <c r="AB193" i="26"/>
  <c r="AC193" i="26" s="1"/>
  <c r="AB191" i="26"/>
  <c r="AC191" i="26" s="1"/>
  <c r="AB190" i="26"/>
  <c r="AC190" i="26" s="1"/>
  <c r="AB189" i="26"/>
  <c r="AB192" i="26"/>
  <c r="AC192" i="26" s="1"/>
  <c r="AB109" i="26"/>
  <c r="AC109" i="26" s="1"/>
  <c r="AB90" i="26"/>
  <c r="AC90" i="26" s="1"/>
  <c r="AB51" i="26"/>
  <c r="AC51" i="26" s="1"/>
  <c r="AB187" i="26"/>
  <c r="AC187" i="26" s="1"/>
  <c r="AB186" i="26"/>
  <c r="AC186" i="26" s="1"/>
  <c r="AB188" i="26"/>
  <c r="AC188" i="26" s="1"/>
  <c r="AB158" i="26"/>
  <c r="AC158" i="26" s="1"/>
  <c r="AB179" i="26"/>
  <c r="AC179" i="26" s="1"/>
  <c r="AB184" i="26"/>
  <c r="AC184" i="26" s="1"/>
  <c r="AB130" i="26"/>
  <c r="AC130" i="26" s="1"/>
  <c r="AB178" i="26"/>
  <c r="AC178" i="26" s="1"/>
  <c r="AB177" i="26"/>
  <c r="AC177" i="26" s="1"/>
  <c r="AB176" i="26"/>
  <c r="AC176" i="26" s="1"/>
  <c r="AB76" i="26"/>
  <c r="AC76" i="26" s="1"/>
  <c r="AB40" i="26"/>
  <c r="AC40" i="26" s="1"/>
  <c r="AB88" i="26"/>
  <c r="AC88" i="26" s="1"/>
  <c r="AB157" i="26"/>
  <c r="AC157" i="26" s="1"/>
  <c r="AB169" i="26"/>
  <c r="AC169" i="26" s="1"/>
  <c r="AB175" i="26"/>
  <c r="AC175" i="26" s="1"/>
  <c r="AB168" i="26"/>
  <c r="AC168" i="26" s="1"/>
  <c r="AB156" i="26"/>
  <c r="AC156" i="26" s="1"/>
  <c r="AB167" i="26"/>
  <c r="AC167" i="26" s="1"/>
  <c r="AB174" i="26"/>
  <c r="AC174" i="26" s="1"/>
  <c r="AB183" i="26"/>
  <c r="AC183" i="26" s="1"/>
  <c r="AB165" i="26"/>
  <c r="AC165" i="26" s="1"/>
  <c r="AB173" i="26"/>
  <c r="AC173" i="26" s="1"/>
  <c r="AB132" i="26"/>
  <c r="AC132" i="26" s="1"/>
  <c r="AB172" i="26"/>
  <c r="AC172" i="26" s="1"/>
  <c r="AB182" i="26"/>
  <c r="AC182" i="26" s="1"/>
  <c r="AB171" i="26"/>
  <c r="AC171" i="26" s="1"/>
  <c r="AB170" i="26"/>
  <c r="AC170" i="26" s="1"/>
  <c r="AB166" i="26"/>
  <c r="AC166" i="26" s="1"/>
  <c r="AB164" i="26"/>
  <c r="AC164" i="26" s="1"/>
  <c r="AB154" i="26"/>
  <c r="AC154" i="26" s="1"/>
  <c r="AB163" i="26"/>
  <c r="AC163" i="26" s="1"/>
  <c r="AB155" i="26"/>
  <c r="AC155" i="26" s="1"/>
  <c r="AB162" i="26"/>
  <c r="AC162" i="26" s="1"/>
  <c r="AB161" i="26"/>
  <c r="AC161" i="26" s="1"/>
  <c r="AB160" i="26"/>
  <c r="AC160" i="26" s="1"/>
  <c r="AB152" i="26"/>
  <c r="AC152" i="26" s="1"/>
  <c r="AB151" i="26"/>
  <c r="AC151" i="26" s="1"/>
  <c r="AB147" i="26"/>
  <c r="AC147" i="26" s="1"/>
  <c r="AB150" i="26"/>
  <c r="AC150" i="26" s="1"/>
  <c r="AB159" i="26"/>
  <c r="AC159" i="26" s="1"/>
  <c r="AB149" i="26"/>
  <c r="AC149" i="26" s="1"/>
  <c r="AB153" i="26"/>
  <c r="AC153" i="26" s="1"/>
  <c r="AB143" i="26"/>
  <c r="AC143" i="26" s="1"/>
  <c r="AB135" i="26"/>
  <c r="AC135" i="26" s="1"/>
  <c r="AB134" i="26"/>
  <c r="AC134" i="26" s="1"/>
  <c r="AB148" i="26"/>
  <c r="AC148" i="26" s="1"/>
  <c r="AB138" i="26"/>
  <c r="AC138" i="26" s="1"/>
  <c r="AB129" i="26"/>
  <c r="AC129" i="26" s="1"/>
  <c r="AB146" i="26"/>
  <c r="AC146" i="26" s="1"/>
  <c r="AB145" i="26"/>
  <c r="AC145" i="26" s="1"/>
  <c r="AB144" i="26"/>
  <c r="AC144" i="26" s="1"/>
  <c r="AB133" i="26"/>
  <c r="AC133" i="26" s="1"/>
  <c r="AB142" i="26"/>
  <c r="AC142" i="26" s="1"/>
  <c r="AB108" i="26"/>
  <c r="AC108" i="26" s="1"/>
  <c r="AB205" i="26"/>
  <c r="AC205" i="26" s="1"/>
  <c r="AB107" i="26"/>
  <c r="AC107" i="26" s="1"/>
  <c r="AB140" i="26"/>
  <c r="AC140" i="26" s="1"/>
  <c r="AB257" i="26"/>
  <c r="AC257" i="26" s="1"/>
  <c r="AB131" i="26"/>
  <c r="AC131" i="26" s="1"/>
  <c r="AB106" i="26"/>
  <c r="AC106" i="26" s="1"/>
  <c r="AB105" i="26"/>
  <c r="AC105" i="26" s="1"/>
  <c r="AB137" i="26"/>
  <c r="AC137" i="26" s="1"/>
  <c r="AB124" i="26"/>
  <c r="AC124" i="26" s="1"/>
  <c r="AB101" i="26"/>
  <c r="AC101" i="26" s="1"/>
  <c r="AB92" i="26"/>
  <c r="AC92" i="26" s="1"/>
  <c r="AB91" i="26"/>
  <c r="AC91" i="26" s="1"/>
  <c r="AB114" i="26"/>
  <c r="AC114" i="26" s="1"/>
  <c r="AB123" i="26"/>
  <c r="AC123" i="26" s="1"/>
  <c r="AB128" i="26"/>
  <c r="AC128" i="26" s="1"/>
  <c r="AB120" i="26"/>
  <c r="AC120" i="26" s="1"/>
  <c r="AB119" i="26"/>
  <c r="AC119" i="26" s="1"/>
  <c r="AB122" i="26"/>
  <c r="AC122" i="26" s="1"/>
  <c r="AB118" i="26"/>
  <c r="AC118" i="26" s="1"/>
  <c r="AB116" i="26"/>
  <c r="AC116" i="26" s="1"/>
  <c r="AB83" i="26"/>
  <c r="AC83" i="26" s="1"/>
  <c r="AB127" i="26"/>
  <c r="AC127" i="26" s="1"/>
  <c r="AB126" i="26"/>
  <c r="AC126" i="26" s="1"/>
  <c r="AB104" i="26"/>
  <c r="AC104" i="26" s="1"/>
  <c r="AB121" i="26"/>
  <c r="AC121" i="26" s="1"/>
  <c r="AB80" i="26"/>
  <c r="AC80" i="26" s="1"/>
  <c r="AB117" i="26"/>
  <c r="AC117" i="26" s="1"/>
  <c r="AB227" i="26"/>
  <c r="AC227" i="26" s="1"/>
  <c r="AB115" i="26"/>
  <c r="AC115" i="26" s="1"/>
  <c r="AB113" i="26"/>
  <c r="AC113" i="26" s="1"/>
  <c r="AB100" i="26"/>
  <c r="AC100" i="26" s="1"/>
  <c r="AB112" i="26"/>
  <c r="AC112" i="26" s="1"/>
  <c r="AB99" i="26"/>
  <c r="AC99" i="26" s="1"/>
  <c r="AB103" i="26"/>
  <c r="AC103" i="26" s="1"/>
  <c r="AB102" i="26"/>
  <c r="AC102" i="26" s="1"/>
  <c r="AB89" i="26"/>
  <c r="AC89" i="26" s="1"/>
  <c r="AB110" i="26"/>
  <c r="AC110" i="26" s="1"/>
  <c r="AB111" i="26"/>
  <c r="AC111" i="26" s="1"/>
  <c r="AB98" i="26"/>
  <c r="AC98" i="26" s="1"/>
  <c r="AB97" i="26"/>
  <c r="AC97" i="26" s="1"/>
  <c r="AB96" i="26"/>
  <c r="AC96" i="26" s="1"/>
  <c r="AB94" i="26"/>
  <c r="AC94" i="26" s="1"/>
  <c r="AB93" i="26"/>
  <c r="AC93" i="26" s="1"/>
  <c r="AB95" i="26"/>
  <c r="AC95" i="26" s="1"/>
  <c r="AB85" i="26"/>
  <c r="AC85" i="26" s="1"/>
  <c r="AB84" i="26"/>
  <c r="AC84" i="26" s="1"/>
  <c r="AB87" i="26"/>
  <c r="AC87" i="26" s="1"/>
  <c r="AB86" i="26"/>
  <c r="AC86" i="26" s="1"/>
  <c r="AB66" i="26"/>
  <c r="AC66" i="26" s="1"/>
  <c r="AB79" i="26"/>
  <c r="AC79" i="26" s="1"/>
  <c r="AB82" i="26"/>
  <c r="AC82" i="26" s="1"/>
  <c r="AB57" i="26"/>
  <c r="AC57" i="26" s="1"/>
  <c r="AB81" i="26"/>
  <c r="AC81" i="26" s="1"/>
  <c r="AB78" i="26"/>
  <c r="AC78" i="26" s="1"/>
  <c r="AB71" i="26"/>
  <c r="AC71" i="26" s="1"/>
  <c r="AB68" i="26"/>
  <c r="AC68" i="26" s="1"/>
  <c r="AB77" i="26"/>
  <c r="AC77" i="26" s="1"/>
  <c r="AB61" i="26"/>
  <c r="AC61" i="26" s="1"/>
  <c r="AB65" i="26"/>
  <c r="AC65" i="26" s="1"/>
  <c r="AB75" i="26"/>
  <c r="AC75" i="26" s="1"/>
  <c r="AB74" i="26"/>
  <c r="AC74" i="26" s="1"/>
  <c r="AB67" i="26"/>
  <c r="AC67" i="26" s="1"/>
  <c r="AB73" i="26"/>
  <c r="AC73" i="26" s="1"/>
  <c r="AB72" i="26"/>
  <c r="AC72" i="26" s="1"/>
  <c r="AB64" i="26"/>
  <c r="AC64" i="26" s="1"/>
  <c r="AB70" i="26"/>
  <c r="AC70" i="26" s="1"/>
  <c r="AB69" i="26"/>
  <c r="AC69" i="26" s="1"/>
  <c r="AB60" i="26"/>
  <c r="AC60" i="26" s="1"/>
  <c r="AB58" i="26"/>
  <c r="AC58" i="26" s="1"/>
  <c r="AB63" i="26"/>
  <c r="AC63" i="26" s="1"/>
  <c r="AB62" i="26"/>
  <c r="AC62" i="26" s="1"/>
  <c r="AB59" i="26"/>
  <c r="AC59" i="26" s="1"/>
  <c r="AB56" i="26"/>
  <c r="AC56" i="26" s="1"/>
  <c r="AB52" i="26"/>
  <c r="AC52" i="26" s="1"/>
  <c r="AB55" i="26"/>
  <c r="AC55" i="26" s="1"/>
  <c r="AB50" i="26"/>
  <c r="AC50" i="26" s="1"/>
  <c r="AB54" i="26"/>
  <c r="AC54" i="26" s="1"/>
  <c r="AB49" i="26"/>
  <c r="AC49" i="26" s="1"/>
  <c r="AB48" i="26"/>
  <c r="AC48" i="26" s="1"/>
  <c r="AB39" i="26"/>
  <c r="AC39" i="26" s="1"/>
  <c r="AB53" i="26"/>
  <c r="AC53" i="26" s="1"/>
  <c r="AB41" i="26"/>
  <c r="AC41" i="26" s="1"/>
  <c r="AB43" i="26"/>
  <c r="AC43" i="26" s="1"/>
  <c r="AB47" i="26"/>
  <c r="AC47" i="26" s="1"/>
  <c r="AB46" i="26"/>
  <c r="AC46" i="26" s="1"/>
  <c r="AB45" i="26"/>
  <c r="AC45" i="26" s="1"/>
  <c r="AB42" i="26"/>
  <c r="AC42" i="26" s="1"/>
  <c r="AB44" i="26"/>
  <c r="AC44" i="26" s="1"/>
  <c r="AB38" i="26"/>
  <c r="AC38" i="26" s="1"/>
  <c r="AB37" i="26"/>
  <c r="AC37" i="26" s="1"/>
  <c r="AB36" i="26"/>
  <c r="AC36" i="26" s="1"/>
  <c r="AB218" i="26"/>
  <c r="AC218" i="26" s="1"/>
  <c r="AB30" i="26"/>
  <c r="AC30" i="26" s="1"/>
  <c r="AB35" i="26"/>
  <c r="AC35" i="26" s="1"/>
  <c r="AB34" i="26"/>
  <c r="AC34" i="26" s="1"/>
  <c r="AB33" i="26"/>
  <c r="AC33" i="26" s="1"/>
  <c r="AB29" i="26"/>
  <c r="AC29" i="26" s="1"/>
  <c r="AB32" i="26"/>
  <c r="AC32" i="26" s="1"/>
  <c r="AB31" i="26"/>
  <c r="AC31" i="26" s="1"/>
  <c r="AB28" i="26"/>
  <c r="AC28" i="26" s="1"/>
  <c r="AB27" i="26"/>
  <c r="AC27" i="26" s="1"/>
  <c r="AB247" i="26"/>
  <c r="AC247" i="26" s="1"/>
  <c r="AB13" i="26"/>
  <c r="AC13" i="26" s="1"/>
  <c r="AB248" i="26"/>
  <c r="AC248" i="26" s="1"/>
  <c r="AB25" i="26"/>
  <c r="AC25" i="26" s="1"/>
  <c r="AB26" i="26"/>
  <c r="AC26" i="26" s="1"/>
  <c r="AB22" i="26"/>
  <c r="AC22" i="26" s="1"/>
  <c r="AB24" i="26"/>
  <c r="AC24" i="26" s="1"/>
  <c r="AB23" i="26"/>
  <c r="AC23" i="26" s="1"/>
  <c r="AB16" i="26"/>
  <c r="AC16" i="26" s="1"/>
  <c r="AB20" i="26"/>
  <c r="AC20" i="26" s="1"/>
  <c r="AB15" i="26"/>
  <c r="AC15" i="26" s="1"/>
  <c r="AB14" i="26"/>
  <c r="AC14" i="26" s="1"/>
  <c r="AB19" i="26"/>
  <c r="AC19" i="26" s="1"/>
  <c r="AB7" i="26"/>
  <c r="AC7" i="26" s="1"/>
  <c r="AB18" i="26"/>
  <c r="AC18" i="26" s="1"/>
  <c r="AB21" i="26"/>
  <c r="AC21" i="26" s="1"/>
  <c r="AB10" i="26"/>
  <c r="AC10" i="26" s="1"/>
  <c r="AB9" i="26"/>
  <c r="AC9" i="26" s="1"/>
  <c r="AB5" i="26"/>
  <c r="AC5" i="26" s="1"/>
  <c r="AB17" i="26"/>
  <c r="AC17" i="26" s="1"/>
  <c r="AB11" i="26"/>
  <c r="AC11" i="26" s="1"/>
  <c r="AB8" i="26"/>
  <c r="AC8" i="26" s="1"/>
  <c r="AB6" i="26"/>
  <c r="AC6" i="26" s="1"/>
  <c r="AB136" i="26"/>
  <c r="AC136" i="26" s="1"/>
  <c r="AB4" i="26"/>
  <c r="AC4" i="26" s="1"/>
  <c r="AB139" i="26"/>
  <c r="AC139" i="26" s="1"/>
  <c r="AB12" i="26"/>
  <c r="AC12" i="26" s="1"/>
  <c r="AB275" i="26" l="1"/>
  <c r="AC189" i="26"/>
  <c r="AC275" i="26" s="1"/>
  <c r="Q141" i="26"/>
  <c r="O141" i="26"/>
  <c r="P141" i="26" s="1"/>
  <c r="Q237" i="26"/>
  <c r="O237" i="26"/>
  <c r="P237" i="26" s="1"/>
  <c r="Q236" i="26"/>
  <c r="O236" i="26"/>
  <c r="P236" i="26" s="1"/>
  <c r="Q235" i="26"/>
  <c r="O235" i="26"/>
  <c r="P235" i="26" s="1"/>
  <c r="Q258" i="26"/>
  <c r="O258" i="26"/>
  <c r="P258" i="26" s="1"/>
  <c r="Q234" i="26"/>
  <c r="O234" i="26"/>
  <c r="P234" i="26" s="1"/>
  <c r="Q233" i="26"/>
  <c r="O233" i="26"/>
  <c r="P233" i="26" s="1"/>
  <c r="Q232" i="26"/>
  <c r="O232" i="26"/>
  <c r="P232" i="26" s="1"/>
  <c r="Q203" i="26"/>
  <c r="O203" i="26"/>
  <c r="P203" i="26" s="1"/>
  <c r="Q195" i="26"/>
  <c r="O195" i="26"/>
  <c r="P195" i="26" s="1"/>
  <c r="Q185" i="26"/>
  <c r="O185" i="26"/>
  <c r="P185" i="26" s="1"/>
  <c r="Q194" i="26"/>
  <c r="O194" i="26"/>
  <c r="P194" i="26" s="1"/>
  <c r="Q181" i="26"/>
  <c r="O181" i="26"/>
  <c r="P181" i="26" s="1"/>
  <c r="Q180" i="26"/>
  <c r="O180" i="26"/>
  <c r="P180" i="26" s="1"/>
  <c r="Q244" i="26"/>
  <c r="O244" i="26"/>
  <c r="P244" i="26" s="1"/>
  <c r="Q243" i="26"/>
  <c r="O243" i="26"/>
  <c r="P243" i="26" s="1"/>
  <c r="Q242" i="26"/>
  <c r="O242" i="26"/>
  <c r="P242" i="26" s="1"/>
  <c r="Q125" i="26"/>
  <c r="O125" i="26"/>
  <c r="P125" i="26" s="1"/>
  <c r="Q193" i="26"/>
  <c r="O193" i="26"/>
  <c r="P193" i="26" s="1"/>
  <c r="Q191" i="26"/>
  <c r="O191" i="26"/>
  <c r="P191" i="26" s="1"/>
  <c r="Q190" i="26"/>
  <c r="O190" i="26"/>
  <c r="P190" i="26" s="1"/>
  <c r="Q189" i="26"/>
  <c r="O189" i="26"/>
  <c r="P189" i="26" s="1"/>
  <c r="Q192" i="26"/>
  <c r="O192" i="26"/>
  <c r="P192" i="26" s="1"/>
  <c r="Q109" i="26"/>
  <c r="O109" i="26"/>
  <c r="P109" i="26" s="1"/>
  <c r="Q90" i="26"/>
  <c r="O90" i="26"/>
  <c r="P90" i="26" s="1"/>
  <c r="Q51" i="26"/>
  <c r="O51" i="26"/>
  <c r="P51" i="26" s="1"/>
  <c r="Q187" i="26"/>
  <c r="O187" i="26"/>
  <c r="P187" i="26" s="1"/>
  <c r="Q186" i="26"/>
  <c r="O186" i="26"/>
  <c r="P186" i="26" s="1"/>
  <c r="Q188" i="26"/>
  <c r="O188" i="26"/>
  <c r="P188" i="26" s="1"/>
  <c r="Q158" i="26"/>
  <c r="O158" i="26"/>
  <c r="P158" i="26" s="1"/>
  <c r="Q179" i="26"/>
  <c r="O179" i="26"/>
  <c r="P179" i="26" s="1"/>
  <c r="Q184" i="26"/>
  <c r="O184" i="26"/>
  <c r="P184" i="26" s="1"/>
  <c r="Q130" i="26"/>
  <c r="O130" i="26"/>
  <c r="P130" i="26" s="1"/>
  <c r="Q178" i="26"/>
  <c r="O178" i="26"/>
  <c r="P178" i="26" s="1"/>
  <c r="R178" i="26" s="1"/>
  <c r="S178" i="26" s="1"/>
  <c r="Q177" i="26"/>
  <c r="O177" i="26"/>
  <c r="P177" i="26" s="1"/>
  <c r="Q176" i="26"/>
  <c r="O176" i="26"/>
  <c r="P176" i="26" s="1"/>
  <c r="Q76" i="26"/>
  <c r="O76" i="26"/>
  <c r="P76" i="26" s="1"/>
  <c r="Q40" i="26"/>
  <c r="O40" i="26"/>
  <c r="P40" i="26" s="1"/>
  <c r="Q88" i="26"/>
  <c r="O88" i="26"/>
  <c r="P88" i="26" s="1"/>
  <c r="Q157" i="26"/>
  <c r="O157" i="26"/>
  <c r="P157" i="26" s="1"/>
  <c r="Q169" i="26"/>
  <c r="O169" i="26"/>
  <c r="P169" i="26" s="1"/>
  <c r="Q175" i="26"/>
  <c r="O175" i="26"/>
  <c r="P175" i="26" s="1"/>
  <c r="Q168" i="26"/>
  <c r="O168" i="26"/>
  <c r="P168" i="26" s="1"/>
  <c r="Q156" i="26"/>
  <c r="O156" i="26"/>
  <c r="P156" i="26" s="1"/>
  <c r="Q167" i="26"/>
  <c r="O167" i="26"/>
  <c r="P167" i="26" s="1"/>
  <c r="Q174" i="26"/>
  <c r="O174" i="26"/>
  <c r="P174" i="26" s="1"/>
  <c r="Q183" i="26"/>
  <c r="O183" i="26"/>
  <c r="P183" i="26" s="1"/>
  <c r="Q165" i="26"/>
  <c r="O165" i="26"/>
  <c r="P165" i="26" s="1"/>
  <c r="Q173" i="26"/>
  <c r="O173" i="26"/>
  <c r="P173" i="26" s="1"/>
  <c r="Q132" i="26"/>
  <c r="O132" i="26"/>
  <c r="P132" i="26" s="1"/>
  <c r="Q172" i="26"/>
  <c r="O172" i="26"/>
  <c r="P172" i="26" s="1"/>
  <c r="Q182" i="26"/>
  <c r="O182" i="26"/>
  <c r="P182" i="26" s="1"/>
  <c r="R182" i="26" s="1"/>
  <c r="S182" i="26" s="1"/>
  <c r="Q171" i="26"/>
  <c r="O171" i="26"/>
  <c r="P171" i="26" s="1"/>
  <c r="Q170" i="26"/>
  <c r="O170" i="26"/>
  <c r="P170" i="26" s="1"/>
  <c r="Q166" i="26"/>
  <c r="O166" i="26"/>
  <c r="P166" i="26" s="1"/>
  <c r="Q164" i="26"/>
  <c r="O164" i="26"/>
  <c r="P164" i="26" s="1"/>
  <c r="Q154" i="26"/>
  <c r="O154" i="26"/>
  <c r="P154" i="26" s="1"/>
  <c r="Q163" i="26"/>
  <c r="O163" i="26"/>
  <c r="P163" i="26" s="1"/>
  <c r="Q155" i="26"/>
  <c r="O155" i="26"/>
  <c r="P155" i="26" s="1"/>
  <c r="Q162" i="26"/>
  <c r="O162" i="26"/>
  <c r="P162" i="26" s="1"/>
  <c r="Q161" i="26"/>
  <c r="O161" i="26"/>
  <c r="P161" i="26" s="1"/>
  <c r="Q160" i="26"/>
  <c r="O160" i="26"/>
  <c r="P160" i="26" s="1"/>
  <c r="Q152" i="26"/>
  <c r="O152" i="26"/>
  <c r="P152" i="26" s="1"/>
  <c r="Q151" i="26"/>
  <c r="O151" i="26"/>
  <c r="P151" i="26" s="1"/>
  <c r="Q147" i="26"/>
  <c r="O147" i="26"/>
  <c r="P147" i="26" s="1"/>
  <c r="Q150" i="26"/>
  <c r="O150" i="26"/>
  <c r="P150" i="26" s="1"/>
  <c r="R150" i="26" s="1"/>
  <c r="S150" i="26" s="1"/>
  <c r="Q159" i="26"/>
  <c r="O159" i="26"/>
  <c r="P159" i="26" s="1"/>
  <c r="Q149" i="26"/>
  <c r="O149" i="26"/>
  <c r="P149" i="26" s="1"/>
  <c r="R149" i="26" s="1"/>
  <c r="S149" i="26" s="1"/>
  <c r="Q153" i="26"/>
  <c r="O153" i="26"/>
  <c r="P153" i="26" s="1"/>
  <c r="Q143" i="26"/>
  <c r="O143" i="26"/>
  <c r="P143" i="26" s="1"/>
  <c r="Q135" i="26"/>
  <c r="O135" i="26"/>
  <c r="P135" i="26" s="1"/>
  <c r="Q134" i="26"/>
  <c r="O134" i="26"/>
  <c r="P134" i="26" s="1"/>
  <c r="Q148" i="26"/>
  <c r="O148" i="26"/>
  <c r="P148" i="26" s="1"/>
  <c r="Q138" i="26"/>
  <c r="O138" i="26"/>
  <c r="P138" i="26" s="1"/>
  <c r="Q129" i="26"/>
  <c r="O129" i="26"/>
  <c r="P129" i="26" s="1"/>
  <c r="Q146" i="26"/>
  <c r="O146" i="26"/>
  <c r="P146" i="26" s="1"/>
  <c r="Q145" i="26"/>
  <c r="O145" i="26"/>
  <c r="P145" i="26" s="1"/>
  <c r="Q144" i="26"/>
  <c r="O144" i="26"/>
  <c r="P144" i="26" s="1"/>
  <c r="Q133" i="26"/>
  <c r="O133" i="26"/>
  <c r="P133" i="26" s="1"/>
  <c r="Q142" i="26"/>
  <c r="O142" i="26"/>
  <c r="P142" i="26" s="1"/>
  <c r="Q108" i="26"/>
  <c r="O108" i="26"/>
  <c r="P108" i="26" s="1"/>
  <c r="Q205" i="26"/>
  <c r="O205" i="26"/>
  <c r="P205" i="26" s="1"/>
  <c r="Q107" i="26"/>
  <c r="O107" i="26"/>
  <c r="P107" i="26" s="1"/>
  <c r="Q140" i="26"/>
  <c r="O140" i="26"/>
  <c r="P140" i="26" s="1"/>
  <c r="Q257" i="26"/>
  <c r="O257" i="26"/>
  <c r="P257" i="26" s="1"/>
  <c r="Q131" i="26"/>
  <c r="O131" i="26"/>
  <c r="P131" i="26" s="1"/>
  <c r="Q106" i="26"/>
  <c r="O106" i="26"/>
  <c r="P106" i="26" s="1"/>
  <c r="Q105" i="26"/>
  <c r="O105" i="26"/>
  <c r="P105" i="26" s="1"/>
  <c r="Q137" i="26"/>
  <c r="O137" i="26"/>
  <c r="P137" i="26" s="1"/>
  <c r="Q124" i="26"/>
  <c r="O124" i="26"/>
  <c r="P124" i="26" s="1"/>
  <c r="Q101" i="26"/>
  <c r="O101" i="26"/>
  <c r="P101" i="26" s="1"/>
  <c r="Q92" i="26"/>
  <c r="O92" i="26"/>
  <c r="P92" i="26" s="1"/>
  <c r="Q91" i="26"/>
  <c r="O91" i="26"/>
  <c r="P91" i="26" s="1"/>
  <c r="Q114" i="26"/>
  <c r="O114" i="26"/>
  <c r="P114" i="26" s="1"/>
  <c r="Q123" i="26"/>
  <c r="O123" i="26"/>
  <c r="P123" i="26" s="1"/>
  <c r="Q128" i="26"/>
  <c r="O128" i="26"/>
  <c r="P128" i="26" s="1"/>
  <c r="Q120" i="26"/>
  <c r="O120" i="26"/>
  <c r="P120" i="26" s="1"/>
  <c r="Q119" i="26"/>
  <c r="O119" i="26"/>
  <c r="P119" i="26" s="1"/>
  <c r="Q122" i="26"/>
  <c r="O122" i="26"/>
  <c r="P122" i="26" s="1"/>
  <c r="Q118" i="26"/>
  <c r="O118" i="26"/>
  <c r="P118" i="26" s="1"/>
  <c r="Q116" i="26"/>
  <c r="O116" i="26"/>
  <c r="P116" i="26" s="1"/>
  <c r="Q83" i="26"/>
  <c r="O83" i="26"/>
  <c r="P83" i="26" s="1"/>
  <c r="Q127" i="26"/>
  <c r="O127" i="26"/>
  <c r="P127" i="26" s="1"/>
  <c r="Q126" i="26"/>
  <c r="O126" i="26"/>
  <c r="P126" i="26" s="1"/>
  <c r="Q104" i="26"/>
  <c r="O104" i="26"/>
  <c r="P104" i="26" s="1"/>
  <c r="Q121" i="26"/>
  <c r="O121" i="26"/>
  <c r="P121" i="26" s="1"/>
  <c r="Q80" i="26"/>
  <c r="O80" i="26"/>
  <c r="P80" i="26" s="1"/>
  <c r="Q117" i="26"/>
  <c r="O117" i="26"/>
  <c r="P117" i="26" s="1"/>
  <c r="Q227" i="26"/>
  <c r="O227" i="26"/>
  <c r="P227" i="26" s="1"/>
  <c r="Q115" i="26"/>
  <c r="O115" i="26"/>
  <c r="P115" i="26" s="1"/>
  <c r="Q113" i="26"/>
  <c r="O113" i="26"/>
  <c r="P113" i="26" s="1"/>
  <c r="Q100" i="26"/>
  <c r="O100" i="26"/>
  <c r="P100" i="26" s="1"/>
  <c r="Q112" i="26"/>
  <c r="O112" i="26"/>
  <c r="P112" i="26" s="1"/>
  <c r="Q99" i="26"/>
  <c r="O99" i="26"/>
  <c r="P99" i="26" s="1"/>
  <c r="Q103" i="26"/>
  <c r="O103" i="26"/>
  <c r="P103" i="26" s="1"/>
  <c r="Q102" i="26"/>
  <c r="O102" i="26"/>
  <c r="P102" i="26" s="1"/>
  <c r="Q89" i="26"/>
  <c r="O89" i="26"/>
  <c r="P89" i="26" s="1"/>
  <c r="R89" i="26" s="1"/>
  <c r="S89" i="26" s="1"/>
  <c r="Q110" i="26"/>
  <c r="O110" i="26"/>
  <c r="P110" i="26" s="1"/>
  <c r="Q111" i="26"/>
  <c r="O111" i="26"/>
  <c r="P111" i="26" s="1"/>
  <c r="Q98" i="26"/>
  <c r="O98" i="26"/>
  <c r="P98" i="26" s="1"/>
  <c r="Q97" i="26"/>
  <c r="O97" i="26"/>
  <c r="P97" i="26" s="1"/>
  <c r="Q96" i="26"/>
  <c r="O96" i="26"/>
  <c r="P96" i="26" s="1"/>
  <c r="Q94" i="26"/>
  <c r="O94" i="26"/>
  <c r="P94" i="26" s="1"/>
  <c r="Q93" i="26"/>
  <c r="O93" i="26"/>
  <c r="P93" i="26" s="1"/>
  <c r="Q95" i="26"/>
  <c r="O95" i="26"/>
  <c r="P95" i="26" s="1"/>
  <c r="Q85" i="26"/>
  <c r="O85" i="26"/>
  <c r="P85" i="26" s="1"/>
  <c r="Q84" i="26"/>
  <c r="O84" i="26"/>
  <c r="P84" i="26" s="1"/>
  <c r="Q87" i="26"/>
  <c r="O87" i="26"/>
  <c r="P87" i="26" s="1"/>
  <c r="Q86" i="26"/>
  <c r="O86" i="26"/>
  <c r="P86" i="26" s="1"/>
  <c r="Q66" i="26"/>
  <c r="O66" i="26"/>
  <c r="P66" i="26" s="1"/>
  <c r="Q79" i="26"/>
  <c r="O79" i="26"/>
  <c r="P79" i="26" s="1"/>
  <c r="Q82" i="26"/>
  <c r="O82" i="26"/>
  <c r="P82" i="26" s="1"/>
  <c r="Q57" i="26"/>
  <c r="O57" i="26"/>
  <c r="P57" i="26" s="1"/>
  <c r="R57" i="26" s="1"/>
  <c r="S57" i="26" s="1"/>
  <c r="Q81" i="26"/>
  <c r="O81" i="26"/>
  <c r="P81" i="26" s="1"/>
  <c r="Q78" i="26"/>
  <c r="O78" i="26"/>
  <c r="P78" i="26" s="1"/>
  <c r="Q71" i="26"/>
  <c r="O71" i="26"/>
  <c r="P71" i="26" s="1"/>
  <c r="Q68" i="26"/>
  <c r="O68" i="26"/>
  <c r="P68" i="26" s="1"/>
  <c r="Q77" i="26"/>
  <c r="O77" i="26"/>
  <c r="P77" i="26" s="1"/>
  <c r="Q61" i="26"/>
  <c r="O61" i="26"/>
  <c r="P61" i="26" s="1"/>
  <c r="Q65" i="26"/>
  <c r="O65" i="26"/>
  <c r="P65" i="26" s="1"/>
  <c r="Q75" i="26"/>
  <c r="O75" i="26"/>
  <c r="P75" i="26" s="1"/>
  <c r="Q74" i="26"/>
  <c r="O74" i="26"/>
  <c r="P74" i="26" s="1"/>
  <c r="Q67" i="26"/>
  <c r="O67" i="26"/>
  <c r="P67" i="26" s="1"/>
  <c r="Q73" i="26"/>
  <c r="O73" i="26"/>
  <c r="P73" i="26" s="1"/>
  <c r="Q72" i="26"/>
  <c r="O72" i="26"/>
  <c r="P72" i="26" s="1"/>
  <c r="Q64" i="26"/>
  <c r="O64" i="26"/>
  <c r="P64" i="26" s="1"/>
  <c r="Q70" i="26"/>
  <c r="O70" i="26"/>
  <c r="P70" i="26" s="1"/>
  <c r="R70" i="26" s="1"/>
  <c r="S70" i="26" s="1"/>
  <c r="Q69" i="26"/>
  <c r="O69" i="26"/>
  <c r="P69" i="26" s="1"/>
  <c r="Q60" i="26"/>
  <c r="P60" i="26"/>
  <c r="O60" i="26"/>
  <c r="Q58" i="26"/>
  <c r="O58" i="26"/>
  <c r="P58" i="26" s="1"/>
  <c r="Q63" i="26"/>
  <c r="O63" i="26"/>
  <c r="P63" i="26" s="1"/>
  <c r="Q62" i="26"/>
  <c r="O62" i="26"/>
  <c r="P62" i="26" s="1"/>
  <c r="Q59" i="26"/>
  <c r="O59" i="26"/>
  <c r="P59" i="26" s="1"/>
  <c r="Q56" i="26"/>
  <c r="O56" i="26"/>
  <c r="P56" i="26" s="1"/>
  <c r="Q52" i="26"/>
  <c r="O52" i="26"/>
  <c r="P52" i="26" s="1"/>
  <c r="Q55" i="26"/>
  <c r="O55" i="26"/>
  <c r="P55" i="26" s="1"/>
  <c r="Q50" i="26"/>
  <c r="O50" i="26"/>
  <c r="P50" i="26" s="1"/>
  <c r="Q54" i="26"/>
  <c r="O54" i="26"/>
  <c r="P54" i="26" s="1"/>
  <c r="Q49" i="26"/>
  <c r="O49" i="26"/>
  <c r="P49" i="26" s="1"/>
  <c r="Q48" i="26"/>
  <c r="O48" i="26"/>
  <c r="P48" i="26" s="1"/>
  <c r="Q39" i="26"/>
  <c r="O39" i="26"/>
  <c r="P39" i="26" s="1"/>
  <c r="Q53" i="26"/>
  <c r="O53" i="26"/>
  <c r="P53" i="26" s="1"/>
  <c r="Q41" i="26"/>
  <c r="O41" i="26"/>
  <c r="P41" i="26" s="1"/>
  <c r="Q43" i="26"/>
  <c r="O43" i="26"/>
  <c r="P43" i="26" s="1"/>
  <c r="Q47" i="26"/>
  <c r="O47" i="26"/>
  <c r="P47" i="26" s="1"/>
  <c r="Q46" i="26"/>
  <c r="O46" i="26"/>
  <c r="P46" i="26" s="1"/>
  <c r="Q45" i="26"/>
  <c r="O45" i="26"/>
  <c r="P45" i="26" s="1"/>
  <c r="Q42" i="26"/>
  <c r="O42" i="26"/>
  <c r="P42" i="26" s="1"/>
  <c r="Q44" i="26"/>
  <c r="O44" i="26"/>
  <c r="P44" i="26" s="1"/>
  <c r="Q38" i="26"/>
  <c r="O38" i="26"/>
  <c r="P38" i="26" s="1"/>
  <c r="Q37" i="26"/>
  <c r="O37" i="26"/>
  <c r="P37" i="26" s="1"/>
  <c r="Q36" i="26"/>
  <c r="O36" i="26"/>
  <c r="P36" i="26" s="1"/>
  <c r="Q218" i="26"/>
  <c r="O218" i="26"/>
  <c r="P218" i="26" s="1"/>
  <c r="Q30" i="26"/>
  <c r="O30" i="26"/>
  <c r="P30" i="26" s="1"/>
  <c r="Q35" i="26"/>
  <c r="O35" i="26"/>
  <c r="P35" i="26" s="1"/>
  <c r="Q34" i="26"/>
  <c r="O34" i="26"/>
  <c r="P34" i="26" s="1"/>
  <c r="Q33" i="26"/>
  <c r="O33" i="26"/>
  <c r="P33" i="26" s="1"/>
  <c r="Q29" i="26"/>
  <c r="O29" i="26"/>
  <c r="P29" i="26" s="1"/>
  <c r="Q32" i="26"/>
  <c r="O32" i="26"/>
  <c r="P32" i="26" s="1"/>
  <c r="Q31" i="26"/>
  <c r="O31" i="26"/>
  <c r="P31" i="26" s="1"/>
  <c r="Q28" i="26"/>
  <c r="O28" i="26"/>
  <c r="P28" i="26" s="1"/>
  <c r="Q27" i="26"/>
  <c r="O27" i="26"/>
  <c r="P27" i="26" s="1"/>
  <c r="Q247" i="26"/>
  <c r="O247" i="26"/>
  <c r="P247" i="26" s="1"/>
  <c r="Q13" i="26"/>
  <c r="O13" i="26"/>
  <c r="P13" i="26" s="1"/>
  <c r="Q248" i="26"/>
  <c r="O248" i="26"/>
  <c r="P248" i="26" s="1"/>
  <c r="Q25" i="26"/>
  <c r="O25" i="26"/>
  <c r="P25" i="26" s="1"/>
  <c r="Q26" i="26"/>
  <c r="O26" i="26"/>
  <c r="P26" i="26" s="1"/>
  <c r="Q22" i="26"/>
  <c r="O22" i="26"/>
  <c r="P22" i="26" s="1"/>
  <c r="Q24" i="26"/>
  <c r="O24" i="26"/>
  <c r="P24" i="26" s="1"/>
  <c r="Q23" i="26"/>
  <c r="O23" i="26"/>
  <c r="P23" i="26" s="1"/>
  <c r="Q16" i="26"/>
  <c r="O16" i="26"/>
  <c r="P16" i="26" s="1"/>
  <c r="Q20" i="26"/>
  <c r="O20" i="26"/>
  <c r="P20" i="26" s="1"/>
  <c r="Q15" i="26"/>
  <c r="O15" i="26"/>
  <c r="P15" i="26" s="1"/>
  <c r="Q14" i="26"/>
  <c r="O14" i="26"/>
  <c r="P14" i="26" s="1"/>
  <c r="Q19" i="26"/>
  <c r="O19" i="26"/>
  <c r="P19" i="26" s="1"/>
  <c r="Q7" i="26"/>
  <c r="O7" i="26"/>
  <c r="P7" i="26" s="1"/>
  <c r="Q18" i="26"/>
  <c r="O18" i="26"/>
  <c r="P18" i="26" s="1"/>
  <c r="Q21" i="26"/>
  <c r="O21" i="26"/>
  <c r="P21" i="26" s="1"/>
  <c r="Q10" i="26"/>
  <c r="O10" i="26"/>
  <c r="P10" i="26" s="1"/>
  <c r="Q9" i="26"/>
  <c r="O9" i="26"/>
  <c r="P9" i="26" s="1"/>
  <c r="Q5" i="26"/>
  <c r="O5" i="26"/>
  <c r="P5" i="26" s="1"/>
  <c r="Q17" i="26"/>
  <c r="O17" i="26"/>
  <c r="P17" i="26" s="1"/>
  <c r="Q12" i="26"/>
  <c r="O12" i="26"/>
  <c r="P12" i="26" s="1"/>
  <c r="Q11" i="26"/>
  <c r="O11" i="26"/>
  <c r="P11" i="26" s="1"/>
  <c r="Q8" i="26"/>
  <c r="O8" i="26"/>
  <c r="P8" i="26" s="1"/>
  <c r="Q6" i="26"/>
  <c r="O6" i="26"/>
  <c r="P6" i="26" s="1"/>
  <c r="Q136" i="26"/>
  <c r="O136" i="26"/>
  <c r="P136" i="26" s="1"/>
  <c r="Q4" i="26"/>
  <c r="O4" i="26"/>
  <c r="P4" i="26" s="1"/>
  <c r="Q139" i="26"/>
  <c r="O139" i="26"/>
  <c r="P139" i="26" s="1"/>
  <c r="Q259" i="26"/>
  <c r="O259" i="26"/>
  <c r="P259" i="26" s="1"/>
  <c r="Q256" i="26"/>
  <c r="O256" i="26"/>
  <c r="P256" i="26" s="1"/>
  <c r="Q255" i="26"/>
  <c r="O255" i="26"/>
  <c r="P255" i="26" s="1"/>
  <c r="Q260" i="26"/>
  <c r="O260" i="26"/>
  <c r="P260" i="26" s="1"/>
  <c r="Q254" i="26"/>
  <c r="O254" i="26"/>
  <c r="P254" i="26" s="1"/>
  <c r="Q253" i="26"/>
  <c r="O253" i="26"/>
  <c r="P253" i="26" s="1"/>
  <c r="Q251" i="26"/>
  <c r="O251" i="26"/>
  <c r="P251" i="26" s="1"/>
  <c r="Q252" i="26"/>
  <c r="O252" i="26"/>
  <c r="P252" i="26" s="1"/>
  <c r="Q250" i="26"/>
  <c r="O250" i="26"/>
  <c r="P250" i="26" s="1"/>
  <c r="Q249" i="26"/>
  <c r="O249" i="26"/>
  <c r="P249" i="26" s="1"/>
  <c r="Q245" i="26"/>
  <c r="O245" i="26"/>
  <c r="P245" i="26" s="1"/>
  <c r="Q241" i="26"/>
  <c r="O241" i="26"/>
  <c r="P241" i="26" s="1"/>
  <c r="Q240" i="26"/>
  <c r="O240" i="26"/>
  <c r="P240" i="26" s="1"/>
  <c r="Q238" i="26"/>
  <c r="O238" i="26"/>
  <c r="P238" i="26" s="1"/>
  <c r="Q231" i="26"/>
  <c r="O231" i="26"/>
  <c r="P231" i="26" s="1"/>
  <c r="Q230" i="26"/>
  <c r="O230" i="26"/>
  <c r="P230" i="26" s="1"/>
  <c r="Q239" i="26"/>
  <c r="O239" i="26"/>
  <c r="P239" i="26" s="1"/>
  <c r="Q229" i="26"/>
  <c r="O229" i="26"/>
  <c r="P229" i="26" s="1"/>
  <c r="Q226" i="26"/>
  <c r="O226" i="26"/>
  <c r="P226" i="26" s="1"/>
  <c r="Q225" i="26"/>
  <c r="O225" i="26"/>
  <c r="P225" i="26" s="1"/>
  <c r="Q224" i="26"/>
  <c r="O224" i="26"/>
  <c r="P224" i="26" s="1"/>
  <c r="Q223" i="26"/>
  <c r="O223" i="26"/>
  <c r="P223" i="26" s="1"/>
  <c r="Q221" i="26"/>
  <c r="O221" i="26"/>
  <c r="P221" i="26" s="1"/>
  <c r="Q222" i="26"/>
  <c r="O222" i="26"/>
  <c r="P222" i="26" s="1"/>
  <c r="Q220" i="26"/>
  <c r="O220" i="26"/>
  <c r="P220" i="26" s="1"/>
  <c r="Q228" i="26"/>
  <c r="O228" i="26"/>
  <c r="P228" i="26" s="1"/>
  <c r="Q217" i="26"/>
  <c r="O217" i="26"/>
  <c r="P217" i="26" s="1"/>
  <c r="Q216" i="26"/>
  <c r="O216" i="26"/>
  <c r="P216" i="26" s="1"/>
  <c r="Q215" i="26"/>
  <c r="O215" i="26"/>
  <c r="P215" i="26" s="1"/>
  <c r="Q219" i="26"/>
  <c r="O219" i="26"/>
  <c r="P219" i="26" s="1"/>
  <c r="Q214" i="26"/>
  <c r="O214" i="26"/>
  <c r="P214" i="26" s="1"/>
  <c r="Q213" i="26"/>
  <c r="O213" i="26"/>
  <c r="P213" i="26" s="1"/>
  <c r="Q246" i="26"/>
  <c r="O246" i="26"/>
  <c r="P246" i="26" s="1"/>
  <c r="Q210" i="26"/>
  <c r="O210" i="26"/>
  <c r="P210" i="26" s="1"/>
  <c r="Q211" i="26"/>
  <c r="O211" i="26"/>
  <c r="P211" i="26" s="1"/>
  <c r="Q212" i="26"/>
  <c r="O212" i="26"/>
  <c r="P212" i="26" s="1"/>
  <c r="Q208" i="26"/>
  <c r="O208" i="26"/>
  <c r="P208" i="26" s="1"/>
  <c r="Q209" i="26"/>
  <c r="O209" i="26"/>
  <c r="P209" i="26" s="1"/>
  <c r="P206" i="26"/>
  <c r="P204" i="26"/>
  <c r="P201" i="26"/>
  <c r="P200" i="26"/>
  <c r="P199" i="26"/>
  <c r="P198" i="26"/>
  <c r="P202" i="26"/>
  <c r="P197" i="26"/>
  <c r="P196" i="26"/>
  <c r="Q207" i="26"/>
  <c r="O207" i="26"/>
  <c r="P207" i="26" s="1"/>
  <c r="Q206" i="26"/>
  <c r="O206" i="26"/>
  <c r="Q204" i="26"/>
  <c r="O204" i="26"/>
  <c r="Q201" i="26"/>
  <c r="O201" i="26"/>
  <c r="Q200" i="26"/>
  <c r="O200" i="26"/>
  <c r="Q199" i="26"/>
  <c r="O199" i="26"/>
  <c r="Q198" i="26"/>
  <c r="O198" i="26"/>
  <c r="Q202" i="26"/>
  <c r="O202" i="26"/>
  <c r="Q197" i="26"/>
  <c r="O197" i="26"/>
  <c r="Q196" i="26"/>
  <c r="O196" i="26"/>
  <c r="R27" i="26" l="1"/>
  <c r="S27" i="26" s="1"/>
  <c r="R21" i="26"/>
  <c r="S21" i="26" s="1"/>
  <c r="R209" i="26"/>
  <c r="S209" i="26" s="1"/>
  <c r="R255" i="26"/>
  <c r="S255" i="26" s="1"/>
  <c r="R19" i="26"/>
  <c r="S19" i="26" s="1"/>
  <c r="R32" i="26"/>
  <c r="S32" i="26" s="1"/>
  <c r="R110" i="26"/>
  <c r="S110" i="26" s="1"/>
  <c r="R83" i="26"/>
  <c r="S83" i="26" s="1"/>
  <c r="R203" i="26"/>
  <c r="S203" i="26" s="1"/>
  <c r="R141" i="26"/>
  <c r="S141" i="26" s="1"/>
  <c r="R241" i="26"/>
  <c r="S241" i="26" s="1"/>
  <c r="R153" i="26"/>
  <c r="S153" i="26" s="1"/>
  <c r="R176" i="26"/>
  <c r="S176" i="26" s="1"/>
  <c r="R79" i="26"/>
  <c r="S79" i="26" s="1"/>
  <c r="R103" i="26"/>
  <c r="S103" i="26" s="1"/>
  <c r="R191" i="26"/>
  <c r="S191" i="26" s="1"/>
  <c r="R18" i="26"/>
  <c r="S18" i="26" s="1"/>
  <c r="R28" i="26"/>
  <c r="S28" i="26" s="1"/>
  <c r="R47" i="26"/>
  <c r="S47" i="26" s="1"/>
  <c r="R233" i="26"/>
  <c r="S233" i="26" s="1"/>
  <c r="R231" i="26"/>
  <c r="S231" i="26" s="1"/>
  <c r="R81" i="26"/>
  <c r="S81" i="26" s="1"/>
  <c r="R122" i="26"/>
  <c r="S122" i="26" s="1"/>
  <c r="R107" i="26"/>
  <c r="S107" i="26" s="1"/>
  <c r="R237" i="26"/>
  <c r="S237" i="26" s="1"/>
  <c r="R60" i="26"/>
  <c r="S60" i="26" s="1"/>
  <c r="R58" i="26"/>
  <c r="S58" i="26" s="1"/>
  <c r="R240" i="26"/>
  <c r="S240" i="26" s="1"/>
  <c r="R131" i="26"/>
  <c r="S131" i="26" s="1"/>
  <c r="R214" i="26"/>
  <c r="S214" i="26" s="1"/>
  <c r="R41" i="26"/>
  <c r="S41" i="26" s="1"/>
  <c r="R116" i="26"/>
  <c r="S116" i="26" s="1"/>
  <c r="R257" i="26"/>
  <c r="S257" i="26" s="1"/>
  <c r="R132" i="26"/>
  <c r="S132" i="26" s="1"/>
  <c r="R193" i="26"/>
  <c r="S193" i="26" s="1"/>
  <c r="R212" i="26"/>
  <c r="S212" i="26" s="1"/>
  <c r="R210" i="26"/>
  <c r="S210" i="26" s="1"/>
  <c r="R221" i="26"/>
  <c r="S221" i="26" s="1"/>
  <c r="R229" i="26"/>
  <c r="S229" i="26" s="1"/>
  <c r="R260" i="26"/>
  <c r="S260" i="26" s="1"/>
  <c r="R242" i="26"/>
  <c r="S242" i="26" s="1"/>
  <c r="R234" i="26"/>
  <c r="S234" i="26" s="1"/>
  <c r="R6" i="26"/>
  <c r="S6" i="26" s="1"/>
  <c r="R23" i="26"/>
  <c r="S23" i="26" s="1"/>
  <c r="R30" i="26"/>
  <c r="S30" i="26" s="1"/>
  <c r="R54" i="26"/>
  <c r="S54" i="26" s="1"/>
  <c r="R74" i="26"/>
  <c r="S74" i="26" s="1"/>
  <c r="R85" i="26"/>
  <c r="S85" i="26" s="1"/>
  <c r="R115" i="26"/>
  <c r="S115" i="26" s="1"/>
  <c r="R114" i="26"/>
  <c r="S114" i="26" s="1"/>
  <c r="R144" i="26"/>
  <c r="S144" i="26" s="1"/>
  <c r="R161" i="26"/>
  <c r="S161" i="26" s="1"/>
  <c r="R180" i="26"/>
  <c r="S180" i="26" s="1"/>
  <c r="R228" i="26"/>
  <c r="S228" i="26" s="1"/>
  <c r="R245" i="26"/>
  <c r="S245" i="26" s="1"/>
  <c r="R250" i="26"/>
  <c r="S250" i="26" s="1"/>
  <c r="R8" i="26"/>
  <c r="S8" i="26" s="1"/>
  <c r="R12" i="26"/>
  <c r="S12" i="26" s="1"/>
  <c r="R24" i="26"/>
  <c r="S24" i="26" s="1"/>
  <c r="R26" i="26"/>
  <c r="S26" i="26" s="1"/>
  <c r="R218" i="26"/>
  <c r="S218" i="26" s="1"/>
  <c r="R37" i="26"/>
  <c r="S37" i="26" s="1"/>
  <c r="R50" i="26"/>
  <c r="S50" i="26" s="1"/>
  <c r="R52" i="26"/>
  <c r="S52" i="26" s="1"/>
  <c r="R75" i="26"/>
  <c r="S75" i="26" s="1"/>
  <c r="R61" i="26"/>
  <c r="S61" i="26" s="1"/>
  <c r="R95" i="26"/>
  <c r="S95" i="26" s="1"/>
  <c r="R94" i="26"/>
  <c r="S94" i="26" s="1"/>
  <c r="R227" i="26"/>
  <c r="S227" i="26" s="1"/>
  <c r="R80" i="26"/>
  <c r="S80" i="26" s="1"/>
  <c r="R91" i="26"/>
  <c r="S91" i="26" s="1"/>
  <c r="R101" i="26"/>
  <c r="S101" i="26" s="1"/>
  <c r="R145" i="26"/>
  <c r="S145" i="26" s="1"/>
  <c r="R138" i="26"/>
  <c r="S138" i="26" s="1"/>
  <c r="R162" i="26"/>
  <c r="S162" i="26" s="1"/>
  <c r="R163" i="26"/>
  <c r="S163" i="26" s="1"/>
  <c r="R156" i="26"/>
  <c r="S156" i="26" s="1"/>
  <c r="R175" i="26"/>
  <c r="S175" i="26" s="1"/>
  <c r="R186" i="26"/>
  <c r="S186" i="26" s="1"/>
  <c r="R51" i="26"/>
  <c r="S51" i="26" s="1"/>
  <c r="R181" i="26"/>
  <c r="S181" i="26" s="1"/>
  <c r="R185" i="26"/>
  <c r="S185" i="26" s="1"/>
  <c r="R258" i="26"/>
  <c r="S258" i="26" s="1"/>
  <c r="R236" i="26"/>
  <c r="S236" i="26" s="1"/>
  <c r="R196" i="26"/>
  <c r="S196" i="26" s="1"/>
  <c r="R211" i="26"/>
  <c r="S211" i="26" s="1"/>
  <c r="R213" i="26"/>
  <c r="S213" i="26" s="1"/>
  <c r="R217" i="26"/>
  <c r="S217" i="26" s="1"/>
  <c r="R222" i="26"/>
  <c r="S222" i="26" s="1"/>
  <c r="R226" i="26"/>
  <c r="S226" i="26" s="1"/>
  <c r="R238" i="26"/>
  <c r="S238" i="26" s="1"/>
  <c r="R252" i="26"/>
  <c r="S252" i="26" s="1"/>
  <c r="R259" i="26"/>
  <c r="S259" i="26" s="1"/>
  <c r="R17" i="26"/>
  <c r="S17" i="26" s="1"/>
  <c r="R14" i="26"/>
  <c r="S14" i="26" s="1"/>
  <c r="R25" i="26"/>
  <c r="S25" i="26" s="1"/>
  <c r="R29" i="26"/>
  <c r="S29" i="26" s="1"/>
  <c r="R38" i="26"/>
  <c r="S38" i="26" s="1"/>
  <c r="R53" i="26"/>
  <c r="S53" i="26" s="1"/>
  <c r="R56" i="26"/>
  <c r="S56" i="26" s="1"/>
  <c r="R64" i="26"/>
  <c r="S64" i="26" s="1"/>
  <c r="R77" i="26"/>
  <c r="S77" i="26" s="1"/>
  <c r="R66" i="26"/>
  <c r="S66" i="26" s="1"/>
  <c r="R96" i="26"/>
  <c r="S96" i="26" s="1"/>
  <c r="R99" i="26"/>
  <c r="S99" i="26" s="1"/>
  <c r="R121" i="26"/>
  <c r="S121" i="26" s="1"/>
  <c r="R119" i="26"/>
  <c r="S119" i="26" s="1"/>
  <c r="R124" i="26"/>
  <c r="S124" i="26" s="1"/>
  <c r="R205" i="26"/>
  <c r="S205" i="26" s="1"/>
  <c r="R148" i="26"/>
  <c r="S148" i="26" s="1"/>
  <c r="R147" i="26"/>
  <c r="S147" i="26" s="1"/>
  <c r="R154" i="26"/>
  <c r="S154" i="26" s="1"/>
  <c r="R244" i="26"/>
  <c r="S244" i="26" s="1"/>
  <c r="R195" i="26"/>
  <c r="S195" i="26" s="1"/>
  <c r="R125" i="26"/>
  <c r="S125" i="26" s="1"/>
  <c r="R243" i="26"/>
  <c r="S243" i="26" s="1"/>
  <c r="R194" i="26"/>
  <c r="S194" i="26" s="1"/>
  <c r="R232" i="26"/>
  <c r="S232" i="26" s="1"/>
  <c r="R235" i="26"/>
  <c r="S235" i="26" s="1"/>
  <c r="R109" i="26"/>
  <c r="S109" i="26" s="1"/>
  <c r="R189" i="26"/>
  <c r="S189" i="26" s="1"/>
  <c r="R170" i="26"/>
  <c r="S170" i="26" s="1"/>
  <c r="R165" i="26"/>
  <c r="S165" i="26" s="1"/>
  <c r="R174" i="26"/>
  <c r="S174" i="26" s="1"/>
  <c r="R157" i="26"/>
  <c r="S157" i="26" s="1"/>
  <c r="R40" i="26"/>
  <c r="S40" i="26" s="1"/>
  <c r="R184" i="26"/>
  <c r="S184" i="26" s="1"/>
  <c r="R158" i="26"/>
  <c r="S158" i="26" s="1"/>
  <c r="R230" i="26"/>
  <c r="S230" i="26" s="1"/>
  <c r="R133" i="26"/>
  <c r="S133" i="26" s="1"/>
  <c r="R134" i="26"/>
  <c r="S134" i="26" s="1"/>
  <c r="R143" i="26"/>
  <c r="S143" i="26" s="1"/>
  <c r="R151" i="26"/>
  <c r="S151" i="26" s="1"/>
  <c r="R160" i="26"/>
  <c r="S160" i="26" s="1"/>
  <c r="R164" i="26"/>
  <c r="S164" i="26" s="1"/>
  <c r="R104" i="26"/>
  <c r="S104" i="26" s="1"/>
  <c r="R127" i="26"/>
  <c r="S127" i="26" s="1"/>
  <c r="R120" i="26"/>
  <c r="S120" i="26" s="1"/>
  <c r="R123" i="26"/>
  <c r="S123" i="26" s="1"/>
  <c r="R137" i="26"/>
  <c r="S137" i="26" s="1"/>
  <c r="R106" i="26"/>
  <c r="S106" i="26" s="1"/>
  <c r="R108" i="26"/>
  <c r="S108" i="26" s="1"/>
  <c r="R68" i="26"/>
  <c r="S68" i="26" s="1"/>
  <c r="R78" i="26"/>
  <c r="S78" i="26" s="1"/>
  <c r="R86" i="26"/>
  <c r="S86" i="26" s="1"/>
  <c r="R84" i="26"/>
  <c r="S84" i="26" s="1"/>
  <c r="R97" i="26"/>
  <c r="S97" i="26" s="1"/>
  <c r="R111" i="26"/>
  <c r="S111" i="26" s="1"/>
  <c r="R112" i="26"/>
  <c r="S112" i="26" s="1"/>
  <c r="R113" i="26"/>
  <c r="S113" i="26" s="1"/>
  <c r="R225" i="26"/>
  <c r="S225" i="26" s="1"/>
  <c r="R254" i="26"/>
  <c r="S254" i="26" s="1"/>
  <c r="R39" i="26"/>
  <c r="S39" i="26" s="1"/>
  <c r="R49" i="26"/>
  <c r="S49" i="26" s="1"/>
  <c r="R59" i="26"/>
  <c r="S59" i="26" s="1"/>
  <c r="R63" i="26"/>
  <c r="S63" i="26" s="1"/>
  <c r="R72" i="26"/>
  <c r="S72" i="26" s="1"/>
  <c r="R67" i="26"/>
  <c r="S67" i="26" s="1"/>
  <c r="R219" i="26"/>
  <c r="S219" i="26" s="1"/>
  <c r="R223" i="26"/>
  <c r="S223" i="26" s="1"/>
  <c r="R44" i="26"/>
  <c r="S44" i="26" s="1"/>
  <c r="R45" i="26"/>
  <c r="S45" i="26" s="1"/>
  <c r="R216" i="26"/>
  <c r="S216" i="26" s="1"/>
  <c r="R251" i="26"/>
  <c r="S251" i="26" s="1"/>
  <c r="R33" i="26"/>
  <c r="S33" i="26" s="1"/>
  <c r="R35" i="26"/>
  <c r="S35" i="26" s="1"/>
  <c r="R248" i="26"/>
  <c r="S248" i="26" s="1"/>
  <c r="R247" i="26"/>
  <c r="S247" i="26" s="1"/>
  <c r="R5" i="26"/>
  <c r="S5" i="26" s="1"/>
  <c r="R10" i="26"/>
  <c r="S10" i="26" s="1"/>
  <c r="R15" i="26"/>
  <c r="S15" i="26" s="1"/>
  <c r="R16" i="26"/>
  <c r="S16" i="26" s="1"/>
  <c r="R136" i="26"/>
  <c r="S136" i="26" s="1"/>
  <c r="R139" i="26"/>
  <c r="S139" i="26" s="1"/>
  <c r="R172" i="26"/>
  <c r="S172" i="26" s="1"/>
  <c r="R183" i="26"/>
  <c r="S183" i="26" s="1"/>
  <c r="R168" i="26"/>
  <c r="S168" i="26" s="1"/>
  <c r="R88" i="26"/>
  <c r="S88" i="26" s="1"/>
  <c r="R177" i="26"/>
  <c r="S177" i="26" s="1"/>
  <c r="R179" i="26"/>
  <c r="S179" i="26" s="1"/>
  <c r="R187" i="26"/>
  <c r="S187" i="26" s="1"/>
  <c r="R192" i="26"/>
  <c r="S192" i="26" s="1"/>
  <c r="R208" i="26"/>
  <c r="S208" i="26" s="1"/>
  <c r="R246" i="26"/>
  <c r="S246" i="26" s="1"/>
  <c r="R215" i="26"/>
  <c r="S215" i="26" s="1"/>
  <c r="R220" i="26"/>
  <c r="S220" i="26" s="1"/>
  <c r="R224" i="26"/>
  <c r="S224" i="26" s="1"/>
  <c r="R239" i="26"/>
  <c r="S239" i="26" s="1"/>
  <c r="R249" i="26"/>
  <c r="S249" i="26" s="1"/>
  <c r="R253" i="26"/>
  <c r="S253" i="26" s="1"/>
  <c r="R256" i="26"/>
  <c r="S256" i="26" s="1"/>
  <c r="R4" i="26"/>
  <c r="S4" i="26" s="1"/>
  <c r="R11" i="26"/>
  <c r="S11" i="26" s="1"/>
  <c r="R9" i="26"/>
  <c r="S9" i="26" s="1"/>
  <c r="R7" i="26"/>
  <c r="S7" i="26" s="1"/>
  <c r="R20" i="26"/>
  <c r="S20" i="26" s="1"/>
  <c r="R22" i="26"/>
  <c r="S22" i="26" s="1"/>
  <c r="R13" i="26"/>
  <c r="S13" i="26" s="1"/>
  <c r="R31" i="26"/>
  <c r="S31" i="26" s="1"/>
  <c r="R34" i="26"/>
  <c r="S34" i="26" s="1"/>
  <c r="R36" i="26"/>
  <c r="S36" i="26" s="1"/>
  <c r="R42" i="26"/>
  <c r="S42" i="26" s="1"/>
  <c r="R46" i="26"/>
  <c r="S46" i="26" s="1"/>
  <c r="R43" i="26"/>
  <c r="S43" i="26" s="1"/>
  <c r="R48" i="26"/>
  <c r="S48" i="26" s="1"/>
  <c r="R55" i="26"/>
  <c r="S55" i="26" s="1"/>
  <c r="R62" i="26"/>
  <c r="S62" i="26" s="1"/>
  <c r="R69" i="26"/>
  <c r="S69" i="26" s="1"/>
  <c r="R73" i="26"/>
  <c r="S73" i="26" s="1"/>
  <c r="R65" i="26"/>
  <c r="S65" i="26" s="1"/>
  <c r="R71" i="26"/>
  <c r="S71" i="26" s="1"/>
  <c r="R82" i="26"/>
  <c r="S82" i="26" s="1"/>
  <c r="R87" i="26"/>
  <c r="S87" i="26" s="1"/>
  <c r="R93" i="26"/>
  <c r="S93" i="26" s="1"/>
  <c r="R98" i="26"/>
  <c r="S98" i="26" s="1"/>
  <c r="R102" i="26"/>
  <c r="S102" i="26" s="1"/>
  <c r="R100" i="26"/>
  <c r="S100" i="26" s="1"/>
  <c r="R117" i="26"/>
  <c r="S117" i="26" s="1"/>
  <c r="R126" i="26"/>
  <c r="S126" i="26" s="1"/>
  <c r="R118" i="26"/>
  <c r="S118" i="26" s="1"/>
  <c r="R128" i="26"/>
  <c r="S128" i="26" s="1"/>
  <c r="R92" i="26"/>
  <c r="S92" i="26" s="1"/>
  <c r="R105" i="26"/>
  <c r="S105" i="26" s="1"/>
  <c r="R140" i="26"/>
  <c r="S140" i="26" s="1"/>
  <c r="R142" i="26"/>
  <c r="S142" i="26" s="1"/>
  <c r="R146" i="26"/>
  <c r="S146" i="26" s="1"/>
  <c r="R171" i="26"/>
  <c r="S171" i="26" s="1"/>
  <c r="R173" i="26"/>
  <c r="S173" i="26" s="1"/>
  <c r="R167" i="26"/>
  <c r="S167" i="26" s="1"/>
  <c r="R169" i="26"/>
  <c r="S169" i="26" s="1"/>
  <c r="R76" i="26"/>
  <c r="S76" i="26" s="1"/>
  <c r="R130" i="26"/>
  <c r="S130" i="26" s="1"/>
  <c r="R188" i="26"/>
  <c r="S188" i="26" s="1"/>
  <c r="R90" i="26"/>
  <c r="S90" i="26" s="1"/>
  <c r="R190" i="26"/>
  <c r="S190" i="26" s="1"/>
  <c r="R129" i="26"/>
  <c r="S129" i="26" s="1"/>
  <c r="R135" i="26"/>
  <c r="S135" i="26" s="1"/>
  <c r="R159" i="26"/>
  <c r="S159" i="26" s="1"/>
  <c r="R152" i="26"/>
  <c r="S152" i="26" s="1"/>
  <c r="R155" i="26"/>
  <c r="S155" i="26" s="1"/>
  <c r="R166" i="26"/>
  <c r="S166" i="26" s="1"/>
  <c r="R197" i="26"/>
  <c r="S197" i="26" s="1"/>
  <c r="R202" i="26"/>
  <c r="S202" i="26" s="1"/>
  <c r="R198" i="26"/>
  <c r="S198" i="26" s="1"/>
  <c r="R199" i="26"/>
  <c r="S199" i="26" s="1"/>
  <c r="R200" i="26"/>
  <c r="S200" i="26" s="1"/>
  <c r="R201" i="26"/>
  <c r="S201" i="26" s="1"/>
  <c r="R204" i="26"/>
  <c r="S204" i="26" s="1"/>
  <c r="R206" i="26"/>
  <c r="S206" i="26" s="1"/>
  <c r="R207" i="26"/>
  <c r="S207" i="26" s="1"/>
  <c r="AG275" i="26" l="1"/>
  <c r="AF275" i="26"/>
  <c r="AE275" i="26"/>
  <c r="AD275" i="26"/>
  <c r="AA196" i="26"/>
  <c r="AA275" i="26" l="1"/>
  <c r="AH275" i="26"/>
  <c r="AE276" i="26" s="1"/>
  <c r="AF276" i="26" l="1"/>
  <c r="AG276" i="26"/>
  <c r="AD276" i="26"/>
  <c r="AH276" i="26"/>
  <c r="Y371" i="15"/>
  <c r="W371" i="15"/>
  <c r="X371" i="15"/>
  <c r="Z371" i="15"/>
  <c r="AA371" i="15"/>
  <c r="AD277" i="26" l="1"/>
  <c r="AA370" i="15" l="1"/>
  <c r="Z370" i="15"/>
  <c r="Y370" i="15"/>
  <c r="X370" i="15"/>
  <c r="W370" i="15"/>
  <c r="AA369" i="15"/>
  <c r="Z369" i="15"/>
  <c r="Y369" i="15"/>
  <c r="X369" i="15"/>
  <c r="W369" i="15"/>
  <c r="AA368" i="15"/>
  <c r="Z368" i="15"/>
  <c r="Y368" i="15"/>
  <c r="X368" i="15"/>
  <c r="W368" i="15"/>
  <c r="AA367" i="15"/>
  <c r="Z367" i="15"/>
  <c r="Y367" i="15"/>
  <c r="X367" i="15"/>
  <c r="W367" i="15"/>
  <c r="AA356" i="15"/>
  <c r="Z356" i="15"/>
  <c r="Y356" i="15"/>
  <c r="X356" i="15"/>
  <c r="W356" i="15"/>
  <c r="AA357" i="15"/>
  <c r="Z357" i="15"/>
  <c r="Y357" i="15"/>
  <c r="X357" i="15"/>
  <c r="W357" i="15"/>
  <c r="AA360" i="15"/>
  <c r="Z360" i="15"/>
  <c r="Y360" i="15"/>
  <c r="X360" i="15"/>
  <c r="W360" i="15"/>
  <c r="AA366" i="15"/>
  <c r="Z366" i="15"/>
  <c r="Y366" i="15"/>
  <c r="X366" i="15"/>
  <c r="W366" i="15"/>
  <c r="AA365" i="15"/>
  <c r="Z365" i="15"/>
  <c r="Y365" i="15"/>
  <c r="X365" i="15"/>
  <c r="W365" i="15"/>
  <c r="AA364" i="15"/>
  <c r="Z364" i="15"/>
  <c r="Y364" i="15"/>
  <c r="X364" i="15"/>
  <c r="W364" i="15"/>
  <c r="AA363" i="15"/>
  <c r="Z363" i="15"/>
  <c r="Y363" i="15"/>
  <c r="X363" i="15"/>
  <c r="W363" i="15"/>
  <c r="AA358" i="15"/>
  <c r="Z358" i="15"/>
  <c r="Y358" i="15"/>
  <c r="X358" i="15"/>
  <c r="W358" i="15"/>
  <c r="AA361" i="15"/>
  <c r="Z361" i="15"/>
  <c r="Y361" i="15"/>
  <c r="X361" i="15"/>
  <c r="W361" i="15"/>
  <c r="AA362" i="15"/>
  <c r="Z362" i="15"/>
  <c r="Y362" i="15"/>
  <c r="X362" i="15"/>
  <c r="W362" i="15"/>
  <c r="X845" i="7" l="1"/>
  <c r="H372" i="7" l="1"/>
  <c r="H826" i="7"/>
  <c r="X846" i="7" l="1"/>
  <c r="D62" i="16"/>
  <c r="D61" i="16"/>
  <c r="D60" i="16"/>
  <c r="D59" i="16"/>
  <c r="D58" i="16"/>
  <c r="D57" i="16"/>
  <c r="D56" i="16"/>
  <c r="D55" i="16"/>
  <c r="D13" i="16"/>
  <c r="D12" i="16"/>
  <c r="D43" i="16"/>
  <c r="D36" i="16"/>
  <c r="D39" i="16"/>
  <c r="D42" i="16"/>
  <c r="D31" i="16"/>
  <c r="D41" i="16"/>
  <c r="D45" i="16"/>
  <c r="D34" i="16"/>
  <c r="D22" i="16"/>
  <c r="D6" i="16"/>
  <c r="D40" i="16"/>
  <c r="D26" i="16"/>
  <c r="D44" i="16"/>
  <c r="D32" i="16"/>
  <c r="D11" i="16"/>
  <c r="D33" i="16"/>
  <c r="D27" i="16"/>
  <c r="D7" i="16"/>
  <c r="D14" i="16"/>
  <c r="D51" i="16"/>
  <c r="D47" i="16"/>
  <c r="D21" i="16"/>
  <c r="D19" i="16"/>
  <c r="D37" i="16"/>
  <c r="D49" i="16"/>
  <c r="D53" i="16"/>
  <c r="D25" i="16"/>
  <c r="D20" i="16"/>
  <c r="D10" i="16"/>
  <c r="D9" i="16"/>
  <c r="D5" i="16"/>
  <c r="D15" i="16"/>
  <c r="D24" i="16"/>
  <c r="D28" i="16"/>
  <c r="D8" i="16"/>
  <c r="D29" i="16"/>
  <c r="D46" i="16"/>
  <c r="D52" i="16"/>
  <c r="D38" i="16"/>
  <c r="D48" i="16"/>
  <c r="D3" i="16"/>
  <c r="D35" i="16"/>
  <c r="D4" i="16"/>
  <c r="D23" i="16"/>
  <c r="D16" i="16"/>
  <c r="D30" i="16"/>
  <c r="D18" i="16"/>
  <c r="D17" i="16"/>
  <c r="D50" i="16"/>
  <c r="Y354" i="15"/>
  <c r="W354" i="15"/>
  <c r="X354" i="15"/>
  <c r="Z354" i="15"/>
  <c r="AA354" i="15"/>
  <c r="AA355" i="15"/>
  <c r="Z355" i="15"/>
  <c r="Y355" i="15"/>
  <c r="X355" i="15"/>
  <c r="W355" i="15"/>
  <c r="AA353" i="15"/>
  <c r="Z353" i="15"/>
  <c r="Y353" i="15"/>
  <c r="X353" i="15"/>
  <c r="W353" i="15"/>
  <c r="AA352" i="15"/>
  <c r="Z352" i="15"/>
  <c r="Y352" i="15"/>
  <c r="X352" i="15"/>
  <c r="W352" i="15"/>
  <c r="Y351" i="15"/>
  <c r="W351" i="15"/>
  <c r="X351" i="15"/>
  <c r="Z351" i="15"/>
  <c r="AA351" i="15"/>
  <c r="AA350" i="15"/>
  <c r="Z350" i="15"/>
  <c r="Y350" i="15"/>
  <c r="X350" i="15"/>
  <c r="W350" i="15"/>
  <c r="Y349" i="15"/>
  <c r="Y348" i="15"/>
  <c r="Y347" i="15"/>
  <c r="Y346" i="15"/>
  <c r="Y345" i="15"/>
  <c r="Y344" i="15"/>
  <c r="Y343" i="15"/>
  <c r="Y341" i="15"/>
  <c r="Y342" i="15"/>
  <c r="Y340" i="15"/>
  <c r="Y339" i="15"/>
  <c r="Y338" i="15"/>
  <c r="Y337" i="15"/>
  <c r="Y336" i="15"/>
  <c r="Y329" i="15"/>
  <c r="W329" i="15"/>
  <c r="X329" i="15"/>
  <c r="Z329" i="15"/>
  <c r="AA329" i="15"/>
  <c r="W336" i="15"/>
  <c r="X336" i="15"/>
  <c r="Z336" i="15"/>
  <c r="AA336" i="15"/>
  <c r="W337" i="15"/>
  <c r="X337" i="15"/>
  <c r="Z337" i="15"/>
  <c r="AA337" i="15"/>
  <c r="W338" i="15"/>
  <c r="X338" i="15"/>
  <c r="Z338" i="15"/>
  <c r="AA338" i="15"/>
  <c r="W339" i="15"/>
  <c r="X339" i="15"/>
  <c r="Z339" i="15"/>
  <c r="AA339" i="15"/>
  <c r="W340" i="15"/>
  <c r="X340" i="15"/>
  <c r="Z340" i="15"/>
  <c r="AA340" i="15"/>
  <c r="W342" i="15"/>
  <c r="X342" i="15"/>
  <c r="Z342" i="15"/>
  <c r="AA342" i="15"/>
  <c r="W341" i="15"/>
  <c r="X341" i="15"/>
  <c r="Z341" i="15"/>
  <c r="AA341" i="15"/>
  <c r="W343" i="15"/>
  <c r="X343" i="15"/>
  <c r="Z343" i="15"/>
  <c r="AA343" i="15"/>
  <c r="W344" i="15"/>
  <c r="X344" i="15"/>
  <c r="Z344" i="15"/>
  <c r="AA344" i="15"/>
  <c r="W345" i="15"/>
  <c r="X345" i="15"/>
  <c r="Z345" i="15"/>
  <c r="AA345" i="15"/>
  <c r="W346" i="15"/>
  <c r="X346" i="15"/>
  <c r="Z346" i="15"/>
  <c r="AA346" i="15"/>
  <c r="W347" i="15"/>
  <c r="X347" i="15"/>
  <c r="Z347" i="15"/>
  <c r="AA347" i="15"/>
  <c r="W348" i="15"/>
  <c r="X348" i="15"/>
  <c r="Z348" i="15"/>
  <c r="AA348" i="15"/>
  <c r="W349" i="15"/>
  <c r="X349" i="15"/>
  <c r="Z349" i="15"/>
  <c r="AA349" i="15"/>
  <c r="B1" i="26"/>
  <c r="T647" i="4"/>
  <c r="T646" i="4"/>
  <c r="T645" i="4"/>
  <c r="T644" i="4"/>
  <c r="T643" i="4"/>
  <c r="T642" i="4"/>
  <c r="T641" i="4"/>
  <c r="T640" i="4"/>
  <c r="T639" i="4"/>
  <c r="T638" i="4"/>
  <c r="T637" i="4"/>
  <c r="T636" i="4"/>
  <c r="T635" i="4"/>
  <c r="T634" i="4"/>
  <c r="T633" i="4"/>
  <c r="T632" i="4"/>
  <c r="T631" i="4"/>
  <c r="T630" i="4"/>
  <c r="T629" i="4"/>
  <c r="T628" i="4"/>
  <c r="T627" i="4"/>
  <c r="T626" i="4"/>
  <c r="T625" i="4"/>
  <c r="T624" i="4"/>
  <c r="T623" i="4"/>
  <c r="T622" i="4"/>
  <c r="T621" i="4"/>
  <c r="T620" i="4"/>
  <c r="T619" i="4"/>
  <c r="T618" i="4"/>
  <c r="T617" i="4"/>
  <c r="T616" i="4"/>
  <c r="T615" i="4"/>
  <c r="T614" i="4"/>
  <c r="T613" i="4"/>
  <c r="T612" i="4"/>
  <c r="T611" i="4"/>
  <c r="T610" i="4"/>
  <c r="T609" i="4"/>
  <c r="T608" i="4"/>
  <c r="T607" i="4"/>
  <c r="T606" i="4"/>
  <c r="T605" i="4"/>
  <c r="T604" i="4"/>
  <c r="T603" i="4"/>
  <c r="T602" i="4"/>
  <c r="T601" i="4"/>
  <c r="T600" i="4"/>
  <c r="T599" i="4"/>
  <c r="T598" i="4"/>
  <c r="T597" i="4"/>
  <c r="T596" i="4"/>
  <c r="T595" i="4"/>
  <c r="T594" i="4"/>
  <c r="T593" i="4"/>
  <c r="T592" i="4"/>
  <c r="T591" i="4"/>
  <c r="T590" i="4"/>
  <c r="T589" i="4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9" i="4"/>
  <c r="T8" i="4"/>
  <c r="T7" i="4"/>
  <c r="T6" i="4"/>
  <c r="T5" i="4"/>
  <c r="T4" i="4"/>
  <c r="T3" i="4"/>
  <c r="T2" i="4"/>
  <c r="Q385" i="5"/>
  <c r="Q384" i="5"/>
  <c r="Q383" i="5"/>
  <c r="Q382" i="5"/>
  <c r="Q381" i="5"/>
  <c r="Q379" i="5"/>
  <c r="Q378" i="5"/>
  <c r="Q377" i="5"/>
  <c r="Q376" i="5"/>
  <c r="Q375" i="5"/>
  <c r="Q373" i="5"/>
  <c r="Q372" i="5"/>
  <c r="Q371" i="5"/>
  <c r="Q370" i="5"/>
  <c r="Q369" i="5"/>
  <c r="Q368" i="5"/>
  <c r="Q367" i="5"/>
  <c r="Q365" i="5"/>
  <c r="Q364" i="5"/>
  <c r="Q363" i="5"/>
  <c r="Q362" i="5"/>
  <c r="Q361" i="5"/>
  <c r="Q360" i="5"/>
  <c r="Q359" i="5"/>
  <c r="Q358" i="5"/>
  <c r="Q357" i="5"/>
  <c r="Q356" i="5"/>
  <c r="Q355" i="5"/>
  <c r="Q354" i="5"/>
  <c r="Q353" i="5"/>
  <c r="Q351" i="5"/>
  <c r="Q350" i="5"/>
  <c r="Q349" i="5"/>
  <c r="Q348" i="5"/>
  <c r="Q346" i="5"/>
  <c r="Q345" i="5"/>
  <c r="Q344" i="5"/>
  <c r="Q343" i="5"/>
  <c r="Q341" i="5"/>
  <c r="Q340" i="5"/>
  <c r="Q339" i="5"/>
  <c r="Q338" i="5"/>
  <c r="Q337" i="5"/>
  <c r="Q336" i="5"/>
  <c r="Q335" i="5"/>
  <c r="Q333" i="5"/>
  <c r="Q332" i="5"/>
  <c r="Q331" i="5"/>
  <c r="Q330" i="5"/>
  <c r="Q329" i="5"/>
  <c r="Q328" i="5"/>
  <c r="Q327" i="5"/>
  <c r="Q326" i="5"/>
  <c r="Q325" i="5"/>
  <c r="Q323" i="5"/>
  <c r="Q322" i="5"/>
  <c r="Q321" i="5"/>
  <c r="Q320" i="5"/>
  <c r="Q318" i="5"/>
  <c r="Q317" i="5"/>
  <c r="Q316" i="5"/>
  <c r="Q315" i="5"/>
  <c r="Q314" i="5"/>
  <c r="Q312" i="5"/>
  <c r="Q311" i="5"/>
  <c r="Q310" i="5"/>
  <c r="Q309" i="5"/>
  <c r="Q307" i="5"/>
  <c r="Q306" i="5"/>
  <c r="Q305" i="5"/>
  <c r="Q304" i="5"/>
  <c r="Q302" i="5"/>
  <c r="Q301" i="5"/>
  <c r="Q300" i="5"/>
  <c r="Q299" i="5"/>
  <c r="Q297" i="5"/>
  <c r="Q296" i="5"/>
  <c r="Q295" i="5"/>
  <c r="Q294" i="5"/>
  <c r="Q292" i="5"/>
  <c r="Q291" i="5"/>
  <c r="Q290" i="5"/>
  <c r="Q289" i="5"/>
  <c r="Q288" i="5"/>
  <c r="Q287" i="5"/>
  <c r="Q286" i="5"/>
  <c r="Q285" i="5"/>
  <c r="Q284" i="5"/>
  <c r="Q283" i="5"/>
  <c r="Q281" i="5"/>
  <c r="Q280" i="5"/>
  <c r="Q279" i="5"/>
  <c r="Q278" i="5"/>
  <c r="Q277" i="5"/>
  <c r="Q276" i="5"/>
  <c r="Q274" i="5"/>
  <c r="Q273" i="5"/>
  <c r="Q272" i="5"/>
  <c r="Q269" i="5"/>
  <c r="Q268" i="5"/>
  <c r="Q266" i="5"/>
  <c r="Q265" i="5"/>
  <c r="Q264" i="5"/>
  <c r="Q263" i="5"/>
  <c r="Q261" i="5"/>
  <c r="Q260" i="5"/>
  <c r="Q259" i="5"/>
  <c r="Q258" i="5"/>
  <c r="Q256" i="5"/>
  <c r="Q255" i="5"/>
  <c r="Q254" i="5"/>
  <c r="Q253" i="5"/>
  <c r="Q251" i="5"/>
  <c r="Q250" i="5"/>
  <c r="Q249" i="5"/>
  <c r="Q248" i="5"/>
  <c r="Q246" i="5"/>
  <c r="Q245" i="5"/>
  <c r="Q244" i="5"/>
  <c r="Q243" i="5"/>
  <c r="Q241" i="5"/>
  <c r="Q240" i="5"/>
  <c r="Q239" i="5"/>
  <c r="Q238" i="5"/>
  <c r="Q236" i="5"/>
  <c r="Q235" i="5"/>
  <c r="Q234" i="5"/>
  <c r="Q233" i="5"/>
  <c r="Q231" i="5"/>
  <c r="Q230" i="5"/>
  <c r="Q229" i="5"/>
  <c r="Q228" i="5"/>
  <c r="Q226" i="5"/>
  <c r="Q225" i="5"/>
  <c r="Q224" i="5"/>
  <c r="Q223" i="5"/>
  <c r="Q222" i="5"/>
  <c r="Q221" i="5"/>
  <c r="Q220" i="5"/>
  <c r="Q218" i="5"/>
  <c r="Q217" i="5"/>
  <c r="Q215" i="5"/>
  <c r="Q214" i="5"/>
  <c r="Q213" i="5"/>
  <c r="Q212" i="5"/>
  <c r="Q211" i="5"/>
  <c r="Q205" i="5"/>
  <c r="Q203" i="5"/>
  <c r="Q200" i="5"/>
  <c r="Q199" i="5"/>
  <c r="Q198" i="5"/>
  <c r="Q197" i="5"/>
  <c r="Q193" i="5"/>
  <c r="Q192" i="5"/>
  <c r="Q190" i="5"/>
  <c r="Q188" i="5"/>
  <c r="Q187" i="5"/>
  <c r="Q185" i="5"/>
  <c r="Q184" i="5"/>
  <c r="Q179" i="5"/>
  <c r="Q178" i="5"/>
  <c r="Q177" i="5"/>
  <c r="Q175" i="5"/>
  <c r="Q173" i="5"/>
  <c r="Q172" i="5"/>
  <c r="Q171" i="5"/>
  <c r="Q170" i="5"/>
  <c r="Q169" i="5"/>
  <c r="Q167" i="5"/>
  <c r="Q166" i="5"/>
  <c r="Q165" i="5"/>
  <c r="Q163" i="5"/>
  <c r="Q162" i="5"/>
  <c r="Q161" i="5"/>
  <c r="Q160" i="5"/>
  <c r="Q158" i="5"/>
  <c r="Q157" i="5"/>
  <c r="Q153" i="5"/>
  <c r="Q152" i="5"/>
  <c r="Q149" i="5"/>
  <c r="Q148" i="5"/>
  <c r="Q146" i="5"/>
  <c r="Q145" i="5"/>
  <c r="Q144" i="5"/>
  <c r="Q143" i="5"/>
  <c r="Q142" i="5"/>
  <c r="Q141" i="5"/>
  <c r="Q140" i="5"/>
  <c r="Q139" i="5"/>
  <c r="Q137" i="5"/>
  <c r="Q136" i="5"/>
  <c r="Q135" i="5"/>
  <c r="Q133" i="5"/>
  <c r="Q132" i="5"/>
  <c r="Q131" i="5"/>
  <c r="Q130" i="5"/>
  <c r="Q129" i="5"/>
  <c r="Q128" i="5"/>
  <c r="Q127" i="5"/>
  <c r="Q126" i="5"/>
  <c r="Q125" i="5"/>
  <c r="Q123" i="5"/>
  <c r="Q122" i="5"/>
  <c r="Q121" i="5"/>
  <c r="Q120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0" i="5"/>
  <c r="Q99" i="5"/>
  <c r="Q98" i="5"/>
  <c r="Q96" i="5"/>
  <c r="Q95" i="5"/>
  <c r="Q92" i="5"/>
  <c r="Q91" i="5"/>
  <c r="Q89" i="5"/>
  <c r="Q87" i="5"/>
  <c r="Q86" i="5"/>
  <c r="Q84" i="5"/>
  <c r="Q81" i="5"/>
  <c r="Q78" i="5"/>
  <c r="Q76" i="5"/>
  <c r="Q74" i="5"/>
  <c r="Q73" i="5"/>
  <c r="Q70" i="5"/>
  <c r="Q69" i="5"/>
  <c r="Q68" i="5"/>
  <c r="Q67" i="5"/>
  <c r="Q65" i="5"/>
  <c r="Q62" i="5"/>
  <c r="Q61" i="5"/>
  <c r="Q60" i="5"/>
  <c r="Q58" i="5"/>
  <c r="Q57" i="5"/>
  <c r="Q56" i="5"/>
  <c r="Q55" i="5"/>
  <c r="Q54" i="5"/>
  <c r="Q53" i="5"/>
  <c r="Q52" i="5"/>
  <c r="Q51" i="5"/>
  <c r="Q50" i="5"/>
  <c r="Q49" i="5"/>
  <c r="Q48" i="5"/>
  <c r="Q45" i="5"/>
  <c r="Q44" i="5"/>
  <c r="Q43" i="5"/>
  <c r="Q41" i="5"/>
  <c r="Q40" i="5"/>
  <c r="Q39" i="5"/>
  <c r="Q36" i="5"/>
  <c r="Q35" i="5"/>
  <c r="Q34" i="5"/>
  <c r="Q33" i="5"/>
  <c r="Q32" i="5"/>
  <c r="Q31" i="5"/>
  <c r="Q29" i="5"/>
  <c r="Q28" i="5"/>
  <c r="Q27" i="5"/>
  <c r="Q26" i="5"/>
  <c r="Q25" i="5"/>
  <c r="Q24" i="5"/>
  <c r="Q16" i="5"/>
  <c r="Q15" i="5"/>
  <c r="Q14" i="5"/>
  <c r="Q13" i="5"/>
  <c r="Q11" i="5"/>
  <c r="Q9" i="5"/>
  <c r="Q8" i="5"/>
  <c r="Q7" i="5"/>
  <c r="K342" i="21"/>
  <c r="K341" i="21"/>
  <c r="K327" i="21"/>
  <c r="K328" i="21"/>
  <c r="J338" i="21"/>
  <c r="K338" i="21" s="1"/>
  <c r="K326" i="21"/>
  <c r="J325" i="21"/>
  <c r="K325" i="21" s="1"/>
  <c r="J324" i="21"/>
  <c r="K324" i="21" s="1"/>
  <c r="K322" i="21"/>
  <c r="K321" i="21"/>
  <c r="K320" i="21"/>
  <c r="K306" i="21"/>
  <c r="K307" i="21"/>
  <c r="K42" i="21"/>
  <c r="W335" i="15"/>
  <c r="X335" i="15"/>
  <c r="Y335" i="15"/>
  <c r="Z335" i="15"/>
  <c r="AA335" i="15"/>
  <c r="W334" i="15"/>
  <c r="X334" i="15"/>
  <c r="Y334" i="15"/>
  <c r="Z334" i="15"/>
  <c r="AA334" i="15"/>
  <c r="W331" i="15"/>
  <c r="X331" i="15"/>
  <c r="Y331" i="15"/>
  <c r="Z331" i="15"/>
  <c r="AA331" i="15"/>
  <c r="W330" i="15"/>
  <c r="X330" i="15"/>
  <c r="Y330" i="15"/>
  <c r="Z330" i="15"/>
  <c r="AA330" i="15"/>
  <c r="W333" i="15"/>
  <c r="X333" i="15"/>
  <c r="Y333" i="15"/>
  <c r="Z333" i="15"/>
  <c r="AA333" i="15"/>
  <c r="J112" i="4"/>
  <c r="H338" i="7"/>
  <c r="H9" i="7"/>
  <c r="R10" i="4"/>
  <c r="Q10" i="4"/>
  <c r="P10" i="4"/>
  <c r="O10" i="4"/>
  <c r="N10" i="4"/>
  <c r="M10" i="4"/>
  <c r="L10" i="4"/>
  <c r="K10" i="4"/>
  <c r="J10" i="4"/>
  <c r="I10" i="4"/>
  <c r="H9" i="4"/>
  <c r="H3" i="4"/>
  <c r="H2" i="4"/>
  <c r="U11" i="4"/>
  <c r="U9" i="4"/>
  <c r="U7" i="4"/>
  <c r="U5" i="4"/>
  <c r="U3" i="4"/>
  <c r="U2" i="4"/>
  <c r="E366" i="5"/>
  <c r="G272" i="4"/>
  <c r="G271" i="4"/>
  <c r="O174" i="5"/>
  <c r="N174" i="5"/>
  <c r="M174" i="5"/>
  <c r="L174" i="5"/>
  <c r="K174" i="5"/>
  <c r="J174" i="5"/>
  <c r="I174" i="5"/>
  <c r="G174" i="5"/>
  <c r="F174" i="5"/>
  <c r="E174" i="5"/>
  <c r="R83" i="4"/>
  <c r="Q83" i="4"/>
  <c r="P83" i="4"/>
  <c r="O83" i="4"/>
  <c r="N83" i="4"/>
  <c r="T83" i="4" s="1"/>
  <c r="M83" i="4"/>
  <c r="L83" i="4"/>
  <c r="K83" i="4"/>
  <c r="J83" i="4"/>
  <c r="I83" i="4"/>
  <c r="H83" i="4"/>
  <c r="Q64" i="4"/>
  <c r="P64" i="4"/>
  <c r="O64" i="4"/>
  <c r="N64" i="4"/>
  <c r="M64" i="4"/>
  <c r="L64" i="4"/>
  <c r="K64" i="4"/>
  <c r="J64" i="4"/>
  <c r="I64" i="4"/>
  <c r="H64" i="4"/>
  <c r="J369" i="21"/>
  <c r="K369" i="21" s="1"/>
  <c r="K362" i="21"/>
  <c r="K323" i="21"/>
  <c r="J343" i="21"/>
  <c r="K343" i="21" s="1"/>
  <c r="J374" i="21"/>
  <c r="K374" i="21" s="1"/>
  <c r="J373" i="21"/>
  <c r="K373" i="21" s="1"/>
  <c r="K370" i="21"/>
  <c r="J368" i="21"/>
  <c r="K368" i="21" s="1"/>
  <c r="J304" i="21"/>
  <c r="K304" i="21" s="1"/>
  <c r="J296" i="21"/>
  <c r="K296" i="21" s="1"/>
  <c r="J295" i="21"/>
  <c r="K295" i="21" s="1"/>
  <c r="J293" i="21"/>
  <c r="K293" i="21" s="1"/>
  <c r="J290" i="21"/>
  <c r="K290" i="21" s="1"/>
  <c r="J283" i="21"/>
  <c r="K283" i="21" s="1"/>
  <c r="J226" i="21"/>
  <c r="K226" i="21" s="1"/>
  <c r="J225" i="21"/>
  <c r="K225" i="21" s="1"/>
  <c r="J208" i="21"/>
  <c r="K208" i="21" s="1"/>
  <c r="K334" i="21"/>
  <c r="K333" i="21"/>
  <c r="K332" i="21"/>
  <c r="K319" i="21"/>
  <c r="K316" i="21"/>
  <c r="K315" i="21"/>
  <c r="K312" i="21"/>
  <c r="AA317" i="15"/>
  <c r="Z317" i="15"/>
  <c r="Y317" i="15"/>
  <c r="X317" i="15"/>
  <c r="W317" i="15"/>
  <c r="AA316" i="15"/>
  <c r="Z316" i="15"/>
  <c r="Y316" i="15"/>
  <c r="X316" i="15"/>
  <c r="W316" i="15"/>
  <c r="AA315" i="15"/>
  <c r="Z315" i="15"/>
  <c r="Y315" i="15"/>
  <c r="X315" i="15"/>
  <c r="W315" i="15"/>
  <c r="AA327" i="15"/>
  <c r="Z327" i="15"/>
  <c r="Y327" i="15"/>
  <c r="X327" i="15"/>
  <c r="W327" i="15"/>
  <c r="AA328" i="15"/>
  <c r="Z328" i="15"/>
  <c r="Y328" i="15"/>
  <c r="X328" i="15"/>
  <c r="W328" i="15"/>
  <c r="AA332" i="15"/>
  <c r="Z332" i="15"/>
  <c r="Y332" i="15"/>
  <c r="X332" i="15"/>
  <c r="W332" i="15"/>
  <c r="AA318" i="15"/>
  <c r="Z318" i="15"/>
  <c r="Y318" i="15"/>
  <c r="X318" i="15"/>
  <c r="W318" i="15"/>
  <c r="AA314" i="15"/>
  <c r="Z314" i="15"/>
  <c r="Y314" i="15"/>
  <c r="X314" i="15"/>
  <c r="W314" i="15"/>
  <c r="AA313" i="15"/>
  <c r="Z313" i="15"/>
  <c r="Y313" i="15"/>
  <c r="X313" i="15"/>
  <c r="W313" i="15"/>
  <c r="AA312" i="15"/>
  <c r="Z312" i="15"/>
  <c r="Y312" i="15"/>
  <c r="X312" i="15"/>
  <c r="W312" i="15"/>
  <c r="AA311" i="15"/>
  <c r="Z311" i="15"/>
  <c r="Y311" i="15"/>
  <c r="X311" i="15"/>
  <c r="W311" i="15"/>
  <c r="AA310" i="15"/>
  <c r="Z310" i="15"/>
  <c r="Y310" i="15"/>
  <c r="X310" i="15"/>
  <c r="W310" i="15"/>
  <c r="AA309" i="15"/>
  <c r="Z309" i="15"/>
  <c r="Y309" i="15"/>
  <c r="X309" i="15"/>
  <c r="W309" i="15"/>
  <c r="AA308" i="15"/>
  <c r="Z308" i="15"/>
  <c r="Y308" i="15"/>
  <c r="X308" i="15"/>
  <c r="W308" i="15"/>
  <c r="AA304" i="15"/>
  <c r="Z304" i="15"/>
  <c r="Y304" i="15"/>
  <c r="X304" i="15"/>
  <c r="W304" i="15"/>
  <c r="AA301" i="15"/>
  <c r="Z301" i="15"/>
  <c r="Y301" i="15"/>
  <c r="X301" i="15"/>
  <c r="W301" i="15"/>
  <c r="AA307" i="15"/>
  <c r="Z307" i="15"/>
  <c r="Y307" i="15"/>
  <c r="X307" i="15"/>
  <c r="W307" i="15"/>
  <c r="AA325" i="15"/>
  <c r="Z325" i="15"/>
  <c r="Y325" i="15"/>
  <c r="X325" i="15"/>
  <c r="W325" i="15"/>
  <c r="AA324" i="15"/>
  <c r="Z324" i="15"/>
  <c r="Y324" i="15"/>
  <c r="X324" i="15"/>
  <c r="W324" i="15"/>
  <c r="AA323" i="15"/>
  <c r="Z323" i="15"/>
  <c r="Y323" i="15"/>
  <c r="X323" i="15"/>
  <c r="W323" i="15"/>
  <c r="AA306" i="15"/>
  <c r="Z306" i="15"/>
  <c r="Y306" i="15"/>
  <c r="X306" i="15"/>
  <c r="W306" i="15"/>
  <c r="R256" i="4"/>
  <c r="Q256" i="4"/>
  <c r="P256" i="4"/>
  <c r="O256" i="4"/>
  <c r="N256" i="4"/>
  <c r="M256" i="4"/>
  <c r="L256" i="4"/>
  <c r="K256" i="4"/>
  <c r="J256" i="4"/>
  <c r="I256" i="4"/>
  <c r="H256" i="4"/>
  <c r="H318" i="7"/>
  <c r="H320" i="7"/>
  <c r="I313" i="21"/>
  <c r="K313" i="21" s="1"/>
  <c r="AA305" i="15"/>
  <c r="Z305" i="15"/>
  <c r="Y305" i="15"/>
  <c r="X305" i="15"/>
  <c r="W305" i="15"/>
  <c r="AA322" i="15"/>
  <c r="Z322" i="15"/>
  <c r="Y322" i="15"/>
  <c r="X322" i="15"/>
  <c r="W322" i="15"/>
  <c r="L3" i="26"/>
  <c r="Y299" i="15"/>
  <c r="W299" i="15"/>
  <c r="X299" i="15"/>
  <c r="Z299" i="15"/>
  <c r="AA299" i="15"/>
  <c r="K3" i="26"/>
  <c r="J3" i="26"/>
  <c r="I3" i="26"/>
  <c r="H3" i="26"/>
  <c r="J359" i="21"/>
  <c r="K359" i="21" s="1"/>
  <c r="J358" i="21"/>
  <c r="K358" i="21" s="1"/>
  <c r="K318" i="21"/>
  <c r="K314" i="21"/>
  <c r="J309" i="21"/>
  <c r="K309" i="21" s="1"/>
  <c r="J308" i="21"/>
  <c r="K308" i="21" s="1"/>
  <c r="J305" i="21"/>
  <c r="K305" i="21" s="1"/>
  <c r="K292" i="21"/>
  <c r="K291" i="21"/>
  <c r="J286" i="21"/>
  <c r="K286" i="21" s="1"/>
  <c r="J284" i="21"/>
  <c r="K284" i="21" s="1"/>
  <c r="J278" i="21"/>
  <c r="K278" i="21" s="1"/>
  <c r="J273" i="21"/>
  <c r="K273" i="21" s="1"/>
  <c r="K263" i="21"/>
  <c r="H298" i="7"/>
  <c r="H266" i="7"/>
  <c r="H235" i="7"/>
  <c r="AA303" i="15"/>
  <c r="Z303" i="15"/>
  <c r="Y303" i="15"/>
  <c r="X303" i="15"/>
  <c r="W303" i="15"/>
  <c r="AA302" i="15"/>
  <c r="Z302" i="15"/>
  <c r="Y302" i="15"/>
  <c r="X302" i="15"/>
  <c r="W302" i="15"/>
  <c r="AA300" i="15"/>
  <c r="Z300" i="15"/>
  <c r="Y300" i="15"/>
  <c r="X300" i="15"/>
  <c r="W300" i="15"/>
  <c r="AA298" i="15"/>
  <c r="Z298" i="15"/>
  <c r="Y298" i="15"/>
  <c r="X298" i="15"/>
  <c r="W298" i="15"/>
  <c r="AA297" i="15"/>
  <c r="Z297" i="15"/>
  <c r="Y297" i="15"/>
  <c r="X297" i="15"/>
  <c r="W297" i="15"/>
  <c r="AA296" i="15"/>
  <c r="Z296" i="15"/>
  <c r="Y296" i="15"/>
  <c r="X296" i="15"/>
  <c r="W296" i="15"/>
  <c r="AA326" i="15"/>
  <c r="Z326" i="15"/>
  <c r="Y326" i="15"/>
  <c r="X326" i="15"/>
  <c r="W326" i="15"/>
  <c r="AA295" i="15"/>
  <c r="Z295" i="15"/>
  <c r="Y295" i="15"/>
  <c r="X295" i="15"/>
  <c r="W295" i="15"/>
  <c r="AA294" i="15"/>
  <c r="Z294" i="15"/>
  <c r="Y294" i="15"/>
  <c r="X294" i="15"/>
  <c r="W294" i="15"/>
  <c r="AA293" i="15"/>
  <c r="Z293" i="15"/>
  <c r="Y293" i="15"/>
  <c r="X293" i="15"/>
  <c r="W293" i="15"/>
  <c r="AA321" i="15"/>
  <c r="Z321" i="15"/>
  <c r="Y321" i="15"/>
  <c r="X321" i="15"/>
  <c r="W321" i="15"/>
  <c r="AA292" i="15"/>
  <c r="Z292" i="15"/>
  <c r="Y292" i="15"/>
  <c r="X292" i="15"/>
  <c r="W292" i="15"/>
  <c r="AA291" i="15"/>
  <c r="Z291" i="15"/>
  <c r="Y291" i="15"/>
  <c r="X291" i="15"/>
  <c r="W291" i="15"/>
  <c r="AA290" i="15"/>
  <c r="Z290" i="15"/>
  <c r="Y290" i="15"/>
  <c r="X290" i="15"/>
  <c r="W290" i="15"/>
  <c r="AA289" i="15"/>
  <c r="Z289" i="15"/>
  <c r="Y289" i="15"/>
  <c r="X289" i="15"/>
  <c r="W289" i="15"/>
  <c r="AA288" i="15"/>
  <c r="Z288" i="15"/>
  <c r="Y288" i="15"/>
  <c r="X288" i="15"/>
  <c r="W288" i="15"/>
  <c r="AA286" i="15"/>
  <c r="Z286" i="15"/>
  <c r="Y286" i="15"/>
  <c r="X286" i="15"/>
  <c r="W286" i="15"/>
  <c r="AA320" i="15"/>
  <c r="Z320" i="15"/>
  <c r="Y320" i="15"/>
  <c r="X320" i="15"/>
  <c r="W320" i="15"/>
  <c r="AA287" i="15"/>
  <c r="Z287" i="15"/>
  <c r="Y287" i="15"/>
  <c r="X287" i="15"/>
  <c r="W287" i="15"/>
  <c r="AA279" i="15"/>
  <c r="Z279" i="15"/>
  <c r="Y279" i="15"/>
  <c r="X279" i="15"/>
  <c r="W279" i="15"/>
  <c r="AA285" i="15"/>
  <c r="Z285" i="15"/>
  <c r="Y285" i="15"/>
  <c r="X285" i="15"/>
  <c r="W285" i="15"/>
  <c r="AA284" i="15"/>
  <c r="Z284" i="15"/>
  <c r="Y284" i="15"/>
  <c r="X284" i="15"/>
  <c r="W284" i="15"/>
  <c r="AA283" i="15"/>
  <c r="Z283" i="15"/>
  <c r="Y283" i="15"/>
  <c r="X283" i="15"/>
  <c r="W283" i="15"/>
  <c r="AA319" i="15"/>
  <c r="Z319" i="15"/>
  <c r="Y319" i="15"/>
  <c r="X319" i="15"/>
  <c r="W319" i="15"/>
  <c r="AA282" i="15"/>
  <c r="Z282" i="15"/>
  <c r="Y282" i="15"/>
  <c r="X282" i="15"/>
  <c r="W282" i="15"/>
  <c r="AA281" i="15"/>
  <c r="Z281" i="15"/>
  <c r="Y281" i="15"/>
  <c r="X281" i="15"/>
  <c r="W281" i="15"/>
  <c r="AA280" i="15"/>
  <c r="Z280" i="15"/>
  <c r="Y280" i="15"/>
  <c r="X280" i="15"/>
  <c r="W280" i="15"/>
  <c r="AA278" i="15"/>
  <c r="Z278" i="15"/>
  <c r="Y278" i="15"/>
  <c r="X278" i="15"/>
  <c r="W278" i="15"/>
  <c r="AA277" i="15"/>
  <c r="Z277" i="15"/>
  <c r="Y277" i="15"/>
  <c r="X277" i="15"/>
  <c r="W277" i="15"/>
  <c r="AA276" i="15"/>
  <c r="Z276" i="15"/>
  <c r="Y276" i="15"/>
  <c r="X276" i="15"/>
  <c r="W276" i="15"/>
  <c r="AA275" i="15"/>
  <c r="Z275" i="15"/>
  <c r="Y275" i="15"/>
  <c r="X275" i="15"/>
  <c r="W275" i="15"/>
  <c r="AA274" i="15"/>
  <c r="Z274" i="15"/>
  <c r="Y274" i="15"/>
  <c r="X274" i="15"/>
  <c r="W274" i="15"/>
  <c r="AA273" i="15"/>
  <c r="Z273" i="15"/>
  <c r="Y273" i="15"/>
  <c r="X273" i="15"/>
  <c r="W273" i="15"/>
  <c r="AA272" i="15"/>
  <c r="Z272" i="15"/>
  <c r="Y272" i="15"/>
  <c r="X272" i="15"/>
  <c r="W272" i="15"/>
  <c r="AA271" i="15"/>
  <c r="Z271" i="15"/>
  <c r="Y271" i="15"/>
  <c r="X271" i="15"/>
  <c r="W271" i="15"/>
  <c r="AA270" i="15"/>
  <c r="Z270" i="15"/>
  <c r="Y270" i="15"/>
  <c r="X270" i="15"/>
  <c r="W270" i="15"/>
  <c r="AA269" i="15"/>
  <c r="Z269" i="15"/>
  <c r="Y269" i="15"/>
  <c r="X269" i="15"/>
  <c r="W269" i="15"/>
  <c r="AA268" i="15"/>
  <c r="Z268" i="15"/>
  <c r="Y268" i="15"/>
  <c r="X268" i="15"/>
  <c r="W268" i="15"/>
  <c r="AA267" i="15"/>
  <c r="Z267" i="15"/>
  <c r="Y267" i="15"/>
  <c r="X267" i="15"/>
  <c r="W267" i="15"/>
  <c r="AA266" i="15"/>
  <c r="Z266" i="15"/>
  <c r="Y266" i="15"/>
  <c r="X266" i="15"/>
  <c r="W266" i="15"/>
  <c r="AA265" i="15"/>
  <c r="Z265" i="15"/>
  <c r="Y265" i="15"/>
  <c r="X265" i="15"/>
  <c r="W265" i="15"/>
  <c r="K329" i="21"/>
  <c r="K272" i="21"/>
  <c r="K280" i="21"/>
  <c r="K279" i="21"/>
  <c r="K262" i="21"/>
  <c r="K282" i="21"/>
  <c r="K311" i="21"/>
  <c r="K303" i="21"/>
  <c r="K302" i="21"/>
  <c r="K300" i="21"/>
  <c r="K297" i="21"/>
  <c r="H299" i="7"/>
  <c r="H274" i="7"/>
  <c r="H257" i="7"/>
  <c r="H226" i="7"/>
  <c r="H300" i="7"/>
  <c r="H197" i="7"/>
  <c r="I39" i="14"/>
  <c r="I38" i="14"/>
  <c r="I30" i="14"/>
  <c r="F38" i="14"/>
  <c r="J294" i="21"/>
  <c r="K294" i="21" s="1"/>
  <c r="J357" i="21"/>
  <c r="K357" i="21" s="1"/>
  <c r="J337" i="21"/>
  <c r="K337" i="21" s="1"/>
  <c r="J298" i="21"/>
  <c r="K298" i="21" s="1"/>
  <c r="J317" i="21"/>
  <c r="K317" i="21" s="1"/>
  <c r="J310" i="21"/>
  <c r="K310" i="21" s="1"/>
  <c r="J288" i="21"/>
  <c r="I288" i="21"/>
  <c r="I289" i="21"/>
  <c r="H288" i="7"/>
  <c r="J299" i="21"/>
  <c r="K299" i="21" s="1"/>
  <c r="J366" i="21"/>
  <c r="K366" i="21" s="1"/>
  <c r="J289" i="21"/>
  <c r="J287" i="21"/>
  <c r="K287" i="21" s="1"/>
  <c r="J281" i="21"/>
  <c r="K281" i="21" s="1"/>
  <c r="J227" i="21"/>
  <c r="K227" i="21" s="1"/>
  <c r="K367" i="21"/>
  <c r="K330" i="21"/>
  <c r="K285" i="21"/>
  <c r="K276" i="21"/>
  <c r="G248" i="7"/>
  <c r="AG248" i="7" s="1"/>
  <c r="I266" i="21"/>
  <c r="K266" i="21" s="1"/>
  <c r="K301" i="21"/>
  <c r="K372" i="21"/>
  <c r="K340" i="21"/>
  <c r="J274" i="21"/>
  <c r="K274" i="21" s="1"/>
  <c r="J259" i="21"/>
  <c r="K259" i="21" s="1"/>
  <c r="AA260" i="15"/>
  <c r="Z260" i="15"/>
  <c r="Y260" i="15"/>
  <c r="X260" i="15"/>
  <c r="W260" i="15"/>
  <c r="AA264" i="15"/>
  <c r="Z264" i="15"/>
  <c r="Y264" i="15"/>
  <c r="X264" i="15"/>
  <c r="W264" i="15"/>
  <c r="AA262" i="15"/>
  <c r="Z262" i="15"/>
  <c r="Y262" i="15"/>
  <c r="X262" i="15"/>
  <c r="W262" i="15"/>
  <c r="AA263" i="15"/>
  <c r="Z263" i="15"/>
  <c r="Y263" i="15"/>
  <c r="X263" i="15"/>
  <c r="W263" i="15"/>
  <c r="AA261" i="15"/>
  <c r="Z261" i="15"/>
  <c r="Y261" i="15"/>
  <c r="X261" i="15"/>
  <c r="W261" i="15"/>
  <c r="AA259" i="15"/>
  <c r="Z259" i="15"/>
  <c r="Y259" i="15"/>
  <c r="X259" i="15"/>
  <c r="W259" i="15"/>
  <c r="AA258" i="15"/>
  <c r="Z258" i="15"/>
  <c r="Y258" i="15"/>
  <c r="X258" i="15"/>
  <c r="W258" i="15"/>
  <c r="AA257" i="15"/>
  <c r="Z257" i="15"/>
  <c r="Y257" i="15"/>
  <c r="X257" i="15"/>
  <c r="W257" i="15"/>
  <c r="AA243" i="15"/>
  <c r="Z243" i="15"/>
  <c r="Y243" i="15"/>
  <c r="X243" i="15"/>
  <c r="W243" i="15"/>
  <c r="AA244" i="15"/>
  <c r="Z244" i="15"/>
  <c r="Y244" i="15"/>
  <c r="X244" i="15"/>
  <c r="W244" i="15"/>
  <c r="AA242" i="15"/>
  <c r="Z242" i="15"/>
  <c r="Y242" i="15"/>
  <c r="X242" i="15"/>
  <c r="W242" i="15"/>
  <c r="AA256" i="15"/>
  <c r="Z256" i="15"/>
  <c r="Y256" i="15"/>
  <c r="X256" i="15"/>
  <c r="W256" i="15"/>
  <c r="AA255" i="15"/>
  <c r="Z255" i="15"/>
  <c r="Y255" i="15"/>
  <c r="X255" i="15"/>
  <c r="W255" i="15"/>
  <c r="AA254" i="15"/>
  <c r="Z254" i="15"/>
  <c r="Y254" i="15"/>
  <c r="X254" i="15"/>
  <c r="W254" i="15"/>
  <c r="AA253" i="15"/>
  <c r="Z253" i="15"/>
  <c r="Y253" i="15"/>
  <c r="X253" i="15"/>
  <c r="W253" i="15"/>
  <c r="AA252" i="15"/>
  <c r="Z252" i="15"/>
  <c r="Y252" i="15"/>
  <c r="X252" i="15"/>
  <c r="W252" i="15"/>
  <c r="AA251" i="15"/>
  <c r="Z251" i="15"/>
  <c r="Y251" i="15"/>
  <c r="X251" i="15"/>
  <c r="W251" i="15"/>
  <c r="AA250" i="15"/>
  <c r="Z250" i="15"/>
  <c r="Y250" i="15"/>
  <c r="X250" i="15"/>
  <c r="W250" i="15"/>
  <c r="AA249" i="15"/>
  <c r="Z249" i="15"/>
  <c r="Y249" i="15"/>
  <c r="X249" i="15"/>
  <c r="W249" i="15"/>
  <c r="AA248" i="15"/>
  <c r="Z248" i="15"/>
  <c r="Y248" i="15"/>
  <c r="X248" i="15"/>
  <c r="W248" i="15"/>
  <c r="J211" i="21"/>
  <c r="K211" i="21" s="1"/>
  <c r="K60" i="21"/>
  <c r="K51" i="21"/>
  <c r="K271" i="21"/>
  <c r="H263" i="7"/>
  <c r="J239" i="21"/>
  <c r="K239" i="21" s="1"/>
  <c r="J275" i="21"/>
  <c r="K275" i="21" s="1"/>
  <c r="J251" i="21"/>
  <c r="K251" i="21" s="1"/>
  <c r="J250" i="21"/>
  <c r="K250" i="21" s="1"/>
  <c r="K264" i="21"/>
  <c r="J268" i="21"/>
  <c r="K268" i="21" s="1"/>
  <c r="J265" i="21"/>
  <c r="K265" i="21" s="1"/>
  <c r="J252" i="21"/>
  <c r="K252" i="21" s="1"/>
  <c r="J221" i="21"/>
  <c r="K221" i="21" s="1"/>
  <c r="J184" i="21"/>
  <c r="K184" i="21" s="1"/>
  <c r="K269" i="21"/>
  <c r="C26" i="23"/>
  <c r="C96" i="23"/>
  <c r="BF85" i="5"/>
  <c r="BE85" i="5"/>
  <c r="BD85" i="5"/>
  <c r="BC85" i="5"/>
  <c r="BB85" i="5"/>
  <c r="BA85" i="5"/>
  <c r="AZ85" i="5"/>
  <c r="AY85" i="5"/>
  <c r="AX85" i="5"/>
  <c r="AS85" i="5"/>
  <c r="AQ85" i="5"/>
  <c r="AP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I230" i="21"/>
  <c r="J231" i="21"/>
  <c r="K231" i="21" s="1"/>
  <c r="J230" i="21"/>
  <c r="K339" i="21"/>
  <c r="J261" i="21"/>
  <c r="K261" i="21" s="1"/>
  <c r="J246" i="21"/>
  <c r="J242" i="21"/>
  <c r="K242" i="21" s="1"/>
  <c r="H239" i="7"/>
  <c r="J218" i="21"/>
  <c r="K218" i="21" s="1"/>
  <c r="I108" i="21"/>
  <c r="K108" i="21" s="1"/>
  <c r="K121" i="21"/>
  <c r="K107" i="21"/>
  <c r="I83" i="21"/>
  <c r="K83" i="21" s="1"/>
  <c r="I47" i="21"/>
  <c r="K47" i="21" s="1"/>
  <c r="K61" i="21"/>
  <c r="I86" i="21"/>
  <c r="K86" i="21" s="1"/>
  <c r="I84" i="21"/>
  <c r="K84" i="21" s="1"/>
  <c r="I76" i="21"/>
  <c r="K76" i="21" s="1"/>
  <c r="I62" i="21"/>
  <c r="K62" i="21" s="1"/>
  <c r="I73" i="21"/>
  <c r="K73" i="21" s="1"/>
  <c r="K209" i="21"/>
  <c r="K207" i="21"/>
  <c r="K206" i="21"/>
  <c r="K205" i="21"/>
  <c r="K148" i="21"/>
  <c r="K116" i="21"/>
  <c r="K363" i="21"/>
  <c r="K361" i="21"/>
  <c r="K360" i="21"/>
  <c r="K356" i="21"/>
  <c r="K355" i="21"/>
  <c r="K354" i="21"/>
  <c r="K353" i="21"/>
  <c r="K352" i="21"/>
  <c r="K59" i="21"/>
  <c r="K58" i="21"/>
  <c r="K57" i="21"/>
  <c r="K56" i="21"/>
  <c r="K55" i="21"/>
  <c r="K54" i="21"/>
  <c r="K349" i="21"/>
  <c r="K348" i="21"/>
  <c r="K347" i="21"/>
  <c r="K346" i="21"/>
  <c r="K345" i="21"/>
  <c r="K344" i="21"/>
  <c r="K52" i="21"/>
  <c r="K249" i="21"/>
  <c r="K248" i="21"/>
  <c r="K247" i="21"/>
  <c r="K371" i="21"/>
  <c r="K270" i="21"/>
  <c r="K336" i="21"/>
  <c r="K335" i="21"/>
  <c r="K98" i="21"/>
  <c r="K365" i="21"/>
  <c r="K260" i="21"/>
  <c r="K257" i="21"/>
  <c r="K256" i="21"/>
  <c r="K255" i="21"/>
  <c r="K254" i="21"/>
  <c r="K245" i="21"/>
  <c r="K244" i="21"/>
  <c r="K243" i="21"/>
  <c r="K241" i="21"/>
  <c r="K240" i="21"/>
  <c r="K238" i="21"/>
  <c r="K237" i="21"/>
  <c r="K235" i="21"/>
  <c r="K234" i="21"/>
  <c r="K233" i="21"/>
  <c r="K232" i="21"/>
  <c r="K236" i="21"/>
  <c r="K229" i="21"/>
  <c r="K228" i="21"/>
  <c r="K224" i="21"/>
  <c r="K223" i="21"/>
  <c r="K222" i="21"/>
  <c r="K220" i="21"/>
  <c r="K217" i="21"/>
  <c r="K216" i="21"/>
  <c r="K213" i="21"/>
  <c r="K212" i="21"/>
  <c r="K210" i="21"/>
  <c r="K201" i="21"/>
  <c r="K200" i="21"/>
  <c r="K199" i="21"/>
  <c r="K198" i="21"/>
  <c r="K197" i="21"/>
  <c r="K196" i="21"/>
  <c r="K193" i="21"/>
  <c r="K188" i="21"/>
  <c r="K186" i="21"/>
  <c r="K183" i="21"/>
  <c r="K182" i="21"/>
  <c r="K181" i="21"/>
  <c r="K180" i="21"/>
  <c r="K179" i="21"/>
  <c r="K178" i="21"/>
  <c r="K177" i="21"/>
  <c r="K176" i="21"/>
  <c r="K175" i="21"/>
  <c r="K174" i="21"/>
  <c r="K173" i="21"/>
  <c r="K172" i="21"/>
  <c r="K171" i="21"/>
  <c r="K170" i="21"/>
  <c r="K169" i="21"/>
  <c r="K168" i="21"/>
  <c r="K167" i="21"/>
  <c r="K166" i="21"/>
  <c r="K165" i="21"/>
  <c r="K163" i="21"/>
  <c r="K162" i="21"/>
  <c r="K161" i="21"/>
  <c r="K160" i="21"/>
  <c r="K159" i="21"/>
  <c r="K158" i="21"/>
  <c r="K157" i="21"/>
  <c r="K156" i="21"/>
  <c r="K155" i="21"/>
  <c r="K152" i="21"/>
  <c r="K154" i="21"/>
  <c r="K150" i="21"/>
  <c r="K149" i="21"/>
  <c r="K151" i="21"/>
  <c r="K147" i="21"/>
  <c r="K146" i="21"/>
  <c r="K145" i="21"/>
  <c r="K144" i="21"/>
  <c r="K143" i="21"/>
  <c r="K142" i="21"/>
  <c r="K141" i="21"/>
  <c r="K140" i="21"/>
  <c r="K50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0" i="21"/>
  <c r="K119" i="21"/>
  <c r="K118" i="21"/>
  <c r="K117" i="21"/>
  <c r="K115" i="21"/>
  <c r="K114" i="21"/>
  <c r="K113" i="21"/>
  <c r="K112" i="21"/>
  <c r="K111" i="21"/>
  <c r="K106" i="21"/>
  <c r="K110" i="21"/>
  <c r="K109" i="21"/>
  <c r="K105" i="21"/>
  <c r="K104" i="21"/>
  <c r="K101" i="21"/>
  <c r="K100" i="21"/>
  <c r="K99" i="21"/>
  <c r="K97" i="21"/>
  <c r="K95" i="21"/>
  <c r="K96" i="21"/>
  <c r="K94" i="21"/>
  <c r="K93" i="21"/>
  <c r="K92" i="21"/>
  <c r="K91" i="21"/>
  <c r="K90" i="21"/>
  <c r="K89" i="21"/>
  <c r="K88" i="21"/>
  <c r="K87" i="21"/>
  <c r="K82" i="21"/>
  <c r="K81" i="21"/>
  <c r="K79" i="21"/>
  <c r="K78" i="21"/>
  <c r="K75" i="21"/>
  <c r="K74" i="21"/>
  <c r="K71" i="21"/>
  <c r="K68" i="21"/>
  <c r="K67" i="21"/>
  <c r="K376" i="21"/>
  <c r="K375" i="21"/>
  <c r="K49" i="21"/>
  <c r="K48" i="21"/>
  <c r="K44" i="21"/>
  <c r="K43" i="21"/>
  <c r="K41" i="21"/>
  <c r="I246" i="21"/>
  <c r="I202" i="21"/>
  <c r="K202" i="21" s="1"/>
  <c r="I153" i="21"/>
  <c r="K153" i="21" s="1"/>
  <c r="I139" i="21"/>
  <c r="K139" i="21" s="1"/>
  <c r="I351" i="21"/>
  <c r="K351" i="21" s="1"/>
  <c r="AA247" i="15"/>
  <c r="Z247" i="15"/>
  <c r="Y247" i="15"/>
  <c r="X247" i="15"/>
  <c r="W247" i="15"/>
  <c r="AA246" i="15"/>
  <c r="Z246" i="15"/>
  <c r="Y246" i="15"/>
  <c r="X246" i="15"/>
  <c r="W246" i="15"/>
  <c r="AA245" i="15"/>
  <c r="Z245" i="15"/>
  <c r="Y245" i="15"/>
  <c r="X245" i="15"/>
  <c r="W245" i="15"/>
  <c r="H273" i="7"/>
  <c r="H250" i="7"/>
  <c r="H242" i="7"/>
  <c r="AA241" i="15"/>
  <c r="Z241" i="15"/>
  <c r="Y241" i="15"/>
  <c r="X241" i="15"/>
  <c r="W241" i="15"/>
  <c r="AA238" i="15"/>
  <c r="Z238" i="15"/>
  <c r="Y238" i="15"/>
  <c r="X238" i="15"/>
  <c r="W238" i="15"/>
  <c r="G873" i="7"/>
  <c r="H36" i="22"/>
  <c r="F36" i="22"/>
  <c r="F37" i="22" s="1"/>
  <c r="E36" i="22"/>
  <c r="E37" i="22" s="1"/>
  <c r="D36" i="22"/>
  <c r="D37" i="22" s="1"/>
  <c r="C36" i="22"/>
  <c r="C37" i="22" s="1"/>
  <c r="B36" i="22"/>
  <c r="B37" i="22" s="1"/>
  <c r="B40" i="22" s="1"/>
  <c r="C102" i="25"/>
  <c r="B102" i="25"/>
  <c r="A102" i="25"/>
  <c r="Z211" i="3"/>
  <c r="C115" i="3"/>
  <c r="B115" i="3"/>
  <c r="C113" i="3"/>
  <c r="B113" i="3"/>
  <c r="B111" i="3"/>
  <c r="B108" i="3"/>
  <c r="C107" i="3"/>
  <c r="C106" i="3"/>
  <c r="Q86" i="3"/>
  <c r="P86" i="3"/>
  <c r="AK85" i="3"/>
  <c r="X85" i="3"/>
  <c r="AJ85" i="3" s="1"/>
  <c r="AK84" i="3"/>
  <c r="X84" i="3"/>
  <c r="X83" i="3"/>
  <c r="Y83" i="3" s="1"/>
  <c r="Q83" i="3"/>
  <c r="S83" i="3" s="1"/>
  <c r="O83" i="3"/>
  <c r="N83" i="3"/>
  <c r="X82" i="3"/>
  <c r="Q82" i="3"/>
  <c r="S82" i="3" s="1"/>
  <c r="O82" i="3"/>
  <c r="N82" i="3"/>
  <c r="X81" i="3"/>
  <c r="Q81" i="3"/>
  <c r="S81" i="3" s="1"/>
  <c r="O81" i="3"/>
  <c r="N81" i="3"/>
  <c r="X80" i="3"/>
  <c r="Y80" i="3" s="1"/>
  <c r="X79" i="3"/>
  <c r="Y79" i="3" s="1"/>
  <c r="X78" i="3"/>
  <c r="Y78" i="3" s="1"/>
  <c r="X77" i="3"/>
  <c r="AJ77" i="3" s="1"/>
  <c r="Q77" i="3"/>
  <c r="S77" i="3" s="1"/>
  <c r="O77" i="3"/>
  <c r="N77" i="3"/>
  <c r="X76" i="3"/>
  <c r="AJ76" i="3" s="1"/>
  <c r="X75" i="3"/>
  <c r="BE74" i="3"/>
  <c r="AK74" i="3"/>
  <c r="X74" i="3"/>
  <c r="Y74" i="3" s="1"/>
  <c r="AJ74" i="3" s="1"/>
  <c r="BA74" i="3" s="1"/>
  <c r="BE73" i="3"/>
  <c r="AK73" i="3"/>
  <c r="X73" i="3"/>
  <c r="Y73" i="3" s="1"/>
  <c r="AJ73" i="3" s="1"/>
  <c r="BA73" i="3" s="1"/>
  <c r="BE72" i="3"/>
  <c r="AZ72" i="3"/>
  <c r="AY72" i="3"/>
  <c r="AX72" i="3"/>
  <c r="AW72" i="3"/>
  <c r="AV72" i="3"/>
  <c r="AK72" i="3"/>
  <c r="X72" i="3"/>
  <c r="Y72" i="3" s="1"/>
  <c r="AJ72" i="3" s="1"/>
  <c r="Q72" i="3"/>
  <c r="S72" i="3" s="1"/>
  <c r="O72" i="3"/>
  <c r="BE71" i="3"/>
  <c r="AZ71" i="3"/>
  <c r="AY71" i="3"/>
  <c r="AX71" i="3"/>
  <c r="AW71" i="3"/>
  <c r="AV71" i="3"/>
  <c r="AK71" i="3"/>
  <c r="X71" i="3"/>
  <c r="Q71" i="3"/>
  <c r="S71" i="3" s="1"/>
  <c r="O71" i="3"/>
  <c r="BE70" i="3"/>
  <c r="AZ70" i="3"/>
  <c r="AY70" i="3"/>
  <c r="AX70" i="3"/>
  <c r="AW70" i="3"/>
  <c r="AV70" i="3"/>
  <c r="AK70" i="3"/>
  <c r="X70" i="3"/>
  <c r="Q70" i="3"/>
  <c r="S70" i="3" s="1"/>
  <c r="O70" i="3"/>
  <c r="BE69" i="3"/>
  <c r="AZ69" i="3"/>
  <c r="AY69" i="3"/>
  <c r="AX69" i="3"/>
  <c r="AW69" i="3"/>
  <c r="AV69" i="3"/>
  <c r="AK69" i="3"/>
  <c r="X69" i="3"/>
  <c r="Y69" i="3" s="1"/>
  <c r="AJ69" i="3" s="1"/>
  <c r="BA69" i="3" s="1"/>
  <c r="Q69" i="3"/>
  <c r="S69" i="3" s="1"/>
  <c r="O69" i="3"/>
  <c r="BE68" i="3"/>
  <c r="AK68" i="3"/>
  <c r="X68" i="3"/>
  <c r="Y68" i="3" s="1"/>
  <c r="AJ68" i="3" s="1"/>
  <c r="BA68" i="3" s="1"/>
  <c r="BE67" i="3"/>
  <c r="AZ67" i="3"/>
  <c r="AY67" i="3"/>
  <c r="AX67" i="3"/>
  <c r="AW67" i="3"/>
  <c r="AV67" i="3"/>
  <c r="AK67" i="3"/>
  <c r="X67" i="3"/>
  <c r="Q67" i="3"/>
  <c r="S67" i="3" s="1"/>
  <c r="O67" i="3"/>
  <c r="BE66" i="3"/>
  <c r="X66" i="3"/>
  <c r="Y66" i="3" s="1"/>
  <c r="AJ66" i="3" s="1"/>
  <c r="BA66" i="3" s="1"/>
  <c r="BE65" i="3"/>
  <c r="AK65" i="3"/>
  <c r="BA72" i="3"/>
  <c r="Y67" i="3"/>
  <c r="AJ67" i="3" s="1"/>
  <c r="X65" i="3"/>
  <c r="Y65" i="3" s="1"/>
  <c r="AJ65" i="3" s="1"/>
  <c r="BA65" i="3" s="1"/>
  <c r="Q64" i="3"/>
  <c r="S64" i="3" s="1"/>
  <c r="O64" i="3"/>
  <c r="N64" i="3"/>
  <c r="BE63" i="3"/>
  <c r="AK63" i="3"/>
  <c r="X63" i="3"/>
  <c r="Y63" i="3" s="1"/>
  <c r="AJ63" i="3" s="1"/>
  <c r="BE62" i="3"/>
  <c r="AZ62" i="3"/>
  <c r="AY62" i="3"/>
  <c r="AX62" i="3"/>
  <c r="AW62" i="3"/>
  <c r="AV62" i="3"/>
  <c r="AK62" i="3"/>
  <c r="X62" i="3"/>
  <c r="Y62" i="3" s="1"/>
  <c r="AJ62" i="3" s="1"/>
  <c r="BA62" i="3" s="1"/>
  <c r="U62" i="3"/>
  <c r="Q62" i="3"/>
  <c r="S62" i="3" s="1"/>
  <c r="O62" i="3"/>
  <c r="BE61" i="3"/>
  <c r="AK61" i="3"/>
  <c r="X61" i="3"/>
  <c r="Y61" i="3" s="1"/>
  <c r="AJ61" i="3" s="1"/>
  <c r="BA61" i="3" s="1"/>
  <c r="BE60" i="3"/>
  <c r="AK60" i="3"/>
  <c r="X60" i="3"/>
  <c r="Y60" i="3" s="1"/>
  <c r="AJ60" i="3" s="1"/>
  <c r="BA60" i="3" s="1"/>
  <c r="AK59" i="3"/>
  <c r="X59" i="3"/>
  <c r="AJ59" i="3" s="1"/>
  <c r="H59" i="3"/>
  <c r="H14" i="3" s="1"/>
  <c r="X58" i="3"/>
  <c r="AJ58" i="3" s="1"/>
  <c r="Q58" i="3"/>
  <c r="S58" i="3" s="1"/>
  <c r="O58" i="3"/>
  <c r="N58" i="3"/>
  <c r="X57" i="3"/>
  <c r="Y57" i="3" s="1"/>
  <c r="Q57" i="3"/>
  <c r="O57" i="3"/>
  <c r="N57" i="3"/>
  <c r="X56" i="3"/>
  <c r="Q56" i="3"/>
  <c r="S56" i="3" s="1"/>
  <c r="O56" i="3"/>
  <c r="N56" i="3"/>
  <c r="Y55" i="3"/>
  <c r="Q55" i="3"/>
  <c r="S55" i="3" s="1"/>
  <c r="O55" i="3"/>
  <c r="N55" i="3"/>
  <c r="X54" i="3"/>
  <c r="Y54" i="3" s="1"/>
  <c r="Q54" i="3"/>
  <c r="S54" i="3" s="1"/>
  <c r="O54" i="3"/>
  <c r="N54" i="3"/>
  <c r="X53" i="3"/>
  <c r="Q53" i="3"/>
  <c r="S53" i="3" s="1"/>
  <c r="O53" i="3"/>
  <c r="N53" i="3"/>
  <c r="X52" i="3"/>
  <c r="Y52" i="3" s="1"/>
  <c r="Q52" i="3"/>
  <c r="S52" i="3" s="1"/>
  <c r="O52" i="3"/>
  <c r="N52" i="3"/>
  <c r="X51" i="3"/>
  <c r="Q51" i="3"/>
  <c r="S51" i="3" s="1"/>
  <c r="O51" i="3"/>
  <c r="N51" i="3"/>
  <c r="X50" i="3"/>
  <c r="Q50" i="3"/>
  <c r="S50" i="3" s="1"/>
  <c r="O50" i="3"/>
  <c r="N50" i="3"/>
  <c r="X49" i="3"/>
  <c r="AJ49" i="3" s="1"/>
  <c r="Q49" i="3"/>
  <c r="S49" i="3" s="1"/>
  <c r="O49" i="3"/>
  <c r="N49" i="3"/>
  <c r="X48" i="3"/>
  <c r="X47" i="3"/>
  <c r="AK46" i="3"/>
  <c r="X46" i="3"/>
  <c r="AJ46" i="3" s="1"/>
  <c r="AK45" i="3"/>
  <c r="X45" i="3"/>
  <c r="X44" i="3"/>
  <c r="Y44" i="3" s="1"/>
  <c r="Q44" i="3"/>
  <c r="S44" i="3" s="1"/>
  <c r="O44" i="3"/>
  <c r="N44" i="3"/>
  <c r="X43" i="3"/>
  <c r="Q43" i="3"/>
  <c r="S43" i="3" s="1"/>
  <c r="O43" i="3"/>
  <c r="N43" i="3"/>
  <c r="X42" i="3"/>
  <c r="Q42" i="3"/>
  <c r="S42" i="3" s="1"/>
  <c r="O42" i="3"/>
  <c r="N42" i="3"/>
  <c r="X41" i="3"/>
  <c r="Y41" i="3" s="1"/>
  <c r="Q41" i="3"/>
  <c r="S41" i="3" s="1"/>
  <c r="O41" i="3"/>
  <c r="N41" i="3"/>
  <c r="X40" i="3"/>
  <c r="AJ40" i="3" s="1"/>
  <c r="Q40" i="3"/>
  <c r="S40" i="3" s="1"/>
  <c r="O40" i="3"/>
  <c r="N40" i="3"/>
  <c r="X39" i="3"/>
  <c r="AJ39" i="3" s="1"/>
  <c r="Q39" i="3"/>
  <c r="S39" i="3" s="1"/>
  <c r="O39" i="3"/>
  <c r="N39" i="3"/>
  <c r="X38" i="3"/>
  <c r="Y38" i="3" s="1"/>
  <c r="X37" i="3"/>
  <c r="AI36" i="3"/>
  <c r="Y36" i="3"/>
  <c r="U36" i="3"/>
  <c r="Q36" i="3"/>
  <c r="S36" i="3" s="1"/>
  <c r="O36" i="3"/>
  <c r="N36" i="3"/>
  <c r="Y35" i="3"/>
  <c r="X33" i="3"/>
  <c r="AJ33" i="3" s="1"/>
  <c r="Q33" i="3"/>
  <c r="S33" i="3" s="1"/>
  <c r="O33" i="3"/>
  <c r="N33" i="3"/>
  <c r="Y32" i="3"/>
  <c r="U32" i="3"/>
  <c r="Q32" i="3"/>
  <c r="S32" i="3" s="1"/>
  <c r="O32" i="3"/>
  <c r="N32" i="3"/>
  <c r="X31" i="3"/>
  <c r="AI30" i="3"/>
  <c r="Y30" i="3"/>
  <c r="U30" i="3"/>
  <c r="Q30" i="3"/>
  <c r="S30" i="3" s="1"/>
  <c r="O30" i="3"/>
  <c r="N30" i="3"/>
  <c r="I29" i="3"/>
  <c r="H29" i="3"/>
  <c r="G29" i="3"/>
  <c r="F29" i="3"/>
  <c r="AK28" i="3"/>
  <c r="X28" i="3"/>
  <c r="Y28" i="3" s="1"/>
  <c r="U28" i="3"/>
  <c r="I28" i="3"/>
  <c r="H28" i="3"/>
  <c r="G28" i="3"/>
  <c r="F28" i="3"/>
  <c r="X27" i="3"/>
  <c r="Y27" i="3" s="1"/>
  <c r="Q27" i="3"/>
  <c r="S27" i="3" s="1"/>
  <c r="O27" i="3"/>
  <c r="N27" i="3"/>
  <c r="Q26" i="3"/>
  <c r="S26" i="3" s="1"/>
  <c r="O26" i="3"/>
  <c r="N26" i="3"/>
  <c r="U25" i="3"/>
  <c r="Q25" i="3"/>
  <c r="S25" i="3" s="1"/>
  <c r="O25" i="3"/>
  <c r="N25" i="3"/>
  <c r="U24" i="3"/>
  <c r="Q24" i="3"/>
  <c r="S24" i="3" s="1"/>
  <c r="O24" i="3"/>
  <c r="N24" i="3"/>
  <c r="AI23" i="3"/>
  <c r="U23" i="3"/>
  <c r="Q23" i="3"/>
  <c r="S23" i="3" s="1"/>
  <c r="O23" i="3"/>
  <c r="N23" i="3"/>
  <c r="AI22" i="3"/>
  <c r="U22" i="3"/>
  <c r="X21" i="3"/>
  <c r="Y21" i="3" s="1"/>
  <c r="Q21" i="3"/>
  <c r="S21" i="3" s="1"/>
  <c r="O21" i="3"/>
  <c r="N21" i="3"/>
  <c r="X20" i="3"/>
  <c r="Q20" i="3"/>
  <c r="S20" i="3" s="1"/>
  <c r="O20" i="3"/>
  <c r="N20" i="3"/>
  <c r="AP18" i="3"/>
  <c r="AI16" i="3"/>
  <c r="V16" i="3"/>
  <c r="U16" i="3"/>
  <c r="AI15" i="3"/>
  <c r="S57" i="3"/>
  <c r="BA67" i="3"/>
  <c r="A14" i="3"/>
  <c r="A13" i="3"/>
  <c r="X12" i="3"/>
  <c r="Y12" i="3" s="1"/>
  <c r="AO12" i="3" s="1"/>
  <c r="A12" i="3"/>
  <c r="X11" i="3"/>
  <c r="Y11" i="3" s="1"/>
  <c r="A11" i="3"/>
  <c r="X10" i="3"/>
  <c r="Y10" i="3" s="1"/>
  <c r="A10" i="3"/>
  <c r="X9" i="3"/>
  <c r="Y9" i="3" s="1"/>
  <c r="A9" i="3"/>
  <c r="X8" i="3"/>
  <c r="Y8" i="3" s="1"/>
  <c r="U8" i="3"/>
  <c r="U17" i="3" s="1"/>
  <c r="A8" i="3"/>
  <c r="X7" i="3"/>
  <c r="Y7" i="3" s="1"/>
  <c r="A7" i="3"/>
  <c r="X6" i="3"/>
  <c r="Y6" i="3" s="1"/>
  <c r="A6" i="3"/>
  <c r="X5" i="3"/>
  <c r="Y5" i="3" s="1"/>
  <c r="A5" i="3"/>
  <c r="W4" i="3"/>
  <c r="AI24" i="3" s="1"/>
  <c r="V4" i="3"/>
  <c r="A4" i="3"/>
  <c r="W3" i="3"/>
  <c r="AI32" i="3" s="1"/>
  <c r="V3" i="3"/>
  <c r="A3" i="3"/>
  <c r="W2" i="3"/>
  <c r="AI25" i="3" s="1"/>
  <c r="V2" i="3"/>
  <c r="A2" i="3"/>
  <c r="AD1" i="3"/>
  <c r="AA1" i="3"/>
  <c r="D50" i="2"/>
  <c r="D49" i="2"/>
  <c r="D47" i="2"/>
  <c r="D44" i="2"/>
  <c r="D42" i="2"/>
  <c r="D41" i="2"/>
  <c r="D37" i="2"/>
  <c r="J36" i="2"/>
  <c r="D36" i="2"/>
  <c r="D34" i="2"/>
  <c r="J33" i="2"/>
  <c r="D33" i="2"/>
  <c r="D31" i="2"/>
  <c r="Z30" i="2"/>
  <c r="D30" i="2"/>
  <c r="Z26" i="2"/>
  <c r="D26" i="2"/>
  <c r="Z25" i="2"/>
  <c r="D25" i="2"/>
  <c r="I22" i="2"/>
  <c r="D22" i="2"/>
  <c r="Z19" i="2"/>
  <c r="J19" i="2"/>
  <c r="D19" i="2"/>
  <c r="Z15" i="2"/>
  <c r="D15" i="2"/>
  <c r="Z12" i="2"/>
  <c r="D12" i="2"/>
  <c r="Z9" i="2"/>
  <c r="D9" i="2"/>
  <c r="Z8" i="2"/>
  <c r="D8" i="2"/>
  <c r="Z7" i="2"/>
  <c r="D7" i="2"/>
  <c r="Z6" i="2"/>
  <c r="D6" i="2"/>
  <c r="Z5" i="2"/>
  <c r="D5" i="2"/>
  <c r="Z4" i="2"/>
  <c r="D4" i="2"/>
  <c r="Z3" i="2"/>
  <c r="J3" i="2"/>
  <c r="C3" i="2"/>
  <c r="B3" i="2"/>
  <c r="D3" i="2" s="1"/>
  <c r="F143" i="23"/>
  <c r="E143" i="23"/>
  <c r="L131" i="23"/>
  <c r="G131" i="23"/>
  <c r="I112" i="23"/>
  <c r="F112" i="23"/>
  <c r="G112" i="23" s="1"/>
  <c r="I104" i="23"/>
  <c r="F104" i="23"/>
  <c r="G104" i="23" s="1"/>
  <c r="C104" i="23"/>
  <c r="J103" i="23"/>
  <c r="M103" i="23" s="1"/>
  <c r="G103" i="23"/>
  <c r="K103" i="23" s="1"/>
  <c r="C103" i="23"/>
  <c r="J102" i="23"/>
  <c r="M102" i="23" s="1"/>
  <c r="G102" i="23"/>
  <c r="K102" i="23" s="1"/>
  <c r="C102" i="23"/>
  <c r="J101" i="23"/>
  <c r="O101" i="23" s="1"/>
  <c r="G101" i="23"/>
  <c r="K101" i="23" s="1"/>
  <c r="I100" i="23"/>
  <c r="F100" i="23"/>
  <c r="G100" i="23" s="1"/>
  <c r="C100" i="23"/>
  <c r="J99" i="23"/>
  <c r="L99" i="23" s="1"/>
  <c r="G99" i="23"/>
  <c r="K99" i="23" s="1"/>
  <c r="C99" i="23"/>
  <c r="J98" i="23"/>
  <c r="G98" i="23"/>
  <c r="K98" i="23" s="1"/>
  <c r="C98" i="23"/>
  <c r="J97" i="23"/>
  <c r="L97" i="23" s="1"/>
  <c r="G97" i="23"/>
  <c r="K97" i="23" s="1"/>
  <c r="C97" i="23"/>
  <c r="J96" i="23"/>
  <c r="L96" i="23" s="1"/>
  <c r="G96" i="23"/>
  <c r="K96" i="23" s="1"/>
  <c r="J95" i="23"/>
  <c r="L95" i="23" s="1"/>
  <c r="G95" i="23"/>
  <c r="K95" i="23" s="1"/>
  <c r="C95" i="23"/>
  <c r="J94" i="23"/>
  <c r="L94" i="23" s="1"/>
  <c r="G94" i="23"/>
  <c r="K94" i="23" s="1"/>
  <c r="C94" i="23"/>
  <c r="J93" i="23"/>
  <c r="L93" i="23" s="1"/>
  <c r="G93" i="23"/>
  <c r="K93" i="23" s="1"/>
  <c r="C93" i="23"/>
  <c r="J92" i="23"/>
  <c r="L92" i="23" s="1"/>
  <c r="G92" i="23"/>
  <c r="K92" i="23" s="1"/>
  <c r="C92" i="23"/>
  <c r="J91" i="23"/>
  <c r="L91" i="23" s="1"/>
  <c r="G91" i="23"/>
  <c r="K91" i="23" s="1"/>
  <c r="C91" i="23"/>
  <c r="J90" i="23"/>
  <c r="L90" i="23" s="1"/>
  <c r="G90" i="23"/>
  <c r="K90" i="23" s="1"/>
  <c r="C90" i="23"/>
  <c r="J89" i="23"/>
  <c r="L89" i="23" s="1"/>
  <c r="G89" i="23"/>
  <c r="K89" i="23" s="1"/>
  <c r="C89" i="23"/>
  <c r="J88" i="23"/>
  <c r="L88" i="23" s="1"/>
  <c r="G88" i="23"/>
  <c r="K88" i="23" s="1"/>
  <c r="C88" i="23"/>
  <c r="J87" i="23"/>
  <c r="L87" i="23" s="1"/>
  <c r="G87" i="23"/>
  <c r="K87" i="23" s="1"/>
  <c r="C87" i="23"/>
  <c r="J86" i="23"/>
  <c r="L86" i="23" s="1"/>
  <c r="G86" i="23"/>
  <c r="K86" i="23" s="1"/>
  <c r="C86" i="23"/>
  <c r="J85" i="23"/>
  <c r="L85" i="23" s="1"/>
  <c r="G85" i="23"/>
  <c r="K85" i="23" s="1"/>
  <c r="C85" i="23"/>
  <c r="J84" i="23"/>
  <c r="L84" i="23" s="1"/>
  <c r="G84" i="23"/>
  <c r="K84" i="23" s="1"/>
  <c r="C84" i="23"/>
  <c r="J83" i="23"/>
  <c r="L83" i="23" s="1"/>
  <c r="G83" i="23"/>
  <c r="K83" i="23" s="1"/>
  <c r="C83" i="23"/>
  <c r="J82" i="23"/>
  <c r="G82" i="23"/>
  <c r="K82" i="23" s="1"/>
  <c r="C82" i="23"/>
  <c r="J81" i="23"/>
  <c r="L81" i="23" s="1"/>
  <c r="G81" i="23"/>
  <c r="K81" i="23" s="1"/>
  <c r="C81" i="23"/>
  <c r="J80" i="23"/>
  <c r="L80" i="23" s="1"/>
  <c r="G80" i="23"/>
  <c r="K80" i="23" s="1"/>
  <c r="C80" i="23"/>
  <c r="J79" i="23"/>
  <c r="L79" i="23" s="1"/>
  <c r="G79" i="23"/>
  <c r="K79" i="23" s="1"/>
  <c r="C79" i="23"/>
  <c r="J77" i="23"/>
  <c r="L77" i="23" s="1"/>
  <c r="G77" i="23"/>
  <c r="K77" i="23" s="1"/>
  <c r="C77" i="23"/>
  <c r="J73" i="23"/>
  <c r="L73" i="23" s="1"/>
  <c r="G73" i="23"/>
  <c r="K73" i="23" s="1"/>
  <c r="C73" i="23"/>
  <c r="J72" i="23"/>
  <c r="L72" i="23" s="1"/>
  <c r="G72" i="23"/>
  <c r="K72" i="23" s="1"/>
  <c r="C72" i="23"/>
  <c r="J71" i="23"/>
  <c r="G71" i="23"/>
  <c r="C71" i="23"/>
  <c r="J67" i="23"/>
  <c r="L67" i="23" s="1"/>
  <c r="G67" i="23"/>
  <c r="K67" i="23" s="1"/>
  <c r="C67" i="23"/>
  <c r="J66" i="23"/>
  <c r="L66" i="23" s="1"/>
  <c r="G66" i="23"/>
  <c r="K66" i="23" s="1"/>
  <c r="I63" i="23"/>
  <c r="F63" i="23"/>
  <c r="G63" i="23" s="1"/>
  <c r="C63" i="23"/>
  <c r="J60" i="23"/>
  <c r="L60" i="23" s="1"/>
  <c r="G60" i="23"/>
  <c r="K60" i="23" s="1"/>
  <c r="C60" i="23"/>
  <c r="J59" i="23"/>
  <c r="L59" i="23" s="1"/>
  <c r="G59" i="23"/>
  <c r="K59" i="23" s="1"/>
  <c r="C59" i="23"/>
  <c r="J56" i="23"/>
  <c r="L56" i="23" s="1"/>
  <c r="G56" i="23"/>
  <c r="K56" i="23" s="1"/>
  <c r="C56" i="23"/>
  <c r="J55" i="23"/>
  <c r="G55" i="23"/>
  <c r="K55" i="23" s="1"/>
  <c r="C55" i="23"/>
  <c r="I52" i="23"/>
  <c r="F52" i="23"/>
  <c r="G52" i="23" s="1"/>
  <c r="C52" i="23"/>
  <c r="J51" i="23"/>
  <c r="L51" i="23" s="1"/>
  <c r="G51" i="23"/>
  <c r="K51" i="23" s="1"/>
  <c r="C51" i="23"/>
  <c r="L47" i="23"/>
  <c r="K47" i="23"/>
  <c r="J46" i="23"/>
  <c r="L46" i="23" s="1"/>
  <c r="G46" i="23"/>
  <c r="K46" i="23" s="1"/>
  <c r="C46" i="23"/>
  <c r="J45" i="23"/>
  <c r="G45" i="23"/>
  <c r="I44" i="23"/>
  <c r="F44" i="23"/>
  <c r="G44" i="23" s="1"/>
  <c r="C44" i="23"/>
  <c r="I41" i="23"/>
  <c r="J41" i="23" s="1"/>
  <c r="L41" i="23" s="1"/>
  <c r="F41" i="23"/>
  <c r="G41" i="23" s="1"/>
  <c r="K41" i="23" s="1"/>
  <c r="L26" i="23"/>
  <c r="K26" i="23"/>
  <c r="I40" i="23"/>
  <c r="F40" i="23"/>
  <c r="G40" i="23" s="1"/>
  <c r="I39" i="23"/>
  <c r="J39" i="23" s="1"/>
  <c r="L39" i="23" s="1"/>
  <c r="F39" i="23"/>
  <c r="G39" i="23" s="1"/>
  <c r="K39" i="23" s="1"/>
  <c r="J37" i="23"/>
  <c r="L37" i="23" s="1"/>
  <c r="G37" i="23"/>
  <c r="K37" i="23" s="1"/>
  <c r="C37" i="23"/>
  <c r="J36" i="23"/>
  <c r="L36" i="23" s="1"/>
  <c r="G36" i="23"/>
  <c r="K36" i="23" s="1"/>
  <c r="C36" i="23"/>
  <c r="J35" i="23"/>
  <c r="L35" i="23" s="1"/>
  <c r="G35" i="23"/>
  <c r="K35" i="23" s="1"/>
  <c r="C35" i="23"/>
  <c r="J34" i="23"/>
  <c r="L34" i="23" s="1"/>
  <c r="G34" i="23"/>
  <c r="K34" i="23" s="1"/>
  <c r="C34" i="23"/>
  <c r="J33" i="23"/>
  <c r="L33" i="23" s="1"/>
  <c r="G33" i="23"/>
  <c r="K33" i="23" s="1"/>
  <c r="C33" i="23"/>
  <c r="J25" i="23"/>
  <c r="L25" i="23" s="1"/>
  <c r="G25" i="23"/>
  <c r="K25" i="23" s="1"/>
  <c r="C25" i="23"/>
  <c r="L55" i="23"/>
  <c r="L98" i="23"/>
  <c r="L82" i="23"/>
  <c r="L31" i="23"/>
  <c r="K31" i="23"/>
  <c r="J21" i="23"/>
  <c r="L21" i="23" s="1"/>
  <c r="G21" i="23"/>
  <c r="K21" i="23" s="1"/>
  <c r="C21" i="23"/>
  <c r="J20" i="23"/>
  <c r="L20" i="23" s="1"/>
  <c r="G20" i="23"/>
  <c r="K20" i="23" s="1"/>
  <c r="C20" i="23"/>
  <c r="J19" i="23"/>
  <c r="L19" i="23" s="1"/>
  <c r="G19" i="23"/>
  <c r="K19" i="23" s="1"/>
  <c r="C19" i="23"/>
  <c r="J17" i="23"/>
  <c r="L17" i="23" s="1"/>
  <c r="G17" i="23"/>
  <c r="K17" i="23" s="1"/>
  <c r="C17" i="23"/>
  <c r="J18" i="23"/>
  <c r="L18" i="23" s="1"/>
  <c r="G18" i="23"/>
  <c r="K18" i="23" s="1"/>
  <c r="C18" i="23"/>
  <c r="J16" i="23"/>
  <c r="L16" i="23" s="1"/>
  <c r="G16" i="23"/>
  <c r="K16" i="23" s="1"/>
  <c r="C16" i="23"/>
  <c r="J15" i="23"/>
  <c r="L15" i="23" s="1"/>
  <c r="G15" i="23"/>
  <c r="K15" i="23" s="1"/>
  <c r="C15" i="23"/>
  <c r="J14" i="23"/>
  <c r="L14" i="23" s="1"/>
  <c r="G14" i="23"/>
  <c r="K14" i="23" s="1"/>
  <c r="C14" i="23"/>
  <c r="J13" i="23"/>
  <c r="L13" i="23" s="1"/>
  <c r="G13" i="23"/>
  <c r="K13" i="23" s="1"/>
  <c r="C13" i="23"/>
  <c r="J12" i="23"/>
  <c r="L12" i="23" s="1"/>
  <c r="G12" i="23"/>
  <c r="K12" i="23" s="1"/>
  <c r="C12" i="23"/>
  <c r="J11" i="23"/>
  <c r="L11" i="23" s="1"/>
  <c r="G11" i="23"/>
  <c r="K11" i="23" s="1"/>
  <c r="C11" i="23"/>
  <c r="J10" i="23"/>
  <c r="L10" i="23" s="1"/>
  <c r="G10" i="23"/>
  <c r="K10" i="23" s="1"/>
  <c r="C10" i="23"/>
  <c r="I6" i="23"/>
  <c r="F6" i="23"/>
  <c r="G6" i="23" s="1"/>
  <c r="C6" i="23"/>
  <c r="J5" i="23"/>
  <c r="N5" i="23" s="1"/>
  <c r="G5" i="23"/>
  <c r="K5" i="23" s="1"/>
  <c r="C5" i="23"/>
  <c r="J4" i="23"/>
  <c r="N4" i="23" s="1"/>
  <c r="G4" i="23"/>
  <c r="K4" i="23" s="1"/>
  <c r="C4" i="23"/>
  <c r="I3" i="23"/>
  <c r="F3" i="23"/>
  <c r="G3" i="23" s="1"/>
  <c r="C3" i="23"/>
  <c r="J2" i="23"/>
  <c r="P2" i="23" s="1"/>
  <c r="G2" i="23"/>
  <c r="K2" i="23" s="1"/>
  <c r="H62" i="13"/>
  <c r="H60" i="13"/>
  <c r="H58" i="13"/>
  <c r="D56" i="13"/>
  <c r="H56" i="13" s="1"/>
  <c r="D54" i="13"/>
  <c r="H54" i="13" s="1"/>
  <c r="H52" i="13"/>
  <c r="H50" i="13"/>
  <c r="H48" i="13"/>
  <c r="H46" i="13"/>
  <c r="G44" i="13"/>
  <c r="H44" i="13" s="1"/>
  <c r="G43" i="13"/>
  <c r="H43" i="13" s="1"/>
  <c r="H41" i="13"/>
  <c r="G33" i="13"/>
  <c r="H33" i="13" s="1"/>
  <c r="G32" i="13"/>
  <c r="H32" i="13" s="1"/>
  <c r="G31" i="13"/>
  <c r="H31" i="13" s="1"/>
  <c r="G30" i="13"/>
  <c r="H30" i="13" s="1"/>
  <c r="G29" i="13"/>
  <c r="H29" i="13" s="1"/>
  <c r="G28" i="13"/>
  <c r="H28" i="13" s="1"/>
  <c r="G26" i="13"/>
  <c r="H26" i="13" s="1"/>
  <c r="H24" i="13"/>
  <c r="H22" i="13"/>
  <c r="H21" i="13"/>
  <c r="H19" i="13"/>
  <c r="E17" i="13"/>
  <c r="D17" i="13"/>
  <c r="H17" i="13" s="1"/>
  <c r="E16" i="13"/>
  <c r="D16" i="13"/>
  <c r="H16" i="13" s="1"/>
  <c r="G14" i="13"/>
  <c r="H14" i="13" s="1"/>
  <c r="H12" i="13"/>
  <c r="H10" i="13"/>
  <c r="H8" i="13"/>
  <c r="H7" i="13"/>
  <c r="H6" i="13"/>
  <c r="H5" i="13"/>
  <c r="H4" i="13"/>
  <c r="H3" i="13"/>
  <c r="K2" i="13"/>
  <c r="F37" i="14"/>
  <c r="F36" i="14"/>
  <c r="F35" i="14"/>
  <c r="F34" i="14"/>
  <c r="F33" i="14"/>
  <c r="F32" i="14"/>
  <c r="F31" i="14"/>
  <c r="F30" i="14"/>
  <c r="I29" i="14"/>
  <c r="F29" i="14"/>
  <c r="F28" i="14"/>
  <c r="I27" i="14"/>
  <c r="F27" i="14"/>
  <c r="I26" i="14"/>
  <c r="F26" i="14"/>
  <c r="I25" i="14"/>
  <c r="F25" i="14"/>
  <c r="F24" i="14"/>
  <c r="I23" i="14"/>
  <c r="F23" i="14"/>
  <c r="I22" i="14"/>
  <c r="F22" i="14"/>
  <c r="I21" i="14"/>
  <c r="F21" i="14"/>
  <c r="I20" i="14"/>
  <c r="F20" i="14"/>
  <c r="F19" i="14"/>
  <c r="F18" i="14"/>
  <c r="I17" i="14"/>
  <c r="F17" i="14"/>
  <c r="F16" i="14"/>
  <c r="I15" i="14"/>
  <c r="F15" i="14"/>
  <c r="F14" i="14"/>
  <c r="F13" i="14"/>
  <c r="F12" i="14"/>
  <c r="F11" i="14"/>
  <c r="F10" i="14"/>
  <c r="I9" i="14"/>
  <c r="F9" i="14"/>
  <c r="F8" i="14"/>
  <c r="F7" i="14"/>
  <c r="F6" i="14"/>
  <c r="I5" i="14"/>
  <c r="F5" i="14"/>
  <c r="F4" i="14"/>
  <c r="I3" i="14"/>
  <c r="F3" i="14"/>
  <c r="F2" i="14"/>
  <c r="BG419" i="5"/>
  <c r="BF419" i="5"/>
  <c r="BE419" i="5"/>
  <c r="BD419" i="5"/>
  <c r="BC419" i="5"/>
  <c r="BB419" i="5"/>
  <c r="BA419" i="5"/>
  <c r="AZ419" i="5"/>
  <c r="AY419" i="5"/>
  <c r="AX419" i="5"/>
  <c r="AS419" i="5"/>
  <c r="AQ419" i="5"/>
  <c r="AP419" i="5"/>
  <c r="AO419" i="5"/>
  <c r="AM419" i="5"/>
  <c r="AL419" i="5"/>
  <c r="AK419" i="5"/>
  <c r="AJ419" i="5"/>
  <c r="AI419" i="5"/>
  <c r="AG419" i="5"/>
  <c r="AE419" i="5"/>
  <c r="AD419" i="5"/>
  <c r="AC419" i="5"/>
  <c r="AB419" i="5"/>
  <c r="Y419" i="5"/>
  <c r="X419" i="5"/>
  <c r="W419" i="5"/>
  <c r="V419" i="5"/>
  <c r="H419" i="5" s="1"/>
  <c r="T419" i="5"/>
  <c r="N419" i="5"/>
  <c r="S419" i="5" s="1"/>
  <c r="M419" i="5"/>
  <c r="R419" i="5" s="1"/>
  <c r="L419" i="5"/>
  <c r="I419" i="5"/>
  <c r="A419" i="5"/>
  <c r="BF386" i="5"/>
  <c r="CO84" i="1" s="1"/>
  <c r="BE386" i="5"/>
  <c r="CO83" i="1" s="1"/>
  <c r="BD386" i="5"/>
  <c r="BC386" i="5"/>
  <c r="BB386" i="5"/>
  <c r="BA386" i="5"/>
  <c r="AZ386" i="5"/>
  <c r="AY386" i="5"/>
  <c r="CO78" i="1" s="1"/>
  <c r="AX386" i="5"/>
  <c r="CO77" i="1" s="1"/>
  <c r="AW386" i="5"/>
  <c r="AV386" i="5"/>
  <c r="AU386" i="5"/>
  <c r="CO74" i="1" s="1"/>
  <c r="AT386" i="5"/>
  <c r="AS386" i="5"/>
  <c r="AR386" i="5"/>
  <c r="AQ386" i="5"/>
  <c r="CO70" i="1" s="1"/>
  <c r="AP386" i="5"/>
  <c r="CO69" i="1" s="1"/>
  <c r="AO386" i="5"/>
  <c r="AN386" i="5"/>
  <c r="AM386" i="5"/>
  <c r="CO66" i="1" s="1"/>
  <c r="AL386" i="5"/>
  <c r="AK386" i="5"/>
  <c r="AJ386" i="5"/>
  <c r="AG386" i="5"/>
  <c r="AF386" i="5"/>
  <c r="CO62" i="1" s="1"/>
  <c r="AE386" i="5"/>
  <c r="AD386" i="5"/>
  <c r="Z386" i="5"/>
  <c r="Y386" i="5"/>
  <c r="X386" i="5"/>
  <c r="V386" i="5"/>
  <c r="T386" i="5"/>
  <c r="O386" i="5"/>
  <c r="N386" i="5"/>
  <c r="M386" i="5"/>
  <c r="L386" i="5"/>
  <c r="K386" i="5"/>
  <c r="J386" i="5"/>
  <c r="I386" i="5"/>
  <c r="H386" i="5"/>
  <c r="G386" i="5"/>
  <c r="F386" i="5"/>
  <c r="E386" i="5"/>
  <c r="BR383" i="5"/>
  <c r="BQ383" i="5"/>
  <c r="BP383" i="5"/>
  <c r="BF380" i="5"/>
  <c r="BE380" i="5"/>
  <c r="BA83" i="1" s="1"/>
  <c r="BD380" i="5"/>
  <c r="BA82" i="1" s="1"/>
  <c r="BC380" i="5"/>
  <c r="BB380" i="5"/>
  <c r="BA380" i="5"/>
  <c r="BA80" i="1" s="1"/>
  <c r="AZ380" i="5"/>
  <c r="AY380" i="5"/>
  <c r="AX380" i="5"/>
  <c r="AS380" i="5"/>
  <c r="BA72" i="1" s="1"/>
  <c r="AQ380" i="5"/>
  <c r="BA70" i="1" s="1"/>
  <c r="AP380" i="5"/>
  <c r="AO380" i="5"/>
  <c r="AM380" i="5"/>
  <c r="BA66" i="1" s="1"/>
  <c r="AL380" i="5"/>
  <c r="AK380" i="5"/>
  <c r="AJ380" i="5"/>
  <c r="AG380" i="5"/>
  <c r="AE380" i="5"/>
  <c r="BA61" i="1" s="1"/>
  <c r="AD380" i="5"/>
  <c r="Z380" i="5"/>
  <c r="Y380" i="5"/>
  <c r="BA59" i="1" s="1"/>
  <c r="X380" i="5"/>
  <c r="V380" i="5"/>
  <c r="T380" i="5"/>
  <c r="O380" i="5"/>
  <c r="N380" i="5"/>
  <c r="BA12" i="1" s="1"/>
  <c r="BA54" i="1" s="1"/>
  <c r="M380" i="5"/>
  <c r="L380" i="5"/>
  <c r="K380" i="5"/>
  <c r="J380" i="5"/>
  <c r="I380" i="5"/>
  <c r="H380" i="5"/>
  <c r="G380" i="5"/>
  <c r="F380" i="5"/>
  <c r="BA4" i="1" s="1"/>
  <c r="E380" i="5"/>
  <c r="BR377" i="5"/>
  <c r="BQ377" i="5"/>
  <c r="BP377" i="5"/>
  <c r="AW377" i="5"/>
  <c r="AW380" i="5" s="1"/>
  <c r="AV377" i="5"/>
  <c r="AU377" i="5"/>
  <c r="AT377" i="5"/>
  <c r="AT380" i="5" s="1"/>
  <c r="BA73" i="1" s="1"/>
  <c r="AN377" i="5"/>
  <c r="AN380" i="5" s="1"/>
  <c r="BF374" i="5"/>
  <c r="BE374" i="5"/>
  <c r="BD374" i="5"/>
  <c r="BC374" i="5"/>
  <c r="BB374" i="5"/>
  <c r="BA374" i="5"/>
  <c r="BB80" i="1" s="1"/>
  <c r="AZ374" i="5"/>
  <c r="BB79" i="1" s="1"/>
  <c r="AY374" i="5"/>
  <c r="AX374" i="5"/>
  <c r="AS374" i="5"/>
  <c r="BB72" i="1" s="1"/>
  <c r="AQ374" i="5"/>
  <c r="AP374" i="5"/>
  <c r="AO374" i="5"/>
  <c r="AM374" i="5"/>
  <c r="AL374" i="5"/>
  <c r="BB65" i="1" s="1"/>
  <c r="AK374" i="5"/>
  <c r="AJ374" i="5"/>
  <c r="AG374" i="5"/>
  <c r="AE374" i="5"/>
  <c r="AD374" i="5"/>
  <c r="Z374" i="5"/>
  <c r="Y374" i="5"/>
  <c r="X374" i="5"/>
  <c r="T374" i="5"/>
  <c r="O374" i="5"/>
  <c r="N374" i="5"/>
  <c r="M374" i="5"/>
  <c r="L374" i="5"/>
  <c r="K374" i="5"/>
  <c r="J374" i="5"/>
  <c r="I374" i="5"/>
  <c r="H374" i="5"/>
  <c r="G374" i="5"/>
  <c r="F374" i="5"/>
  <c r="E374" i="5"/>
  <c r="BR371" i="5"/>
  <c r="BQ371" i="5"/>
  <c r="BP371" i="5"/>
  <c r="AW371" i="5"/>
  <c r="AW374" i="5" s="1"/>
  <c r="BB76" i="1" s="1"/>
  <c r="AV371" i="5"/>
  <c r="AV374" i="5" s="1"/>
  <c r="AU371" i="5"/>
  <c r="AT371" i="5"/>
  <c r="AT374" i="5" s="1"/>
  <c r="BB73" i="1" s="1"/>
  <c r="AN371" i="5"/>
  <c r="AN374" i="5" s="1"/>
  <c r="BF366" i="5"/>
  <c r="BE366" i="5"/>
  <c r="BD366" i="5"/>
  <c r="BC366" i="5"/>
  <c r="BB366" i="5"/>
  <c r="BA366" i="5"/>
  <c r="AZ366" i="5"/>
  <c r="AY79" i="1" s="1"/>
  <c r="AY366" i="5"/>
  <c r="AX366" i="5"/>
  <c r="AS366" i="5"/>
  <c r="AQ366" i="5"/>
  <c r="AY70" i="1" s="1"/>
  <c r="AP366" i="5"/>
  <c r="AY69" i="1" s="1"/>
  <c r="AO366" i="5"/>
  <c r="AM366" i="5"/>
  <c r="AL366" i="5"/>
  <c r="AK366" i="5"/>
  <c r="AJ366" i="5"/>
  <c r="AG366" i="5"/>
  <c r="AE366" i="5"/>
  <c r="AD366" i="5"/>
  <c r="Z366" i="5"/>
  <c r="Y366" i="5"/>
  <c r="X366" i="5"/>
  <c r="V366" i="5"/>
  <c r="T366" i="5"/>
  <c r="O366" i="5"/>
  <c r="N366" i="5"/>
  <c r="M366" i="5"/>
  <c r="L366" i="5"/>
  <c r="K366" i="5"/>
  <c r="J366" i="5"/>
  <c r="I366" i="5"/>
  <c r="G366" i="5"/>
  <c r="F366" i="5"/>
  <c r="BR365" i="5"/>
  <c r="BQ365" i="5"/>
  <c r="BP365" i="5"/>
  <c r="AF365" i="5"/>
  <c r="H365" i="5"/>
  <c r="H366" i="5" s="1"/>
  <c r="D364" i="5"/>
  <c r="D363" i="5"/>
  <c r="BR362" i="5"/>
  <c r="BQ362" i="5"/>
  <c r="BP362" i="5"/>
  <c r="AW362" i="5"/>
  <c r="AW366" i="5" s="1"/>
  <c r="AY76" i="1" s="1"/>
  <c r="AV362" i="5"/>
  <c r="AV366" i="5" s="1"/>
  <c r="AU362" i="5"/>
  <c r="AT362" i="5"/>
  <c r="AT366" i="5" s="1"/>
  <c r="AN362" i="5"/>
  <c r="D357" i="5"/>
  <c r="BR356" i="5"/>
  <c r="BQ356" i="5"/>
  <c r="BP356" i="5"/>
  <c r="AW356" i="5"/>
  <c r="AV356" i="5"/>
  <c r="AU356" i="5"/>
  <c r="AT356" i="5"/>
  <c r="AN356" i="5"/>
  <c r="H356" i="5"/>
  <c r="BF352" i="5"/>
  <c r="BW84" i="1" s="1"/>
  <c r="BE352" i="5"/>
  <c r="BD352" i="5"/>
  <c r="BC352" i="5"/>
  <c r="BW81" i="1" s="1"/>
  <c r="BB352" i="5"/>
  <c r="BA352" i="5"/>
  <c r="AZ352" i="5"/>
  <c r="AY352" i="5"/>
  <c r="BW78" i="1" s="1"/>
  <c r="AX352" i="5"/>
  <c r="BW77" i="1" s="1"/>
  <c r="AS352" i="5"/>
  <c r="AQ352" i="5"/>
  <c r="AP352" i="5"/>
  <c r="BW69" i="1" s="1"/>
  <c r="AO352" i="5"/>
  <c r="AM352" i="5"/>
  <c r="AL352" i="5"/>
  <c r="AK352" i="5"/>
  <c r="AJ352" i="5"/>
  <c r="AG352" i="5"/>
  <c r="AE352" i="5"/>
  <c r="AD352" i="5"/>
  <c r="Z352" i="5"/>
  <c r="Y352" i="5"/>
  <c r="X352" i="5"/>
  <c r="V352" i="5"/>
  <c r="T352" i="5"/>
  <c r="BW55" i="1" s="1"/>
  <c r="O352" i="5"/>
  <c r="N352" i="5"/>
  <c r="M352" i="5"/>
  <c r="L352" i="5"/>
  <c r="K352" i="5"/>
  <c r="J352" i="5"/>
  <c r="I352" i="5"/>
  <c r="H352" i="5"/>
  <c r="BW6" i="1" s="1"/>
  <c r="G352" i="5"/>
  <c r="F352" i="5"/>
  <c r="E352" i="5"/>
  <c r="BR349" i="5"/>
  <c r="BQ349" i="5"/>
  <c r="BP349" i="5"/>
  <c r="AW349" i="5"/>
  <c r="AW352" i="5" s="1"/>
  <c r="AV349" i="5"/>
  <c r="AV352" i="5" s="1"/>
  <c r="BW75" i="1" s="1"/>
  <c r="AU349" i="5"/>
  <c r="AT349" i="5"/>
  <c r="AT352" i="5" s="1"/>
  <c r="AN349" i="5"/>
  <c r="AN352" i="5" s="1"/>
  <c r="BF347" i="5"/>
  <c r="AX84" i="1" s="1"/>
  <c r="BE347" i="5"/>
  <c r="BD347" i="5"/>
  <c r="BC347" i="5"/>
  <c r="AX81" i="1" s="1"/>
  <c r="BB347" i="5"/>
  <c r="BA347" i="5"/>
  <c r="AZ347" i="5"/>
  <c r="AY347" i="5"/>
  <c r="AX78" i="1" s="1"/>
  <c r="AX347" i="5"/>
  <c r="AS347" i="5"/>
  <c r="AQ347" i="5"/>
  <c r="AP347" i="5"/>
  <c r="AX69" i="1" s="1"/>
  <c r="AO347" i="5"/>
  <c r="AX68" i="1" s="1"/>
  <c r="AM347" i="5"/>
  <c r="AL347" i="5"/>
  <c r="AK347" i="5"/>
  <c r="AJ347" i="5"/>
  <c r="AG347" i="5"/>
  <c r="AE347" i="5"/>
  <c r="AD347" i="5"/>
  <c r="Z347" i="5"/>
  <c r="Y347" i="5"/>
  <c r="X347" i="5"/>
  <c r="V347" i="5"/>
  <c r="T347" i="5"/>
  <c r="O347" i="5"/>
  <c r="N347" i="5"/>
  <c r="M347" i="5"/>
  <c r="L347" i="5"/>
  <c r="AX10" i="1" s="1"/>
  <c r="AX49" i="1" s="1"/>
  <c r="K347" i="5"/>
  <c r="J347" i="5"/>
  <c r="I347" i="5"/>
  <c r="H347" i="5"/>
  <c r="G347" i="5"/>
  <c r="F347" i="5"/>
  <c r="E347" i="5"/>
  <c r="BR344" i="5"/>
  <c r="BQ344" i="5"/>
  <c r="BP344" i="5"/>
  <c r="AW344" i="5"/>
  <c r="AW347" i="5" s="1"/>
  <c r="AX76" i="1" s="1"/>
  <c r="AV344" i="5"/>
  <c r="AV347" i="5" s="1"/>
  <c r="AX75" i="1" s="1"/>
  <c r="AU344" i="5"/>
  <c r="AU347" i="5" s="1"/>
  <c r="AX74" i="1" s="1"/>
  <c r="AT344" i="5"/>
  <c r="AT347" i="5" s="1"/>
  <c r="AX73" i="1" s="1"/>
  <c r="AN344" i="5"/>
  <c r="AN347" i="5" s="1"/>
  <c r="BF342" i="5"/>
  <c r="BE342" i="5"/>
  <c r="BD342" i="5"/>
  <c r="BC342" i="5"/>
  <c r="AL81" i="1" s="1"/>
  <c r="BB342" i="5"/>
  <c r="BA342" i="5"/>
  <c r="AX342" i="5"/>
  <c r="AS342" i="5"/>
  <c r="AL72" i="1" s="1"/>
  <c r="AQ342" i="5"/>
  <c r="AP342" i="5"/>
  <c r="AO342" i="5"/>
  <c r="AM342" i="5"/>
  <c r="AL66" i="1" s="1"/>
  <c r="AL342" i="5"/>
  <c r="AK342" i="5"/>
  <c r="AJ342" i="5"/>
  <c r="AG342" i="5"/>
  <c r="AL63" i="1" s="1"/>
  <c r="AL14" i="1" s="1"/>
  <c r="AE342" i="5"/>
  <c r="AD342" i="5"/>
  <c r="AC342" i="5"/>
  <c r="AB342" i="5"/>
  <c r="Z342" i="5"/>
  <c r="Y342" i="5"/>
  <c r="X342" i="5"/>
  <c r="T342" i="5"/>
  <c r="N342" i="5"/>
  <c r="M342" i="5"/>
  <c r="L342" i="5"/>
  <c r="K342" i="5"/>
  <c r="J342" i="5"/>
  <c r="I342" i="5"/>
  <c r="G342" i="5"/>
  <c r="F342" i="5"/>
  <c r="E342" i="5"/>
  <c r="AZ341" i="5"/>
  <c r="AZ342" i="5" s="1"/>
  <c r="AY341" i="5"/>
  <c r="AY342" i="5" s="1"/>
  <c r="V341" i="5"/>
  <c r="V342" i="5" s="1"/>
  <c r="O341" i="5"/>
  <c r="H341" i="5"/>
  <c r="H342" i="5" s="1"/>
  <c r="D340" i="5"/>
  <c r="BR339" i="5"/>
  <c r="BQ339" i="5"/>
  <c r="BP339" i="5"/>
  <c r="AW339" i="5"/>
  <c r="AW342" i="5" s="1"/>
  <c r="AL76" i="1" s="1"/>
  <c r="AV339" i="5"/>
  <c r="AV342" i="5" s="1"/>
  <c r="AU339" i="5"/>
  <c r="AT339" i="5"/>
  <c r="AT342" i="5" s="1"/>
  <c r="AN339" i="5"/>
  <c r="AN342" i="5" s="1"/>
  <c r="AL67" i="1" s="1"/>
  <c r="BG334" i="5"/>
  <c r="BF334" i="5"/>
  <c r="BE334" i="5"/>
  <c r="BD334" i="5"/>
  <c r="BC334" i="5"/>
  <c r="AB81" i="1" s="1"/>
  <c r="BB334" i="5"/>
  <c r="AJ334" i="5"/>
  <c r="AD334" i="5"/>
  <c r="AB60" i="1" s="1"/>
  <c r="Z334" i="5"/>
  <c r="V334" i="5"/>
  <c r="AV380" i="5"/>
  <c r="AY334" i="5"/>
  <c r="AB78" i="1" s="1"/>
  <c r="AN366" i="5"/>
  <c r="AY67" i="1" s="1"/>
  <c r="BR330" i="5"/>
  <c r="BQ330" i="5"/>
  <c r="BP330" i="5"/>
  <c r="AW330" i="5"/>
  <c r="AW334" i="5" s="1"/>
  <c r="AB76" i="1" s="1"/>
  <c r="AV330" i="5"/>
  <c r="AU330" i="5"/>
  <c r="AT330" i="5"/>
  <c r="AN330" i="5"/>
  <c r="H330" i="5"/>
  <c r="BF324" i="5"/>
  <c r="BE324" i="5"/>
  <c r="BD324" i="5"/>
  <c r="BG82" i="1" s="1"/>
  <c r="BC324" i="5"/>
  <c r="BB324" i="5"/>
  <c r="BA324" i="5"/>
  <c r="BG80" i="1" s="1"/>
  <c r="AZ324" i="5"/>
  <c r="AY324" i="5"/>
  <c r="AX324" i="5"/>
  <c r="AW324" i="5"/>
  <c r="BG76" i="1" s="1"/>
  <c r="AV324" i="5"/>
  <c r="BG75" i="1" s="1"/>
  <c r="AU324" i="5"/>
  <c r="AT324" i="5"/>
  <c r="AS324" i="5"/>
  <c r="BG72" i="1" s="1"/>
  <c r="AR324" i="5"/>
  <c r="AQ324" i="5"/>
  <c r="AP324" i="5"/>
  <c r="AO324" i="5"/>
  <c r="BG68" i="1" s="1"/>
  <c r="AN324" i="5"/>
  <c r="BG67" i="1" s="1"/>
  <c r="AM324" i="5"/>
  <c r="AL324" i="5"/>
  <c r="AK324" i="5"/>
  <c r="AJ324" i="5"/>
  <c r="AG324" i="5"/>
  <c r="AF324" i="5"/>
  <c r="AE324" i="5"/>
  <c r="AD324" i="5"/>
  <c r="BG60" i="1" s="1"/>
  <c r="Z324" i="5"/>
  <c r="Y324" i="5"/>
  <c r="X324" i="5"/>
  <c r="V324" i="5"/>
  <c r="T324" i="5"/>
  <c r="O324" i="5"/>
  <c r="N324" i="5"/>
  <c r="M324" i="5"/>
  <c r="L324" i="5"/>
  <c r="K324" i="5"/>
  <c r="J324" i="5"/>
  <c r="I324" i="5"/>
  <c r="G324" i="5"/>
  <c r="F324" i="5"/>
  <c r="E324" i="5"/>
  <c r="H321" i="5"/>
  <c r="H324" i="5" s="1"/>
  <c r="BG6" i="1" s="1"/>
  <c r="BF319" i="5"/>
  <c r="BE319" i="5"/>
  <c r="BD319" i="5"/>
  <c r="BF82" i="1" s="1"/>
  <c r="BC319" i="5"/>
  <c r="BB319" i="5"/>
  <c r="BA319" i="5"/>
  <c r="AZ319" i="5"/>
  <c r="BF79" i="1" s="1"/>
  <c r="AY319" i="5"/>
  <c r="BF78" i="1" s="1"/>
  <c r="AX319" i="5"/>
  <c r="AW319" i="5"/>
  <c r="AV319" i="5"/>
  <c r="BF75" i="1" s="1"/>
  <c r="AU319" i="5"/>
  <c r="AT319" i="5"/>
  <c r="AS319" i="5"/>
  <c r="AR319" i="5"/>
  <c r="BF71" i="1" s="1"/>
  <c r="AQ319" i="5"/>
  <c r="BF70" i="1" s="1"/>
  <c r="AP319" i="5"/>
  <c r="AO319" i="5"/>
  <c r="AN319" i="5"/>
  <c r="BF67" i="1" s="1"/>
  <c r="AM319" i="5"/>
  <c r="AL319" i="5"/>
  <c r="AK319" i="5"/>
  <c r="AJ319" i="5"/>
  <c r="AG319" i="5"/>
  <c r="BF63" i="1" s="1"/>
  <c r="BF14" i="1" s="1"/>
  <c r="AF319" i="5"/>
  <c r="AE319" i="5"/>
  <c r="AD319" i="5"/>
  <c r="Z319" i="5"/>
  <c r="Y319" i="5"/>
  <c r="X319" i="5"/>
  <c r="V319" i="5"/>
  <c r="T319" i="5"/>
  <c r="BF55" i="1" s="1"/>
  <c r="O319" i="5"/>
  <c r="N319" i="5"/>
  <c r="M319" i="5"/>
  <c r="L319" i="5"/>
  <c r="K319" i="5"/>
  <c r="J319" i="5"/>
  <c r="I319" i="5"/>
  <c r="G319" i="5"/>
  <c r="BF16" i="1" s="1"/>
  <c r="F319" i="5"/>
  <c r="E319" i="5"/>
  <c r="H316" i="5"/>
  <c r="H319" i="5" s="1"/>
  <c r="BF313" i="5"/>
  <c r="BE313" i="5"/>
  <c r="BD313" i="5"/>
  <c r="AT82" i="1" s="1"/>
  <c r="BC313" i="5"/>
  <c r="AT81" i="1" s="1"/>
  <c r="BB313" i="5"/>
  <c r="BA313" i="5"/>
  <c r="AZ313" i="5"/>
  <c r="AY313" i="5"/>
  <c r="AX313" i="5"/>
  <c r="AW313" i="5"/>
  <c r="AV313" i="5"/>
  <c r="AT75" i="1" s="1"/>
  <c r="AU313" i="5"/>
  <c r="AT74" i="1" s="1"/>
  <c r="AT313" i="5"/>
  <c r="AS313" i="5"/>
  <c r="AR313" i="5"/>
  <c r="AQ313" i="5"/>
  <c r="AP313" i="5"/>
  <c r="AO313" i="5"/>
  <c r="AN313" i="5"/>
  <c r="AT67" i="1" s="1"/>
  <c r="AM313" i="5"/>
  <c r="AT66" i="1" s="1"/>
  <c r="AL313" i="5"/>
  <c r="AK313" i="5"/>
  <c r="AJ313" i="5"/>
  <c r="AG313" i="5"/>
  <c r="AF313" i="5"/>
  <c r="AE313" i="5"/>
  <c r="AD313" i="5"/>
  <c r="AT60" i="1" s="1"/>
  <c r="Z313" i="5"/>
  <c r="Y313" i="5"/>
  <c r="X313" i="5"/>
  <c r="V313" i="5"/>
  <c r="T313" i="5"/>
  <c r="O313" i="5"/>
  <c r="N313" i="5"/>
  <c r="M313" i="5"/>
  <c r="L313" i="5"/>
  <c r="AT10" i="1" s="1"/>
  <c r="K313" i="5"/>
  <c r="J313" i="5"/>
  <c r="I313" i="5"/>
  <c r="Q313" i="5" s="1"/>
  <c r="H313" i="5"/>
  <c r="G313" i="5"/>
  <c r="F313" i="5"/>
  <c r="E313" i="5"/>
  <c r="BR312" i="5"/>
  <c r="BQ312" i="5"/>
  <c r="BP312" i="5"/>
  <c r="BR311" i="5"/>
  <c r="BQ311" i="5"/>
  <c r="BP311" i="5"/>
  <c r="BR310" i="5"/>
  <c r="BQ310" i="5"/>
  <c r="BP310" i="5"/>
  <c r="BF308" i="5"/>
  <c r="BE308" i="5"/>
  <c r="BD308" i="5"/>
  <c r="BC308" i="5"/>
  <c r="BB308" i="5"/>
  <c r="BA308" i="5"/>
  <c r="AZ308" i="5"/>
  <c r="AO79" i="1" s="1"/>
  <c r="AY308" i="5"/>
  <c r="AO78" i="1" s="1"/>
  <c r="AX308" i="5"/>
  <c r="AS308" i="5"/>
  <c r="AQ308" i="5"/>
  <c r="AP308" i="5"/>
  <c r="AO308" i="5"/>
  <c r="AM308" i="5"/>
  <c r="AL308" i="5"/>
  <c r="AK308" i="5"/>
  <c r="AO64" i="1" s="1"/>
  <c r="AO15" i="1" s="1"/>
  <c r="AJ308" i="5"/>
  <c r="AG308" i="5"/>
  <c r="AE308" i="5"/>
  <c r="AO61" i="1" s="1"/>
  <c r="AD308" i="5"/>
  <c r="Z308" i="5"/>
  <c r="Y308" i="5"/>
  <c r="X308" i="5"/>
  <c r="V308" i="5"/>
  <c r="AO56" i="1" s="1"/>
  <c r="T308" i="5"/>
  <c r="O308" i="5"/>
  <c r="N308" i="5"/>
  <c r="M308" i="5"/>
  <c r="L308" i="5"/>
  <c r="K308" i="5"/>
  <c r="J308" i="5"/>
  <c r="I308" i="5"/>
  <c r="AO7" i="1" s="1"/>
  <c r="H308" i="5"/>
  <c r="G308" i="5"/>
  <c r="F308" i="5"/>
  <c r="E308" i="5"/>
  <c r="BR307" i="5"/>
  <c r="BQ307" i="5"/>
  <c r="BP307" i="5"/>
  <c r="BR306" i="5"/>
  <c r="BQ306" i="5"/>
  <c r="BP306" i="5"/>
  <c r="BR305" i="5"/>
  <c r="BQ305" i="5"/>
  <c r="BP305" i="5"/>
  <c r="AW305" i="5"/>
  <c r="AW308" i="5" s="1"/>
  <c r="AV305" i="5"/>
  <c r="AV308" i="5" s="1"/>
  <c r="AO75" i="1" s="1"/>
  <c r="AU305" i="5"/>
  <c r="AU308" i="5" s="1"/>
  <c r="AO74" i="1" s="1"/>
  <c r="AT305" i="5"/>
  <c r="AN305" i="5"/>
  <c r="BF303" i="5"/>
  <c r="AN84" i="1" s="1"/>
  <c r="BE303" i="5"/>
  <c r="BD303" i="5"/>
  <c r="BC303" i="5"/>
  <c r="BB303" i="5"/>
  <c r="BA303" i="5"/>
  <c r="AN80" i="1" s="1"/>
  <c r="AZ303" i="5"/>
  <c r="AY303" i="5"/>
  <c r="AX303" i="5"/>
  <c r="AN77" i="1" s="1"/>
  <c r="AS303" i="5"/>
  <c r="AQ303" i="5"/>
  <c r="AP303" i="5"/>
  <c r="AO303" i="5"/>
  <c r="AN68" i="1" s="1"/>
  <c r="AM303" i="5"/>
  <c r="AN66" i="1" s="1"/>
  <c r="AL303" i="5"/>
  <c r="AK303" i="5"/>
  <c r="AJ303" i="5"/>
  <c r="AG303" i="5"/>
  <c r="AE303" i="5"/>
  <c r="AD303" i="5"/>
  <c r="Z303" i="5"/>
  <c r="Y303" i="5"/>
  <c r="AN59" i="1" s="1"/>
  <c r="X303" i="5"/>
  <c r="V303" i="5"/>
  <c r="T303" i="5"/>
  <c r="N303" i="5"/>
  <c r="M303" i="5"/>
  <c r="L303" i="5"/>
  <c r="K303" i="5"/>
  <c r="J303" i="5"/>
  <c r="AN8" i="1" s="1"/>
  <c r="I303" i="5"/>
  <c r="H303" i="5"/>
  <c r="G303" i="5"/>
  <c r="F303" i="5"/>
  <c r="E303" i="5"/>
  <c r="BR302" i="5"/>
  <c r="BQ302" i="5"/>
  <c r="BP302" i="5"/>
  <c r="BR301" i="5"/>
  <c r="BQ301" i="5"/>
  <c r="BP301" i="5"/>
  <c r="AR301" i="5" s="1"/>
  <c r="AR303" i="5" s="1"/>
  <c r="AN71" i="1" s="1"/>
  <c r="AW301" i="5"/>
  <c r="AW303" i="5" s="1"/>
  <c r="AN76" i="1" s="1"/>
  <c r="AV301" i="5"/>
  <c r="AU301" i="5"/>
  <c r="AU303" i="5" s="1"/>
  <c r="AT301" i="5"/>
  <c r="AT303" i="5" s="1"/>
  <c r="AN73" i="1" s="1"/>
  <c r="AN301" i="5"/>
  <c r="AN303" i="5" s="1"/>
  <c r="AN67" i="1" s="1"/>
  <c r="BR300" i="5"/>
  <c r="BQ300" i="5"/>
  <c r="BP300" i="5"/>
  <c r="BF298" i="5"/>
  <c r="BE298" i="5"/>
  <c r="BD298" i="5"/>
  <c r="BC298" i="5"/>
  <c r="AV81" i="1" s="1"/>
  <c r="BB298" i="5"/>
  <c r="BA298" i="5"/>
  <c r="AZ298" i="5"/>
  <c r="AY298" i="5"/>
  <c r="AX298" i="5"/>
  <c r="AS298" i="5"/>
  <c r="AQ298" i="5"/>
  <c r="AP298" i="5"/>
  <c r="AV69" i="1" s="1"/>
  <c r="AO298" i="5"/>
  <c r="AV68" i="1" s="1"/>
  <c r="AM298" i="5"/>
  <c r="AL298" i="5"/>
  <c r="AK298" i="5"/>
  <c r="AJ298" i="5"/>
  <c r="AG298" i="5"/>
  <c r="AE298" i="5"/>
  <c r="AD298" i="5"/>
  <c r="Z298" i="5"/>
  <c r="Y298" i="5"/>
  <c r="X298" i="5"/>
  <c r="V298" i="5"/>
  <c r="T298" i="5"/>
  <c r="O298" i="5"/>
  <c r="N298" i="5"/>
  <c r="M298" i="5"/>
  <c r="L298" i="5"/>
  <c r="AV10" i="1" s="1"/>
  <c r="AV49" i="1" s="1"/>
  <c r="K298" i="5"/>
  <c r="J298" i="5"/>
  <c r="I298" i="5"/>
  <c r="Q298" i="5" s="1"/>
  <c r="G298" i="5"/>
  <c r="F298" i="5"/>
  <c r="E298" i="5"/>
  <c r="BR295" i="5"/>
  <c r="BQ295" i="5"/>
  <c r="BP295" i="5"/>
  <c r="AW295" i="5"/>
  <c r="AV295" i="5"/>
  <c r="AU295" i="5"/>
  <c r="AU298" i="5" s="1"/>
  <c r="AT295" i="5"/>
  <c r="AT298" i="5" s="1"/>
  <c r="AV73" i="1" s="1"/>
  <c r="AN295" i="5"/>
  <c r="AN298" i="5" s="1"/>
  <c r="AV67" i="1" s="1"/>
  <c r="H295" i="5"/>
  <c r="H298" i="5" s="1"/>
  <c r="BF293" i="5"/>
  <c r="BE293" i="5"/>
  <c r="BD293" i="5"/>
  <c r="BC293" i="5"/>
  <c r="V81" i="1" s="1"/>
  <c r="BB293" i="5"/>
  <c r="BA293" i="5"/>
  <c r="AZ293" i="5"/>
  <c r="V79" i="1" s="1"/>
  <c r="AY293" i="5"/>
  <c r="V78" i="1" s="1"/>
  <c r="AX293" i="5"/>
  <c r="AS293" i="5"/>
  <c r="AQ293" i="5"/>
  <c r="AP293" i="5"/>
  <c r="V69" i="1" s="1"/>
  <c r="AO293" i="5"/>
  <c r="AM293" i="5"/>
  <c r="AL293" i="5"/>
  <c r="V65" i="1" s="1"/>
  <c r="AK293" i="5"/>
  <c r="V64" i="1" s="1"/>
  <c r="AJ293" i="5"/>
  <c r="AG293" i="5"/>
  <c r="AE293" i="5"/>
  <c r="AD293" i="5"/>
  <c r="Z293" i="5"/>
  <c r="Y293" i="5"/>
  <c r="X293" i="5"/>
  <c r="V293" i="5"/>
  <c r="T293" i="5"/>
  <c r="O293" i="5"/>
  <c r="N293" i="5"/>
  <c r="M293" i="5"/>
  <c r="L293" i="5"/>
  <c r="K293" i="5"/>
  <c r="J293" i="5"/>
  <c r="I293" i="5"/>
  <c r="G293" i="5"/>
  <c r="F293" i="5"/>
  <c r="E293" i="5"/>
  <c r="H292" i="5"/>
  <c r="BR289" i="5"/>
  <c r="BQ289" i="5"/>
  <c r="BP289" i="5"/>
  <c r="AW289" i="5"/>
  <c r="AW293" i="5" s="1"/>
  <c r="AV289" i="5"/>
  <c r="AV293" i="5" s="1"/>
  <c r="AU289" i="5"/>
  <c r="AU293" i="5" s="1"/>
  <c r="AT289" i="5"/>
  <c r="AT293" i="5"/>
  <c r="V73" i="1" s="1"/>
  <c r="AN289" i="5"/>
  <c r="AN293" i="5" s="1"/>
  <c r="H289" i="5"/>
  <c r="BF282" i="5"/>
  <c r="BE282" i="5"/>
  <c r="BD282" i="5"/>
  <c r="BC282" i="5"/>
  <c r="BA282" i="5"/>
  <c r="AZ282" i="5"/>
  <c r="AY282" i="5"/>
  <c r="AX282" i="5"/>
  <c r="AS282" i="5"/>
  <c r="AQ282" i="5"/>
  <c r="AP282" i="5"/>
  <c r="AO282" i="5"/>
  <c r="AM282" i="5"/>
  <c r="AL282" i="5"/>
  <c r="AK282" i="5"/>
  <c r="AG282" i="5"/>
  <c r="AE282" i="5"/>
  <c r="Y282" i="5"/>
  <c r="X282" i="5"/>
  <c r="V282" i="5"/>
  <c r="T282" i="5"/>
  <c r="O282" i="5"/>
  <c r="N282" i="5"/>
  <c r="M282" i="5"/>
  <c r="L282" i="5"/>
  <c r="K282" i="5"/>
  <c r="J282" i="5"/>
  <c r="I282" i="5"/>
  <c r="G282" i="5"/>
  <c r="F282" i="5"/>
  <c r="E282" i="5"/>
  <c r="BR281" i="5"/>
  <c r="BQ281" i="5"/>
  <c r="BP281" i="5"/>
  <c r="AW281" i="5"/>
  <c r="AV281" i="5"/>
  <c r="AU281" i="5"/>
  <c r="AT281" i="5"/>
  <c r="AN281" i="5"/>
  <c r="H281" i="5"/>
  <c r="H282" i="5" s="1"/>
  <c r="D280" i="5"/>
  <c r="D277" i="5"/>
  <c r="BF275" i="5"/>
  <c r="BE275" i="5"/>
  <c r="BD275" i="5"/>
  <c r="BC275" i="5"/>
  <c r="BA275" i="5"/>
  <c r="AZ275" i="5"/>
  <c r="AY275" i="5"/>
  <c r="CC78" i="1" s="1"/>
  <c r="AX275" i="5"/>
  <c r="AS275" i="5"/>
  <c r="AQ275" i="5"/>
  <c r="AP275" i="5"/>
  <c r="AO275" i="5"/>
  <c r="AM275" i="5"/>
  <c r="AL275" i="5"/>
  <c r="AK275" i="5"/>
  <c r="CC64" i="1" s="1"/>
  <c r="AG275" i="5"/>
  <c r="CC63" i="1" s="1"/>
  <c r="AE275" i="5"/>
  <c r="Y275" i="5"/>
  <c r="X275" i="5"/>
  <c r="V275" i="5"/>
  <c r="T275" i="5"/>
  <c r="O275" i="5"/>
  <c r="N275" i="5"/>
  <c r="M275" i="5"/>
  <c r="L275" i="5"/>
  <c r="K275" i="5"/>
  <c r="J275" i="5"/>
  <c r="I275" i="5"/>
  <c r="G275" i="5"/>
  <c r="F275" i="5"/>
  <c r="E275" i="5"/>
  <c r="BR274" i="5"/>
  <c r="BQ274" i="5"/>
  <c r="BP274" i="5"/>
  <c r="AW274" i="5"/>
  <c r="AV274" i="5"/>
  <c r="AU274" i="5"/>
  <c r="AT274" i="5"/>
  <c r="AN274" i="5"/>
  <c r="H274" i="5"/>
  <c r="H275" i="5" s="1"/>
  <c r="BR272" i="5"/>
  <c r="BQ272" i="5"/>
  <c r="BP272" i="5"/>
  <c r="AW272" i="5"/>
  <c r="AV272" i="5"/>
  <c r="AU272" i="5"/>
  <c r="AT272" i="5"/>
  <c r="AN272" i="5"/>
  <c r="AX271" i="5"/>
  <c r="AY271" i="5" s="1"/>
  <c r="I271" i="5"/>
  <c r="Q271" i="5" s="1"/>
  <c r="I270" i="5"/>
  <c r="Q270" i="5" s="1"/>
  <c r="AX269" i="5"/>
  <c r="AY269" i="5" s="1"/>
  <c r="BF267" i="5"/>
  <c r="BE267" i="5"/>
  <c r="BD267" i="5"/>
  <c r="BU82" i="1" s="1"/>
  <c r="BC267" i="5"/>
  <c r="BU81" i="1" s="1"/>
  <c r="BB267" i="5"/>
  <c r="BA267" i="5"/>
  <c r="AZ267" i="5"/>
  <c r="AY267" i="5"/>
  <c r="BU78" i="1" s="1"/>
  <c r="AX267" i="5"/>
  <c r="AS267" i="5"/>
  <c r="AQ267" i="5"/>
  <c r="AP267" i="5"/>
  <c r="BU69" i="1" s="1"/>
  <c r="AO267" i="5"/>
  <c r="AM267" i="5"/>
  <c r="AL267" i="5"/>
  <c r="AK267" i="5"/>
  <c r="BU64" i="1" s="1"/>
  <c r="AJ267" i="5"/>
  <c r="AI267" i="5"/>
  <c r="AH267" i="5"/>
  <c r="AG267" i="5"/>
  <c r="AE267" i="5"/>
  <c r="AD267" i="5"/>
  <c r="AC267" i="5"/>
  <c r="AB267" i="5"/>
  <c r="AA267" i="5"/>
  <c r="Z267" i="5"/>
  <c r="Y267" i="5"/>
  <c r="BU59" i="1" s="1"/>
  <c r="X267" i="5"/>
  <c r="W267" i="5"/>
  <c r="V267" i="5"/>
  <c r="U267" i="5"/>
  <c r="T267" i="5"/>
  <c r="S267" i="5"/>
  <c r="R267" i="5"/>
  <c r="O267" i="5"/>
  <c r="N267" i="5"/>
  <c r="M267" i="5"/>
  <c r="L267" i="5"/>
  <c r="K267" i="5"/>
  <c r="J267" i="5"/>
  <c r="I267" i="5"/>
  <c r="G267" i="5"/>
  <c r="F267" i="5"/>
  <c r="E267" i="5"/>
  <c r="D266" i="5"/>
  <c r="BR265" i="5"/>
  <c r="BQ265" i="5"/>
  <c r="BP265" i="5"/>
  <c r="AW265" i="5"/>
  <c r="AV265" i="5"/>
  <c r="AU265" i="5"/>
  <c r="AT265" i="5"/>
  <c r="AT267" i="5" s="1"/>
  <c r="BU73" i="1" s="1"/>
  <c r="AN265" i="5"/>
  <c r="AN267" i="5" s="1"/>
  <c r="BU67" i="1" s="1"/>
  <c r="H265" i="5"/>
  <c r="BF262" i="5"/>
  <c r="BE262" i="5"/>
  <c r="BD262" i="5"/>
  <c r="BC262" i="5"/>
  <c r="BB262" i="5"/>
  <c r="BA262" i="5"/>
  <c r="AZ262" i="5"/>
  <c r="AY262" i="5"/>
  <c r="AX262" i="5"/>
  <c r="AS262" i="5"/>
  <c r="AQ262" i="5"/>
  <c r="AP262" i="5"/>
  <c r="AO262" i="5"/>
  <c r="AM262" i="5"/>
  <c r="AL262" i="5"/>
  <c r="AK262" i="5"/>
  <c r="AJ262" i="5"/>
  <c r="AI262" i="5"/>
  <c r="AH262" i="5"/>
  <c r="AG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O262" i="5"/>
  <c r="N262" i="5"/>
  <c r="M262" i="5"/>
  <c r="L262" i="5"/>
  <c r="K262" i="5"/>
  <c r="J262" i="5"/>
  <c r="I262" i="5"/>
  <c r="G262" i="5"/>
  <c r="F262" i="5"/>
  <c r="E262" i="5"/>
  <c r="BR260" i="5"/>
  <c r="BQ260" i="5"/>
  <c r="BP260" i="5"/>
  <c r="AW260" i="5"/>
  <c r="AW262" i="5" s="1"/>
  <c r="AV260" i="5"/>
  <c r="AV262" i="5" s="1"/>
  <c r="AU260" i="5"/>
  <c r="AT260" i="5"/>
  <c r="AT262" i="5" s="1"/>
  <c r="AN260" i="5"/>
  <c r="AN262" i="5" s="1"/>
  <c r="H260" i="5"/>
  <c r="H262" i="5" s="1"/>
  <c r="BF257" i="5"/>
  <c r="BO84" i="1" s="1"/>
  <c r="BE257" i="5"/>
  <c r="BD257" i="5"/>
  <c r="BC257" i="5"/>
  <c r="BB257" i="5"/>
  <c r="BA257" i="5"/>
  <c r="AZ257" i="5"/>
  <c r="AY257" i="5"/>
  <c r="BO78" i="1" s="1"/>
  <c r="AX257" i="5"/>
  <c r="BO77" i="1" s="1"/>
  <c r="AS257" i="5"/>
  <c r="AQ257" i="5"/>
  <c r="AP257" i="5"/>
  <c r="AO257" i="5"/>
  <c r="AM257" i="5"/>
  <c r="AL257" i="5"/>
  <c r="AK257" i="5"/>
  <c r="BO64" i="1" s="1"/>
  <c r="AJ257" i="5"/>
  <c r="AI257" i="5"/>
  <c r="AH257" i="5"/>
  <c r="AG257" i="5"/>
  <c r="AE257" i="5"/>
  <c r="BO61" i="1" s="1"/>
  <c r="AD257" i="5"/>
  <c r="AC257" i="5"/>
  <c r="AB257" i="5"/>
  <c r="AA257" i="5"/>
  <c r="Z257" i="5"/>
  <c r="Y257" i="5"/>
  <c r="X257" i="5"/>
  <c r="W257" i="5"/>
  <c r="V257" i="5"/>
  <c r="U257" i="5"/>
  <c r="T257" i="5"/>
  <c r="BO55" i="1" s="1"/>
  <c r="S257" i="5"/>
  <c r="R257" i="5"/>
  <c r="O257" i="5"/>
  <c r="N257" i="5"/>
  <c r="M257" i="5"/>
  <c r="L257" i="5"/>
  <c r="K257" i="5"/>
  <c r="J257" i="5"/>
  <c r="I257" i="5"/>
  <c r="G257" i="5"/>
  <c r="F257" i="5"/>
  <c r="E257" i="5"/>
  <c r="BR255" i="5"/>
  <c r="AR255" i="5" s="1"/>
  <c r="AR257" i="5" s="1"/>
  <c r="BO71" i="1" s="1"/>
  <c r="BQ255" i="5"/>
  <c r="BP255" i="5"/>
  <c r="AW255" i="5"/>
  <c r="AW257" i="5" s="1"/>
  <c r="BO76" i="1" s="1"/>
  <c r="AV255" i="5"/>
  <c r="AU255" i="5"/>
  <c r="AU257" i="5" s="1"/>
  <c r="BO74" i="1" s="1"/>
  <c r="AT255" i="5"/>
  <c r="AT257" i="5" s="1"/>
  <c r="BO73" i="1" s="1"/>
  <c r="AN255" i="5"/>
  <c r="AN257" i="5" s="1"/>
  <c r="H255" i="5"/>
  <c r="H257" i="5" s="1"/>
  <c r="BF252" i="5"/>
  <c r="BE252" i="5"/>
  <c r="BD252" i="5"/>
  <c r="BN82" i="1" s="1"/>
  <c r="BC252" i="5"/>
  <c r="BB252" i="5"/>
  <c r="BA252" i="5"/>
  <c r="AZ252" i="5"/>
  <c r="AY252" i="5"/>
  <c r="BN78" i="1" s="1"/>
  <c r="BP78" i="1" s="1"/>
  <c r="AX252" i="5"/>
  <c r="AS252" i="5"/>
  <c r="AQ252" i="5"/>
  <c r="BN70" i="1" s="1"/>
  <c r="AP252" i="5"/>
  <c r="BN69" i="1" s="1"/>
  <c r="AO252" i="5"/>
  <c r="AM252" i="5"/>
  <c r="AL252" i="5"/>
  <c r="AK252" i="5"/>
  <c r="AJ252" i="5"/>
  <c r="AI252" i="5"/>
  <c r="AH252" i="5"/>
  <c r="AG252" i="5"/>
  <c r="BN63" i="1" s="1"/>
  <c r="AE252" i="5"/>
  <c r="AD252" i="5"/>
  <c r="AC252" i="5"/>
  <c r="AB252" i="5"/>
  <c r="AA252" i="5"/>
  <c r="Z252" i="5"/>
  <c r="Y252" i="5"/>
  <c r="BN59" i="1" s="1"/>
  <c r="X252" i="5"/>
  <c r="BN58" i="1" s="1"/>
  <c r="W252" i="5"/>
  <c r="V252" i="5"/>
  <c r="U252" i="5"/>
  <c r="T252" i="5"/>
  <c r="S252" i="5"/>
  <c r="R252" i="5"/>
  <c r="O252" i="5"/>
  <c r="BN13" i="1" s="1"/>
  <c r="N252" i="5"/>
  <c r="M252" i="5"/>
  <c r="L252" i="5"/>
  <c r="K252" i="5"/>
  <c r="J252" i="5"/>
  <c r="I252" i="5"/>
  <c r="G252" i="5"/>
  <c r="F252" i="5"/>
  <c r="E252" i="5"/>
  <c r="BR250" i="5"/>
  <c r="BQ250" i="5"/>
  <c r="BP250" i="5"/>
  <c r="AW250" i="5"/>
  <c r="AW252" i="5" s="1"/>
  <c r="AV250" i="5"/>
  <c r="AU250" i="5"/>
  <c r="AT250" i="5"/>
  <c r="AT252" i="5" s="1"/>
  <c r="BN73" i="1" s="1"/>
  <c r="AN250" i="5"/>
  <c r="AN252" i="5" s="1"/>
  <c r="H250" i="5"/>
  <c r="H252" i="5" s="1"/>
  <c r="BF247" i="5"/>
  <c r="BE247" i="5"/>
  <c r="BD247" i="5"/>
  <c r="BC247" i="5"/>
  <c r="BB247" i="5"/>
  <c r="BA247" i="5"/>
  <c r="AZ247" i="5"/>
  <c r="AY247" i="5"/>
  <c r="AX247" i="5"/>
  <c r="AS247" i="5"/>
  <c r="AQ247" i="5"/>
  <c r="AP247" i="5"/>
  <c r="AO247" i="5"/>
  <c r="AM247" i="5"/>
  <c r="AL247" i="5"/>
  <c r="AK247" i="5"/>
  <c r="AJ247" i="5"/>
  <c r="AI247" i="5"/>
  <c r="AH247" i="5"/>
  <c r="AG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O247" i="5"/>
  <c r="N247" i="5"/>
  <c r="M247" i="5"/>
  <c r="L247" i="5"/>
  <c r="K247" i="5"/>
  <c r="J247" i="5"/>
  <c r="I247" i="5"/>
  <c r="G247" i="5"/>
  <c r="F247" i="5"/>
  <c r="E247" i="5"/>
  <c r="BR245" i="5"/>
  <c r="BQ245" i="5"/>
  <c r="BP245" i="5"/>
  <c r="AW245" i="5"/>
  <c r="AW247" i="5" s="1"/>
  <c r="AV245" i="5"/>
  <c r="AU245" i="5"/>
  <c r="AU247" i="5" s="1"/>
  <c r="AT245" i="5"/>
  <c r="AT247" i="5" s="1"/>
  <c r="AN245" i="5"/>
  <c r="H245" i="5"/>
  <c r="H247" i="5" s="1"/>
  <c r="BF242" i="5"/>
  <c r="BE242" i="5"/>
  <c r="BD242" i="5"/>
  <c r="BC242" i="5"/>
  <c r="BB242" i="5"/>
  <c r="BA242" i="5"/>
  <c r="AZ242" i="5"/>
  <c r="AY242" i="5"/>
  <c r="AX242" i="5"/>
  <c r="AS242" i="5"/>
  <c r="AQ242" i="5"/>
  <c r="AP242" i="5"/>
  <c r="AO242" i="5"/>
  <c r="AM242" i="5"/>
  <c r="AL242" i="5"/>
  <c r="AK242" i="5"/>
  <c r="AJ242" i="5"/>
  <c r="AI242" i="5"/>
  <c r="AH242" i="5"/>
  <c r="AG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O242" i="5"/>
  <c r="N242" i="5"/>
  <c r="M242" i="5"/>
  <c r="L242" i="5"/>
  <c r="K242" i="5"/>
  <c r="J242" i="5"/>
  <c r="I242" i="5"/>
  <c r="G242" i="5"/>
  <c r="F242" i="5"/>
  <c r="E242" i="5"/>
  <c r="D242" i="5" s="1"/>
  <c r="BR240" i="5"/>
  <c r="BQ240" i="5"/>
  <c r="BP240" i="5"/>
  <c r="AW240" i="5"/>
  <c r="AW242" i="5" s="1"/>
  <c r="AV240" i="5"/>
  <c r="AV242" i="5" s="1"/>
  <c r="AU240" i="5"/>
  <c r="AT240" i="5"/>
  <c r="AT242" i="5" s="1"/>
  <c r="AN240" i="5"/>
  <c r="AN242" i="5" s="1"/>
  <c r="H240" i="5"/>
  <c r="H242" i="5" s="1"/>
  <c r="BF237" i="5"/>
  <c r="BT84" i="1" s="1"/>
  <c r="BE237" i="5"/>
  <c r="BT83" i="1" s="1"/>
  <c r="BD237" i="5"/>
  <c r="BC237" i="5"/>
  <c r="BB237" i="5"/>
  <c r="BA237" i="5"/>
  <c r="AZ237" i="5"/>
  <c r="AY237" i="5"/>
  <c r="BT78" i="1" s="1"/>
  <c r="AX237" i="5"/>
  <c r="AS237" i="5"/>
  <c r="BT72" i="1" s="1"/>
  <c r="AQ237" i="5"/>
  <c r="AP237" i="5"/>
  <c r="AO237" i="5"/>
  <c r="BT68" i="1" s="1"/>
  <c r="AM237" i="5"/>
  <c r="AL237" i="5"/>
  <c r="AK237" i="5"/>
  <c r="BT64" i="1" s="1"/>
  <c r="AJ237" i="5"/>
  <c r="AI237" i="5"/>
  <c r="AH237" i="5"/>
  <c r="AG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BT55" i="1" s="1"/>
  <c r="S237" i="5"/>
  <c r="R237" i="5"/>
  <c r="O237" i="5"/>
  <c r="N237" i="5"/>
  <c r="M237" i="5"/>
  <c r="L237" i="5"/>
  <c r="K237" i="5"/>
  <c r="J237" i="5"/>
  <c r="I237" i="5"/>
  <c r="G237" i="5"/>
  <c r="F237" i="5"/>
  <c r="E237" i="5"/>
  <c r="BR235" i="5"/>
  <c r="BQ235" i="5"/>
  <c r="BP235" i="5"/>
  <c r="AW235" i="5"/>
  <c r="AW237" i="5" s="1"/>
  <c r="BT76" i="1" s="1"/>
  <c r="AV235" i="5"/>
  <c r="AV237" i="5" s="1"/>
  <c r="BT75" i="1" s="1"/>
  <c r="AU235" i="5"/>
  <c r="AT235" i="5"/>
  <c r="AN235" i="5"/>
  <c r="H235" i="5"/>
  <c r="H237" i="5" s="1"/>
  <c r="BF232" i="5"/>
  <c r="BE232" i="5"/>
  <c r="BD232" i="5"/>
  <c r="AS82" i="1" s="1"/>
  <c r="BC232" i="5"/>
  <c r="BB232" i="5"/>
  <c r="BA232" i="5"/>
  <c r="AZ232" i="5"/>
  <c r="AY232" i="5"/>
  <c r="AS78" i="1" s="1"/>
  <c r="AX232" i="5"/>
  <c r="AS232" i="5"/>
  <c r="AQ232" i="5"/>
  <c r="AS70" i="1" s="1"/>
  <c r="AP232" i="5"/>
  <c r="AO232" i="5"/>
  <c r="AM232" i="5"/>
  <c r="AL232" i="5"/>
  <c r="AK232" i="5"/>
  <c r="AJ232" i="5"/>
  <c r="AI232" i="5"/>
  <c r="AH232" i="5"/>
  <c r="AG232" i="5"/>
  <c r="AS63" i="1" s="1"/>
  <c r="AS14" i="1" s="1"/>
  <c r="AE232" i="5"/>
  <c r="AD232" i="5"/>
  <c r="AC232" i="5"/>
  <c r="AB232" i="5"/>
  <c r="AA232" i="5"/>
  <c r="Z232" i="5"/>
  <c r="Y232" i="5"/>
  <c r="AS59" i="1" s="1"/>
  <c r="X232" i="5"/>
  <c r="W232" i="5"/>
  <c r="V232" i="5"/>
  <c r="U232" i="5"/>
  <c r="T232" i="5"/>
  <c r="AS55" i="1" s="1"/>
  <c r="S232" i="5"/>
  <c r="R232" i="5"/>
  <c r="O232" i="5"/>
  <c r="AS13" i="1" s="1"/>
  <c r="N232" i="5"/>
  <c r="M232" i="5"/>
  <c r="L232" i="5"/>
  <c r="K232" i="5"/>
  <c r="J232" i="5"/>
  <c r="I232" i="5"/>
  <c r="G232" i="5"/>
  <c r="F232" i="5"/>
  <c r="AS4" i="1" s="1"/>
  <c r="E232" i="5"/>
  <c r="BR230" i="5"/>
  <c r="BQ230" i="5"/>
  <c r="BP230" i="5"/>
  <c r="AW230" i="5"/>
  <c r="AW232" i="5" s="1"/>
  <c r="AS76" i="1" s="1"/>
  <c r="AV230" i="5"/>
  <c r="AV232" i="5" s="1"/>
  <c r="AU230" i="5"/>
  <c r="AT230" i="5"/>
  <c r="AT232" i="5" s="1"/>
  <c r="AS73" i="1" s="1"/>
  <c r="AN230" i="5"/>
  <c r="AN232" i="5" s="1"/>
  <c r="H230" i="5"/>
  <c r="BF227" i="5"/>
  <c r="BE227" i="5"/>
  <c r="BD227" i="5"/>
  <c r="BR82" i="1" s="1"/>
  <c r="BC227" i="5"/>
  <c r="BB227" i="5"/>
  <c r="BA227" i="5"/>
  <c r="BR80" i="1" s="1"/>
  <c r="AZ227" i="5"/>
  <c r="BR79" i="1" s="1"/>
  <c r="AY227" i="5"/>
  <c r="AX227" i="5"/>
  <c r="AS227" i="5"/>
  <c r="AQ227" i="5"/>
  <c r="BR70" i="1" s="1"/>
  <c r="AP227" i="5"/>
  <c r="AO227" i="5"/>
  <c r="AM227" i="5"/>
  <c r="BR66" i="1" s="1"/>
  <c r="AL227" i="5"/>
  <c r="AK227" i="5"/>
  <c r="AJ227" i="5"/>
  <c r="AG227" i="5"/>
  <c r="AE227" i="5"/>
  <c r="AD227" i="5"/>
  <c r="Z227" i="5"/>
  <c r="Y227" i="5"/>
  <c r="BR59" i="1" s="1"/>
  <c r="X227" i="5"/>
  <c r="W227" i="5"/>
  <c r="U227" i="5"/>
  <c r="T227" i="5"/>
  <c r="O227" i="5"/>
  <c r="N227" i="5"/>
  <c r="M227" i="5"/>
  <c r="L227" i="5"/>
  <c r="BR10" i="1" s="1"/>
  <c r="BR49" i="1" s="1"/>
  <c r="K227" i="5"/>
  <c r="J227" i="5"/>
  <c r="I227" i="5"/>
  <c r="H227" i="5"/>
  <c r="G227" i="5"/>
  <c r="F227" i="5"/>
  <c r="E227" i="5"/>
  <c r="BR225" i="5"/>
  <c r="BQ225" i="5"/>
  <c r="BP225" i="5"/>
  <c r="AW225" i="5"/>
  <c r="AV225" i="5"/>
  <c r="AU225" i="5"/>
  <c r="AT225" i="5"/>
  <c r="AN225" i="5"/>
  <c r="V225" i="5"/>
  <c r="BR224" i="5"/>
  <c r="BQ224" i="5"/>
  <c r="BP224" i="5"/>
  <c r="AW224" i="5"/>
  <c r="AV224" i="5"/>
  <c r="AU224" i="5"/>
  <c r="AT224" i="5"/>
  <c r="AN224" i="5"/>
  <c r="V224" i="5"/>
  <c r="BR221" i="5"/>
  <c r="BQ221" i="5"/>
  <c r="BP221" i="5"/>
  <c r="AW221" i="5"/>
  <c r="AV221" i="5"/>
  <c r="AU221" i="5"/>
  <c r="AT221" i="5"/>
  <c r="AN221" i="5"/>
  <c r="BG219" i="5"/>
  <c r="BF219" i="5"/>
  <c r="BE219" i="5"/>
  <c r="BD219" i="5"/>
  <c r="BQ82" i="1" s="1"/>
  <c r="BC219" i="5"/>
  <c r="BB219" i="5"/>
  <c r="BA219" i="5"/>
  <c r="BQ80" i="1" s="1"/>
  <c r="AZ219" i="5"/>
  <c r="BQ79" i="1" s="1"/>
  <c r="AY219" i="5"/>
  <c r="BQ78" i="1" s="1"/>
  <c r="AX219" i="5"/>
  <c r="AS219" i="5"/>
  <c r="AQ219" i="5"/>
  <c r="BQ70" i="1" s="1"/>
  <c r="AP219" i="5"/>
  <c r="AO219" i="5"/>
  <c r="AM219" i="5"/>
  <c r="BQ66" i="1" s="1"/>
  <c r="AL219" i="5"/>
  <c r="AK219" i="5"/>
  <c r="AJ219" i="5"/>
  <c r="AG219" i="5"/>
  <c r="AE219" i="5"/>
  <c r="BQ61" i="1" s="1"/>
  <c r="AD219" i="5"/>
  <c r="Y219" i="5"/>
  <c r="X219" i="5"/>
  <c r="BQ58" i="1" s="1"/>
  <c r="U219" i="5"/>
  <c r="T219" i="5"/>
  <c r="P219" i="5"/>
  <c r="O219" i="5"/>
  <c r="N219" i="5"/>
  <c r="M219" i="5"/>
  <c r="L219" i="5"/>
  <c r="K219" i="5"/>
  <c r="BQ9" i="1" s="1"/>
  <c r="J219" i="5"/>
  <c r="G219" i="5"/>
  <c r="F219" i="5"/>
  <c r="E219" i="5"/>
  <c r="BR217" i="5"/>
  <c r="BQ217" i="5"/>
  <c r="BP217" i="5"/>
  <c r="AW217" i="5"/>
  <c r="AV217" i="5"/>
  <c r="AU217" i="5"/>
  <c r="AT217" i="5"/>
  <c r="AN217" i="5"/>
  <c r="V217" i="5"/>
  <c r="V219" i="5" s="1"/>
  <c r="BQ56" i="1" s="1"/>
  <c r="I216" i="5"/>
  <c r="I219" i="5" s="1"/>
  <c r="H216" i="5"/>
  <c r="H219" i="5" s="1"/>
  <c r="BR214" i="5"/>
  <c r="BQ214" i="5"/>
  <c r="BP214" i="5"/>
  <c r="AW214" i="5"/>
  <c r="AV214" i="5"/>
  <c r="AU214" i="5"/>
  <c r="AT214" i="5"/>
  <c r="AT219" i="5" s="1"/>
  <c r="AN214" i="5"/>
  <c r="BD210" i="5"/>
  <c r="Z82" i="1" s="1"/>
  <c r="BC210" i="5"/>
  <c r="AJ210" i="5"/>
  <c r="AD210" i="5"/>
  <c r="Z210" i="5"/>
  <c r="Y210" i="5"/>
  <c r="Z59" i="1" s="1"/>
  <c r="W210" i="5"/>
  <c r="U210" i="5"/>
  <c r="S210" i="5"/>
  <c r="R210" i="5"/>
  <c r="P209" i="5"/>
  <c r="O209" i="5"/>
  <c r="BR208" i="5"/>
  <c r="BQ208" i="5"/>
  <c r="BP208" i="5"/>
  <c r="AW208" i="5"/>
  <c r="AV208" i="5"/>
  <c r="AU208" i="5"/>
  <c r="AT208" i="5"/>
  <c r="AN208" i="5"/>
  <c r="N208" i="5"/>
  <c r="M208" i="5"/>
  <c r="L208" i="5"/>
  <c r="K208" i="5"/>
  <c r="J208" i="5"/>
  <c r="I208" i="5"/>
  <c r="H208" i="5"/>
  <c r="G208" i="5"/>
  <c r="F208" i="5"/>
  <c r="E208" i="5"/>
  <c r="BR207" i="5"/>
  <c r="BQ207" i="5"/>
  <c r="BP207" i="5"/>
  <c r="I207" i="5"/>
  <c r="BG206" i="5"/>
  <c r="BF206" i="5"/>
  <c r="BE206" i="5"/>
  <c r="BA206" i="5"/>
  <c r="AZ206" i="5"/>
  <c r="AY206" i="5"/>
  <c r="AX206" i="5"/>
  <c r="AT206" i="5"/>
  <c r="AS206" i="5"/>
  <c r="AQ206" i="5"/>
  <c r="AP206" i="5"/>
  <c r="AP209" i="5" s="1"/>
  <c r="AP210" i="5" s="1"/>
  <c r="AO206" i="5"/>
  <c r="AO209" i="5" s="1"/>
  <c r="AO210" i="5" s="1"/>
  <c r="Z68" i="1" s="1"/>
  <c r="AM206" i="5"/>
  <c r="AM209" i="5" s="1"/>
  <c r="AM210" i="5" s="1"/>
  <c r="AL206" i="5"/>
  <c r="AK206" i="5"/>
  <c r="AK209" i="5" s="1"/>
  <c r="AK210" i="5" s="1"/>
  <c r="Z64" i="1" s="1"/>
  <c r="Z15" i="1" s="1"/>
  <c r="AG206" i="5"/>
  <c r="AG209" i="5" s="1"/>
  <c r="AG210" i="5" s="1"/>
  <c r="AE206" i="5"/>
  <c r="Y206" i="5"/>
  <c r="Y209" i="5" s="1"/>
  <c r="X206" i="5"/>
  <c r="V206" i="5"/>
  <c r="V209" i="5" s="1"/>
  <c r="V210" i="5" s="1"/>
  <c r="T206" i="5"/>
  <c r="BR205" i="5"/>
  <c r="BQ205" i="5"/>
  <c r="BP205" i="5"/>
  <c r="BL205" i="5"/>
  <c r="BJ205" i="5"/>
  <c r="BR204" i="5"/>
  <c r="BQ204" i="5"/>
  <c r="BP204" i="5"/>
  <c r="AW204" i="5"/>
  <c r="AW209" i="5" s="1"/>
  <c r="AV204" i="5"/>
  <c r="AV209" i="5" s="1"/>
  <c r="AV210" i="5" s="1"/>
  <c r="Z75" i="1" s="1"/>
  <c r="AU204" i="5"/>
  <c r="AT204" i="5"/>
  <c r="AN204" i="5"/>
  <c r="H204" i="5"/>
  <c r="AR202" i="5"/>
  <c r="AN202" i="5"/>
  <c r="N202" i="5"/>
  <c r="M202" i="5"/>
  <c r="I202" i="5"/>
  <c r="H202" i="5"/>
  <c r="AR201" i="5"/>
  <c r="AN201" i="5"/>
  <c r="N201" i="5"/>
  <c r="M201" i="5"/>
  <c r="M206" i="5" s="1"/>
  <c r="I201" i="5"/>
  <c r="Q201" i="5" s="1"/>
  <c r="H201" i="5"/>
  <c r="AW196" i="5"/>
  <c r="AA76" i="1" s="1"/>
  <c r="AV196" i="5"/>
  <c r="AU196" i="5"/>
  <c r="AA74" i="1" s="1"/>
  <c r="AT196" i="5"/>
  <c r="AR196" i="5"/>
  <c r="AN196" i="5"/>
  <c r="AA67" i="1" s="1"/>
  <c r="Z196" i="5"/>
  <c r="Y196" i="5"/>
  <c r="W196" i="5"/>
  <c r="U196" i="5"/>
  <c r="S196" i="5"/>
  <c r="R196" i="5"/>
  <c r="BD195" i="5"/>
  <c r="BD196" i="5" s="1"/>
  <c r="BC195" i="5"/>
  <c r="BC196" i="5" s="1"/>
  <c r="AA81" i="1" s="1"/>
  <c r="AJ195" i="5"/>
  <c r="P195" i="5"/>
  <c r="P196" i="5" s="1"/>
  <c r="O195" i="5"/>
  <c r="O196" i="5" s="1"/>
  <c r="L195" i="5"/>
  <c r="L196" i="5" s="1"/>
  <c r="J195" i="5"/>
  <c r="F195" i="5"/>
  <c r="E195" i="5"/>
  <c r="E196" i="5"/>
  <c r="AA3" i="1" s="1"/>
  <c r="BR194" i="5"/>
  <c r="BQ194" i="5"/>
  <c r="BP194" i="5"/>
  <c r="AW194" i="5"/>
  <c r="AV194" i="5"/>
  <c r="AU194" i="5"/>
  <c r="AT194" i="5"/>
  <c r="AN194" i="5"/>
  <c r="BR193" i="5"/>
  <c r="BQ193" i="5"/>
  <c r="BP193" i="5"/>
  <c r="BJ193" i="5"/>
  <c r="I191" i="5"/>
  <c r="Q191" i="5" s="1"/>
  <c r="BG189" i="5"/>
  <c r="BF189" i="5"/>
  <c r="BF195" i="5" s="1"/>
  <c r="BE189" i="5"/>
  <c r="BE195" i="5" s="1"/>
  <c r="BE196" i="5" s="1"/>
  <c r="AA83" i="1" s="1"/>
  <c r="BA189" i="5"/>
  <c r="BA195" i="5" s="1"/>
  <c r="BA196" i="5" s="1"/>
  <c r="AA80" i="1" s="1"/>
  <c r="AZ189" i="5"/>
  <c r="AY189" i="5"/>
  <c r="AY195" i="5" s="1"/>
  <c r="AY196" i="5" s="1"/>
  <c r="AA78" i="1" s="1"/>
  <c r="AX189" i="5"/>
  <c r="AS189" i="5"/>
  <c r="AQ189" i="5"/>
  <c r="AP189" i="5"/>
  <c r="AO189" i="5"/>
  <c r="AO195" i="5" s="1"/>
  <c r="AO196" i="5" s="1"/>
  <c r="AA68" i="1" s="1"/>
  <c r="AM189" i="5"/>
  <c r="AM195" i="5" s="1"/>
  <c r="AM196" i="5" s="1"/>
  <c r="AA66" i="1" s="1"/>
  <c r="AL189" i="5"/>
  <c r="AK189" i="5"/>
  <c r="AK195" i="5" s="1"/>
  <c r="AK196" i="5" s="1"/>
  <c r="AA64" i="1" s="1"/>
  <c r="AG189" i="5"/>
  <c r="AG195" i="5" s="1"/>
  <c r="AE189" i="5"/>
  <c r="AE195" i="5" s="1"/>
  <c r="AE196" i="5" s="1"/>
  <c r="AA61" i="1" s="1"/>
  <c r="AD189" i="5"/>
  <c r="Y189" i="5"/>
  <c r="Y195" i="5" s="1"/>
  <c r="X189" i="5"/>
  <c r="X195" i="5" s="1"/>
  <c r="X196" i="5" s="1"/>
  <c r="AA58" i="1" s="1"/>
  <c r="V189" i="5"/>
  <c r="V195" i="5" s="1"/>
  <c r="V196" i="5" s="1"/>
  <c r="AA56" i="1" s="1"/>
  <c r="T189" i="5"/>
  <c r="BR188" i="5"/>
  <c r="BQ188" i="5"/>
  <c r="BP188" i="5"/>
  <c r="BJ188" i="5"/>
  <c r="AW188" i="5"/>
  <c r="AV188" i="5"/>
  <c r="AU188" i="5"/>
  <c r="AT188" i="5"/>
  <c r="AN188" i="5"/>
  <c r="I186" i="5"/>
  <c r="AR183" i="5"/>
  <c r="AN183" i="5"/>
  <c r="N183" i="5"/>
  <c r="M183" i="5"/>
  <c r="I183" i="5"/>
  <c r="H183" i="5"/>
  <c r="AR182" i="5"/>
  <c r="AN182" i="5"/>
  <c r="N182" i="5"/>
  <c r="M182" i="5"/>
  <c r="I182" i="5"/>
  <c r="Q182" i="5"/>
  <c r="H182" i="5"/>
  <c r="AW181" i="5"/>
  <c r="AV181" i="5"/>
  <c r="AU181" i="5"/>
  <c r="AT181" i="5"/>
  <c r="AR181" i="5"/>
  <c r="AN181" i="5"/>
  <c r="N181" i="5"/>
  <c r="M181" i="5"/>
  <c r="L181" i="5"/>
  <c r="K181" i="5"/>
  <c r="J181" i="5"/>
  <c r="I181" i="5"/>
  <c r="H181" i="5"/>
  <c r="G181" i="5"/>
  <c r="F181" i="5"/>
  <c r="E181" i="5"/>
  <c r="AW180" i="5"/>
  <c r="AV180" i="5"/>
  <c r="AU180" i="5"/>
  <c r="AT180" i="5"/>
  <c r="AR180" i="5"/>
  <c r="AN180" i="5"/>
  <c r="N180" i="5"/>
  <c r="M180" i="5"/>
  <c r="L180" i="5"/>
  <c r="K180" i="5"/>
  <c r="J180" i="5"/>
  <c r="I180" i="5"/>
  <c r="H180" i="5"/>
  <c r="G180" i="5"/>
  <c r="F180" i="5"/>
  <c r="E180" i="5"/>
  <c r="BG176" i="5"/>
  <c r="BF174" i="5"/>
  <c r="BF176" i="5" s="1"/>
  <c r="CL84" i="1" s="1"/>
  <c r="BE174" i="5"/>
  <c r="BD174" i="5"/>
  <c r="BC174" i="5"/>
  <c r="BB174" i="5"/>
  <c r="BA174" i="5"/>
  <c r="AZ174" i="5"/>
  <c r="AY174" i="5"/>
  <c r="AX174" i="5"/>
  <c r="AS174" i="5"/>
  <c r="AQ174" i="5"/>
  <c r="AP174" i="5"/>
  <c r="AO174" i="5"/>
  <c r="AM174" i="5"/>
  <c r="AL174" i="5"/>
  <c r="AK174" i="5"/>
  <c r="AJ174" i="5"/>
  <c r="AI174" i="5"/>
  <c r="AH174" i="5"/>
  <c r="AG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P174" i="5"/>
  <c r="BR172" i="5"/>
  <c r="BQ172" i="5"/>
  <c r="BP172" i="5"/>
  <c r="AW172" i="5"/>
  <c r="AW174" i="5" s="1"/>
  <c r="AV172" i="5"/>
  <c r="AV174" i="5" s="1"/>
  <c r="AU172" i="5"/>
  <c r="AT172" i="5"/>
  <c r="AN172" i="5"/>
  <c r="AN174" i="5" s="1"/>
  <c r="H172" i="5"/>
  <c r="H174" i="5" s="1"/>
  <c r="BR170" i="5"/>
  <c r="BQ170" i="5"/>
  <c r="BP170" i="5"/>
  <c r="AW170" i="5"/>
  <c r="AV170" i="5"/>
  <c r="AF170" i="5" s="1"/>
  <c r="AU170" i="5"/>
  <c r="AT170" i="5"/>
  <c r="AN170" i="5"/>
  <c r="BF168" i="5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O176" i="5" s="1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X176" i="5" s="1"/>
  <c r="CL58" i="1" s="1"/>
  <c r="W168" i="5"/>
  <c r="V168" i="5"/>
  <c r="U168" i="5"/>
  <c r="T168" i="5"/>
  <c r="S168" i="5"/>
  <c r="R168" i="5"/>
  <c r="P168" i="5"/>
  <c r="O168" i="5"/>
  <c r="N168" i="5"/>
  <c r="M168" i="5"/>
  <c r="M176" i="5" s="1"/>
  <c r="L168" i="5"/>
  <c r="K168" i="5"/>
  <c r="J168" i="5"/>
  <c r="I168" i="5"/>
  <c r="H168" i="5"/>
  <c r="G168" i="5"/>
  <c r="F168" i="5"/>
  <c r="E168" i="5"/>
  <c r="BF164" i="5"/>
  <c r="BE164" i="5"/>
  <c r="CM83" i="1" s="1"/>
  <c r="BD164" i="5"/>
  <c r="BC164" i="5"/>
  <c r="BB164" i="5"/>
  <c r="BA164" i="5"/>
  <c r="CM80" i="1" s="1"/>
  <c r="AZ164" i="5"/>
  <c r="AY164" i="5"/>
  <c r="AX164" i="5"/>
  <c r="AW164" i="5"/>
  <c r="AV164" i="5"/>
  <c r="AU164" i="5"/>
  <c r="AT164" i="5"/>
  <c r="AS164" i="5"/>
  <c r="AR164" i="5"/>
  <c r="AQ164" i="5"/>
  <c r="CM70" i="1" s="1"/>
  <c r="AP164" i="5"/>
  <c r="AO164" i="5"/>
  <c r="CM68" i="1" s="1"/>
  <c r="AN164" i="5"/>
  <c r="AM164" i="5"/>
  <c r="AL164" i="5"/>
  <c r="CM65" i="1" s="1"/>
  <c r="AK164" i="5"/>
  <c r="AJ164" i="5"/>
  <c r="AI164" i="5"/>
  <c r="AH164" i="5"/>
  <c r="AG164" i="5"/>
  <c r="AF164" i="5"/>
  <c r="AE164" i="5"/>
  <c r="AD164" i="5"/>
  <c r="CM60" i="1" s="1"/>
  <c r="AC164" i="5"/>
  <c r="AB164" i="5"/>
  <c r="AA164" i="5"/>
  <c r="Z164" i="5"/>
  <c r="Y164" i="5"/>
  <c r="X164" i="5"/>
  <c r="W164" i="5"/>
  <c r="V164" i="5"/>
  <c r="CM56" i="1" s="1"/>
  <c r="U164" i="5"/>
  <c r="T164" i="5"/>
  <c r="S164" i="5"/>
  <c r="R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CM3" i="1" s="1"/>
  <c r="BR162" i="5"/>
  <c r="BQ162" i="5"/>
  <c r="BP162" i="5"/>
  <c r="C159" i="5"/>
  <c r="BF156" i="5"/>
  <c r="BE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H156" i="5"/>
  <c r="AG156" i="5"/>
  <c r="AF156" i="5"/>
  <c r="AE156" i="5"/>
  <c r="AD156" i="5"/>
  <c r="Y156" i="5"/>
  <c r="X156" i="5"/>
  <c r="U156" i="5"/>
  <c r="T156" i="5"/>
  <c r="O156" i="5"/>
  <c r="N156" i="5"/>
  <c r="M156" i="5"/>
  <c r="L156" i="5"/>
  <c r="K156" i="5"/>
  <c r="J156" i="5"/>
  <c r="I156" i="5"/>
  <c r="H156" i="5"/>
  <c r="G156" i="5"/>
  <c r="F156" i="5"/>
  <c r="E156" i="5"/>
  <c r="AJ151" i="5"/>
  <c r="O151" i="5"/>
  <c r="N151" i="5"/>
  <c r="N154" i="5" s="1"/>
  <c r="L151" i="5"/>
  <c r="K151" i="5"/>
  <c r="K154" i="5" s="1"/>
  <c r="J151" i="5"/>
  <c r="J154" i="5" s="1"/>
  <c r="G151" i="5"/>
  <c r="G154" i="5" s="1"/>
  <c r="F151" i="5"/>
  <c r="F154" i="5" s="1"/>
  <c r="E151" i="5"/>
  <c r="E154" i="5" s="1"/>
  <c r="AR150" i="5"/>
  <c r="AR151" i="5" s="1"/>
  <c r="D149" i="5"/>
  <c r="BF147" i="5"/>
  <c r="BF150" i="5" s="1"/>
  <c r="BF151" i="5" s="1"/>
  <c r="BE147" i="5"/>
  <c r="BE150" i="5" s="1"/>
  <c r="BE151" i="5" s="1"/>
  <c r="BE154" i="5" s="1"/>
  <c r="BD147" i="5"/>
  <c r="BD150" i="5" s="1"/>
  <c r="BD151" i="5" s="1"/>
  <c r="BC147" i="5"/>
  <c r="BC150" i="5" s="1"/>
  <c r="BC151" i="5" s="1"/>
  <c r="BA147" i="5"/>
  <c r="AZ147" i="5"/>
  <c r="AZ150" i="5" s="1"/>
  <c r="AZ151" i="5" s="1"/>
  <c r="AY147" i="5"/>
  <c r="AY150" i="5" s="1"/>
  <c r="AY151" i="5" s="1"/>
  <c r="AX147" i="5"/>
  <c r="AX150" i="5" s="1"/>
  <c r="AX151" i="5" s="1"/>
  <c r="AS147" i="5"/>
  <c r="AS150" i="5" s="1"/>
  <c r="AQ147" i="5"/>
  <c r="AQ150" i="5" s="1"/>
  <c r="AQ151" i="5" s="1"/>
  <c r="AP147" i="5"/>
  <c r="AP150" i="5" s="1"/>
  <c r="AP151" i="5" s="1"/>
  <c r="AO147" i="5"/>
  <c r="AO150" i="5" s="1"/>
  <c r="AO151" i="5" s="1"/>
  <c r="AM147" i="5"/>
  <c r="AM150" i="5" s="1"/>
  <c r="AM151" i="5" s="1"/>
  <c r="AL147" i="5"/>
  <c r="AL150" i="5"/>
  <c r="AK147" i="5"/>
  <c r="AK150" i="5" s="1"/>
  <c r="AK151" i="5" s="1"/>
  <c r="AG147" i="5"/>
  <c r="AG150" i="5" s="1"/>
  <c r="AG151" i="5" s="1"/>
  <c r="AE147" i="5"/>
  <c r="AE150" i="5" s="1"/>
  <c r="AE151" i="5" s="1"/>
  <c r="Y147" i="5"/>
  <c r="Y150" i="5" s="1"/>
  <c r="Y151" i="5" s="1"/>
  <c r="X147" i="5"/>
  <c r="X150" i="5" s="1"/>
  <c r="V147" i="5"/>
  <c r="V150" i="5" s="1"/>
  <c r="T147" i="5"/>
  <c r="T150" i="5" s="1"/>
  <c r="T151" i="5" s="1"/>
  <c r="N147" i="5"/>
  <c r="M147" i="5"/>
  <c r="M150" i="5" s="1"/>
  <c r="M151" i="5" s="1"/>
  <c r="I147" i="5"/>
  <c r="Q147" i="5" s="1"/>
  <c r="BR146" i="5"/>
  <c r="BQ146" i="5"/>
  <c r="BP146" i="5"/>
  <c r="AW146" i="5"/>
  <c r="AV146" i="5"/>
  <c r="AU146" i="5"/>
  <c r="AT146" i="5"/>
  <c r="AN146" i="5"/>
  <c r="H146" i="5"/>
  <c r="BR145" i="5"/>
  <c r="BQ145" i="5"/>
  <c r="BP145" i="5"/>
  <c r="AW145" i="5"/>
  <c r="AV145" i="5"/>
  <c r="AU145" i="5"/>
  <c r="AT145" i="5"/>
  <c r="AN145" i="5"/>
  <c r="H145" i="5"/>
  <c r="BR144" i="5"/>
  <c r="BQ144" i="5"/>
  <c r="BP144" i="5"/>
  <c r="AW144" i="5"/>
  <c r="AV144" i="5"/>
  <c r="AU144" i="5"/>
  <c r="AT144" i="5"/>
  <c r="AN144" i="5"/>
  <c r="H144" i="5"/>
  <c r="BR143" i="5"/>
  <c r="BQ143" i="5"/>
  <c r="BP143" i="5"/>
  <c r="AW143" i="5"/>
  <c r="AV143" i="5"/>
  <c r="AU143" i="5"/>
  <c r="AT143" i="5"/>
  <c r="AN143" i="5"/>
  <c r="H143" i="5"/>
  <c r="BR142" i="5"/>
  <c r="BQ142" i="5"/>
  <c r="BP142" i="5"/>
  <c r="AW142" i="5"/>
  <c r="AV142" i="5"/>
  <c r="AU142" i="5"/>
  <c r="AT142" i="5"/>
  <c r="AN142" i="5"/>
  <c r="H142" i="5"/>
  <c r="D140" i="5"/>
  <c r="D156" i="5" s="1"/>
  <c r="BF138" i="5"/>
  <c r="BF157" i="5" s="1"/>
  <c r="BE138" i="5"/>
  <c r="BE157" i="5" s="1"/>
  <c r="BD138" i="5"/>
  <c r="BC138" i="5"/>
  <c r="BB138" i="5"/>
  <c r="BA138" i="5"/>
  <c r="BA157" i="5" s="1"/>
  <c r="AZ138" i="5"/>
  <c r="AZ157" i="5" s="1"/>
  <c r="AY138" i="5"/>
  <c r="AY157" i="5" s="1"/>
  <c r="AX138" i="5"/>
  <c r="AX157" i="5" s="1"/>
  <c r="AW138" i="5"/>
  <c r="AW157" i="5" s="1"/>
  <c r="AU138" i="5"/>
  <c r="AU157" i="5" s="1"/>
  <c r="AT138" i="5"/>
  <c r="AT157" i="5" s="1"/>
  <c r="AS138" i="5"/>
  <c r="AR138" i="5"/>
  <c r="AR157" i="5" s="1"/>
  <c r="AQ138" i="5"/>
  <c r="AQ157" i="5" s="1"/>
  <c r="AP138" i="5"/>
  <c r="AP157" i="5" s="1"/>
  <c r="AO138" i="5"/>
  <c r="AN138" i="5"/>
  <c r="AN157" i="5" s="1"/>
  <c r="AM138" i="5"/>
  <c r="AM157" i="5" s="1"/>
  <c r="AL138" i="5"/>
  <c r="AL157" i="5" s="1"/>
  <c r="AK138" i="5"/>
  <c r="AJ138" i="5"/>
  <c r="AJ157" i="5" s="1"/>
  <c r="AI138" i="5"/>
  <c r="AH138" i="5"/>
  <c r="AF138" i="5"/>
  <c r="AE138" i="5"/>
  <c r="AE157" i="5" s="1"/>
  <c r="AD138" i="5"/>
  <c r="AD157" i="5" s="1"/>
  <c r="AC138" i="5"/>
  <c r="AB138" i="5"/>
  <c r="AA138" i="5"/>
  <c r="Z138" i="5"/>
  <c r="Z157" i="5" s="1"/>
  <c r="Y138" i="5"/>
  <c r="Y157" i="5" s="1"/>
  <c r="X138" i="5"/>
  <c r="X157" i="5" s="1"/>
  <c r="W138" i="5"/>
  <c r="V138" i="5"/>
  <c r="V157" i="5" s="1"/>
  <c r="U138" i="5"/>
  <c r="U157" i="5" s="1"/>
  <c r="T138" i="5"/>
  <c r="S138" i="5"/>
  <c r="R138" i="5"/>
  <c r="P138" i="5"/>
  <c r="O138" i="5"/>
  <c r="O157" i="5" s="1"/>
  <c r="N138" i="5"/>
  <c r="N157" i="5" s="1"/>
  <c r="M138" i="5"/>
  <c r="L138" i="5"/>
  <c r="L157" i="5" s="1"/>
  <c r="K138" i="5"/>
  <c r="Q138" i="5" s="1"/>
  <c r="J138" i="5"/>
  <c r="J157" i="5" s="1"/>
  <c r="I138" i="5"/>
  <c r="G138" i="5"/>
  <c r="G157" i="5" s="1"/>
  <c r="F138" i="5"/>
  <c r="F157" i="5" s="1"/>
  <c r="E138" i="5"/>
  <c r="BR137" i="5"/>
  <c r="BQ137" i="5"/>
  <c r="BP137" i="5"/>
  <c r="AV137" i="5"/>
  <c r="AG137" i="5"/>
  <c r="H137" i="5"/>
  <c r="D137" i="5" s="1"/>
  <c r="BR136" i="5"/>
  <c r="BQ136" i="5"/>
  <c r="BP136" i="5"/>
  <c r="AV136" i="5"/>
  <c r="AG136" i="5"/>
  <c r="H136" i="5"/>
  <c r="BF134" i="5"/>
  <c r="BF155" i="5" s="1"/>
  <c r="BE134" i="5"/>
  <c r="BE155" i="5" s="1"/>
  <c r="BD134" i="5"/>
  <c r="BC134" i="5"/>
  <c r="BB134" i="5"/>
  <c r="BA134" i="5"/>
  <c r="AZ134" i="5"/>
  <c r="AZ155" i="5" s="1"/>
  <c r="AY134" i="5"/>
  <c r="AY155" i="5" s="1"/>
  <c r="AX134" i="5"/>
  <c r="AX155" i="5" s="1"/>
  <c r="AW134" i="5"/>
  <c r="AW155" i="5" s="1"/>
  <c r="AV134" i="5"/>
  <c r="AV155" i="5" s="1"/>
  <c r="AU134" i="5"/>
  <c r="AU155" i="5" s="1"/>
  <c r="AT134" i="5"/>
  <c r="AT155" i="5" s="1"/>
  <c r="AS134" i="5"/>
  <c r="AS155" i="5" s="1"/>
  <c r="AR134" i="5"/>
  <c r="AR155" i="5" s="1"/>
  <c r="AQ134" i="5"/>
  <c r="AQ155" i="5" s="1"/>
  <c r="AP134" i="5"/>
  <c r="AP155" i="5" s="1"/>
  <c r="AO134" i="5"/>
  <c r="AO155" i="5" s="1"/>
  <c r="AN134" i="5"/>
  <c r="AN155" i="5" s="1"/>
  <c r="AM134" i="5"/>
  <c r="AM155" i="5" s="1"/>
  <c r="AL134" i="5"/>
  <c r="AL155" i="5" s="1"/>
  <c r="AK134" i="5"/>
  <c r="AK155" i="5" s="1"/>
  <c r="AJ134" i="5"/>
  <c r="AJ155" i="5" s="1"/>
  <c r="AI134" i="5"/>
  <c r="AH134" i="5"/>
  <c r="AH155" i="5"/>
  <c r="AG134" i="5"/>
  <c r="AG155" i="5" s="1"/>
  <c r="AF134" i="5"/>
  <c r="AF155" i="5" s="1"/>
  <c r="AE134" i="5"/>
  <c r="AE155" i="5" s="1"/>
  <c r="AD134" i="5"/>
  <c r="AD155" i="5" s="1"/>
  <c r="AC134" i="5"/>
  <c r="AB134" i="5"/>
  <c r="AA134" i="5"/>
  <c r="AA155" i="5" s="1"/>
  <c r="Z134" i="5"/>
  <c r="Z155" i="5" s="1"/>
  <c r="Y134" i="5"/>
  <c r="Y155" i="5" s="1"/>
  <c r="X134" i="5"/>
  <c r="X155" i="5" s="1"/>
  <c r="W134" i="5"/>
  <c r="V134" i="5"/>
  <c r="V155" i="5" s="1"/>
  <c r="U134" i="5"/>
  <c r="U155" i="5" s="1"/>
  <c r="T134" i="5"/>
  <c r="T155" i="5" s="1"/>
  <c r="S134" i="5"/>
  <c r="R134" i="5"/>
  <c r="P134" i="5"/>
  <c r="P155" i="5" s="1"/>
  <c r="O134" i="5"/>
  <c r="O155" i="5" s="1"/>
  <c r="N134" i="5"/>
  <c r="N155" i="5" s="1"/>
  <c r="M134" i="5"/>
  <c r="M155" i="5" s="1"/>
  <c r="L134" i="5"/>
  <c r="L155" i="5" s="1"/>
  <c r="K134" i="5"/>
  <c r="K155" i="5" s="1"/>
  <c r="J134" i="5"/>
  <c r="J155" i="5" s="1"/>
  <c r="I134" i="5"/>
  <c r="H134" i="5"/>
  <c r="H155" i="5" s="1"/>
  <c r="G134" i="5"/>
  <c r="G155" i="5" s="1"/>
  <c r="F134" i="5"/>
  <c r="F155" i="5" s="1"/>
  <c r="E134" i="5"/>
  <c r="BR133" i="5"/>
  <c r="BQ133" i="5"/>
  <c r="BP133" i="5"/>
  <c r="D133" i="5"/>
  <c r="D154" i="5" s="1"/>
  <c r="BR132" i="5"/>
  <c r="BQ132" i="5"/>
  <c r="BP132" i="5"/>
  <c r="D132" i="5"/>
  <c r="BR131" i="5"/>
  <c r="BQ131" i="5"/>
  <c r="BP131" i="5"/>
  <c r="D131" i="5"/>
  <c r="BR130" i="5"/>
  <c r="BQ130" i="5"/>
  <c r="BP130" i="5"/>
  <c r="D130" i="5"/>
  <c r="BR129" i="5"/>
  <c r="BQ129" i="5"/>
  <c r="BP129" i="5"/>
  <c r="D129" i="5"/>
  <c r="BR128" i="5"/>
  <c r="BQ128" i="5"/>
  <c r="BP128" i="5"/>
  <c r="D128" i="5"/>
  <c r="O124" i="5"/>
  <c r="N124" i="5"/>
  <c r="M124" i="5"/>
  <c r="L124" i="5"/>
  <c r="K124" i="5"/>
  <c r="J124" i="5"/>
  <c r="I124" i="5"/>
  <c r="H124" i="5"/>
  <c r="G124" i="5"/>
  <c r="F124" i="5"/>
  <c r="E124" i="5"/>
  <c r="U119" i="5"/>
  <c r="O119" i="5"/>
  <c r="N119" i="5"/>
  <c r="M119" i="5"/>
  <c r="L119" i="5"/>
  <c r="K119" i="5"/>
  <c r="J119" i="5"/>
  <c r="I119" i="5"/>
  <c r="G119" i="5"/>
  <c r="F119" i="5"/>
  <c r="BF118" i="5"/>
  <c r="BF119" i="5" s="1"/>
  <c r="BE118" i="5"/>
  <c r="BE119" i="5" s="1"/>
  <c r="AP83" i="1" s="1"/>
  <c r="BD118" i="5"/>
  <c r="BD119" i="5" s="1"/>
  <c r="AP82" i="1" s="1"/>
  <c r="BC118" i="5"/>
  <c r="BA118" i="5"/>
  <c r="BA119" i="5" s="1"/>
  <c r="AP80" i="1" s="1"/>
  <c r="AZ118" i="5"/>
  <c r="AZ119" i="5" s="1"/>
  <c r="AY118" i="5"/>
  <c r="AY119" i="5" s="1"/>
  <c r="AP78" i="1" s="1"/>
  <c r="AX118" i="5"/>
  <c r="AX119" i="5" s="1"/>
  <c r="AP77" i="1" s="1"/>
  <c r="AS118" i="5"/>
  <c r="AS119" i="5" s="1"/>
  <c r="AQ118" i="5"/>
  <c r="AQ119" i="5" s="1"/>
  <c r="AP70" i="1" s="1"/>
  <c r="AP118" i="5"/>
  <c r="AO118" i="5"/>
  <c r="AO119" i="5" s="1"/>
  <c r="AP68" i="1" s="1"/>
  <c r="AM118" i="5"/>
  <c r="AM119" i="5" s="1"/>
  <c r="AL118" i="5"/>
  <c r="AK118" i="5"/>
  <c r="AK119" i="5" s="1"/>
  <c r="AP64" i="1" s="1"/>
  <c r="AP15" i="1" s="1"/>
  <c r="AJ118" i="5"/>
  <c r="AJ119" i="5" s="1"/>
  <c r="AG118" i="5"/>
  <c r="AG119" i="5" s="1"/>
  <c r="AE118" i="5"/>
  <c r="AD118" i="5"/>
  <c r="AD119" i="5" s="1"/>
  <c r="Z118" i="5"/>
  <c r="Y118" i="5"/>
  <c r="Y119" i="5" s="1"/>
  <c r="X118" i="5"/>
  <c r="X119" i="5" s="1"/>
  <c r="AP58" i="1" s="1"/>
  <c r="T118" i="5"/>
  <c r="T119" i="5" s="1"/>
  <c r="AP55" i="1" s="1"/>
  <c r="O118" i="5"/>
  <c r="N118" i="5"/>
  <c r="M118" i="5"/>
  <c r="L118" i="5"/>
  <c r="K118" i="5"/>
  <c r="J118" i="5"/>
  <c r="I118" i="5"/>
  <c r="G118" i="5"/>
  <c r="F118" i="5"/>
  <c r="BK117" i="5"/>
  <c r="D117" i="5"/>
  <c r="BR116" i="5"/>
  <c r="BQ116" i="5"/>
  <c r="BP116" i="5"/>
  <c r="AW116" i="5"/>
  <c r="AW118" i="5" s="1"/>
  <c r="AW119" i="5" s="1"/>
  <c r="AP76" i="1" s="1"/>
  <c r="AV116" i="5"/>
  <c r="AV118" i="5" s="1"/>
  <c r="AV119" i="5" s="1"/>
  <c r="AP75" i="1" s="1"/>
  <c r="AU116" i="5"/>
  <c r="AU118" i="5" s="1"/>
  <c r="AT116" i="5"/>
  <c r="AT118" i="5" s="1"/>
  <c r="AT119" i="5" s="1"/>
  <c r="AP73" i="1" s="1"/>
  <c r="AN116" i="5"/>
  <c r="AN118" i="5" s="1"/>
  <c r="AN119" i="5" s="1"/>
  <c r="AP67" i="1" s="1"/>
  <c r="H116" i="5"/>
  <c r="H113" i="5" s="1"/>
  <c r="D113" i="5" s="1"/>
  <c r="BR115" i="5"/>
  <c r="BQ115" i="5"/>
  <c r="BP115" i="5"/>
  <c r="V115" i="5"/>
  <c r="V118" i="5" s="1"/>
  <c r="V119" i="5" s="1"/>
  <c r="AP56" i="1" s="1"/>
  <c r="E115" i="5"/>
  <c r="BK113" i="5"/>
  <c r="Y105" i="5"/>
  <c r="P105" i="5"/>
  <c r="BF104" i="5"/>
  <c r="BF105" i="5" s="1"/>
  <c r="BE104" i="5"/>
  <c r="BE105" i="5" s="1"/>
  <c r="U83" i="1" s="1"/>
  <c r="BD104" i="5"/>
  <c r="BD105" i="5" s="1"/>
  <c r="U82" i="1" s="1"/>
  <c r="BC104" i="5"/>
  <c r="BC105" i="5" s="1"/>
  <c r="U81" i="1" s="1"/>
  <c r="BA104" i="5"/>
  <c r="BA105" i="5" s="1"/>
  <c r="U80" i="1" s="1"/>
  <c r="AZ104" i="5"/>
  <c r="AZ105" i="5" s="1"/>
  <c r="AY104" i="5"/>
  <c r="AY105" i="5" s="1"/>
  <c r="AX104" i="5"/>
  <c r="AX105" i="5" s="1"/>
  <c r="AS104" i="5"/>
  <c r="AQ104" i="5"/>
  <c r="AQ105" i="5" s="1"/>
  <c r="U70" i="1" s="1"/>
  <c r="AP104" i="5"/>
  <c r="AO104" i="5"/>
  <c r="AO105" i="5" s="1"/>
  <c r="U68" i="1" s="1"/>
  <c r="AM104" i="5"/>
  <c r="AM105" i="5" s="1"/>
  <c r="AL104" i="5"/>
  <c r="AL105" i="5" s="1"/>
  <c r="AK104" i="5"/>
  <c r="AK105" i="5" s="1"/>
  <c r="U64" i="1" s="1"/>
  <c r="U15" i="1" s="1"/>
  <c r="AJ104" i="5"/>
  <c r="AJ105" i="5" s="1"/>
  <c r="AG104" i="5"/>
  <c r="AG105" i="5" s="1"/>
  <c r="AE104" i="5"/>
  <c r="AE105" i="5" s="1"/>
  <c r="AD104" i="5"/>
  <c r="AD105" i="5" s="1"/>
  <c r="X104" i="5"/>
  <c r="X105" i="5" s="1"/>
  <c r="U58" i="1" s="1"/>
  <c r="U104" i="5"/>
  <c r="U105" i="5" s="1"/>
  <c r="T104" i="5"/>
  <c r="T105" i="5" s="1"/>
  <c r="U55" i="1" s="1"/>
  <c r="O104" i="5"/>
  <c r="O105" i="5" s="1"/>
  <c r="BR103" i="5"/>
  <c r="BQ103" i="5"/>
  <c r="BP103" i="5"/>
  <c r="BI103" i="5"/>
  <c r="AW103" i="5"/>
  <c r="AV103" i="5"/>
  <c r="AU103" i="5"/>
  <c r="AT103" i="5"/>
  <c r="AN103" i="5"/>
  <c r="N103" i="5"/>
  <c r="M103" i="5"/>
  <c r="L103" i="5"/>
  <c r="K103" i="5"/>
  <c r="J103" i="5"/>
  <c r="I103" i="5"/>
  <c r="H103" i="5"/>
  <c r="G103" i="5"/>
  <c r="F103" i="5"/>
  <c r="E103" i="5"/>
  <c r="BR102" i="5"/>
  <c r="BQ102" i="5"/>
  <c r="BP102" i="5"/>
  <c r="BI102" i="5"/>
  <c r="AW102" i="5"/>
  <c r="AV102" i="5"/>
  <c r="AU102" i="5"/>
  <c r="AT102" i="5"/>
  <c r="AN102" i="5"/>
  <c r="N102" i="5"/>
  <c r="M102" i="5"/>
  <c r="L102" i="5"/>
  <c r="K102" i="5"/>
  <c r="J102" i="5"/>
  <c r="I102" i="5"/>
  <c r="H102" i="5"/>
  <c r="G102" i="5"/>
  <c r="F102" i="5"/>
  <c r="E102" i="5"/>
  <c r="BR101" i="5"/>
  <c r="BQ101" i="5"/>
  <c r="BP101" i="5"/>
  <c r="BI101" i="5"/>
  <c r="AW101" i="5"/>
  <c r="AV101" i="5"/>
  <c r="AU101" i="5"/>
  <c r="AT101" i="5"/>
  <c r="AT104" i="5" s="1"/>
  <c r="AT105" i="5" s="1"/>
  <c r="U73" i="1" s="1"/>
  <c r="AN101" i="5"/>
  <c r="N101" i="5"/>
  <c r="M101" i="5"/>
  <c r="L101" i="5"/>
  <c r="K101" i="5"/>
  <c r="J101" i="5"/>
  <c r="I101" i="5"/>
  <c r="H101" i="5"/>
  <c r="G101" i="5"/>
  <c r="F101" i="5"/>
  <c r="E101" i="5"/>
  <c r="BR100" i="5"/>
  <c r="BQ100" i="5"/>
  <c r="BP100" i="5"/>
  <c r="BL100" i="5"/>
  <c r="BJ100" i="5"/>
  <c r="BR99" i="5"/>
  <c r="BQ99" i="5"/>
  <c r="BP99" i="5"/>
  <c r="AN99" i="5"/>
  <c r="V99" i="5"/>
  <c r="V104" i="5" s="1"/>
  <c r="V105" i="5" s="1"/>
  <c r="BR98" i="5"/>
  <c r="BQ98" i="5"/>
  <c r="BP98" i="5"/>
  <c r="BL98" i="5"/>
  <c r="BJ98" i="5"/>
  <c r="BR97" i="5"/>
  <c r="BQ97" i="5"/>
  <c r="BP97" i="5"/>
  <c r="BI97" i="5"/>
  <c r="AW97" i="5"/>
  <c r="AV97" i="5"/>
  <c r="AU97" i="5"/>
  <c r="AT97" i="5"/>
  <c r="AN97" i="5"/>
  <c r="K97" i="5"/>
  <c r="H97" i="5"/>
  <c r="G97" i="5"/>
  <c r="BF93" i="5"/>
  <c r="BF94" i="5" s="1"/>
  <c r="R84" i="1" s="1"/>
  <c r="BE93" i="5"/>
  <c r="BE94" i="5" s="1"/>
  <c r="R83" i="1" s="1"/>
  <c r="BD93" i="5"/>
  <c r="BD94" i="5" s="1"/>
  <c r="R82" i="1" s="1"/>
  <c r="BC93" i="5"/>
  <c r="BC94" i="5" s="1"/>
  <c r="BA93" i="5"/>
  <c r="BA94" i="5" s="1"/>
  <c r="AZ93" i="5"/>
  <c r="AY93" i="5"/>
  <c r="AY94" i="5" s="1"/>
  <c r="R78" i="1" s="1"/>
  <c r="AX93" i="5"/>
  <c r="AX94" i="5" s="1"/>
  <c r="R77" i="1" s="1"/>
  <c r="AS93" i="5"/>
  <c r="AS94" i="5" s="1"/>
  <c r="R72" i="1" s="1"/>
  <c r="AQ93" i="5"/>
  <c r="AQ94" i="5" s="1"/>
  <c r="R70" i="1" s="1"/>
  <c r="AP93" i="5"/>
  <c r="AO93" i="5"/>
  <c r="AO94" i="5" s="1"/>
  <c r="R68" i="1" s="1"/>
  <c r="AM93" i="5"/>
  <c r="AL93" i="5"/>
  <c r="AL94" i="5" s="1"/>
  <c r="AK93" i="5"/>
  <c r="AK94" i="5" s="1"/>
  <c r="AJ93" i="5"/>
  <c r="AJ94" i="5" s="1"/>
  <c r="AG93" i="5"/>
  <c r="AG94" i="5" s="1"/>
  <c r="R63" i="1" s="1"/>
  <c r="R14" i="1" s="1"/>
  <c r="AE93" i="5"/>
  <c r="AE94" i="5" s="1"/>
  <c r="R61" i="1" s="1"/>
  <c r="AD93" i="5"/>
  <c r="AD94" i="5" s="1"/>
  <c r="R60" i="1" s="1"/>
  <c r="Z93" i="5"/>
  <c r="Y93" i="5"/>
  <c r="X93" i="5"/>
  <c r="X94" i="5" s="1"/>
  <c r="U93" i="5"/>
  <c r="U94" i="5" s="1"/>
  <c r="T93" i="5"/>
  <c r="T94" i="5" s="1"/>
  <c r="R55" i="1" s="1"/>
  <c r="P93" i="5"/>
  <c r="P94" i="5" s="1"/>
  <c r="O93" i="5"/>
  <c r="O94" i="5" s="1"/>
  <c r="BL92" i="5"/>
  <c r="BJ92" i="5"/>
  <c r="V92" i="5"/>
  <c r="D92" i="5"/>
  <c r="BL91" i="5"/>
  <c r="BJ91" i="5"/>
  <c r="D91" i="5"/>
  <c r="BR90" i="5"/>
  <c r="BQ90" i="5"/>
  <c r="BP90" i="5"/>
  <c r="BI90" i="5"/>
  <c r="AN90" i="5"/>
  <c r="N90" i="5"/>
  <c r="N93" i="5" s="1"/>
  <c r="N94" i="5" s="1"/>
  <c r="M90" i="5"/>
  <c r="M93" i="5" s="1"/>
  <c r="M94" i="5" s="1"/>
  <c r="L90" i="5"/>
  <c r="L93" i="5" s="1"/>
  <c r="L94" i="5" s="1"/>
  <c r="R10" i="1" s="1"/>
  <c r="K90" i="5"/>
  <c r="K93" i="5" s="1"/>
  <c r="K94" i="5" s="1"/>
  <c r="J90" i="5"/>
  <c r="I90" i="5"/>
  <c r="H90" i="5"/>
  <c r="G90" i="5"/>
  <c r="F90" i="5"/>
  <c r="F93" i="5" s="1"/>
  <c r="F94" i="5" s="1"/>
  <c r="R4" i="1" s="1"/>
  <c r="R88" i="1" s="1"/>
  <c r="E90" i="5"/>
  <c r="E93" i="5" s="1"/>
  <c r="E94" i="5" s="1"/>
  <c r="BL89" i="5"/>
  <c r="BJ89" i="5"/>
  <c r="V89" i="5"/>
  <c r="D89" i="5"/>
  <c r="BR88" i="5"/>
  <c r="BQ88" i="5"/>
  <c r="BP88" i="5"/>
  <c r="BI88" i="5"/>
  <c r="AW88" i="5"/>
  <c r="AW93" i="5" s="1"/>
  <c r="AW94" i="5" s="1"/>
  <c r="R76" i="1" s="1"/>
  <c r="AV88" i="5"/>
  <c r="AV93" i="5" s="1"/>
  <c r="AV94" i="5" s="1"/>
  <c r="AU88" i="5"/>
  <c r="AU93" i="5" s="1"/>
  <c r="AU94" i="5" s="1"/>
  <c r="AT88" i="5"/>
  <c r="AT93" i="5" s="1"/>
  <c r="AT94" i="5" s="1"/>
  <c r="R73" i="1" s="1"/>
  <c r="AN88" i="5"/>
  <c r="K88" i="5"/>
  <c r="Q88" i="5" s="1"/>
  <c r="H88" i="5"/>
  <c r="G88" i="5"/>
  <c r="AJ83" i="5"/>
  <c r="AD83" i="5"/>
  <c r="U83" i="5"/>
  <c r="P83" i="5"/>
  <c r="O83" i="5"/>
  <c r="BF82" i="5"/>
  <c r="BE82" i="5"/>
  <c r="BE83" i="5" s="1"/>
  <c r="S83" i="1" s="1"/>
  <c r="BD82" i="5"/>
  <c r="BD83" i="5" s="1"/>
  <c r="S82" i="1" s="1"/>
  <c r="BC82" i="5"/>
  <c r="BC83" i="5" s="1"/>
  <c r="S81" i="1" s="1"/>
  <c r="BA82" i="5"/>
  <c r="BA83" i="5" s="1"/>
  <c r="S80" i="1" s="1"/>
  <c r="AZ82" i="5"/>
  <c r="AZ83" i="5" s="1"/>
  <c r="S79" i="1" s="1"/>
  <c r="AY82" i="5"/>
  <c r="AY83" i="5" s="1"/>
  <c r="S78" i="1" s="1"/>
  <c r="AX82" i="5"/>
  <c r="AX83" i="5" s="1"/>
  <c r="AS82" i="5"/>
  <c r="AS83" i="5" s="1"/>
  <c r="S72" i="1" s="1"/>
  <c r="AQ82" i="5"/>
  <c r="AQ83" i="5" s="1"/>
  <c r="S70" i="1" s="1"/>
  <c r="AP82" i="5"/>
  <c r="AP83" i="5" s="1"/>
  <c r="S69" i="1" s="1"/>
  <c r="AM82" i="5"/>
  <c r="AM83" i="5" s="1"/>
  <c r="AL82" i="5"/>
  <c r="AL83" i="5" s="1"/>
  <c r="S65" i="1" s="1"/>
  <c r="AK82" i="5"/>
  <c r="AK83" i="5" s="1"/>
  <c r="S64" i="1" s="1"/>
  <c r="AG82" i="5"/>
  <c r="AG83" i="5" s="1"/>
  <c r="S63" i="1" s="1"/>
  <c r="AE82" i="5"/>
  <c r="AE83" i="5" s="1"/>
  <c r="S61" i="1" s="1"/>
  <c r="Z82" i="5"/>
  <c r="Y82" i="5"/>
  <c r="Y83" i="5" s="1"/>
  <c r="S59" i="1" s="1"/>
  <c r="X82" i="5"/>
  <c r="X83" i="5" s="1"/>
  <c r="S58" i="1" s="1"/>
  <c r="V82" i="5"/>
  <c r="T82" i="5"/>
  <c r="T83" i="5" s="1"/>
  <c r="BR81" i="5"/>
  <c r="BQ81" i="5"/>
  <c r="BP81" i="5"/>
  <c r="AW81" i="5"/>
  <c r="AV81" i="5"/>
  <c r="AU81" i="5"/>
  <c r="AT81" i="5"/>
  <c r="I80" i="5"/>
  <c r="BR79" i="5"/>
  <c r="BQ79" i="5"/>
  <c r="BP79" i="5"/>
  <c r="AW79" i="5"/>
  <c r="AV79" i="5"/>
  <c r="AU79" i="5"/>
  <c r="AT79" i="5"/>
  <c r="BR78" i="5"/>
  <c r="BQ78" i="5"/>
  <c r="BP78" i="5"/>
  <c r="BO78" i="5"/>
  <c r="BN78" i="5"/>
  <c r="BJ78" i="5"/>
  <c r="BI78" i="5"/>
  <c r="AW78" i="5"/>
  <c r="AV78" i="5"/>
  <c r="AU78" i="5"/>
  <c r="AT78" i="5"/>
  <c r="AN78" i="5"/>
  <c r="N78" i="5"/>
  <c r="M78" i="5"/>
  <c r="L78" i="5"/>
  <c r="J78" i="5"/>
  <c r="BL78" i="5" s="1"/>
  <c r="G78" i="5"/>
  <c r="BR77" i="5"/>
  <c r="BQ77" i="5"/>
  <c r="BP77" i="5"/>
  <c r="BO77" i="5"/>
  <c r="BN77" i="5"/>
  <c r="BI77" i="5"/>
  <c r="AW77" i="5"/>
  <c r="AW82" i="5" s="1"/>
  <c r="AW83" i="5" s="1"/>
  <c r="S76" i="1" s="1"/>
  <c r="AV77" i="5"/>
  <c r="AU77" i="5"/>
  <c r="AT77" i="5"/>
  <c r="AN77" i="5"/>
  <c r="N77" i="5"/>
  <c r="N85" i="5" s="1"/>
  <c r="L77" i="5"/>
  <c r="K77" i="5"/>
  <c r="J77" i="5"/>
  <c r="I77" i="5"/>
  <c r="BL77" i="5" s="1"/>
  <c r="H77" i="5"/>
  <c r="G77" i="5"/>
  <c r="F77" i="5"/>
  <c r="E77" i="5"/>
  <c r="BG75" i="5"/>
  <c r="G75" i="5" s="1"/>
  <c r="N75" i="5"/>
  <c r="K75" i="5"/>
  <c r="J75" i="5"/>
  <c r="F75" i="5"/>
  <c r="BR74" i="5"/>
  <c r="BQ74" i="5"/>
  <c r="BP74" i="5"/>
  <c r="BL74" i="5"/>
  <c r="BJ74" i="5"/>
  <c r="AW74" i="5"/>
  <c r="AV74" i="5"/>
  <c r="AU74" i="5"/>
  <c r="AT74" i="5"/>
  <c r="AN74" i="5"/>
  <c r="V74" i="5"/>
  <c r="BI74" i="5" s="1"/>
  <c r="BR73" i="5"/>
  <c r="BQ73" i="5"/>
  <c r="BP73" i="5"/>
  <c r="BJ73" i="5"/>
  <c r="AW73" i="5"/>
  <c r="AV73" i="5"/>
  <c r="AU73" i="5"/>
  <c r="AT73" i="5"/>
  <c r="AN73" i="5"/>
  <c r="V73" i="5"/>
  <c r="BI73" i="5" s="1"/>
  <c r="BG72" i="5"/>
  <c r="Y72" i="5" s="1"/>
  <c r="N72" i="5"/>
  <c r="F72" i="5"/>
  <c r="F79" i="5" s="1"/>
  <c r="E72" i="5"/>
  <c r="E79" i="5" s="1"/>
  <c r="BR71" i="5"/>
  <c r="BQ71" i="5"/>
  <c r="BP71" i="5"/>
  <c r="BI71" i="5"/>
  <c r="AW71" i="5"/>
  <c r="AV71" i="5"/>
  <c r="AU71" i="5"/>
  <c r="AT71" i="5"/>
  <c r="AN71" i="5"/>
  <c r="K71" i="5"/>
  <c r="H71" i="5"/>
  <c r="BR70" i="5"/>
  <c r="BQ70" i="5"/>
  <c r="BP70" i="5"/>
  <c r="BJ70" i="5"/>
  <c r="BI70" i="5"/>
  <c r="AW70" i="5"/>
  <c r="AV70" i="5"/>
  <c r="AU70" i="5"/>
  <c r="AT70" i="5"/>
  <c r="AN70" i="5"/>
  <c r="J70" i="5"/>
  <c r="BL70" i="5" s="1"/>
  <c r="H70" i="5"/>
  <c r="Q282" i="5"/>
  <c r="Q168" i="5"/>
  <c r="Q186" i="5"/>
  <c r="AL119" i="5"/>
  <c r="AF143" i="5"/>
  <c r="AF289" i="5"/>
  <c r="AF293" i="5" s="1"/>
  <c r="V62" i="1" s="1"/>
  <c r="AF301" i="5"/>
  <c r="AF303" i="5" s="1"/>
  <c r="AT237" i="5"/>
  <c r="BT73" i="1" s="1"/>
  <c r="BA155" i="5"/>
  <c r="AK157" i="5"/>
  <c r="AO157" i="5"/>
  <c r="BA150" i="5"/>
  <c r="BA151" i="5" s="1"/>
  <c r="AL195" i="5"/>
  <c r="AL196" i="5" s="1"/>
  <c r="AA65" i="1" s="1"/>
  <c r="AQ209" i="5"/>
  <c r="AQ210" i="5" s="1"/>
  <c r="X151" i="5"/>
  <c r="V151" i="5"/>
  <c r="AT174" i="5"/>
  <c r="AQ195" i="5"/>
  <c r="AQ196" i="5" s="1"/>
  <c r="AV247" i="5"/>
  <c r="T195" i="5"/>
  <c r="T196" i="5" s="1"/>
  <c r="T209" i="5"/>
  <c r="T210" i="5" s="1"/>
  <c r="AV252" i="5"/>
  <c r="BN75" i="1" s="1"/>
  <c r="AT308" i="5"/>
  <c r="AF157" i="5"/>
  <c r="I150" i="5"/>
  <c r="I151" i="5" s="1"/>
  <c r="V83" i="5"/>
  <c r="S56" i="1" s="1"/>
  <c r="BF83" i="5"/>
  <c r="S84" i="1" s="1"/>
  <c r="BC119" i="5"/>
  <c r="AZ94" i="5"/>
  <c r="R79" i="1" s="1"/>
  <c r="AE119" i="5"/>
  <c r="AP61" i="1" s="1"/>
  <c r="Z119" i="5"/>
  <c r="AE209" i="5"/>
  <c r="AE210" i="5" s="1"/>
  <c r="Z61" i="1" s="1"/>
  <c r="X209" i="5"/>
  <c r="X210" i="5" s="1"/>
  <c r="AP195" i="5"/>
  <c r="AP196" i="5" s="1"/>
  <c r="AA69" i="1" s="1"/>
  <c r="BF196" i="5"/>
  <c r="AA84" i="1" s="1"/>
  <c r="BP206" i="5"/>
  <c r="P210" i="5"/>
  <c r="O210" i="5"/>
  <c r="AN237" i="5"/>
  <c r="BT67" i="1" s="1"/>
  <c r="AW267" i="5"/>
  <c r="BU76" i="1" s="1"/>
  <c r="AV267" i="5"/>
  <c r="BU75" i="1" s="1"/>
  <c r="BQ206" i="5"/>
  <c r="AN247" i="5"/>
  <c r="AZ195" i="5"/>
  <c r="L209" i="5"/>
  <c r="H232" i="5"/>
  <c r="H267" i="5"/>
  <c r="AW298" i="5"/>
  <c r="AV76" i="1" s="1"/>
  <c r="AV303" i="5"/>
  <c r="AN308" i="5"/>
  <c r="AO67" i="1" s="1"/>
  <c r="BB66" i="5"/>
  <c r="AI66" i="5"/>
  <c r="AH66" i="5"/>
  <c r="AC66" i="5"/>
  <c r="AB66" i="5"/>
  <c r="AA66" i="5"/>
  <c r="W66" i="5"/>
  <c r="S66" i="5"/>
  <c r="R66" i="5"/>
  <c r="U64" i="5"/>
  <c r="BD63" i="5"/>
  <c r="BD64" i="5" s="1"/>
  <c r="X82" i="1" s="1"/>
  <c r="Y63" i="5"/>
  <c r="Y64" i="5" s="1"/>
  <c r="X63" i="5"/>
  <c r="X64" i="5" s="1"/>
  <c r="X58" i="1" s="1"/>
  <c r="BR62" i="5"/>
  <c r="BQ62" i="5"/>
  <c r="BP62" i="5"/>
  <c r="AW62" i="5"/>
  <c r="AV62" i="5"/>
  <c r="AU62" i="5"/>
  <c r="AT62" i="5"/>
  <c r="AN62" i="5"/>
  <c r="H62" i="5"/>
  <c r="H63" i="5" s="1"/>
  <c r="H64" i="5" s="1"/>
  <c r="X6" i="1" s="1"/>
  <c r="BF59" i="5"/>
  <c r="BF63" i="5" s="1"/>
  <c r="BF64" i="5" s="1"/>
  <c r="X84" i="1" s="1"/>
  <c r="BE59" i="5"/>
  <c r="BE63" i="5" s="1"/>
  <c r="BC59" i="5"/>
  <c r="BC63" i="5" s="1"/>
  <c r="BC64" i="5" s="1"/>
  <c r="X81" i="1" s="1"/>
  <c r="BA59" i="5"/>
  <c r="AZ59" i="5"/>
  <c r="AZ63" i="5" s="1"/>
  <c r="AZ64" i="5" s="1"/>
  <c r="X79" i="1" s="1"/>
  <c r="AY59" i="5"/>
  <c r="AY63" i="5" s="1"/>
  <c r="AY64" i="5" s="1"/>
  <c r="X78" i="1" s="1"/>
  <c r="AX59" i="5"/>
  <c r="AX63" i="5" s="1"/>
  <c r="AX64" i="5" s="1"/>
  <c r="X77" i="1" s="1"/>
  <c r="AS59" i="5"/>
  <c r="AQ59" i="5"/>
  <c r="AQ63" i="5" s="1"/>
  <c r="AP59" i="5"/>
  <c r="AO59" i="5"/>
  <c r="AO63" i="5" s="1"/>
  <c r="AM59" i="5"/>
  <c r="AM63" i="5" s="1"/>
  <c r="AM64" i="5" s="1"/>
  <c r="X66" i="1" s="1"/>
  <c r="AL59" i="5"/>
  <c r="AK59" i="5"/>
  <c r="AK63" i="5" s="1"/>
  <c r="AK64" i="5" s="1"/>
  <c r="AJ59" i="5"/>
  <c r="AJ63" i="5" s="1"/>
  <c r="AJ64" i="5" s="1"/>
  <c r="AG59" i="5"/>
  <c r="AG63" i="5" s="1"/>
  <c r="AG64" i="5" s="1"/>
  <c r="X63" i="1" s="1"/>
  <c r="AE59" i="5"/>
  <c r="AD59" i="5"/>
  <c r="V59" i="5"/>
  <c r="V63" i="5" s="1"/>
  <c r="T59" i="5"/>
  <c r="T63" i="5" s="1"/>
  <c r="T64" i="5" s="1"/>
  <c r="X55" i="1" s="1"/>
  <c r="P59" i="5"/>
  <c r="O59" i="5"/>
  <c r="O63" i="5" s="1"/>
  <c r="O64" i="5" s="1"/>
  <c r="N59" i="5"/>
  <c r="N63" i="5" s="1"/>
  <c r="N64" i="5" s="1"/>
  <c r="M59" i="5"/>
  <c r="M63" i="5" s="1"/>
  <c r="M64" i="5" s="1"/>
  <c r="X11" i="1" s="1"/>
  <c r="L59" i="5"/>
  <c r="L63" i="5" s="1"/>
  <c r="L64" i="5" s="1"/>
  <c r="K59" i="5"/>
  <c r="J59" i="5"/>
  <c r="J63" i="5" s="1"/>
  <c r="I59" i="5"/>
  <c r="H59" i="5"/>
  <c r="G59" i="5"/>
  <c r="G63" i="5" s="1"/>
  <c r="G64" i="5" s="1"/>
  <c r="F59" i="5"/>
  <c r="F63" i="5" s="1"/>
  <c r="F64" i="5" s="1"/>
  <c r="E59" i="5"/>
  <c r="E63" i="5" s="1"/>
  <c r="E64" i="5" s="1"/>
  <c r="BL58" i="5"/>
  <c r="BR57" i="5"/>
  <c r="BQ57" i="5"/>
  <c r="BP57" i="5"/>
  <c r="AW57" i="5"/>
  <c r="AV57" i="5"/>
  <c r="AU57" i="5"/>
  <c r="AT57" i="5"/>
  <c r="AN57" i="5"/>
  <c r="BR56" i="5"/>
  <c r="BQ56" i="5"/>
  <c r="BP56" i="5"/>
  <c r="AW56" i="5"/>
  <c r="AV56" i="5"/>
  <c r="AU56" i="5"/>
  <c r="AT56" i="5"/>
  <c r="AN56" i="5"/>
  <c r="BR55" i="5"/>
  <c r="BQ55" i="5"/>
  <c r="BP55" i="5"/>
  <c r="AW55" i="5"/>
  <c r="AV55" i="5"/>
  <c r="AU55" i="5"/>
  <c r="AT55" i="5"/>
  <c r="AN55" i="5"/>
  <c r="BR53" i="5"/>
  <c r="BQ53" i="5"/>
  <c r="BP53" i="5"/>
  <c r="AW53" i="5"/>
  <c r="AV53" i="5"/>
  <c r="AU53" i="5"/>
  <c r="AT53" i="5"/>
  <c r="AN53" i="5"/>
  <c r="BR52" i="5"/>
  <c r="BQ52" i="5"/>
  <c r="BP52" i="5"/>
  <c r="AW52" i="5"/>
  <c r="AV52" i="5"/>
  <c r="AU52" i="5"/>
  <c r="AT52" i="5"/>
  <c r="AN52" i="5"/>
  <c r="BR51" i="5"/>
  <c r="BQ51" i="5"/>
  <c r="BP51" i="5"/>
  <c r="AW51" i="5"/>
  <c r="AV51" i="5"/>
  <c r="AU51" i="5"/>
  <c r="AT51" i="5"/>
  <c r="AN51" i="5"/>
  <c r="BB46" i="5"/>
  <c r="AJ46" i="5"/>
  <c r="AI46" i="5"/>
  <c r="AH46" i="5"/>
  <c r="AF46" i="5"/>
  <c r="AD46" i="5"/>
  <c r="AD47" i="5" s="1"/>
  <c r="W60" i="1" s="1"/>
  <c r="AC46" i="5"/>
  <c r="AB46" i="5"/>
  <c r="AA46" i="5"/>
  <c r="W46" i="5"/>
  <c r="U46" i="5"/>
  <c r="U47" i="5" s="1"/>
  <c r="U66" i="5" s="1"/>
  <c r="S46" i="5"/>
  <c r="R46" i="5"/>
  <c r="P46" i="5"/>
  <c r="P47" i="5" s="1"/>
  <c r="P66" i="5" s="1"/>
  <c r="O46" i="5"/>
  <c r="O47" i="5" s="1"/>
  <c r="BR45" i="5"/>
  <c r="BQ45" i="5"/>
  <c r="BP45" i="5"/>
  <c r="AW45" i="5"/>
  <c r="AV45" i="5"/>
  <c r="AU45" i="5"/>
  <c r="AT45" i="5"/>
  <c r="AN45" i="5"/>
  <c r="D45" i="5"/>
  <c r="D44" i="5"/>
  <c r="BR43" i="5"/>
  <c r="BQ43" i="5"/>
  <c r="BP43" i="5"/>
  <c r="BL43" i="5"/>
  <c r="V43" i="5"/>
  <c r="D43" i="5"/>
  <c r="BG42" i="5"/>
  <c r="BR39" i="5"/>
  <c r="BQ39" i="5"/>
  <c r="BP39" i="5"/>
  <c r="AN39" i="5"/>
  <c r="V39" i="5"/>
  <c r="BR38" i="5"/>
  <c r="BQ38" i="5"/>
  <c r="BP38" i="5"/>
  <c r="AW38" i="5"/>
  <c r="AV38" i="5"/>
  <c r="AU38" i="5"/>
  <c r="AT38" i="5"/>
  <c r="AN38" i="5"/>
  <c r="N38" i="5"/>
  <c r="M38" i="5"/>
  <c r="L38" i="5"/>
  <c r="K38" i="5"/>
  <c r="J38" i="5"/>
  <c r="I38" i="5"/>
  <c r="H38" i="5"/>
  <c r="G38" i="5"/>
  <c r="F38" i="5"/>
  <c r="E38" i="5"/>
  <c r="BR37" i="5"/>
  <c r="BQ37" i="5"/>
  <c r="BP37" i="5"/>
  <c r="AW37" i="5"/>
  <c r="AV37" i="5"/>
  <c r="AU37" i="5"/>
  <c r="AT37" i="5"/>
  <c r="AN37" i="5"/>
  <c r="N37" i="5"/>
  <c r="M37" i="5"/>
  <c r="L37" i="5"/>
  <c r="K37" i="5"/>
  <c r="J37" i="5"/>
  <c r="I37" i="5"/>
  <c r="H37" i="5"/>
  <c r="G37" i="5"/>
  <c r="F37" i="5"/>
  <c r="E37" i="5"/>
  <c r="BR32" i="5"/>
  <c r="BQ32" i="5"/>
  <c r="BP32" i="5"/>
  <c r="AW32" i="5"/>
  <c r="AV32" i="5"/>
  <c r="AU32" i="5"/>
  <c r="AT32" i="5"/>
  <c r="AN32" i="5"/>
  <c r="H32" i="5"/>
  <c r="D32" i="5"/>
  <c r="BF30" i="5"/>
  <c r="BE30" i="5"/>
  <c r="CI83" i="1" s="1"/>
  <c r="BD30" i="5"/>
  <c r="CI82" i="1" s="1"/>
  <c r="BC30" i="5"/>
  <c r="CI81" i="1" s="1"/>
  <c r="BB30" i="5"/>
  <c r="BA30" i="5"/>
  <c r="AZ30" i="5"/>
  <c r="AY30" i="5"/>
  <c r="CI78" i="1" s="1"/>
  <c r="AX30" i="5"/>
  <c r="AS30" i="5"/>
  <c r="CI72" i="1" s="1"/>
  <c r="AQ30" i="5"/>
  <c r="CI70" i="1" s="1"/>
  <c r="AP30" i="5"/>
  <c r="CI69" i="1" s="1"/>
  <c r="CI95" i="1" s="1"/>
  <c r="AO30" i="5"/>
  <c r="CI68" i="1" s="1"/>
  <c r="AM30" i="5"/>
  <c r="CI66" i="1" s="1"/>
  <c r="AL30" i="5"/>
  <c r="AK30" i="5"/>
  <c r="CI64" i="1" s="1"/>
  <c r="CI15" i="1" s="1"/>
  <c r="AJ30" i="5"/>
  <c r="AI30" i="5"/>
  <c r="AH30" i="5"/>
  <c r="AG30" i="5"/>
  <c r="AE30" i="5"/>
  <c r="CI61" i="1" s="1"/>
  <c r="AD30" i="5"/>
  <c r="CI60" i="1" s="1"/>
  <c r="AC30" i="5"/>
  <c r="AB30" i="5"/>
  <c r="AA30" i="5"/>
  <c r="Z30" i="5"/>
  <c r="Y30" i="5"/>
  <c r="CI59" i="1" s="1"/>
  <c r="X30" i="5"/>
  <c r="W30" i="5"/>
  <c r="V30" i="5"/>
  <c r="U30" i="5"/>
  <c r="T30" i="5"/>
  <c r="CI55" i="1" s="1"/>
  <c r="S30" i="5"/>
  <c r="R30" i="5"/>
  <c r="P30" i="5"/>
  <c r="O30" i="5"/>
  <c r="N30" i="5"/>
  <c r="M30" i="5"/>
  <c r="L30" i="5"/>
  <c r="K30" i="5"/>
  <c r="J30" i="5"/>
  <c r="I30" i="5"/>
  <c r="G30" i="5"/>
  <c r="F30" i="5"/>
  <c r="E30" i="5"/>
  <c r="BR27" i="5"/>
  <c r="BQ27" i="5"/>
  <c r="BP27" i="5"/>
  <c r="AW27" i="5"/>
  <c r="AW30" i="5" s="1"/>
  <c r="AV27" i="5"/>
  <c r="AV30" i="5" s="1"/>
  <c r="CI75" i="1" s="1"/>
  <c r="AU27" i="5"/>
  <c r="AU30" i="5" s="1"/>
  <c r="CI74" i="1" s="1"/>
  <c r="AT27" i="5"/>
  <c r="AT30" i="5" s="1"/>
  <c r="CI73" i="1" s="1"/>
  <c r="AN27" i="5"/>
  <c r="AN30" i="5" s="1"/>
  <c r="CI67" i="1" s="1"/>
  <c r="H27" i="5"/>
  <c r="H30" i="5" s="1"/>
  <c r="BR22" i="5"/>
  <c r="BQ22" i="5"/>
  <c r="BP22" i="5"/>
  <c r="BM22" i="5"/>
  <c r="BI22" i="5"/>
  <c r="AN22" i="5"/>
  <c r="N22" i="5"/>
  <c r="M22" i="5"/>
  <c r="L22" i="5"/>
  <c r="K22" i="5"/>
  <c r="J22" i="5"/>
  <c r="I22" i="5"/>
  <c r="H22" i="5"/>
  <c r="G22" i="5"/>
  <c r="BR21" i="5"/>
  <c r="BQ21" i="5"/>
  <c r="BP21" i="5"/>
  <c r="BM21" i="5"/>
  <c r="BI21" i="5"/>
  <c r="AN21" i="5"/>
  <c r="N21" i="5"/>
  <c r="M21" i="5"/>
  <c r="L21" i="5"/>
  <c r="K21" i="5"/>
  <c r="J21" i="5"/>
  <c r="I21" i="5"/>
  <c r="H21" i="5"/>
  <c r="G21" i="5"/>
  <c r="F21" i="5"/>
  <c r="BG20" i="5"/>
  <c r="AP20" i="5" s="1"/>
  <c r="BR19" i="5"/>
  <c r="BQ19" i="5"/>
  <c r="BP19" i="5"/>
  <c r="BM19" i="5"/>
  <c r="BI19" i="5"/>
  <c r="BI23" i="5" s="1"/>
  <c r="AN19" i="5"/>
  <c r="N19" i="5"/>
  <c r="M19" i="5"/>
  <c r="L19" i="5"/>
  <c r="K19" i="5"/>
  <c r="J19" i="5"/>
  <c r="I19" i="5"/>
  <c r="H19" i="5"/>
  <c r="G19" i="5"/>
  <c r="F19" i="5"/>
  <c r="BR18" i="5"/>
  <c r="BQ18" i="5"/>
  <c r="BP18" i="5"/>
  <c r="BM18" i="5"/>
  <c r="BI18" i="5"/>
  <c r="AN18" i="5"/>
  <c r="N18" i="5"/>
  <c r="M18" i="5"/>
  <c r="L18" i="5"/>
  <c r="K18" i="5"/>
  <c r="J18" i="5"/>
  <c r="I18" i="5"/>
  <c r="H18" i="5"/>
  <c r="G18" i="5"/>
  <c r="F18" i="5"/>
  <c r="BR17" i="5"/>
  <c r="BQ17" i="5"/>
  <c r="BP17" i="5"/>
  <c r="BM17" i="5"/>
  <c r="BI17" i="5"/>
  <c r="AN17" i="5"/>
  <c r="N17" i="5"/>
  <c r="M17" i="5"/>
  <c r="L17" i="5"/>
  <c r="J17" i="5"/>
  <c r="I17" i="5"/>
  <c r="H17" i="5"/>
  <c r="G17" i="5"/>
  <c r="F17" i="5"/>
  <c r="BF10" i="5"/>
  <c r="BE10" i="5"/>
  <c r="BD10" i="5"/>
  <c r="BC10" i="5"/>
  <c r="BB10" i="5"/>
  <c r="BB12" i="5" s="1"/>
  <c r="BA10" i="5"/>
  <c r="AZ10" i="5"/>
  <c r="AY10" i="5"/>
  <c r="AX10" i="5"/>
  <c r="AS10" i="5"/>
  <c r="AQ10" i="5"/>
  <c r="AP10" i="5"/>
  <c r="AO10" i="5"/>
  <c r="AM10" i="5"/>
  <c r="AL10" i="5"/>
  <c r="AK10" i="5"/>
  <c r="AJ10" i="5"/>
  <c r="AJ12" i="5" s="1"/>
  <c r="AI10" i="5"/>
  <c r="AG10" i="5"/>
  <c r="AG12" i="5" s="1"/>
  <c r="AE63" i="1" s="1"/>
  <c r="AE10" i="5"/>
  <c r="AE12" i="5" s="1"/>
  <c r="AE61" i="1" s="1"/>
  <c r="AD10" i="5"/>
  <c r="AD12" i="5" s="1"/>
  <c r="AE60" i="1" s="1"/>
  <c r="AC10" i="5"/>
  <c r="AC12" i="5" s="1"/>
  <c r="AB10" i="5"/>
  <c r="AB12" i="5" s="1"/>
  <c r="Y10" i="5"/>
  <c r="X10" i="5"/>
  <c r="V10" i="5"/>
  <c r="T10" i="5"/>
  <c r="O10" i="5"/>
  <c r="N10" i="5"/>
  <c r="M10" i="5"/>
  <c r="L10" i="5"/>
  <c r="K10" i="5"/>
  <c r="J10" i="5"/>
  <c r="I10" i="5"/>
  <c r="G10" i="5"/>
  <c r="F10" i="5"/>
  <c r="E10" i="5"/>
  <c r="BR9" i="5"/>
  <c r="BQ9" i="5"/>
  <c r="BP9" i="5"/>
  <c r="D9" i="5"/>
  <c r="BR8" i="5"/>
  <c r="BQ8" i="5"/>
  <c r="BP8" i="5"/>
  <c r="AW8" i="5"/>
  <c r="AV8" i="5"/>
  <c r="AU8" i="5"/>
  <c r="AT8" i="5"/>
  <c r="AN8" i="5"/>
  <c r="H8" i="5"/>
  <c r="H10" i="5" s="1"/>
  <c r="BD6" i="5"/>
  <c r="BC6" i="5"/>
  <c r="AW6" i="5"/>
  <c r="AU6" i="5"/>
  <c r="AT6" i="5"/>
  <c r="U6" i="5"/>
  <c r="U12" i="5" s="1"/>
  <c r="E6" i="5"/>
  <c r="BG5" i="5"/>
  <c r="BR4" i="5"/>
  <c r="BQ4" i="5"/>
  <c r="BP4" i="5"/>
  <c r="AV4" i="5"/>
  <c r="AN4" i="5"/>
  <c r="N4" i="5"/>
  <c r="M4" i="5"/>
  <c r="L4" i="5"/>
  <c r="K4" i="5"/>
  <c r="J4" i="5"/>
  <c r="I4" i="5"/>
  <c r="H4" i="5"/>
  <c r="G4" i="5"/>
  <c r="F4" i="5"/>
  <c r="BR3" i="5"/>
  <c r="BQ3" i="5"/>
  <c r="BP3" i="5"/>
  <c r="AV3" i="5"/>
  <c r="AN3" i="5"/>
  <c r="N3" i="5"/>
  <c r="M3" i="5"/>
  <c r="L3" i="5"/>
  <c r="K3" i="5"/>
  <c r="J3" i="5"/>
  <c r="I3" i="5"/>
  <c r="H3" i="5"/>
  <c r="G3" i="5"/>
  <c r="F3" i="5"/>
  <c r="BR2" i="5"/>
  <c r="BQ2" i="5"/>
  <c r="BP2" i="5"/>
  <c r="AV2" i="5"/>
  <c r="AN2" i="5"/>
  <c r="N2" i="5"/>
  <c r="M2" i="5"/>
  <c r="L2" i="5"/>
  <c r="J2" i="5"/>
  <c r="I2" i="5"/>
  <c r="H2" i="5"/>
  <c r="G2" i="5"/>
  <c r="F2" i="5"/>
  <c r="AE20" i="5"/>
  <c r="AJ196" i="5"/>
  <c r="K63" i="5"/>
  <c r="P63" i="5"/>
  <c r="P64" i="5" s="1"/>
  <c r="X16" i="1" s="1"/>
  <c r="Y16" i="1" s="1"/>
  <c r="L210" i="5"/>
  <c r="AD195" i="5"/>
  <c r="BA63" i="5"/>
  <c r="BA64" i="5" s="1"/>
  <c r="X80" i="1" s="1"/>
  <c r="V64" i="5"/>
  <c r="AZ196" i="5"/>
  <c r="AA79" i="1" s="1"/>
  <c r="AS105" i="5"/>
  <c r="U72" i="1" s="1"/>
  <c r="AP105" i="5"/>
  <c r="U69" i="1" s="1"/>
  <c r="AU119" i="5"/>
  <c r="AP74" i="1" s="1"/>
  <c r="AP119" i="5"/>
  <c r="AG196" i="5"/>
  <c r="AA63" i="1" s="1"/>
  <c r="AA240" i="15"/>
  <c r="Z240" i="15"/>
  <c r="Y240" i="15"/>
  <c r="X240" i="15"/>
  <c r="W240" i="15"/>
  <c r="AA239" i="15"/>
  <c r="Z239" i="15"/>
  <c r="Y239" i="15"/>
  <c r="X239" i="15"/>
  <c r="W239" i="15"/>
  <c r="AA237" i="15"/>
  <c r="Z237" i="15"/>
  <c r="Y237" i="15"/>
  <c r="X237" i="15"/>
  <c r="W237" i="15"/>
  <c r="AA236" i="15"/>
  <c r="Z236" i="15"/>
  <c r="Y236" i="15"/>
  <c r="X236" i="15"/>
  <c r="W236" i="15"/>
  <c r="AA235" i="15"/>
  <c r="Z235" i="15"/>
  <c r="Y235" i="15"/>
  <c r="X235" i="15"/>
  <c r="W235" i="15"/>
  <c r="AA234" i="15"/>
  <c r="Z234" i="15"/>
  <c r="Y234" i="15"/>
  <c r="X234" i="15"/>
  <c r="W234" i="15"/>
  <c r="AA233" i="15"/>
  <c r="Z233" i="15"/>
  <c r="Y233" i="15"/>
  <c r="X233" i="15"/>
  <c r="W233" i="15"/>
  <c r="AA232" i="15"/>
  <c r="Z232" i="15"/>
  <c r="Y232" i="15"/>
  <c r="X232" i="15"/>
  <c r="W232" i="15"/>
  <c r="AA231" i="15"/>
  <c r="Z231" i="15"/>
  <c r="Y231" i="15"/>
  <c r="X231" i="15"/>
  <c r="W231" i="15"/>
  <c r="AA230" i="15"/>
  <c r="Z230" i="15"/>
  <c r="Y230" i="15"/>
  <c r="X230" i="15"/>
  <c r="W230" i="15"/>
  <c r="AA229" i="15"/>
  <c r="Z229" i="15"/>
  <c r="Y229" i="15"/>
  <c r="X229" i="15"/>
  <c r="W229" i="15"/>
  <c r="AA228" i="15"/>
  <c r="Z228" i="15"/>
  <c r="Y228" i="15"/>
  <c r="X228" i="15"/>
  <c r="W228" i="15"/>
  <c r="AA227" i="15"/>
  <c r="Z227" i="15"/>
  <c r="Y227" i="15"/>
  <c r="X227" i="15"/>
  <c r="W227" i="15"/>
  <c r="AA226" i="15"/>
  <c r="Z226" i="15"/>
  <c r="Y226" i="15"/>
  <c r="X226" i="15"/>
  <c r="W226" i="15"/>
  <c r="AA225" i="15"/>
  <c r="Z225" i="15"/>
  <c r="Y225" i="15"/>
  <c r="X225" i="15"/>
  <c r="W225" i="15"/>
  <c r="AA224" i="15"/>
  <c r="Z224" i="15"/>
  <c r="Y224" i="15"/>
  <c r="X224" i="15"/>
  <c r="W224" i="15"/>
  <c r="AA223" i="15"/>
  <c r="Z223" i="15"/>
  <c r="Y223" i="15"/>
  <c r="X223" i="15"/>
  <c r="W223" i="15"/>
  <c r="AA222" i="15"/>
  <c r="Z222" i="15"/>
  <c r="Y222" i="15"/>
  <c r="X222" i="15"/>
  <c r="W222" i="15"/>
  <c r="AA221" i="15"/>
  <c r="Z221" i="15"/>
  <c r="Y221" i="15"/>
  <c r="X221" i="15"/>
  <c r="W221" i="15"/>
  <c r="AA220" i="15"/>
  <c r="Z220" i="15"/>
  <c r="Y220" i="15"/>
  <c r="X220" i="15"/>
  <c r="W220" i="15"/>
  <c r="AA219" i="15"/>
  <c r="Z219" i="15"/>
  <c r="Y219" i="15"/>
  <c r="X219" i="15"/>
  <c r="W219" i="15"/>
  <c r="AA218" i="15"/>
  <c r="Z218" i="15"/>
  <c r="Y218" i="15"/>
  <c r="X218" i="15"/>
  <c r="W218" i="15"/>
  <c r="AA217" i="15"/>
  <c r="Z217" i="15"/>
  <c r="Y217" i="15"/>
  <c r="X217" i="15"/>
  <c r="W217" i="15"/>
  <c r="AA216" i="15"/>
  <c r="Z216" i="15"/>
  <c r="Y216" i="15"/>
  <c r="X216" i="15"/>
  <c r="W216" i="15"/>
  <c r="AA215" i="15"/>
  <c r="Z215" i="15"/>
  <c r="Y215" i="15"/>
  <c r="X215" i="15"/>
  <c r="W215" i="15"/>
  <c r="AA214" i="15"/>
  <c r="Z214" i="15"/>
  <c r="Y214" i="15"/>
  <c r="X214" i="15"/>
  <c r="W214" i="15"/>
  <c r="AA213" i="15"/>
  <c r="Z213" i="15"/>
  <c r="Y213" i="15"/>
  <c r="X213" i="15"/>
  <c r="W213" i="15"/>
  <c r="AA212" i="15"/>
  <c r="Z212" i="15"/>
  <c r="Y212" i="15"/>
  <c r="X212" i="15"/>
  <c r="W212" i="15"/>
  <c r="AA211" i="15"/>
  <c r="Z211" i="15"/>
  <c r="Y211" i="15"/>
  <c r="X211" i="15"/>
  <c r="W211" i="15"/>
  <c r="AA210" i="15"/>
  <c r="Z210" i="15"/>
  <c r="Y210" i="15"/>
  <c r="X210" i="15"/>
  <c r="W210" i="15"/>
  <c r="AA209" i="15"/>
  <c r="Z209" i="15"/>
  <c r="Y209" i="15"/>
  <c r="X209" i="15"/>
  <c r="W209" i="15"/>
  <c r="AA208" i="15"/>
  <c r="Z208" i="15"/>
  <c r="Y208" i="15"/>
  <c r="X208" i="15"/>
  <c r="W208" i="15"/>
  <c r="AA207" i="15"/>
  <c r="Z207" i="15"/>
  <c r="Y207" i="15"/>
  <c r="X207" i="15"/>
  <c r="W207" i="15"/>
  <c r="AP94" i="5"/>
  <c r="R69" i="1" s="1"/>
  <c r="AM94" i="5"/>
  <c r="R66" i="1" s="1"/>
  <c r="Y94" i="5"/>
  <c r="AO64" i="5"/>
  <c r="X68" i="1" s="1"/>
  <c r="AA206" i="15"/>
  <c r="Z206" i="15"/>
  <c r="Y206" i="15"/>
  <c r="X206" i="15"/>
  <c r="W206" i="15"/>
  <c r="AA205" i="15"/>
  <c r="Z205" i="15"/>
  <c r="Y205" i="15"/>
  <c r="X205" i="15"/>
  <c r="W205" i="15"/>
  <c r="AA204" i="15"/>
  <c r="Z204" i="15"/>
  <c r="Y204" i="15"/>
  <c r="X204" i="15"/>
  <c r="W204" i="15"/>
  <c r="AA181" i="15"/>
  <c r="Z181" i="15"/>
  <c r="Y181" i="15"/>
  <c r="X181" i="15"/>
  <c r="W181" i="15"/>
  <c r="AA180" i="15"/>
  <c r="Z180" i="15"/>
  <c r="Y180" i="15"/>
  <c r="X180" i="15"/>
  <c r="W180" i="15"/>
  <c r="AA179" i="15"/>
  <c r="Z179" i="15"/>
  <c r="Y179" i="15"/>
  <c r="X179" i="15"/>
  <c r="W179" i="15"/>
  <c r="J64" i="5"/>
  <c r="AA203" i="15"/>
  <c r="Z203" i="15"/>
  <c r="Y203" i="15"/>
  <c r="X203" i="15"/>
  <c r="W203" i="15"/>
  <c r="AA202" i="15"/>
  <c r="Z202" i="15"/>
  <c r="Y202" i="15"/>
  <c r="X202" i="15"/>
  <c r="W202" i="15"/>
  <c r="AA201" i="15"/>
  <c r="Z201" i="15"/>
  <c r="Y201" i="15"/>
  <c r="X201" i="15"/>
  <c r="W201" i="15"/>
  <c r="AA200" i="15"/>
  <c r="Z200" i="15"/>
  <c r="Y200" i="15"/>
  <c r="X200" i="15"/>
  <c r="W200" i="15"/>
  <c r="AA199" i="15"/>
  <c r="Z199" i="15"/>
  <c r="Y199" i="15"/>
  <c r="X199" i="15"/>
  <c r="W199" i="15"/>
  <c r="AA198" i="15"/>
  <c r="Z198" i="15"/>
  <c r="Y198" i="15"/>
  <c r="X198" i="15"/>
  <c r="W198" i="15"/>
  <c r="AA197" i="15"/>
  <c r="Z197" i="15"/>
  <c r="Y197" i="15"/>
  <c r="X197" i="15"/>
  <c r="W197" i="15"/>
  <c r="AA196" i="15"/>
  <c r="Z196" i="15"/>
  <c r="Y196" i="15"/>
  <c r="X196" i="15"/>
  <c r="W196" i="15"/>
  <c r="AA195" i="15"/>
  <c r="Z195" i="15"/>
  <c r="Y195" i="15"/>
  <c r="X195" i="15"/>
  <c r="W195" i="15"/>
  <c r="AA194" i="15"/>
  <c r="Z194" i="15"/>
  <c r="Y194" i="15"/>
  <c r="X194" i="15"/>
  <c r="W194" i="15"/>
  <c r="AA193" i="15"/>
  <c r="Z193" i="15"/>
  <c r="Y193" i="15"/>
  <c r="X193" i="15"/>
  <c r="W193" i="15"/>
  <c r="AA192" i="15"/>
  <c r="Z192" i="15"/>
  <c r="Y192" i="15"/>
  <c r="X192" i="15"/>
  <c r="W192" i="15"/>
  <c r="AA191" i="15"/>
  <c r="Z191" i="15"/>
  <c r="Y191" i="15"/>
  <c r="X191" i="15"/>
  <c r="W191" i="15"/>
  <c r="AA190" i="15"/>
  <c r="Z190" i="15"/>
  <c r="Y190" i="15"/>
  <c r="X190" i="15"/>
  <c r="W190" i="15"/>
  <c r="AA189" i="15"/>
  <c r="Z189" i="15"/>
  <c r="Y189" i="15"/>
  <c r="X189" i="15"/>
  <c r="W189" i="15"/>
  <c r="AA188" i="15"/>
  <c r="Z188" i="15"/>
  <c r="Y188" i="15"/>
  <c r="X188" i="15"/>
  <c r="W188" i="15"/>
  <c r="AA187" i="15"/>
  <c r="Z187" i="15"/>
  <c r="Y187" i="15"/>
  <c r="X187" i="15"/>
  <c r="W187" i="15"/>
  <c r="AA186" i="15"/>
  <c r="Z186" i="15"/>
  <c r="Y186" i="15"/>
  <c r="X186" i="15"/>
  <c r="W186" i="15"/>
  <c r="AA185" i="15"/>
  <c r="Z185" i="15"/>
  <c r="Y185" i="15"/>
  <c r="X185" i="15"/>
  <c r="W185" i="15"/>
  <c r="AA184" i="15"/>
  <c r="Z184" i="15"/>
  <c r="Y184" i="15"/>
  <c r="X184" i="15"/>
  <c r="W184" i="15"/>
  <c r="AA183" i="15"/>
  <c r="Z183" i="15"/>
  <c r="Y183" i="15"/>
  <c r="X183" i="15"/>
  <c r="W183" i="15"/>
  <c r="AA182" i="15"/>
  <c r="Z182" i="15"/>
  <c r="Y182" i="15"/>
  <c r="X182" i="15"/>
  <c r="W182" i="15"/>
  <c r="AA178" i="15"/>
  <c r="Z178" i="15"/>
  <c r="Y178" i="15"/>
  <c r="X178" i="15"/>
  <c r="W178" i="15"/>
  <c r="AA177" i="15"/>
  <c r="Z177" i="15"/>
  <c r="Y177" i="15"/>
  <c r="X177" i="15"/>
  <c r="W177" i="15"/>
  <c r="AA176" i="15"/>
  <c r="Z176" i="15"/>
  <c r="Y176" i="15"/>
  <c r="X176" i="15"/>
  <c r="W176" i="15"/>
  <c r="AA175" i="15"/>
  <c r="Z175" i="15"/>
  <c r="Y175" i="15"/>
  <c r="X175" i="15"/>
  <c r="W175" i="15"/>
  <c r="AA174" i="15"/>
  <c r="Z174" i="15"/>
  <c r="Y174" i="15"/>
  <c r="X174" i="15"/>
  <c r="W174" i="15"/>
  <c r="AA173" i="15"/>
  <c r="Z173" i="15"/>
  <c r="Y173" i="15"/>
  <c r="X173" i="15"/>
  <c r="W173" i="15"/>
  <c r="AA172" i="15"/>
  <c r="Z172" i="15"/>
  <c r="Y172" i="15"/>
  <c r="X172" i="15"/>
  <c r="W172" i="15"/>
  <c r="AA171" i="15"/>
  <c r="Z171" i="15"/>
  <c r="Y171" i="15"/>
  <c r="X171" i="15"/>
  <c r="W171" i="15"/>
  <c r="AA170" i="15"/>
  <c r="Z170" i="15"/>
  <c r="Y170" i="15"/>
  <c r="X170" i="15"/>
  <c r="W170" i="15"/>
  <c r="AA169" i="15"/>
  <c r="Z169" i="15"/>
  <c r="Y169" i="15"/>
  <c r="X169" i="15"/>
  <c r="W169" i="15"/>
  <c r="AA168" i="15"/>
  <c r="Z168" i="15"/>
  <c r="Y168" i="15"/>
  <c r="X168" i="15"/>
  <c r="W168" i="15"/>
  <c r="AA167" i="15"/>
  <c r="Z167" i="15"/>
  <c r="Y167" i="15"/>
  <c r="X167" i="15"/>
  <c r="W167" i="15"/>
  <c r="AA166" i="15"/>
  <c r="Z166" i="15"/>
  <c r="Y166" i="15"/>
  <c r="X166" i="15"/>
  <c r="W166" i="15"/>
  <c r="AA165" i="15"/>
  <c r="Z165" i="15"/>
  <c r="Y165" i="15"/>
  <c r="X165" i="15"/>
  <c r="W165" i="15"/>
  <c r="AA164" i="15"/>
  <c r="Z164" i="15"/>
  <c r="Y164" i="15"/>
  <c r="X164" i="15"/>
  <c r="W164" i="15"/>
  <c r="AA163" i="15"/>
  <c r="Z163" i="15"/>
  <c r="Y163" i="15"/>
  <c r="X163" i="15"/>
  <c r="W163" i="15"/>
  <c r="AA162" i="15"/>
  <c r="Z162" i="15"/>
  <c r="Y162" i="15"/>
  <c r="X162" i="15"/>
  <c r="W162" i="15"/>
  <c r="AA161" i="15"/>
  <c r="Z161" i="15"/>
  <c r="Y161" i="15"/>
  <c r="X161" i="15"/>
  <c r="W161" i="15"/>
  <c r="AA160" i="15"/>
  <c r="Z160" i="15"/>
  <c r="Y160" i="15"/>
  <c r="X160" i="15"/>
  <c r="W160" i="15"/>
  <c r="AA159" i="15"/>
  <c r="Z159" i="15"/>
  <c r="Y159" i="15"/>
  <c r="X159" i="15"/>
  <c r="W159" i="15"/>
  <c r="AA158" i="15"/>
  <c r="Z158" i="15"/>
  <c r="Y158" i="15"/>
  <c r="X158" i="15"/>
  <c r="W158" i="15"/>
  <c r="AA157" i="15"/>
  <c r="Z157" i="15"/>
  <c r="Y157" i="15"/>
  <c r="X157" i="15"/>
  <c r="W157" i="15"/>
  <c r="AA156" i="15"/>
  <c r="Z156" i="15"/>
  <c r="Y156" i="15"/>
  <c r="X156" i="15"/>
  <c r="W156" i="15"/>
  <c r="AA155" i="15"/>
  <c r="Z155" i="15"/>
  <c r="Y155" i="15"/>
  <c r="X155" i="15"/>
  <c r="W155" i="15"/>
  <c r="AA154" i="15"/>
  <c r="Z154" i="15"/>
  <c r="Y154" i="15"/>
  <c r="X154" i="15"/>
  <c r="W154" i="15"/>
  <c r="AA153" i="15"/>
  <c r="Z153" i="15"/>
  <c r="Y153" i="15"/>
  <c r="X153" i="15"/>
  <c r="W153" i="15"/>
  <c r="AA152" i="15"/>
  <c r="Z152" i="15"/>
  <c r="Y152" i="15"/>
  <c r="X152" i="15"/>
  <c r="W152" i="15"/>
  <c r="AA151" i="15"/>
  <c r="Z151" i="15"/>
  <c r="Y151" i="15"/>
  <c r="X151" i="15"/>
  <c r="W151" i="15"/>
  <c r="AA150" i="15"/>
  <c r="Z150" i="15"/>
  <c r="Y150" i="15"/>
  <c r="X150" i="15"/>
  <c r="W150" i="15"/>
  <c r="AA149" i="15"/>
  <c r="Z149" i="15"/>
  <c r="Y149" i="15"/>
  <c r="X149" i="15"/>
  <c r="W149" i="15"/>
  <c r="AA148" i="15"/>
  <c r="Z148" i="15"/>
  <c r="Y148" i="15"/>
  <c r="X148" i="15"/>
  <c r="W148" i="15"/>
  <c r="AA147" i="15"/>
  <c r="Z147" i="15"/>
  <c r="Y147" i="15"/>
  <c r="X147" i="15"/>
  <c r="W147" i="15"/>
  <c r="AA146" i="15"/>
  <c r="Z146" i="15"/>
  <c r="Y146" i="15"/>
  <c r="X146" i="15"/>
  <c r="W146" i="15"/>
  <c r="AA145" i="15"/>
  <c r="Z145" i="15"/>
  <c r="Y145" i="15"/>
  <c r="X145" i="15"/>
  <c r="W145" i="15"/>
  <c r="AA144" i="15"/>
  <c r="Z144" i="15"/>
  <c r="Y144" i="15"/>
  <c r="X144" i="15"/>
  <c r="W144" i="15"/>
  <c r="AA143" i="15"/>
  <c r="Z143" i="15"/>
  <c r="Y143" i="15"/>
  <c r="X143" i="15"/>
  <c r="W143" i="15"/>
  <c r="AA142" i="15"/>
  <c r="Z142" i="15"/>
  <c r="Y142" i="15"/>
  <c r="X142" i="15"/>
  <c r="W142" i="15"/>
  <c r="AA141" i="15"/>
  <c r="Z141" i="15"/>
  <c r="Y141" i="15"/>
  <c r="X141" i="15"/>
  <c r="W141" i="15"/>
  <c r="AA140" i="15"/>
  <c r="Z140" i="15"/>
  <c r="Y140" i="15"/>
  <c r="X140" i="15"/>
  <c r="W140" i="15"/>
  <c r="AA139" i="15"/>
  <c r="Z139" i="15"/>
  <c r="Y139" i="15"/>
  <c r="X139" i="15"/>
  <c r="W139" i="15"/>
  <c r="AA138" i="15"/>
  <c r="Z138" i="15"/>
  <c r="Y138" i="15"/>
  <c r="X138" i="15"/>
  <c r="W138" i="15"/>
  <c r="AA137" i="15"/>
  <c r="Z137" i="15"/>
  <c r="Y137" i="15"/>
  <c r="X137" i="15"/>
  <c r="W137" i="15"/>
  <c r="AA136" i="15"/>
  <c r="Z136" i="15"/>
  <c r="Y136" i="15"/>
  <c r="X136" i="15"/>
  <c r="W136" i="15"/>
  <c r="AA135" i="15"/>
  <c r="Z135" i="15"/>
  <c r="Y135" i="15"/>
  <c r="X135" i="15"/>
  <c r="W135" i="15"/>
  <c r="AA134" i="15"/>
  <c r="Z134" i="15"/>
  <c r="Y134" i="15"/>
  <c r="X134" i="15"/>
  <c r="W134" i="15"/>
  <c r="AA133" i="15"/>
  <c r="Z133" i="15"/>
  <c r="Y133" i="15"/>
  <c r="X133" i="15"/>
  <c r="W133" i="15"/>
  <c r="AA132" i="15"/>
  <c r="Z132" i="15"/>
  <c r="Y132" i="15"/>
  <c r="X132" i="15"/>
  <c r="W132" i="15"/>
  <c r="AA131" i="15"/>
  <c r="Z131" i="15"/>
  <c r="Y131" i="15"/>
  <c r="X131" i="15"/>
  <c r="W131" i="15"/>
  <c r="AA130" i="15"/>
  <c r="Z130" i="15"/>
  <c r="Y130" i="15"/>
  <c r="X130" i="15"/>
  <c r="W130" i="15"/>
  <c r="AA129" i="15"/>
  <c r="Z129" i="15"/>
  <c r="Y129" i="15"/>
  <c r="X129" i="15"/>
  <c r="W129" i="15"/>
  <c r="AA128" i="15"/>
  <c r="Z128" i="15"/>
  <c r="Y128" i="15"/>
  <c r="X128" i="15"/>
  <c r="W128" i="15"/>
  <c r="AA127" i="15"/>
  <c r="Z127" i="15"/>
  <c r="Y127" i="15"/>
  <c r="X127" i="15"/>
  <c r="W127" i="15"/>
  <c r="AA126" i="15"/>
  <c r="Z126" i="15"/>
  <c r="Y126" i="15"/>
  <c r="X126" i="15"/>
  <c r="W126" i="15"/>
  <c r="AA125" i="15"/>
  <c r="Z125" i="15"/>
  <c r="Y125" i="15"/>
  <c r="X125" i="15"/>
  <c r="W125" i="15"/>
  <c r="AA124" i="15"/>
  <c r="Z124" i="15"/>
  <c r="Y124" i="15"/>
  <c r="X124" i="15"/>
  <c r="W124" i="15"/>
  <c r="AA123" i="15"/>
  <c r="Z123" i="15"/>
  <c r="Y123" i="15"/>
  <c r="X123" i="15"/>
  <c r="W123" i="15"/>
  <c r="AA122" i="15"/>
  <c r="Z122" i="15"/>
  <c r="Y122" i="15"/>
  <c r="X122" i="15"/>
  <c r="W122" i="15"/>
  <c r="AA121" i="15"/>
  <c r="Z121" i="15"/>
  <c r="Y121" i="15"/>
  <c r="X121" i="15"/>
  <c r="W121" i="15"/>
  <c r="AA120" i="15"/>
  <c r="Z120" i="15"/>
  <c r="Y120" i="15"/>
  <c r="X120" i="15"/>
  <c r="W120" i="15"/>
  <c r="AA119" i="15"/>
  <c r="Z119" i="15"/>
  <c r="Y119" i="15"/>
  <c r="X119" i="15"/>
  <c r="W119" i="15"/>
  <c r="AA118" i="15"/>
  <c r="Z118" i="15"/>
  <c r="Y118" i="15"/>
  <c r="X118" i="15"/>
  <c r="W118" i="15"/>
  <c r="AA117" i="15"/>
  <c r="Z117" i="15"/>
  <c r="Y117" i="15"/>
  <c r="X117" i="15"/>
  <c r="W117" i="15"/>
  <c r="AA116" i="15"/>
  <c r="Z116" i="15"/>
  <c r="Y116" i="15"/>
  <c r="X116" i="15"/>
  <c r="W116" i="15"/>
  <c r="AA115" i="15"/>
  <c r="Z115" i="15"/>
  <c r="Y115" i="15"/>
  <c r="X115" i="15"/>
  <c r="W115" i="15"/>
  <c r="AA114" i="15"/>
  <c r="Z114" i="15"/>
  <c r="Y114" i="15"/>
  <c r="X114" i="15"/>
  <c r="W114" i="15"/>
  <c r="AA113" i="15"/>
  <c r="Z113" i="15"/>
  <c r="Y113" i="15"/>
  <c r="X113" i="15"/>
  <c r="W113" i="15"/>
  <c r="AA112" i="15"/>
  <c r="Z112" i="15"/>
  <c r="Y112" i="15"/>
  <c r="X112" i="15"/>
  <c r="W112" i="15"/>
  <c r="AA111" i="15"/>
  <c r="Z111" i="15"/>
  <c r="Y111" i="15"/>
  <c r="X111" i="15"/>
  <c r="W111" i="15"/>
  <c r="AA110" i="15"/>
  <c r="Z110" i="15"/>
  <c r="Y110" i="15"/>
  <c r="X110" i="15"/>
  <c r="W110" i="15"/>
  <c r="AA109" i="15"/>
  <c r="Z109" i="15"/>
  <c r="Y109" i="15"/>
  <c r="X109" i="15"/>
  <c r="W109" i="15"/>
  <c r="AA108" i="15"/>
  <c r="Z108" i="15"/>
  <c r="Y108" i="15"/>
  <c r="X108" i="15"/>
  <c r="W108" i="15"/>
  <c r="AA107" i="15"/>
  <c r="Z107" i="15"/>
  <c r="Y107" i="15"/>
  <c r="X107" i="15"/>
  <c r="W107" i="15"/>
  <c r="AA106" i="15"/>
  <c r="Z106" i="15"/>
  <c r="Y106" i="15"/>
  <c r="X106" i="15"/>
  <c r="W106" i="15"/>
  <c r="AA105" i="15"/>
  <c r="Z105" i="15"/>
  <c r="Y105" i="15"/>
  <c r="X105" i="15"/>
  <c r="W105" i="15"/>
  <c r="AA104" i="15"/>
  <c r="Z104" i="15"/>
  <c r="Y104" i="15"/>
  <c r="X104" i="15"/>
  <c r="W104" i="15"/>
  <c r="AA103" i="15"/>
  <c r="Z103" i="15"/>
  <c r="Y103" i="15"/>
  <c r="X103" i="15"/>
  <c r="W103" i="15"/>
  <c r="AA102" i="15"/>
  <c r="Z102" i="15"/>
  <c r="Y102" i="15"/>
  <c r="X102" i="15"/>
  <c r="W102" i="15"/>
  <c r="AA101" i="15"/>
  <c r="Z101" i="15"/>
  <c r="Y101" i="15"/>
  <c r="X101" i="15"/>
  <c r="W101" i="15"/>
  <c r="AA100" i="15"/>
  <c r="Z100" i="15"/>
  <c r="Y100" i="15"/>
  <c r="X100" i="15"/>
  <c r="W100" i="15"/>
  <c r="AA99" i="15"/>
  <c r="Z99" i="15"/>
  <c r="Y99" i="15"/>
  <c r="X99" i="15"/>
  <c r="W99" i="15"/>
  <c r="AA98" i="15"/>
  <c r="Z98" i="15"/>
  <c r="Y98" i="15"/>
  <c r="X98" i="15"/>
  <c r="W98" i="15"/>
  <c r="AA97" i="15"/>
  <c r="Z97" i="15"/>
  <c r="Y97" i="15"/>
  <c r="X97" i="15"/>
  <c r="W97" i="15"/>
  <c r="AA96" i="15"/>
  <c r="Z96" i="15"/>
  <c r="Y96" i="15"/>
  <c r="X96" i="15"/>
  <c r="W96" i="15"/>
  <c r="AA95" i="15"/>
  <c r="Z95" i="15"/>
  <c r="Y95" i="15"/>
  <c r="X95" i="15"/>
  <c r="W95" i="15"/>
  <c r="AA94" i="15"/>
  <c r="Z94" i="15"/>
  <c r="Y94" i="15"/>
  <c r="X94" i="15"/>
  <c r="W94" i="15"/>
  <c r="AA93" i="15"/>
  <c r="Z93" i="15"/>
  <c r="Y93" i="15"/>
  <c r="X93" i="15"/>
  <c r="W93" i="15"/>
  <c r="AA92" i="15"/>
  <c r="Z92" i="15"/>
  <c r="Y92" i="15"/>
  <c r="X92" i="15"/>
  <c r="W92" i="15"/>
  <c r="AA91" i="15"/>
  <c r="Z91" i="15"/>
  <c r="Y91" i="15"/>
  <c r="X91" i="15"/>
  <c r="W91" i="15"/>
  <c r="AA90" i="15"/>
  <c r="Z90" i="15"/>
  <c r="Y90" i="15"/>
  <c r="X90" i="15"/>
  <c r="W90" i="15"/>
  <c r="AA89" i="15"/>
  <c r="Z89" i="15"/>
  <c r="Y89" i="15"/>
  <c r="X89" i="15"/>
  <c r="W89" i="15"/>
  <c r="AA88" i="15"/>
  <c r="Z88" i="15"/>
  <c r="Y88" i="15"/>
  <c r="X88" i="15"/>
  <c r="W88" i="15"/>
  <c r="AA87" i="15"/>
  <c r="Z87" i="15"/>
  <c r="Y87" i="15"/>
  <c r="X87" i="15"/>
  <c r="W87" i="15"/>
  <c r="AA86" i="15"/>
  <c r="Z86" i="15"/>
  <c r="Y86" i="15"/>
  <c r="X86" i="15"/>
  <c r="W86" i="15"/>
  <c r="AA85" i="15"/>
  <c r="Z85" i="15"/>
  <c r="Y85" i="15"/>
  <c r="X85" i="15"/>
  <c r="W85" i="15"/>
  <c r="AA84" i="15"/>
  <c r="Z84" i="15"/>
  <c r="Y84" i="15"/>
  <c r="X84" i="15"/>
  <c r="W84" i="15"/>
  <c r="AA83" i="15"/>
  <c r="Z83" i="15"/>
  <c r="Y83" i="15"/>
  <c r="X83" i="15"/>
  <c r="W83" i="15"/>
  <c r="AA82" i="15"/>
  <c r="Z82" i="15"/>
  <c r="Y82" i="15"/>
  <c r="X82" i="15"/>
  <c r="W82" i="15"/>
  <c r="AA81" i="15"/>
  <c r="Z81" i="15"/>
  <c r="Y81" i="15"/>
  <c r="X81" i="15"/>
  <c r="W81" i="15"/>
  <c r="AA80" i="15"/>
  <c r="Z80" i="15"/>
  <c r="Y80" i="15"/>
  <c r="X80" i="15"/>
  <c r="W80" i="15"/>
  <c r="AA79" i="15"/>
  <c r="Z79" i="15"/>
  <c r="Y79" i="15"/>
  <c r="X79" i="15"/>
  <c r="W79" i="15"/>
  <c r="AA78" i="15"/>
  <c r="Z78" i="15"/>
  <c r="Y78" i="15"/>
  <c r="X78" i="15"/>
  <c r="W78" i="15"/>
  <c r="AA77" i="15"/>
  <c r="Z77" i="15"/>
  <c r="Y77" i="15"/>
  <c r="X77" i="15"/>
  <c r="W77" i="15"/>
  <c r="AA76" i="15"/>
  <c r="Z76" i="15"/>
  <c r="Y76" i="15"/>
  <c r="X76" i="15"/>
  <c r="W76" i="15"/>
  <c r="AA75" i="15"/>
  <c r="Z75" i="15"/>
  <c r="Y75" i="15"/>
  <c r="X75" i="15"/>
  <c r="W75" i="15"/>
  <c r="AA74" i="15"/>
  <c r="Z74" i="15"/>
  <c r="Y74" i="15"/>
  <c r="X74" i="15"/>
  <c r="W74" i="15"/>
  <c r="AA73" i="15"/>
  <c r="Z73" i="15"/>
  <c r="Y73" i="15"/>
  <c r="X73" i="15"/>
  <c r="W73" i="15"/>
  <c r="AA72" i="15"/>
  <c r="Z72" i="15"/>
  <c r="Y72" i="15"/>
  <c r="X72" i="15"/>
  <c r="W72" i="15"/>
  <c r="AA71" i="15"/>
  <c r="Z71" i="15"/>
  <c r="Y71" i="15"/>
  <c r="X71" i="15"/>
  <c r="W71" i="15"/>
  <c r="AA70" i="15"/>
  <c r="Z70" i="15"/>
  <c r="Y70" i="15"/>
  <c r="X70" i="15"/>
  <c r="W70" i="15"/>
  <c r="AA69" i="15"/>
  <c r="Z69" i="15"/>
  <c r="Y69" i="15"/>
  <c r="X69" i="15"/>
  <c r="W69" i="15"/>
  <c r="AA68" i="15"/>
  <c r="Z68" i="15"/>
  <c r="Y68" i="15"/>
  <c r="X68" i="15"/>
  <c r="W68" i="15"/>
  <c r="AA67" i="15"/>
  <c r="Z67" i="15"/>
  <c r="Y67" i="15"/>
  <c r="X67" i="15"/>
  <c r="W67" i="15"/>
  <c r="AA66" i="15"/>
  <c r="Z66" i="15"/>
  <c r="Y66" i="15"/>
  <c r="X66" i="15"/>
  <c r="W66" i="15"/>
  <c r="AA65" i="15"/>
  <c r="Z65" i="15"/>
  <c r="Y65" i="15"/>
  <c r="X65" i="15"/>
  <c r="W65" i="15"/>
  <c r="AA64" i="15"/>
  <c r="Z64" i="15"/>
  <c r="Y64" i="15"/>
  <c r="X64" i="15"/>
  <c r="W64" i="15"/>
  <c r="AA63" i="15"/>
  <c r="Z63" i="15"/>
  <c r="Y63" i="15"/>
  <c r="X63" i="15"/>
  <c r="W63" i="15"/>
  <c r="AA62" i="15"/>
  <c r="Z62" i="15"/>
  <c r="Y62" i="15"/>
  <c r="X62" i="15"/>
  <c r="W62" i="15"/>
  <c r="AA61" i="15"/>
  <c r="Z61" i="15"/>
  <c r="Y61" i="15"/>
  <c r="X61" i="15"/>
  <c r="W61" i="15"/>
  <c r="AA60" i="15"/>
  <c r="Z60" i="15"/>
  <c r="Y60" i="15"/>
  <c r="X60" i="15"/>
  <c r="W60" i="15"/>
  <c r="AA59" i="15"/>
  <c r="Z59" i="15"/>
  <c r="Y59" i="15"/>
  <c r="X59" i="15"/>
  <c r="W59" i="15"/>
  <c r="AA58" i="15"/>
  <c r="Z58" i="15"/>
  <c r="Y58" i="15"/>
  <c r="X58" i="15"/>
  <c r="W58" i="15"/>
  <c r="AA57" i="15"/>
  <c r="Z57" i="15"/>
  <c r="Y57" i="15"/>
  <c r="X57" i="15"/>
  <c r="W57" i="15"/>
  <c r="AA56" i="15"/>
  <c r="Z56" i="15"/>
  <c r="Y56" i="15"/>
  <c r="X56" i="15"/>
  <c r="W56" i="15"/>
  <c r="AA55" i="15"/>
  <c r="Z55" i="15"/>
  <c r="Y55" i="15"/>
  <c r="X55" i="15"/>
  <c r="W55" i="15"/>
  <c r="AA54" i="15"/>
  <c r="Z54" i="15"/>
  <c r="Y54" i="15"/>
  <c r="X54" i="15"/>
  <c r="W54" i="15"/>
  <c r="AA53" i="15"/>
  <c r="Z53" i="15"/>
  <c r="Y53" i="15"/>
  <c r="X53" i="15"/>
  <c r="W53" i="15"/>
  <c r="AA52" i="15"/>
  <c r="Z52" i="15"/>
  <c r="Y52" i="15"/>
  <c r="X52" i="15"/>
  <c r="W52" i="15"/>
  <c r="AA51" i="15"/>
  <c r="Z51" i="15"/>
  <c r="Y51" i="15"/>
  <c r="X51" i="15"/>
  <c r="W51" i="15"/>
  <c r="AA50" i="15"/>
  <c r="Z50" i="15"/>
  <c r="Y50" i="15"/>
  <c r="X50" i="15"/>
  <c r="W50" i="15"/>
  <c r="AA49" i="15"/>
  <c r="Z49" i="15"/>
  <c r="Y49" i="15"/>
  <c r="X49" i="15"/>
  <c r="W49" i="15"/>
  <c r="AA48" i="15"/>
  <c r="Z48" i="15"/>
  <c r="Y48" i="15"/>
  <c r="X48" i="15"/>
  <c r="W48" i="15"/>
  <c r="AA47" i="15"/>
  <c r="Z47" i="15"/>
  <c r="Y47" i="15"/>
  <c r="X47" i="15"/>
  <c r="W47" i="15"/>
  <c r="AA46" i="15"/>
  <c r="Z46" i="15"/>
  <c r="Y46" i="15"/>
  <c r="X46" i="15"/>
  <c r="W46" i="15"/>
  <c r="AA45" i="15"/>
  <c r="Z45" i="15"/>
  <c r="Y45" i="15"/>
  <c r="X45" i="15"/>
  <c r="W45" i="15"/>
  <c r="AA44" i="15"/>
  <c r="Z44" i="15"/>
  <c r="Y44" i="15"/>
  <c r="X44" i="15"/>
  <c r="W44" i="15"/>
  <c r="AA43" i="15"/>
  <c r="Z43" i="15"/>
  <c r="Y43" i="15"/>
  <c r="X43" i="15"/>
  <c r="W43" i="15"/>
  <c r="AA42" i="15"/>
  <c r="Z42" i="15"/>
  <c r="Y42" i="15"/>
  <c r="X42" i="15"/>
  <c r="W42" i="15"/>
  <c r="AA41" i="15"/>
  <c r="Z41" i="15"/>
  <c r="Y41" i="15"/>
  <c r="X41" i="15"/>
  <c r="W41" i="15"/>
  <c r="AA40" i="15"/>
  <c r="Z40" i="15"/>
  <c r="Y40" i="15"/>
  <c r="X40" i="15"/>
  <c r="W40" i="15"/>
  <c r="AA39" i="15"/>
  <c r="Z39" i="15"/>
  <c r="Y39" i="15"/>
  <c r="X39" i="15"/>
  <c r="W39" i="15"/>
  <c r="AA38" i="15"/>
  <c r="Z38" i="15"/>
  <c r="Y38" i="15"/>
  <c r="X38" i="15"/>
  <c r="W38" i="15"/>
  <c r="AA37" i="15"/>
  <c r="Z37" i="15"/>
  <c r="Y37" i="15"/>
  <c r="X37" i="15"/>
  <c r="W37" i="15"/>
  <c r="AA36" i="15"/>
  <c r="Z36" i="15"/>
  <c r="Y36" i="15"/>
  <c r="X36" i="15"/>
  <c r="W36" i="15"/>
  <c r="AA35" i="15"/>
  <c r="Z35" i="15"/>
  <c r="Y35" i="15"/>
  <c r="X35" i="15"/>
  <c r="W35" i="15"/>
  <c r="AA34" i="15"/>
  <c r="Z34" i="15"/>
  <c r="Y34" i="15"/>
  <c r="X34" i="15"/>
  <c r="W34" i="15"/>
  <c r="AA33" i="15"/>
  <c r="Z33" i="15"/>
  <c r="Y33" i="15"/>
  <c r="X33" i="15"/>
  <c r="W33" i="15"/>
  <c r="AA32" i="15"/>
  <c r="Z32" i="15"/>
  <c r="Y32" i="15"/>
  <c r="X32" i="15"/>
  <c r="W32" i="15"/>
  <c r="AA31" i="15"/>
  <c r="Z31" i="15"/>
  <c r="Y31" i="15"/>
  <c r="X31" i="15"/>
  <c r="W31" i="15"/>
  <c r="AA30" i="15"/>
  <c r="Z30" i="15"/>
  <c r="Y30" i="15"/>
  <c r="X30" i="15"/>
  <c r="W30" i="15"/>
  <c r="AA29" i="15"/>
  <c r="Z29" i="15"/>
  <c r="Y29" i="15"/>
  <c r="X29" i="15"/>
  <c r="W29" i="15"/>
  <c r="AA28" i="15"/>
  <c r="Z28" i="15"/>
  <c r="Y28" i="15"/>
  <c r="X28" i="15"/>
  <c r="W28" i="15"/>
  <c r="AA27" i="15"/>
  <c r="Z27" i="15"/>
  <c r="Y27" i="15"/>
  <c r="X27" i="15"/>
  <c r="W27" i="15"/>
  <c r="AA26" i="15"/>
  <c r="Z26" i="15"/>
  <c r="Y26" i="15"/>
  <c r="X26" i="15"/>
  <c r="W26" i="15"/>
  <c r="AA25" i="15"/>
  <c r="Z25" i="15"/>
  <c r="Y25" i="15"/>
  <c r="X25" i="15"/>
  <c r="W25" i="15"/>
  <c r="AA24" i="15"/>
  <c r="Z24" i="15"/>
  <c r="Y24" i="15"/>
  <c r="X24" i="15"/>
  <c r="W24" i="15"/>
  <c r="AA23" i="15"/>
  <c r="Z23" i="15"/>
  <c r="Y23" i="15"/>
  <c r="X23" i="15"/>
  <c r="W23" i="15"/>
  <c r="AA22" i="15"/>
  <c r="Z22" i="15"/>
  <c r="Y22" i="15"/>
  <c r="X22" i="15"/>
  <c r="W22" i="15"/>
  <c r="AA21" i="15"/>
  <c r="Z21" i="15"/>
  <c r="Y21" i="15"/>
  <c r="X21" i="15"/>
  <c r="W21" i="15"/>
  <c r="AA20" i="15"/>
  <c r="Z20" i="15"/>
  <c r="Y20" i="15"/>
  <c r="X20" i="15"/>
  <c r="W20" i="15"/>
  <c r="AA19" i="15"/>
  <c r="Z19" i="15"/>
  <c r="Y19" i="15"/>
  <c r="X19" i="15"/>
  <c r="W19" i="15"/>
  <c r="AA18" i="15"/>
  <c r="Z18" i="15"/>
  <c r="Y18" i="15"/>
  <c r="X18" i="15"/>
  <c r="W18" i="15"/>
  <c r="AA17" i="15"/>
  <c r="Z17" i="15"/>
  <c r="Y17" i="15"/>
  <c r="X17" i="15"/>
  <c r="W17" i="15"/>
  <c r="AA16" i="15"/>
  <c r="Z16" i="15"/>
  <c r="Y16" i="15"/>
  <c r="X16" i="15"/>
  <c r="W16" i="15"/>
  <c r="AA15" i="15"/>
  <c r="Z15" i="15"/>
  <c r="Y15" i="15"/>
  <c r="X15" i="15"/>
  <c r="W15" i="15"/>
  <c r="AA14" i="15"/>
  <c r="Z14" i="15"/>
  <c r="Y14" i="15"/>
  <c r="X14" i="15"/>
  <c r="W14" i="15"/>
  <c r="AA13" i="15"/>
  <c r="Z13" i="15"/>
  <c r="Y13" i="15"/>
  <c r="X13" i="15"/>
  <c r="W13" i="15"/>
  <c r="AA12" i="15"/>
  <c r="Z12" i="15"/>
  <c r="Y12" i="15"/>
  <c r="X12" i="15"/>
  <c r="W12" i="15"/>
  <c r="AA11" i="15"/>
  <c r="Z11" i="15"/>
  <c r="Y11" i="15"/>
  <c r="X11" i="15"/>
  <c r="W11" i="15"/>
  <c r="AA10" i="15"/>
  <c r="Z10" i="15"/>
  <c r="Y10" i="15"/>
  <c r="X10" i="15"/>
  <c r="W10" i="15"/>
  <c r="AA9" i="15"/>
  <c r="Z9" i="15"/>
  <c r="Y9" i="15"/>
  <c r="X9" i="15"/>
  <c r="W9" i="15"/>
  <c r="AA8" i="15"/>
  <c r="Z8" i="15"/>
  <c r="Y8" i="15"/>
  <c r="X8" i="15"/>
  <c r="W8" i="15"/>
  <c r="AA7" i="15"/>
  <c r="Z7" i="15"/>
  <c r="Y7" i="15"/>
  <c r="X7" i="15"/>
  <c r="W7" i="15"/>
  <c r="AA6" i="15"/>
  <c r="Z6" i="15"/>
  <c r="Y6" i="15"/>
  <c r="X6" i="15"/>
  <c r="W6" i="15"/>
  <c r="AA5" i="15"/>
  <c r="Z5" i="15"/>
  <c r="Y5" i="15"/>
  <c r="X5" i="15"/>
  <c r="W5" i="15"/>
  <c r="BE64" i="5"/>
  <c r="X83" i="1" s="1"/>
  <c r="AA4" i="15"/>
  <c r="Z4" i="15"/>
  <c r="Y4" i="15"/>
  <c r="X4" i="15"/>
  <c r="W4" i="15"/>
  <c r="AA3" i="15"/>
  <c r="Z3" i="15"/>
  <c r="Y3" i="15"/>
  <c r="X3" i="15"/>
  <c r="W3" i="15"/>
  <c r="B135" i="1"/>
  <c r="B134" i="1"/>
  <c r="B133" i="1"/>
  <c r="P128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DU119" i="1"/>
  <c r="DT119" i="1"/>
  <c r="DS119" i="1"/>
  <c r="DR119" i="1"/>
  <c r="DQ119" i="1"/>
  <c r="DP119" i="1"/>
  <c r="DO119" i="1"/>
  <c r="DN119" i="1"/>
  <c r="DM119" i="1"/>
  <c r="FJ118" i="1"/>
  <c r="FI118" i="1"/>
  <c r="FH118" i="1"/>
  <c r="EW118" i="1"/>
  <c r="EV118" i="1"/>
  <c r="EU118" i="1"/>
  <c r="ET118" i="1"/>
  <c r="ES118" i="1"/>
  <c r="ER118" i="1"/>
  <c r="EQ118" i="1"/>
  <c r="EM118" i="1"/>
  <c r="EL118" i="1"/>
  <c r="EJ118" i="1"/>
  <c r="EI118" i="1"/>
  <c r="EI119" i="1" s="1"/>
  <c r="EH118" i="1"/>
  <c r="EG118" i="1"/>
  <c r="EG119" i="1" s="1"/>
  <c r="EF118" i="1"/>
  <c r="EE118" i="1"/>
  <c r="EE119" i="1" s="1"/>
  <c r="ED118" i="1"/>
  <c r="EC118" i="1"/>
  <c r="EB118" i="1"/>
  <c r="EB119" i="1" s="1"/>
  <c r="EA118" i="1"/>
  <c r="DZ118" i="1"/>
  <c r="DY118" i="1"/>
  <c r="DY119" i="1" s="1"/>
  <c r="DX118" i="1"/>
  <c r="DW118" i="1"/>
  <c r="DV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Y119" i="1" s="1"/>
  <c r="AX118" i="1"/>
  <c r="AW118" i="1"/>
  <c r="AV118" i="1"/>
  <c r="AU118" i="1"/>
  <c r="AT118" i="1"/>
  <c r="AS118" i="1"/>
  <c r="AR118" i="1"/>
  <c r="AQ118" i="1"/>
  <c r="AQ119" i="1" s="1"/>
  <c r="AP118" i="1"/>
  <c r="AO118" i="1"/>
  <c r="AN118" i="1"/>
  <c r="AM118" i="1"/>
  <c r="AL118" i="1"/>
  <c r="AK118" i="1"/>
  <c r="AJ118" i="1"/>
  <c r="AI118" i="1"/>
  <c r="AE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P119" i="1" s="1"/>
  <c r="O118" i="1"/>
  <c r="N118" i="1"/>
  <c r="M118" i="1"/>
  <c r="L118" i="1"/>
  <c r="K118" i="1"/>
  <c r="J118" i="1"/>
  <c r="I118" i="1"/>
  <c r="H118" i="1"/>
  <c r="G118" i="1"/>
  <c r="G119" i="1" s="1"/>
  <c r="F118" i="1"/>
  <c r="E118" i="1"/>
  <c r="D118" i="1"/>
  <c r="C118" i="1"/>
  <c r="FJ117" i="1"/>
  <c r="FI117" i="1"/>
  <c r="FH117" i="1"/>
  <c r="EW117" i="1"/>
  <c r="EV117" i="1"/>
  <c r="EU117" i="1"/>
  <c r="ET117" i="1"/>
  <c r="ES117" i="1"/>
  <c r="ER117" i="1"/>
  <c r="EQ117" i="1"/>
  <c r="EM117" i="1"/>
  <c r="EL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E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FJ116" i="1"/>
  <c r="FI116" i="1"/>
  <c r="FH116" i="1"/>
  <c r="EW116" i="1"/>
  <c r="EV116" i="1"/>
  <c r="EU116" i="1"/>
  <c r="ET116" i="1"/>
  <c r="ES116" i="1"/>
  <c r="ER116" i="1"/>
  <c r="EQ116" i="1"/>
  <c r="EM116" i="1"/>
  <c r="EL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E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DU115" i="1"/>
  <c r="DT115" i="1"/>
  <c r="DS115" i="1"/>
  <c r="DR115" i="1"/>
  <c r="DQ115" i="1"/>
  <c r="DP115" i="1"/>
  <c r="DO115" i="1"/>
  <c r="DN115" i="1"/>
  <c r="DM115" i="1"/>
  <c r="B115" i="1"/>
  <c r="FH115" i="1" s="1"/>
  <c r="DU114" i="1"/>
  <c r="DT114" i="1"/>
  <c r="DS114" i="1"/>
  <c r="DR114" i="1"/>
  <c r="DQ114" i="1"/>
  <c r="DP114" i="1"/>
  <c r="DP27" i="1" s="1"/>
  <c r="DO114" i="1"/>
  <c r="DN114" i="1"/>
  <c r="DM114" i="1"/>
  <c r="B114" i="1"/>
  <c r="CQ114" i="1" s="1"/>
  <c r="DU113" i="1"/>
  <c r="DT113" i="1"/>
  <c r="DS113" i="1"/>
  <c r="DR113" i="1"/>
  <c r="DQ113" i="1"/>
  <c r="DP113" i="1"/>
  <c r="DO113" i="1"/>
  <c r="DN113" i="1"/>
  <c r="DM113" i="1"/>
  <c r="B113" i="1"/>
  <c r="CM113" i="1" s="1"/>
  <c r="BS106" i="1"/>
  <c r="P106" i="1"/>
  <c r="EI105" i="1"/>
  <c r="EG105" i="1"/>
  <c r="EE105" i="1"/>
  <c r="ED105" i="1"/>
  <c r="EB105" i="1"/>
  <c r="DY105" i="1"/>
  <c r="EG104" i="1"/>
  <c r="BS104" i="1"/>
  <c r="P104" i="1"/>
  <c r="P103" i="1"/>
  <c r="T102" i="1"/>
  <c r="T101" i="1"/>
  <c r="EI100" i="1"/>
  <c r="EG100" i="1"/>
  <c r="EE100" i="1"/>
  <c r="ED100" i="1"/>
  <c r="EB100" i="1"/>
  <c r="DY100" i="1"/>
  <c r="T100" i="1"/>
  <c r="P100" i="1"/>
  <c r="BS99" i="1"/>
  <c r="EG98" i="1"/>
  <c r="T98" i="1"/>
  <c r="P98" i="1"/>
  <c r="EI97" i="1"/>
  <c r="EG97" i="1"/>
  <c r="EE97" i="1"/>
  <c r="ED97" i="1"/>
  <c r="EB97" i="1"/>
  <c r="DY97" i="1"/>
  <c r="BS97" i="1"/>
  <c r="P97" i="1"/>
  <c r="T96" i="1"/>
  <c r="EI95" i="1"/>
  <c r="EG95" i="1"/>
  <c r="EE95" i="1"/>
  <c r="ED95" i="1"/>
  <c r="EB95" i="1"/>
  <c r="DY95" i="1"/>
  <c r="BS95" i="1"/>
  <c r="P95" i="1"/>
  <c r="EI94" i="1"/>
  <c r="EG94" i="1"/>
  <c r="EE94" i="1"/>
  <c r="ED94" i="1"/>
  <c r="EB94" i="1"/>
  <c r="DY94" i="1"/>
  <c r="T94" i="1"/>
  <c r="P94" i="1"/>
  <c r="EI93" i="1"/>
  <c r="EG93" i="1"/>
  <c r="EE93" i="1"/>
  <c r="ED93" i="1"/>
  <c r="EB93" i="1"/>
  <c r="DY93" i="1"/>
  <c r="BS93" i="1"/>
  <c r="P93" i="1"/>
  <c r="T92" i="1"/>
  <c r="BS91" i="1"/>
  <c r="P91" i="1"/>
  <c r="EI90" i="1"/>
  <c r="EG90" i="1"/>
  <c r="EE90" i="1"/>
  <c r="ED90" i="1"/>
  <c r="EB90" i="1"/>
  <c r="DY90" i="1"/>
  <c r="BS90" i="1"/>
  <c r="T89" i="1"/>
  <c r="EW88" i="1"/>
  <c r="EG88" i="1"/>
  <c r="BS88" i="1"/>
  <c r="P88" i="1"/>
  <c r="EI87" i="1"/>
  <c r="EG87" i="1"/>
  <c r="EE87" i="1"/>
  <c r="ED87" i="1"/>
  <c r="EB87" i="1"/>
  <c r="DY87" i="1"/>
  <c r="CE87" i="1"/>
  <c r="BS87" i="1"/>
  <c r="E113" i="1"/>
  <c r="U113" i="1"/>
  <c r="AA113" i="1"/>
  <c r="AU113" i="1"/>
  <c r="BV113" i="1"/>
  <c r="CE113" i="1"/>
  <c r="EH113" i="1"/>
  <c r="CZ113" i="1"/>
  <c r="CV113" i="1"/>
  <c r="CN113" i="1"/>
  <c r="BZ113" i="1"/>
  <c r="BU113" i="1"/>
  <c r="BJ113" i="1"/>
  <c r="AV113" i="1"/>
  <c r="AS113" i="1"/>
  <c r="AK113" i="1"/>
  <c r="W113" i="1"/>
  <c r="T113" i="1"/>
  <c r="L113" i="1"/>
  <c r="EB113" i="1"/>
  <c r="DX113" i="1"/>
  <c r="CY113" i="1"/>
  <c r="I113" i="1"/>
  <c r="M113" i="1"/>
  <c r="AC113" i="1"/>
  <c r="BE113" i="1"/>
  <c r="BL113" i="1"/>
  <c r="CI113" i="1"/>
  <c r="CK115" i="1"/>
  <c r="EV113" i="1"/>
  <c r="EW113" i="1"/>
  <c r="ES113" i="1"/>
  <c r="EC113" i="1"/>
  <c r="CO113" i="1"/>
  <c r="CK113" i="1"/>
  <c r="BW113" i="1"/>
  <c r="BG113" i="1"/>
  <c r="BC113" i="1"/>
  <c r="J113" i="1"/>
  <c r="Z113" i="1"/>
  <c r="AE113" i="1"/>
  <c r="AT113" i="1"/>
  <c r="BN113" i="1"/>
  <c r="BT113" i="1"/>
  <c r="CL113" i="1"/>
  <c r="EE113" i="1"/>
  <c r="EJ113" i="1"/>
  <c r="AP115" i="1"/>
  <c r="ER115" i="1"/>
  <c r="T86" i="1"/>
  <c r="Y85" i="1"/>
  <c r="T85" i="1"/>
  <c r="FH84" i="1"/>
  <c r="FI84" i="1" s="1"/>
  <c r="FE84" i="1"/>
  <c r="EV84" i="1"/>
  <c r="EU84" i="1"/>
  <c r="ET84" i="1"/>
  <c r="ES84" i="1"/>
  <c r="ER84" i="1"/>
  <c r="EQ84" i="1"/>
  <c r="F85" i="3" s="1"/>
  <c r="EM84" i="1"/>
  <c r="EL84" i="1"/>
  <c r="EJ84" i="1"/>
  <c r="EH84" i="1"/>
  <c r="EF84" i="1"/>
  <c r="EC84" i="1"/>
  <c r="EA84" i="1"/>
  <c r="DZ84" i="1"/>
  <c r="DX84" i="1"/>
  <c r="DW84" i="1"/>
  <c r="DV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M84" i="1"/>
  <c r="CK84" i="1"/>
  <c r="CJ84" i="1"/>
  <c r="CI84" i="1"/>
  <c r="CF84" i="1"/>
  <c r="CD84" i="1"/>
  <c r="CC84" i="1"/>
  <c r="CA84" i="1"/>
  <c r="BZ84" i="1"/>
  <c r="BU84" i="1"/>
  <c r="BR84" i="1"/>
  <c r="BQ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W84" i="1"/>
  <c r="AV84" i="1"/>
  <c r="AU84" i="1"/>
  <c r="AT84" i="1"/>
  <c r="AS84" i="1"/>
  <c r="AR84" i="1"/>
  <c r="AQ84" i="1"/>
  <c r="AO84" i="1"/>
  <c r="AM84" i="1"/>
  <c r="AL84" i="1"/>
  <c r="AK84" i="1"/>
  <c r="AJ84" i="1"/>
  <c r="H85" i="3" s="1"/>
  <c r="AB84" i="1"/>
  <c r="V84" i="1"/>
  <c r="U84" i="1"/>
  <c r="Q84" i="1"/>
  <c r="O84" i="1"/>
  <c r="N84" i="1"/>
  <c r="M84" i="1"/>
  <c r="C85" i="3" s="1"/>
  <c r="I84" i="1"/>
  <c r="H84" i="1"/>
  <c r="G84" i="1"/>
  <c r="F84" i="1"/>
  <c r="E84" i="1"/>
  <c r="D84" i="1"/>
  <c r="C84" i="1"/>
  <c r="E85" i="3" s="1"/>
  <c r="B84" i="1"/>
  <c r="B85" i="3" s="1"/>
  <c r="FH83" i="1"/>
  <c r="FH105" i="1" s="1"/>
  <c r="FE83" i="1"/>
  <c r="EV83" i="1"/>
  <c r="EU83" i="1"/>
  <c r="ET83" i="1"/>
  <c r="ES83" i="1"/>
  <c r="ER83" i="1"/>
  <c r="EQ83" i="1"/>
  <c r="EM83" i="1"/>
  <c r="EL83" i="1"/>
  <c r="EJ83" i="1"/>
  <c r="EH83" i="1"/>
  <c r="EF83" i="1"/>
  <c r="EC83" i="1"/>
  <c r="EA83" i="1"/>
  <c r="DZ83" i="1"/>
  <c r="DX83" i="1"/>
  <c r="DW83" i="1"/>
  <c r="DV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K83" i="1"/>
  <c r="CJ83" i="1"/>
  <c r="CF83" i="1"/>
  <c r="CD83" i="1"/>
  <c r="CC83" i="1"/>
  <c r="CA83" i="1"/>
  <c r="BZ83" i="1"/>
  <c r="BW83" i="1"/>
  <c r="BW105" i="1" s="1"/>
  <c r="BU83" i="1"/>
  <c r="BR83" i="1"/>
  <c r="BQ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AZ83" i="1"/>
  <c r="AY83" i="1"/>
  <c r="AX83" i="1"/>
  <c r="AW83" i="1"/>
  <c r="AV83" i="1"/>
  <c r="AU83" i="1"/>
  <c r="AT83" i="1"/>
  <c r="AS83" i="1"/>
  <c r="AR83" i="1"/>
  <c r="AQ83" i="1"/>
  <c r="AO83" i="1"/>
  <c r="AN83" i="1"/>
  <c r="AM83" i="1"/>
  <c r="AL83" i="1"/>
  <c r="AK83" i="1"/>
  <c r="AJ83" i="1"/>
  <c r="AI83" i="1"/>
  <c r="AB83" i="1"/>
  <c r="V83" i="1"/>
  <c r="Q83" i="1"/>
  <c r="O83" i="1"/>
  <c r="N83" i="1"/>
  <c r="M83" i="1"/>
  <c r="L83" i="1"/>
  <c r="K83" i="1"/>
  <c r="I83" i="1"/>
  <c r="H83" i="1"/>
  <c r="G83" i="1"/>
  <c r="F83" i="1"/>
  <c r="E83" i="1"/>
  <c r="D83" i="1"/>
  <c r="C83" i="1"/>
  <c r="B83" i="1"/>
  <c r="FH82" i="1"/>
  <c r="FI82" i="1" s="1"/>
  <c r="EV82" i="1"/>
  <c r="EU82" i="1"/>
  <c r="ET82" i="1"/>
  <c r="CB82" i="1" s="1"/>
  <c r="ES82" i="1"/>
  <c r="ER82" i="1"/>
  <c r="EQ82" i="1"/>
  <c r="F79" i="3" s="1"/>
  <c r="EM82" i="1"/>
  <c r="EL82" i="1"/>
  <c r="EJ82" i="1"/>
  <c r="EH82" i="1"/>
  <c r="EF82" i="1"/>
  <c r="EC82" i="1"/>
  <c r="EA82" i="1"/>
  <c r="DZ82" i="1"/>
  <c r="DX82" i="1"/>
  <c r="DW82" i="1"/>
  <c r="DV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M82" i="1"/>
  <c r="CK82" i="1"/>
  <c r="CJ82" i="1"/>
  <c r="CF82" i="1"/>
  <c r="CD82" i="1"/>
  <c r="CA82" i="1"/>
  <c r="BZ82" i="1"/>
  <c r="BW82" i="1"/>
  <c r="BT82" i="1"/>
  <c r="BO82" i="1"/>
  <c r="BM82" i="1"/>
  <c r="BL82" i="1"/>
  <c r="BK82" i="1"/>
  <c r="BJ82" i="1"/>
  <c r="BI82" i="1"/>
  <c r="BH82" i="1"/>
  <c r="BE82" i="1"/>
  <c r="BD82" i="1"/>
  <c r="BC82" i="1"/>
  <c r="BB82" i="1"/>
  <c r="AZ82" i="1"/>
  <c r="AX82" i="1"/>
  <c r="AW82" i="1"/>
  <c r="AV82" i="1"/>
  <c r="AU82" i="1"/>
  <c r="AR82" i="1"/>
  <c r="AQ82" i="1"/>
  <c r="G79" i="3" s="1"/>
  <c r="AM82" i="1"/>
  <c r="AL82" i="1"/>
  <c r="AK82" i="1"/>
  <c r="AJ82" i="1"/>
  <c r="H79" i="3" s="1"/>
  <c r="AB82" i="1"/>
  <c r="AA82" i="1"/>
  <c r="V82" i="1"/>
  <c r="Q82" i="1"/>
  <c r="O82" i="1"/>
  <c r="N82" i="1"/>
  <c r="M82" i="1"/>
  <c r="C79" i="3" s="1"/>
  <c r="I82" i="1"/>
  <c r="H82" i="1"/>
  <c r="G82" i="1"/>
  <c r="F82" i="1"/>
  <c r="E82" i="1"/>
  <c r="D82" i="1"/>
  <c r="AN79" i="3" s="1"/>
  <c r="C82" i="1"/>
  <c r="E79" i="3" s="1"/>
  <c r="B82" i="1"/>
  <c r="B79" i="3" s="1"/>
  <c r="FH81" i="1"/>
  <c r="EV81" i="1"/>
  <c r="EU81" i="1"/>
  <c r="ET81" i="1"/>
  <c r="ES81" i="1"/>
  <c r="ER81" i="1"/>
  <c r="EQ81" i="1"/>
  <c r="F78" i="3" s="1"/>
  <c r="EM81" i="1"/>
  <c r="EM119" i="1" s="1"/>
  <c r="EL81" i="1"/>
  <c r="EJ81" i="1"/>
  <c r="EJ119" i="1" s="1"/>
  <c r="EH81" i="1"/>
  <c r="EF81" i="1"/>
  <c r="EC81" i="1"/>
  <c r="EC119" i="1" s="1"/>
  <c r="EA81" i="1"/>
  <c r="DZ81" i="1"/>
  <c r="DZ119" i="1" s="1"/>
  <c r="DX81" i="1"/>
  <c r="DW81" i="1"/>
  <c r="DV81" i="1"/>
  <c r="DA81" i="1"/>
  <c r="DA119" i="1" s="1"/>
  <c r="CZ81" i="1"/>
  <c r="CY81" i="1"/>
  <c r="CX81" i="1"/>
  <c r="CW81" i="1"/>
  <c r="CV81" i="1"/>
  <c r="CU81" i="1"/>
  <c r="CT81" i="1"/>
  <c r="CS81" i="1"/>
  <c r="CR81" i="1"/>
  <c r="CQ81" i="1"/>
  <c r="CP81" i="1"/>
  <c r="CP119" i="1"/>
  <c r="CO81" i="1"/>
  <c r="CM81" i="1"/>
  <c r="CK81" i="1"/>
  <c r="CJ81" i="1"/>
  <c r="CF81" i="1"/>
  <c r="CD81" i="1"/>
  <c r="CD119" i="1" s="1"/>
  <c r="CA81" i="1"/>
  <c r="BZ81" i="1"/>
  <c r="BZ119" i="1" s="1"/>
  <c r="BT81" i="1"/>
  <c r="BR81" i="1"/>
  <c r="BQ81" i="1"/>
  <c r="BO81" i="1"/>
  <c r="BN81" i="1"/>
  <c r="BM81" i="1"/>
  <c r="BL81" i="1"/>
  <c r="BL119" i="1" s="1"/>
  <c r="BK81" i="1"/>
  <c r="BJ81" i="1"/>
  <c r="BI81" i="1"/>
  <c r="BH81" i="1"/>
  <c r="BG81" i="1"/>
  <c r="BF81" i="1"/>
  <c r="BE81" i="1"/>
  <c r="BE119" i="1" s="1"/>
  <c r="BD81" i="1"/>
  <c r="BC81" i="1"/>
  <c r="BB81" i="1"/>
  <c r="BA81" i="1"/>
  <c r="AZ81" i="1"/>
  <c r="AW81" i="1"/>
  <c r="AW119" i="1" s="1"/>
  <c r="AU81" i="1"/>
  <c r="AS81" i="1"/>
  <c r="AS119" i="1" s="1"/>
  <c r="AR81" i="1"/>
  <c r="AQ81" i="1"/>
  <c r="AM81" i="1"/>
  <c r="AM119" i="1" s="1"/>
  <c r="AK81" i="1"/>
  <c r="AJ81" i="1"/>
  <c r="AI81" i="1"/>
  <c r="Z81" i="1"/>
  <c r="Z119" i="1" s="1"/>
  <c r="R81" i="1"/>
  <c r="Q81" i="1"/>
  <c r="O81" i="1"/>
  <c r="N81" i="1"/>
  <c r="N119" i="1" s="1"/>
  <c r="M81" i="1"/>
  <c r="C78" i="3" s="1"/>
  <c r="L81" i="1"/>
  <c r="L119" i="1" s="1"/>
  <c r="K81" i="1"/>
  <c r="I81" i="1"/>
  <c r="H81" i="1"/>
  <c r="G81" i="1"/>
  <c r="F81" i="1"/>
  <c r="E81" i="1"/>
  <c r="D81" i="1"/>
  <c r="D119" i="1" s="1"/>
  <c r="C81" i="1"/>
  <c r="B81" i="1"/>
  <c r="FH80" i="1"/>
  <c r="FI80" i="1" s="1"/>
  <c r="FE80" i="1"/>
  <c r="EV80" i="1"/>
  <c r="EU80" i="1"/>
  <c r="ET80" i="1"/>
  <c r="CA80" i="1"/>
  <c r="BZ80" i="1"/>
  <c r="ES80" i="1"/>
  <c r="ER80" i="1"/>
  <c r="EQ80" i="1"/>
  <c r="F76" i="3" s="1"/>
  <c r="EM80" i="1"/>
  <c r="EL80" i="1"/>
  <c r="EJ80" i="1"/>
  <c r="EH80" i="1"/>
  <c r="EF80" i="1"/>
  <c r="EC80" i="1"/>
  <c r="EA80" i="1"/>
  <c r="DZ80" i="1"/>
  <c r="DX80" i="1"/>
  <c r="DW80" i="1"/>
  <c r="DV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K80" i="1"/>
  <c r="CJ80" i="1"/>
  <c r="CI80" i="1"/>
  <c r="CF80" i="1"/>
  <c r="CD80" i="1"/>
  <c r="CC80" i="1"/>
  <c r="BW80" i="1"/>
  <c r="BU80" i="1"/>
  <c r="BT80" i="1"/>
  <c r="BO80" i="1"/>
  <c r="BN80" i="1"/>
  <c r="BM80" i="1"/>
  <c r="BL80" i="1"/>
  <c r="BK80" i="1"/>
  <c r="BJ80" i="1"/>
  <c r="BI80" i="1"/>
  <c r="BH80" i="1"/>
  <c r="BF80" i="1"/>
  <c r="BE80" i="1"/>
  <c r="BD80" i="1"/>
  <c r="BC80" i="1"/>
  <c r="AZ80" i="1"/>
  <c r="AY80" i="1"/>
  <c r="AX80" i="1"/>
  <c r="AW80" i="1"/>
  <c r="AV80" i="1"/>
  <c r="AU80" i="1"/>
  <c r="AT80" i="1"/>
  <c r="AS80" i="1"/>
  <c r="AR80" i="1"/>
  <c r="AQ80" i="1"/>
  <c r="G76" i="3" s="1"/>
  <c r="AO80" i="1"/>
  <c r="AM80" i="1"/>
  <c r="AL80" i="1"/>
  <c r="AK80" i="1"/>
  <c r="AJ80" i="1"/>
  <c r="H76" i="3" s="1"/>
  <c r="V80" i="1"/>
  <c r="R80" i="1"/>
  <c r="Q80" i="1"/>
  <c r="O80" i="1"/>
  <c r="N80" i="1"/>
  <c r="M80" i="1"/>
  <c r="C76" i="3" s="1"/>
  <c r="I80" i="1"/>
  <c r="J80" i="1" s="1"/>
  <c r="H80" i="1"/>
  <c r="G80" i="1"/>
  <c r="F80" i="1"/>
  <c r="E80" i="1"/>
  <c r="D80" i="1"/>
  <c r="C80" i="1"/>
  <c r="E76" i="3" s="1"/>
  <c r="E90" i="3" s="1"/>
  <c r="FH79" i="1"/>
  <c r="FI79" i="1" s="1"/>
  <c r="FE79" i="1"/>
  <c r="EV79" i="1"/>
  <c r="EU79" i="1"/>
  <c r="ET79" i="1"/>
  <c r="ES79" i="1"/>
  <c r="ER79" i="1"/>
  <c r="EQ79" i="1"/>
  <c r="F75" i="3" s="1"/>
  <c r="EL79" i="1"/>
  <c r="EJ79" i="1"/>
  <c r="EH79" i="1"/>
  <c r="EF79" i="1"/>
  <c r="EC79" i="1"/>
  <c r="EA79" i="1"/>
  <c r="DZ79" i="1"/>
  <c r="DX79" i="1"/>
  <c r="DW79" i="1"/>
  <c r="DV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M79" i="1"/>
  <c r="CK79" i="1"/>
  <c r="CJ79" i="1"/>
  <c r="CI79" i="1"/>
  <c r="CF79" i="1"/>
  <c r="CD79" i="1"/>
  <c r="CC79" i="1"/>
  <c r="CA79" i="1"/>
  <c r="BZ79" i="1"/>
  <c r="BW79" i="1"/>
  <c r="BU79" i="1"/>
  <c r="BT79" i="1"/>
  <c r="BO79" i="1"/>
  <c r="BN79" i="1"/>
  <c r="BM79" i="1"/>
  <c r="BL79" i="1"/>
  <c r="BK79" i="1"/>
  <c r="BJ79" i="1"/>
  <c r="BI79" i="1"/>
  <c r="BH79" i="1"/>
  <c r="BG79" i="1"/>
  <c r="BE79" i="1"/>
  <c r="BD79" i="1"/>
  <c r="BC79" i="1"/>
  <c r="BA79" i="1"/>
  <c r="AZ79" i="1"/>
  <c r="AX79" i="1"/>
  <c r="AW79" i="1"/>
  <c r="AV79" i="1"/>
  <c r="AU79" i="1"/>
  <c r="AT79" i="1"/>
  <c r="AS79" i="1"/>
  <c r="AR79" i="1"/>
  <c r="AQ79" i="1"/>
  <c r="G75" i="3" s="1"/>
  <c r="AP79" i="1"/>
  <c r="AN79" i="1"/>
  <c r="AM79" i="1"/>
  <c r="AL79" i="1"/>
  <c r="AK79" i="1"/>
  <c r="AJ79" i="1"/>
  <c r="H75" i="3" s="1"/>
  <c r="U79" i="1"/>
  <c r="Q79" i="1"/>
  <c r="O79" i="1"/>
  <c r="N79" i="1"/>
  <c r="M79" i="1"/>
  <c r="I79" i="1"/>
  <c r="H79" i="1"/>
  <c r="G79" i="1"/>
  <c r="F79" i="1"/>
  <c r="E79" i="1"/>
  <c r="D79" i="1"/>
  <c r="C79" i="1"/>
  <c r="FH78" i="1"/>
  <c r="FI78" i="1" s="1"/>
  <c r="FE78" i="1"/>
  <c r="EV78" i="1"/>
  <c r="CB78" i="1" s="1"/>
  <c r="EU78" i="1"/>
  <c r="ET78" i="1"/>
  <c r="ES78" i="1"/>
  <c r="ER78" i="1"/>
  <c r="EQ78" i="1"/>
  <c r="F74" i="3" s="1"/>
  <c r="EM78" i="1"/>
  <c r="EL78" i="1"/>
  <c r="EJ78" i="1"/>
  <c r="EH78" i="1"/>
  <c r="EF78" i="1"/>
  <c r="EC78" i="1"/>
  <c r="EA78" i="1"/>
  <c r="DZ78" i="1"/>
  <c r="DX78" i="1"/>
  <c r="DW78" i="1"/>
  <c r="DV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M78" i="1"/>
  <c r="CK78" i="1"/>
  <c r="CJ78" i="1"/>
  <c r="CF78" i="1"/>
  <c r="CD78" i="1"/>
  <c r="BR78" i="1"/>
  <c r="BM78" i="1"/>
  <c r="BL78" i="1"/>
  <c r="BK78" i="1"/>
  <c r="BJ78" i="1"/>
  <c r="BI78" i="1"/>
  <c r="BH78" i="1"/>
  <c r="BG78" i="1"/>
  <c r="BE78" i="1"/>
  <c r="BD78" i="1"/>
  <c r="BC78" i="1"/>
  <c r="BB78" i="1"/>
  <c r="BA78" i="1"/>
  <c r="AZ78" i="1"/>
  <c r="AY78" i="1"/>
  <c r="AW78" i="1"/>
  <c r="AV78" i="1"/>
  <c r="AU78" i="1"/>
  <c r="AT78" i="1"/>
  <c r="AR78" i="1"/>
  <c r="AQ78" i="1"/>
  <c r="AN78" i="1"/>
  <c r="AM78" i="1"/>
  <c r="AL78" i="1"/>
  <c r="AK78" i="1"/>
  <c r="AJ78" i="1"/>
  <c r="H74" i="3" s="1"/>
  <c r="U78" i="1"/>
  <c r="Q78" i="1"/>
  <c r="O78" i="1"/>
  <c r="N78" i="1"/>
  <c r="M78" i="1"/>
  <c r="I78" i="1"/>
  <c r="H78" i="1"/>
  <c r="G78" i="1"/>
  <c r="F78" i="1"/>
  <c r="E78" i="1"/>
  <c r="D78" i="1"/>
  <c r="C78" i="1"/>
  <c r="E74" i="3" s="1"/>
  <c r="AY74" i="3" s="1"/>
  <c r="B78" i="1"/>
  <c r="FH77" i="1"/>
  <c r="FE77" i="1"/>
  <c r="EV77" i="1"/>
  <c r="EU77" i="1"/>
  <c r="ET77" i="1"/>
  <c r="ES77" i="1"/>
  <c r="ER77" i="1"/>
  <c r="EQ77" i="1"/>
  <c r="EM77" i="1"/>
  <c r="EL77" i="1"/>
  <c r="EJ77" i="1"/>
  <c r="EH77" i="1"/>
  <c r="EH97" i="1" s="1"/>
  <c r="EF77" i="1"/>
  <c r="EC77" i="1"/>
  <c r="EA77" i="1"/>
  <c r="DZ77" i="1"/>
  <c r="DX77" i="1"/>
  <c r="DW77" i="1"/>
  <c r="DW97" i="1" s="1"/>
  <c r="DV77" i="1"/>
  <c r="DA77" i="1"/>
  <c r="DA97" i="1" s="1"/>
  <c r="CZ77" i="1"/>
  <c r="CY77" i="1"/>
  <c r="CX77" i="1"/>
  <c r="CW77" i="1"/>
  <c r="CV77" i="1"/>
  <c r="CU77" i="1"/>
  <c r="CT77" i="1"/>
  <c r="CT97" i="1" s="1"/>
  <c r="CS77" i="1"/>
  <c r="CS97" i="1" s="1"/>
  <c r="CR77" i="1"/>
  <c r="CQ77" i="1"/>
  <c r="CP77" i="1"/>
  <c r="CM77" i="1"/>
  <c r="CK77" i="1"/>
  <c r="CK97" i="1" s="1"/>
  <c r="CJ77" i="1"/>
  <c r="CI77" i="1"/>
  <c r="CI97" i="1" s="1"/>
  <c r="CF77" i="1"/>
  <c r="CD77" i="1"/>
  <c r="CC77" i="1"/>
  <c r="CA77" i="1"/>
  <c r="BZ77" i="1"/>
  <c r="BU77" i="1"/>
  <c r="BT77" i="1"/>
  <c r="BR77" i="1"/>
  <c r="BQ77" i="1"/>
  <c r="BN77" i="1"/>
  <c r="BM77" i="1"/>
  <c r="BL77" i="1"/>
  <c r="BK77" i="1"/>
  <c r="BJ77" i="1"/>
  <c r="BJ97" i="1" s="1"/>
  <c r="BI77" i="1"/>
  <c r="BH77" i="1"/>
  <c r="BG77" i="1"/>
  <c r="BF77" i="1"/>
  <c r="BF97" i="1" s="1"/>
  <c r="BE77" i="1"/>
  <c r="BD77" i="1"/>
  <c r="BC77" i="1"/>
  <c r="BB77" i="1"/>
  <c r="BA77" i="1"/>
  <c r="AZ77" i="1"/>
  <c r="AY77" i="1"/>
  <c r="AY97" i="1" s="1"/>
  <c r="AX77" i="1"/>
  <c r="AW77" i="1"/>
  <c r="AV77" i="1"/>
  <c r="AU77" i="1"/>
  <c r="AT77" i="1"/>
  <c r="AS77" i="1"/>
  <c r="AR77" i="1"/>
  <c r="AQ77" i="1"/>
  <c r="AO77" i="1"/>
  <c r="AM77" i="1"/>
  <c r="AL77" i="1"/>
  <c r="AL97" i="1" s="1"/>
  <c r="AK77" i="1"/>
  <c r="AJ77" i="1"/>
  <c r="AI77" i="1"/>
  <c r="V77" i="1"/>
  <c r="V97" i="1" s="1"/>
  <c r="U77" i="1"/>
  <c r="S77" i="1"/>
  <c r="Q77" i="1"/>
  <c r="O77" i="1"/>
  <c r="N77" i="1"/>
  <c r="M77" i="1"/>
  <c r="L77" i="1"/>
  <c r="K77" i="1"/>
  <c r="I77" i="1"/>
  <c r="H77" i="1"/>
  <c r="G77" i="1"/>
  <c r="G94" i="1" s="1"/>
  <c r="F77" i="1"/>
  <c r="E77" i="1"/>
  <c r="D77" i="1"/>
  <c r="C77" i="1"/>
  <c r="B77" i="1"/>
  <c r="FH76" i="1"/>
  <c r="EV76" i="1"/>
  <c r="EU76" i="1"/>
  <c r="ET76" i="1"/>
  <c r="ES76" i="1"/>
  <c r="ER76" i="1"/>
  <c r="EQ76" i="1"/>
  <c r="EM76" i="1"/>
  <c r="EL76" i="1"/>
  <c r="EJ76" i="1"/>
  <c r="EH76" i="1"/>
  <c r="EF76" i="1"/>
  <c r="EC76" i="1"/>
  <c r="EA76" i="1"/>
  <c r="DZ76" i="1"/>
  <c r="DX76" i="1"/>
  <c r="DW76" i="1"/>
  <c r="DV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K76" i="1"/>
  <c r="CJ76" i="1"/>
  <c r="CI76" i="1"/>
  <c r="CF76" i="1"/>
  <c r="BN76" i="1"/>
  <c r="BM76" i="1"/>
  <c r="BL76" i="1"/>
  <c r="BK76" i="1"/>
  <c r="BJ76" i="1"/>
  <c r="BI76" i="1"/>
  <c r="BH76" i="1"/>
  <c r="BF76" i="1"/>
  <c r="BE76" i="1"/>
  <c r="BD76" i="1"/>
  <c r="BC76" i="1"/>
  <c r="BA76" i="1"/>
  <c r="AZ76" i="1"/>
  <c r="AW76" i="1"/>
  <c r="AU76" i="1"/>
  <c r="AT76" i="1"/>
  <c r="AR76" i="1"/>
  <c r="AQ76" i="1"/>
  <c r="AO76" i="1"/>
  <c r="AM76" i="1"/>
  <c r="AK76" i="1"/>
  <c r="AJ76" i="1"/>
  <c r="AI76" i="1"/>
  <c r="V76" i="1"/>
  <c r="Q76" i="1"/>
  <c r="O76" i="1"/>
  <c r="N76" i="1"/>
  <c r="M76" i="1"/>
  <c r="L76" i="1"/>
  <c r="K76" i="1"/>
  <c r="I76" i="1"/>
  <c r="H76" i="1"/>
  <c r="G76" i="1"/>
  <c r="F76" i="1"/>
  <c r="E76" i="1"/>
  <c r="D76" i="1"/>
  <c r="C76" i="1"/>
  <c r="B76" i="1"/>
  <c r="FH75" i="1"/>
  <c r="FI75" i="1" s="1"/>
  <c r="EV75" i="1"/>
  <c r="EU75" i="1"/>
  <c r="ET75" i="1"/>
  <c r="ES75" i="1"/>
  <c r="ER75" i="1"/>
  <c r="EQ75" i="1"/>
  <c r="EM75" i="1"/>
  <c r="EL75" i="1"/>
  <c r="EJ75" i="1"/>
  <c r="EH75" i="1"/>
  <c r="EF75" i="1"/>
  <c r="EC75" i="1"/>
  <c r="EA75" i="1"/>
  <c r="DZ75" i="1"/>
  <c r="DX75" i="1"/>
  <c r="DW75" i="1"/>
  <c r="DV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K75" i="1"/>
  <c r="CJ75" i="1"/>
  <c r="CF75" i="1"/>
  <c r="CD75" i="1"/>
  <c r="CA75" i="1"/>
  <c r="BZ75" i="1"/>
  <c r="BM75" i="1"/>
  <c r="BL75" i="1"/>
  <c r="BK75" i="1"/>
  <c r="BJ75" i="1"/>
  <c r="BI75" i="1"/>
  <c r="BH75" i="1"/>
  <c r="BE75" i="1"/>
  <c r="BD75" i="1"/>
  <c r="BC75" i="1"/>
  <c r="BB75" i="1"/>
  <c r="BA75" i="1"/>
  <c r="AZ75" i="1"/>
  <c r="AY75" i="1"/>
  <c r="AW75" i="1"/>
  <c r="AU75" i="1"/>
  <c r="AS75" i="1"/>
  <c r="AR75" i="1"/>
  <c r="AQ75" i="1"/>
  <c r="AN75" i="1"/>
  <c r="AM75" i="1"/>
  <c r="AL75" i="1"/>
  <c r="AK75" i="1"/>
  <c r="AJ75" i="1"/>
  <c r="AI75" i="1"/>
  <c r="AA75" i="1"/>
  <c r="Q75" i="1"/>
  <c r="O75" i="1"/>
  <c r="N75" i="1"/>
  <c r="M75" i="1"/>
  <c r="L75" i="1"/>
  <c r="K75" i="1"/>
  <c r="I75" i="1"/>
  <c r="H75" i="1"/>
  <c r="G75" i="1"/>
  <c r="F75" i="1"/>
  <c r="E75" i="1"/>
  <c r="D75" i="1"/>
  <c r="C75" i="1"/>
  <c r="B75" i="1"/>
  <c r="FH74" i="1"/>
  <c r="EV74" i="1"/>
  <c r="EU74" i="1"/>
  <c r="ET74" i="1"/>
  <c r="ES74" i="1"/>
  <c r="ER74" i="1"/>
  <c r="EQ74" i="1"/>
  <c r="EM74" i="1"/>
  <c r="EL74" i="1"/>
  <c r="EJ74" i="1"/>
  <c r="EH74" i="1"/>
  <c r="EF74" i="1"/>
  <c r="EC74" i="1"/>
  <c r="EA74" i="1"/>
  <c r="DZ74" i="1"/>
  <c r="DX74" i="1"/>
  <c r="DW74" i="1"/>
  <c r="DV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K74" i="1"/>
  <c r="CJ74" i="1"/>
  <c r="CD74" i="1"/>
  <c r="BM74" i="1"/>
  <c r="BL74" i="1"/>
  <c r="BK74" i="1"/>
  <c r="BJ74" i="1"/>
  <c r="BI74" i="1"/>
  <c r="BH74" i="1"/>
  <c r="BG74" i="1"/>
  <c r="BF74" i="1"/>
  <c r="BE74" i="1"/>
  <c r="BD74" i="1"/>
  <c r="BC74" i="1"/>
  <c r="AZ74" i="1"/>
  <c r="AW74" i="1"/>
  <c r="AV74" i="1"/>
  <c r="AU74" i="1"/>
  <c r="AR74" i="1"/>
  <c r="AQ74" i="1"/>
  <c r="AN74" i="1"/>
  <c r="AM74" i="1"/>
  <c r="AK74" i="1"/>
  <c r="AJ74" i="1"/>
  <c r="AI74" i="1"/>
  <c r="V74" i="1"/>
  <c r="R74" i="1"/>
  <c r="Q74" i="1"/>
  <c r="O74" i="1"/>
  <c r="N74" i="1"/>
  <c r="M74" i="1"/>
  <c r="L74" i="1"/>
  <c r="K74" i="1"/>
  <c r="I74" i="1"/>
  <c r="H74" i="1"/>
  <c r="G74" i="1"/>
  <c r="F74" i="1"/>
  <c r="E74" i="1"/>
  <c r="D74" i="1"/>
  <c r="C74" i="1"/>
  <c r="B74" i="1"/>
  <c r="FH73" i="1"/>
  <c r="FI73" i="1" s="1"/>
  <c r="EV73" i="1"/>
  <c r="EU73" i="1"/>
  <c r="CB73" i="1" s="1"/>
  <c r="ET73" i="1"/>
  <c r="ES73" i="1"/>
  <c r="ER73" i="1"/>
  <c r="EQ73" i="1"/>
  <c r="EM73" i="1"/>
  <c r="EL73" i="1"/>
  <c r="CF73" i="1"/>
  <c r="EJ73" i="1"/>
  <c r="EH73" i="1"/>
  <c r="EF73" i="1"/>
  <c r="EC73" i="1"/>
  <c r="EA73" i="1"/>
  <c r="DZ73" i="1"/>
  <c r="DX73" i="1"/>
  <c r="DW73" i="1"/>
  <c r="DV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K73" i="1"/>
  <c r="CJ73" i="1"/>
  <c r="BQ73" i="1"/>
  <c r="BM73" i="1"/>
  <c r="BL73" i="1"/>
  <c r="BK73" i="1"/>
  <c r="BJ73" i="1"/>
  <c r="BI73" i="1"/>
  <c r="BH73" i="1"/>
  <c r="BG73" i="1"/>
  <c r="BF73" i="1"/>
  <c r="BE73" i="1"/>
  <c r="BD73" i="1"/>
  <c r="BC73" i="1"/>
  <c r="AZ73" i="1"/>
  <c r="AY73" i="1"/>
  <c r="AW73" i="1"/>
  <c r="AU73" i="1"/>
  <c r="AT73" i="1"/>
  <c r="AR73" i="1"/>
  <c r="AQ73" i="1"/>
  <c r="AO73" i="1"/>
  <c r="AM73" i="1"/>
  <c r="AL73" i="1"/>
  <c r="AK73" i="1"/>
  <c r="AJ73" i="1"/>
  <c r="AI73" i="1"/>
  <c r="AA73" i="1"/>
  <c r="Q73" i="1"/>
  <c r="O73" i="1"/>
  <c r="N73" i="1"/>
  <c r="M73" i="1"/>
  <c r="L73" i="1"/>
  <c r="K73" i="1"/>
  <c r="I73" i="1"/>
  <c r="H73" i="1"/>
  <c r="G73" i="1"/>
  <c r="F73" i="1"/>
  <c r="E73" i="1"/>
  <c r="D73" i="1"/>
  <c r="C73" i="1"/>
  <c r="B73" i="1"/>
  <c r="FH72" i="1"/>
  <c r="FI72" i="1" s="1"/>
  <c r="FE72" i="1"/>
  <c r="EV72" i="1"/>
  <c r="EU72" i="1"/>
  <c r="ET72" i="1"/>
  <c r="ES72" i="1"/>
  <c r="ER72" i="1"/>
  <c r="EQ72" i="1"/>
  <c r="F68" i="3" s="1"/>
  <c r="EM72" i="1"/>
  <c r="CG72" i="1" s="1"/>
  <c r="EL72" i="1"/>
  <c r="EJ72" i="1"/>
  <c r="EH72" i="1"/>
  <c r="EF72" i="1"/>
  <c r="EC72" i="1"/>
  <c r="EA72" i="1"/>
  <c r="DZ72" i="1"/>
  <c r="DX72" i="1"/>
  <c r="DW72" i="1"/>
  <c r="DV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M72" i="1"/>
  <c r="CK72" i="1"/>
  <c r="CJ72" i="1"/>
  <c r="CD72" i="1"/>
  <c r="CC72" i="1"/>
  <c r="CA72" i="1"/>
  <c r="BZ72" i="1"/>
  <c r="BW72" i="1"/>
  <c r="BU72" i="1"/>
  <c r="BR72" i="1"/>
  <c r="BQ72" i="1"/>
  <c r="BO72" i="1"/>
  <c r="BN72" i="1"/>
  <c r="BM72" i="1"/>
  <c r="BL72" i="1"/>
  <c r="BK72" i="1"/>
  <c r="BJ72" i="1"/>
  <c r="BI72" i="1"/>
  <c r="BH72" i="1"/>
  <c r="BF72" i="1"/>
  <c r="BE72" i="1"/>
  <c r="BD72" i="1"/>
  <c r="BC72" i="1"/>
  <c r="AZ72" i="1"/>
  <c r="AY72" i="1"/>
  <c r="AX72" i="1"/>
  <c r="AW72" i="1"/>
  <c r="AV72" i="1"/>
  <c r="AU72" i="1"/>
  <c r="AT72" i="1"/>
  <c r="AS72" i="1"/>
  <c r="AR72" i="1"/>
  <c r="AQ72" i="1"/>
  <c r="G68" i="3" s="1"/>
  <c r="AP72" i="1"/>
  <c r="AO72" i="1"/>
  <c r="AN72" i="1"/>
  <c r="AM72" i="1"/>
  <c r="AK72" i="1"/>
  <c r="AJ72" i="1"/>
  <c r="V72" i="1"/>
  <c r="Q72" i="1"/>
  <c r="O72" i="1"/>
  <c r="N72" i="1"/>
  <c r="M72" i="1"/>
  <c r="K72" i="1"/>
  <c r="I72" i="1"/>
  <c r="H72" i="1"/>
  <c r="G72" i="1"/>
  <c r="F72" i="1"/>
  <c r="E72" i="1"/>
  <c r="D72" i="1"/>
  <c r="C72" i="1"/>
  <c r="FH71" i="1"/>
  <c r="FI71" i="1" s="1"/>
  <c r="EV71" i="1"/>
  <c r="EU71" i="1"/>
  <c r="ET71" i="1"/>
  <c r="ES71" i="1"/>
  <c r="ER71" i="1"/>
  <c r="EQ71" i="1"/>
  <c r="EM71" i="1"/>
  <c r="EL71" i="1"/>
  <c r="CG71" i="1" s="1"/>
  <c r="CH71" i="1" s="1"/>
  <c r="CF71" i="1"/>
  <c r="EJ71" i="1"/>
  <c r="EH71" i="1"/>
  <c r="EF71" i="1"/>
  <c r="EC71" i="1"/>
  <c r="EA71" i="1"/>
  <c r="DZ71" i="1"/>
  <c r="DX71" i="1"/>
  <c r="DW71" i="1"/>
  <c r="DV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K71" i="1"/>
  <c r="CJ71" i="1"/>
  <c r="BM71" i="1"/>
  <c r="BL71" i="1"/>
  <c r="BK71" i="1"/>
  <c r="BJ71" i="1"/>
  <c r="BI71" i="1"/>
  <c r="BH71" i="1"/>
  <c r="BG71" i="1"/>
  <c r="BE71" i="1"/>
  <c r="BD71" i="1"/>
  <c r="BC71" i="1"/>
  <c r="AZ71" i="1"/>
  <c r="AW71" i="1"/>
  <c r="AU71" i="1"/>
  <c r="AT71" i="1"/>
  <c r="AR71" i="1"/>
  <c r="AQ71" i="1"/>
  <c r="AM71" i="1"/>
  <c r="AK71" i="1"/>
  <c r="AJ71" i="1"/>
  <c r="AI71" i="1"/>
  <c r="AA71" i="1"/>
  <c r="Q71" i="1"/>
  <c r="O71" i="1"/>
  <c r="N71" i="1"/>
  <c r="M71" i="1"/>
  <c r="L71" i="1"/>
  <c r="K71" i="1"/>
  <c r="I71" i="1"/>
  <c r="J71" i="1" s="1"/>
  <c r="H71" i="1"/>
  <c r="G71" i="1"/>
  <c r="F71" i="1"/>
  <c r="E71" i="1"/>
  <c r="D71" i="1"/>
  <c r="C71" i="1"/>
  <c r="B71" i="1"/>
  <c r="FH70" i="1"/>
  <c r="EV70" i="1"/>
  <c r="EU70" i="1"/>
  <c r="ET70" i="1"/>
  <c r="ES70" i="1"/>
  <c r="ER70" i="1"/>
  <c r="EQ70" i="1"/>
  <c r="EL70" i="1"/>
  <c r="EJ70" i="1"/>
  <c r="EH70" i="1"/>
  <c r="EF70" i="1"/>
  <c r="EC70" i="1"/>
  <c r="EA70" i="1"/>
  <c r="DZ70" i="1"/>
  <c r="DX70" i="1"/>
  <c r="DW70" i="1"/>
  <c r="DV70" i="1"/>
  <c r="DA70" i="1"/>
  <c r="CZ70" i="1"/>
  <c r="CY70" i="1"/>
  <c r="CY93" i="1" s="1"/>
  <c r="CX70" i="1"/>
  <c r="CW70" i="1"/>
  <c r="CV70" i="1"/>
  <c r="CU70" i="1"/>
  <c r="CT70" i="1"/>
  <c r="CS70" i="1"/>
  <c r="CR70" i="1"/>
  <c r="CQ70" i="1"/>
  <c r="CQ93" i="1" s="1"/>
  <c r="CP70" i="1"/>
  <c r="CK70" i="1"/>
  <c r="CJ70" i="1"/>
  <c r="CF70" i="1"/>
  <c r="CD70" i="1"/>
  <c r="CC70" i="1"/>
  <c r="BW70" i="1"/>
  <c r="BU70" i="1"/>
  <c r="BT70" i="1"/>
  <c r="BO70" i="1"/>
  <c r="BM70" i="1"/>
  <c r="BL70" i="1"/>
  <c r="BK70" i="1"/>
  <c r="BJ70" i="1"/>
  <c r="BI70" i="1"/>
  <c r="BH70" i="1"/>
  <c r="BG70" i="1"/>
  <c r="BE70" i="1"/>
  <c r="BD70" i="1"/>
  <c r="BC70" i="1"/>
  <c r="BB70" i="1"/>
  <c r="AZ70" i="1"/>
  <c r="AX70" i="1"/>
  <c r="AW70" i="1"/>
  <c r="AV70" i="1"/>
  <c r="AU70" i="1"/>
  <c r="AT70" i="1"/>
  <c r="AR70" i="1"/>
  <c r="AQ70" i="1"/>
  <c r="AO70" i="1"/>
  <c r="AN70" i="1"/>
  <c r="AM70" i="1"/>
  <c r="AL70" i="1"/>
  <c r="AK70" i="1"/>
  <c r="AJ70" i="1"/>
  <c r="H66" i="3" s="1"/>
  <c r="AI70" i="1"/>
  <c r="AA70" i="1"/>
  <c r="Z70" i="1"/>
  <c r="V70" i="1"/>
  <c r="Q70" i="1"/>
  <c r="O70" i="1"/>
  <c r="N70" i="1"/>
  <c r="M70" i="1"/>
  <c r="C66" i="3" s="1"/>
  <c r="AW66" i="3" s="1"/>
  <c r="L70" i="1"/>
  <c r="D66" i="3" s="1"/>
  <c r="AX66" i="3" s="1"/>
  <c r="K70" i="1"/>
  <c r="K93" i="1" s="1"/>
  <c r="I70" i="1"/>
  <c r="H70" i="1"/>
  <c r="G70" i="1"/>
  <c r="G93" i="1" s="1"/>
  <c r="F70" i="1"/>
  <c r="E70" i="1"/>
  <c r="D70" i="1"/>
  <c r="C70" i="1"/>
  <c r="E66" i="3" s="1"/>
  <c r="AY66" i="3" s="1"/>
  <c r="B70" i="1"/>
  <c r="FH69" i="1"/>
  <c r="FH96" i="1" s="1"/>
  <c r="FE69" i="1"/>
  <c r="EV69" i="1"/>
  <c r="EV95" i="1" s="1"/>
  <c r="EU69" i="1"/>
  <c r="ET69" i="1"/>
  <c r="ET96" i="1" s="1"/>
  <c r="ES69" i="1"/>
  <c r="ER69" i="1"/>
  <c r="EQ69" i="1"/>
  <c r="F65" i="3" s="1"/>
  <c r="EM69" i="1"/>
  <c r="EL69" i="1"/>
  <c r="EJ69" i="1"/>
  <c r="EJ105" i="1" s="1"/>
  <c r="EH69" i="1"/>
  <c r="EF69" i="1"/>
  <c r="EC69" i="1"/>
  <c r="EA69" i="1"/>
  <c r="DZ69" i="1"/>
  <c r="DX69" i="1"/>
  <c r="DW69" i="1"/>
  <c r="DW95" i="1" s="1"/>
  <c r="DV69" i="1"/>
  <c r="DV105" i="1" s="1"/>
  <c r="DA69" i="1"/>
  <c r="CZ69" i="1"/>
  <c r="CY69" i="1"/>
  <c r="CY95" i="1" s="1"/>
  <c r="CX69" i="1"/>
  <c r="CW69" i="1"/>
  <c r="CV69" i="1"/>
  <c r="CU69" i="1"/>
  <c r="CT69" i="1"/>
  <c r="CT93" i="1" s="1"/>
  <c r="CS69" i="1"/>
  <c r="CR69" i="1"/>
  <c r="CQ69" i="1"/>
  <c r="CP69" i="1"/>
  <c r="CM69" i="1"/>
  <c r="CK69" i="1"/>
  <c r="CJ69" i="1"/>
  <c r="CF69" i="1"/>
  <c r="CD69" i="1"/>
  <c r="CD94" i="1" s="1"/>
  <c r="CC69" i="1"/>
  <c r="CA69" i="1"/>
  <c r="BZ69" i="1"/>
  <c r="BT69" i="1"/>
  <c r="BR69" i="1"/>
  <c r="BQ69" i="1"/>
  <c r="BO69" i="1"/>
  <c r="BP69" i="1" s="1"/>
  <c r="BM69" i="1"/>
  <c r="BL69" i="1"/>
  <c r="BL94" i="1" s="1"/>
  <c r="BK69" i="1"/>
  <c r="BJ69" i="1"/>
  <c r="BI69" i="1"/>
  <c r="BH69" i="1"/>
  <c r="BG69" i="1"/>
  <c r="BF69" i="1"/>
  <c r="BF105" i="1" s="1"/>
  <c r="BE69" i="1"/>
  <c r="BE93" i="1" s="1"/>
  <c r="BD69" i="1"/>
  <c r="BD95" i="1" s="1"/>
  <c r="BC69" i="1"/>
  <c r="BB69" i="1"/>
  <c r="BA69" i="1"/>
  <c r="AZ69" i="1"/>
  <c r="AZ96" i="1" s="1"/>
  <c r="AW69" i="1"/>
  <c r="AW96" i="1" s="1"/>
  <c r="AU69" i="1"/>
  <c r="AT69" i="1"/>
  <c r="AS69" i="1"/>
  <c r="AR69" i="1"/>
  <c r="AQ69" i="1"/>
  <c r="AP69" i="1"/>
  <c r="AO69" i="1"/>
  <c r="AN69" i="1"/>
  <c r="AM69" i="1"/>
  <c r="AM96" i="1" s="1"/>
  <c r="AL69" i="1"/>
  <c r="AK69" i="1"/>
  <c r="AK94" i="1" s="1"/>
  <c r="AJ69" i="1"/>
  <c r="AI69" i="1"/>
  <c r="Z69" i="1"/>
  <c r="Q69" i="1"/>
  <c r="O69" i="1"/>
  <c r="N69" i="1"/>
  <c r="M69" i="1"/>
  <c r="L69" i="1"/>
  <c r="K69" i="1"/>
  <c r="I69" i="1"/>
  <c r="H69" i="1"/>
  <c r="G69" i="1"/>
  <c r="G96" i="1" s="1"/>
  <c r="F69" i="1"/>
  <c r="E69" i="1"/>
  <c r="D69" i="1"/>
  <c r="C69" i="1"/>
  <c r="E65" i="3" s="1"/>
  <c r="AY65" i="3" s="1"/>
  <c r="B69" i="1"/>
  <c r="B94" i="1" s="1"/>
  <c r="FH68" i="1"/>
  <c r="FI68" i="1" s="1"/>
  <c r="FE68" i="1"/>
  <c r="EV68" i="1"/>
  <c r="EU68" i="1"/>
  <c r="ET68" i="1"/>
  <c r="ES68" i="1"/>
  <c r="ER68" i="1"/>
  <c r="EQ68" i="1"/>
  <c r="F63" i="3" s="1"/>
  <c r="EM68" i="1"/>
  <c r="EL68" i="1"/>
  <c r="EJ68" i="1"/>
  <c r="EH68" i="1"/>
  <c r="EF68" i="1"/>
  <c r="EC68" i="1"/>
  <c r="EA68" i="1"/>
  <c r="DZ68" i="1"/>
  <c r="DX68" i="1"/>
  <c r="DW68" i="1"/>
  <c r="DV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K68" i="1"/>
  <c r="CJ68" i="1"/>
  <c r="CF68" i="1"/>
  <c r="CD68" i="1"/>
  <c r="CC68" i="1"/>
  <c r="CA68" i="1"/>
  <c r="BZ68" i="1"/>
  <c r="BW68" i="1"/>
  <c r="BU68" i="1"/>
  <c r="BR68" i="1"/>
  <c r="BQ68" i="1"/>
  <c r="BO68" i="1"/>
  <c r="BN68" i="1"/>
  <c r="BP68" i="1" s="1"/>
  <c r="BM68" i="1"/>
  <c r="BL68" i="1"/>
  <c r="BK68" i="1"/>
  <c r="BJ68" i="1"/>
  <c r="BI68" i="1"/>
  <c r="BH68" i="1"/>
  <c r="BF68" i="1"/>
  <c r="BE68" i="1"/>
  <c r="BD68" i="1"/>
  <c r="BC68" i="1"/>
  <c r="BB68" i="1"/>
  <c r="BA68" i="1"/>
  <c r="AZ68" i="1"/>
  <c r="AY68" i="1"/>
  <c r="AW68" i="1"/>
  <c r="AU68" i="1"/>
  <c r="AT68" i="1"/>
  <c r="AS68" i="1"/>
  <c r="AR68" i="1"/>
  <c r="AQ68" i="1"/>
  <c r="G63" i="3" s="1"/>
  <c r="AO68" i="1"/>
  <c r="AM68" i="1"/>
  <c r="AL68" i="1"/>
  <c r="AK68" i="1"/>
  <c r="AJ68" i="1"/>
  <c r="AI68" i="1"/>
  <c r="I63" i="3" s="1"/>
  <c r="V68" i="1"/>
  <c r="Q68" i="1"/>
  <c r="O68" i="1"/>
  <c r="N68" i="1"/>
  <c r="M68" i="1"/>
  <c r="C63" i="3" s="1"/>
  <c r="I68" i="1"/>
  <c r="H68" i="1"/>
  <c r="G68" i="1"/>
  <c r="F68" i="1"/>
  <c r="E68" i="1"/>
  <c r="D68" i="1"/>
  <c r="C68" i="1"/>
  <c r="E63" i="3" s="1"/>
  <c r="B68" i="1"/>
  <c r="B63" i="3" s="1"/>
  <c r="FH67" i="1"/>
  <c r="FI67" i="1" s="1"/>
  <c r="EV67" i="1"/>
  <c r="EU67" i="1"/>
  <c r="ET67" i="1"/>
  <c r="ES67" i="1"/>
  <c r="ER67" i="1"/>
  <c r="EQ67" i="1"/>
  <c r="EM67" i="1"/>
  <c r="EL67" i="1"/>
  <c r="EJ67" i="1"/>
  <c r="EH67" i="1"/>
  <c r="EF67" i="1"/>
  <c r="EC67" i="1"/>
  <c r="EA67" i="1"/>
  <c r="DZ67" i="1"/>
  <c r="DX67" i="1"/>
  <c r="DW67" i="1"/>
  <c r="DV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K67" i="1"/>
  <c r="CJ67" i="1"/>
  <c r="CF67" i="1"/>
  <c r="BO67" i="1"/>
  <c r="BN67" i="1"/>
  <c r="BM67" i="1"/>
  <c r="BL67" i="1"/>
  <c r="BK67" i="1"/>
  <c r="BJ67" i="1"/>
  <c r="BI67" i="1"/>
  <c r="BH67" i="1"/>
  <c r="BE67" i="1"/>
  <c r="BD67" i="1"/>
  <c r="BC67" i="1"/>
  <c r="BB67" i="1"/>
  <c r="BA67" i="1"/>
  <c r="AZ67" i="1"/>
  <c r="AX67" i="1"/>
  <c r="AW67" i="1"/>
  <c r="AU67" i="1"/>
  <c r="AS67" i="1"/>
  <c r="AR67" i="1"/>
  <c r="AQ67" i="1"/>
  <c r="AM67" i="1"/>
  <c r="AK67" i="1"/>
  <c r="AJ67" i="1"/>
  <c r="AI67" i="1"/>
  <c r="V67" i="1"/>
  <c r="Q67" i="1"/>
  <c r="O67" i="1"/>
  <c r="N67" i="1"/>
  <c r="M67" i="1"/>
  <c r="L67" i="1"/>
  <c r="K67" i="1"/>
  <c r="I67" i="1"/>
  <c r="H67" i="1"/>
  <c r="G67" i="1"/>
  <c r="F67" i="1"/>
  <c r="E67" i="1"/>
  <c r="D67" i="1"/>
  <c r="C67" i="1"/>
  <c r="B67" i="1"/>
  <c r="FH66" i="1"/>
  <c r="FI66" i="1" s="1"/>
  <c r="FE66" i="1"/>
  <c r="EV66" i="1"/>
  <c r="EU66" i="1"/>
  <c r="ET66" i="1"/>
  <c r="ES66" i="1"/>
  <c r="ER66" i="1"/>
  <c r="EQ66" i="1"/>
  <c r="F61" i="3" s="1"/>
  <c r="EM66" i="1"/>
  <c r="EL66" i="1"/>
  <c r="EJ66" i="1"/>
  <c r="EH66" i="1"/>
  <c r="EF66" i="1"/>
  <c r="EC66" i="1"/>
  <c r="EA66" i="1"/>
  <c r="DZ66" i="1"/>
  <c r="DX66" i="1"/>
  <c r="DW66" i="1"/>
  <c r="DV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M66" i="1"/>
  <c r="CK66" i="1"/>
  <c r="CJ66" i="1"/>
  <c r="CD66" i="1"/>
  <c r="CC66" i="1"/>
  <c r="CA66" i="1"/>
  <c r="BZ66" i="1"/>
  <c r="BW66" i="1"/>
  <c r="BU66" i="1"/>
  <c r="BT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AZ66" i="1"/>
  <c r="AY66" i="1"/>
  <c r="AX66" i="1"/>
  <c r="AW66" i="1"/>
  <c r="AV66" i="1"/>
  <c r="AU66" i="1"/>
  <c r="AS66" i="1"/>
  <c r="AR66" i="1"/>
  <c r="AQ66" i="1"/>
  <c r="G61" i="3" s="1"/>
  <c r="AP66" i="1"/>
  <c r="AO66" i="1"/>
  <c r="AM66" i="1"/>
  <c r="AK66" i="1"/>
  <c r="AJ66" i="1"/>
  <c r="AI66" i="1"/>
  <c r="I61" i="3" s="1"/>
  <c r="Z66" i="1"/>
  <c r="V66" i="1"/>
  <c r="U66" i="1"/>
  <c r="S66" i="1"/>
  <c r="Q66" i="1"/>
  <c r="O66" i="1"/>
  <c r="N66" i="1"/>
  <c r="M66" i="1"/>
  <c r="C61" i="3" s="1"/>
  <c r="I66" i="1"/>
  <c r="H66" i="1"/>
  <c r="G66" i="1"/>
  <c r="F66" i="1"/>
  <c r="E66" i="1"/>
  <c r="D66" i="1"/>
  <c r="C66" i="1"/>
  <c r="E61" i="3" s="1"/>
  <c r="B66" i="1"/>
  <c r="B61" i="3" s="1"/>
  <c r="FH65" i="1"/>
  <c r="FE65" i="1"/>
  <c r="EV65" i="1"/>
  <c r="EU65" i="1"/>
  <c r="ET65" i="1"/>
  <c r="ES65" i="1"/>
  <c r="ER65" i="1"/>
  <c r="EQ65" i="1"/>
  <c r="EM65" i="1"/>
  <c r="EL65" i="1"/>
  <c r="EJ65" i="1"/>
  <c r="EH65" i="1"/>
  <c r="EF65" i="1"/>
  <c r="EC65" i="1"/>
  <c r="EA65" i="1"/>
  <c r="DZ65" i="1"/>
  <c r="DX65" i="1"/>
  <c r="DW65" i="1"/>
  <c r="DV65" i="1"/>
  <c r="DA65" i="1"/>
  <c r="CZ65" i="1"/>
  <c r="CY65" i="1"/>
  <c r="CX65" i="1"/>
  <c r="CW65" i="1"/>
  <c r="CW91" i="1" s="1"/>
  <c r="CV65" i="1"/>
  <c r="CU65" i="1"/>
  <c r="CT65" i="1"/>
  <c r="CS65" i="1"/>
  <c r="CR65" i="1"/>
  <c r="CQ65" i="1"/>
  <c r="CP65" i="1"/>
  <c r="CO65" i="1"/>
  <c r="CK65" i="1"/>
  <c r="CJ65" i="1"/>
  <c r="CJ100" i="1" s="1"/>
  <c r="CF65" i="1"/>
  <c r="CF100" i="1" s="1"/>
  <c r="CD65" i="1"/>
  <c r="CC65" i="1"/>
  <c r="CA65" i="1"/>
  <c r="BZ65" i="1"/>
  <c r="BW65" i="1"/>
  <c r="BU65" i="1"/>
  <c r="BT65" i="1"/>
  <c r="BR65" i="1"/>
  <c r="BQ65" i="1"/>
  <c r="BO65" i="1"/>
  <c r="BN65" i="1"/>
  <c r="BM65" i="1"/>
  <c r="BL65" i="1"/>
  <c r="BL91" i="1" s="1"/>
  <c r="BK65" i="1"/>
  <c r="BJ65" i="1"/>
  <c r="BJ90" i="1" s="1"/>
  <c r="BI65" i="1"/>
  <c r="BI91" i="1" s="1"/>
  <c r="BH65" i="1"/>
  <c r="BG65" i="1"/>
  <c r="BF65" i="1"/>
  <c r="BE65" i="1"/>
  <c r="BD65" i="1"/>
  <c r="BC65" i="1"/>
  <c r="BA65" i="1"/>
  <c r="BA90" i="1" s="1"/>
  <c r="AZ65" i="1"/>
  <c r="AY65" i="1"/>
  <c r="AX65" i="1"/>
  <c r="AW65" i="1"/>
  <c r="AV65" i="1"/>
  <c r="AV91" i="1" s="1"/>
  <c r="AU65" i="1"/>
  <c r="AT65" i="1"/>
  <c r="AS65" i="1"/>
  <c r="AR65" i="1"/>
  <c r="AQ65" i="1"/>
  <c r="G60" i="3" s="1"/>
  <c r="AP65" i="1"/>
  <c r="AO65" i="1"/>
  <c r="AN65" i="1"/>
  <c r="AM65" i="1"/>
  <c r="AL65" i="1"/>
  <c r="AK65" i="1"/>
  <c r="AK91" i="1" s="1"/>
  <c r="AJ65" i="1"/>
  <c r="AI65" i="1"/>
  <c r="U65" i="1"/>
  <c r="R65" i="1"/>
  <c r="Q65" i="1"/>
  <c r="O65" i="1"/>
  <c r="N65" i="1"/>
  <c r="N91" i="1" s="1"/>
  <c r="M65" i="1"/>
  <c r="C60" i="3" s="1"/>
  <c r="L65" i="1"/>
  <c r="D60" i="3" s="1"/>
  <c r="K65" i="1"/>
  <c r="I65" i="1"/>
  <c r="H65" i="1"/>
  <c r="H90" i="1" s="1"/>
  <c r="H128" i="1" s="1"/>
  <c r="G65" i="1"/>
  <c r="F65" i="1"/>
  <c r="E65" i="1"/>
  <c r="E91" i="1" s="1"/>
  <c r="D65" i="1"/>
  <c r="C65" i="1"/>
  <c r="E60" i="3" s="1"/>
  <c r="AY60" i="3" s="1"/>
  <c r="B65" i="1"/>
  <c r="FH64" i="1"/>
  <c r="FI64" i="1" s="1"/>
  <c r="FE64" i="1"/>
  <c r="EV64" i="1"/>
  <c r="EU64" i="1"/>
  <c r="ET64" i="1"/>
  <c r="ET15" i="1" s="1"/>
  <c r="ES64" i="1"/>
  <c r="ER64" i="1"/>
  <c r="EQ64" i="1"/>
  <c r="EQ15" i="1" s="1"/>
  <c r="EM64" i="1"/>
  <c r="EL64" i="1"/>
  <c r="EJ64" i="1"/>
  <c r="EH64" i="1"/>
  <c r="EH15" i="1" s="1"/>
  <c r="EF64" i="1"/>
  <c r="EF15" i="1" s="1"/>
  <c r="EC64" i="1"/>
  <c r="EA64" i="1"/>
  <c r="DZ64" i="1"/>
  <c r="DX64" i="1"/>
  <c r="DW64" i="1"/>
  <c r="DW15" i="1" s="1"/>
  <c r="DV64" i="1"/>
  <c r="DA64" i="1"/>
  <c r="CZ64" i="1"/>
  <c r="CY64" i="1"/>
  <c r="CX64" i="1"/>
  <c r="CX100" i="1" s="1"/>
  <c r="CW64" i="1"/>
  <c r="CW15" i="1" s="1"/>
  <c r="CV64" i="1"/>
  <c r="CU64" i="1"/>
  <c r="CT64" i="1"/>
  <c r="CT15" i="1" s="1"/>
  <c r="CS64" i="1"/>
  <c r="CR64" i="1"/>
  <c r="CR15" i="1" s="1"/>
  <c r="CQ64" i="1"/>
  <c r="CP64" i="1"/>
  <c r="CP100" i="1" s="1"/>
  <c r="CO64" i="1"/>
  <c r="CO15" i="1" s="1"/>
  <c r="CM64" i="1"/>
  <c r="CK64" i="1"/>
  <c r="CJ64" i="1"/>
  <c r="CJ15" i="1" s="1"/>
  <c r="CF64" i="1"/>
  <c r="CD64" i="1"/>
  <c r="CA64" i="1"/>
  <c r="CA100" i="1" s="1"/>
  <c r="BZ64" i="1"/>
  <c r="BZ15" i="1" s="1"/>
  <c r="BW64" i="1"/>
  <c r="BR64" i="1"/>
  <c r="BQ64" i="1"/>
  <c r="BN64" i="1"/>
  <c r="BM64" i="1"/>
  <c r="BL64" i="1"/>
  <c r="BL15" i="1" s="1"/>
  <c r="BK64" i="1"/>
  <c r="BJ64" i="1"/>
  <c r="BI64" i="1"/>
  <c r="BH64" i="1"/>
  <c r="BG64" i="1"/>
  <c r="BF64" i="1"/>
  <c r="BE64" i="1"/>
  <c r="BD64" i="1"/>
  <c r="BD15" i="1" s="1"/>
  <c r="BC64" i="1"/>
  <c r="BB64" i="1"/>
  <c r="BA64" i="1"/>
  <c r="AZ64" i="1"/>
  <c r="AY64" i="1"/>
  <c r="AX64" i="1"/>
  <c r="AW64" i="1"/>
  <c r="AV64" i="1"/>
  <c r="AV15" i="1" s="1"/>
  <c r="AU64" i="1"/>
  <c r="AT64" i="1"/>
  <c r="AS64" i="1"/>
  <c r="AR64" i="1"/>
  <c r="AQ64" i="1"/>
  <c r="AQ15" i="1" s="1"/>
  <c r="AN64" i="1"/>
  <c r="AN15" i="1" s="1"/>
  <c r="AM64" i="1"/>
  <c r="AM100" i="1" s="1"/>
  <c r="AL64" i="1"/>
  <c r="AL15" i="1" s="1"/>
  <c r="AK64" i="1"/>
  <c r="AK15" i="1" s="1"/>
  <c r="AJ64" i="1"/>
  <c r="AI64" i="1"/>
  <c r="X64" i="1"/>
  <c r="X15" i="1" s="1"/>
  <c r="R64" i="1"/>
  <c r="R15" i="1" s="1"/>
  <c r="Q64" i="1"/>
  <c r="O64" i="1"/>
  <c r="N64" i="1"/>
  <c r="M64" i="1"/>
  <c r="C59" i="3" s="1"/>
  <c r="L64" i="1"/>
  <c r="K64" i="1"/>
  <c r="I64" i="1"/>
  <c r="I15" i="1" s="1"/>
  <c r="H64" i="1"/>
  <c r="H15" i="1" s="1"/>
  <c r="G64" i="1"/>
  <c r="F64" i="1"/>
  <c r="E64" i="1"/>
  <c r="E15" i="1" s="1"/>
  <c r="D64" i="1"/>
  <c r="C64" i="1"/>
  <c r="E59" i="3" s="1"/>
  <c r="B64" i="1"/>
  <c r="FH63" i="1"/>
  <c r="FH14" i="1" s="1"/>
  <c r="FI14" i="1" s="1"/>
  <c r="FE63" i="1"/>
  <c r="EV63" i="1"/>
  <c r="EU63" i="1"/>
  <c r="ES63" i="1"/>
  <c r="ES14" i="1" s="1"/>
  <c r="ER63" i="1"/>
  <c r="EQ63" i="1"/>
  <c r="F48" i="3" s="1"/>
  <c r="EM63" i="1"/>
  <c r="EL63" i="1"/>
  <c r="EL14" i="1" s="1"/>
  <c r="EJ63" i="1"/>
  <c r="EJ14" i="1" s="1"/>
  <c r="EH63" i="1"/>
  <c r="EF63" i="1"/>
  <c r="EA63" i="1"/>
  <c r="DZ63" i="1"/>
  <c r="DX63" i="1"/>
  <c r="DX14" i="1" s="1"/>
  <c r="DW63" i="1"/>
  <c r="DV63" i="1"/>
  <c r="DA63" i="1"/>
  <c r="DA14" i="1" s="1"/>
  <c r="CZ63" i="1"/>
  <c r="CY63" i="1"/>
  <c r="CX63" i="1"/>
  <c r="CW63" i="1"/>
  <c r="CV63" i="1"/>
  <c r="CV14" i="1" s="1"/>
  <c r="CU63" i="1"/>
  <c r="CT63" i="1"/>
  <c r="CT14" i="1" s="1"/>
  <c r="CS63" i="1"/>
  <c r="CS14" i="1" s="1"/>
  <c r="CR63" i="1"/>
  <c r="CQ63" i="1"/>
  <c r="CP63" i="1"/>
  <c r="CP14" i="1" s="1"/>
  <c r="CO63" i="1"/>
  <c r="CM63" i="1"/>
  <c r="CK63" i="1"/>
  <c r="CK14" i="1" s="1"/>
  <c r="CJ63" i="1"/>
  <c r="CJ14" i="1" s="1"/>
  <c r="CI63" i="1"/>
  <c r="CF63" i="1"/>
  <c r="CD63" i="1"/>
  <c r="BW63" i="1"/>
  <c r="BW14" i="1" s="1"/>
  <c r="BU63" i="1"/>
  <c r="BU14" i="1" s="1"/>
  <c r="BT63" i="1"/>
  <c r="BT14" i="1" s="1"/>
  <c r="BR63" i="1"/>
  <c r="BQ63" i="1"/>
  <c r="BQ14" i="1" s="1"/>
  <c r="BO63" i="1"/>
  <c r="BM63" i="1"/>
  <c r="BL63" i="1"/>
  <c r="BK63" i="1"/>
  <c r="BK14" i="1" s="1"/>
  <c r="BJ63" i="1"/>
  <c r="BJ14" i="1" s="1"/>
  <c r="BI63" i="1"/>
  <c r="BI14" i="1" s="1"/>
  <c r="BH63" i="1"/>
  <c r="BG63" i="1"/>
  <c r="BE63" i="1"/>
  <c r="BD63" i="1"/>
  <c r="BC63" i="1"/>
  <c r="BC14" i="1" s="1"/>
  <c r="BB63" i="1"/>
  <c r="BB14" i="1" s="1"/>
  <c r="BA63" i="1"/>
  <c r="BA14" i="1" s="1"/>
  <c r="AZ63" i="1"/>
  <c r="AY63" i="1"/>
  <c r="AX63" i="1"/>
  <c r="AX14" i="1" s="1"/>
  <c r="AW63" i="1"/>
  <c r="AV63" i="1"/>
  <c r="AU63" i="1"/>
  <c r="AT63" i="1"/>
  <c r="AT14" i="1" s="1"/>
  <c r="AR63" i="1"/>
  <c r="AQ63" i="1"/>
  <c r="AP63" i="1"/>
  <c r="AO63" i="1"/>
  <c r="AN63" i="1"/>
  <c r="AN14" i="1" s="1"/>
  <c r="AM63" i="1"/>
  <c r="AM14" i="1" s="1"/>
  <c r="AK63" i="1"/>
  <c r="AK14" i="1" s="1"/>
  <c r="AJ63" i="1"/>
  <c r="H48" i="3" s="1"/>
  <c r="AI63" i="1"/>
  <c r="Z63" i="1"/>
  <c r="V63" i="1"/>
  <c r="U63" i="1"/>
  <c r="Q63" i="1"/>
  <c r="Q14" i="1" s="1"/>
  <c r="O63" i="1"/>
  <c r="N63" i="1"/>
  <c r="M63" i="1"/>
  <c r="C48" i="3" s="1"/>
  <c r="L63" i="1"/>
  <c r="L14" i="1" s="1"/>
  <c r="D13" i="3" s="1"/>
  <c r="I63" i="1"/>
  <c r="H63" i="1"/>
  <c r="G63" i="1"/>
  <c r="F63" i="1"/>
  <c r="E63" i="1"/>
  <c r="D63" i="1"/>
  <c r="C63" i="1"/>
  <c r="E48" i="3" s="1"/>
  <c r="B63" i="1"/>
  <c r="FH62" i="1"/>
  <c r="FI62" i="1" s="1"/>
  <c r="EV62" i="1"/>
  <c r="EU62" i="1"/>
  <c r="ET62" i="1"/>
  <c r="ES62" i="1"/>
  <c r="ER62" i="1"/>
  <c r="EQ62" i="1"/>
  <c r="EM62" i="1"/>
  <c r="EL62" i="1"/>
  <c r="EJ62" i="1"/>
  <c r="EH62" i="1"/>
  <c r="EF62" i="1"/>
  <c r="EC62" i="1"/>
  <c r="EA62" i="1"/>
  <c r="DZ62" i="1"/>
  <c r="DX62" i="1"/>
  <c r="DW62" i="1"/>
  <c r="DV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M62" i="1"/>
  <c r="CK62" i="1"/>
  <c r="CJ62" i="1"/>
  <c r="CF62" i="1"/>
  <c r="BW62" i="1"/>
  <c r="BM62" i="1"/>
  <c r="BL62" i="1"/>
  <c r="BK62" i="1"/>
  <c r="BJ62" i="1"/>
  <c r="BI62" i="1"/>
  <c r="BH62" i="1"/>
  <c r="BG62" i="1"/>
  <c r="BF62" i="1"/>
  <c r="BE62" i="1"/>
  <c r="BD62" i="1"/>
  <c r="BC62" i="1"/>
  <c r="AZ62" i="1"/>
  <c r="AW62" i="1"/>
  <c r="AU62" i="1"/>
  <c r="AT62" i="1"/>
  <c r="AR62" i="1"/>
  <c r="AQ62" i="1"/>
  <c r="G47" i="3" s="1"/>
  <c r="AE62" i="1"/>
  <c r="Q62" i="1"/>
  <c r="O62" i="1"/>
  <c r="N62" i="1"/>
  <c r="M62" i="1"/>
  <c r="C47" i="3" s="1"/>
  <c r="L62" i="1"/>
  <c r="D47" i="3" s="1"/>
  <c r="K62" i="1"/>
  <c r="I62" i="1"/>
  <c r="H62" i="1"/>
  <c r="G62" i="1"/>
  <c r="F62" i="1"/>
  <c r="E62" i="1"/>
  <c r="D62" i="1"/>
  <c r="C62" i="1"/>
  <c r="E47" i="3" s="1"/>
  <c r="B62" i="1"/>
  <c r="B47" i="3" s="1"/>
  <c r="FH61" i="1"/>
  <c r="FI61" i="1" s="1"/>
  <c r="EV61" i="1"/>
  <c r="EU61" i="1"/>
  <c r="ET61" i="1"/>
  <c r="ES61" i="1"/>
  <c r="ER61" i="1"/>
  <c r="EQ61" i="1"/>
  <c r="EM61" i="1"/>
  <c r="EL61" i="1"/>
  <c r="EJ61" i="1"/>
  <c r="EH61" i="1"/>
  <c r="EF61" i="1"/>
  <c r="EC61" i="1"/>
  <c r="EA61" i="1"/>
  <c r="DZ61" i="1"/>
  <c r="DX61" i="1"/>
  <c r="DW61" i="1"/>
  <c r="DV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M61" i="1"/>
  <c r="CK61" i="1"/>
  <c r="CJ61" i="1"/>
  <c r="CF61" i="1"/>
  <c r="CD61" i="1"/>
  <c r="CC61" i="1"/>
  <c r="CA61" i="1"/>
  <c r="BZ61" i="1"/>
  <c r="BW61" i="1"/>
  <c r="BU61" i="1"/>
  <c r="BT61" i="1"/>
  <c r="BR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AZ61" i="1"/>
  <c r="AY61" i="1"/>
  <c r="AX61" i="1"/>
  <c r="AW61" i="1"/>
  <c r="AV61" i="1"/>
  <c r="AU61" i="1"/>
  <c r="AT61" i="1"/>
  <c r="AS61" i="1"/>
  <c r="AR61" i="1"/>
  <c r="AQ61" i="1"/>
  <c r="AN61" i="1"/>
  <c r="AM61" i="1"/>
  <c r="AL61" i="1"/>
  <c r="AK61" i="1"/>
  <c r="AJ61" i="1"/>
  <c r="AI61" i="1"/>
  <c r="V61" i="1"/>
  <c r="U61" i="1"/>
  <c r="Q61" i="1"/>
  <c r="O61" i="1"/>
  <c r="N61" i="1"/>
  <c r="M61" i="1"/>
  <c r="C46" i="3" s="1"/>
  <c r="I61" i="1"/>
  <c r="H61" i="1"/>
  <c r="G61" i="1"/>
  <c r="F61" i="1"/>
  <c r="E61" i="1"/>
  <c r="D61" i="1"/>
  <c r="C61" i="1"/>
  <c r="E46" i="3" s="1"/>
  <c r="FH60" i="1"/>
  <c r="FI60" i="1" s="1"/>
  <c r="EV60" i="1"/>
  <c r="EU60" i="1"/>
  <c r="ES60" i="1"/>
  <c r="ER60" i="1"/>
  <c r="EQ60" i="1"/>
  <c r="EM60" i="1"/>
  <c r="EL60" i="1"/>
  <c r="EJ60" i="1"/>
  <c r="EH60" i="1"/>
  <c r="EF60" i="1"/>
  <c r="EC60" i="1"/>
  <c r="EA60" i="1"/>
  <c r="DZ60" i="1"/>
  <c r="DX60" i="1"/>
  <c r="DW60" i="1"/>
  <c r="DV60" i="1"/>
  <c r="CW60" i="1"/>
  <c r="CV60" i="1"/>
  <c r="CU60" i="1"/>
  <c r="CT60" i="1"/>
  <c r="CS60" i="1"/>
  <c r="CO60" i="1"/>
  <c r="CK60" i="1"/>
  <c r="CF60" i="1"/>
  <c r="CD60" i="1"/>
  <c r="CA60" i="1"/>
  <c r="BZ60" i="1"/>
  <c r="BW60" i="1"/>
  <c r="BP60" i="1"/>
  <c r="BF60" i="1"/>
  <c r="BB60" i="1"/>
  <c r="BA60" i="1"/>
  <c r="AX60" i="1"/>
  <c r="AW60" i="1"/>
  <c r="AV60" i="1"/>
  <c r="AU60" i="1"/>
  <c r="AM60" i="1"/>
  <c r="AL60" i="1"/>
  <c r="AK60" i="1"/>
  <c r="AJ60" i="1"/>
  <c r="AI60" i="1"/>
  <c r="AA60" i="1"/>
  <c r="Z60" i="1"/>
  <c r="V60" i="1"/>
  <c r="U60" i="1"/>
  <c r="S60" i="1"/>
  <c r="Q60" i="1"/>
  <c r="O60" i="1"/>
  <c r="N60" i="1"/>
  <c r="M60" i="1"/>
  <c r="C45" i="3" s="1"/>
  <c r="I60" i="1"/>
  <c r="H60" i="1"/>
  <c r="G60" i="1"/>
  <c r="F60" i="1"/>
  <c r="E60" i="1"/>
  <c r="D60" i="1"/>
  <c r="C60" i="1"/>
  <c r="E45" i="3" s="1"/>
  <c r="FH59" i="1"/>
  <c r="FI59" i="1" s="1"/>
  <c r="EV59" i="1"/>
  <c r="EU59" i="1"/>
  <c r="ET59" i="1"/>
  <c r="ES59" i="1"/>
  <c r="ER59" i="1"/>
  <c r="EQ59" i="1"/>
  <c r="F38" i="3" s="1"/>
  <c r="EM59" i="1"/>
  <c r="EL59" i="1"/>
  <c r="EJ59" i="1"/>
  <c r="EH59" i="1"/>
  <c r="EF59" i="1"/>
  <c r="EC59" i="1"/>
  <c r="EA59" i="1"/>
  <c r="DZ59" i="1"/>
  <c r="DX59" i="1"/>
  <c r="DW59" i="1"/>
  <c r="DV59" i="1"/>
  <c r="DA59" i="1"/>
  <c r="CZ59" i="1"/>
  <c r="CY59" i="1"/>
  <c r="CX59" i="1"/>
  <c r="CW59" i="1"/>
  <c r="CV59" i="1"/>
  <c r="CU59" i="1"/>
  <c r="CU107" i="1" s="1"/>
  <c r="CT59" i="1"/>
  <c r="CT107" i="1" s="1"/>
  <c r="CS59" i="1"/>
  <c r="CR59" i="1"/>
  <c r="CQ59" i="1"/>
  <c r="CP59" i="1"/>
  <c r="CO59" i="1"/>
  <c r="CM59" i="1"/>
  <c r="CK59" i="1"/>
  <c r="CJ59" i="1"/>
  <c r="CF59" i="1"/>
  <c r="CD59" i="1"/>
  <c r="CC59" i="1"/>
  <c r="CA59" i="1"/>
  <c r="BZ59" i="1"/>
  <c r="BZ107" i="1" s="1"/>
  <c r="BW59" i="1"/>
  <c r="BT59" i="1"/>
  <c r="BQ59" i="1"/>
  <c r="BO59" i="1"/>
  <c r="BM59" i="1"/>
  <c r="BL59" i="1"/>
  <c r="BL107" i="1" s="1"/>
  <c r="BK59" i="1"/>
  <c r="BK107" i="1" s="1"/>
  <c r="BJ59" i="1"/>
  <c r="BJ107" i="1" s="1"/>
  <c r="BI59" i="1"/>
  <c r="BI107" i="1" s="1"/>
  <c r="BH59" i="1"/>
  <c r="BH107" i="1" s="1"/>
  <c r="BG59" i="1"/>
  <c r="BF59" i="1"/>
  <c r="BE59" i="1"/>
  <c r="BD59" i="1"/>
  <c r="BD107" i="1" s="1"/>
  <c r="BC59" i="1"/>
  <c r="BB59" i="1"/>
  <c r="AZ59" i="1"/>
  <c r="AY59" i="1"/>
  <c r="AX59" i="1"/>
  <c r="AW59" i="1"/>
  <c r="AV59" i="1"/>
  <c r="AU59" i="1"/>
  <c r="AT59" i="1"/>
  <c r="AR59" i="1"/>
  <c r="AQ59" i="1"/>
  <c r="G38" i="3" s="1"/>
  <c r="AP59" i="1"/>
  <c r="AO59" i="1"/>
  <c r="AM59" i="1"/>
  <c r="AL59" i="1"/>
  <c r="AK59" i="1"/>
  <c r="AK107" i="1" s="1"/>
  <c r="AJ59" i="1"/>
  <c r="AA59" i="1"/>
  <c r="X59" i="1"/>
  <c r="V59" i="1"/>
  <c r="U59" i="1"/>
  <c r="R59" i="1"/>
  <c r="Q59" i="1"/>
  <c r="O59" i="1"/>
  <c r="O107" i="1" s="1"/>
  <c r="N59" i="1"/>
  <c r="M59" i="1"/>
  <c r="I59" i="1"/>
  <c r="H59" i="1"/>
  <c r="G59" i="1"/>
  <c r="G107" i="1" s="1"/>
  <c r="F59" i="1"/>
  <c r="F107" i="1" s="1"/>
  <c r="E59" i="1"/>
  <c r="D59" i="1"/>
  <c r="AN38" i="3" s="1"/>
  <c r="C59" i="1"/>
  <c r="FH58" i="1"/>
  <c r="EV58" i="1"/>
  <c r="EU58" i="1"/>
  <c r="ET58" i="1"/>
  <c r="ES58" i="1"/>
  <c r="ER58" i="1"/>
  <c r="EQ58" i="1"/>
  <c r="EL58" i="1"/>
  <c r="EJ58" i="1"/>
  <c r="EH58" i="1"/>
  <c r="EF58" i="1"/>
  <c r="EC58" i="1"/>
  <c r="EA58" i="1"/>
  <c r="DZ58" i="1"/>
  <c r="DX58" i="1"/>
  <c r="DW58" i="1"/>
  <c r="DV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K58" i="1"/>
  <c r="CJ58" i="1"/>
  <c r="CI58" i="1"/>
  <c r="CF58" i="1"/>
  <c r="CD58" i="1"/>
  <c r="CC58" i="1"/>
  <c r="CA58" i="1"/>
  <c r="BZ58" i="1"/>
  <c r="BW58" i="1"/>
  <c r="BU58" i="1"/>
  <c r="BT58" i="1"/>
  <c r="BR58" i="1"/>
  <c r="BO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G37" i="3" s="1"/>
  <c r="AO58" i="1"/>
  <c r="AN58" i="1"/>
  <c r="AM58" i="1"/>
  <c r="AL58" i="1"/>
  <c r="AK58" i="1"/>
  <c r="AJ58" i="1"/>
  <c r="H37" i="3" s="1"/>
  <c r="Z58" i="1"/>
  <c r="V58" i="1"/>
  <c r="R58" i="1"/>
  <c r="Q58" i="1"/>
  <c r="O58" i="1"/>
  <c r="N58" i="1"/>
  <c r="M58" i="1"/>
  <c r="C37" i="3" s="1"/>
  <c r="I58" i="1"/>
  <c r="H58" i="1"/>
  <c r="G58" i="1"/>
  <c r="F58" i="1"/>
  <c r="E58" i="1"/>
  <c r="D58" i="1"/>
  <c r="C58" i="1"/>
  <c r="E37" i="3" s="1"/>
  <c r="B58" i="1"/>
  <c r="B37" i="3" s="1"/>
  <c r="FH57" i="1"/>
  <c r="FI57" i="1" s="1"/>
  <c r="EV57" i="1"/>
  <c r="EU57" i="1"/>
  <c r="ET57" i="1"/>
  <c r="ES57" i="1"/>
  <c r="ER57" i="1"/>
  <c r="EQ57" i="1"/>
  <c r="EM57" i="1"/>
  <c r="EL57" i="1"/>
  <c r="EJ57" i="1"/>
  <c r="EI57" i="1"/>
  <c r="EH57" i="1"/>
  <c r="EF57" i="1"/>
  <c r="EE57" i="1"/>
  <c r="ED57" i="1"/>
  <c r="EC57" i="1"/>
  <c r="EB57" i="1"/>
  <c r="EA57" i="1"/>
  <c r="DZ57" i="1"/>
  <c r="DY57" i="1"/>
  <c r="DX57" i="1"/>
  <c r="DW57" i="1"/>
  <c r="DV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F57" i="1"/>
  <c r="CD57" i="1"/>
  <c r="CA57" i="1"/>
  <c r="BZ57" i="1"/>
  <c r="BM57" i="1"/>
  <c r="BL57" i="1"/>
  <c r="BK57" i="1"/>
  <c r="BJ57" i="1"/>
  <c r="BI57" i="1"/>
  <c r="BH57" i="1"/>
  <c r="BE57" i="1"/>
  <c r="BD57" i="1"/>
  <c r="BC57" i="1"/>
  <c r="AZ57" i="1"/>
  <c r="AW57" i="1"/>
  <c r="AR57" i="1"/>
  <c r="AQ57" i="1"/>
  <c r="AM57" i="1"/>
  <c r="AK57" i="1"/>
  <c r="AJ57" i="1"/>
  <c r="AI57" i="1"/>
  <c r="Q57" i="1"/>
  <c r="O57" i="1"/>
  <c r="N57" i="1"/>
  <c r="M57" i="1"/>
  <c r="L57" i="1"/>
  <c r="K57" i="1"/>
  <c r="I57" i="1"/>
  <c r="H57" i="1"/>
  <c r="G57" i="1"/>
  <c r="F57" i="1"/>
  <c r="E57" i="1"/>
  <c r="D57" i="1"/>
  <c r="C57" i="1"/>
  <c r="B57" i="1"/>
  <c r="FH56" i="1"/>
  <c r="EV56" i="1"/>
  <c r="EU56" i="1"/>
  <c r="ET56" i="1"/>
  <c r="ES56" i="1"/>
  <c r="ER56" i="1"/>
  <c r="EQ56" i="1"/>
  <c r="EM56" i="1"/>
  <c r="EL56" i="1"/>
  <c r="EJ56" i="1"/>
  <c r="EH56" i="1"/>
  <c r="EF56" i="1"/>
  <c r="EC56" i="1"/>
  <c r="EA56" i="1"/>
  <c r="DZ56" i="1"/>
  <c r="DX56" i="1"/>
  <c r="DW56" i="1"/>
  <c r="DV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K56" i="1"/>
  <c r="CJ56" i="1"/>
  <c r="CI56" i="1"/>
  <c r="CF56" i="1"/>
  <c r="CD56" i="1"/>
  <c r="CC56" i="1"/>
  <c r="CA56" i="1"/>
  <c r="BZ56" i="1"/>
  <c r="BW56" i="1"/>
  <c r="BU56" i="1"/>
  <c r="BT56" i="1"/>
  <c r="BO56" i="1"/>
  <c r="BO87" i="1" s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S87" i="1" s="1"/>
  <c r="AR56" i="1"/>
  <c r="AQ56" i="1"/>
  <c r="AN56" i="1"/>
  <c r="AM56" i="1"/>
  <c r="AL56" i="1"/>
  <c r="AK56" i="1"/>
  <c r="AJ56" i="1"/>
  <c r="AI56" i="1"/>
  <c r="AB56" i="1"/>
  <c r="Z56" i="1"/>
  <c r="X56" i="1"/>
  <c r="V56" i="1"/>
  <c r="U56" i="1"/>
  <c r="Q56" i="1"/>
  <c r="P56" i="1"/>
  <c r="O56" i="1"/>
  <c r="N56" i="1"/>
  <c r="M56" i="1"/>
  <c r="L56" i="1"/>
  <c r="K56" i="1"/>
  <c r="I56" i="1"/>
  <c r="H56" i="1"/>
  <c r="G56" i="1"/>
  <c r="G40" i="1" s="1"/>
  <c r="F56" i="1"/>
  <c r="E56" i="1"/>
  <c r="D56" i="1"/>
  <c r="C56" i="1"/>
  <c r="B56" i="1"/>
  <c r="FH55" i="1"/>
  <c r="FI55" i="1" s="1"/>
  <c r="EV55" i="1"/>
  <c r="EU55" i="1"/>
  <c r="ET55" i="1"/>
  <c r="ES55" i="1"/>
  <c r="ER55" i="1"/>
  <c r="EQ55" i="1"/>
  <c r="F31" i="3" s="1"/>
  <c r="EM55" i="1"/>
  <c r="EL55" i="1"/>
  <c r="EJ55" i="1"/>
  <c r="EH55" i="1"/>
  <c r="EF55" i="1"/>
  <c r="EC55" i="1"/>
  <c r="EA55" i="1"/>
  <c r="DZ55" i="1"/>
  <c r="DX55" i="1"/>
  <c r="DW55" i="1"/>
  <c r="DV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M55" i="1"/>
  <c r="CK55" i="1"/>
  <c r="CJ55" i="1"/>
  <c r="CF55" i="1"/>
  <c r="CD55" i="1"/>
  <c r="CC55" i="1"/>
  <c r="CA55" i="1"/>
  <c r="BZ55" i="1"/>
  <c r="BU55" i="1"/>
  <c r="BR55" i="1"/>
  <c r="BQ55" i="1"/>
  <c r="BN55" i="1"/>
  <c r="BM55" i="1"/>
  <c r="BL55" i="1"/>
  <c r="BK55" i="1"/>
  <c r="BJ55" i="1"/>
  <c r="BI55" i="1"/>
  <c r="BH55" i="1"/>
  <c r="BG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R55" i="1"/>
  <c r="AQ55" i="1"/>
  <c r="G31" i="3" s="1"/>
  <c r="AO55" i="1"/>
  <c r="AN55" i="1"/>
  <c r="AN92" i="1" s="1"/>
  <c r="AM55" i="1"/>
  <c r="AL55" i="1"/>
  <c r="AK55" i="1"/>
  <c r="AJ55" i="1"/>
  <c r="AI55" i="1"/>
  <c r="AA55" i="1"/>
  <c r="AA92" i="1" s="1"/>
  <c r="Z55" i="1"/>
  <c r="V55" i="1"/>
  <c r="S55" i="1"/>
  <c r="Q55" i="1"/>
  <c r="O55" i="1"/>
  <c r="N55" i="1"/>
  <c r="M55" i="1"/>
  <c r="C31" i="3" s="1"/>
  <c r="L55" i="1"/>
  <c r="D31" i="3" s="1"/>
  <c r="K55" i="1"/>
  <c r="I55" i="1"/>
  <c r="H55" i="1"/>
  <c r="G55" i="1"/>
  <c r="F55" i="1"/>
  <c r="E55" i="1"/>
  <c r="D55" i="1"/>
  <c r="C55" i="1"/>
  <c r="E31" i="3" s="1"/>
  <c r="B55" i="1"/>
  <c r="B31" i="3" s="1"/>
  <c r="FH54" i="1"/>
  <c r="FI54" i="1" s="1"/>
  <c r="EV54" i="1"/>
  <c r="EU54" i="1"/>
  <c r="ET54" i="1"/>
  <c r="ES54" i="1"/>
  <c r="ER54" i="1"/>
  <c r="EQ54" i="1"/>
  <c r="EM54" i="1"/>
  <c r="EL54" i="1"/>
  <c r="EJ54" i="1"/>
  <c r="EH54" i="1"/>
  <c r="EF54" i="1"/>
  <c r="EE54" i="1"/>
  <c r="ED54" i="1"/>
  <c r="EB54" i="1"/>
  <c r="EA54" i="1"/>
  <c r="DZ54" i="1"/>
  <c r="DY54" i="1"/>
  <c r="DX54" i="1"/>
  <c r="DW54" i="1"/>
  <c r="DV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K54" i="1"/>
  <c r="CJ54" i="1"/>
  <c r="CF54" i="1"/>
  <c r="CD54" i="1"/>
  <c r="CA54" i="1"/>
  <c r="BZ54" i="1"/>
  <c r="BM54" i="1"/>
  <c r="BL54" i="1"/>
  <c r="BK54" i="1"/>
  <c r="BJ54" i="1"/>
  <c r="BI54" i="1"/>
  <c r="BH54" i="1"/>
  <c r="BE54" i="1"/>
  <c r="BD54" i="1"/>
  <c r="BC54" i="1"/>
  <c r="AZ54" i="1"/>
  <c r="AW54" i="1"/>
  <c r="AR54" i="1"/>
  <c r="AQ54" i="1"/>
  <c r="AK54" i="1"/>
  <c r="AJ54" i="1"/>
  <c r="AI54" i="1"/>
  <c r="Q54" i="1"/>
  <c r="O54" i="1"/>
  <c r="N54" i="1"/>
  <c r="M54" i="1"/>
  <c r="C29" i="3" s="1"/>
  <c r="O29" i="3" s="1"/>
  <c r="L54" i="1"/>
  <c r="K54" i="1"/>
  <c r="CB75" i="1"/>
  <c r="BI97" i="1"/>
  <c r="D97" i="1"/>
  <c r="CG76" i="1"/>
  <c r="CH76" i="1" s="1"/>
  <c r="CA70" i="1"/>
  <c r="BZ70" i="1"/>
  <c r="EL97" i="1"/>
  <c r="BP73" i="1"/>
  <c r="J82" i="1"/>
  <c r="CU97" i="1"/>
  <c r="EF97" i="1"/>
  <c r="CB79" i="1"/>
  <c r="CB84" i="1"/>
  <c r="CF72" i="1"/>
  <c r="CD73" i="1"/>
  <c r="J77" i="1"/>
  <c r="CA78" i="1"/>
  <c r="BZ78" i="1"/>
  <c r="CG68" i="1"/>
  <c r="CH68" i="1" s="1"/>
  <c r="CD71" i="1"/>
  <c r="CA71" i="1"/>
  <c r="BZ71" i="1"/>
  <c r="AR100" i="1"/>
  <c r="CA76" i="1"/>
  <c r="BZ76" i="1"/>
  <c r="BW76" i="1"/>
  <c r="DZ97" i="1"/>
  <c r="BV81" i="1"/>
  <c r="CF66" i="1"/>
  <c r="L58" i="1"/>
  <c r="AI58" i="1"/>
  <c r="I37" i="3" s="1"/>
  <c r="B60" i="1"/>
  <c r="B45" i="3" s="1"/>
  <c r="B61" i="1"/>
  <c r="B46" i="3" s="1"/>
  <c r="L61" i="1"/>
  <c r="D46" i="3" s="1"/>
  <c r="AN62" i="1"/>
  <c r="AM62" i="1"/>
  <c r="AK62" i="1"/>
  <c r="AJ62" i="1"/>
  <c r="H47" i="3" s="1"/>
  <c r="K63" i="1"/>
  <c r="K14" i="1" s="1"/>
  <c r="AO14" i="3" s="1"/>
  <c r="B59" i="3"/>
  <c r="V90" i="1"/>
  <c r="AJ91" i="1"/>
  <c r="AP90" i="1"/>
  <c r="AW91" i="1"/>
  <c r="CA91" i="1"/>
  <c r="CA90" i="1"/>
  <c r="F60" i="3"/>
  <c r="F59" i="3" s="1"/>
  <c r="F14" i="3" s="1"/>
  <c r="AV61" i="3"/>
  <c r="L66" i="1"/>
  <c r="L68" i="1"/>
  <c r="D63" i="3" s="1"/>
  <c r="B65" i="3"/>
  <c r="B95" i="3" s="1"/>
  <c r="B96" i="1"/>
  <c r="H96" i="1"/>
  <c r="H95" i="1"/>
  <c r="K96" i="1"/>
  <c r="I65" i="3"/>
  <c r="AZ65" i="3" s="1"/>
  <c r="AI96" i="1"/>
  <c r="AQ96" i="1"/>
  <c r="AQ93" i="1"/>
  <c r="BE96" i="1"/>
  <c r="BE95" i="1"/>
  <c r="BE94" i="1"/>
  <c r="BI96" i="1"/>
  <c r="BI95" i="1"/>
  <c r="BI94" i="1"/>
  <c r="BK94" i="1"/>
  <c r="BM96" i="1"/>
  <c r="BM94" i="1"/>
  <c r="BQ95" i="1"/>
  <c r="BQ93" i="1"/>
  <c r="BT95" i="1"/>
  <c r="CD96" i="1"/>
  <c r="CD93" i="1"/>
  <c r="CJ93" i="1"/>
  <c r="CQ96" i="1"/>
  <c r="EA94" i="1"/>
  <c r="DA96" i="1"/>
  <c r="EV96" i="1"/>
  <c r="EV93" i="1"/>
  <c r="G66" i="3"/>
  <c r="G100" i="3" s="1"/>
  <c r="EM70" i="1"/>
  <c r="EM93" i="1" s="1"/>
  <c r="B72" i="1"/>
  <c r="E68" i="3"/>
  <c r="AY68" i="3" s="1"/>
  <c r="B73" i="3"/>
  <c r="AV73" i="3" s="1"/>
  <c r="AI97" i="1"/>
  <c r="L78" i="1"/>
  <c r="D74" i="3" s="1"/>
  <c r="AX74" i="3" s="1"/>
  <c r="C74" i="3"/>
  <c r="AW74" i="3" s="1"/>
  <c r="AI78" i="1"/>
  <c r="I74" i="3" s="1"/>
  <c r="AZ74" i="3" s="1"/>
  <c r="B79" i="1"/>
  <c r="B75" i="3" s="1"/>
  <c r="E75" i="3"/>
  <c r="AI79" i="1"/>
  <c r="I75" i="3" s="1"/>
  <c r="EM79" i="1"/>
  <c r="B80" i="1"/>
  <c r="B76" i="3" s="1"/>
  <c r="F119" i="1"/>
  <c r="F41" i="1" s="1"/>
  <c r="K119" i="1"/>
  <c r="AM107" i="1"/>
  <c r="BK119" i="1"/>
  <c r="AI82" i="1"/>
  <c r="D84" i="3"/>
  <c r="H84" i="3"/>
  <c r="L84" i="1"/>
  <c r="D85" i="3" s="1"/>
  <c r="AI84" i="1"/>
  <c r="I85" i="3" s="1"/>
  <c r="BP64" i="1"/>
  <c r="BP15" i="1" s="1"/>
  <c r="J69" i="1"/>
  <c r="J96" i="1" s="1"/>
  <c r="BP76" i="1"/>
  <c r="BT119" i="1"/>
  <c r="BS119" i="1"/>
  <c r="BR119" i="1"/>
  <c r="H105" i="1"/>
  <c r="BI105" i="1"/>
  <c r="DX105" i="1"/>
  <c r="EM58" i="1"/>
  <c r="F37" i="3"/>
  <c r="B59" i="1"/>
  <c r="B38" i="3" s="1"/>
  <c r="L59" i="1"/>
  <c r="C38" i="3"/>
  <c r="AI59" i="1"/>
  <c r="I38" i="3" s="1"/>
  <c r="L60" i="1"/>
  <c r="D45" i="3" s="1"/>
  <c r="G48" i="3"/>
  <c r="L90" i="1"/>
  <c r="L128" i="1" s="1"/>
  <c r="AA90" i="1"/>
  <c r="AK90" i="1"/>
  <c r="AO91" i="1"/>
  <c r="AO90" i="1"/>
  <c r="AQ90" i="1"/>
  <c r="BB90" i="1"/>
  <c r="BE91" i="1"/>
  <c r="BM91" i="1"/>
  <c r="BQ91" i="1"/>
  <c r="BZ91" i="1"/>
  <c r="CD91" i="1"/>
  <c r="CD90" i="1"/>
  <c r="ET91" i="1"/>
  <c r="G95" i="1"/>
  <c r="I94" i="1"/>
  <c r="I93" i="1"/>
  <c r="K94" i="1"/>
  <c r="C65" i="3"/>
  <c r="R95" i="1"/>
  <c r="V95" i="1"/>
  <c r="Z93" i="1"/>
  <c r="H65" i="3"/>
  <c r="AJ96" i="1"/>
  <c r="AL93" i="1"/>
  <c r="AN95" i="1"/>
  <c r="AR96" i="1"/>
  <c r="AR95" i="1"/>
  <c r="AR94" i="1"/>
  <c r="AZ94" i="1"/>
  <c r="AZ95" i="1"/>
  <c r="BH96" i="1"/>
  <c r="BH95" i="1"/>
  <c r="BJ94" i="1"/>
  <c r="BJ96" i="1"/>
  <c r="BN95" i="1"/>
  <c r="BR95" i="1"/>
  <c r="BW93" i="1"/>
  <c r="CA95" i="1"/>
  <c r="CA94" i="1"/>
  <c r="CK93" i="1"/>
  <c r="CQ95" i="1"/>
  <c r="CS95" i="1"/>
  <c r="CS94" i="1"/>
  <c r="CS96" i="1"/>
  <c r="CS93" i="1"/>
  <c r="CU95" i="1"/>
  <c r="CY94" i="1"/>
  <c r="CY96" i="1"/>
  <c r="DA95" i="1"/>
  <c r="DA94" i="1"/>
  <c r="DW94" i="1"/>
  <c r="EC95" i="1"/>
  <c r="EC94" i="1"/>
  <c r="EC93" i="1"/>
  <c r="EH94" i="1"/>
  <c r="EH93" i="1"/>
  <c r="EH95" i="1"/>
  <c r="EL95" i="1"/>
  <c r="EQ94" i="1"/>
  <c r="ES95" i="1"/>
  <c r="ES94" i="1"/>
  <c r="EU95" i="1"/>
  <c r="EU96" i="1"/>
  <c r="L72" i="1"/>
  <c r="D68" i="3" s="1"/>
  <c r="AX68" i="3" s="1"/>
  <c r="C68" i="3"/>
  <c r="AW68" i="3" s="1"/>
  <c r="AI72" i="1"/>
  <c r="I68" i="3" s="1"/>
  <c r="AZ68" i="3" s="1"/>
  <c r="H68" i="3"/>
  <c r="C73" i="3"/>
  <c r="AW73" i="3" s="1"/>
  <c r="F73" i="3"/>
  <c r="B74" i="3"/>
  <c r="G74" i="3"/>
  <c r="L79" i="1"/>
  <c r="D75" i="3" s="1"/>
  <c r="C75" i="3"/>
  <c r="L80" i="1"/>
  <c r="D76" i="3" s="1"/>
  <c r="AI80" i="1"/>
  <c r="B78" i="3"/>
  <c r="B119" i="1"/>
  <c r="D107" i="1"/>
  <c r="M119" i="1"/>
  <c r="M41" i="1" s="1"/>
  <c r="G78" i="3"/>
  <c r="AP119" i="1"/>
  <c r="AO119" i="1"/>
  <c r="AN119" i="1"/>
  <c r="AQ107" i="1"/>
  <c r="AU119" i="1"/>
  <c r="BD119" i="1"/>
  <c r="BC119" i="1"/>
  <c r="BB119" i="1"/>
  <c r="BB41" i="1" s="1"/>
  <c r="BH119" i="1"/>
  <c r="BG119" i="1"/>
  <c r="BJ119" i="1"/>
  <c r="CS119" i="1"/>
  <c r="CS107" i="1"/>
  <c r="CU119" i="1"/>
  <c r="CU41" i="1" s="1"/>
  <c r="FH119" i="1"/>
  <c r="EW119" i="1"/>
  <c r="EV119" i="1"/>
  <c r="L82" i="1"/>
  <c r="D79" i="3" s="1"/>
  <c r="E84" i="3"/>
  <c r="I84" i="3"/>
  <c r="AI105" i="1"/>
  <c r="BV83" i="1"/>
  <c r="BT97" i="1"/>
  <c r="AP84" i="1"/>
  <c r="G85" i="3"/>
  <c r="CS87" i="1"/>
  <c r="FI58" i="1"/>
  <c r="CD62" i="1"/>
  <c r="CA62" i="1"/>
  <c r="BZ62" i="1"/>
  <c r="CB63" i="1"/>
  <c r="CB14" i="1" s="1"/>
  <c r="CA63" i="1"/>
  <c r="CA14" i="1" s="1"/>
  <c r="BZ63" i="1"/>
  <c r="BZ14" i="1" s="1"/>
  <c r="BH100" i="1"/>
  <c r="J65" i="1"/>
  <c r="CB65" i="1"/>
  <c r="CD67" i="1"/>
  <c r="CA67" i="1"/>
  <c r="BZ67" i="1"/>
  <c r="BW67" i="1"/>
  <c r="T69" i="1"/>
  <c r="CA73" i="1"/>
  <c r="BZ73" i="1"/>
  <c r="BW73" i="1"/>
  <c r="CA74" i="1"/>
  <c r="BZ74" i="1"/>
  <c r="FI74" i="1"/>
  <c r="J75" i="1"/>
  <c r="CD76" i="1"/>
  <c r="FI76" i="1"/>
  <c r="H97" i="1"/>
  <c r="T77" i="1"/>
  <c r="AR97" i="1"/>
  <c r="CG77" i="1"/>
  <c r="CH77" i="1" s="1"/>
  <c r="T79" i="1"/>
  <c r="Q119" i="1"/>
  <c r="V119" i="1"/>
  <c r="V40" i="1" s="1"/>
  <c r="CZ119" i="1"/>
  <c r="ED119" i="1"/>
  <c r="ED40" i="1" s="1"/>
  <c r="ET119" i="1"/>
  <c r="E105" i="1"/>
  <c r="I105" i="1"/>
  <c r="AQ105" i="1"/>
  <c r="AM105" i="1"/>
  <c r="AW105" i="1"/>
  <c r="BH105" i="1"/>
  <c r="BJ105" i="1"/>
  <c r="BL105" i="1"/>
  <c r="CI105" i="1"/>
  <c r="CM105" i="1"/>
  <c r="CQ105" i="1"/>
  <c r="DZ105" i="1"/>
  <c r="EC105" i="1"/>
  <c r="EH105" i="1"/>
  <c r="ES105" i="1"/>
  <c r="EU105" i="1"/>
  <c r="FI83" i="1"/>
  <c r="O119" i="1"/>
  <c r="I54" i="1"/>
  <c r="H54" i="1"/>
  <c r="G54" i="1"/>
  <c r="F54" i="1"/>
  <c r="E54" i="1"/>
  <c r="D54" i="1"/>
  <c r="C54" i="1"/>
  <c r="E29" i="3" s="1"/>
  <c r="D29" i="3"/>
  <c r="B54" i="1"/>
  <c r="B29" i="3" s="1"/>
  <c r="T53" i="1"/>
  <c r="T52" i="1"/>
  <c r="T51" i="1"/>
  <c r="EW50" i="1"/>
  <c r="CC119" i="1"/>
  <c r="CH72" i="1"/>
  <c r="K82" i="1"/>
  <c r="AO79" i="3" s="1"/>
  <c r="B103" i="3"/>
  <c r="H46" i="3"/>
  <c r="Q93" i="1"/>
  <c r="K60" i="1"/>
  <c r="K59" i="1"/>
  <c r="K107" i="1" s="1"/>
  <c r="K84" i="1"/>
  <c r="J84" i="1"/>
  <c r="G84" i="3"/>
  <c r="K78" i="1"/>
  <c r="K68" i="1"/>
  <c r="K66" i="1"/>
  <c r="D61" i="3"/>
  <c r="AX61" i="3" s="1"/>
  <c r="F47" i="3"/>
  <c r="CM97" i="1"/>
  <c r="CD100" i="1"/>
  <c r="I76" i="3"/>
  <c r="K80" i="1"/>
  <c r="D90" i="3"/>
  <c r="K79" i="1"/>
  <c r="AV63" i="3"/>
  <c r="G59" i="3"/>
  <c r="G14" i="3" s="1"/>
  <c r="AX60" i="3"/>
  <c r="I96" i="1"/>
  <c r="I79" i="3"/>
  <c r="B68" i="3"/>
  <c r="AZ63" i="3"/>
  <c r="AW63" i="3"/>
  <c r="AI62" i="1"/>
  <c r="I47" i="3" s="1"/>
  <c r="K61" i="1"/>
  <c r="K58" i="1"/>
  <c r="D37" i="3"/>
  <c r="EG50" i="1"/>
  <c r="BS50" i="1"/>
  <c r="P50" i="1"/>
  <c r="EW49" i="1"/>
  <c r="EG49" i="1"/>
  <c r="BS49" i="1"/>
  <c r="P49" i="1"/>
  <c r="EW48" i="1"/>
  <c r="EG48" i="1"/>
  <c r="BS48" i="1"/>
  <c r="P48" i="1"/>
  <c r="T47" i="1"/>
  <c r="EG45" i="1"/>
  <c r="T45" i="1"/>
  <c r="EW44" i="1"/>
  <c r="BY44" i="1"/>
  <c r="BX44" i="1"/>
  <c r="BS44" i="1"/>
  <c r="AH44" i="1"/>
  <c r="AG44" i="1"/>
  <c r="AF44" i="1"/>
  <c r="AD44" i="1"/>
  <c r="P44" i="1"/>
  <c r="T43" i="1"/>
  <c r="EB41" i="1"/>
  <c r="DA41" i="1"/>
  <c r="P41" i="1"/>
  <c r="EB40" i="1"/>
  <c r="DY40" i="1"/>
  <c r="CP40" i="1"/>
  <c r="T39" i="1"/>
  <c r="T38" i="1"/>
  <c r="AO38" i="3"/>
  <c r="T34" i="1"/>
  <c r="T33" i="1"/>
  <c r="T32" i="1"/>
  <c r="T31" i="1"/>
  <c r="T29" i="1"/>
  <c r="DU28" i="1"/>
  <c r="DS28" i="1"/>
  <c r="DR28" i="1"/>
  <c r="DQ28" i="1"/>
  <c r="DP28" i="1"/>
  <c r="DN28" i="1"/>
  <c r="DM28" i="1"/>
  <c r="DU27" i="1"/>
  <c r="DS27" i="1"/>
  <c r="DR27" i="1"/>
  <c r="DQ27" i="1"/>
  <c r="DN27" i="1"/>
  <c r="DM27" i="1"/>
  <c r="DU26" i="1"/>
  <c r="DT26" i="1"/>
  <c r="DS26" i="1"/>
  <c r="DR26" i="1"/>
  <c r="DQ26" i="1"/>
  <c r="DP26" i="1"/>
  <c r="DO26" i="1"/>
  <c r="DN26" i="1"/>
  <c r="DM26" i="1"/>
  <c r="T25" i="1"/>
  <c r="T24" i="1"/>
  <c r="EW23" i="1"/>
  <c r="EG23" i="1"/>
  <c r="BS23" i="1"/>
  <c r="P23" i="1"/>
  <c r="T22" i="1"/>
  <c r="EW21" i="1"/>
  <c r="DU21" i="1"/>
  <c r="DT21" i="1"/>
  <c r="DS21" i="1"/>
  <c r="DR21" i="1"/>
  <c r="DQ21" i="1"/>
  <c r="DP21" i="1"/>
  <c r="DO21" i="1"/>
  <c r="DN21" i="1"/>
  <c r="DM21" i="1"/>
  <c r="BS21" i="1"/>
  <c r="P21" i="1"/>
  <c r="EW20" i="1"/>
  <c r="EG20" i="1"/>
  <c r="DU20" i="1"/>
  <c r="DT20" i="1"/>
  <c r="DS20" i="1"/>
  <c r="DR20" i="1"/>
  <c r="DQ20" i="1"/>
  <c r="DP20" i="1"/>
  <c r="DO20" i="1"/>
  <c r="DN20" i="1"/>
  <c r="DM20" i="1"/>
  <c r="BS20" i="1"/>
  <c r="P20" i="1"/>
  <c r="EW19" i="1"/>
  <c r="EG19" i="1"/>
  <c r="DU19" i="1"/>
  <c r="DT19" i="1"/>
  <c r="DS19" i="1"/>
  <c r="DR19" i="1"/>
  <c r="DQ19" i="1"/>
  <c r="DP19" i="1"/>
  <c r="DO19" i="1"/>
  <c r="DN19" i="1"/>
  <c r="DM19" i="1"/>
  <c r="BS19" i="1"/>
  <c r="P19" i="1"/>
  <c r="T18" i="1"/>
  <c r="CI16" i="1"/>
  <c r="BU16" i="1"/>
  <c r="BT16" i="1"/>
  <c r="BR16" i="1"/>
  <c r="BQ16" i="1"/>
  <c r="BO16" i="1"/>
  <c r="BN16" i="1"/>
  <c r="BG16" i="1"/>
  <c r="AX16" i="1"/>
  <c r="AV16" i="1"/>
  <c r="AT16" i="1"/>
  <c r="AS16" i="1"/>
  <c r="W16" i="1"/>
  <c r="V16" i="1"/>
  <c r="T16" i="1"/>
  <c r="FH15" i="1"/>
  <c r="EW15" i="1"/>
  <c r="EV15" i="1"/>
  <c r="EU15" i="1"/>
  <c r="ES15" i="1"/>
  <c r="EM15" i="1"/>
  <c r="EL15" i="1"/>
  <c r="EJ15" i="1"/>
  <c r="EI15" i="1"/>
  <c r="EG15" i="1"/>
  <c r="EE15" i="1"/>
  <c r="ED15" i="1"/>
  <c r="EC15" i="1"/>
  <c r="EB15" i="1"/>
  <c r="EA15" i="1"/>
  <c r="DY15" i="1"/>
  <c r="DX15" i="1"/>
  <c r="DA15" i="1"/>
  <c r="CZ15" i="1"/>
  <c r="CY15" i="1"/>
  <c r="CX15" i="1"/>
  <c r="CV15" i="1"/>
  <c r="CU15" i="1"/>
  <c r="CS15" i="1"/>
  <c r="CQ15" i="1"/>
  <c r="CP15" i="1"/>
  <c r="CM15" i="1"/>
  <c r="CK15" i="1"/>
  <c r="CF15" i="1"/>
  <c r="CD15" i="1"/>
  <c r="CC15" i="1"/>
  <c r="CA15" i="1"/>
  <c r="BW15" i="1"/>
  <c r="BU15" i="1"/>
  <c r="BS15" i="1"/>
  <c r="BR15" i="1"/>
  <c r="BQ15" i="1"/>
  <c r="BO15" i="1"/>
  <c r="BN15" i="1"/>
  <c r="BM15" i="1"/>
  <c r="BK15" i="1"/>
  <c r="BJ15" i="1"/>
  <c r="BI15" i="1"/>
  <c r="BH15" i="1"/>
  <c r="BG15" i="1"/>
  <c r="BF15" i="1"/>
  <c r="BE15" i="1"/>
  <c r="BC15" i="1"/>
  <c r="BB15" i="1"/>
  <c r="BA15" i="1"/>
  <c r="AZ15" i="1"/>
  <c r="AY15" i="1"/>
  <c r="AX15" i="1"/>
  <c r="AW15" i="1"/>
  <c r="AU15" i="1"/>
  <c r="AT15" i="1"/>
  <c r="AS15" i="1"/>
  <c r="AR15" i="1"/>
  <c r="AM15" i="1"/>
  <c r="AJ15" i="1"/>
  <c r="AI15" i="1"/>
  <c r="AC15" i="1"/>
  <c r="AA15" i="1"/>
  <c r="V15" i="1"/>
  <c r="S15" i="1"/>
  <c r="Q15" i="1"/>
  <c r="P15" i="1"/>
  <c r="O15" i="1"/>
  <c r="N15" i="1"/>
  <c r="M15" i="1"/>
  <c r="C14" i="3" s="1"/>
  <c r="K15" i="1"/>
  <c r="G15" i="1"/>
  <c r="F15" i="1"/>
  <c r="D15" i="1"/>
  <c r="B15" i="1"/>
  <c r="B14" i="3" s="1"/>
  <c r="EW14" i="1"/>
  <c r="ET14" i="1"/>
  <c r="ER14" i="1"/>
  <c r="EI14" i="1"/>
  <c r="EH14" i="1"/>
  <c r="EG14" i="1"/>
  <c r="EF14" i="1"/>
  <c r="EE14" i="1"/>
  <c r="ED14" i="1"/>
  <c r="EC14" i="1"/>
  <c r="EB14" i="1"/>
  <c r="EA14" i="1"/>
  <c r="DZ14" i="1"/>
  <c r="DY14" i="1"/>
  <c r="DW14" i="1"/>
  <c r="CZ14" i="1"/>
  <c r="CY14" i="1"/>
  <c r="CX14" i="1"/>
  <c r="CW14" i="1"/>
  <c r="CU14" i="1"/>
  <c r="CR14" i="1"/>
  <c r="CQ14" i="1"/>
  <c r="CO14" i="1"/>
  <c r="CM14" i="1"/>
  <c r="CI14" i="1"/>
  <c r="CF14" i="1"/>
  <c r="CD14" i="1"/>
  <c r="CC14" i="1"/>
  <c r="BS14" i="1"/>
  <c r="BS17" i="1" s="1"/>
  <c r="AI14" i="1"/>
  <c r="AC14" i="1"/>
  <c r="AA14" i="1"/>
  <c r="Z14" i="1"/>
  <c r="X14" i="1"/>
  <c r="S14" i="1"/>
  <c r="P14" i="1"/>
  <c r="M14" i="1"/>
  <c r="C13" i="3" s="1"/>
  <c r="C14" i="1"/>
  <c r="FH13" i="1"/>
  <c r="FI13" i="1" s="1"/>
  <c r="EV13" i="1"/>
  <c r="EU13" i="1"/>
  <c r="ET13" i="1"/>
  <c r="ES13" i="1"/>
  <c r="ER13" i="1"/>
  <c r="EQ13" i="1"/>
  <c r="EM13" i="1"/>
  <c r="EL13" i="1"/>
  <c r="EE13" i="1"/>
  <c r="ED13" i="1"/>
  <c r="EB13" i="1"/>
  <c r="DY13" i="1"/>
  <c r="DX13" i="1"/>
  <c r="DW13" i="1"/>
  <c r="DV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M13" i="1"/>
  <c r="CK13" i="1"/>
  <c r="CJ13" i="1"/>
  <c r="CI13" i="1"/>
  <c r="CF13" i="1"/>
  <c r="CD13" i="1"/>
  <c r="BW13" i="1"/>
  <c r="CA13" i="1"/>
  <c r="BZ13" i="1"/>
  <c r="EV14" i="1"/>
  <c r="EU14" i="1"/>
  <c r="BO14" i="1"/>
  <c r="BN14" i="1"/>
  <c r="BM14" i="1"/>
  <c r="BL14" i="1"/>
  <c r="BH14" i="1"/>
  <c r="BG14" i="1"/>
  <c r="BE14" i="1"/>
  <c r="BD14" i="1"/>
  <c r="AZ14" i="1"/>
  <c r="AY14" i="1"/>
  <c r="AW14" i="1"/>
  <c r="AV14" i="1"/>
  <c r="AU14" i="1"/>
  <c r="AR14" i="1"/>
  <c r="AQ14" i="1"/>
  <c r="G13" i="3" s="1"/>
  <c r="O14" i="1"/>
  <c r="N14" i="1"/>
  <c r="AP14" i="1"/>
  <c r="AO14" i="1"/>
  <c r="AE14" i="1"/>
  <c r="EM14" i="1"/>
  <c r="BU13" i="1"/>
  <c r="BT13" i="1"/>
  <c r="BR13" i="1"/>
  <c r="BQ13" i="1"/>
  <c r="BO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R13" i="1"/>
  <c r="AQ13" i="1"/>
  <c r="AP13" i="1"/>
  <c r="AO13" i="1"/>
  <c r="AN13" i="1"/>
  <c r="AM13" i="1"/>
  <c r="AK13" i="1"/>
  <c r="AJ13" i="1"/>
  <c r="AI13" i="1"/>
  <c r="AA13" i="1"/>
  <c r="Z13" i="1"/>
  <c r="X13" i="1"/>
  <c r="W13" i="1"/>
  <c r="V13" i="1"/>
  <c r="U13" i="1"/>
  <c r="S13" i="1"/>
  <c r="R13" i="1"/>
  <c r="T13" i="1" s="1"/>
  <c r="Q13" i="1"/>
  <c r="O13" i="1"/>
  <c r="N13" i="1"/>
  <c r="M13" i="1"/>
  <c r="I13" i="1"/>
  <c r="H13" i="1"/>
  <c r="G13" i="1"/>
  <c r="F13" i="1"/>
  <c r="E13" i="1"/>
  <c r="D13" i="1"/>
  <c r="AN13" i="3" s="1"/>
  <c r="C13" i="1"/>
  <c r="E12" i="3" s="1"/>
  <c r="E87" i="3" s="1"/>
  <c r="B13" i="1"/>
  <c r="B12" i="3" s="1"/>
  <c r="B87" i="3" s="1"/>
  <c r="FH12" i="1"/>
  <c r="FI12" i="1" s="1"/>
  <c r="EV12" i="1"/>
  <c r="EU12" i="1"/>
  <c r="ET12" i="1"/>
  <c r="ES12" i="1"/>
  <c r="ER12" i="1"/>
  <c r="EQ12" i="1"/>
  <c r="F129" i="3" s="1"/>
  <c r="EM12" i="1"/>
  <c r="EL12" i="1"/>
  <c r="EJ12" i="1"/>
  <c r="EI12" i="1"/>
  <c r="EH12" i="1"/>
  <c r="EF12" i="1"/>
  <c r="EE12" i="1"/>
  <c r="ED12" i="1"/>
  <c r="EC12" i="1"/>
  <c r="EB12" i="1"/>
  <c r="EA12" i="1"/>
  <c r="DZ12" i="1"/>
  <c r="DY12" i="1"/>
  <c r="DX12" i="1"/>
  <c r="DW12" i="1"/>
  <c r="DV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O54" i="1" s="1"/>
  <c r="CM12" i="1"/>
  <c r="CK12" i="1"/>
  <c r="CJ12" i="1"/>
  <c r="CI12" i="1"/>
  <c r="CI54" i="1" s="1"/>
  <c r="CF12" i="1"/>
  <c r="CD12" i="1"/>
  <c r="CC12" i="1"/>
  <c r="CC54" i="1" s="1"/>
  <c r="BW12" i="1"/>
  <c r="BW54" i="1" s="1"/>
  <c r="BU12" i="1"/>
  <c r="BU54" i="1" s="1"/>
  <c r="BT12" i="1"/>
  <c r="BT54" i="1" s="1"/>
  <c r="BR12" i="1"/>
  <c r="BQ12" i="1"/>
  <c r="BQ54" i="1" s="1"/>
  <c r="BO12" i="1"/>
  <c r="BO54" i="1" s="1"/>
  <c r="BN12" i="1"/>
  <c r="BG12" i="1"/>
  <c r="BG54" i="1" s="1"/>
  <c r="BF12" i="1"/>
  <c r="BF54" i="1" s="1"/>
  <c r="BB12" i="1"/>
  <c r="BB54" i="1" s="1"/>
  <c r="AY12" i="1"/>
  <c r="AY54" i="1" s="1"/>
  <c r="AX12" i="1"/>
  <c r="AV12" i="1"/>
  <c r="AV54" i="1" s="1"/>
  <c r="AU54" i="1"/>
  <c r="AU12" i="1"/>
  <c r="AT12" i="1"/>
  <c r="AT54" i="1" s="1"/>
  <c r="AS12" i="1"/>
  <c r="AS54" i="1" s="1"/>
  <c r="AR12" i="1"/>
  <c r="AQ12" i="1"/>
  <c r="G129" i="3" s="1"/>
  <c r="AP12" i="1"/>
  <c r="AP54" i="1" s="1"/>
  <c r="AO12" i="1"/>
  <c r="AO54" i="1" s="1"/>
  <c r="AN12" i="1"/>
  <c r="AN54" i="1" s="1"/>
  <c r="AM12" i="1"/>
  <c r="AL12" i="1"/>
  <c r="AK12" i="1"/>
  <c r="AJ12" i="1"/>
  <c r="H129" i="3" s="1"/>
  <c r="AI12" i="1"/>
  <c r="I129" i="3" s="1"/>
  <c r="X12" i="1"/>
  <c r="V12" i="1"/>
  <c r="V54" i="1" s="1"/>
  <c r="R12" i="1"/>
  <c r="Q12" i="1"/>
  <c r="O12" i="1"/>
  <c r="N12" i="1"/>
  <c r="M12" i="1"/>
  <c r="I12" i="1"/>
  <c r="H12" i="1"/>
  <c r="G12" i="1"/>
  <c r="F12" i="1"/>
  <c r="E12" i="1"/>
  <c r="D12" i="1"/>
  <c r="AN11" i="3" s="1"/>
  <c r="C12" i="1"/>
  <c r="E11" i="3" s="1"/>
  <c r="E98" i="3" s="1"/>
  <c r="B12" i="1"/>
  <c r="B11" i="3" s="1"/>
  <c r="FH11" i="1"/>
  <c r="EV11" i="1"/>
  <c r="EV98" i="1" s="1"/>
  <c r="EU11" i="1"/>
  <c r="EU98" i="1" s="1"/>
  <c r="ET11" i="1"/>
  <c r="ES11" i="1"/>
  <c r="ES48" i="1" s="1"/>
  <c r="ER11" i="1"/>
  <c r="ER48" i="1" s="1"/>
  <c r="EQ11" i="1"/>
  <c r="F10" i="3" s="1"/>
  <c r="F22" i="3" s="1"/>
  <c r="EM11" i="1"/>
  <c r="EL11" i="1"/>
  <c r="EJ11" i="1"/>
  <c r="EI11" i="1"/>
  <c r="EH11" i="1"/>
  <c r="EH98" i="1" s="1"/>
  <c r="EF11" i="1"/>
  <c r="EF48" i="1" s="1"/>
  <c r="EE11" i="1"/>
  <c r="EE98" i="1" s="1"/>
  <c r="ED11" i="1"/>
  <c r="EC11" i="1"/>
  <c r="EC48" i="1" s="1"/>
  <c r="EB11" i="1"/>
  <c r="EA11" i="1"/>
  <c r="DZ11" i="1"/>
  <c r="DY11" i="1"/>
  <c r="DY98" i="1" s="1"/>
  <c r="DX11" i="1"/>
  <c r="DX48" i="1" s="1"/>
  <c r="DW11" i="1"/>
  <c r="DW98" i="1" s="1"/>
  <c r="DV11" i="1"/>
  <c r="DA11" i="1"/>
  <c r="DA98" i="1" s="1"/>
  <c r="CZ11" i="1"/>
  <c r="CZ48" i="1" s="1"/>
  <c r="CY11" i="1"/>
  <c r="CY98" i="1" s="1"/>
  <c r="CX11" i="1"/>
  <c r="CX98" i="1"/>
  <c r="CW11" i="1"/>
  <c r="CV11" i="1"/>
  <c r="CV48" i="1" s="1"/>
  <c r="CU11" i="1"/>
  <c r="CT11" i="1"/>
  <c r="CS11" i="1"/>
  <c r="CS48" i="1" s="1"/>
  <c r="CR11" i="1"/>
  <c r="CR48" i="1" s="1"/>
  <c r="CQ11" i="1"/>
  <c r="CP11" i="1"/>
  <c r="CP48" i="1" s="1"/>
  <c r="CO11" i="1"/>
  <c r="CO48" i="1" s="1"/>
  <c r="CM11" i="1"/>
  <c r="CM48" i="1" s="1"/>
  <c r="CL11" i="1"/>
  <c r="CK11" i="1"/>
  <c r="CJ11" i="1"/>
  <c r="CJ98" i="1" s="1"/>
  <c r="CI11" i="1"/>
  <c r="CI48" i="1" s="1"/>
  <c r="CF11" i="1"/>
  <c r="CF48" i="1" s="1"/>
  <c r="CF98" i="1"/>
  <c r="CD11" i="1"/>
  <c r="CD98" i="1" s="1"/>
  <c r="CC11" i="1"/>
  <c r="CC48" i="1" s="1"/>
  <c r="CA11" i="1"/>
  <c r="BZ11" i="1"/>
  <c r="BW11" i="1"/>
  <c r="BU11" i="1"/>
  <c r="BU48" i="1" s="1"/>
  <c r="BT11" i="1"/>
  <c r="BR11" i="1"/>
  <c r="BQ11" i="1"/>
  <c r="BQ48" i="1" s="1"/>
  <c r="BO11" i="1"/>
  <c r="BO48" i="1" s="1"/>
  <c r="BN11" i="1"/>
  <c r="BM11" i="1"/>
  <c r="BM98" i="1" s="1"/>
  <c r="BL11" i="1"/>
  <c r="BK11" i="1"/>
  <c r="BK98" i="1" s="1"/>
  <c r="BJ11" i="1"/>
  <c r="BI11" i="1"/>
  <c r="BI48" i="1" s="1"/>
  <c r="BH11" i="1"/>
  <c r="BH98" i="1" s="1"/>
  <c r="BG11" i="1"/>
  <c r="BG48" i="1" s="1"/>
  <c r="BF11" i="1"/>
  <c r="BF48" i="1" s="1"/>
  <c r="BE11" i="1"/>
  <c r="BD11" i="1"/>
  <c r="BD98" i="1" s="1"/>
  <c r="BC11" i="1"/>
  <c r="BC98" i="1" s="1"/>
  <c r="BB11" i="1"/>
  <c r="BB48" i="1" s="1"/>
  <c r="BA11" i="1"/>
  <c r="BA48" i="1" s="1"/>
  <c r="AZ11" i="1"/>
  <c r="AZ98" i="1" s="1"/>
  <c r="AY11" i="1"/>
  <c r="AY48" i="1" s="1"/>
  <c r="AX11" i="1"/>
  <c r="AX48" i="1" s="1"/>
  <c r="AW11" i="1"/>
  <c r="AV11" i="1"/>
  <c r="AV48" i="1" s="1"/>
  <c r="AU11" i="1"/>
  <c r="AU48" i="1" s="1"/>
  <c r="AT11" i="1"/>
  <c r="AS11" i="1"/>
  <c r="AS48" i="1" s="1"/>
  <c r="AR11" i="1"/>
  <c r="AQ11" i="1"/>
  <c r="AP11" i="1"/>
  <c r="AO11" i="1"/>
  <c r="AN11" i="1"/>
  <c r="AM11" i="1"/>
  <c r="AM48" i="1" s="1"/>
  <c r="AL11" i="1"/>
  <c r="AK11" i="1"/>
  <c r="AK98" i="1" s="1"/>
  <c r="AJ11" i="1"/>
  <c r="AI11" i="1"/>
  <c r="V11" i="1"/>
  <c r="R11" i="1"/>
  <c r="R48" i="1" s="1"/>
  <c r="Q11" i="1"/>
  <c r="Q48" i="1" s="1"/>
  <c r="O11" i="1"/>
  <c r="O98" i="1" s="1"/>
  <c r="N11" i="1"/>
  <c r="N98" i="1" s="1"/>
  <c r="M11" i="1"/>
  <c r="L11" i="1"/>
  <c r="L98" i="1" s="1"/>
  <c r="K11" i="1"/>
  <c r="K48" i="1" s="1"/>
  <c r="I11" i="1"/>
  <c r="H11" i="1"/>
  <c r="J11" i="1" s="1"/>
  <c r="J48" i="1" s="1"/>
  <c r="G11" i="1"/>
  <c r="F11" i="1"/>
  <c r="F48" i="1" s="1"/>
  <c r="E11" i="1"/>
  <c r="E48" i="1" s="1"/>
  <c r="D11" i="1"/>
  <c r="C11" i="1"/>
  <c r="C48" i="1" s="1"/>
  <c r="B11" i="1"/>
  <c r="FH10" i="1"/>
  <c r="EV10" i="1"/>
  <c r="EU10" i="1"/>
  <c r="ET10" i="1"/>
  <c r="ET49" i="1" s="1"/>
  <c r="ES10" i="1"/>
  <c r="ES49" i="1" s="1"/>
  <c r="ER10" i="1"/>
  <c r="EQ10" i="1"/>
  <c r="EQ49" i="1" s="1"/>
  <c r="EM10" i="1"/>
  <c r="EM49" i="1" s="1"/>
  <c r="EL10" i="1"/>
  <c r="EJ10" i="1"/>
  <c r="EI10" i="1"/>
  <c r="EH10" i="1"/>
  <c r="EF10" i="1"/>
  <c r="EF49" i="1" s="1"/>
  <c r="EE10" i="1"/>
  <c r="ED10" i="1"/>
  <c r="EC10" i="1"/>
  <c r="EB10" i="1"/>
  <c r="EA10" i="1"/>
  <c r="EA49" i="1" s="1"/>
  <c r="DZ10" i="1"/>
  <c r="DY10" i="1"/>
  <c r="DX10" i="1"/>
  <c r="DX49" i="1" s="1"/>
  <c r="DW10" i="1"/>
  <c r="DW49" i="1" s="1"/>
  <c r="DV10" i="1"/>
  <c r="DA10" i="1"/>
  <c r="CZ10" i="1"/>
  <c r="CY10" i="1"/>
  <c r="CX10" i="1"/>
  <c r="CW10" i="1"/>
  <c r="CW49" i="1" s="1"/>
  <c r="CV10" i="1"/>
  <c r="CU10" i="1"/>
  <c r="CT10" i="1"/>
  <c r="CS10" i="1"/>
  <c r="CR10" i="1"/>
  <c r="CQ10" i="1"/>
  <c r="CQ49" i="1" s="1"/>
  <c r="CP10" i="1"/>
  <c r="CO10" i="1"/>
  <c r="CO49" i="1" s="1"/>
  <c r="CM10" i="1"/>
  <c r="CM49" i="1" s="1"/>
  <c r="CK10" i="1"/>
  <c r="CJ10" i="1"/>
  <c r="CI10" i="1"/>
  <c r="CF10" i="1"/>
  <c r="CD10" i="1"/>
  <c r="CC10" i="1"/>
  <c r="CC49" i="1" s="1"/>
  <c r="CA10" i="1"/>
  <c r="BZ10" i="1"/>
  <c r="BW10" i="1"/>
  <c r="BW49" i="1" s="1"/>
  <c r="BU10" i="1"/>
  <c r="BU49" i="1" s="1"/>
  <c r="BT10" i="1"/>
  <c r="BT49" i="1" s="1"/>
  <c r="BQ10" i="1"/>
  <c r="BQ49" i="1" s="1"/>
  <c r="BO10" i="1"/>
  <c r="BN10" i="1"/>
  <c r="BM10" i="1"/>
  <c r="BM49" i="1" s="1"/>
  <c r="BL10" i="1"/>
  <c r="BK10" i="1"/>
  <c r="BJ10" i="1"/>
  <c r="BJ49" i="1" s="1"/>
  <c r="BI10" i="1"/>
  <c r="BI49" i="1" s="1"/>
  <c r="BH10" i="1"/>
  <c r="BG10" i="1"/>
  <c r="BF10" i="1"/>
  <c r="BE10" i="1"/>
  <c r="BD10" i="1"/>
  <c r="BD49" i="1" s="1"/>
  <c r="BC10" i="1"/>
  <c r="BC49" i="1" s="1"/>
  <c r="BB10" i="1"/>
  <c r="BA10" i="1"/>
  <c r="BA49" i="1" s="1"/>
  <c r="AZ10" i="1"/>
  <c r="AZ49" i="1" s="1"/>
  <c r="AY10" i="1"/>
  <c r="AW10" i="1"/>
  <c r="AW49" i="1" s="1"/>
  <c r="AU10" i="1"/>
  <c r="AS10" i="1"/>
  <c r="AR10" i="1"/>
  <c r="AQ10" i="1"/>
  <c r="AQ49" i="1" s="1"/>
  <c r="AP10" i="1"/>
  <c r="AO10" i="1"/>
  <c r="AN10" i="1"/>
  <c r="AM10" i="1"/>
  <c r="AL10" i="1"/>
  <c r="AK10" i="1"/>
  <c r="AJ10" i="1"/>
  <c r="AI10" i="1"/>
  <c r="AA10" i="1"/>
  <c r="Z10" i="1"/>
  <c r="Z49" i="1" s="1"/>
  <c r="X10" i="1"/>
  <c r="V10" i="1"/>
  <c r="V49" i="1" s="1"/>
  <c r="Q10" i="1"/>
  <c r="O10" i="1"/>
  <c r="N10" i="1"/>
  <c r="M10" i="1"/>
  <c r="L10" i="1"/>
  <c r="L49" i="1" s="1"/>
  <c r="K10" i="1"/>
  <c r="I10" i="1"/>
  <c r="H10" i="1"/>
  <c r="G10" i="1"/>
  <c r="F10" i="1"/>
  <c r="E10" i="1"/>
  <c r="D10" i="1"/>
  <c r="D49" i="1" s="1"/>
  <c r="C10" i="1"/>
  <c r="E9" i="3" s="1"/>
  <c r="B10" i="1"/>
  <c r="FH9" i="1"/>
  <c r="FI9" i="1" s="1"/>
  <c r="EV9" i="1"/>
  <c r="EV99" i="1" s="1"/>
  <c r="EU9" i="1"/>
  <c r="ET9" i="1"/>
  <c r="ES9" i="1"/>
  <c r="ER9" i="1"/>
  <c r="EQ9" i="1"/>
  <c r="EM9" i="1"/>
  <c r="EL9" i="1"/>
  <c r="EJ9" i="1"/>
  <c r="EI9" i="1"/>
  <c r="EH9" i="1"/>
  <c r="EF9" i="1"/>
  <c r="EE9" i="1"/>
  <c r="ED9" i="1"/>
  <c r="EC9" i="1"/>
  <c r="EB9" i="1"/>
  <c r="EA9" i="1"/>
  <c r="EA21" i="1" s="1"/>
  <c r="DZ9" i="1"/>
  <c r="DY9" i="1"/>
  <c r="DX9" i="1"/>
  <c r="DW9" i="1"/>
  <c r="DV9" i="1"/>
  <c r="DA9" i="1"/>
  <c r="CZ9" i="1"/>
  <c r="CY9" i="1"/>
  <c r="CY20" i="1" s="1"/>
  <c r="CX9" i="1"/>
  <c r="CW9" i="1"/>
  <c r="CV9" i="1"/>
  <c r="CU9" i="1"/>
  <c r="CT9" i="1"/>
  <c r="CS9" i="1"/>
  <c r="CR9" i="1"/>
  <c r="CQ9" i="1"/>
  <c r="CQ20" i="1" s="1"/>
  <c r="CP9" i="1"/>
  <c r="CO9" i="1"/>
  <c r="CM9" i="1"/>
  <c r="CK9" i="1"/>
  <c r="CJ9" i="1"/>
  <c r="CI9" i="1"/>
  <c r="CF9" i="1"/>
  <c r="CD9" i="1"/>
  <c r="CC9" i="1"/>
  <c r="CA9" i="1"/>
  <c r="BZ9" i="1"/>
  <c r="BW9" i="1"/>
  <c r="BU9" i="1"/>
  <c r="BT9" i="1"/>
  <c r="BR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G8" i="3" s="1"/>
  <c r="AP9" i="1"/>
  <c r="AO9" i="1"/>
  <c r="AN9" i="1"/>
  <c r="AM9" i="1"/>
  <c r="AL9" i="1"/>
  <c r="AK9" i="1"/>
  <c r="AJ9" i="1"/>
  <c r="AI9" i="1"/>
  <c r="I8" i="3" s="1"/>
  <c r="V9" i="1"/>
  <c r="R9" i="1"/>
  <c r="Q9" i="1"/>
  <c r="O9" i="1"/>
  <c r="N9" i="1"/>
  <c r="M9" i="1"/>
  <c r="L9" i="1"/>
  <c r="K9" i="1"/>
  <c r="AO8" i="3" s="1"/>
  <c r="I9" i="1"/>
  <c r="H9" i="1"/>
  <c r="G9" i="1"/>
  <c r="F9" i="1"/>
  <c r="E9" i="1"/>
  <c r="D9" i="1"/>
  <c r="C9" i="1"/>
  <c r="B9" i="1"/>
  <c r="B8" i="3" s="1"/>
  <c r="FH8" i="1"/>
  <c r="EV8" i="1"/>
  <c r="EU8" i="1"/>
  <c r="ET8" i="1"/>
  <c r="ES8" i="1"/>
  <c r="ER8" i="1"/>
  <c r="EQ8" i="1"/>
  <c r="EM8" i="1"/>
  <c r="EL8" i="1"/>
  <c r="EJ8" i="1"/>
  <c r="EI8" i="1"/>
  <c r="EH8" i="1"/>
  <c r="EF8" i="1"/>
  <c r="EE8" i="1"/>
  <c r="ED8" i="1"/>
  <c r="EC8" i="1"/>
  <c r="EB8" i="1"/>
  <c r="EA8" i="1"/>
  <c r="DZ8" i="1"/>
  <c r="DY8" i="1"/>
  <c r="DX8" i="1"/>
  <c r="DW8" i="1"/>
  <c r="DV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O57" i="1" s="1"/>
  <c r="CM8" i="1"/>
  <c r="CM57" i="1" s="1"/>
  <c r="CK8" i="1"/>
  <c r="CJ8" i="1"/>
  <c r="CI8" i="1"/>
  <c r="CI57" i="1" s="1"/>
  <c r="CF8" i="1"/>
  <c r="CD8" i="1"/>
  <c r="CC8" i="1"/>
  <c r="BW8" i="1"/>
  <c r="BW57" i="1" s="1"/>
  <c r="BU8" i="1"/>
  <c r="BU57" i="1" s="1"/>
  <c r="BT8" i="1"/>
  <c r="BR8" i="1"/>
  <c r="BR57" i="1" s="1"/>
  <c r="BQ8" i="1"/>
  <c r="BO8" i="1"/>
  <c r="BO57" i="1" s="1"/>
  <c r="BN8" i="1"/>
  <c r="BG8" i="1"/>
  <c r="BG57" i="1" s="1"/>
  <c r="BF8" i="1"/>
  <c r="BF57" i="1" s="1"/>
  <c r="BB8" i="1"/>
  <c r="BB57" i="1" s="1"/>
  <c r="BA8" i="1"/>
  <c r="BA57" i="1" s="1"/>
  <c r="AY8" i="1"/>
  <c r="AY57" i="1" s="1"/>
  <c r="AX8" i="1"/>
  <c r="AX57" i="1" s="1"/>
  <c r="AV8" i="1"/>
  <c r="AV57" i="1" s="1"/>
  <c r="AU57" i="1"/>
  <c r="AU8" i="1"/>
  <c r="AT8" i="1"/>
  <c r="AT57" i="1" s="1"/>
  <c r="AS8" i="1"/>
  <c r="AR8" i="1"/>
  <c r="AQ8" i="1"/>
  <c r="AP8" i="1"/>
  <c r="AP57" i="1" s="1"/>
  <c r="AO8" i="1"/>
  <c r="AO57" i="1" s="1"/>
  <c r="AM8" i="1"/>
  <c r="AL8" i="1"/>
  <c r="AL57" i="1" s="1"/>
  <c r="AK8" i="1"/>
  <c r="AJ8" i="1"/>
  <c r="H7" i="3" s="1"/>
  <c r="AI8" i="1"/>
  <c r="I7" i="3" s="1"/>
  <c r="I35" i="3" s="1"/>
  <c r="X8" i="1"/>
  <c r="X57" i="1" s="1"/>
  <c r="V8" i="1"/>
  <c r="V57" i="1" s="1"/>
  <c r="Q8" i="1"/>
  <c r="O8" i="1"/>
  <c r="N8" i="1"/>
  <c r="M8" i="1"/>
  <c r="C7" i="3" s="1"/>
  <c r="I8" i="1"/>
  <c r="H8" i="1"/>
  <c r="G8" i="1"/>
  <c r="F8" i="1"/>
  <c r="E8" i="1"/>
  <c r="E103" i="1" s="1"/>
  <c r="D8" i="1"/>
  <c r="AN7" i="3" s="1"/>
  <c r="C8" i="1"/>
  <c r="E7" i="3" s="1"/>
  <c r="E35" i="3" s="1"/>
  <c r="B8" i="1"/>
  <c r="B7" i="3" s="1"/>
  <c r="FH7" i="1"/>
  <c r="FI7" i="1" s="1"/>
  <c r="FI30" i="1" s="1"/>
  <c r="EV7" i="1"/>
  <c r="EU7" i="1"/>
  <c r="ET7" i="1"/>
  <c r="ET50" i="1" s="1"/>
  <c r="ES7" i="1"/>
  <c r="ES50" i="1" s="1"/>
  <c r="ER7" i="1"/>
  <c r="EQ7" i="1"/>
  <c r="EM7" i="1"/>
  <c r="EL7" i="1"/>
  <c r="EJ7" i="1"/>
  <c r="EI7" i="1"/>
  <c r="EH7" i="1"/>
  <c r="EH50" i="1" s="1"/>
  <c r="EF7" i="1"/>
  <c r="EF50" i="1" s="1"/>
  <c r="EE7" i="1"/>
  <c r="ED7" i="1"/>
  <c r="ED20" i="1" s="1"/>
  <c r="EC7" i="1"/>
  <c r="EB7" i="1"/>
  <c r="EA7" i="1"/>
  <c r="DZ7" i="1"/>
  <c r="DY7" i="1"/>
  <c r="DY19" i="1" s="1"/>
  <c r="DX7" i="1"/>
  <c r="DX50" i="1" s="1"/>
  <c r="DW7" i="1"/>
  <c r="DW50" i="1" s="1"/>
  <c r="DV7" i="1"/>
  <c r="DV21" i="1" s="1"/>
  <c r="DA7" i="1"/>
  <c r="CZ7" i="1"/>
  <c r="CY7" i="1"/>
  <c r="CX7" i="1"/>
  <c r="CW7" i="1"/>
  <c r="CV7" i="1"/>
  <c r="CV50" i="1" s="1"/>
  <c r="CU7" i="1"/>
  <c r="CT7" i="1"/>
  <c r="CT50" i="1" s="1"/>
  <c r="CS7" i="1"/>
  <c r="CR7" i="1"/>
  <c r="CQ7" i="1"/>
  <c r="CP7" i="1"/>
  <c r="CP50" i="1" s="1"/>
  <c r="CO7" i="1"/>
  <c r="CO103" i="1" s="1"/>
  <c r="CM7" i="1"/>
  <c r="CM50" i="1" s="1"/>
  <c r="CK7" i="1"/>
  <c r="CK50" i="1" s="1"/>
  <c r="CJ7" i="1"/>
  <c r="CJ50" i="1" s="1"/>
  <c r="CI7" i="1"/>
  <c r="CF7" i="1"/>
  <c r="CF50" i="1" s="1"/>
  <c r="CD7" i="1"/>
  <c r="CC7" i="1"/>
  <c r="CC20" i="1" s="1"/>
  <c r="CA7" i="1"/>
  <c r="CA50" i="1" s="1"/>
  <c r="BZ7" i="1"/>
  <c r="BZ20" i="1" s="1"/>
  <c r="BW7" i="1"/>
  <c r="BW20" i="1" s="1"/>
  <c r="BU7" i="1"/>
  <c r="BU50" i="1" s="1"/>
  <c r="BT7" i="1"/>
  <c r="BR7" i="1"/>
  <c r="BQ7" i="1"/>
  <c r="BO7" i="1"/>
  <c r="BN7" i="1"/>
  <c r="BM7" i="1"/>
  <c r="BM20" i="1" s="1"/>
  <c r="BL7" i="1"/>
  <c r="BL50" i="1" s="1"/>
  <c r="BK7" i="1"/>
  <c r="BK99" i="1" s="1"/>
  <c r="BJ7" i="1"/>
  <c r="BI7" i="1"/>
  <c r="BI20" i="1" s="1"/>
  <c r="BH7" i="1"/>
  <c r="BG7" i="1"/>
  <c r="BF7" i="1"/>
  <c r="BF103" i="1" s="1"/>
  <c r="BE7" i="1"/>
  <c r="BE20" i="1" s="1"/>
  <c r="BD7" i="1"/>
  <c r="BD50" i="1" s="1"/>
  <c r="BC7" i="1"/>
  <c r="BB7" i="1"/>
  <c r="BA7" i="1"/>
  <c r="AZ7" i="1"/>
  <c r="AY7" i="1"/>
  <c r="AX7" i="1"/>
  <c r="AX19" i="1" s="1"/>
  <c r="AW7" i="1"/>
  <c r="AW50" i="1" s="1"/>
  <c r="AV7" i="1"/>
  <c r="AU7" i="1"/>
  <c r="AT7" i="1"/>
  <c r="AS7" i="1"/>
  <c r="AS50" i="1" s="1"/>
  <c r="AR7" i="1"/>
  <c r="AQ7" i="1"/>
  <c r="AQ50" i="1" s="1"/>
  <c r="AP7" i="1"/>
  <c r="AP104" i="1" s="1"/>
  <c r="AN7" i="1"/>
  <c r="AN20" i="1" s="1"/>
  <c r="AM7" i="1"/>
  <c r="AM99" i="1" s="1"/>
  <c r="AL7" i="1"/>
  <c r="AK7" i="1"/>
  <c r="AJ7" i="1"/>
  <c r="AJ19" i="1" s="1"/>
  <c r="AI7" i="1"/>
  <c r="V7" i="1"/>
  <c r="V50" i="1" s="1"/>
  <c r="Q7" i="1"/>
  <c r="Q50" i="1" s="1"/>
  <c r="O7" i="1"/>
  <c r="O21" i="1" s="1"/>
  <c r="N7" i="1"/>
  <c r="M7" i="1"/>
  <c r="M50" i="1" s="1"/>
  <c r="L7" i="1"/>
  <c r="L50" i="1" s="1"/>
  <c r="K7" i="1"/>
  <c r="I7" i="1"/>
  <c r="H7" i="1"/>
  <c r="H50" i="1" s="1"/>
  <c r="G7" i="1"/>
  <c r="G50" i="1" s="1"/>
  <c r="F7" i="1"/>
  <c r="E7" i="1"/>
  <c r="E19" i="1" s="1"/>
  <c r="D7" i="1"/>
  <c r="C7" i="1"/>
  <c r="B7" i="1"/>
  <c r="B6" i="3" s="1"/>
  <c r="FH6" i="1"/>
  <c r="EV6" i="1"/>
  <c r="EU6" i="1"/>
  <c r="ET6" i="1"/>
  <c r="ES6" i="1"/>
  <c r="ER6" i="1"/>
  <c r="EQ6" i="1"/>
  <c r="EM6" i="1"/>
  <c r="EL6" i="1"/>
  <c r="EJ6" i="1"/>
  <c r="EI6" i="1"/>
  <c r="EH6" i="1"/>
  <c r="EF6" i="1"/>
  <c r="EE6" i="1"/>
  <c r="ED6" i="1"/>
  <c r="EC6" i="1"/>
  <c r="EB6" i="1"/>
  <c r="EA6" i="1"/>
  <c r="DZ6" i="1"/>
  <c r="DY6" i="1"/>
  <c r="DX6" i="1"/>
  <c r="DW6" i="1"/>
  <c r="DV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M6" i="1"/>
  <c r="CK6" i="1"/>
  <c r="CJ6" i="1"/>
  <c r="CI6" i="1"/>
  <c r="CD6" i="1"/>
  <c r="CC6" i="1"/>
  <c r="BU6" i="1"/>
  <c r="BT6" i="1"/>
  <c r="BR6" i="1"/>
  <c r="BQ6" i="1"/>
  <c r="BO6" i="1"/>
  <c r="BN6" i="1"/>
  <c r="BM6" i="1"/>
  <c r="BL6" i="1"/>
  <c r="BK6" i="1"/>
  <c r="BJ6" i="1"/>
  <c r="BI6" i="1"/>
  <c r="BH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O6" i="1"/>
  <c r="AN6" i="1"/>
  <c r="AM6" i="1"/>
  <c r="AL6" i="1"/>
  <c r="AK6" i="1"/>
  <c r="AJ6" i="1"/>
  <c r="H5" i="3" s="1"/>
  <c r="H34" i="3" s="1"/>
  <c r="Q6" i="1"/>
  <c r="O6" i="1"/>
  <c r="N6" i="1"/>
  <c r="M6" i="1"/>
  <c r="I6" i="1"/>
  <c r="H6" i="1"/>
  <c r="G6" i="1"/>
  <c r="F6" i="1"/>
  <c r="E6" i="1"/>
  <c r="D6" i="1"/>
  <c r="AN5" i="3" s="1"/>
  <c r="C6" i="1"/>
  <c r="E5" i="3" s="1"/>
  <c r="B6" i="1"/>
  <c r="B5" i="3" s="1"/>
  <c r="FH5" i="1"/>
  <c r="FH44" i="1" s="1"/>
  <c r="EV5" i="1"/>
  <c r="EU5" i="1"/>
  <c r="EU44" i="1" s="1"/>
  <c r="ET5" i="1"/>
  <c r="ET23" i="1" s="1"/>
  <c r="ES5" i="1"/>
  <c r="ER5" i="1"/>
  <c r="EQ5" i="1"/>
  <c r="EM5" i="1"/>
  <c r="EM45" i="1" s="1"/>
  <c r="EL5" i="1"/>
  <c r="EJ5" i="1"/>
  <c r="EI5" i="1"/>
  <c r="EI23" i="1" s="1"/>
  <c r="EH5" i="1"/>
  <c r="EH106" i="1" s="1"/>
  <c r="EF5" i="1"/>
  <c r="EF45" i="1" s="1"/>
  <c r="EE5" i="1"/>
  <c r="ED5" i="1"/>
  <c r="EC5" i="1"/>
  <c r="EC45" i="1" s="1"/>
  <c r="EB5" i="1"/>
  <c r="EB45" i="1" s="1"/>
  <c r="EA5" i="1"/>
  <c r="DZ5" i="1"/>
  <c r="DY5" i="1"/>
  <c r="DY45" i="1" s="1"/>
  <c r="DX5" i="1"/>
  <c r="DX45" i="1" s="1"/>
  <c r="DW5" i="1"/>
  <c r="DV5" i="1"/>
  <c r="DV45" i="1" s="1"/>
  <c r="DA5" i="1"/>
  <c r="CZ5" i="1"/>
  <c r="CZ23" i="1" s="1"/>
  <c r="CY5" i="1"/>
  <c r="CY44" i="1" s="1"/>
  <c r="CX5" i="1"/>
  <c r="CX44" i="1" s="1"/>
  <c r="CW5" i="1"/>
  <c r="CW106" i="1" s="1"/>
  <c r="CV5" i="1"/>
  <c r="CU5" i="1"/>
  <c r="CT5" i="1"/>
  <c r="CT45" i="1" s="1"/>
  <c r="CS5" i="1"/>
  <c r="CS44" i="1" s="1"/>
  <c r="CR5" i="1"/>
  <c r="CR106" i="1" s="1"/>
  <c r="CQ5" i="1"/>
  <c r="CP5" i="1"/>
  <c r="CP106" i="1" s="1"/>
  <c r="CO5" i="1"/>
  <c r="CO106" i="1" s="1"/>
  <c r="CM5" i="1"/>
  <c r="CM44" i="1" s="1"/>
  <c r="CK5" i="1"/>
  <c r="CK44" i="1" s="1"/>
  <c r="CJ5" i="1"/>
  <c r="CJ44" i="1" s="1"/>
  <c r="CI5" i="1"/>
  <c r="CI44" i="1" s="1"/>
  <c r="CF5" i="1"/>
  <c r="CF44" i="1" s="1"/>
  <c r="CD5" i="1"/>
  <c r="CC5" i="1"/>
  <c r="CA5" i="1"/>
  <c r="CA106" i="1" s="1"/>
  <c r="BZ5" i="1"/>
  <c r="BW5" i="1"/>
  <c r="BU5" i="1"/>
  <c r="BT5" i="1"/>
  <c r="BT23" i="1" s="1"/>
  <c r="BR5" i="1"/>
  <c r="BQ5" i="1"/>
  <c r="BO5" i="1"/>
  <c r="BO106" i="1" s="1"/>
  <c r="BN5" i="1"/>
  <c r="BM5" i="1"/>
  <c r="BL5" i="1"/>
  <c r="BK5" i="1"/>
  <c r="BJ5" i="1"/>
  <c r="BI5" i="1"/>
  <c r="BH5" i="1"/>
  <c r="BH44" i="1" s="1"/>
  <c r="BG5" i="1"/>
  <c r="BG23" i="1" s="1"/>
  <c r="BF5" i="1"/>
  <c r="BF44" i="1" s="1"/>
  <c r="BE5" i="1"/>
  <c r="BD5" i="1"/>
  <c r="BD44" i="1" s="1"/>
  <c r="BC5" i="1"/>
  <c r="BC26" i="1" s="1"/>
  <c r="BB5" i="1"/>
  <c r="BB44" i="1" s="1"/>
  <c r="BA5" i="1"/>
  <c r="BA44" i="1" s="1"/>
  <c r="AZ5" i="1"/>
  <c r="AZ44" i="1" s="1"/>
  <c r="AY5" i="1"/>
  <c r="AY44" i="1" s="1"/>
  <c r="AX5" i="1"/>
  <c r="AX106" i="1" s="1"/>
  <c r="AW5" i="1"/>
  <c r="AV5" i="1"/>
  <c r="AU5" i="1"/>
  <c r="AT5" i="1"/>
  <c r="AS5" i="1"/>
  <c r="AR5" i="1"/>
  <c r="AR44" i="1" s="1"/>
  <c r="AQ5" i="1"/>
  <c r="AQ23" i="1" s="1"/>
  <c r="AP5" i="1"/>
  <c r="AP44" i="1" s="1"/>
  <c r="AO5" i="1"/>
  <c r="AN5" i="1"/>
  <c r="AN44" i="1" s="1"/>
  <c r="AM5" i="1"/>
  <c r="AL5" i="1"/>
  <c r="AL44" i="1" s="1"/>
  <c r="AK5" i="1"/>
  <c r="AK44" i="1" s="1"/>
  <c r="AJ5" i="1"/>
  <c r="H4" i="3" s="1"/>
  <c r="H9" i="3" s="1"/>
  <c r="AI5" i="1"/>
  <c r="I4" i="3" s="1"/>
  <c r="I9" i="3" s="1"/>
  <c r="I89" i="3" s="1"/>
  <c r="X5" i="1"/>
  <c r="X44" i="1" s="1"/>
  <c r="V5" i="1"/>
  <c r="Q5" i="1"/>
  <c r="O5" i="1"/>
  <c r="N5" i="1"/>
  <c r="M5" i="1"/>
  <c r="L5" i="1"/>
  <c r="D4" i="3" s="1"/>
  <c r="K5" i="1"/>
  <c r="K44" i="1" s="1"/>
  <c r="I5" i="1"/>
  <c r="I44" i="1" s="1"/>
  <c r="H5" i="1"/>
  <c r="G5" i="1"/>
  <c r="F5" i="1"/>
  <c r="E5" i="1"/>
  <c r="E44" i="1" s="1"/>
  <c r="D5" i="1"/>
  <c r="C5" i="1"/>
  <c r="E4" i="3" s="1"/>
  <c r="B5" i="1"/>
  <c r="B4" i="3" s="1"/>
  <c r="FH4" i="1"/>
  <c r="FH88" i="1" s="1"/>
  <c r="EV4" i="1"/>
  <c r="EV104" i="1" s="1"/>
  <c r="EU4" i="1"/>
  <c r="EU88" i="1" s="1"/>
  <c r="ET4" i="1"/>
  <c r="ES4" i="1"/>
  <c r="ER4" i="1"/>
  <c r="EQ4" i="1"/>
  <c r="EQ88" i="1" s="1"/>
  <c r="EM4" i="1"/>
  <c r="EL4" i="1"/>
  <c r="EL88" i="1" s="1"/>
  <c r="EJ4" i="1"/>
  <c r="EJ104" i="1" s="1"/>
  <c r="EI4" i="1"/>
  <c r="EH4" i="1"/>
  <c r="EF4" i="1"/>
  <c r="EE4" i="1"/>
  <c r="ED4" i="1"/>
  <c r="EC4" i="1"/>
  <c r="EC88" i="1" s="1"/>
  <c r="EB4" i="1"/>
  <c r="EA4" i="1"/>
  <c r="DZ4" i="1"/>
  <c r="DY4" i="1"/>
  <c r="DX4" i="1"/>
  <c r="DW4" i="1"/>
  <c r="DV4" i="1"/>
  <c r="CE4" i="1" s="1"/>
  <c r="CE88" i="1" s="1"/>
  <c r="DA4" i="1"/>
  <c r="CZ4" i="1"/>
  <c r="CY4" i="1"/>
  <c r="CX4" i="1"/>
  <c r="CX88" i="1" s="1"/>
  <c r="CW4" i="1"/>
  <c r="CV4" i="1"/>
  <c r="CU4" i="1"/>
  <c r="CU88" i="1" s="1"/>
  <c r="CT4" i="1"/>
  <c r="CS4" i="1"/>
  <c r="CR4" i="1"/>
  <c r="CQ4" i="1"/>
  <c r="CQ104" i="1" s="1"/>
  <c r="CP4" i="1"/>
  <c r="CO4" i="1"/>
  <c r="CM4" i="1"/>
  <c r="CK4" i="1"/>
  <c r="CJ4" i="1"/>
  <c r="CJ88" i="1" s="1"/>
  <c r="CI4" i="1"/>
  <c r="CI88" i="1" s="1"/>
  <c r="CF4" i="1"/>
  <c r="CD4" i="1"/>
  <c r="CD104" i="1" s="1"/>
  <c r="CC4" i="1"/>
  <c r="CC88" i="1" s="1"/>
  <c r="CA4" i="1"/>
  <c r="BZ4" i="1"/>
  <c r="BW4" i="1"/>
  <c r="BU4" i="1"/>
  <c r="BV4" i="1" s="1"/>
  <c r="BT4" i="1"/>
  <c r="BR4" i="1"/>
  <c r="BQ4" i="1"/>
  <c r="BQ104" i="1" s="1"/>
  <c r="BO4" i="1"/>
  <c r="BO88" i="1" s="1"/>
  <c r="BM4" i="1"/>
  <c r="BL4" i="1"/>
  <c r="BL88" i="1" s="1"/>
  <c r="BK4" i="1"/>
  <c r="BJ4" i="1"/>
  <c r="BJ88" i="1" s="1"/>
  <c r="BI4" i="1"/>
  <c r="BH4" i="1"/>
  <c r="BH88" i="1" s="1"/>
  <c r="BG4" i="1"/>
  <c r="BF4" i="1"/>
  <c r="BE4" i="1"/>
  <c r="BD4" i="1"/>
  <c r="BD88" i="1" s="1"/>
  <c r="BC4" i="1"/>
  <c r="BC88" i="1" s="1"/>
  <c r="BB4" i="1"/>
  <c r="BB88" i="1" s="1"/>
  <c r="AZ4" i="1"/>
  <c r="AZ104" i="1" s="1"/>
  <c r="AY4" i="1"/>
  <c r="AX4" i="1"/>
  <c r="AX88" i="1" s="1"/>
  <c r="AW4" i="1"/>
  <c r="AV4" i="1"/>
  <c r="AV88" i="1" s="1"/>
  <c r="AU4" i="1"/>
  <c r="AT4" i="1"/>
  <c r="AR4" i="1"/>
  <c r="AR104" i="1" s="1"/>
  <c r="AQ4" i="1"/>
  <c r="AP4" i="1"/>
  <c r="AO4" i="1"/>
  <c r="AO88" i="1" s="1"/>
  <c r="AN4" i="1"/>
  <c r="AN104" i="1" s="1"/>
  <c r="AM4" i="1"/>
  <c r="AL4" i="1"/>
  <c r="AK4" i="1"/>
  <c r="AJ4" i="1"/>
  <c r="AI4" i="1"/>
  <c r="I3" i="3" s="1"/>
  <c r="X4" i="1"/>
  <c r="X88" i="1" s="1"/>
  <c r="V4" i="1"/>
  <c r="Q4" i="1"/>
  <c r="O4" i="1"/>
  <c r="O88" i="1" s="1"/>
  <c r="N4" i="1"/>
  <c r="M4" i="1"/>
  <c r="L4" i="1"/>
  <c r="L104" i="1" s="1"/>
  <c r="K4" i="1"/>
  <c r="I4" i="1"/>
  <c r="H4" i="1"/>
  <c r="G4" i="1"/>
  <c r="F4" i="1"/>
  <c r="F88" i="1" s="1"/>
  <c r="E4" i="1"/>
  <c r="E104" i="1" s="1"/>
  <c r="D4" i="1"/>
  <c r="C4" i="1"/>
  <c r="E3" i="3" s="1"/>
  <c r="B4" i="1"/>
  <c r="B3" i="3" s="1"/>
  <c r="FH3" i="1"/>
  <c r="FI3" i="1" s="1"/>
  <c r="EV3" i="1"/>
  <c r="EU3" i="1"/>
  <c r="ET3" i="1"/>
  <c r="ES3" i="1"/>
  <c r="ER3" i="1"/>
  <c r="EQ3" i="1"/>
  <c r="F2" i="3" s="1"/>
  <c r="EM3" i="1"/>
  <c r="EJ3" i="1"/>
  <c r="EI3" i="1"/>
  <c r="EH3" i="1"/>
  <c r="EF3" i="1"/>
  <c r="EE3" i="1"/>
  <c r="ED3" i="1"/>
  <c r="EC3" i="1"/>
  <c r="EB3" i="1"/>
  <c r="EA3" i="1"/>
  <c r="DZ3" i="1"/>
  <c r="DX3" i="1"/>
  <c r="DW3" i="1"/>
  <c r="DV3" i="1"/>
  <c r="DA3" i="1"/>
  <c r="CZ3" i="1"/>
  <c r="CY3" i="1"/>
  <c r="CX3" i="1"/>
  <c r="CW3" i="1"/>
  <c r="CV3" i="1"/>
  <c r="CU3" i="1"/>
  <c r="CT3" i="1"/>
  <c r="CS3" i="1"/>
  <c r="CR3" i="1"/>
  <c r="CR17" i="1" s="1"/>
  <c r="CQ3" i="1"/>
  <c r="CP3" i="1"/>
  <c r="CO3" i="1"/>
  <c r="CK3" i="1"/>
  <c r="CJ3" i="1"/>
  <c r="CI3" i="1"/>
  <c r="CF3" i="1"/>
  <c r="CD3" i="1"/>
  <c r="CC3" i="1"/>
  <c r="CA3" i="1"/>
  <c r="BW3" i="1"/>
  <c r="BU3" i="1"/>
  <c r="BT3" i="1"/>
  <c r="BR3" i="1"/>
  <c r="BQ3" i="1"/>
  <c r="BO3" i="1"/>
  <c r="BN3" i="1"/>
  <c r="BM3" i="1"/>
  <c r="BJ3" i="1"/>
  <c r="BJ17" i="1" s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G2" i="3" s="1"/>
  <c r="AO3" i="1"/>
  <c r="AN3" i="1"/>
  <c r="AM3" i="1"/>
  <c r="AL3" i="1"/>
  <c r="AK3" i="1"/>
  <c r="AJ3" i="1"/>
  <c r="H2" i="3" s="1"/>
  <c r="X3" i="1"/>
  <c r="V3" i="1"/>
  <c r="R3" i="1"/>
  <c r="Q3" i="1"/>
  <c r="N3" i="1"/>
  <c r="M3" i="1"/>
  <c r="L3" i="1"/>
  <c r="D2" i="3" s="1"/>
  <c r="K3" i="1"/>
  <c r="I3" i="1"/>
  <c r="H3" i="1"/>
  <c r="G3" i="1"/>
  <c r="F3" i="1"/>
  <c r="E3" i="1"/>
  <c r="D3" i="1"/>
  <c r="C3" i="1"/>
  <c r="E2" i="3" s="1"/>
  <c r="B3" i="1"/>
  <c r="B2" i="3" s="1"/>
  <c r="CA12" i="1"/>
  <c r="BZ12" i="1"/>
  <c r="CA6" i="1"/>
  <c r="BZ6" i="1"/>
  <c r="CK57" i="1"/>
  <c r="CJ57" i="1"/>
  <c r="CZ98" i="1"/>
  <c r="AM54" i="1"/>
  <c r="AI3" i="1"/>
  <c r="I2" i="3" s="1"/>
  <c r="BI3" i="1"/>
  <c r="BI17" i="1" s="1"/>
  <c r="BH3" i="1"/>
  <c r="DY3" i="1"/>
  <c r="EL3" i="1"/>
  <c r="D3" i="3"/>
  <c r="O3" i="1"/>
  <c r="BL3" i="1"/>
  <c r="BK3" i="1"/>
  <c r="BK17" i="1" s="1"/>
  <c r="BM17" i="1"/>
  <c r="BZ3" i="1"/>
  <c r="AU88" i="1"/>
  <c r="BK88" i="1"/>
  <c r="CP88" i="1"/>
  <c r="EI88" i="1"/>
  <c r="BJ44" i="1"/>
  <c r="BJ26" i="1"/>
  <c r="EE45" i="1"/>
  <c r="ED45" i="1"/>
  <c r="ER45" i="1"/>
  <c r="L6" i="1"/>
  <c r="C5" i="3"/>
  <c r="C34" i="3" s="1"/>
  <c r="H6" i="3"/>
  <c r="AJ50" i="1"/>
  <c r="AZ50" i="1"/>
  <c r="AZ20" i="1"/>
  <c r="BH50" i="1"/>
  <c r="BH20" i="1"/>
  <c r="BR103" i="1"/>
  <c r="BR50" i="1"/>
  <c r="BU20" i="1"/>
  <c r="CQ50" i="1"/>
  <c r="CY50" i="1"/>
  <c r="DW20" i="1"/>
  <c r="DY50" i="1"/>
  <c r="EA20" i="1"/>
  <c r="EJ50" i="1"/>
  <c r="EV50" i="1"/>
  <c r="AW8" i="1"/>
  <c r="AZ8" i="1"/>
  <c r="AZ103" i="1" s="1"/>
  <c r="BE8" i="1"/>
  <c r="BD8" i="1"/>
  <c r="BC8" i="1"/>
  <c r="BM8" i="1"/>
  <c r="BL8" i="1"/>
  <c r="BK8" i="1"/>
  <c r="BJ8" i="1"/>
  <c r="BI8" i="1"/>
  <c r="BH8" i="1"/>
  <c r="BH103" i="1" s="1"/>
  <c r="CA8" i="1"/>
  <c r="BZ8" i="1"/>
  <c r="CC57" i="1"/>
  <c r="V19" i="1"/>
  <c r="H8" i="3"/>
  <c r="AR21" i="1"/>
  <c r="AR19" i="1"/>
  <c r="AV21" i="1"/>
  <c r="AZ21" i="1"/>
  <c r="BE19" i="1"/>
  <c r="BH99" i="1"/>
  <c r="BW21" i="1"/>
  <c r="CQ19" i="1"/>
  <c r="CU21" i="1"/>
  <c r="CU19" i="1"/>
  <c r="ER21" i="1"/>
  <c r="EQ99" i="1"/>
  <c r="EV21" i="1"/>
  <c r="AO9" i="3"/>
  <c r="M49" i="1"/>
  <c r="M23" i="1"/>
  <c r="M24" i="1" s="1"/>
  <c r="O49" i="1"/>
  <c r="AK49" i="1"/>
  <c r="AO106" i="1"/>
  <c r="AO49" i="1"/>
  <c r="AP49" i="1"/>
  <c r="CA49" i="1"/>
  <c r="CF49" i="1"/>
  <c r="CS106" i="1"/>
  <c r="CS49" i="1"/>
  <c r="CY49" i="1"/>
  <c r="DA49" i="1"/>
  <c r="DY49" i="1"/>
  <c r="EC49" i="1"/>
  <c r="EB49" i="1"/>
  <c r="EC106" i="1"/>
  <c r="EJ49" i="1"/>
  <c r="EI49" i="1"/>
  <c r="EH49" i="1"/>
  <c r="EV49" i="1"/>
  <c r="B10" i="3"/>
  <c r="B22" i="3" s="1"/>
  <c r="B98" i="1"/>
  <c r="B48" i="1"/>
  <c r="H98" i="1"/>
  <c r="H48" i="1"/>
  <c r="AO10" i="3"/>
  <c r="K98" i="1"/>
  <c r="O48" i="1"/>
  <c r="BH48" i="1"/>
  <c r="AW48" i="1"/>
  <c r="AT48" i="1"/>
  <c r="CA98" i="1"/>
  <c r="CA48" i="1"/>
  <c r="BW48" i="1"/>
  <c r="CJ48" i="1"/>
  <c r="CR98" i="1"/>
  <c r="CT98" i="1"/>
  <c r="CT48" i="1"/>
  <c r="EC98" i="1"/>
  <c r="EB98" i="1"/>
  <c r="EB48" i="1"/>
  <c r="DW48" i="1"/>
  <c r="DV48" i="1"/>
  <c r="DA48" i="1"/>
  <c r="ET98" i="1"/>
  <c r="ER98" i="1"/>
  <c r="ET48" i="1"/>
  <c r="EV48" i="1"/>
  <c r="E13" i="3"/>
  <c r="BE44" i="1"/>
  <c r="BC44" i="1"/>
  <c r="AW44" i="1"/>
  <c r="EC23" i="1"/>
  <c r="AW98" i="1"/>
  <c r="AL54" i="1"/>
  <c r="J4" i="1"/>
  <c r="K88" i="1"/>
  <c r="BH104" i="1"/>
  <c r="CQ88" i="1"/>
  <c r="CS88" i="1"/>
  <c r="CY104" i="1"/>
  <c r="DW88" i="1"/>
  <c r="EA104" i="1"/>
  <c r="EA88" i="1"/>
  <c r="EB88" i="1"/>
  <c r="EH88" i="1"/>
  <c r="ER88" i="1"/>
  <c r="EV88" i="1"/>
  <c r="AO44" i="1"/>
  <c r="AU45" i="1"/>
  <c r="AT44" i="1"/>
  <c r="CT44" i="1"/>
  <c r="CV44" i="1"/>
  <c r="DW45" i="1"/>
  <c r="EC26" i="1"/>
  <c r="EV26" i="1"/>
  <c r="AI6" i="1"/>
  <c r="I5" i="3" s="1"/>
  <c r="I34" i="3" s="1"/>
  <c r="G5" i="3"/>
  <c r="G34" i="3" s="1"/>
  <c r="E6" i="3"/>
  <c r="C103" i="1"/>
  <c r="C50" i="1"/>
  <c r="C20" i="1"/>
  <c r="I50" i="1"/>
  <c r="D6" i="3"/>
  <c r="D88" i="3" s="1"/>
  <c r="L20" i="1"/>
  <c r="AK20" i="1"/>
  <c r="AR50" i="1"/>
  <c r="BA50" i="1"/>
  <c r="BA20" i="1"/>
  <c r="BQ50" i="1"/>
  <c r="CD103" i="1"/>
  <c r="CD50" i="1"/>
  <c r="CF20" i="1"/>
  <c r="CT103" i="1"/>
  <c r="EA50" i="1"/>
  <c r="EE50" i="1"/>
  <c r="F6" i="3"/>
  <c r="L8" i="1"/>
  <c r="L103" i="1" s="1"/>
  <c r="G7" i="3"/>
  <c r="G35" i="3" s="1"/>
  <c r="H35" i="3"/>
  <c r="E8" i="3"/>
  <c r="C99" i="1"/>
  <c r="C19" i="1"/>
  <c r="C21" i="1"/>
  <c r="D8" i="3"/>
  <c r="L99" i="1"/>
  <c r="L21" i="1"/>
  <c r="L19" i="1"/>
  <c r="AK99" i="1"/>
  <c r="AK19" i="1"/>
  <c r="AS21" i="1"/>
  <c r="AU19" i="1"/>
  <c r="BA99" i="1"/>
  <c r="BA19" i="1"/>
  <c r="BI21" i="1"/>
  <c r="BK21" i="1"/>
  <c r="BK19" i="1"/>
  <c r="CF21" i="1"/>
  <c r="CF19" i="1"/>
  <c r="CT99" i="1"/>
  <c r="CT19" i="1"/>
  <c r="ED21" i="1"/>
  <c r="F8" i="3"/>
  <c r="EQ21" i="1"/>
  <c r="EQ19" i="1"/>
  <c r="FH99" i="1"/>
  <c r="B9" i="3"/>
  <c r="B89" i="3" s="1"/>
  <c r="B49" i="1"/>
  <c r="AN9" i="3"/>
  <c r="F49" i="1"/>
  <c r="H49" i="1"/>
  <c r="D9" i="3"/>
  <c r="D89" i="3" s="1"/>
  <c r="Q49" i="1"/>
  <c r="Q23" i="1"/>
  <c r="AA49" i="1"/>
  <c r="AL106" i="1"/>
  <c r="AL23" i="1"/>
  <c r="AN49" i="1"/>
  <c r="AM49" i="1"/>
  <c r="AL49" i="1"/>
  <c r="AN23" i="1"/>
  <c r="AS49" i="1"/>
  <c r="BB49" i="1"/>
  <c r="BF49" i="1"/>
  <c r="BE49" i="1"/>
  <c r="BH49" i="1"/>
  <c r="BG49" i="1"/>
  <c r="BL49" i="1"/>
  <c r="BN49" i="1"/>
  <c r="BP10" i="1"/>
  <c r="BT106" i="1"/>
  <c r="BW106" i="1"/>
  <c r="BZ23" i="1"/>
  <c r="CI49" i="1"/>
  <c r="CP49" i="1"/>
  <c r="CR49" i="1"/>
  <c r="CX49" i="1"/>
  <c r="CZ49" i="1"/>
  <c r="DZ49" i="1"/>
  <c r="EB23" i="1"/>
  <c r="EL49" i="1"/>
  <c r="ES23" i="1"/>
  <c r="EU49" i="1"/>
  <c r="FH49" i="1"/>
  <c r="FH23" i="1"/>
  <c r="C98" i="1"/>
  <c r="G98" i="1"/>
  <c r="G48" i="1"/>
  <c r="I98" i="1"/>
  <c r="I48" i="1"/>
  <c r="D10" i="3"/>
  <c r="D22" i="3" s="1"/>
  <c r="AP48" i="1"/>
  <c r="AO48" i="1"/>
  <c r="AN48" i="1"/>
  <c r="AL48" i="1"/>
  <c r="BJ98" i="1"/>
  <c r="BJ48" i="1"/>
  <c r="CK98" i="1"/>
  <c r="CK48" i="1"/>
  <c r="CQ98" i="1"/>
  <c r="CQ48" i="1"/>
  <c r="CU98" i="1"/>
  <c r="CU48" i="1"/>
  <c r="ED98" i="1"/>
  <c r="ED48" i="1"/>
  <c r="EF98" i="1"/>
  <c r="EI98" i="1"/>
  <c r="EI48" i="1"/>
  <c r="EH48" i="1"/>
  <c r="EL98" i="1"/>
  <c r="EL48" i="1"/>
  <c r="EJ48" i="1"/>
  <c r="EM98" i="1"/>
  <c r="EM48" i="1"/>
  <c r="E28" i="3"/>
  <c r="E97" i="3" s="1"/>
  <c r="L12" i="1"/>
  <c r="D11" i="3" s="1"/>
  <c r="D28" i="3" s="1"/>
  <c r="D97" i="3" s="1"/>
  <c r="C11" i="3"/>
  <c r="X54" i="1"/>
  <c r="AW12" i="1"/>
  <c r="AX54" i="1"/>
  <c r="AZ12" i="1"/>
  <c r="BE12" i="1"/>
  <c r="BD12" i="1"/>
  <c r="BC12" i="1"/>
  <c r="BM12" i="1"/>
  <c r="BL12" i="1"/>
  <c r="BK12" i="1"/>
  <c r="BJ12" i="1"/>
  <c r="BI12" i="1"/>
  <c r="BH12" i="1"/>
  <c r="BN54" i="1"/>
  <c r="BP54" i="1" s="1"/>
  <c r="L13" i="1"/>
  <c r="D12" i="3" s="1"/>
  <c r="C12" i="3"/>
  <c r="F44" i="1"/>
  <c r="D44" i="1"/>
  <c r="AS57" i="1"/>
  <c r="BN48" i="1"/>
  <c r="BM48" i="1"/>
  <c r="CX48" i="1"/>
  <c r="CW48" i="1"/>
  <c r="BK103" i="1"/>
  <c r="BZ44" i="1"/>
  <c r="CL48" i="1"/>
  <c r="CD49" i="1"/>
  <c r="BO49" i="1"/>
  <c r="K13" i="1"/>
  <c r="AO13" i="3" s="1"/>
  <c r="K12" i="1"/>
  <c r="AO11" i="3" s="1"/>
  <c r="K6" i="1"/>
  <c r="D5" i="3"/>
  <c r="CG3" i="1"/>
  <c r="CH3" i="1" s="1"/>
  <c r="F7" i="3"/>
  <c r="F35" i="3" s="1"/>
  <c r="K8" i="1"/>
  <c r="AO7" i="3" s="1"/>
  <c r="F5" i="3"/>
  <c r="F34" i="3" s="1"/>
  <c r="BM44" i="1"/>
  <c r="BL44" i="1"/>
  <c r="BT48" i="1"/>
  <c r="BL103" i="1"/>
  <c r="BU44" i="1"/>
  <c r="BT44" i="1"/>
  <c r="BL17" i="1"/>
  <c r="I452" i="21"/>
  <c r="K452" i="21" s="1"/>
  <c r="I450" i="21"/>
  <c r="K450" i="21" s="1"/>
  <c r="I445" i="21"/>
  <c r="K445" i="21" s="1"/>
  <c r="I443" i="21"/>
  <c r="K443" i="21" s="1"/>
  <c r="I427" i="21"/>
  <c r="K427" i="21" s="1"/>
  <c r="I415" i="21"/>
  <c r="I413" i="21"/>
  <c r="I409" i="21"/>
  <c r="I400" i="21"/>
  <c r="I395" i="21"/>
  <c r="I383" i="21"/>
  <c r="I37" i="21"/>
  <c r="K37" i="21" s="1"/>
  <c r="I35" i="21"/>
  <c r="K35" i="21" s="1"/>
  <c r="I70" i="21"/>
  <c r="K70" i="21" s="1"/>
  <c r="I22" i="21"/>
  <c r="K22" i="21" s="1"/>
  <c r="I21" i="21"/>
  <c r="K21" i="21" s="1"/>
  <c r="I18" i="21"/>
  <c r="K18" i="21" s="1"/>
  <c r="I13" i="21"/>
  <c r="K13" i="21" s="1"/>
  <c r="I11" i="21"/>
  <c r="K11" i="21" s="1"/>
  <c r="I10" i="21"/>
  <c r="K10" i="21" s="1"/>
  <c r="I9" i="21"/>
  <c r="K9" i="21" s="1"/>
  <c r="I8" i="21"/>
  <c r="K8" i="21" s="1"/>
  <c r="I350" i="21"/>
  <c r="K350" i="21" s="1"/>
  <c r="I215" i="21"/>
  <c r="K215" i="21" s="1"/>
  <c r="I214" i="21"/>
  <c r="K214" i="21" s="1"/>
  <c r="I203" i="21"/>
  <c r="K203" i="21" s="1"/>
  <c r="I204" i="21"/>
  <c r="K204" i="21" s="1"/>
  <c r="I195" i="21"/>
  <c r="K195" i="21" s="1"/>
  <c r="I194" i="21"/>
  <c r="K194" i="21" s="1"/>
  <c r="I192" i="21"/>
  <c r="K192" i="21" s="1"/>
  <c r="I191" i="21"/>
  <c r="K191" i="21" s="1"/>
  <c r="I190" i="21"/>
  <c r="K190" i="21" s="1"/>
  <c r="I189" i="21"/>
  <c r="K189" i="21" s="1"/>
  <c r="I187" i="21"/>
  <c r="K187" i="21" s="1"/>
  <c r="I103" i="21"/>
  <c r="K103" i="21" s="1"/>
  <c r="I102" i="21"/>
  <c r="K102" i="21" s="1"/>
  <c r="I77" i="21"/>
  <c r="K77" i="21" s="1"/>
  <c r="I72" i="21"/>
  <c r="K72" i="21" s="1"/>
  <c r="I69" i="21"/>
  <c r="K69" i="21" s="1"/>
  <c r="K66" i="21"/>
  <c r="I64" i="21"/>
  <c r="K64" i="21" s="1"/>
  <c r="I63" i="21"/>
  <c r="K63" i="21" s="1"/>
  <c r="I65" i="21"/>
  <c r="K65" i="21" s="1"/>
  <c r="I46" i="21"/>
  <c r="K45" i="21"/>
  <c r="J13" i="1"/>
  <c r="V75" i="1"/>
  <c r="AJ47" i="5"/>
  <c r="AJ66" i="5" s="1"/>
  <c r="V14" i="1"/>
  <c r="U14" i="1"/>
  <c r="H840" i="7"/>
  <c r="H232" i="7"/>
  <c r="H224" i="7"/>
  <c r="H213" i="7"/>
  <c r="H209" i="7"/>
  <c r="H205" i="7"/>
  <c r="H204" i="7"/>
  <c r="H201" i="7"/>
  <c r="H199" i="7"/>
  <c r="H195" i="7"/>
  <c r="H188" i="7"/>
  <c r="H184" i="7"/>
  <c r="H182" i="7"/>
  <c r="H180" i="7"/>
  <c r="H175" i="7"/>
  <c r="H173" i="7"/>
  <c r="H172" i="7"/>
  <c r="H160" i="7"/>
  <c r="H158" i="7"/>
  <c r="H156" i="7"/>
  <c r="H153" i="7"/>
  <c r="H146" i="7"/>
  <c r="H143" i="7"/>
  <c r="G141" i="7"/>
  <c r="H138" i="7"/>
  <c r="H133" i="7"/>
  <c r="H128" i="7"/>
  <c r="G123" i="7"/>
  <c r="AG123" i="7" s="1"/>
  <c r="H120" i="7"/>
  <c r="H118" i="7"/>
  <c r="H117" i="7"/>
  <c r="H116" i="7"/>
  <c r="H114" i="7"/>
  <c r="G114" i="7"/>
  <c r="AG114" i="7" s="1"/>
  <c r="H109" i="7"/>
  <c r="H104" i="7"/>
  <c r="H102" i="7"/>
  <c r="H96" i="7"/>
  <c r="H92" i="7"/>
  <c r="G92" i="7"/>
  <c r="AG92" i="7" s="1"/>
  <c r="H91" i="7"/>
  <c r="G91" i="7"/>
  <c r="AG91" i="7" s="1"/>
  <c r="H86" i="7"/>
  <c r="H76" i="7"/>
  <c r="H71" i="7"/>
  <c r="H70" i="7"/>
  <c r="H69" i="7"/>
  <c r="H67" i="7"/>
  <c r="H66" i="7"/>
  <c r="H65" i="7"/>
  <c r="H64" i="7"/>
  <c r="H61" i="7"/>
  <c r="H60" i="7"/>
  <c r="H59" i="7"/>
  <c r="H58" i="7"/>
  <c r="H55" i="7"/>
  <c r="H43" i="7"/>
  <c r="H39" i="7"/>
  <c r="H37" i="7"/>
  <c r="H36" i="7"/>
  <c r="G36" i="7"/>
  <c r="AG36" i="7" s="1"/>
  <c r="H35" i="7"/>
  <c r="H28" i="7"/>
  <c r="H23" i="7"/>
  <c r="G10" i="7"/>
  <c r="H14" i="1"/>
  <c r="I14" i="1"/>
  <c r="F14" i="1"/>
  <c r="E14" i="1"/>
  <c r="D14" i="1"/>
  <c r="CF6" i="1"/>
  <c r="FI6" i="1"/>
  <c r="G14" i="1"/>
  <c r="O76" i="3"/>
  <c r="Q68" i="3"/>
  <c r="S68" i="3" s="1"/>
  <c r="CM54" i="1"/>
  <c r="CG62" i="1"/>
  <c r="CH62" i="1" s="1"/>
  <c r="CG78" i="1"/>
  <c r="CH78" i="1" s="1"/>
  <c r="FI63" i="1"/>
  <c r="CG67" i="1"/>
  <c r="CH67" i="1" s="1"/>
  <c r="FI69" i="1"/>
  <c r="CG74" i="1"/>
  <c r="CH74" i="1" s="1"/>
  <c r="CF74" i="1"/>
  <c r="FH97" i="1"/>
  <c r="EV97" i="1"/>
  <c r="EU97" i="1"/>
  <c r="ET97" i="1"/>
  <c r="ES97" i="1"/>
  <c r="CG83" i="1"/>
  <c r="CH83" i="1" s="1"/>
  <c r="CF97" i="1"/>
  <c r="CD97" i="1"/>
  <c r="I48" i="3"/>
  <c r="Q79" i="3"/>
  <c r="S79" i="3" s="1"/>
  <c r="J63" i="23"/>
  <c r="L63" i="23" s="1"/>
  <c r="K63" i="23"/>
  <c r="J52" i="23"/>
  <c r="L52" i="23" s="1"/>
  <c r="K52" i="23"/>
  <c r="J100" i="23"/>
  <c r="O100" i="23" s="1"/>
  <c r="K100" i="23"/>
  <c r="J104" i="23"/>
  <c r="M104" i="23" s="1"/>
  <c r="K104" i="23"/>
  <c r="L45" i="23"/>
  <c r="P45" i="23" s="1"/>
  <c r="K45" i="23"/>
  <c r="J6" i="23"/>
  <c r="N6" i="23" s="1"/>
  <c r="K6" i="23"/>
  <c r="J3" i="23"/>
  <c r="N3" i="23" s="1"/>
  <c r="K3" i="23"/>
  <c r="J44" i="23"/>
  <c r="L44" i="23" s="1"/>
  <c r="K44" i="23"/>
  <c r="J40" i="23"/>
  <c r="L40" i="23" s="1"/>
  <c r="L42" i="23" s="1"/>
  <c r="K40" i="23"/>
  <c r="K42" i="23" s="1"/>
  <c r="J112" i="23"/>
  <c r="P112" i="23" s="1"/>
  <c r="K112" i="23"/>
  <c r="X2" i="3"/>
  <c r="Y2" i="3" s="1"/>
  <c r="AQ64" i="5"/>
  <c r="X70" i="1" s="1"/>
  <c r="AS63" i="5"/>
  <c r="BR63" i="5" s="1"/>
  <c r="BC154" i="5"/>
  <c r="BC159" i="5" s="1"/>
  <c r="AC81" i="1" s="1"/>
  <c r="AC119" i="1" s="1"/>
  <c r="M154" i="5"/>
  <c r="M159" i="5" s="1"/>
  <c r="AC11" i="1" s="1"/>
  <c r="AC48" i="1" s="1"/>
  <c r="X48" i="1"/>
  <c r="V48" i="1"/>
  <c r="F209" i="5"/>
  <c r="F210" i="5" s="1"/>
  <c r="Z4" i="1" s="1"/>
  <c r="Z88" i="1" s="1"/>
  <c r="F196" i="5"/>
  <c r="AA4" i="1" s="1"/>
  <c r="J196" i="5"/>
  <c r="AA8" i="1" s="1"/>
  <c r="AA57" i="1" s="1"/>
  <c r="L154" i="5"/>
  <c r="L159" i="5" s="1"/>
  <c r="AC10" i="1" s="1"/>
  <c r="O154" i="5"/>
  <c r="O159" i="5" s="1"/>
  <c r="AC13" i="1" s="1"/>
  <c r="E209" i="5"/>
  <c r="E210" i="5" s="1"/>
  <c r="Z3" i="1" s="1"/>
  <c r="BF154" i="5"/>
  <c r="BF159" i="5" s="1"/>
  <c r="AC84" i="1" s="1"/>
  <c r="AY154" i="5"/>
  <c r="AY159" i="5" s="1"/>
  <c r="AC78" i="1" s="1"/>
  <c r="AZ154" i="5"/>
  <c r="AZ159" i="5" s="1"/>
  <c r="AC79" i="1" s="1"/>
  <c r="AP154" i="5"/>
  <c r="AX154" i="5"/>
  <c r="AX159" i="5" s="1"/>
  <c r="AC77" i="1" s="1"/>
  <c r="BA154" i="5"/>
  <c r="X154" i="5"/>
  <c r="X159" i="5" s="1"/>
  <c r="AC58" i="1" s="1"/>
  <c r="BD154" i="5"/>
  <c r="BD159" i="5" s="1"/>
  <c r="AC82" i="1" s="1"/>
  <c r="AM154" i="5"/>
  <c r="AM159" i="5" s="1"/>
  <c r="AC66" i="1" s="1"/>
  <c r="AO154" i="5"/>
  <c r="T154" i="5"/>
  <c r="T159" i="5" s="1"/>
  <c r="AC55" i="1" s="1"/>
  <c r="V154" i="5"/>
  <c r="BF209" i="5"/>
  <c r="BF210" i="5"/>
  <c r="Z84" i="1" s="1"/>
  <c r="BE209" i="5"/>
  <c r="AK154" i="5"/>
  <c r="AK159" i="5" s="1"/>
  <c r="AC64" i="1" s="1"/>
  <c r="AE63" i="5"/>
  <c r="AE64" i="5" s="1"/>
  <c r="X61" i="1" s="1"/>
  <c r="BB159" i="5"/>
  <c r="AZ209" i="5"/>
  <c r="AZ210" i="5" s="1"/>
  <c r="Z79" i="1" s="1"/>
  <c r="AY209" i="5"/>
  <c r="AY210" i="5" s="1"/>
  <c r="Z78" i="1" s="1"/>
  <c r="AX209" i="5"/>
  <c r="AX210" i="5" s="1"/>
  <c r="Z77" i="1" s="1"/>
  <c r="AD63" i="5"/>
  <c r="AD64" i="5" s="1"/>
  <c r="AG154" i="5"/>
  <c r="AW210" i="5"/>
  <c r="Z76" i="1" s="1"/>
  <c r="AQ154" i="5"/>
  <c r="AQ159" i="5" s="1"/>
  <c r="AC70" i="1" s="1"/>
  <c r="AE154" i="5"/>
  <c r="AE159" i="5" s="1"/>
  <c r="AC61" i="1" s="1"/>
  <c r="P159" i="5"/>
  <c r="BA209" i="5"/>
  <c r="BA210" i="5" s="1"/>
  <c r="Z80" i="1" s="1"/>
  <c r="AJ154" i="5"/>
  <c r="AJ159" i="5" s="1"/>
  <c r="Y154" i="5"/>
  <c r="Y159" i="5" s="1"/>
  <c r="Y58" i="3"/>
  <c r="Z58" i="3" s="1"/>
  <c r="AA58" i="3" s="1"/>
  <c r="Y53" i="3"/>
  <c r="Z53" i="3" s="1"/>
  <c r="AA53" i="3" s="1"/>
  <c r="Y40" i="3"/>
  <c r="Z40" i="3" s="1"/>
  <c r="AA40" i="3" s="1"/>
  <c r="Z62" i="3"/>
  <c r="AA62" i="3" s="1"/>
  <c r="Y39" i="3"/>
  <c r="Z39" i="3" s="1"/>
  <c r="AA39" i="3" s="1"/>
  <c r="Y42" i="3"/>
  <c r="Y33" i="3"/>
  <c r="Z33" i="3" s="1"/>
  <c r="AA33" i="3" s="1"/>
  <c r="Z57" i="3"/>
  <c r="AA57" i="3" s="1"/>
  <c r="Y56" i="3"/>
  <c r="Z56" i="3" s="1"/>
  <c r="AA56" i="3" s="1"/>
  <c r="Y51" i="3"/>
  <c r="Z51" i="3" s="1"/>
  <c r="AA51" i="3" s="1"/>
  <c r="Y20" i="3"/>
  <c r="Z20" i="3" s="1"/>
  <c r="AA20" i="3" s="1"/>
  <c r="Z67" i="3"/>
  <c r="AA67" i="3" s="1"/>
  <c r="Y50" i="3"/>
  <c r="Z50" i="3" s="1"/>
  <c r="AA50" i="3" s="1"/>
  <c r="Y49" i="3"/>
  <c r="Z49" i="3" s="1"/>
  <c r="AA49" i="3" s="1"/>
  <c r="Y43" i="3"/>
  <c r="Z43" i="3" s="1"/>
  <c r="AA43" i="3" s="1"/>
  <c r="Z55" i="3"/>
  <c r="AA55" i="3" s="1"/>
  <c r="Z41" i="3"/>
  <c r="AA41" i="3" s="1"/>
  <c r="Y71" i="3"/>
  <c r="AJ71" i="3" s="1"/>
  <c r="BA71" i="3" s="1"/>
  <c r="Z72" i="3"/>
  <c r="AA72" i="3" s="1"/>
  <c r="Y81" i="3"/>
  <c r="Z81" i="3" s="1"/>
  <c r="AA81" i="3" s="1"/>
  <c r="Y70" i="3"/>
  <c r="AJ70" i="3" s="1"/>
  <c r="BA70" i="3" s="1"/>
  <c r="C111" i="3"/>
  <c r="D111" i="3" s="1"/>
  <c r="G787" i="7" l="1"/>
  <c r="AG787" i="7"/>
  <c r="AI141" i="7"/>
  <c r="AB141" i="7"/>
  <c r="AI10" i="7"/>
  <c r="AB10" i="7"/>
  <c r="AI92" i="7"/>
  <c r="AI36" i="7"/>
  <c r="AI123" i="7"/>
  <c r="AI248" i="7"/>
  <c r="AI91" i="7"/>
  <c r="AI114" i="7"/>
  <c r="CN84" i="1"/>
  <c r="AN97" i="1"/>
  <c r="K71" i="23"/>
  <c r="G74" i="23"/>
  <c r="EI45" i="1"/>
  <c r="CQ21" i="1"/>
  <c r="AN4" i="3"/>
  <c r="AY99" i="1"/>
  <c r="BG21" i="1"/>
  <c r="BO20" i="1"/>
  <c r="J10" i="1"/>
  <c r="AN106" i="1"/>
  <c r="EJ90" i="1"/>
  <c r="BJ40" i="1"/>
  <c r="BJ42" i="1" s="1"/>
  <c r="DX87" i="1"/>
  <c r="H94" i="1"/>
  <c r="BN91" i="1"/>
  <c r="AJ95" i="1"/>
  <c r="BB95" i="1"/>
  <c r="BJ95" i="1"/>
  <c r="EQ105" i="1"/>
  <c r="AQ20" i="5"/>
  <c r="BP189" i="5"/>
  <c r="H206" i="5"/>
  <c r="AW219" i="5"/>
  <c r="BQ76" i="1" s="1"/>
  <c r="AS88" i="1"/>
  <c r="CO97" i="1"/>
  <c r="L71" i="23"/>
  <c r="J74" i="23"/>
  <c r="EH19" i="1"/>
  <c r="Q19" i="1"/>
  <c r="ET99" i="1"/>
  <c r="BV5" i="1"/>
  <c r="CG5" i="1"/>
  <c r="AR103" i="1"/>
  <c r="BV9" i="1"/>
  <c r="BF95" i="1"/>
  <c r="EU94" i="1"/>
  <c r="D95" i="1"/>
  <c r="AK95" i="1"/>
  <c r="BC95" i="1"/>
  <c r="CP105" i="1"/>
  <c r="ER105" i="1"/>
  <c r="I119" i="1"/>
  <c r="BI119" i="1"/>
  <c r="Q10" i="5"/>
  <c r="BL37" i="5"/>
  <c r="F85" i="5"/>
  <c r="AF144" i="5"/>
  <c r="X4" i="3"/>
  <c r="Y4" i="3" s="1"/>
  <c r="Q99" i="1"/>
  <c r="AP50" i="1"/>
  <c r="V106" i="1"/>
  <c r="EV20" i="1"/>
  <c r="BT26" i="1"/>
  <c r="BH87" i="1"/>
  <c r="AW107" i="1"/>
  <c r="CW90" i="1"/>
  <c r="DV93" i="1"/>
  <c r="BP80" i="1"/>
  <c r="N40" i="1"/>
  <c r="N97" i="1"/>
  <c r="BL97" i="1"/>
  <c r="BZ97" i="1"/>
  <c r="CY97" i="1"/>
  <c r="EC97" i="1"/>
  <c r="T80" i="1"/>
  <c r="T70" i="1"/>
  <c r="AP91" i="1"/>
  <c r="N159" i="5"/>
  <c r="AC12" i="1" s="1"/>
  <c r="AC54" i="1" s="1"/>
  <c r="AA119" i="1"/>
  <c r="AX104" i="1"/>
  <c r="EA19" i="1"/>
  <c r="BF104" i="1"/>
  <c r="CU99" i="1"/>
  <c r="DW19" i="1"/>
  <c r="M106" i="1"/>
  <c r="BB106" i="1"/>
  <c r="CJ23" i="1"/>
  <c r="CT106" i="1"/>
  <c r="DV106" i="1"/>
  <c r="ED23" i="1"/>
  <c r="F97" i="1"/>
  <c r="BE105" i="1"/>
  <c r="BM105" i="1"/>
  <c r="S119" i="1"/>
  <c r="S41" i="1" s="1"/>
  <c r="T84" i="1"/>
  <c r="Q303" i="5"/>
  <c r="CO99" i="1"/>
  <c r="Q20" i="1"/>
  <c r="AW23" i="1"/>
  <c r="AX103" i="1"/>
  <c r="G21" i="1"/>
  <c r="Q21" i="1"/>
  <c r="BL99" i="1"/>
  <c r="BZ99" i="1"/>
  <c r="DX21" i="1"/>
  <c r="N23" i="1"/>
  <c r="N24" i="1" s="1"/>
  <c r="AJ23" i="1"/>
  <c r="AR23" i="1"/>
  <c r="CK106" i="1"/>
  <c r="BP12" i="1"/>
  <c r="BZ87" i="1"/>
  <c r="BP56" i="1"/>
  <c r="BP67" i="1"/>
  <c r="D91" i="1"/>
  <c r="M91" i="1"/>
  <c r="DX94" i="1"/>
  <c r="EM97" i="1"/>
  <c r="CG84" i="1"/>
  <c r="CH84" i="1" s="1"/>
  <c r="G93" i="5"/>
  <c r="G94" i="5" s="1"/>
  <c r="R5" i="1" s="1"/>
  <c r="R44" i="1" s="1"/>
  <c r="Q119" i="5"/>
  <c r="AT275" i="5"/>
  <c r="CC73" i="1" s="1"/>
  <c r="Q103" i="1"/>
  <c r="ER104" i="1"/>
  <c r="BP8" i="1"/>
  <c r="CA21" i="1"/>
  <c r="CW21" i="1"/>
  <c r="BL23" i="1"/>
  <c r="BZ106" i="1"/>
  <c r="CV106" i="1"/>
  <c r="BK41" i="1"/>
  <c r="J67" i="1"/>
  <c r="AS90" i="1"/>
  <c r="CG73" i="1"/>
  <c r="CH73" i="1" s="1"/>
  <c r="CM119" i="1"/>
  <c r="CM26" i="1" s="1"/>
  <c r="AK72" i="5"/>
  <c r="T78" i="1"/>
  <c r="AL119" i="1"/>
  <c r="CP23" i="1"/>
  <c r="BF50" i="1"/>
  <c r="BV6" i="1"/>
  <c r="EI21" i="1"/>
  <c r="EU19" i="1"/>
  <c r="AU23" i="1"/>
  <c r="AU24" i="1" s="1"/>
  <c r="BE23" i="1"/>
  <c r="CA23" i="1"/>
  <c r="C91" i="3"/>
  <c r="AJ100" i="1"/>
  <c r="CG82" i="1"/>
  <c r="CH82" i="1" s="1"/>
  <c r="CF119" i="1"/>
  <c r="CF40" i="1" s="1"/>
  <c r="DT28" i="1"/>
  <c r="BO82" i="5"/>
  <c r="U724" i="15"/>
  <c r="BM19" i="1"/>
  <c r="EE23" i="1"/>
  <c r="EE49" i="1"/>
  <c r="M98" i="1"/>
  <c r="M48" i="1"/>
  <c r="BO44" i="1"/>
  <c r="CY48" i="1"/>
  <c r="CR44" i="1"/>
  <c r="AM98" i="1"/>
  <c r="BE106" i="1"/>
  <c r="L23" i="1"/>
  <c r="L24" i="1" s="1"/>
  <c r="BW50" i="1"/>
  <c r="AW20" i="1"/>
  <c r="AQ44" i="1"/>
  <c r="H104" i="1"/>
  <c r="BK48" i="1"/>
  <c r="B21" i="1"/>
  <c r="D88" i="1"/>
  <c r="M44" i="1"/>
  <c r="C4" i="3"/>
  <c r="AP103" i="1"/>
  <c r="AP20" i="1"/>
  <c r="BN50" i="1"/>
  <c r="BN103" i="1"/>
  <c r="ET103" i="1"/>
  <c r="ET20" i="1"/>
  <c r="BF99" i="1"/>
  <c r="BH94" i="1"/>
  <c r="BH97" i="1"/>
  <c r="BE21" i="1"/>
  <c r="BQ57" i="1"/>
  <c r="BQ103" i="1"/>
  <c r="CD21" i="1"/>
  <c r="CD19" i="1"/>
  <c r="G49" i="1"/>
  <c r="G106" i="1"/>
  <c r="EA48" i="1"/>
  <c r="EA98" i="1"/>
  <c r="CG15" i="1"/>
  <c r="CH15" i="1" s="1"/>
  <c r="CM88" i="1"/>
  <c r="CB62" i="1"/>
  <c r="BZ95" i="1"/>
  <c r="BZ94" i="1"/>
  <c r="BZ96" i="1"/>
  <c r="BZ105" i="1"/>
  <c r="CX96" i="1"/>
  <c r="CX95" i="1"/>
  <c r="ER95" i="1"/>
  <c r="F50" i="1"/>
  <c r="F20" i="1"/>
  <c r="EU23" i="1"/>
  <c r="BC23" i="1"/>
  <c r="CX23" i="1"/>
  <c r="I31" i="3"/>
  <c r="AI88" i="1"/>
  <c r="BK23" i="1"/>
  <c r="BK49" i="1"/>
  <c r="ER49" i="1"/>
  <c r="ER106" i="1"/>
  <c r="C84" i="3"/>
  <c r="M95" i="1"/>
  <c r="ER23" i="1"/>
  <c r="CF17" i="1"/>
  <c r="BE103" i="1"/>
  <c r="EU106" i="1"/>
  <c r="AR49" i="1"/>
  <c r="BZ19" i="1"/>
  <c r="M26" i="1"/>
  <c r="AK23" i="1"/>
  <c r="AK24" i="1" s="1"/>
  <c r="C9" i="3"/>
  <c r="BW99" i="1"/>
  <c r="AU44" i="1"/>
  <c r="AU26" i="1"/>
  <c r="CK103" i="1"/>
  <c r="CU103" i="1"/>
  <c r="M21" i="1"/>
  <c r="C8" i="3"/>
  <c r="C16" i="3" s="1"/>
  <c r="BI99" i="1"/>
  <c r="X23" i="1"/>
  <c r="X49" i="1"/>
  <c r="AY23" i="1"/>
  <c r="AY49" i="1"/>
  <c r="BO23" i="1"/>
  <c r="DU36" i="1"/>
  <c r="G46" i="3"/>
  <c r="G101" i="3" s="1"/>
  <c r="H3" i="3"/>
  <c r="AJ104" i="1"/>
  <c r="D48" i="1"/>
  <c r="D98" i="1"/>
  <c r="AN10" i="3"/>
  <c r="AN21" i="1"/>
  <c r="BZ50" i="1"/>
  <c r="G4" i="3"/>
  <c r="G9" i="3" s="1"/>
  <c r="CV103" i="1"/>
  <c r="AI44" i="1"/>
  <c r="O50" i="1"/>
  <c r="Z70" i="3"/>
  <c r="AA70" i="3" s="1"/>
  <c r="C10" i="3"/>
  <c r="C22" i="3" s="1"/>
  <c r="BV10" i="1"/>
  <c r="CJ49" i="1"/>
  <c r="AJ106" i="1"/>
  <c r="D23" i="1"/>
  <c r="D24" i="1" s="1"/>
  <c r="BZ21" i="1"/>
  <c r="G19" i="1"/>
  <c r="AM50" i="1"/>
  <c r="G20" i="1"/>
  <c r="AO4" i="3"/>
  <c r="BW23" i="1"/>
  <c r="CD48" i="1"/>
  <c r="AZ48" i="1"/>
  <c r="F98" i="1"/>
  <c r="AJ49" i="1"/>
  <c r="BN99" i="1"/>
  <c r="AP21" i="1"/>
  <c r="BN57" i="1"/>
  <c r="BP57" i="1" s="1"/>
  <c r="B27" i="1"/>
  <c r="AJ44" i="1"/>
  <c r="D105" i="1"/>
  <c r="ER15" i="1"/>
  <c r="ER17" i="1" s="1"/>
  <c r="ER100" i="1"/>
  <c r="BR91" i="1"/>
  <c r="AW99" i="1"/>
  <c r="CU49" i="1"/>
  <c r="CU23" i="1"/>
  <c r="CU24" i="1" s="1"/>
  <c r="BE99" i="1"/>
  <c r="AN50" i="1"/>
  <c r="BM103" i="1"/>
  <c r="BM50" i="1"/>
  <c r="I41" i="1"/>
  <c r="AZ23" i="1"/>
  <c r="EL23" i="1"/>
  <c r="CR23" i="1"/>
  <c r="D106" i="1"/>
  <c r="AW21" i="1"/>
  <c r="FH50" i="1"/>
  <c r="CD20" i="1"/>
  <c r="G30" i="1"/>
  <c r="CU104" i="1"/>
  <c r="BC48" i="1"/>
  <c r="AU106" i="1"/>
  <c r="I49" i="1"/>
  <c r="AX50" i="1"/>
  <c r="M97" i="1"/>
  <c r="BM21" i="1"/>
  <c r="AW19" i="1"/>
  <c r="AI106" i="1"/>
  <c r="BP5" i="1"/>
  <c r="BP44" i="1" s="1"/>
  <c r="E50" i="1"/>
  <c r="E21" i="1"/>
  <c r="N50" i="1"/>
  <c r="N21" i="1"/>
  <c r="AV20" i="1"/>
  <c r="AV50" i="1"/>
  <c r="BW103" i="1"/>
  <c r="BW19" i="1"/>
  <c r="CU50" i="1"/>
  <c r="CU20" i="1"/>
  <c r="AV19" i="1"/>
  <c r="BD21" i="1"/>
  <c r="BL21" i="1"/>
  <c r="EE21" i="1"/>
  <c r="AI49" i="1"/>
  <c r="AI23" i="1"/>
  <c r="AQ106" i="1"/>
  <c r="E101" i="3"/>
  <c r="AM41" i="1"/>
  <c r="AM88" i="1"/>
  <c r="BI103" i="1"/>
  <c r="BR104" i="1"/>
  <c r="AU104" i="1"/>
  <c r="BC21" i="1"/>
  <c r="CK21" i="1"/>
  <c r="CT21" i="1"/>
  <c r="ED19" i="1"/>
  <c r="AI98" i="1"/>
  <c r="CX17" i="1"/>
  <c r="DT27" i="1"/>
  <c r="BL96" i="1"/>
  <c r="AS95" i="1"/>
  <c r="CS91" i="1"/>
  <c r="AY89" i="1"/>
  <c r="J62" i="1"/>
  <c r="CB66" i="1"/>
  <c r="E78" i="3"/>
  <c r="C119" i="1"/>
  <c r="C40" i="1" s="1"/>
  <c r="DX97" i="1"/>
  <c r="CV87" i="1"/>
  <c r="EM87" i="1"/>
  <c r="DZ94" i="1"/>
  <c r="DZ95" i="1"/>
  <c r="B66" i="3"/>
  <c r="B93" i="1"/>
  <c r="FI70" i="1"/>
  <c r="FH93" i="1"/>
  <c r="G73" i="3"/>
  <c r="AQ97" i="1"/>
  <c r="Q80" i="5"/>
  <c r="D80" i="5"/>
  <c r="BS40" i="1"/>
  <c r="BS42" i="1" s="1"/>
  <c r="BZ93" i="1"/>
  <c r="CF87" i="1"/>
  <c r="BH91" i="1"/>
  <c r="EH91" i="1"/>
  <c r="EH90" i="1"/>
  <c r="BP66" i="1"/>
  <c r="AJ94" i="1"/>
  <c r="AJ93" i="1"/>
  <c r="L114" i="1"/>
  <c r="L27" i="1" s="1"/>
  <c r="L30" i="1" s="1"/>
  <c r="DX114" i="1"/>
  <c r="BZ114" i="1"/>
  <c r="EE26" i="1"/>
  <c r="R97" i="1"/>
  <c r="H73" i="3"/>
  <c r="AJ97" i="1"/>
  <c r="BE88" i="1"/>
  <c r="CO104" i="1"/>
  <c r="CW88" i="1"/>
  <c r="DY104" i="1"/>
  <c r="EH104" i="1"/>
  <c r="ET104" i="1"/>
  <c r="F106" i="1"/>
  <c r="O23" i="1"/>
  <c r="O24" i="1" s="1"/>
  <c r="AI99" i="1"/>
  <c r="AR20" i="1"/>
  <c r="AZ19" i="1"/>
  <c r="BR20" i="1"/>
  <c r="CY21" i="1"/>
  <c r="EJ21" i="1"/>
  <c r="EV19" i="1"/>
  <c r="AM23" i="1"/>
  <c r="AW106" i="1"/>
  <c r="J12" i="1"/>
  <c r="BS41" i="1"/>
  <c r="EQ95" i="1"/>
  <c r="AJ105" i="1"/>
  <c r="M107" i="1"/>
  <c r="D101" i="3"/>
  <c r="M90" i="1"/>
  <c r="M128" i="1" s="1"/>
  <c r="M100" i="1"/>
  <c r="BJ91" i="1"/>
  <c r="BT91" i="1"/>
  <c r="BT90" i="1"/>
  <c r="D93" i="1"/>
  <c r="D96" i="1"/>
  <c r="M94" i="1"/>
  <c r="M93" i="1"/>
  <c r="AL95" i="1"/>
  <c r="AT95" i="1"/>
  <c r="BM95" i="1"/>
  <c r="AR119" i="1"/>
  <c r="BV115" i="1"/>
  <c r="BV65" i="1"/>
  <c r="N90" i="1"/>
  <c r="N128" i="1" s="1"/>
  <c r="CI115" i="1"/>
  <c r="CG115" i="1"/>
  <c r="BZ115" i="1"/>
  <c r="DY115" i="1"/>
  <c r="DY28" i="1" s="1"/>
  <c r="Q115" i="1"/>
  <c r="Q28" i="1" s="1"/>
  <c r="DV115" i="1"/>
  <c r="AC115" i="1"/>
  <c r="DZ115" i="1"/>
  <c r="DZ28" i="1" s="1"/>
  <c r="S115" i="1"/>
  <c r="F115" i="1"/>
  <c r="CM93" i="1"/>
  <c r="H88" i="1"/>
  <c r="DW106" i="1"/>
  <c r="BT20" i="1"/>
  <c r="CS104" i="1"/>
  <c r="H17" i="3"/>
  <c r="BU21" i="1"/>
  <c r="K23" i="1"/>
  <c r="K24" i="1" s="1"/>
  <c r="AO23" i="1"/>
  <c r="Q74" i="3"/>
  <c r="S74" i="3" s="1"/>
  <c r="AQ91" i="1"/>
  <c r="CO87" i="1"/>
  <c r="CW87" i="1"/>
  <c r="DZ87" i="1"/>
  <c r="EQ87" i="1"/>
  <c r="BE107" i="1"/>
  <c r="CS100" i="1"/>
  <c r="CS101" i="1" s="1"/>
  <c r="DA100" i="1"/>
  <c r="F91" i="1"/>
  <c r="O91" i="1"/>
  <c r="O95" i="1"/>
  <c r="J76" i="1"/>
  <c r="AU107" i="1"/>
  <c r="BP81" i="1"/>
  <c r="BP119" i="1" s="1"/>
  <c r="AT114" i="1"/>
  <c r="T76" i="1"/>
  <c r="AW104" i="5"/>
  <c r="AW105" i="5" s="1"/>
  <c r="U76" i="1" s="1"/>
  <c r="BE159" i="5"/>
  <c r="AC83" i="1" s="1"/>
  <c r="BL208" i="5"/>
  <c r="BL209" i="5" s="1"/>
  <c r="J204" i="5" s="1"/>
  <c r="BT41" i="1"/>
  <c r="BV78" i="1"/>
  <c r="AR240" i="5"/>
  <c r="AR242" i="5" s="1"/>
  <c r="CI93" i="1"/>
  <c r="BR59" i="5"/>
  <c r="Q151" i="5"/>
  <c r="AV176" i="5"/>
  <c r="CN75" i="1" s="1"/>
  <c r="AC176" i="5"/>
  <c r="AF221" i="5"/>
  <c r="Q237" i="5"/>
  <c r="AT176" i="5"/>
  <c r="CN73" i="1" s="1"/>
  <c r="CM87" i="1"/>
  <c r="AO87" i="1"/>
  <c r="AT119" i="1"/>
  <c r="AT26" i="1" s="1"/>
  <c r="BF88" i="1"/>
  <c r="BW97" i="1"/>
  <c r="I94" i="3"/>
  <c r="BP72" i="1"/>
  <c r="AM97" i="1"/>
  <c r="AU97" i="1"/>
  <c r="BK97" i="1"/>
  <c r="BP79" i="1"/>
  <c r="CC95" i="1"/>
  <c r="AK119" i="1"/>
  <c r="AK41" i="1" s="1"/>
  <c r="BI40" i="1"/>
  <c r="BQ119" i="1"/>
  <c r="BQ40" i="1" s="1"/>
  <c r="U93" i="1"/>
  <c r="J42" i="5"/>
  <c r="J46" i="5" s="1"/>
  <c r="J47" i="5" s="1"/>
  <c r="W8" i="1" s="1"/>
  <c r="Y8" i="1" s="1"/>
  <c r="BP58" i="1"/>
  <c r="K69" i="23"/>
  <c r="CS41" i="1"/>
  <c r="BC41" i="1"/>
  <c r="EC41" i="1"/>
  <c r="EJ40" i="1"/>
  <c r="CK100" i="1"/>
  <c r="CK101" i="1" s="1"/>
  <c r="T65" i="1"/>
  <c r="AN91" i="1"/>
  <c r="BE90" i="1"/>
  <c r="BM90" i="1"/>
  <c r="BZ90" i="1"/>
  <c r="ER90" i="1"/>
  <c r="AU98" i="1"/>
  <c r="CV93" i="1"/>
  <c r="CA97" i="1"/>
  <c r="CX94" i="1"/>
  <c r="EA97" i="1"/>
  <c r="J83" i="1"/>
  <c r="J105" i="1" s="1"/>
  <c r="AR32" i="5"/>
  <c r="Q38" i="5"/>
  <c r="AR51" i="5"/>
  <c r="AR52" i="5"/>
  <c r="AR53" i="5"/>
  <c r="AN59" i="5"/>
  <c r="AR142" i="5"/>
  <c r="AL41" i="1"/>
  <c r="BM87" i="1"/>
  <c r="CB55" i="1"/>
  <c r="CG56" i="1"/>
  <c r="CH56" i="1" s="1"/>
  <c r="CB60" i="1"/>
  <c r="J61" i="1"/>
  <c r="BV61" i="1"/>
  <c r="L100" i="1"/>
  <c r="BI100" i="1"/>
  <c r="DX100" i="1"/>
  <c r="AW90" i="1"/>
  <c r="CQ100" i="1"/>
  <c r="ES90" i="1"/>
  <c r="BI90" i="1"/>
  <c r="H93" i="1"/>
  <c r="BM97" i="1"/>
  <c r="CC97" i="1"/>
  <c r="CT119" i="1"/>
  <c r="DV119" i="1"/>
  <c r="DV41" i="1" s="1"/>
  <c r="AT150" i="5"/>
  <c r="AT151" i="5" s="1"/>
  <c r="I20" i="5"/>
  <c r="AR22" i="5"/>
  <c r="Q216" i="5"/>
  <c r="AX72" i="5"/>
  <c r="BJ102" i="5"/>
  <c r="H104" i="5"/>
  <c r="H105" i="5" s="1"/>
  <c r="U6" i="1" s="1"/>
  <c r="AP93" i="1"/>
  <c r="AP95" i="1"/>
  <c r="K176" i="5"/>
  <c r="CL9" i="1" s="1"/>
  <c r="AH176" i="5"/>
  <c r="AN12" i="3"/>
  <c r="AN78" i="3"/>
  <c r="BJ100" i="1"/>
  <c r="BO90" i="1"/>
  <c r="AX91" i="1"/>
  <c r="AF180" i="5"/>
  <c r="AF181" i="5"/>
  <c r="AR305" i="5"/>
  <c r="AR308" i="5" s="1"/>
  <c r="AO71" i="1" s="1"/>
  <c r="K395" i="21"/>
  <c r="I412" i="21"/>
  <c r="K413" i="21"/>
  <c r="K415" i="21"/>
  <c r="K400" i="21"/>
  <c r="K409" i="21"/>
  <c r="K383" i="21"/>
  <c r="BQ99" i="1"/>
  <c r="BQ20" i="1"/>
  <c r="BQ19" i="1"/>
  <c r="BQ21" i="1"/>
  <c r="AO103" i="1"/>
  <c r="AO20" i="1"/>
  <c r="AO19" i="1"/>
  <c r="AO17" i="1"/>
  <c r="AT106" i="1"/>
  <c r="AT49" i="1"/>
  <c r="AT23" i="1"/>
  <c r="CM90" i="1"/>
  <c r="CM91" i="1"/>
  <c r="AN57" i="1"/>
  <c r="AN103" i="1"/>
  <c r="BA104" i="1"/>
  <c r="BA88" i="1"/>
  <c r="L97" i="1"/>
  <c r="L91" i="1"/>
  <c r="D73" i="3"/>
  <c r="AX73" i="3" s="1"/>
  <c r="R106" i="1"/>
  <c r="R49" i="1"/>
  <c r="Q134" i="5"/>
  <c r="I155" i="5"/>
  <c r="Y31" i="3"/>
  <c r="AN31" i="3" s="1"/>
  <c r="AJ31" i="3"/>
  <c r="BU88" i="1"/>
  <c r="CA44" i="1"/>
  <c r="FI5" i="1"/>
  <c r="FI4" i="1"/>
  <c r="E100" i="3"/>
  <c r="E10" i="3"/>
  <c r="E22" i="3" s="1"/>
  <c r="ES106" i="1"/>
  <c r="EB106" i="1"/>
  <c r="CV49" i="1"/>
  <c r="CJ106" i="1"/>
  <c r="BL106" i="1"/>
  <c r="BA106" i="1"/>
  <c r="DY21" i="1"/>
  <c r="BM99" i="1"/>
  <c r="N99" i="1"/>
  <c r="G99" i="1"/>
  <c r="EH103" i="1"/>
  <c r="ET44" i="1"/>
  <c r="CW104" i="1"/>
  <c r="BR88" i="1"/>
  <c r="AV104" i="1"/>
  <c r="EM23" i="1"/>
  <c r="X106" i="1"/>
  <c r="ET21" i="1"/>
  <c r="C6" i="3"/>
  <c r="C88" i="3" s="1"/>
  <c r="L26" i="1"/>
  <c r="L88" i="1"/>
  <c r="CK49" i="1"/>
  <c r="CK23" i="1"/>
  <c r="CK24" i="1" s="1"/>
  <c r="DW23" i="1"/>
  <c r="AR48" i="1"/>
  <c r="AR98" i="1"/>
  <c r="AT40" i="1"/>
  <c r="V88" i="1"/>
  <c r="V41" i="1"/>
  <c r="BW91" i="1"/>
  <c r="CV90" i="1"/>
  <c r="CV91" i="1"/>
  <c r="H119" i="1"/>
  <c r="J81" i="1"/>
  <c r="T81" i="1"/>
  <c r="T119" i="1" s="1"/>
  <c r="R119" i="1"/>
  <c r="AM40" i="1"/>
  <c r="EI41" i="1"/>
  <c r="EI42" i="1" s="1"/>
  <c r="EI40" i="1"/>
  <c r="DO28" i="1"/>
  <c r="DO27" i="1"/>
  <c r="V42" i="1"/>
  <c r="BJ23" i="1"/>
  <c r="L106" i="1"/>
  <c r="CO23" i="1"/>
  <c r="CN11" i="1"/>
  <c r="CN48" i="1" s="1"/>
  <c r="AY93" i="1"/>
  <c r="AY95" i="1"/>
  <c r="CO95" i="1"/>
  <c r="CO105" i="1"/>
  <c r="AX23" i="1"/>
  <c r="T63" i="1"/>
  <c r="CF96" i="1"/>
  <c r="CF95" i="1"/>
  <c r="BP11" i="1"/>
  <c r="BP48" i="1" s="1"/>
  <c r="F104" i="1"/>
  <c r="AN6" i="3"/>
  <c r="D50" i="1"/>
  <c r="CN68" i="1"/>
  <c r="CL68" i="1"/>
  <c r="F17" i="1"/>
  <c r="BP49" i="1"/>
  <c r="DV23" i="1"/>
  <c r="ED49" i="1"/>
  <c r="C41" i="1"/>
  <c r="C42" i="1" s="1"/>
  <c r="Z71" i="3"/>
  <c r="AA71" i="3" s="1"/>
  <c r="V159" i="5"/>
  <c r="AC56" i="1" s="1"/>
  <c r="Q61" i="3"/>
  <c r="S61" i="3" s="1"/>
  <c r="BN44" i="1"/>
  <c r="BP23" i="1"/>
  <c r="N48" i="1"/>
  <c r="FH106" i="1"/>
  <c r="DV49" i="1"/>
  <c r="CV23" i="1"/>
  <c r="BZ49" i="1"/>
  <c r="BJ106" i="1"/>
  <c r="DV19" i="1"/>
  <c r="CJ19" i="1"/>
  <c r="E99" i="1"/>
  <c r="CW23" i="1"/>
  <c r="AP106" i="1"/>
  <c r="I106" i="1"/>
  <c r="D20" i="1"/>
  <c r="EQ104" i="1"/>
  <c r="C88" i="1"/>
  <c r="AP88" i="1"/>
  <c r="BD20" i="1"/>
  <c r="CK20" i="1"/>
  <c r="ER50" i="1"/>
  <c r="ER20" i="1"/>
  <c r="CB8" i="1"/>
  <c r="O99" i="1"/>
  <c r="K106" i="1"/>
  <c r="K49" i="1"/>
  <c r="BG90" i="1"/>
  <c r="BG91" i="1"/>
  <c r="EC91" i="1"/>
  <c r="EC90" i="1"/>
  <c r="CO44" i="1"/>
  <c r="EE48" i="1"/>
  <c r="BN23" i="1"/>
  <c r="EH45" i="1"/>
  <c r="BU106" i="1"/>
  <c r="R23" i="1"/>
  <c r="BI44" i="1"/>
  <c r="BI23" i="1"/>
  <c r="F3" i="3"/>
  <c r="AQ88" i="1"/>
  <c r="G3" i="3"/>
  <c r="AY88" i="1"/>
  <c r="BG88" i="1"/>
  <c r="BU23" i="1"/>
  <c r="AN99" i="1"/>
  <c r="AN19" i="1"/>
  <c r="CK99" i="1"/>
  <c r="CK19" i="1"/>
  <c r="BL40" i="1"/>
  <c r="BL42" i="1" s="1"/>
  <c r="AY92" i="1"/>
  <c r="CO88" i="1"/>
  <c r="C87" i="1"/>
  <c r="E17" i="1"/>
  <c r="AN8" i="3"/>
  <c r="D21" i="1"/>
  <c r="AP97" i="1"/>
  <c r="BA159" i="5"/>
  <c r="AC80" i="1" s="1"/>
  <c r="BF106" i="1"/>
  <c r="AP23" i="1"/>
  <c r="C44" i="1"/>
  <c r="BM106" i="1"/>
  <c r="E20" i="1"/>
  <c r="EB26" i="1"/>
  <c r="ET106" i="1"/>
  <c r="EH23" i="1"/>
  <c r="DX23" i="1"/>
  <c r="BM23" i="1"/>
  <c r="AJ103" i="1"/>
  <c r="AO159" i="5"/>
  <c r="AC68" i="1" s="1"/>
  <c r="I17" i="1"/>
  <c r="E98" i="1"/>
  <c r="EF23" i="1"/>
  <c r="CT23" i="1"/>
  <c r="CT24" i="1" s="1"/>
  <c r="CJ99" i="1"/>
  <c r="DV50" i="1"/>
  <c r="CF88" i="1"/>
  <c r="CF104" i="1"/>
  <c r="CW103" i="1"/>
  <c r="CW20" i="1"/>
  <c r="V103" i="1"/>
  <c r="BR54" i="1"/>
  <c r="BV54" i="1" s="1"/>
  <c r="BV12" i="1"/>
  <c r="H78" i="3"/>
  <c r="AJ119" i="1"/>
  <c r="AJ40" i="1" s="1"/>
  <c r="BJ104" i="1"/>
  <c r="BZ17" i="1"/>
  <c r="BR106" i="1"/>
  <c r="C98" i="3"/>
  <c r="EL106" i="1"/>
  <c r="BD23" i="1"/>
  <c r="F23" i="1"/>
  <c r="F24" i="1" s="1"/>
  <c r="CJ21" i="1"/>
  <c r="AM19" i="1"/>
  <c r="N20" i="1"/>
  <c r="L48" i="1"/>
  <c r="BN106" i="1"/>
  <c r="AU49" i="1"/>
  <c r="FH21" i="1"/>
  <c r="FH20" i="1"/>
  <c r="E30" i="1"/>
  <c r="AK45" i="1"/>
  <c r="CT49" i="1"/>
  <c r="Z42" i="3"/>
  <c r="AA42" i="3" s="1"/>
  <c r="FH19" i="1"/>
  <c r="BD103" i="1"/>
  <c r="DX106" i="1"/>
  <c r="BF23" i="1"/>
  <c r="BA23" i="1"/>
  <c r="CV99" i="1"/>
  <c r="N19" i="1"/>
  <c r="AU50" i="1"/>
  <c r="CS98" i="1"/>
  <c r="C49" i="1"/>
  <c r="CW50" i="1"/>
  <c r="CA20" i="1"/>
  <c r="L44" i="1"/>
  <c r="EJ88" i="1"/>
  <c r="BE26" i="1"/>
  <c r="CX103" i="1"/>
  <c r="EI19" i="1"/>
  <c r="EU104" i="1"/>
  <c r="G103" i="1"/>
  <c r="CS23" i="1"/>
  <c r="CS24" i="1" s="1"/>
  <c r="AJ14" i="1"/>
  <c r="H13" i="3" s="1"/>
  <c r="CC89" i="1"/>
  <c r="CC92" i="1"/>
  <c r="CC87" i="1"/>
  <c r="CY88" i="1"/>
  <c r="C93" i="1"/>
  <c r="C95" i="1"/>
  <c r="C96" i="1"/>
  <c r="C105" i="1"/>
  <c r="L94" i="1"/>
  <c r="L95" i="1"/>
  <c r="D65" i="3"/>
  <c r="D95" i="3" s="1"/>
  <c r="L105" i="1"/>
  <c r="BZ98" i="1"/>
  <c r="DR36" i="1"/>
  <c r="DQ35" i="1"/>
  <c r="D41" i="1"/>
  <c r="D59" i="3"/>
  <c r="BE87" i="1"/>
  <c r="BD93" i="1"/>
  <c r="BV119" i="1"/>
  <c r="BV28" i="1" s="1"/>
  <c r="AO31" i="3"/>
  <c r="CA107" i="1"/>
  <c r="AS5" i="5"/>
  <c r="AM5" i="5"/>
  <c r="AM6" i="5" s="1"/>
  <c r="AL151" i="5"/>
  <c r="AL154" i="5" s="1"/>
  <c r="AL159" i="5" s="1"/>
  <c r="AC65" i="1" s="1"/>
  <c r="AN150" i="5"/>
  <c r="AN151" i="5" s="1"/>
  <c r="AU242" i="5"/>
  <c r="AF240" i="5"/>
  <c r="AF242" i="5" s="1"/>
  <c r="G334" i="5"/>
  <c r="AB5" i="1" s="1"/>
  <c r="AB44" i="1" s="1"/>
  <c r="K334" i="5"/>
  <c r="AB9" i="1" s="1"/>
  <c r="L334" i="5"/>
  <c r="AB10" i="1" s="1"/>
  <c r="AE334" i="5"/>
  <c r="AB61" i="1" s="1"/>
  <c r="AM334" i="5"/>
  <c r="AB66" i="1" s="1"/>
  <c r="O334" i="5"/>
  <c r="AB13" i="1" s="1"/>
  <c r="F334" i="5"/>
  <c r="AB4" i="1" s="1"/>
  <c r="CI41" i="1"/>
  <c r="AS195" i="5"/>
  <c r="AS196" i="5" s="1"/>
  <c r="AA72" i="1" s="1"/>
  <c r="AT189" i="5"/>
  <c r="EJ19" i="1"/>
  <c r="CY19" i="1"/>
  <c r="BR19" i="1"/>
  <c r="CK104" i="1"/>
  <c r="DW104" i="1"/>
  <c r="CG6" i="1"/>
  <c r="CH6" i="1" s="1"/>
  <c r="AJ20" i="1"/>
  <c r="EJ20" i="1"/>
  <c r="AZ61" i="3"/>
  <c r="D78" i="3"/>
  <c r="CK87" i="1"/>
  <c r="J57" i="1"/>
  <c r="CU94" i="1"/>
  <c r="EL94" i="1"/>
  <c r="CI119" i="1"/>
  <c r="CI28" i="1" s="1"/>
  <c r="AU82" i="5"/>
  <c r="AU83" i="5" s="1"/>
  <c r="S74" i="1" s="1"/>
  <c r="AW103" i="1"/>
  <c r="V104" i="1"/>
  <c r="AN88" i="1"/>
  <c r="BD104" i="1"/>
  <c r="BL104" i="1"/>
  <c r="CM104" i="1"/>
  <c r="DX104" i="1"/>
  <c r="EF104" i="1"/>
  <c r="ES88" i="1"/>
  <c r="CD106" i="1"/>
  <c r="CQ106" i="1"/>
  <c r="EA23" i="1"/>
  <c r="EJ23" i="1"/>
  <c r="EV106" i="1"/>
  <c r="J6" i="1"/>
  <c r="AS99" i="1"/>
  <c r="BA103" i="1"/>
  <c r="BI19" i="1"/>
  <c r="CF103" i="1"/>
  <c r="CG7" i="1"/>
  <c r="CG50" i="1" s="1"/>
  <c r="CB10" i="1"/>
  <c r="D103" i="3"/>
  <c r="CA119" i="1"/>
  <c r="G65" i="3"/>
  <c r="G95" i="3" s="1"/>
  <c r="AQ95" i="1"/>
  <c r="BW95" i="1"/>
  <c r="CK94" i="1"/>
  <c r="BV70" i="1"/>
  <c r="BA119" i="1"/>
  <c r="AU100" i="1"/>
  <c r="AU101" i="1" s="1"/>
  <c r="BK91" i="1"/>
  <c r="J66" i="1"/>
  <c r="CE76" i="1"/>
  <c r="CB76" i="1"/>
  <c r="AT97" i="1"/>
  <c r="EV94" i="1"/>
  <c r="CV119" i="1"/>
  <c r="CV40" i="1" s="1"/>
  <c r="B102" i="3"/>
  <c r="CE82" i="1"/>
  <c r="BU119" i="1"/>
  <c r="BU41" i="1" s="1"/>
  <c r="EQ119" i="1"/>
  <c r="AF146" i="5"/>
  <c r="Q156" i="5"/>
  <c r="BD176" i="5"/>
  <c r="CL82" i="1" s="1"/>
  <c r="CN82" i="1" s="1"/>
  <c r="AF188" i="5"/>
  <c r="Q275" i="5"/>
  <c r="AN282" i="5"/>
  <c r="AN334" i="5"/>
  <c r="AB67" i="1" s="1"/>
  <c r="Q252" i="5"/>
  <c r="Q267" i="5"/>
  <c r="AF281" i="5"/>
  <c r="AF282" i="5" s="1"/>
  <c r="AT334" i="5"/>
  <c r="AB73" i="1" s="1"/>
  <c r="P81" i="3"/>
  <c r="P83" i="3"/>
  <c r="BB93" i="1"/>
  <c r="BJ93" i="1"/>
  <c r="ER119" i="1"/>
  <c r="BL90" i="5"/>
  <c r="M209" i="5"/>
  <c r="M210" i="5" s="1"/>
  <c r="Z11" i="1" s="1"/>
  <c r="Z48" i="1" s="1"/>
  <c r="Q247" i="5"/>
  <c r="K100" i="1"/>
  <c r="AK93" i="1"/>
  <c r="AT93" i="1"/>
  <c r="CQ119" i="1"/>
  <c r="CY119" i="1"/>
  <c r="CS114" i="1"/>
  <c r="CS27" i="1" s="1"/>
  <c r="H176" i="5"/>
  <c r="CL6" i="1" s="1"/>
  <c r="CN6" i="1" s="1"/>
  <c r="N206" i="5"/>
  <c r="N209" i="5" s="1"/>
  <c r="N210" i="5" s="1"/>
  <c r="Z12" i="1" s="1"/>
  <c r="Z54" i="1" s="1"/>
  <c r="AR204" i="5"/>
  <c r="Q219" i="5"/>
  <c r="AF224" i="5"/>
  <c r="Q232" i="5"/>
  <c r="AJ38" i="3"/>
  <c r="BQ88" i="1"/>
  <c r="CD41" i="1"/>
  <c r="CZ88" i="1"/>
  <c r="F40" i="1"/>
  <c r="F42" i="1" s="1"/>
  <c r="AI87" i="1"/>
  <c r="AY87" i="1"/>
  <c r="BG40" i="1"/>
  <c r="CQ87" i="1"/>
  <c r="CY87" i="1"/>
  <c r="EC87" i="1"/>
  <c r="ES87" i="1"/>
  <c r="ES100" i="1"/>
  <c r="CM95" i="1"/>
  <c r="EU119" i="1"/>
  <c r="AO97" i="1"/>
  <c r="BP83" i="1"/>
  <c r="CD105" i="1"/>
  <c r="CR97" i="1"/>
  <c r="CZ97" i="1"/>
  <c r="CE83" i="1"/>
  <c r="CE105" i="1" s="1"/>
  <c r="AR115" i="1"/>
  <c r="EC114" i="1"/>
  <c r="O115" i="1"/>
  <c r="O28" i="1" s="1"/>
  <c r="T59" i="1"/>
  <c r="AR102" i="5"/>
  <c r="AR245" i="5"/>
  <c r="AR247" i="5" s="1"/>
  <c r="V91" i="1"/>
  <c r="AV119" i="1"/>
  <c r="AV26" i="1" s="1"/>
  <c r="AX119" i="1"/>
  <c r="AX40" i="1" s="1"/>
  <c r="Q352" i="5"/>
  <c r="BR419" i="5"/>
  <c r="Y59" i="3"/>
  <c r="CF41" i="1"/>
  <c r="CF42" i="1" s="1"/>
  <c r="C107" i="1"/>
  <c r="AK100" i="1"/>
  <c r="AK101" i="1" s="1"/>
  <c r="BR90" i="1"/>
  <c r="EU90" i="1"/>
  <c r="CE66" i="1"/>
  <c r="CE67" i="1"/>
  <c r="CB67" i="1"/>
  <c r="CW95" i="1"/>
  <c r="H115" i="1"/>
  <c r="FI115" i="1"/>
  <c r="DZ114" i="1"/>
  <c r="DZ27" i="1" s="1"/>
  <c r="Q150" i="5"/>
  <c r="K72" i="5"/>
  <c r="AW85" i="5"/>
  <c r="AR116" i="5"/>
  <c r="AR118" i="5" s="1"/>
  <c r="AR119" i="5" s="1"/>
  <c r="AP71" i="1" s="1"/>
  <c r="Q374" i="5"/>
  <c r="BB16" i="1" s="1"/>
  <c r="BB17" i="1" s="1"/>
  <c r="BD40" i="1"/>
  <c r="CG79" i="1"/>
  <c r="CH79" i="1" s="1"/>
  <c r="BA41" i="1"/>
  <c r="CT87" i="1"/>
  <c r="DV87" i="1"/>
  <c r="EJ87" i="1"/>
  <c r="EV87" i="1"/>
  <c r="BI87" i="1"/>
  <c r="DA40" i="1"/>
  <c r="DA42" i="1" s="1"/>
  <c r="EH87" i="1"/>
  <c r="EU87" i="1"/>
  <c r="CG57" i="1"/>
  <c r="CH57" i="1" s="1"/>
  <c r="J60" i="1"/>
  <c r="AL90" i="1"/>
  <c r="BW119" i="1"/>
  <c r="BW41" i="1" s="1"/>
  <c r="D115" i="1"/>
  <c r="D28" i="1" s="1"/>
  <c r="BA115" i="1"/>
  <c r="EL115" i="1"/>
  <c r="N176" i="5"/>
  <c r="CL12" i="1" s="1"/>
  <c r="CL54" i="1" s="1"/>
  <c r="CN54" i="1" s="1"/>
  <c r="AR221" i="5"/>
  <c r="Z83" i="3"/>
  <c r="AA83" i="3" s="1"/>
  <c r="K230" i="21"/>
  <c r="K288" i="21"/>
  <c r="CG44" i="1"/>
  <c r="CH5" i="1"/>
  <c r="CH44" i="1" s="1"/>
  <c r="CQ44" i="1"/>
  <c r="EU99" i="1"/>
  <c r="BO21" i="1"/>
  <c r="AI21" i="1"/>
  <c r="EU20" i="1"/>
  <c r="CX50" i="1"/>
  <c r="BI98" i="1"/>
  <c r="EL45" i="1"/>
  <c r="CX104" i="1"/>
  <c r="AR17" i="1"/>
  <c r="EU17" i="1"/>
  <c r="CG97" i="1"/>
  <c r="C100" i="3"/>
  <c r="BG19" i="1"/>
  <c r="AY19" i="1"/>
  <c r="EU50" i="1"/>
  <c r="DZ50" i="1"/>
  <c r="CP103" i="1"/>
  <c r="EJ45" i="1"/>
  <c r="CC21" i="1"/>
  <c r="CB5" i="1"/>
  <c r="CB44" i="1" s="1"/>
  <c r="BN20" i="1"/>
  <c r="DY20" i="1"/>
  <c r="K50" i="1"/>
  <c r="AO6" i="3"/>
  <c r="AO16" i="3" s="1"/>
  <c r="EE41" i="1"/>
  <c r="EE40" i="1"/>
  <c r="L107" i="1"/>
  <c r="D38" i="3"/>
  <c r="CD87" i="1"/>
  <c r="BH23" i="1"/>
  <c r="DZ20" i="1"/>
  <c r="CY23" i="1"/>
  <c r="CP21" i="1"/>
  <c r="B99" i="1"/>
  <c r="CC103" i="1"/>
  <c r="B103" i="1"/>
  <c r="AJ87" i="1"/>
  <c r="H31" i="3"/>
  <c r="Q31" i="3" s="1"/>
  <c r="S31" i="3" s="1"/>
  <c r="AX97" i="1"/>
  <c r="AX95" i="1"/>
  <c r="BG105" i="1"/>
  <c r="BG97" i="1"/>
  <c r="AV95" i="1"/>
  <c r="AV90" i="1"/>
  <c r="K103" i="1"/>
  <c r="EU21" i="1"/>
  <c r="CX19" i="1"/>
  <c r="CP19" i="1"/>
  <c r="I6" i="3"/>
  <c r="I88" i="3" s="1"/>
  <c r="ET88" i="1"/>
  <c r="DY48" i="1"/>
  <c r="EV23" i="1"/>
  <c r="CQ23" i="1"/>
  <c r="CD88" i="1"/>
  <c r="CP104" i="1"/>
  <c r="DZ104" i="1"/>
  <c r="CO19" i="1"/>
  <c r="EH21" i="1"/>
  <c r="O106" i="1"/>
  <c r="EW41" i="1"/>
  <c r="EW40" i="1"/>
  <c r="EW26" i="1"/>
  <c r="AW40" i="1"/>
  <c r="AW41" i="1"/>
  <c r="AV74" i="3"/>
  <c r="N74" i="3"/>
  <c r="Z74" i="3" s="1"/>
  <c r="AC74" i="3" s="1"/>
  <c r="BV44" i="1"/>
  <c r="CB7" i="1"/>
  <c r="CB103" i="1" s="1"/>
  <c r="AK106" i="1"/>
  <c r="DZ19" i="1"/>
  <c r="CX21" i="1"/>
  <c r="D16" i="3"/>
  <c r="EI50" i="1"/>
  <c r="BG20" i="1"/>
  <c r="EV44" i="1"/>
  <c r="O44" i="1"/>
  <c r="FI10" i="1"/>
  <c r="BI106" i="1"/>
  <c r="C104" i="1"/>
  <c r="AN17" i="1"/>
  <c r="M19" i="1"/>
  <c r="AJ99" i="1"/>
  <c r="AJ21" i="1"/>
  <c r="BH21" i="1"/>
  <c r="BH19" i="1"/>
  <c r="DV100" i="1"/>
  <c r="DV15" i="1"/>
  <c r="G91" i="1"/>
  <c r="G90" i="1"/>
  <c r="G128" i="1" s="1"/>
  <c r="CU90" i="1"/>
  <c r="CU91" i="1"/>
  <c r="CU100" i="1"/>
  <c r="CU101" i="1" s="1"/>
  <c r="B30" i="1"/>
  <c r="CD23" i="1"/>
  <c r="BH106" i="1"/>
  <c r="EJ26" i="1"/>
  <c r="EA45" i="1"/>
  <c r="ES98" i="1"/>
  <c r="CP98" i="1"/>
  <c r="K19" i="1"/>
  <c r="CD44" i="1"/>
  <c r="EF88" i="1"/>
  <c r="N104" i="1"/>
  <c r="N88" i="1"/>
  <c r="CR88" i="1"/>
  <c r="BT15" i="1"/>
  <c r="BV64" i="1"/>
  <c r="BB91" i="1"/>
  <c r="BB97" i="1"/>
  <c r="BU97" i="1"/>
  <c r="BV77" i="1"/>
  <c r="CJ91" i="1"/>
  <c r="CJ97" i="1"/>
  <c r="CE77" i="1"/>
  <c r="DV97" i="1"/>
  <c r="DV94" i="1"/>
  <c r="EJ94" i="1"/>
  <c r="EJ97" i="1"/>
  <c r="D17" i="1"/>
  <c r="BO99" i="1"/>
  <c r="BH17" i="1"/>
  <c r="AK48" i="1"/>
  <c r="DZ21" i="1"/>
  <c r="AQ21" i="1"/>
  <c r="BR44" i="1"/>
  <c r="DY88" i="1"/>
  <c r="F99" i="1"/>
  <c r="F28" i="1"/>
  <c r="I23" i="1"/>
  <c r="I24" i="1" s="1"/>
  <c r="V23" i="1"/>
  <c r="D98" i="3"/>
  <c r="EQ93" i="1"/>
  <c r="F66" i="3"/>
  <c r="I63" i="5"/>
  <c r="I64" i="5" s="1"/>
  <c r="X7" i="1" s="1"/>
  <c r="BL59" i="5"/>
  <c r="T83" i="1"/>
  <c r="S97" i="1"/>
  <c r="CG12" i="1"/>
  <c r="CH12" i="1" s="1"/>
  <c r="DW93" i="1"/>
  <c r="BD94" i="1"/>
  <c r="G114" i="1"/>
  <c r="G27" i="1" s="1"/>
  <c r="AB114" i="1"/>
  <c r="BA114" i="1"/>
  <c r="BW114" i="1"/>
  <c r="BW27" i="1" s="1"/>
  <c r="BW30" i="1" s="1"/>
  <c r="ET114" i="1"/>
  <c r="M114" i="1"/>
  <c r="M27" i="1" s="1"/>
  <c r="M30" i="1" s="1"/>
  <c r="AM114" i="1"/>
  <c r="AM27" i="1" s="1"/>
  <c r="AM30" i="1" s="1"/>
  <c r="BH114" i="1"/>
  <c r="CE114" i="1"/>
  <c r="R114" i="1"/>
  <c r="BB114" i="1"/>
  <c r="CJ114" i="1"/>
  <c r="EF114" i="1"/>
  <c r="EL114" i="1"/>
  <c r="CI114" i="1"/>
  <c r="CI27" i="1" s="1"/>
  <c r="CI30" i="1" s="1"/>
  <c r="EI114" i="1"/>
  <c r="EI27" i="1" s="1"/>
  <c r="I114" i="1"/>
  <c r="I27" i="1" s="1"/>
  <c r="AI114" i="1"/>
  <c r="BD114" i="1"/>
  <c r="BD27" i="1" s="1"/>
  <c r="CA114" i="1"/>
  <c r="CA27" i="1" s="1"/>
  <c r="CA30" i="1" s="1"/>
  <c r="P114" i="1"/>
  <c r="P27" i="1" s="1"/>
  <c r="P30" i="1" s="1"/>
  <c r="AO114" i="1"/>
  <c r="BK114" i="1"/>
  <c r="BK27" i="1" s="1"/>
  <c r="BK30" i="1" s="1"/>
  <c r="CH114" i="1"/>
  <c r="V114" i="1"/>
  <c r="V27" i="1" s="1"/>
  <c r="V30" i="1" s="1"/>
  <c r="BF114" i="1"/>
  <c r="BF27" i="1" s="1"/>
  <c r="CN114" i="1"/>
  <c r="EJ114" i="1"/>
  <c r="EJ27" i="1" s="1"/>
  <c r="EJ30" i="1" s="1"/>
  <c r="CK114" i="1"/>
  <c r="ES114" i="1"/>
  <c r="CM114" i="1"/>
  <c r="EQ114" i="1"/>
  <c r="EQ27" i="1" s="1"/>
  <c r="EQ30" i="1" s="1"/>
  <c r="O114" i="1"/>
  <c r="O27" i="1" s="1"/>
  <c r="AN114" i="1"/>
  <c r="AN27" i="1" s="1"/>
  <c r="AN30" i="1" s="1"/>
  <c r="BI114" i="1"/>
  <c r="BI27" i="1" s="1"/>
  <c r="CG114" i="1"/>
  <c r="U114" i="1"/>
  <c r="AU114" i="1"/>
  <c r="AU27" i="1" s="1"/>
  <c r="AU30" i="1" s="1"/>
  <c r="BP114" i="1"/>
  <c r="CY114" i="1"/>
  <c r="AE114" i="1"/>
  <c r="BN114" i="1"/>
  <c r="CR114" i="1"/>
  <c r="EV114" i="1"/>
  <c r="EV27" i="1" s="1"/>
  <c r="EV30" i="1" s="1"/>
  <c r="CT114" i="1"/>
  <c r="CT27" i="1" s="1"/>
  <c r="CT30" i="1" s="1"/>
  <c r="CV114" i="1"/>
  <c r="FI114" i="1"/>
  <c r="Q114" i="1"/>
  <c r="Q27" i="1" s="1"/>
  <c r="AQ114" i="1"/>
  <c r="AQ27" i="1" s="1"/>
  <c r="BL114" i="1"/>
  <c r="BL27" i="1" s="1"/>
  <c r="BL30" i="1" s="1"/>
  <c r="CL114" i="1"/>
  <c r="C114" i="1"/>
  <c r="C27" i="1" s="1"/>
  <c r="C30" i="1" s="1"/>
  <c r="X114" i="1"/>
  <c r="AW114" i="1"/>
  <c r="BS114" i="1"/>
  <c r="BS27" i="1" s="1"/>
  <c r="BS30" i="1" s="1"/>
  <c r="DV114" i="1"/>
  <c r="AL114" i="1"/>
  <c r="AL27" i="1" s="1"/>
  <c r="AL30" i="1" s="1"/>
  <c r="BR114" i="1"/>
  <c r="BR27" i="1" s="1"/>
  <c r="BR30" i="1" s="1"/>
  <c r="CW114" i="1"/>
  <c r="FJ114" i="1"/>
  <c r="CX114" i="1"/>
  <c r="CZ114" i="1"/>
  <c r="W114" i="1"/>
  <c r="BQ114" i="1"/>
  <c r="BQ27" i="1" s="1"/>
  <c r="AR114" i="1"/>
  <c r="AR27" i="1" s="1"/>
  <c r="AR30" i="1" s="1"/>
  <c r="CP114" i="1"/>
  <c r="CP27" i="1" s="1"/>
  <c r="CP30" i="1" s="1"/>
  <c r="BJ114" i="1"/>
  <c r="ER114" i="1"/>
  <c r="ER27" i="1" s="1"/>
  <c r="ER30" i="1" s="1"/>
  <c r="EG114" i="1"/>
  <c r="EG27" i="1" s="1"/>
  <c r="DW114" i="1"/>
  <c r="Y114" i="1"/>
  <c r="BT114" i="1"/>
  <c r="E114" i="1"/>
  <c r="AZ114" i="1"/>
  <c r="ED114" i="1"/>
  <c r="F114" i="1"/>
  <c r="BV114" i="1"/>
  <c r="EW114" i="1"/>
  <c r="EW27" i="1" s="1"/>
  <c r="EW30" i="1" s="1"/>
  <c r="EA114" i="1"/>
  <c r="AK114" i="1"/>
  <c r="CD114" i="1"/>
  <c r="CD27" i="1" s="1"/>
  <c r="CD30" i="1" s="1"/>
  <c r="H114" i="1"/>
  <c r="H27" i="1" s="1"/>
  <c r="BC114" i="1"/>
  <c r="BC27" i="1" s="1"/>
  <c r="BC30" i="1" s="1"/>
  <c r="EM114" i="1"/>
  <c r="J114" i="1"/>
  <c r="CB114" i="1"/>
  <c r="EE114" i="1"/>
  <c r="EE27" i="1" s="1"/>
  <c r="EE30" i="1" s="1"/>
  <c r="AS114" i="1"/>
  <c r="AS27" i="1" s="1"/>
  <c r="AS30" i="1" s="1"/>
  <c r="CU114" i="1"/>
  <c r="CU27" i="1" s="1"/>
  <c r="CU30" i="1" s="1"/>
  <c r="K114" i="1"/>
  <c r="K27" i="1" s="1"/>
  <c r="K30" i="1" s="1"/>
  <c r="BE114" i="1"/>
  <c r="BE27" i="1" s="1"/>
  <c r="BE30" i="1" s="1"/>
  <c r="FH114" i="1"/>
  <c r="FH27" i="1" s="1"/>
  <c r="FH30" i="1" s="1"/>
  <c r="N114" i="1"/>
  <c r="N27" i="1" s="1"/>
  <c r="N30" i="1" s="1"/>
  <c r="CF114" i="1"/>
  <c r="EU114" i="1"/>
  <c r="EU27" i="1" s="1"/>
  <c r="EU30" i="1" s="1"/>
  <c r="D114" i="1"/>
  <c r="AY114" i="1"/>
  <c r="EH114" i="1"/>
  <c r="AA114" i="1"/>
  <c r="BU114" i="1"/>
  <c r="BU27" i="1" s="1"/>
  <c r="BU30" i="1" s="1"/>
  <c r="AP114" i="1"/>
  <c r="DA114" i="1"/>
  <c r="CO114" i="1"/>
  <c r="AJ84" i="3"/>
  <c r="Y84" i="3"/>
  <c r="CG10" i="1"/>
  <c r="CG23" i="1" s="1"/>
  <c r="CG14" i="1"/>
  <c r="CH14" i="1" s="1"/>
  <c r="CG13" i="1"/>
  <c r="CH13" i="1" s="1"/>
  <c r="J15" i="1"/>
  <c r="T15" i="1"/>
  <c r="G92" i="3"/>
  <c r="CU93" i="1"/>
  <c r="CK96" i="1"/>
  <c r="D48" i="3"/>
  <c r="Q87" i="1"/>
  <c r="CS40" i="1"/>
  <c r="CS42" i="1" s="1"/>
  <c r="S90" i="1"/>
  <c r="S91" i="1"/>
  <c r="DY114" i="1"/>
  <c r="DY27" i="1" s="1"/>
  <c r="AX114" i="1"/>
  <c r="AX27" i="1" s="1"/>
  <c r="AX30" i="1" s="1"/>
  <c r="CC114" i="1"/>
  <c r="Q59" i="5"/>
  <c r="AQ75" i="5"/>
  <c r="AM75" i="5"/>
  <c r="S75" i="5"/>
  <c r="AZ75" i="5"/>
  <c r="M75" i="5"/>
  <c r="Y75" i="5"/>
  <c r="AG75" i="5"/>
  <c r="AK75" i="5"/>
  <c r="R75" i="5"/>
  <c r="AL75" i="5"/>
  <c r="AN75" i="5" s="1"/>
  <c r="T75" i="5"/>
  <c r="X75" i="5"/>
  <c r="AX75" i="5"/>
  <c r="AU267" i="5"/>
  <c r="BU74" i="1" s="1"/>
  <c r="AF265" i="5"/>
  <c r="AF267" i="5" s="1"/>
  <c r="BU62" i="1" s="1"/>
  <c r="AF377" i="5"/>
  <c r="AF380" i="5" s="1"/>
  <c r="BA62" i="1" s="1"/>
  <c r="AU380" i="5"/>
  <c r="BA74" i="1" s="1"/>
  <c r="Y75" i="3"/>
  <c r="AJ75" i="3"/>
  <c r="BL26" i="1"/>
  <c r="L15" i="1"/>
  <c r="EQ14" i="1"/>
  <c r="F13" i="3" s="1"/>
  <c r="CK95" i="1"/>
  <c r="E38" i="3"/>
  <c r="E102" i="3" s="1"/>
  <c r="B87" i="1"/>
  <c r="AW100" i="1"/>
  <c r="AY90" i="1"/>
  <c r="AY91" i="1"/>
  <c r="AV93" i="1"/>
  <c r="Z114" i="1"/>
  <c r="BM114" i="1"/>
  <c r="BO114" i="1"/>
  <c r="CA103" i="1"/>
  <c r="CM103" i="1"/>
  <c r="DX88" i="1"/>
  <c r="AS104" i="1"/>
  <c r="B88" i="1"/>
  <c r="CB6" i="1"/>
  <c r="AM103" i="1"/>
  <c r="AU103" i="1"/>
  <c r="BC19" i="1"/>
  <c r="BK104" i="1"/>
  <c r="CJ20" i="1"/>
  <c r="ED27" i="1"/>
  <c r="ED30" i="1" s="1"/>
  <c r="EQ103" i="1"/>
  <c r="J8" i="1"/>
  <c r="CQ103" i="1"/>
  <c r="CY103" i="1"/>
  <c r="EV103" i="1"/>
  <c r="C15" i="1"/>
  <c r="E14" i="3" s="1"/>
  <c r="BV16" i="1"/>
  <c r="DS36" i="1"/>
  <c r="CU40" i="1"/>
  <c r="CU42" i="1" s="1"/>
  <c r="BG41" i="1"/>
  <c r="BG42" i="1" s="1"/>
  <c r="H96" i="3"/>
  <c r="CE69" i="1"/>
  <c r="CE94" i="1" s="1"/>
  <c r="AW87" i="1"/>
  <c r="CY100" i="1"/>
  <c r="EC100" i="1"/>
  <c r="D90" i="1"/>
  <c r="D128" i="1" s="1"/>
  <c r="AO95" i="1"/>
  <c r="AJ114" i="1"/>
  <c r="AJ27" i="1" s="1"/>
  <c r="AJ30" i="1" s="1"/>
  <c r="BG114" i="1"/>
  <c r="J54" i="1"/>
  <c r="EL93" i="1"/>
  <c r="DW105" i="1"/>
  <c r="K41" i="1"/>
  <c r="AX87" i="1"/>
  <c r="CP87" i="1"/>
  <c r="CX87" i="1"/>
  <c r="EA87" i="1"/>
  <c r="CA40" i="1"/>
  <c r="BG95" i="1"/>
  <c r="BG93" i="1"/>
  <c r="BO95" i="1"/>
  <c r="AC114" i="1"/>
  <c r="AV114" i="1"/>
  <c r="K104" i="1"/>
  <c r="H103" i="1"/>
  <c r="AO27" i="1"/>
  <c r="AO30" i="1" s="1"/>
  <c r="AW27" i="1"/>
  <c r="AW30" i="1" s="1"/>
  <c r="BZ103" i="1"/>
  <c r="ES104" i="1"/>
  <c r="N103" i="1"/>
  <c r="K99" i="1"/>
  <c r="DU35" i="1"/>
  <c r="EL105" i="1"/>
  <c r="BP95" i="1"/>
  <c r="AU41" i="1"/>
  <c r="BL95" i="1"/>
  <c r="BD96" i="1"/>
  <c r="S95" i="1"/>
  <c r="T95" i="1" s="1"/>
  <c r="AQ87" i="1"/>
  <c r="AT91" i="1"/>
  <c r="EJ100" i="1"/>
  <c r="AI95" i="1"/>
  <c r="C103" i="3"/>
  <c r="EB114" i="1"/>
  <c r="EB27" i="1" s="1"/>
  <c r="S114" i="1"/>
  <c r="T114" i="1"/>
  <c r="CB68" i="1"/>
  <c r="BN97" i="1"/>
  <c r="X5" i="5"/>
  <c r="X6" i="5" s="1"/>
  <c r="BG23" i="5"/>
  <c r="V23" i="5" s="1"/>
  <c r="T20" i="5"/>
  <c r="Y20" i="5"/>
  <c r="AY20" i="5"/>
  <c r="BA20" i="5"/>
  <c r="V20" i="5"/>
  <c r="BD20" i="5"/>
  <c r="AD20" i="5"/>
  <c r="AL20" i="5"/>
  <c r="BP20" i="5" s="1"/>
  <c r="X42" i="5"/>
  <c r="X46" i="5" s="1"/>
  <c r="X47" i="5" s="1"/>
  <c r="W58" i="1" s="1"/>
  <c r="Y58" i="1" s="1"/>
  <c r="AQ42" i="5"/>
  <c r="AQ46" i="5" s="1"/>
  <c r="AQ47" i="5" s="1"/>
  <c r="W70" i="1" s="1"/>
  <c r="AS42" i="5"/>
  <c r="AS46" i="5" s="1"/>
  <c r="AS47" i="5" s="1"/>
  <c r="AK42" i="5"/>
  <c r="AK46" i="5" s="1"/>
  <c r="AK47" i="5" s="1"/>
  <c r="BD42" i="5"/>
  <c r="BD46" i="5" s="1"/>
  <c r="BD47" i="5" s="1"/>
  <c r="AT59" i="5"/>
  <c r="AU59" i="5"/>
  <c r="BQ59" i="5"/>
  <c r="AP63" i="5"/>
  <c r="AV63" i="5" s="1"/>
  <c r="AV64" i="5" s="1"/>
  <c r="X75" i="1" s="1"/>
  <c r="CW105" i="1"/>
  <c r="CD95" i="1"/>
  <c r="AT41" i="1"/>
  <c r="AT42" i="1" s="1"/>
  <c r="BJ41" i="1"/>
  <c r="BV55" i="1"/>
  <c r="BV88" i="1" s="1"/>
  <c r="CG60" i="1"/>
  <c r="CH60" i="1" s="1"/>
  <c r="BP61" i="1"/>
  <c r="F100" i="1"/>
  <c r="O100" i="1"/>
  <c r="EA90" i="1"/>
  <c r="J68" i="1"/>
  <c r="BO93" i="1"/>
  <c r="CF93" i="1"/>
  <c r="EU93" i="1"/>
  <c r="I154" i="5"/>
  <c r="Q154" i="5" s="1"/>
  <c r="BH195" i="5"/>
  <c r="AO20" i="5"/>
  <c r="M42" i="5"/>
  <c r="M46" i="5" s="1"/>
  <c r="M47" i="5" s="1"/>
  <c r="W11" i="1" s="1"/>
  <c r="Q202" i="5"/>
  <c r="I206" i="5"/>
  <c r="AS209" i="5"/>
  <c r="AS210" i="5" s="1"/>
  <c r="Z72" i="1" s="1"/>
  <c r="BR206" i="5"/>
  <c r="BT93" i="1"/>
  <c r="BG6" i="5"/>
  <c r="BG12" i="5" s="1"/>
  <c r="BH6" i="5" s="1"/>
  <c r="V5" i="5"/>
  <c r="H5" i="5" s="1"/>
  <c r="H6" i="5" s="1"/>
  <c r="AV147" i="5"/>
  <c r="AF145" i="5"/>
  <c r="K61" i="23"/>
  <c r="AR93" i="1"/>
  <c r="AZ93" i="1"/>
  <c r="DW119" i="1"/>
  <c r="DW41" i="1" s="1"/>
  <c r="AW20" i="5"/>
  <c r="AG20" i="5"/>
  <c r="P67" i="3"/>
  <c r="D267" i="5"/>
  <c r="BA72" i="5"/>
  <c r="Q71" i="5"/>
  <c r="Z176" i="5"/>
  <c r="AR188" i="5"/>
  <c r="P40" i="3"/>
  <c r="P50" i="3"/>
  <c r="P52" i="3"/>
  <c r="BL93" i="1"/>
  <c r="CC93" i="1"/>
  <c r="CP93" i="1"/>
  <c r="CX93" i="1"/>
  <c r="EA93" i="1"/>
  <c r="CB72" i="1"/>
  <c r="I97" i="1"/>
  <c r="AV97" i="1"/>
  <c r="BD97" i="1"/>
  <c r="CV97" i="1"/>
  <c r="CR119" i="1"/>
  <c r="CR27" i="1" s="1"/>
  <c r="CR30" i="1" s="1"/>
  <c r="AY72" i="5"/>
  <c r="L72" i="5"/>
  <c r="L79" i="5" s="1"/>
  <c r="L82" i="5" s="1"/>
  <c r="L83" i="5" s="1"/>
  <c r="S10" i="1" s="1"/>
  <c r="AN93" i="5"/>
  <c r="AN94" i="5" s="1"/>
  <c r="R67" i="1" s="1"/>
  <c r="E104" i="5"/>
  <c r="E105" i="5" s="1"/>
  <c r="U3" i="1" s="1"/>
  <c r="M104" i="5"/>
  <c r="M105" i="5" s="1"/>
  <c r="U11" i="1" s="1"/>
  <c r="U48" i="1" s="1"/>
  <c r="AN219" i="5"/>
  <c r="BQ67" i="1" s="1"/>
  <c r="CW97" i="1"/>
  <c r="AF116" i="5"/>
  <c r="AF118" i="5" s="1"/>
  <c r="AF119" i="5" s="1"/>
  <c r="AP62" i="1" s="1"/>
  <c r="F82" i="5"/>
  <c r="F83" i="5" s="1"/>
  <c r="S4" i="1" s="1"/>
  <c r="T4" i="1" s="1"/>
  <c r="Q124" i="5"/>
  <c r="W176" i="5"/>
  <c r="AM176" i="5"/>
  <c r="BC176" i="5"/>
  <c r="CL81" i="1" s="1"/>
  <c r="CN81" i="1" s="1"/>
  <c r="CN119" i="1" s="1"/>
  <c r="Q308" i="5"/>
  <c r="Y17" i="3"/>
  <c r="Z52" i="3"/>
  <c r="AA52" i="3" s="1"/>
  <c r="Z54" i="3"/>
  <c r="AA54" i="3" s="1"/>
  <c r="BE64" i="3"/>
  <c r="EF119" i="1"/>
  <c r="EF40" i="1" s="1"/>
  <c r="AR55" i="5"/>
  <c r="AU189" i="5"/>
  <c r="BQ189" i="5"/>
  <c r="AR172" i="5"/>
  <c r="AR174" i="5" s="1"/>
  <c r="H293" i="5"/>
  <c r="V6" i="1" s="1"/>
  <c r="V17" i="1" s="1"/>
  <c r="L2" i="26"/>
  <c r="BH93" i="1"/>
  <c r="BR93" i="1"/>
  <c r="EJ93" i="1"/>
  <c r="CE71" i="1"/>
  <c r="E97" i="1"/>
  <c r="AZ97" i="1"/>
  <c r="U119" i="1"/>
  <c r="U41" i="1" s="1"/>
  <c r="BF119" i="1"/>
  <c r="BN119" i="1"/>
  <c r="AF245" i="5"/>
  <c r="AF247" i="5" s="1"/>
  <c r="AF339" i="5"/>
  <c r="AF342" i="5" s="1"/>
  <c r="AL62" i="1" s="1"/>
  <c r="P62" i="3"/>
  <c r="X794" i="7"/>
  <c r="B16" i="3"/>
  <c r="Q63" i="3"/>
  <c r="S63" i="3" s="1"/>
  <c r="N63" i="3"/>
  <c r="AX63" i="3"/>
  <c r="C92" i="3"/>
  <c r="C96" i="3"/>
  <c r="C95" i="3"/>
  <c r="AM42" i="1"/>
  <c r="AX65" i="3"/>
  <c r="B96" i="3"/>
  <c r="B92" i="3"/>
  <c r="E93" i="3"/>
  <c r="ER87" i="1"/>
  <c r="ER41" i="1"/>
  <c r="D40" i="1"/>
  <c r="D42" i="1" s="1"/>
  <c r="BW87" i="1"/>
  <c r="BW40" i="1"/>
  <c r="BV59" i="1"/>
  <c r="CB59" i="1"/>
  <c r="DZ100" i="1"/>
  <c r="CE64" i="1"/>
  <c r="DZ15" i="1"/>
  <c r="AS64" i="5"/>
  <c r="X72" i="1" s="1"/>
  <c r="AW63" i="5"/>
  <c r="AW64" i="5" s="1"/>
  <c r="X76" i="1" s="1"/>
  <c r="AN154" i="5"/>
  <c r="AN159" i="5" s="1"/>
  <c r="AC67" i="1" s="1"/>
  <c r="AC97" i="1"/>
  <c r="AA74" i="3"/>
  <c r="CA17" i="1"/>
  <c r="BB23" i="1"/>
  <c r="AV23" i="1"/>
  <c r="AV106" i="1"/>
  <c r="AU21" i="1"/>
  <c r="AU99" i="1"/>
  <c r="AS19" i="1"/>
  <c r="AO21" i="1"/>
  <c r="AO99" i="1"/>
  <c r="AM21" i="1"/>
  <c r="AK21" i="1"/>
  <c r="AI19" i="1"/>
  <c r="V99" i="1"/>
  <c r="EQ20" i="1"/>
  <c r="EQ50" i="1"/>
  <c r="EI20" i="1"/>
  <c r="ED50" i="1"/>
  <c r="DV20" i="1"/>
  <c r="CX20" i="1"/>
  <c r="CV27" i="1"/>
  <c r="CV30" i="1" s="1"/>
  <c r="CT20" i="1"/>
  <c r="CP20" i="1"/>
  <c r="CF27" i="1"/>
  <c r="CF30" i="1" s="1"/>
  <c r="BK20" i="1"/>
  <c r="BK50" i="1"/>
  <c r="BI30" i="1"/>
  <c r="BI50" i="1"/>
  <c r="BE50" i="1"/>
  <c r="BG50" i="1"/>
  <c r="BC20" i="1"/>
  <c r="BC50" i="1"/>
  <c r="BA27" i="1"/>
  <c r="AU20" i="1"/>
  <c r="AS20" i="1"/>
  <c r="AS103" i="1"/>
  <c r="AO50" i="1"/>
  <c r="AM20" i="1"/>
  <c r="AK50" i="1"/>
  <c r="CW44" i="1"/>
  <c r="AJ88" i="1"/>
  <c r="AV44" i="1"/>
  <c r="AX44" i="1"/>
  <c r="EU48" i="1"/>
  <c r="BZ48" i="1"/>
  <c r="BD48" i="1"/>
  <c r="CM23" i="1"/>
  <c r="CM106" i="1"/>
  <c r="BR23" i="1"/>
  <c r="CM19" i="1"/>
  <c r="BU19" i="1"/>
  <c r="BU99" i="1"/>
  <c r="BR21" i="1"/>
  <c r="BR99" i="1"/>
  <c r="V21" i="1"/>
  <c r="K21" i="1"/>
  <c r="F21" i="1"/>
  <c r="B19" i="1"/>
  <c r="B28" i="1"/>
  <c r="B37" i="1" s="1"/>
  <c r="V20" i="1"/>
  <c r="M20" i="1"/>
  <c r="M103" i="1"/>
  <c r="K20" i="1"/>
  <c r="H30" i="1"/>
  <c r="D27" i="1"/>
  <c r="B20" i="1"/>
  <c r="B50" i="1"/>
  <c r="DZ88" i="1"/>
  <c r="BO104" i="1"/>
  <c r="AZ88" i="1"/>
  <c r="AR88" i="1"/>
  <c r="CY26" i="1"/>
  <c r="CB11" i="1"/>
  <c r="DS35" i="1"/>
  <c r="CQ40" i="1"/>
  <c r="EC40" i="1"/>
  <c r="BI41" i="1"/>
  <c r="CV41" i="1"/>
  <c r="CV42" i="1" s="1"/>
  <c r="ED41" i="1"/>
  <c r="ED42" i="1" s="1"/>
  <c r="AZ64" i="3"/>
  <c r="CC41" i="1"/>
  <c r="CC40" i="1"/>
  <c r="N41" i="1"/>
  <c r="N42" i="1" s="1"/>
  <c r="AA87" i="1"/>
  <c r="AA89" i="1"/>
  <c r="AA41" i="1"/>
  <c r="AN87" i="1"/>
  <c r="AN89" i="1"/>
  <c r="AP87" i="1"/>
  <c r="AP92" i="1"/>
  <c r="BD41" i="1"/>
  <c r="BL87" i="1"/>
  <c r="BL41" i="1"/>
  <c r="BP55" i="1"/>
  <c r="BP41" i="1" s="1"/>
  <c r="BN92" i="1"/>
  <c r="CA41" i="1"/>
  <c r="CA42" i="1" s="1"/>
  <c r="I66" i="3"/>
  <c r="AI93" i="1"/>
  <c r="E88" i="1"/>
  <c r="I88" i="1"/>
  <c r="AK104" i="1"/>
  <c r="AO104" i="1"/>
  <c r="BC104" i="1"/>
  <c r="BI104" i="1"/>
  <c r="BW88" i="1"/>
  <c r="FH104" i="1"/>
  <c r="DX98" i="1"/>
  <c r="EJ98" i="1"/>
  <c r="CG11" i="1"/>
  <c r="BP16" i="1"/>
  <c r="DM36" i="1"/>
  <c r="DQ36" i="1"/>
  <c r="DU37" i="1"/>
  <c r="DR37" i="1"/>
  <c r="EB42" i="1"/>
  <c r="N68" i="3"/>
  <c r="Z68" i="3" s="1"/>
  <c r="AC68" i="3" s="1"/>
  <c r="AN41" i="1"/>
  <c r="E92" i="3"/>
  <c r="CG58" i="1"/>
  <c r="CH58" i="1" s="1"/>
  <c r="J94" i="1"/>
  <c r="G41" i="1"/>
  <c r="G42" i="1" s="1"/>
  <c r="Q75" i="3"/>
  <c r="S75" i="3" s="1"/>
  <c r="I95" i="3"/>
  <c r="F87" i="1"/>
  <c r="J56" i="1"/>
  <c r="L87" i="1"/>
  <c r="BD87" i="1"/>
  <c r="N87" i="1"/>
  <c r="AK87" i="1"/>
  <c r="AM87" i="1"/>
  <c r="BU87" i="1"/>
  <c r="CB57" i="1"/>
  <c r="J58" i="1"/>
  <c r="CB58" i="1"/>
  <c r="J59" i="1"/>
  <c r="CG59" i="1"/>
  <c r="CH59" i="1" s="1"/>
  <c r="CG61" i="1"/>
  <c r="CH61" i="1" s="1"/>
  <c r="Q47" i="3"/>
  <c r="S47" i="3" s="1"/>
  <c r="E100" i="1"/>
  <c r="G100" i="1"/>
  <c r="J64" i="1"/>
  <c r="J100" i="1" s="1"/>
  <c r="N100" i="1"/>
  <c r="AZ100" i="1"/>
  <c r="EF100" i="1"/>
  <c r="D100" i="1"/>
  <c r="CS90" i="1"/>
  <c r="L93" i="1"/>
  <c r="J70" i="1"/>
  <c r="CO93" i="1"/>
  <c r="CW93" i="1"/>
  <c r="EJ41" i="1"/>
  <c r="EJ42" i="1" s="1"/>
  <c r="BR97" i="1"/>
  <c r="CP97" i="1"/>
  <c r="BO119" i="1"/>
  <c r="DY41" i="1"/>
  <c r="DY42" i="1" s="1"/>
  <c r="B131" i="1"/>
  <c r="X97" i="1"/>
  <c r="Q3" i="5"/>
  <c r="M20" i="5"/>
  <c r="Q30" i="5"/>
  <c r="Q37" i="5"/>
  <c r="AW59" i="5"/>
  <c r="E82" i="5"/>
  <c r="E83" i="5" s="1"/>
  <c r="S3" i="1" s="1"/>
  <c r="H93" i="5"/>
  <c r="H94" i="5" s="1"/>
  <c r="R6" i="1" s="1"/>
  <c r="V93" i="5"/>
  <c r="V94" i="5" s="1"/>
  <c r="R56" i="1" s="1"/>
  <c r="R40" i="1" s="1"/>
  <c r="K159" i="5"/>
  <c r="AC9" i="1" s="1"/>
  <c r="Q164" i="5"/>
  <c r="AR230" i="5"/>
  <c r="AR232" i="5" s="1"/>
  <c r="AS71" i="1" s="1"/>
  <c r="D237" i="5"/>
  <c r="Q262" i="5"/>
  <c r="AR272" i="5"/>
  <c r="Q380" i="5"/>
  <c r="Y16" i="3"/>
  <c r="AJ37" i="3"/>
  <c r="Y37" i="3"/>
  <c r="AN37" i="3" s="1"/>
  <c r="AJ47" i="3"/>
  <c r="Y47" i="3"/>
  <c r="CE72" i="1"/>
  <c r="CG75" i="1"/>
  <c r="CH75" i="1" s="1"/>
  <c r="G5" i="5"/>
  <c r="G6" i="5" s="1"/>
  <c r="AR8" i="5"/>
  <c r="BL38" i="5"/>
  <c r="AR56" i="5"/>
  <c r="AR71" i="5"/>
  <c r="U159" i="5"/>
  <c r="AD159" i="5"/>
  <c r="AR144" i="5"/>
  <c r="AW147" i="5"/>
  <c r="T176" i="5"/>
  <c r="CL55" i="1" s="1"/>
  <c r="CN55" i="1" s="1"/>
  <c r="AB176" i="5"/>
  <c r="AF194" i="5"/>
  <c r="AT209" i="5"/>
  <c r="AT210" i="5" s="1"/>
  <c r="Z73" i="1" s="1"/>
  <c r="AU209" i="5"/>
  <c r="AU210" i="5" s="1"/>
  <c r="Z74" i="1" s="1"/>
  <c r="AR214" i="5"/>
  <c r="AV219" i="5"/>
  <c r="BQ75" i="1" s="1"/>
  <c r="AN227" i="5"/>
  <c r="BR67" i="1" s="1"/>
  <c r="AW227" i="5"/>
  <c r="BR76" i="1" s="1"/>
  <c r="BV76" i="1" s="1"/>
  <c r="V227" i="5"/>
  <c r="BR56" i="1" s="1"/>
  <c r="BR87" i="1" s="1"/>
  <c r="AV227" i="5"/>
  <c r="BR75" i="1" s="1"/>
  <c r="AR224" i="5"/>
  <c r="AR225" i="5"/>
  <c r="Q227" i="5"/>
  <c r="Q242" i="5"/>
  <c r="AW275" i="5"/>
  <c r="CC76" i="1" s="1"/>
  <c r="AV275" i="5"/>
  <c r="CC75" i="1" s="1"/>
  <c r="AR295" i="5"/>
  <c r="AR298" i="5" s="1"/>
  <c r="AV71" i="1" s="1"/>
  <c r="AR349" i="5"/>
  <c r="AR352" i="5" s="1"/>
  <c r="BW71" i="1" s="1"/>
  <c r="Q366" i="5"/>
  <c r="Y48" i="3"/>
  <c r="AJ48" i="3"/>
  <c r="P56" i="3"/>
  <c r="AR330" i="5"/>
  <c r="AR334" i="5" s="1"/>
  <c r="AB71" i="1" s="1"/>
  <c r="AR339" i="5"/>
  <c r="AR342" i="5" s="1"/>
  <c r="AL71" i="1" s="1"/>
  <c r="AP367" i="5"/>
  <c r="Q386" i="5"/>
  <c r="L57" i="23"/>
  <c r="L61" i="23"/>
  <c r="L69" i="23"/>
  <c r="A143" i="23"/>
  <c r="A145" i="23" s="1"/>
  <c r="A149" i="23" s="1"/>
  <c r="A153" i="23" s="1"/>
  <c r="P21" i="3"/>
  <c r="P25" i="3"/>
  <c r="P26" i="3"/>
  <c r="AK86" i="3"/>
  <c r="AK87" i="3" s="1"/>
  <c r="P70" i="3"/>
  <c r="P71" i="3"/>
  <c r="P72" i="3"/>
  <c r="P77" i="3"/>
  <c r="C108" i="3"/>
  <c r="D115" i="3"/>
  <c r="T256" i="4"/>
  <c r="Q174" i="5"/>
  <c r="AO2" i="3"/>
  <c r="AN2" i="3"/>
  <c r="B34" i="3"/>
  <c r="Q5" i="3"/>
  <c r="S5" i="3" s="1"/>
  <c r="B91" i="3"/>
  <c r="Q37" i="3"/>
  <c r="S37" i="3" s="1"/>
  <c r="O37" i="3"/>
  <c r="N37" i="3"/>
  <c r="E34" i="3"/>
  <c r="E91" i="3"/>
  <c r="O85" i="3"/>
  <c r="Q85" i="3"/>
  <c r="S85" i="3" s="1"/>
  <c r="B35" i="3"/>
  <c r="B17" i="3"/>
  <c r="B98" i="3"/>
  <c r="O98" i="3" s="1"/>
  <c r="B100" i="3"/>
  <c r="B28" i="3"/>
  <c r="Q11" i="3"/>
  <c r="S11" i="3" s="1"/>
  <c r="BI88" i="1"/>
  <c r="AM104" i="1"/>
  <c r="CJ104" i="1"/>
  <c r="BA17" i="1"/>
  <c r="AC40" i="1"/>
  <c r="J14" i="1"/>
  <c r="CH97" i="1"/>
  <c r="AK88" i="1"/>
  <c r="CU17" i="1"/>
  <c r="CE3" i="1"/>
  <c r="BU17" i="1"/>
  <c r="BP6" i="1"/>
  <c r="CY17" i="1"/>
  <c r="P17" i="1"/>
  <c r="DR35" i="1"/>
  <c r="N29" i="3"/>
  <c r="B107" i="1"/>
  <c r="AP89" i="1"/>
  <c r="CE59" i="1"/>
  <c r="AN14" i="3"/>
  <c r="D34" i="3"/>
  <c r="AZ17" i="1"/>
  <c r="BW17" i="1"/>
  <c r="AK103" i="1"/>
  <c r="DW21" i="1"/>
  <c r="ER19" i="1"/>
  <c r="CE10" i="1"/>
  <c r="CE49" i="1" s="1"/>
  <c r="G17" i="1"/>
  <c r="DS37" i="1"/>
  <c r="G94" i="3"/>
  <c r="BV58" i="1"/>
  <c r="CB4" i="1"/>
  <c r="CB104" i="1" s="1"/>
  <c r="BV13" i="1"/>
  <c r="T14" i="1"/>
  <c r="EW17" i="1"/>
  <c r="DQ37" i="1"/>
  <c r="CG55" i="1"/>
  <c r="CH55" i="1" s="1"/>
  <c r="CH87" i="1" s="1"/>
  <c r="AR87" i="1"/>
  <c r="AZ87" i="1"/>
  <c r="BQ87" i="1"/>
  <c r="N47" i="3"/>
  <c r="I87" i="1"/>
  <c r="J3" i="1"/>
  <c r="BP3" i="1"/>
  <c r="CG54" i="1"/>
  <c r="CH54" i="1" s="1"/>
  <c r="V87" i="1"/>
  <c r="AT87" i="1"/>
  <c r="BJ87" i="1"/>
  <c r="T58" i="1"/>
  <c r="O74" i="3"/>
  <c r="P74" i="3" s="1"/>
  <c r="D103" i="1"/>
  <c r="CG9" i="1"/>
  <c r="CH9" i="1" s="1"/>
  <c r="Y13" i="1"/>
  <c r="BA87" i="1"/>
  <c r="CU87" i="1"/>
  <c r="DW87" i="1"/>
  <c r="EL87" i="1"/>
  <c r="G96" i="3"/>
  <c r="CG70" i="1"/>
  <c r="CF94" i="1"/>
  <c r="EQ91" i="1"/>
  <c r="CE79" i="1"/>
  <c r="AA95" i="1"/>
  <c r="EA105" i="1"/>
  <c r="CQ113" i="1"/>
  <c r="AX113" i="1"/>
  <c r="AX26" i="1" s="1"/>
  <c r="N113" i="1"/>
  <c r="N26" i="1" s="1"/>
  <c r="BS113" i="1"/>
  <c r="BS26" i="1" s="1"/>
  <c r="DY113" i="1"/>
  <c r="DY26" i="1" s="1"/>
  <c r="ER113" i="1"/>
  <c r="ER26" i="1" s="1"/>
  <c r="CP113" i="1"/>
  <c r="CP26" i="1" s="1"/>
  <c r="AM113" i="1"/>
  <c r="CU113" i="1"/>
  <c r="CU26" i="1" s="1"/>
  <c r="EQ113" i="1"/>
  <c r="AI113" i="1"/>
  <c r="BF113" i="1"/>
  <c r="BF26" i="1" s="1"/>
  <c r="CJ113" i="1"/>
  <c r="ED113" i="1"/>
  <c r="ED26" i="1" s="1"/>
  <c r="BA113" i="1"/>
  <c r="BA26" i="1" s="1"/>
  <c r="H113" i="1"/>
  <c r="T72" i="1"/>
  <c r="BF20" i="5"/>
  <c r="AU20" i="5"/>
  <c r="AO5" i="5"/>
  <c r="AO6" i="5" s="1"/>
  <c r="O5" i="5" s="1"/>
  <c r="O6" i="5" s="1"/>
  <c r="AX20" i="5"/>
  <c r="AX23" i="5" s="1"/>
  <c r="AU334" i="5"/>
  <c r="AB74" i="1" s="1"/>
  <c r="AF330" i="5"/>
  <c r="AF334" i="5" s="1"/>
  <c r="AB62" i="1" s="1"/>
  <c r="AW94" i="1"/>
  <c r="I107" i="1"/>
  <c r="O97" i="1"/>
  <c r="AJ41" i="1"/>
  <c r="AJ42" i="1" s="1"/>
  <c r="CP41" i="1"/>
  <c r="CP42" i="1" s="1"/>
  <c r="CD40" i="1"/>
  <c r="AI119" i="1"/>
  <c r="CO119" i="1"/>
  <c r="ES119" i="1"/>
  <c r="ES27" i="1" s="1"/>
  <c r="ES30" i="1" s="1"/>
  <c r="T61" i="1"/>
  <c r="V6" i="5"/>
  <c r="AL5" i="5"/>
  <c r="Y5" i="5"/>
  <c r="Y6" i="5" s="1"/>
  <c r="AZ5" i="5"/>
  <c r="AZ6" i="5" s="1"/>
  <c r="BJ3" i="5"/>
  <c r="AR3" i="5"/>
  <c r="T82" i="1"/>
  <c r="D186" i="5"/>
  <c r="BJ186" i="5"/>
  <c r="BJ195" i="5" s="1"/>
  <c r="K194" i="5" s="1"/>
  <c r="Q194" i="5" s="1"/>
  <c r="AX195" i="5"/>
  <c r="AX196" i="5" s="1"/>
  <c r="AA77" i="1" s="1"/>
  <c r="AW189" i="5"/>
  <c r="BR189" i="5"/>
  <c r="AR189" i="5" s="1"/>
  <c r="AV189" i="5"/>
  <c r="BQ419" i="5"/>
  <c r="BP419" i="5"/>
  <c r="AJ45" i="3"/>
  <c r="Y45" i="3"/>
  <c r="J63" i="1"/>
  <c r="EQ100" i="1"/>
  <c r="DW90" i="1"/>
  <c r="T66" i="1"/>
  <c r="V93" i="1"/>
  <c r="T74" i="1"/>
  <c r="BF91" i="1"/>
  <c r="CF113" i="1"/>
  <c r="CF26" i="1" s="1"/>
  <c r="AP113" i="1"/>
  <c r="AP26" i="1" s="1"/>
  <c r="F113" i="1"/>
  <c r="F26" i="1" s="1"/>
  <c r="CC113" i="1"/>
  <c r="CC26" i="1" s="1"/>
  <c r="EG113" i="1"/>
  <c r="EG26" i="1" s="1"/>
  <c r="FJ113" i="1"/>
  <c r="CB113" i="1"/>
  <c r="X113" i="1"/>
  <c r="DA113" i="1"/>
  <c r="DA26" i="1" s="1"/>
  <c r="O113" i="1"/>
  <c r="O26" i="1" s="1"/>
  <c r="AN113" i="1"/>
  <c r="AN26" i="1" s="1"/>
  <c r="BM113" i="1"/>
  <c r="CR113" i="1"/>
  <c r="EM113" i="1"/>
  <c r="EM26" i="1" s="1"/>
  <c r="CH26" i="1" s="1"/>
  <c r="AO113" i="1"/>
  <c r="AO26" i="1" s="1"/>
  <c r="C113" i="1"/>
  <c r="C26" i="1" s="1"/>
  <c r="CX119" i="1"/>
  <c r="CX41" i="1" s="1"/>
  <c r="BJ18" i="5"/>
  <c r="Q18" i="5"/>
  <c r="I42" i="5"/>
  <c r="T64" i="1"/>
  <c r="AU174" i="5"/>
  <c r="AU176" i="5" s="1"/>
  <c r="CN74" i="1" s="1"/>
  <c r="AF172" i="5"/>
  <c r="AF174" i="5" s="1"/>
  <c r="AF176" i="5" s="1"/>
  <c r="CN62" i="1" s="1"/>
  <c r="P43" i="3"/>
  <c r="CE62" i="1"/>
  <c r="CG63" i="1"/>
  <c r="CH63" i="1" s="1"/>
  <c r="AN90" i="1"/>
  <c r="BD100" i="1"/>
  <c r="BW90" i="1"/>
  <c r="EM90" i="1"/>
  <c r="BV68" i="1"/>
  <c r="Z92" i="1"/>
  <c r="AN93" i="1"/>
  <c r="AW93" i="1"/>
  <c r="BM93" i="1"/>
  <c r="ES93" i="1"/>
  <c r="CT94" i="1"/>
  <c r="BV80" i="1"/>
  <c r="BV82" i="1"/>
  <c r="BA95" i="1"/>
  <c r="CB83" i="1"/>
  <c r="FI113" i="1"/>
  <c r="CA113" i="1"/>
  <c r="CA26" i="1" s="1"/>
  <c r="AL113" i="1"/>
  <c r="AL26" i="1" s="1"/>
  <c r="AY113" i="1"/>
  <c r="CG113" i="1"/>
  <c r="EL113" i="1"/>
  <c r="BR113" i="1"/>
  <c r="BR26" i="1" s="1"/>
  <c r="S113" i="1"/>
  <c r="DV113" i="1"/>
  <c r="DV26" i="1" s="1"/>
  <c r="Q113" i="1"/>
  <c r="Q26" i="1" s="1"/>
  <c r="AQ113" i="1"/>
  <c r="AQ26" i="1" s="1"/>
  <c r="BQ113" i="1"/>
  <c r="BQ26" i="1" s="1"/>
  <c r="CS113" i="1"/>
  <c r="CS26" i="1" s="1"/>
  <c r="EU113" i="1"/>
  <c r="EU26" i="1" s="1"/>
  <c r="AJ113" i="1"/>
  <c r="AJ26" i="1" s="1"/>
  <c r="J66" i="5"/>
  <c r="BE5" i="5"/>
  <c r="BE6" i="5" s="1"/>
  <c r="AP5" i="5"/>
  <c r="AP6" i="5" s="1"/>
  <c r="BA5" i="5"/>
  <c r="BA6" i="5" s="1"/>
  <c r="M23" i="5"/>
  <c r="BV75" i="1"/>
  <c r="AA93" i="1"/>
  <c r="AO93" i="1"/>
  <c r="R91" i="1"/>
  <c r="T91" i="1" s="1"/>
  <c r="AK97" i="1"/>
  <c r="CT95" i="1"/>
  <c r="DV95" i="1"/>
  <c r="EJ95" i="1"/>
  <c r="EV105" i="1"/>
  <c r="BF5" i="5"/>
  <c r="BF6" i="5" s="1"/>
  <c r="AR2" i="5"/>
  <c r="L5" i="5"/>
  <c r="L6" i="5" s="1"/>
  <c r="F5" i="5"/>
  <c r="AU262" i="5"/>
  <c r="AF260" i="5"/>
  <c r="AF262" i="5" s="1"/>
  <c r="CB71" i="1"/>
  <c r="J72" i="1"/>
  <c r="CB74" i="1"/>
  <c r="AL91" i="1"/>
  <c r="CE80" i="1"/>
  <c r="CG80" i="1"/>
  <c r="CH80" i="1" s="1"/>
  <c r="N107" i="1"/>
  <c r="Z41" i="1"/>
  <c r="AX41" i="1"/>
  <c r="K105" i="1"/>
  <c r="U95" i="1"/>
  <c r="AY5" i="5"/>
  <c r="AY6" i="5" s="1"/>
  <c r="AM20" i="5"/>
  <c r="AM23" i="5" s="1"/>
  <c r="AK20" i="5"/>
  <c r="AK23" i="5" s="1"/>
  <c r="AS20" i="5"/>
  <c r="AJ20" i="5"/>
  <c r="X20" i="5"/>
  <c r="BE20" i="5"/>
  <c r="BA42" i="5"/>
  <c r="BA46" i="5" s="1"/>
  <c r="BA47" i="5" s="1"/>
  <c r="W80" i="1" s="1"/>
  <c r="Y80" i="1" s="1"/>
  <c r="AX42" i="5"/>
  <c r="AX46" i="5" s="1"/>
  <c r="AX47" i="5" s="1"/>
  <c r="BE42" i="5"/>
  <c r="BE46" i="5" s="1"/>
  <c r="BE47" i="5" s="1"/>
  <c r="BE66" i="5" s="1"/>
  <c r="BF42" i="5"/>
  <c r="BF46" i="5" s="1"/>
  <c r="BF47" i="5" s="1"/>
  <c r="BF66" i="5" s="1"/>
  <c r="AP42" i="5"/>
  <c r="AL42" i="5"/>
  <c r="AR57" i="5"/>
  <c r="H119" i="5"/>
  <c r="AP6" i="1" s="1"/>
  <c r="H118" i="5"/>
  <c r="EU100" i="1"/>
  <c r="DA87" i="1"/>
  <c r="O87" i="1"/>
  <c r="BF87" i="1"/>
  <c r="CA87" i="1"/>
  <c r="CE61" i="1"/>
  <c r="BE100" i="1"/>
  <c r="BM100" i="1"/>
  <c r="BZ100" i="1"/>
  <c r="CT100" i="1"/>
  <c r="CT101" i="1" s="1"/>
  <c r="EH100" i="1"/>
  <c r="G93" i="3"/>
  <c r="EQ90" i="1"/>
  <c r="DA93" i="1"/>
  <c r="CB70" i="1"/>
  <c r="CE75" i="1"/>
  <c r="D94" i="1"/>
  <c r="BQ97" i="1"/>
  <c r="BV79" i="1"/>
  <c r="AZ119" i="1"/>
  <c r="EA119" i="1"/>
  <c r="CB81" i="1"/>
  <c r="CB107" i="1" s="1"/>
  <c r="CE84" i="1"/>
  <c r="DA115" i="1"/>
  <c r="DA28" i="1" s="1"/>
  <c r="EI115" i="1"/>
  <c r="EI28" i="1" s="1"/>
  <c r="DZ113" i="1"/>
  <c r="DZ26" i="1" s="1"/>
  <c r="BI113" i="1"/>
  <c r="BI26" i="1" s="1"/>
  <c r="V113" i="1"/>
  <c r="V26" i="1" s="1"/>
  <c r="BK113" i="1"/>
  <c r="CT113" i="1"/>
  <c r="CT26" i="1" s="1"/>
  <c r="ET113" i="1"/>
  <c r="ET26" i="1" s="1"/>
  <c r="AW113" i="1"/>
  <c r="AW26" i="1" s="1"/>
  <c r="G113" i="1"/>
  <c r="G26" i="1" s="1"/>
  <c r="EF113" i="1"/>
  <c r="EF26" i="1" s="1"/>
  <c r="Y113" i="1"/>
  <c r="AZ113" i="1"/>
  <c r="CD113" i="1"/>
  <c r="CD26" i="1" s="1"/>
  <c r="DW113" i="1"/>
  <c r="BP113" i="1"/>
  <c r="BP26" i="1" s="1"/>
  <c r="P113" i="1"/>
  <c r="P26" i="1" s="1"/>
  <c r="AB119" i="1"/>
  <c r="CL119" i="1"/>
  <c r="X119" i="1"/>
  <c r="X40" i="1" s="1"/>
  <c r="AT20" i="5"/>
  <c r="AT23" i="5" s="1"/>
  <c r="AQ5" i="5"/>
  <c r="AQ6" i="5" s="1"/>
  <c r="G20" i="5"/>
  <c r="G23" i="5" s="1"/>
  <c r="Y42" i="5"/>
  <c r="Y46" i="5" s="1"/>
  <c r="Y47" i="5" s="1"/>
  <c r="Y66" i="5" s="1"/>
  <c r="BC42" i="5"/>
  <c r="BC46" i="5" s="1"/>
  <c r="BC47" i="5" s="1"/>
  <c r="BC66" i="5" s="1"/>
  <c r="T5" i="5"/>
  <c r="T6" i="5" s="1"/>
  <c r="AM42" i="5"/>
  <c r="AM46" i="5" s="1"/>
  <c r="AM47" i="5" s="1"/>
  <c r="BC20" i="5"/>
  <c r="BC23" i="5" s="1"/>
  <c r="N20" i="5"/>
  <c r="N23" i="5" s="1"/>
  <c r="D207" i="5"/>
  <c r="Q207" i="5"/>
  <c r="BJ208" i="5"/>
  <c r="BJ209" i="5" s="1"/>
  <c r="K206" i="5" s="1"/>
  <c r="Q208" i="5"/>
  <c r="BV97" i="1"/>
  <c r="G87" i="1"/>
  <c r="BG87" i="1"/>
  <c r="CE60" i="1"/>
  <c r="C101" i="3"/>
  <c r="BP63" i="1"/>
  <c r="BP14" i="1" s="1"/>
  <c r="AJ90" i="1"/>
  <c r="BH90" i="1"/>
  <c r="BQ90" i="1"/>
  <c r="CZ100" i="1"/>
  <c r="I95" i="1"/>
  <c r="S93" i="1"/>
  <c r="AQ94" i="1"/>
  <c r="AS93" i="1"/>
  <c r="BA93" i="1"/>
  <c r="BI93" i="1"/>
  <c r="J73" i="1"/>
  <c r="BC97" i="1"/>
  <c r="J78" i="1"/>
  <c r="CE78" i="1"/>
  <c r="BE97" i="1"/>
  <c r="BV84" i="1"/>
  <c r="CS115" i="1"/>
  <c r="CS28" i="1" s="1"/>
  <c r="CW113" i="1"/>
  <c r="BD113" i="1"/>
  <c r="BD26" i="1" s="1"/>
  <c r="R113" i="1"/>
  <c r="R26" i="1" s="1"/>
  <c r="BO113" i="1"/>
  <c r="CX113" i="1"/>
  <c r="FH113" i="1"/>
  <c r="FH26" i="1" s="1"/>
  <c r="B130" i="1"/>
  <c r="AR113" i="1"/>
  <c r="AR26" i="1" s="1"/>
  <c r="D113" i="1"/>
  <c r="D26" i="1" s="1"/>
  <c r="EI113" i="1"/>
  <c r="EI26" i="1" s="1"/>
  <c r="AB113" i="1"/>
  <c r="BB113" i="1"/>
  <c r="BB26" i="1" s="1"/>
  <c r="CH113" i="1"/>
  <c r="EA113" i="1"/>
  <c r="BH113" i="1"/>
  <c r="BH26" i="1" s="1"/>
  <c r="K113" i="1"/>
  <c r="K26" i="1" s="1"/>
  <c r="K64" i="5"/>
  <c r="Z20" i="5"/>
  <c r="Z23" i="5" s="1"/>
  <c r="AZ20" i="5"/>
  <c r="AZ23" i="5" s="1"/>
  <c r="AX5" i="5"/>
  <c r="AX6" i="5" s="1"/>
  <c r="AW10" i="5" s="1"/>
  <c r="T42" i="5"/>
  <c r="T46" i="5" s="1"/>
  <c r="T47" i="5" s="1"/>
  <c r="G42" i="5"/>
  <c r="G46" i="5" s="1"/>
  <c r="G47" i="5" s="1"/>
  <c r="AO42" i="5"/>
  <c r="AO46" i="5" s="1"/>
  <c r="AO47" i="5" s="1"/>
  <c r="AE42" i="5"/>
  <c r="AE46" i="5" s="1"/>
  <c r="AE47" i="5" s="1"/>
  <c r="W61" i="1" s="1"/>
  <c r="Y61" i="1" s="1"/>
  <c r="U20" i="5"/>
  <c r="M5" i="5"/>
  <c r="M6" i="5" s="1"/>
  <c r="F42" i="5"/>
  <c r="F46" i="5" s="1"/>
  <c r="F47" i="5" s="1"/>
  <c r="W4" i="1" s="1"/>
  <c r="Y4" i="1" s="1"/>
  <c r="D136" i="5"/>
  <c r="H138" i="5"/>
  <c r="H157" i="5" s="1"/>
  <c r="AL209" i="5"/>
  <c r="AL210" i="5" s="1"/>
  <c r="Z65" i="1" s="1"/>
  <c r="Z90" i="1" s="1"/>
  <c r="AN206" i="5"/>
  <c r="AN209" i="5" s="1"/>
  <c r="AN210" i="5" s="1"/>
  <c r="Z67" i="1" s="1"/>
  <c r="L22" i="23"/>
  <c r="AR4" i="5"/>
  <c r="AR27" i="5"/>
  <c r="AR30" i="5" s="1"/>
  <c r="CI71" i="1" s="1"/>
  <c r="AS75" i="5"/>
  <c r="BF75" i="5"/>
  <c r="T60" i="1"/>
  <c r="AU104" i="5"/>
  <c r="AU105" i="5" s="1"/>
  <c r="U74" i="1" s="1"/>
  <c r="G104" i="5"/>
  <c r="G105" i="5" s="1"/>
  <c r="U5" i="1" s="1"/>
  <c r="U44" i="1" s="1"/>
  <c r="L104" i="5"/>
  <c r="L105" i="5" s="1"/>
  <c r="U10" i="1" s="1"/>
  <c r="J159" i="5"/>
  <c r="AC8" i="1" s="1"/>
  <c r="AC57" i="1" s="1"/>
  <c r="AT147" i="5"/>
  <c r="H147" i="5"/>
  <c r="H150" i="5" s="1"/>
  <c r="H151" i="5" s="1"/>
  <c r="H154" i="5" s="1"/>
  <c r="AR146" i="5"/>
  <c r="AW176" i="5"/>
  <c r="CN76" i="1" s="1"/>
  <c r="BE176" i="5"/>
  <c r="CL83" i="1" s="1"/>
  <c r="CN83" i="1" s="1"/>
  <c r="AR170" i="5"/>
  <c r="AK176" i="5"/>
  <c r="AY176" i="5"/>
  <c r="CL78" i="1" s="1"/>
  <c r="CN78" i="1" s="1"/>
  <c r="H189" i="5"/>
  <c r="H195" i="5" s="1"/>
  <c r="H196" i="5" s="1"/>
  <c r="AA6" i="1" s="1"/>
  <c r="AR194" i="5"/>
  <c r="AT227" i="5"/>
  <c r="BR73" i="1" s="1"/>
  <c r="BV73" i="1" s="1"/>
  <c r="AR265" i="5"/>
  <c r="AR267" i="5" s="1"/>
  <c r="BU71" i="1" s="1"/>
  <c r="AR274" i="5"/>
  <c r="AR275" i="5" s="1"/>
  <c r="CC71" i="1" s="1"/>
  <c r="BA334" i="5"/>
  <c r="AB80" i="1" s="1"/>
  <c r="J334" i="5"/>
  <c r="AB8" i="1" s="1"/>
  <c r="AB57" i="1" s="1"/>
  <c r="Q342" i="5"/>
  <c r="AR371" i="5"/>
  <c r="AR374" i="5" s="1"/>
  <c r="BB71" i="1" s="1"/>
  <c r="P49" i="3"/>
  <c r="P55" i="3"/>
  <c r="P57" i="3"/>
  <c r="Y76" i="3"/>
  <c r="P82" i="3"/>
  <c r="H20" i="5"/>
  <c r="H23" i="5" s="1"/>
  <c r="AR19" i="5"/>
  <c r="N42" i="5"/>
  <c r="N46" i="5" s="1"/>
  <c r="N47" i="5" s="1"/>
  <c r="AR37" i="5"/>
  <c r="AR38" i="5"/>
  <c r="AR45" i="5"/>
  <c r="O66" i="5"/>
  <c r="AR62" i="5"/>
  <c r="N82" i="5"/>
  <c r="N83" i="5" s="1"/>
  <c r="S12" i="1" s="1"/>
  <c r="S54" i="1" s="1"/>
  <c r="I159" i="5"/>
  <c r="AC7" i="1" s="1"/>
  <c r="V75" i="5"/>
  <c r="AU85" i="5"/>
  <c r="AR90" i="5"/>
  <c r="R176" i="5"/>
  <c r="BP13" i="1"/>
  <c r="BP59" i="1"/>
  <c r="BP70" i="1"/>
  <c r="BP93" i="1" s="1"/>
  <c r="BP82" i="1"/>
  <c r="Q257" i="5"/>
  <c r="BP84" i="1"/>
  <c r="AR260" i="5"/>
  <c r="AR262" i="5" s="1"/>
  <c r="AP334" i="5"/>
  <c r="AB69" i="1" s="1"/>
  <c r="AB95" i="1" s="1"/>
  <c r="T334" i="5"/>
  <c r="AB55" i="1" s="1"/>
  <c r="AB92" i="1" s="1"/>
  <c r="AO334" i="5"/>
  <c r="AB68" i="1" s="1"/>
  <c r="AF356" i="5"/>
  <c r="P24" i="3"/>
  <c r="P42" i="3"/>
  <c r="Z44" i="3"/>
  <c r="AA44" i="3" s="1"/>
  <c r="Y85" i="3"/>
  <c r="T64" i="4"/>
  <c r="AR74" i="5"/>
  <c r="BN82" i="5"/>
  <c r="AO79" i="5" s="1"/>
  <c r="AN79" i="5" s="1"/>
  <c r="AN85" i="5" s="1"/>
  <c r="AR176" i="5"/>
  <c r="CN71" i="1" s="1"/>
  <c r="AR208" i="5"/>
  <c r="AN275" i="5"/>
  <c r="CC67" i="1" s="1"/>
  <c r="H334" i="5"/>
  <c r="AB6" i="1" s="1"/>
  <c r="M334" i="5"/>
  <c r="AB11" i="1" s="1"/>
  <c r="AB48" i="1" s="1"/>
  <c r="AX334" i="5"/>
  <c r="AB77" i="1" s="1"/>
  <c r="AB97" i="1" s="1"/>
  <c r="AR377" i="5"/>
  <c r="AR380" i="5" s="1"/>
  <c r="BA71" i="1" s="1"/>
  <c r="X17" i="3"/>
  <c r="P69" i="3"/>
  <c r="D113" i="3"/>
  <c r="H10" i="4"/>
  <c r="T10" i="4"/>
  <c r="L20" i="5"/>
  <c r="L23" i="5" s="1"/>
  <c r="G159" i="5"/>
  <c r="AC5" i="1" s="1"/>
  <c r="AC106" i="1" s="1"/>
  <c r="AR88" i="5"/>
  <c r="Z159" i="5"/>
  <c r="M189" i="5"/>
  <c r="M195" i="5" s="1"/>
  <c r="M196" i="5" s="1"/>
  <c r="AA11" i="1" s="1"/>
  <c r="AA48" i="1" s="1"/>
  <c r="AR281" i="5"/>
  <c r="Q293" i="5"/>
  <c r="Q324" i="5"/>
  <c r="Q347" i="5"/>
  <c r="AR356" i="5"/>
  <c r="L74" i="23"/>
  <c r="AO78" i="3"/>
  <c r="F20" i="5"/>
  <c r="F23" i="5" s="1"/>
  <c r="Q21" i="5"/>
  <c r="AR21" i="5"/>
  <c r="I75" i="5"/>
  <c r="Q75" i="5" s="1"/>
  <c r="AR73" i="5"/>
  <c r="AR78" i="5"/>
  <c r="AR97" i="5"/>
  <c r="F104" i="5"/>
  <c r="F105" i="5" s="1"/>
  <c r="U4" i="1" s="1"/>
  <c r="U88" i="1" s="1"/>
  <c r="N104" i="5"/>
  <c r="N105" i="5" s="1"/>
  <c r="U12" i="1" s="1"/>
  <c r="U54" i="1" s="1"/>
  <c r="BB176" i="5"/>
  <c r="P176" i="5"/>
  <c r="Y176" i="5"/>
  <c r="AQ176" i="5"/>
  <c r="CL70" i="1" s="1"/>
  <c r="CN70" i="1" s="1"/>
  <c r="Q180" i="5"/>
  <c r="Q181" i="5"/>
  <c r="N189" i="5"/>
  <c r="N195" i="5" s="1"/>
  <c r="N196" i="5" s="1"/>
  <c r="AA12" i="1" s="1"/>
  <c r="AA54" i="1" s="1"/>
  <c r="AF272" i="5"/>
  <c r="D275" i="5"/>
  <c r="AF305" i="5"/>
  <c r="AF308" i="5" s="1"/>
  <c r="AO62" i="1" s="1"/>
  <c r="E334" i="5"/>
  <c r="AB3" i="1" s="1"/>
  <c r="AS334" i="5"/>
  <c r="AB72" i="1" s="1"/>
  <c r="X3" i="3"/>
  <c r="Y3" i="3" s="1"/>
  <c r="AO3" i="3" s="1"/>
  <c r="P23" i="3"/>
  <c r="P27" i="3"/>
  <c r="P32" i="3"/>
  <c r="P58" i="3"/>
  <c r="K246" i="21"/>
  <c r="Y77" i="3"/>
  <c r="Z77" i="3" s="1"/>
  <c r="AA77" i="3" s="1"/>
  <c r="K289" i="21"/>
  <c r="AG138" i="5"/>
  <c r="AG157" i="5" s="1"/>
  <c r="AG159" i="5" s="1"/>
  <c r="AC63" i="1" s="1"/>
  <c r="H209" i="5"/>
  <c r="H210" i="5" s="1"/>
  <c r="Z6" i="1" s="1"/>
  <c r="AR250" i="5"/>
  <c r="AR252" i="5" s="1"/>
  <c r="BN71" i="1" s="1"/>
  <c r="BP71" i="1" s="1"/>
  <c r="D282" i="5"/>
  <c r="AR289" i="5"/>
  <c r="AR293" i="5" s="1"/>
  <c r="V71" i="1" s="1"/>
  <c r="Q319" i="5"/>
  <c r="AV334" i="5"/>
  <c r="AB75" i="1" s="1"/>
  <c r="P39" i="3"/>
  <c r="P33" i="3"/>
  <c r="Z21" i="3"/>
  <c r="AA21" i="3" s="1"/>
  <c r="AC91" i="1"/>
  <c r="F17" i="3"/>
  <c r="F16" i="3"/>
  <c r="BP154" i="5"/>
  <c r="X60" i="1"/>
  <c r="Y60" i="1" s="1"/>
  <c r="AD66" i="5"/>
  <c r="K204" i="5"/>
  <c r="Y70" i="1"/>
  <c r="AP8" i="3"/>
  <c r="AP159" i="5"/>
  <c r="AC69" i="1" s="1"/>
  <c r="AC49" i="1"/>
  <c r="AA88" i="1"/>
  <c r="BE210" i="5"/>
  <c r="Z83" i="1" s="1"/>
  <c r="Z95" i="1" s="1"/>
  <c r="BH209" i="5"/>
  <c r="AC87" i="1"/>
  <c r="AC41" i="1"/>
  <c r="H23" i="1"/>
  <c r="H24" i="1" s="1"/>
  <c r="H26" i="1"/>
  <c r="H106" i="1"/>
  <c r="H44" i="1"/>
  <c r="H17" i="1"/>
  <c r="J5" i="1"/>
  <c r="J106" i="1" s="1"/>
  <c r="Q106" i="1"/>
  <c r="Q44" i="1"/>
  <c r="CR20" i="1"/>
  <c r="CR104" i="1"/>
  <c r="CR103" i="1"/>
  <c r="CR19" i="1"/>
  <c r="CR50" i="1"/>
  <c r="CR21" i="1"/>
  <c r="CZ27" i="1"/>
  <c r="CZ30" i="1" s="1"/>
  <c r="CZ21" i="1"/>
  <c r="CZ103" i="1"/>
  <c r="CZ50" i="1"/>
  <c r="CZ20" i="1"/>
  <c r="CZ19" i="1"/>
  <c r="CZ104" i="1"/>
  <c r="EB104" i="1"/>
  <c r="EB50" i="1"/>
  <c r="CE7" i="1"/>
  <c r="CE104" i="1" s="1"/>
  <c r="EB19" i="1"/>
  <c r="EB20" i="1"/>
  <c r="EB21" i="1"/>
  <c r="EL19" i="1"/>
  <c r="EL104" i="1"/>
  <c r="EL50" i="1"/>
  <c r="EL20" i="1"/>
  <c r="EL17" i="1"/>
  <c r="EL21" i="1"/>
  <c r="W81" i="1"/>
  <c r="E17" i="3"/>
  <c r="E16" i="3"/>
  <c r="CH7" i="1"/>
  <c r="DN37" i="1"/>
  <c r="DN36" i="1"/>
  <c r="DN35" i="1"/>
  <c r="I13" i="3"/>
  <c r="AI17" i="1"/>
  <c r="AO5" i="3"/>
  <c r="K17" i="1"/>
  <c r="BE98" i="1"/>
  <c r="BE48" i="1"/>
  <c r="FI11" i="1"/>
  <c r="FH48" i="1"/>
  <c r="FH98" i="1"/>
  <c r="D100" i="3"/>
  <c r="D7" i="3"/>
  <c r="Q30" i="1"/>
  <c r="U26" i="1"/>
  <c r="AL104" i="1"/>
  <c r="AL88" i="1"/>
  <c r="AT17" i="1"/>
  <c r="AT104" i="1"/>
  <c r="AT88" i="1"/>
  <c r="BB104" i="1"/>
  <c r="AP28" i="1"/>
  <c r="AP19" i="1"/>
  <c r="AP99" i="1"/>
  <c r="AX20" i="1"/>
  <c r="AX99" i="1"/>
  <c r="AX21" i="1"/>
  <c r="BF21" i="1"/>
  <c r="BF20" i="1"/>
  <c r="BF17" i="1"/>
  <c r="BF19" i="1"/>
  <c r="BN21" i="1"/>
  <c r="BP9" i="1"/>
  <c r="BN19" i="1"/>
  <c r="CA99" i="1"/>
  <c r="CA19" i="1"/>
  <c r="CM21" i="1"/>
  <c r="CM20" i="1"/>
  <c r="CM99" i="1"/>
  <c r="CM17" i="1"/>
  <c r="CN9" i="1"/>
  <c r="CV21" i="1"/>
  <c r="CV19" i="1"/>
  <c r="CV17" i="1"/>
  <c r="CV20" i="1"/>
  <c r="DX19" i="1"/>
  <c r="DX17" i="1"/>
  <c r="DX20" i="1"/>
  <c r="CE9" i="1"/>
  <c r="EF21" i="1"/>
  <c r="EF19" i="1"/>
  <c r="EF20" i="1"/>
  <c r="ES20" i="1"/>
  <c r="ES21" i="1"/>
  <c r="ES19" i="1"/>
  <c r="E106" i="1"/>
  <c r="E49" i="1"/>
  <c r="E23" i="1"/>
  <c r="E24" i="1" s="1"/>
  <c r="N106" i="1"/>
  <c r="N49" i="1"/>
  <c r="AJ98" i="1"/>
  <c r="AJ17" i="1"/>
  <c r="H10" i="3"/>
  <c r="AJ48" i="1"/>
  <c r="G10" i="3"/>
  <c r="AQ98" i="1"/>
  <c r="AQ48" i="1"/>
  <c r="CB23" i="1"/>
  <c r="CB106" i="1"/>
  <c r="EQ45" i="1"/>
  <c r="F4" i="3"/>
  <c r="EQ106" i="1"/>
  <c r="EQ26" i="1"/>
  <c r="EQ23" i="1"/>
  <c r="EQ17" i="1"/>
  <c r="AL20" i="1"/>
  <c r="AL50" i="1"/>
  <c r="AL21" i="1"/>
  <c r="AL103" i="1"/>
  <c r="AT103" i="1"/>
  <c r="AT27" i="1"/>
  <c r="AT20" i="1"/>
  <c r="AT99" i="1"/>
  <c r="AT19" i="1"/>
  <c r="AT21" i="1"/>
  <c r="AT50" i="1"/>
  <c r="BB27" i="1"/>
  <c r="BB103" i="1"/>
  <c r="BB21" i="1"/>
  <c r="BB99" i="1"/>
  <c r="BB50" i="1"/>
  <c r="BB20" i="1"/>
  <c r="BJ19" i="1"/>
  <c r="BJ27" i="1"/>
  <c r="BJ50" i="1"/>
  <c r="BJ20" i="1"/>
  <c r="BJ21" i="1"/>
  <c r="BJ103" i="1"/>
  <c r="BT99" i="1"/>
  <c r="BT21" i="1"/>
  <c r="BV7" i="1"/>
  <c r="BV104" i="1" s="1"/>
  <c r="BT19" i="1"/>
  <c r="BT103" i="1"/>
  <c r="BT50" i="1"/>
  <c r="BT27" i="1"/>
  <c r="CI103" i="1"/>
  <c r="CI19" i="1"/>
  <c r="CI20" i="1"/>
  <c r="CI99" i="1"/>
  <c r="CI104" i="1"/>
  <c r="CI21" i="1"/>
  <c r="CI50" i="1"/>
  <c r="CS50" i="1"/>
  <c r="CS21" i="1"/>
  <c r="CS99" i="1"/>
  <c r="CS17" i="1"/>
  <c r="CS20" i="1"/>
  <c r="CS19" i="1"/>
  <c r="CS103" i="1"/>
  <c r="DA27" i="1"/>
  <c r="DA30" i="1" s="1"/>
  <c r="DA21" i="1"/>
  <c r="DA50" i="1"/>
  <c r="DA103" i="1"/>
  <c r="DA19" i="1"/>
  <c r="DA20" i="1"/>
  <c r="EC27" i="1"/>
  <c r="EC30" i="1" s="1"/>
  <c r="EC104" i="1"/>
  <c r="EC20" i="1"/>
  <c r="EC19" i="1"/>
  <c r="EC50" i="1"/>
  <c r="EC21" i="1"/>
  <c r="EC103" i="1"/>
  <c r="EM19" i="1"/>
  <c r="EM20" i="1"/>
  <c r="EM21" i="1"/>
  <c r="EM27" i="1"/>
  <c r="EM30" i="1" s="1"/>
  <c r="CH30" i="1" s="1"/>
  <c r="EM50" i="1"/>
  <c r="BH41" i="1"/>
  <c r="BH40" i="1"/>
  <c r="BH27" i="1"/>
  <c r="FI23" i="1"/>
  <c r="C87" i="3"/>
  <c r="H16" i="3"/>
  <c r="AM17" i="1"/>
  <c r="FH103" i="1"/>
  <c r="FI8" i="1"/>
  <c r="I99" i="1"/>
  <c r="I21" i="1"/>
  <c r="I19" i="1"/>
  <c r="B88" i="3"/>
  <c r="BG106" i="1"/>
  <c r="BG26" i="1"/>
  <c r="BG17" i="1"/>
  <c r="DY23" i="1"/>
  <c r="CE5" i="1"/>
  <c r="DY106" i="1"/>
  <c r="BT57" i="1"/>
  <c r="BV57" i="1" s="1"/>
  <c r="BV8" i="1"/>
  <c r="CJ17" i="1"/>
  <c r="CJ103" i="1"/>
  <c r="DV98" i="1"/>
  <c r="CE11" i="1"/>
  <c r="H38" i="3"/>
  <c r="AJ107" i="1"/>
  <c r="N17" i="1"/>
  <c r="N44" i="1"/>
  <c r="BV11" i="1"/>
  <c r="BV48" i="1" s="1"/>
  <c r="BR48" i="1"/>
  <c r="CE12" i="1"/>
  <c r="CB12" i="1"/>
  <c r="EQ40" i="1"/>
  <c r="EQ41" i="1"/>
  <c r="BV106" i="1"/>
  <c r="BV23" i="1"/>
  <c r="BV49" i="1"/>
  <c r="C89" i="3"/>
  <c r="BG44" i="1"/>
  <c r="DA17" i="1"/>
  <c r="CZ44" i="1"/>
  <c r="CZ26" i="1"/>
  <c r="BL98" i="1"/>
  <c r="BL48" i="1"/>
  <c r="K46" i="21"/>
  <c r="CP44" i="1"/>
  <c r="DW17" i="1"/>
  <c r="AX17" i="1"/>
  <c r="BT104" i="1"/>
  <c r="BT88" i="1"/>
  <c r="G23" i="1"/>
  <c r="G24" i="1" s="1"/>
  <c r="G44" i="1"/>
  <c r="DZ17" i="1"/>
  <c r="DZ23" i="1"/>
  <c r="DZ45" i="1"/>
  <c r="FH17" i="1"/>
  <c r="I30" i="1"/>
  <c r="I104" i="1"/>
  <c r="I20" i="1"/>
  <c r="J7" i="1"/>
  <c r="J104" i="1" s="1"/>
  <c r="I103" i="1"/>
  <c r="CG8" i="1"/>
  <c r="CH8" i="1" s="1"/>
  <c r="H20" i="1"/>
  <c r="H99" i="1"/>
  <c r="H19" i="1"/>
  <c r="H28" i="1"/>
  <c r="H21" i="1"/>
  <c r="J9" i="1"/>
  <c r="FH41" i="1"/>
  <c r="FH28" i="1"/>
  <c r="U49" i="1"/>
  <c r="Q103" i="5"/>
  <c r="BL103" i="5"/>
  <c r="BJ103" i="5"/>
  <c r="AC103" i="1"/>
  <c r="AU147" i="5"/>
  <c r="AF147" i="5" s="1"/>
  <c r="AF142" i="5"/>
  <c r="BQ30" i="1"/>
  <c r="EF17" i="1"/>
  <c r="ES17" i="1"/>
  <c r="D104" i="1"/>
  <c r="C3" i="3"/>
  <c r="M104" i="1"/>
  <c r="M88" i="1"/>
  <c r="CK17" i="1"/>
  <c r="CK88" i="1"/>
  <c r="CT104" i="1"/>
  <c r="CT88" i="1"/>
  <c r="CT17" i="1"/>
  <c r="DV104" i="1"/>
  <c r="DV88" i="1"/>
  <c r="ED104" i="1"/>
  <c r="ED88" i="1"/>
  <c r="ED17" i="1"/>
  <c r="EM88" i="1"/>
  <c r="CG4" i="1"/>
  <c r="EM17" i="1"/>
  <c r="B26" i="1"/>
  <c r="B44" i="1"/>
  <c r="B106" i="1"/>
  <c r="B23" i="1"/>
  <c r="B24" i="1" s="1"/>
  <c r="BQ106" i="1"/>
  <c r="BQ23" i="1"/>
  <c r="CC17" i="1"/>
  <c r="CC44" i="1"/>
  <c r="CC106" i="1"/>
  <c r="CU106" i="1"/>
  <c r="CU45" i="1"/>
  <c r="CU44" i="1"/>
  <c r="DA44" i="1"/>
  <c r="DA23" i="1"/>
  <c r="W57" i="1"/>
  <c r="Y57" i="1" s="1"/>
  <c r="EQ48" i="1"/>
  <c r="EQ98" i="1"/>
  <c r="Q40" i="1"/>
  <c r="Q41" i="1"/>
  <c r="Q19" i="5"/>
  <c r="BJ19" i="5"/>
  <c r="BJ22" i="5"/>
  <c r="Q22" i="5"/>
  <c r="I23" i="5"/>
  <c r="S87" i="1"/>
  <c r="S40" i="1"/>
  <c r="AF94" i="5"/>
  <c r="R62" i="1" s="1"/>
  <c r="R75" i="1"/>
  <c r="D252" i="5"/>
  <c r="BN4" i="1"/>
  <c r="AF255" i="5"/>
  <c r="AF257" i="5" s="1"/>
  <c r="BO62" i="1" s="1"/>
  <c r="AV257" i="5"/>
  <c r="BO75" i="1" s="1"/>
  <c r="BP75" i="1" s="1"/>
  <c r="BP77" i="1"/>
  <c r="BP97" i="1" s="1"/>
  <c r="BO97" i="1"/>
  <c r="EM104" i="1"/>
  <c r="BW104" i="1"/>
  <c r="BQ44" i="1"/>
  <c r="AK17" i="1"/>
  <c r="BZ104" i="1"/>
  <c r="BZ88" i="1"/>
  <c r="EE88" i="1"/>
  <c r="EE17" i="1"/>
  <c r="EE104" i="1"/>
  <c r="C17" i="1"/>
  <c r="C106" i="1"/>
  <c r="C23" i="1"/>
  <c r="C24" i="1" s="1"/>
  <c r="BK44" i="1"/>
  <c r="BK26" i="1"/>
  <c r="BK106" i="1"/>
  <c r="O40" i="1"/>
  <c r="BF41" i="1"/>
  <c r="BF40" i="1"/>
  <c r="BZ40" i="1"/>
  <c r="BZ26" i="1"/>
  <c r="BZ27" i="1"/>
  <c r="BZ28" i="1"/>
  <c r="CK119" i="1"/>
  <c r="CK107" i="1"/>
  <c r="CY40" i="1"/>
  <c r="CY41" i="1"/>
  <c r="CY27" i="1"/>
  <c r="DZ41" i="1"/>
  <c r="DZ40" i="1"/>
  <c r="CG81" i="1"/>
  <c r="EL119" i="1"/>
  <c r="EL27" i="1" s="1"/>
  <c r="EL30" i="1" s="1"/>
  <c r="EU40" i="1"/>
  <c r="EU41" i="1"/>
  <c r="B97" i="1"/>
  <c r="B84" i="3"/>
  <c r="B105" i="1"/>
  <c r="B95" i="1"/>
  <c r="J49" i="1"/>
  <c r="C35" i="3"/>
  <c r="CC23" i="1"/>
  <c r="ES45" i="1"/>
  <c r="AW104" i="1"/>
  <c r="AW88" i="1"/>
  <c r="AW17" i="1"/>
  <c r="BE104" i="1"/>
  <c r="BE17" i="1"/>
  <c r="BM104" i="1"/>
  <c r="BM88" i="1"/>
  <c r="AS26" i="1"/>
  <c r="AS44" i="1"/>
  <c r="AS106" i="1"/>
  <c r="AS23" i="1"/>
  <c r="AY26" i="1"/>
  <c r="AY106" i="1"/>
  <c r="AY17" i="1"/>
  <c r="CF23" i="1"/>
  <c r="AI103" i="1"/>
  <c r="AI50" i="1"/>
  <c r="AI104" i="1"/>
  <c r="AI20" i="1"/>
  <c r="AQ104" i="1"/>
  <c r="AQ20" i="1"/>
  <c r="AQ19" i="1"/>
  <c r="G6" i="3"/>
  <c r="AQ103" i="1"/>
  <c r="AQ99" i="1"/>
  <c r="AY103" i="1"/>
  <c r="AY21" i="1"/>
  <c r="AY27" i="1"/>
  <c r="AY30" i="1" s="1"/>
  <c r="AY104" i="1"/>
  <c r="AY20" i="1"/>
  <c r="AY50" i="1"/>
  <c r="BG104" i="1"/>
  <c r="BG27" i="1"/>
  <c r="BG30" i="1" s="1"/>
  <c r="BG99" i="1"/>
  <c r="BG103" i="1"/>
  <c r="BP7" i="1"/>
  <c r="BO103" i="1"/>
  <c r="BO50" i="1"/>
  <c r="BO19" i="1"/>
  <c r="CC19" i="1"/>
  <c r="CC104" i="1"/>
  <c r="CC27" i="1"/>
  <c r="CC99" i="1"/>
  <c r="CC50" i="1"/>
  <c r="DZ48" i="1"/>
  <c r="DZ98" i="1"/>
  <c r="O41" i="1"/>
  <c r="CQ97" i="1"/>
  <c r="CQ94" i="1"/>
  <c r="FI77" i="1"/>
  <c r="FH91" i="1"/>
  <c r="AZ41" i="1"/>
  <c r="EA40" i="1"/>
  <c r="EA41" i="1"/>
  <c r="EM41" i="1"/>
  <c r="EM40" i="1"/>
  <c r="CB119" i="1"/>
  <c r="CB27" i="1" s="1"/>
  <c r="BA30" i="1"/>
  <c r="AU17" i="1"/>
  <c r="BC17" i="1"/>
  <c r="BO17" i="1"/>
  <c r="CD17" i="1"/>
  <c r="CP17" i="1"/>
  <c r="EA17" i="1"/>
  <c r="EJ17" i="1"/>
  <c r="EV17" i="1"/>
  <c r="G104" i="1"/>
  <c r="G88" i="1"/>
  <c r="Q104" i="1"/>
  <c r="Q17" i="1"/>
  <c r="Q88" i="1"/>
  <c r="AM26" i="1"/>
  <c r="AM44" i="1"/>
  <c r="AM106" i="1"/>
  <c r="CI106" i="1"/>
  <c r="CI17" i="1"/>
  <c r="CI23" i="1"/>
  <c r="CI26" i="1"/>
  <c r="BD17" i="1"/>
  <c r="CE6" i="1"/>
  <c r="F103" i="1"/>
  <c r="F27" i="1"/>
  <c r="F19" i="1"/>
  <c r="F30" i="1"/>
  <c r="O103" i="1"/>
  <c r="O20" i="1"/>
  <c r="O104" i="1"/>
  <c r="O19" i="1"/>
  <c r="AI48" i="1"/>
  <c r="I10" i="3"/>
  <c r="Q10" i="3" s="1"/>
  <c r="S10" i="3" s="1"/>
  <c r="AR41" i="1"/>
  <c r="AR40" i="1"/>
  <c r="AR28" i="1"/>
  <c r="AP41" i="1"/>
  <c r="AP40" i="1"/>
  <c r="AP27" i="1"/>
  <c r="CR105" i="1"/>
  <c r="CR96" i="1"/>
  <c r="CR95" i="1"/>
  <c r="CR93" i="1"/>
  <c r="CR94" i="1"/>
  <c r="CZ93" i="1"/>
  <c r="CZ96" i="1"/>
  <c r="CZ95" i="1"/>
  <c r="CZ94" i="1"/>
  <c r="EF93" i="1"/>
  <c r="EF94" i="1"/>
  <c r="EF95" i="1"/>
  <c r="EF105" i="1"/>
  <c r="EF90" i="1"/>
  <c r="ET90" i="1"/>
  <c r="CB69" i="1"/>
  <c r="CB90" i="1" s="1"/>
  <c r="ET94" i="1"/>
  <c r="ET105" i="1"/>
  <c r="ET95" i="1"/>
  <c r="ET93" i="1"/>
  <c r="O75" i="3"/>
  <c r="O90" i="3"/>
  <c r="N90" i="3"/>
  <c r="Q90" i="3"/>
  <c r="S90" i="3" s="1"/>
  <c r="C28" i="3"/>
  <c r="AS17" i="1"/>
  <c r="EH17" i="1"/>
  <c r="CB3" i="1"/>
  <c r="DA104" i="1"/>
  <c r="DA88" i="1"/>
  <c r="CO21" i="1"/>
  <c r="CW99" i="1"/>
  <c r="CW19" i="1"/>
  <c r="ET19" i="1"/>
  <c r="CB9" i="1"/>
  <c r="CB13" i="1"/>
  <c r="O79" i="3"/>
  <c r="P79" i="3" s="1"/>
  <c r="AS40" i="1"/>
  <c r="AS41" i="1"/>
  <c r="AQ41" i="1"/>
  <c r="AQ40" i="1"/>
  <c r="C94" i="3"/>
  <c r="AW61" i="3"/>
  <c r="N61" i="3"/>
  <c r="B48" i="3"/>
  <c r="B14" i="1"/>
  <c r="B13" i="3" s="1"/>
  <c r="BV63" i="1"/>
  <c r="BR14" i="1"/>
  <c r="BR17" i="1" s="1"/>
  <c r="DV14" i="1"/>
  <c r="DV17" i="1" s="1"/>
  <c r="CE63" i="1"/>
  <c r="CE14" i="1" s="1"/>
  <c r="EL90" i="1"/>
  <c r="EL100" i="1"/>
  <c r="CG65" i="1"/>
  <c r="EV90" i="1"/>
  <c r="EV91" i="1"/>
  <c r="E119" i="1"/>
  <c r="E26" i="1" s="1"/>
  <c r="E107" i="1"/>
  <c r="BM119" i="1"/>
  <c r="BM107" i="1"/>
  <c r="CJ107" i="1"/>
  <c r="CJ119" i="1"/>
  <c r="CJ41" i="1" s="1"/>
  <c r="DX119" i="1"/>
  <c r="CE81" i="1"/>
  <c r="CE119" i="1" s="1"/>
  <c r="C2" i="3"/>
  <c r="M17" i="1"/>
  <c r="AV17" i="1"/>
  <c r="CQ17" i="1"/>
  <c r="EB17" i="1"/>
  <c r="CA104" i="1"/>
  <c r="CA88" i="1"/>
  <c r="CV104" i="1"/>
  <c r="CV88" i="1"/>
  <c r="V44" i="1"/>
  <c r="BW44" i="1"/>
  <c r="BW26" i="1"/>
  <c r="BC103" i="1"/>
  <c r="BU104" i="1"/>
  <c r="BU103" i="1"/>
  <c r="CE8" i="1"/>
  <c r="AL99" i="1"/>
  <c r="BB19" i="1"/>
  <c r="BJ99" i="1"/>
  <c r="CE13" i="1"/>
  <c r="DO35" i="1"/>
  <c r="DO37" i="1"/>
  <c r="DO36" i="1"/>
  <c r="Q76" i="3"/>
  <c r="S76" i="3" s="1"/>
  <c r="P76" i="3" s="1"/>
  <c r="N76" i="3"/>
  <c r="D102" i="3"/>
  <c r="N38" i="3"/>
  <c r="Z38" i="3" s="1"/>
  <c r="Q38" i="3"/>
  <c r="S38" i="3" s="1"/>
  <c r="CG87" i="1"/>
  <c r="U87" i="1"/>
  <c r="U40" i="1"/>
  <c r="CR40" i="1"/>
  <c r="CR87" i="1"/>
  <c r="CZ87" i="1"/>
  <c r="CZ40" i="1"/>
  <c r="EF87" i="1"/>
  <c r="ET87" i="1"/>
  <c r="CB56" i="1"/>
  <c r="ET40" i="1"/>
  <c r="ER97" i="1"/>
  <c r="ER94" i="1"/>
  <c r="W59" i="1"/>
  <c r="Y59" i="1" s="1"/>
  <c r="BV3" i="1"/>
  <c r="CZ17" i="1"/>
  <c r="EC17" i="1"/>
  <c r="AQ17" i="1"/>
  <c r="CO17" i="1"/>
  <c r="CW17" i="1"/>
  <c r="AV103" i="1"/>
  <c r="AV99" i="1"/>
  <c r="BD30" i="1"/>
  <c r="BD19" i="1"/>
  <c r="BL20" i="1"/>
  <c r="BL19" i="1"/>
  <c r="DP35" i="1"/>
  <c r="DP37" i="1"/>
  <c r="N75" i="3"/>
  <c r="Z75" i="3" s="1"/>
  <c r="H87" i="1"/>
  <c r="J55" i="1"/>
  <c r="J88" i="1" s="1"/>
  <c r="T55" i="1"/>
  <c r="R41" i="1"/>
  <c r="R87" i="1"/>
  <c r="AO34" i="3"/>
  <c r="K87" i="1"/>
  <c r="K40" i="1"/>
  <c r="K42" i="1" s="1"/>
  <c r="AL87" i="1"/>
  <c r="AL40" i="1"/>
  <c r="AL42" i="1" s="1"/>
  <c r="BB87" i="1"/>
  <c r="BB40" i="1"/>
  <c r="BB42" i="1" s="1"/>
  <c r="BV56" i="1"/>
  <c r="BT87" i="1"/>
  <c r="BT40" i="1"/>
  <c r="BT42" i="1" s="1"/>
  <c r="CI40" i="1"/>
  <c r="CI42" i="1" s="1"/>
  <c r="CI87" i="1"/>
  <c r="AI94" i="1"/>
  <c r="I73" i="3"/>
  <c r="BT17" i="1"/>
  <c r="EI104" i="1"/>
  <c r="EI17" i="1"/>
  <c r="D99" i="1"/>
  <c r="M99" i="1"/>
  <c r="DT36" i="1"/>
  <c r="DT35" i="1"/>
  <c r="DT37" i="1"/>
  <c r="B40" i="1"/>
  <c r="B41" i="1"/>
  <c r="O17" i="1"/>
  <c r="DY17" i="1"/>
  <c r="ET17" i="1"/>
  <c r="T3" i="1"/>
  <c r="CO50" i="1"/>
  <c r="CO20" i="1"/>
  <c r="EH20" i="1"/>
  <c r="ET27" i="1"/>
  <c r="EE20" i="1"/>
  <c r="EE19" i="1"/>
  <c r="R54" i="1"/>
  <c r="T12" i="1"/>
  <c r="DP36" i="1"/>
  <c r="DM37" i="1"/>
  <c r="DM35" i="1"/>
  <c r="O68" i="3"/>
  <c r="P68" i="3" s="1"/>
  <c r="AV68" i="3"/>
  <c r="B101" i="3"/>
  <c r="CE15" i="1"/>
  <c r="F96" i="3"/>
  <c r="F93" i="3"/>
  <c r="F95" i="3"/>
  <c r="F94" i="3"/>
  <c r="BE41" i="1"/>
  <c r="BE40" i="1"/>
  <c r="N31" i="3"/>
  <c r="Z31" i="3" s="1"/>
  <c r="J90" i="1"/>
  <c r="J128" i="1" s="1"/>
  <c r="J91" i="1"/>
  <c r="C93" i="3"/>
  <c r="AW60" i="3"/>
  <c r="X87" i="1"/>
  <c r="AU40" i="1"/>
  <c r="AU42" i="1" s="1"/>
  <c r="BC40" i="1"/>
  <c r="BC87" i="1"/>
  <c r="BK40" i="1"/>
  <c r="BK42" i="1" s="1"/>
  <c r="BK87" i="1"/>
  <c r="CJ87" i="1"/>
  <c r="CO91" i="1"/>
  <c r="CO90" i="1"/>
  <c r="O63" i="3"/>
  <c r="P63" i="3" s="1"/>
  <c r="E96" i="1"/>
  <c r="E94" i="1"/>
  <c r="E90" i="1"/>
  <c r="E128" i="1" s="1"/>
  <c r="E93" i="1"/>
  <c r="E95" i="1"/>
  <c r="N93" i="1"/>
  <c r="N94" i="1"/>
  <c r="N95" i="1"/>
  <c r="AM94" i="1"/>
  <c r="AM95" i="1"/>
  <c r="AM93" i="1"/>
  <c r="AU94" i="1"/>
  <c r="AU95" i="1"/>
  <c r="AU93" i="1"/>
  <c r="AU96" i="1"/>
  <c r="BC94" i="1"/>
  <c r="BC93" i="1"/>
  <c r="BC96" i="1"/>
  <c r="BK93" i="1"/>
  <c r="BK105" i="1"/>
  <c r="BK90" i="1"/>
  <c r="BK96" i="1"/>
  <c r="BK95" i="1"/>
  <c r="BV69" i="1"/>
  <c r="BU95" i="1"/>
  <c r="BU93" i="1"/>
  <c r="BU90" i="1"/>
  <c r="CJ95" i="1"/>
  <c r="CJ105" i="1"/>
  <c r="CJ96" i="1"/>
  <c r="CJ94" i="1"/>
  <c r="H107" i="1"/>
  <c r="CT40" i="1"/>
  <c r="CT41" i="1"/>
  <c r="AL19" i="1"/>
  <c r="D19" i="1"/>
  <c r="BR41" i="1"/>
  <c r="O31" i="3"/>
  <c r="P31" i="3" s="1"/>
  <c r="AN34" i="3"/>
  <c r="D87" i="1"/>
  <c r="M40" i="1"/>
  <c r="M42" i="1" s="1"/>
  <c r="M87" i="1"/>
  <c r="Z87" i="1"/>
  <c r="Z40" i="1"/>
  <c r="AN40" i="1"/>
  <c r="AN42" i="1" s="1"/>
  <c r="AV87" i="1"/>
  <c r="AV40" i="1"/>
  <c r="FI56" i="1"/>
  <c r="FH40" i="1"/>
  <c r="FH87" i="1"/>
  <c r="CE57" i="1"/>
  <c r="ET100" i="1"/>
  <c r="CB64" i="1"/>
  <c r="FI65" i="1"/>
  <c r="FH90" i="1"/>
  <c r="FH100" i="1"/>
  <c r="AY63" i="3"/>
  <c r="AY64" i="3" s="1"/>
  <c r="E95" i="3"/>
  <c r="F96" i="1"/>
  <c r="F93" i="1"/>
  <c r="F90" i="1"/>
  <c r="F128" i="1" s="1"/>
  <c r="F95" i="1"/>
  <c r="F94" i="1"/>
  <c r="F105" i="1"/>
  <c r="O93" i="1"/>
  <c r="O90" i="1"/>
  <c r="O128" i="1" s="1"/>
  <c r="O94" i="1"/>
  <c r="AS6" i="5"/>
  <c r="AU10" i="5" s="1"/>
  <c r="AV5" i="5"/>
  <c r="AV6" i="5" s="1"/>
  <c r="E103" i="3"/>
  <c r="AI91" i="1"/>
  <c r="AI90" i="1"/>
  <c r="BP65" i="1"/>
  <c r="BO91" i="1"/>
  <c r="CC90" i="1"/>
  <c r="CC91" i="1"/>
  <c r="B94" i="3"/>
  <c r="O61" i="3"/>
  <c r="P61" i="3" s="1"/>
  <c r="E73" i="3"/>
  <c r="C97" i="1"/>
  <c r="C94" i="1"/>
  <c r="K97" i="1"/>
  <c r="AS91" i="1"/>
  <c r="AS97" i="1"/>
  <c r="BA91" i="1"/>
  <c r="BA97" i="1"/>
  <c r="AY41" i="1"/>
  <c r="AY40" i="1"/>
  <c r="EG40" i="1"/>
  <c r="EG41" i="1"/>
  <c r="ES40" i="1"/>
  <c r="I5" i="5"/>
  <c r="I6" i="5" s="1"/>
  <c r="F6" i="5"/>
  <c r="CL62" i="1"/>
  <c r="B104" i="1"/>
  <c r="EG30" i="1"/>
  <c r="O47" i="3"/>
  <c r="BQ41" i="1"/>
  <c r="BQ42" i="1" s="1"/>
  <c r="EV41" i="1"/>
  <c r="EV40" i="1"/>
  <c r="I60" i="3"/>
  <c r="O38" i="3"/>
  <c r="P38" i="3" s="1"/>
  <c r="J87" i="1"/>
  <c r="AU87" i="1"/>
  <c r="CE73" i="1"/>
  <c r="G97" i="1"/>
  <c r="G105" i="1"/>
  <c r="Q97" i="1"/>
  <c r="Q95" i="1"/>
  <c r="Q105" i="1"/>
  <c r="AO40" i="1"/>
  <c r="AO41" i="1"/>
  <c r="L41" i="1"/>
  <c r="L40" i="1"/>
  <c r="AW65" i="3"/>
  <c r="AW64" i="3" s="1"/>
  <c r="O65" i="3"/>
  <c r="F46" i="3"/>
  <c r="AQ100" i="1"/>
  <c r="Q90" i="1"/>
  <c r="Q91" i="1"/>
  <c r="BV72" i="1"/>
  <c r="C102" i="3"/>
  <c r="N79" i="3"/>
  <c r="Z79" i="3" s="1"/>
  <c r="AA79" i="3" s="1"/>
  <c r="CR41" i="1"/>
  <c r="CZ41" i="1"/>
  <c r="ET41" i="1"/>
  <c r="E87" i="1"/>
  <c r="AA40" i="1"/>
  <c r="EM100" i="1"/>
  <c r="CG64" i="1"/>
  <c r="CJ90" i="1"/>
  <c r="BV67" i="1"/>
  <c r="CE68" i="1"/>
  <c r="CV105" i="1"/>
  <c r="CV95" i="1"/>
  <c r="DX90" i="1"/>
  <c r="DX93" i="1"/>
  <c r="DX95" i="1"/>
  <c r="EM105" i="1"/>
  <c r="CG69" i="1"/>
  <c r="EM94" i="1"/>
  <c r="EM95" i="1"/>
  <c r="FH95" i="1"/>
  <c r="FH94" i="1"/>
  <c r="U97" i="1"/>
  <c r="I78" i="3"/>
  <c r="AI107" i="1"/>
  <c r="FH107" i="1"/>
  <c r="FI81" i="1"/>
  <c r="D38" i="5"/>
  <c r="I91" i="1"/>
  <c r="I90" i="1"/>
  <c r="I128" i="1" s="1"/>
  <c r="I100" i="1"/>
  <c r="AM91" i="1"/>
  <c r="AM90" i="1"/>
  <c r="AU91" i="1"/>
  <c r="AU90" i="1"/>
  <c r="BU91" i="1"/>
  <c r="CK90" i="1"/>
  <c r="CK91" i="1"/>
  <c r="CT91" i="1"/>
  <c r="CT90" i="1"/>
  <c r="CE65" i="1"/>
  <c r="CE100" i="1" s="1"/>
  <c r="DV90" i="1"/>
  <c r="AY61" i="3"/>
  <c r="E94" i="3"/>
  <c r="R93" i="1"/>
  <c r="R90" i="1"/>
  <c r="R105" i="1"/>
  <c r="T105" i="1" s="1"/>
  <c r="AX90" i="1"/>
  <c r="AX93" i="1"/>
  <c r="BF90" i="1"/>
  <c r="BF93" i="1"/>
  <c r="BN90" i="1"/>
  <c r="BN93" i="1"/>
  <c r="CA96" i="1"/>
  <c r="CA93" i="1"/>
  <c r="CA105" i="1"/>
  <c r="DZ93" i="1"/>
  <c r="AV66" i="3"/>
  <c r="CE74" i="1"/>
  <c r="CB77" i="1"/>
  <c r="CB97" i="1" s="1"/>
  <c r="EU91" i="1"/>
  <c r="AW95" i="1"/>
  <c r="AW97" i="1"/>
  <c r="F84" i="3"/>
  <c r="EQ97" i="1"/>
  <c r="N85" i="3"/>
  <c r="Q29" i="3"/>
  <c r="S29" i="3" s="1"/>
  <c r="P29" i="3" s="1"/>
  <c r="AV65" i="3"/>
  <c r="AV64" i="3" s="1"/>
  <c r="Q65" i="3"/>
  <c r="S65" i="3" s="1"/>
  <c r="CE54" i="1"/>
  <c r="CB54" i="1"/>
  <c r="P87" i="1"/>
  <c r="P40" i="1"/>
  <c r="P42" i="1" s="1"/>
  <c r="BC100" i="1"/>
  <c r="EA100" i="1"/>
  <c r="B91" i="1"/>
  <c r="B60" i="3"/>
  <c r="B90" i="1"/>
  <c r="B128" i="1" s="1"/>
  <c r="K91" i="1"/>
  <c r="K90" i="1"/>
  <c r="K128" i="1" s="1"/>
  <c r="U90" i="1"/>
  <c r="U91" i="1"/>
  <c r="BL90" i="1"/>
  <c r="BL100" i="1"/>
  <c r="BP40" i="1"/>
  <c r="AO92" i="1"/>
  <c r="AO89" i="1"/>
  <c r="BZ41" i="1"/>
  <c r="CE58" i="1"/>
  <c r="CB61" i="1"/>
  <c r="BK100" i="1"/>
  <c r="CR100" i="1"/>
  <c r="C100" i="1"/>
  <c r="C91" i="1"/>
  <c r="C90" i="1"/>
  <c r="C128" i="1" s="1"/>
  <c r="CW119" i="1"/>
  <c r="CW27" i="1" s="1"/>
  <c r="BN87" i="1"/>
  <c r="AI100" i="1"/>
  <c r="BO92" i="1"/>
  <c r="CP95" i="1"/>
  <c r="EA95" i="1"/>
  <c r="ER93" i="1"/>
  <c r="BG115" i="1"/>
  <c r="BG28" i="1" s="1"/>
  <c r="ES115" i="1"/>
  <c r="ES28" i="1" s="1"/>
  <c r="AA115" i="1"/>
  <c r="CT115" i="1"/>
  <c r="CT28" i="1" s="1"/>
  <c r="CT36" i="1" s="1"/>
  <c r="U115" i="1"/>
  <c r="BE115" i="1"/>
  <c r="BE28" i="1" s="1"/>
  <c r="CM115" i="1"/>
  <c r="CM28" i="1" s="1"/>
  <c r="EQ115" i="1"/>
  <c r="EQ28" i="1" s="1"/>
  <c r="EQ36" i="1" s="1"/>
  <c r="N115" i="1"/>
  <c r="N28" i="1" s="1"/>
  <c r="AX115" i="1"/>
  <c r="AX28" i="1" s="1"/>
  <c r="CF115" i="1"/>
  <c r="CF28" i="1" s="1"/>
  <c r="EB115" i="1"/>
  <c r="EB28" i="1" s="1"/>
  <c r="L115" i="1"/>
  <c r="L28" i="1" s="1"/>
  <c r="L36" i="1" s="1"/>
  <c r="AV115" i="1"/>
  <c r="AV28" i="1" s="1"/>
  <c r="CD115" i="1"/>
  <c r="CD28" i="1" s="1"/>
  <c r="ED115" i="1"/>
  <c r="ED28" i="1" s="1"/>
  <c r="BO115" i="1"/>
  <c r="AM115" i="1"/>
  <c r="AM28" i="1" s="1"/>
  <c r="EC115" i="1"/>
  <c r="EC28" i="1" s="1"/>
  <c r="Y115" i="1"/>
  <c r="BI115" i="1"/>
  <c r="BI28" i="1" s="1"/>
  <c r="CQ115" i="1"/>
  <c r="CQ28" i="1" s="1"/>
  <c r="EU115" i="1"/>
  <c r="EU28" i="1" s="1"/>
  <c r="R115" i="1"/>
  <c r="R28" i="1" s="1"/>
  <c r="BB115" i="1"/>
  <c r="BB28" i="1" s="1"/>
  <c r="CJ115" i="1"/>
  <c r="EF115" i="1"/>
  <c r="P115" i="1"/>
  <c r="P28" i="1" s="1"/>
  <c r="AZ115" i="1"/>
  <c r="CH115" i="1"/>
  <c r="EH115" i="1"/>
  <c r="W115" i="1"/>
  <c r="CO115" i="1"/>
  <c r="CO28" i="1" s="1"/>
  <c r="BK115" i="1"/>
  <c r="BK28" i="1" s="1"/>
  <c r="E115" i="1"/>
  <c r="AO115" i="1"/>
  <c r="AO28" i="1" s="1"/>
  <c r="BU115" i="1"/>
  <c r="BU28" i="1" s="1"/>
  <c r="DW115" i="1"/>
  <c r="AE115" i="1"/>
  <c r="BN115" i="1"/>
  <c r="BN28" i="1" s="1"/>
  <c r="CR115" i="1"/>
  <c r="CR28" i="1" s="1"/>
  <c r="CR36" i="1" s="1"/>
  <c r="EV115" i="1"/>
  <c r="EV28" i="1" s="1"/>
  <c r="AB115" i="1"/>
  <c r="BL115" i="1"/>
  <c r="BL28" i="1" s="1"/>
  <c r="CU115" i="1"/>
  <c r="CU28" i="1" s="1"/>
  <c r="AI115" i="1"/>
  <c r="AI28" i="1" s="1"/>
  <c r="CX115" i="1"/>
  <c r="C115" i="1"/>
  <c r="C28" i="1" s="1"/>
  <c r="BS115" i="1"/>
  <c r="BS28" i="1" s="1"/>
  <c r="I115" i="1"/>
  <c r="I28" i="1" s="1"/>
  <c r="AS115" i="1"/>
  <c r="AS28" i="1" s="1"/>
  <c r="CA115" i="1"/>
  <c r="CA28" i="1" s="1"/>
  <c r="EA115" i="1"/>
  <c r="EA28" i="1" s="1"/>
  <c r="AL115" i="1"/>
  <c r="AL28" i="1" s="1"/>
  <c r="BR115" i="1"/>
  <c r="BR28" i="1" s="1"/>
  <c r="CW115" i="1"/>
  <c r="FJ115" i="1"/>
  <c r="AJ115" i="1"/>
  <c r="AJ28" i="1" s="1"/>
  <c r="AJ36" i="1" s="1"/>
  <c r="BP115" i="1"/>
  <c r="CY115" i="1"/>
  <c r="CY28" i="1" s="1"/>
  <c r="EG115" i="1"/>
  <c r="EG28" i="1" s="1"/>
  <c r="EG36" i="1" s="1"/>
  <c r="BC115" i="1"/>
  <c r="BC28" i="1" s="1"/>
  <c r="AK115" i="1"/>
  <c r="AK28" i="1" s="1"/>
  <c r="CZ115" i="1"/>
  <c r="CZ28" i="1" s="1"/>
  <c r="J115" i="1"/>
  <c r="CB115" i="1"/>
  <c r="T115" i="1"/>
  <c r="CL115" i="1"/>
  <c r="G115" i="1"/>
  <c r="G28" i="1" s="1"/>
  <c r="CC115" i="1"/>
  <c r="CC28" i="1" s="1"/>
  <c r="AW115" i="1"/>
  <c r="AW28" i="1" s="1"/>
  <c r="EE115" i="1"/>
  <c r="EE28" i="1" s="1"/>
  <c r="V115" i="1"/>
  <c r="V28" i="1" s="1"/>
  <c r="CN115" i="1"/>
  <c r="X115" i="1"/>
  <c r="CP115" i="1"/>
  <c r="CP28" i="1" s="1"/>
  <c r="AY115" i="1"/>
  <c r="AY28" i="1" s="1"/>
  <c r="EW115" i="1"/>
  <c r="EW28" i="1" s="1"/>
  <c r="BQ115" i="1"/>
  <c r="BQ28" i="1" s="1"/>
  <c r="BQ36" i="1" s="1"/>
  <c r="B132" i="1"/>
  <c r="AT115" i="1"/>
  <c r="AT28" i="1" s="1"/>
  <c r="DX115" i="1"/>
  <c r="BD115" i="1"/>
  <c r="BD28" i="1" s="1"/>
  <c r="EM115" i="1"/>
  <c r="EM28" i="1" s="1"/>
  <c r="BW115" i="1"/>
  <c r="BW28" i="1" s="1"/>
  <c r="K115" i="1"/>
  <c r="K28" i="1" s="1"/>
  <c r="M115" i="1"/>
  <c r="M28" i="1" s="1"/>
  <c r="CE115" i="1"/>
  <c r="BF115" i="1"/>
  <c r="BF28" i="1" s="1"/>
  <c r="EJ115" i="1"/>
  <c r="EJ28" i="1" s="1"/>
  <c r="EJ36" i="1" s="1"/>
  <c r="BH115" i="1"/>
  <c r="BH28" i="1" s="1"/>
  <c r="ET115" i="1"/>
  <c r="ET28" i="1" s="1"/>
  <c r="B100" i="1"/>
  <c r="EV100" i="1"/>
  <c r="BV66" i="1"/>
  <c r="K95" i="1"/>
  <c r="J79" i="1"/>
  <c r="CB80" i="1"/>
  <c r="BT115" i="1"/>
  <c r="BT28" i="1" s="1"/>
  <c r="BJ115" i="1"/>
  <c r="BJ28" i="1" s="1"/>
  <c r="CV115" i="1"/>
  <c r="CV28" i="1" s="1"/>
  <c r="AU115" i="1"/>
  <c r="AU28" i="1" s="1"/>
  <c r="AQ115" i="1"/>
  <c r="AQ28" i="1" s="1"/>
  <c r="N5" i="5"/>
  <c r="N6" i="5" s="1"/>
  <c r="E42" i="5"/>
  <c r="D37" i="5"/>
  <c r="T56" i="1"/>
  <c r="DW100" i="1"/>
  <c r="H91" i="1"/>
  <c r="H100" i="1"/>
  <c r="DZ90" i="1"/>
  <c r="CG66" i="1"/>
  <c r="CH66" i="1" s="1"/>
  <c r="AT90" i="1"/>
  <c r="AT105" i="1"/>
  <c r="CE70" i="1"/>
  <c r="J74" i="1"/>
  <c r="CX97" i="1"/>
  <c r="EH119" i="1"/>
  <c r="EH41" i="1" s="1"/>
  <c r="AN115" i="1"/>
  <c r="AN28" i="1" s="1"/>
  <c r="Z115" i="1"/>
  <c r="BM115" i="1"/>
  <c r="BJ21" i="5"/>
  <c r="BH23" i="5"/>
  <c r="AD23" i="5"/>
  <c r="BD23" i="5"/>
  <c r="AP23" i="5"/>
  <c r="AQ23" i="5"/>
  <c r="AY23" i="5"/>
  <c r="AJ23" i="5"/>
  <c r="U23" i="5"/>
  <c r="AU23" i="5"/>
  <c r="AU237" i="5"/>
  <c r="BT74" i="1" s="1"/>
  <c r="AF235" i="5"/>
  <c r="AF237" i="5" s="1"/>
  <c r="BT62" i="1" s="1"/>
  <c r="CP94" i="1"/>
  <c r="L96" i="1"/>
  <c r="Q4" i="5"/>
  <c r="BJ4" i="5"/>
  <c r="AS157" i="5"/>
  <c r="AV138" i="5"/>
  <c r="Y23" i="5"/>
  <c r="AL23" i="5"/>
  <c r="AF30" i="5"/>
  <c r="CI62" i="1" s="1"/>
  <c r="Q155" i="5"/>
  <c r="AF217" i="5"/>
  <c r="BI106" i="5"/>
  <c r="D77" i="5"/>
  <c r="E85" i="5"/>
  <c r="AV85" i="5"/>
  <c r="AV82" i="5"/>
  <c r="AV83" i="5" s="1"/>
  <c r="AU219" i="5"/>
  <c r="BQ74" i="1" s="1"/>
  <c r="AF214" i="5"/>
  <c r="AF225" i="5"/>
  <c r="AF227" i="5" s="1"/>
  <c r="BR62" i="1" s="1"/>
  <c r="BV62" i="1" s="1"/>
  <c r="AU227" i="5"/>
  <c r="BR74" i="1" s="1"/>
  <c r="AU252" i="5"/>
  <c r="BN74" i="1" s="1"/>
  <c r="BP74" i="1" s="1"/>
  <c r="AF250" i="5"/>
  <c r="AF252" i="5" s="1"/>
  <c r="BN62" i="1" s="1"/>
  <c r="AF295" i="5"/>
  <c r="AF298" i="5" s="1"/>
  <c r="AV62" i="1" s="1"/>
  <c r="AV298" i="5"/>
  <c r="AV75" i="1" s="1"/>
  <c r="CP96" i="1"/>
  <c r="AE23" i="5"/>
  <c r="BE23" i="5"/>
  <c r="H72" i="5"/>
  <c r="H79" i="5" s="1"/>
  <c r="D70" i="5"/>
  <c r="AU150" i="5"/>
  <c r="AW150" i="5"/>
  <c r="AW151" i="5" s="1"/>
  <c r="AV150" i="5"/>
  <c r="AV151" i="5" s="1"/>
  <c r="AS151" i="5"/>
  <c r="AS154" i="5" s="1"/>
  <c r="J5" i="5"/>
  <c r="J6" i="5" s="1"/>
  <c r="AG72" i="5"/>
  <c r="AQ72" i="5"/>
  <c r="V72" i="5"/>
  <c r="I72" i="5"/>
  <c r="I79" i="5" s="1"/>
  <c r="AZ72" i="5"/>
  <c r="BD72" i="5"/>
  <c r="R72" i="5"/>
  <c r="AP72" i="5"/>
  <c r="G72" i="5"/>
  <c r="G79" i="5" s="1"/>
  <c r="BE72" i="5"/>
  <c r="AL72" i="5"/>
  <c r="AN72" i="5" s="1"/>
  <c r="BC72" i="5"/>
  <c r="AS72" i="5"/>
  <c r="AM72" i="5"/>
  <c r="M72" i="5"/>
  <c r="M79" i="5" s="1"/>
  <c r="M85" i="5" s="1"/>
  <c r="AE72" i="5"/>
  <c r="BF72" i="5"/>
  <c r="T72" i="5"/>
  <c r="X72" i="5"/>
  <c r="AT82" i="5"/>
  <c r="AT83" i="5" s="1"/>
  <c r="S73" i="1" s="1"/>
  <c r="T73" i="1" s="1"/>
  <c r="AT85" i="5"/>
  <c r="AF274" i="5"/>
  <c r="AF275" i="5" s="1"/>
  <c r="CC62" i="1" s="1"/>
  <c r="AU275" i="5"/>
  <c r="CC74" i="1" s="1"/>
  <c r="J20" i="5"/>
  <c r="J23" i="5" s="1"/>
  <c r="V42" i="5"/>
  <c r="AY42" i="5"/>
  <c r="AY46" i="5" s="1"/>
  <c r="AY47" i="5" s="1"/>
  <c r="AZ42" i="5"/>
  <c r="AZ46" i="5" s="1"/>
  <c r="AZ47" i="5" s="1"/>
  <c r="AG42" i="5"/>
  <c r="AG46" i="5" s="1"/>
  <c r="AG47" i="5" s="1"/>
  <c r="Z42" i="5"/>
  <c r="Z46" i="5" s="1"/>
  <c r="Z47" i="5" s="1"/>
  <c r="Z66" i="5" s="1"/>
  <c r="AV59" i="5"/>
  <c r="AR70" i="5"/>
  <c r="D257" i="5"/>
  <c r="BP59" i="5"/>
  <c r="AR59" i="5" s="1"/>
  <c r="AL63" i="5"/>
  <c r="AR77" i="5"/>
  <c r="AR79" i="5"/>
  <c r="AR81" i="5"/>
  <c r="D90" i="5"/>
  <c r="D115" i="5"/>
  <c r="E119" i="5"/>
  <c r="E118" i="5"/>
  <c r="E155" i="5"/>
  <c r="E159" i="5" s="1"/>
  <c r="D134" i="5"/>
  <c r="D155" i="5" s="1"/>
  <c r="S176" i="5"/>
  <c r="AZ176" i="5"/>
  <c r="CL79" i="1" s="1"/>
  <c r="CN79" i="1" s="1"/>
  <c r="I176" i="5"/>
  <c r="CL7" i="1" s="1"/>
  <c r="L176" i="5"/>
  <c r="CL10" i="1" s="1"/>
  <c r="E176" i="5"/>
  <c r="CL3" i="1" s="1"/>
  <c r="AE176" i="5"/>
  <c r="G176" i="5"/>
  <c r="CL5" i="1" s="1"/>
  <c r="AX176" i="5"/>
  <c r="CL77" i="1" s="1"/>
  <c r="AJ176" i="5"/>
  <c r="O176" i="5"/>
  <c r="CL13" i="1" s="1"/>
  <c r="CN13" i="1" s="1"/>
  <c r="AR217" i="5"/>
  <c r="AR219" i="5" s="1"/>
  <c r="BQ71" i="1" s="1"/>
  <c r="D227" i="5"/>
  <c r="AU232" i="5"/>
  <c r="AS74" i="1" s="1"/>
  <c r="AF230" i="5"/>
  <c r="AF232" i="5" s="1"/>
  <c r="AS62" i="1" s="1"/>
  <c r="D232" i="5"/>
  <c r="K42" i="5"/>
  <c r="F159" i="5"/>
  <c r="AC4" i="1" s="1"/>
  <c r="Q90" i="5"/>
  <c r="I93" i="5"/>
  <c r="BJ90" i="5"/>
  <c r="Q97" i="5"/>
  <c r="K104" i="5"/>
  <c r="I104" i="5"/>
  <c r="I105" i="5" s="1"/>
  <c r="U7" i="1" s="1"/>
  <c r="BL102" i="5"/>
  <c r="Q102" i="5"/>
  <c r="BK119" i="5"/>
  <c r="Q118" i="5"/>
  <c r="D247" i="5"/>
  <c r="AW42" i="5"/>
  <c r="AW46" i="5" s="1"/>
  <c r="AW47" i="5" s="1"/>
  <c r="L42" i="5"/>
  <c r="L46" i="5" s="1"/>
  <c r="L47" i="5" s="1"/>
  <c r="Q77" i="5"/>
  <c r="BJ77" i="5"/>
  <c r="AN104" i="5"/>
  <c r="AN105" i="5" s="1"/>
  <c r="U67" i="1" s="1"/>
  <c r="AR101" i="5"/>
  <c r="D138" i="5"/>
  <c r="D157" i="5" s="1"/>
  <c r="F176" i="5"/>
  <c r="CL4" i="1" s="1"/>
  <c r="V176" i="5"/>
  <c r="AD176" i="5"/>
  <c r="AL176" i="5"/>
  <c r="AS176" i="5"/>
  <c r="CL72" i="1" s="1"/>
  <c r="CN72" i="1" s="1"/>
  <c r="BA176" i="5"/>
  <c r="CL80" i="1" s="1"/>
  <c r="CN80" i="1" s="1"/>
  <c r="AG176" i="5"/>
  <c r="D262" i="5"/>
  <c r="D293" i="5"/>
  <c r="G2" i="13"/>
  <c r="AF349" i="5"/>
  <c r="AU352" i="5"/>
  <c r="BW74" i="1" s="1"/>
  <c r="AU374" i="5"/>
  <c r="BB74" i="1" s="1"/>
  <c r="AF371" i="5"/>
  <c r="AF374" i="5" s="1"/>
  <c r="BB62" i="1" s="1"/>
  <c r="AN147" i="5"/>
  <c r="AR145" i="5"/>
  <c r="U176" i="5"/>
  <c r="AN176" i="5"/>
  <c r="CN67" i="1" s="1"/>
  <c r="AR235" i="5"/>
  <c r="AR237" i="5" s="1"/>
  <c r="BT71" i="1" s="1"/>
  <c r="O342" i="5"/>
  <c r="AL13" i="1" s="1"/>
  <c r="AL17" i="1" s="1"/>
  <c r="D341" i="5"/>
  <c r="P51" i="3"/>
  <c r="P53" i="3"/>
  <c r="BA63" i="3"/>
  <c r="AJ64" i="3"/>
  <c r="BA64" i="3" s="1"/>
  <c r="AV104" i="5"/>
  <c r="AV105" i="5" s="1"/>
  <c r="U75" i="1" s="1"/>
  <c r="K22" i="23"/>
  <c r="AR344" i="5"/>
  <c r="AR347" i="5" s="1"/>
  <c r="AX71" i="1" s="1"/>
  <c r="K57" i="23"/>
  <c r="Y46" i="3"/>
  <c r="P54" i="3"/>
  <c r="AE75" i="5"/>
  <c r="AY75" i="5"/>
  <c r="L75" i="5"/>
  <c r="H75" i="5"/>
  <c r="BE75" i="5"/>
  <c r="AP75" i="5"/>
  <c r="Q101" i="5"/>
  <c r="BJ101" i="5"/>
  <c r="AR103" i="5"/>
  <c r="AR143" i="5"/>
  <c r="J176" i="5"/>
  <c r="CL8" i="1" s="1"/>
  <c r="AA176" i="5"/>
  <c r="AI176" i="5"/>
  <c r="AP176" i="5"/>
  <c r="CL69" i="1" s="1"/>
  <c r="Q183" i="5"/>
  <c r="I189" i="5"/>
  <c r="AN189" i="5"/>
  <c r="D365" i="5"/>
  <c r="AK334" i="5"/>
  <c r="AB64" i="1" s="1"/>
  <c r="AB15" i="1" s="1"/>
  <c r="AZ334" i="5"/>
  <c r="AB79" i="1" s="1"/>
  <c r="X334" i="5"/>
  <c r="AB58" i="1" s="1"/>
  <c r="I334" i="5"/>
  <c r="Y334" i="5"/>
  <c r="AB59" i="1" s="1"/>
  <c r="AU366" i="5"/>
  <c r="AY74" i="1" s="1"/>
  <c r="AF362" i="5"/>
  <c r="AF366" i="5" s="1"/>
  <c r="AY62" i="1" s="1"/>
  <c r="P20" i="3"/>
  <c r="P36" i="3"/>
  <c r="P64" i="3"/>
  <c r="Z69" i="3"/>
  <c r="AA69" i="3" s="1"/>
  <c r="AL334" i="5"/>
  <c r="AB65" i="1" s="1"/>
  <c r="AQ334" i="5"/>
  <c r="AB70" i="1" s="1"/>
  <c r="AB93" i="1" s="1"/>
  <c r="AG334" i="5"/>
  <c r="AB63" i="1" s="1"/>
  <c r="AB14" i="1" s="1"/>
  <c r="N334" i="5"/>
  <c r="AB12" i="1" s="1"/>
  <c r="AB54" i="1" s="1"/>
  <c r="AU342" i="5"/>
  <c r="AL74" i="1" s="1"/>
  <c r="AR362" i="5"/>
  <c r="AR366" i="5" s="1"/>
  <c r="AY71" i="1" s="1"/>
  <c r="Z27" i="3"/>
  <c r="AA27" i="3" s="1"/>
  <c r="P41" i="3"/>
  <c r="P30" i="3"/>
  <c r="AF344" i="5"/>
  <c r="AF347" i="5" s="1"/>
  <c r="AX62" i="1" s="1"/>
  <c r="K74" i="23"/>
  <c r="Y82" i="3"/>
  <c r="Z82" i="3" s="1"/>
  <c r="AA82" i="3" s="1"/>
  <c r="AJ82" i="3"/>
  <c r="X16" i="3"/>
  <c r="P44" i="3"/>
  <c r="Z794" i="7"/>
  <c r="J2" i="26"/>
  <c r="K2" i="26"/>
  <c r="AA723" i="15"/>
  <c r="AA722" i="15"/>
  <c r="AQ723" i="15"/>
  <c r="Z722" i="15"/>
  <c r="Z723" i="15"/>
  <c r="W723" i="15"/>
  <c r="X723" i="15"/>
  <c r="Y723" i="15"/>
  <c r="X722" i="15"/>
  <c r="Y722" i="15"/>
  <c r="W722" i="15"/>
  <c r="Z791" i="7"/>
  <c r="AB787" i="7" l="1"/>
  <c r="AI787" i="7"/>
  <c r="G788" i="7"/>
  <c r="AI788" i="7"/>
  <c r="U725" i="15"/>
  <c r="S725" i="15"/>
  <c r="P725" i="15"/>
  <c r="P726" i="15" s="1"/>
  <c r="O725" i="15"/>
  <c r="R725" i="15"/>
  <c r="R726" i="15" s="1"/>
  <c r="Q725" i="15"/>
  <c r="Q726" i="15" s="1"/>
  <c r="BN27" i="1"/>
  <c r="BN30" i="1" s="1"/>
  <c r="D96" i="3"/>
  <c r="D94" i="3"/>
  <c r="CM41" i="1"/>
  <c r="BP106" i="1"/>
  <c r="J26" i="1"/>
  <c r="AR147" i="5"/>
  <c r="CE23" i="1"/>
  <c r="B35" i="1"/>
  <c r="Z91" i="1"/>
  <c r="D93" i="3"/>
  <c r="N65" i="3"/>
  <c r="CM40" i="1"/>
  <c r="CM42" i="1" s="1"/>
  <c r="BV91" i="1"/>
  <c r="B36" i="1"/>
  <c r="DV27" i="1"/>
  <c r="DV30" i="1" s="1"/>
  <c r="I40" i="1"/>
  <c r="I42" i="1" s="1"/>
  <c r="I26" i="1"/>
  <c r="CR26" i="1"/>
  <c r="BD42" i="1"/>
  <c r="BI42" i="1"/>
  <c r="CM27" i="1"/>
  <c r="CM30" i="1" s="1"/>
  <c r="Q36" i="1"/>
  <c r="CD42" i="1"/>
  <c r="D92" i="3"/>
  <c r="J107" i="1"/>
  <c r="F66" i="5"/>
  <c r="BV41" i="1"/>
  <c r="BR40" i="1"/>
  <c r="AZ26" i="1"/>
  <c r="AV42" i="5"/>
  <c r="AV46" i="5" s="1"/>
  <c r="AV47" i="5" s="1"/>
  <c r="EC42" i="1"/>
  <c r="T23" i="5"/>
  <c r="AP31" i="3"/>
  <c r="BW42" i="1"/>
  <c r="AF209" i="5"/>
  <c r="AF210" i="5" s="1"/>
  <c r="Z62" i="1" s="1"/>
  <c r="AR209" i="5"/>
  <c r="AR210" i="5" s="1"/>
  <c r="Z71" i="1" s="1"/>
  <c r="AR227" i="5"/>
  <c r="BR71" i="1" s="1"/>
  <c r="BV71" i="1" s="1"/>
  <c r="AU63" i="5"/>
  <c r="AU64" i="5" s="1"/>
  <c r="X74" i="1" s="1"/>
  <c r="J95" i="1"/>
  <c r="Q66" i="3"/>
  <c r="S66" i="3" s="1"/>
  <c r="BN26" i="1"/>
  <c r="Z47" i="3"/>
  <c r="AA47" i="3" s="1"/>
  <c r="AK27" i="1"/>
  <c r="AK30" i="1" s="1"/>
  <c r="Q37" i="1"/>
  <c r="DW28" i="1"/>
  <c r="BN40" i="1"/>
  <c r="DA37" i="1"/>
  <c r="V15" i="5"/>
  <c r="BF23" i="5"/>
  <c r="X66" i="5"/>
  <c r="AC28" i="1"/>
  <c r="AK40" i="1"/>
  <c r="Q8" i="3"/>
  <c r="S8" i="3" s="1"/>
  <c r="AV41" i="1"/>
  <c r="AV42" i="1" s="1"/>
  <c r="O92" i="3"/>
  <c r="EA27" i="1"/>
  <c r="Q98" i="3"/>
  <c r="S98" i="3" s="1"/>
  <c r="BQ5" i="5"/>
  <c r="CT42" i="1"/>
  <c r="BC42" i="1"/>
  <c r="BN41" i="1"/>
  <c r="BN42" i="1" s="1"/>
  <c r="CB98" i="1"/>
  <c r="DW27" i="1"/>
  <c r="DW30" i="1" s="1"/>
  <c r="CG30" i="1"/>
  <c r="DW26" i="1"/>
  <c r="X23" i="5"/>
  <c r="S88" i="1"/>
  <c r="T88" i="1" s="1"/>
  <c r="BA23" i="5"/>
  <c r="T97" i="1"/>
  <c r="AK26" i="1"/>
  <c r="CN12" i="1"/>
  <c r="AG23" i="5"/>
  <c r="AV27" i="1"/>
  <c r="AV30" i="1" s="1"/>
  <c r="AN16" i="3"/>
  <c r="DV28" i="1"/>
  <c r="DV40" i="1"/>
  <c r="DV42" i="1" s="1"/>
  <c r="J97" i="1"/>
  <c r="L85" i="5"/>
  <c r="AZ27" i="1"/>
  <c r="AZ30" i="1" s="1"/>
  <c r="AI27" i="1"/>
  <c r="AI30" i="1" s="1"/>
  <c r="Q34" i="3"/>
  <c r="S34" i="3" s="1"/>
  <c r="AW23" i="5"/>
  <c r="AO23" i="5"/>
  <c r="AN23" i="5" s="1"/>
  <c r="DZ30" i="1"/>
  <c r="DZ36" i="1"/>
  <c r="DZ35" i="1"/>
  <c r="DZ37" i="1"/>
  <c r="EI30" i="1"/>
  <c r="EI37" i="1"/>
  <c r="EI35" i="1"/>
  <c r="AO85" i="5"/>
  <c r="CE90" i="1"/>
  <c r="F100" i="3"/>
  <c r="N34" i="3"/>
  <c r="CE95" i="1"/>
  <c r="EI36" i="1"/>
  <c r="O34" i="3"/>
  <c r="P34" i="3" s="1"/>
  <c r="AA68" i="3"/>
  <c r="AK42" i="1"/>
  <c r="Q63" i="5"/>
  <c r="AW42" i="1"/>
  <c r="ER28" i="1"/>
  <c r="ER36" i="1" s="1"/>
  <c r="ER40" i="1"/>
  <c r="ER42" i="1" s="1"/>
  <c r="BA40" i="1"/>
  <c r="BA42" i="1" s="1"/>
  <c r="BA28" i="1"/>
  <c r="H41" i="1"/>
  <c r="J41" i="1" s="1"/>
  <c r="H40" i="1"/>
  <c r="BV26" i="1"/>
  <c r="CE96" i="1"/>
  <c r="CQ41" i="1"/>
  <c r="CQ42" i="1" s="1"/>
  <c r="CQ27" i="1"/>
  <c r="CQ30" i="1" s="1"/>
  <c r="AN20" i="5"/>
  <c r="O102" i="3"/>
  <c r="J119" i="1"/>
  <c r="BP87" i="1"/>
  <c r="N92" i="3"/>
  <c r="I17" i="3"/>
  <c r="N98" i="3"/>
  <c r="CQ26" i="1"/>
  <c r="CE97" i="1"/>
  <c r="D87" i="3"/>
  <c r="Q87" i="3" s="1"/>
  <c r="S87" i="3" s="1"/>
  <c r="P87" i="3" s="1"/>
  <c r="AV75" i="5"/>
  <c r="AC104" i="1"/>
  <c r="Q159" i="5"/>
  <c r="CL28" i="1"/>
  <c r="T90" i="1"/>
  <c r="AA42" i="1"/>
  <c r="I16" i="3"/>
  <c r="E15" i="3"/>
  <c r="EA26" i="1"/>
  <c r="AX42" i="1"/>
  <c r="D35" i="1"/>
  <c r="D91" i="3"/>
  <c r="N91" i="3" s="1"/>
  <c r="BP62" i="1"/>
  <c r="CE93" i="1"/>
  <c r="AB28" i="1"/>
  <c r="EF28" i="1"/>
  <c r="P47" i="3"/>
  <c r="FH42" i="1"/>
  <c r="DZ42" i="1"/>
  <c r="W83" i="1"/>
  <c r="AQ66" i="5"/>
  <c r="N66" i="3"/>
  <c r="Z66" i="3" s="1"/>
  <c r="AC66" i="3" s="1"/>
  <c r="BA66" i="5"/>
  <c r="P75" i="3"/>
  <c r="BO26" i="1"/>
  <c r="AF189" i="5"/>
  <c r="AF195" i="5" s="1"/>
  <c r="AF196" i="5" s="1"/>
  <c r="AA62" i="1" s="1"/>
  <c r="BU26" i="1"/>
  <c r="BU40" i="1"/>
  <c r="BU42" i="1" s="1"/>
  <c r="CV26" i="1"/>
  <c r="BP42" i="1"/>
  <c r="BO28" i="1"/>
  <c r="FH36" i="1"/>
  <c r="BR75" i="5"/>
  <c r="CN41" i="1"/>
  <c r="AB49" i="1"/>
  <c r="AB23" i="1"/>
  <c r="AB106" i="1"/>
  <c r="C17" i="3"/>
  <c r="DY35" i="1"/>
  <c r="DY30" i="1"/>
  <c r="DY36" i="1"/>
  <c r="DY37" i="1"/>
  <c r="T10" i="1"/>
  <c r="S49" i="1"/>
  <c r="T49" i="1" s="1"/>
  <c r="BU36" i="1"/>
  <c r="CX28" i="1"/>
  <c r="CX37" i="1" s="1"/>
  <c r="P85" i="3"/>
  <c r="I209" i="5"/>
  <c r="I210" i="5" s="1"/>
  <c r="Z7" i="1" s="1"/>
  <c r="J206" i="5"/>
  <c r="J209" i="5" s="1"/>
  <c r="J210" i="5" s="1"/>
  <c r="Z8" i="1" s="1"/>
  <c r="W82" i="1"/>
  <c r="Y82" i="1" s="1"/>
  <c r="BD66" i="5"/>
  <c r="CI35" i="1"/>
  <c r="DA35" i="1"/>
  <c r="W64" i="1"/>
  <c r="AK66" i="5"/>
  <c r="EE42" i="1"/>
  <c r="CN66" i="1"/>
  <c r="CL66" i="1"/>
  <c r="Y11" i="1"/>
  <c r="Y48" i="1" s="1"/>
  <c r="W48" i="1"/>
  <c r="M66" i="5"/>
  <c r="EF27" i="1"/>
  <c r="EF30" i="1" s="1"/>
  <c r="ER37" i="1"/>
  <c r="ER35" i="1"/>
  <c r="N101" i="3"/>
  <c r="I101" i="3" s="1"/>
  <c r="AO81" i="5"/>
  <c r="AN81" i="5" s="1"/>
  <c r="AN82" i="5" s="1"/>
  <c r="AN83" i="5" s="1"/>
  <c r="S67" i="1" s="1"/>
  <c r="T67" i="1" s="1"/>
  <c r="AP64" i="5"/>
  <c r="X69" i="1" s="1"/>
  <c r="AT63" i="5"/>
  <c r="AT64" i="5" s="1"/>
  <c r="X73" i="1" s="1"/>
  <c r="DW40" i="1"/>
  <c r="DW42" i="1" s="1"/>
  <c r="CG49" i="1"/>
  <c r="CH10" i="1"/>
  <c r="Z85" i="3"/>
  <c r="AF63" i="5"/>
  <c r="AF64" i="5" s="1"/>
  <c r="X62" i="1" s="1"/>
  <c r="Z37" i="3"/>
  <c r="AA37" i="3" s="1"/>
  <c r="D14" i="3"/>
  <c r="D15" i="3" s="1"/>
  <c r="L17" i="1"/>
  <c r="X50" i="1"/>
  <c r="X103" i="1"/>
  <c r="X104" i="1"/>
  <c r="EM42" i="1"/>
  <c r="AC23" i="1"/>
  <c r="U106" i="1"/>
  <c r="EF41" i="1"/>
  <c r="EF42" i="1" s="1"/>
  <c r="AR93" i="5"/>
  <c r="AR94" i="5" s="1"/>
  <c r="R71" i="1" s="1"/>
  <c r="CL41" i="1"/>
  <c r="BM20" i="5"/>
  <c r="BQ63" i="5"/>
  <c r="EW42" i="1"/>
  <c r="Q35" i="1"/>
  <c r="AO37" i="3"/>
  <c r="AP37" i="3" s="1"/>
  <c r="I46" i="3"/>
  <c r="AZ66" i="3"/>
  <c r="O66" i="3"/>
  <c r="Z63" i="3"/>
  <c r="AA63" i="3" s="1"/>
  <c r="U63" i="3"/>
  <c r="AU75" i="5"/>
  <c r="AB89" i="1"/>
  <c r="BJ106" i="5"/>
  <c r="BL106" i="5"/>
  <c r="AF219" i="5"/>
  <c r="BQ62" i="1" s="1"/>
  <c r="AT42" i="5"/>
  <c r="AT46" i="5" s="1"/>
  <c r="AT47" i="5" s="1"/>
  <c r="AT66" i="5" s="1"/>
  <c r="BJ5" i="5"/>
  <c r="K17" i="5" s="1"/>
  <c r="K20" i="5" s="1"/>
  <c r="AZ28" i="1"/>
  <c r="BP5" i="5"/>
  <c r="Q176" i="5"/>
  <c r="T93" i="1"/>
  <c r="AO42" i="1"/>
  <c r="ES41" i="1"/>
  <c r="BR5" i="5"/>
  <c r="Z42" i="1"/>
  <c r="BE42" i="1"/>
  <c r="T54" i="1"/>
  <c r="P90" i="3"/>
  <c r="AZ40" i="1"/>
  <c r="AZ42" i="1" s="1"/>
  <c r="BJ23" i="5"/>
  <c r="AN3" i="3"/>
  <c r="U23" i="1"/>
  <c r="CB88" i="1"/>
  <c r="DA36" i="1"/>
  <c r="BJ36" i="1"/>
  <c r="Z97" i="1"/>
  <c r="H159" i="5"/>
  <c r="AC6" i="1" s="1"/>
  <c r="BR42" i="5"/>
  <c r="BO41" i="1"/>
  <c r="BO40" i="1"/>
  <c r="J93" i="1"/>
  <c r="J98" i="1"/>
  <c r="CG48" i="1"/>
  <c r="CH11" i="1"/>
  <c r="CH48" i="1" s="1"/>
  <c r="CC42" i="1"/>
  <c r="D36" i="1"/>
  <c r="D30" i="1"/>
  <c r="Q92" i="3"/>
  <c r="S92" i="3" s="1"/>
  <c r="AX64" i="3"/>
  <c r="D37" i="1"/>
  <c r="BO27" i="1"/>
  <c r="BO30" i="1" s="1"/>
  <c r="N95" i="3"/>
  <c r="ET42" i="1"/>
  <c r="CR42" i="1"/>
  <c r="AR42" i="1"/>
  <c r="EA42" i="1"/>
  <c r="G66" i="5"/>
  <c r="W5" i="1"/>
  <c r="AX66" i="5"/>
  <c r="W77" i="1"/>
  <c r="Y77" i="1" s="1"/>
  <c r="AU42" i="5"/>
  <c r="AU46" i="5" s="1"/>
  <c r="AU47" i="5" s="1"/>
  <c r="AI40" i="1"/>
  <c r="AI41" i="1"/>
  <c r="AI26" i="1"/>
  <c r="AE66" i="5"/>
  <c r="W84" i="1"/>
  <c r="Y84" i="1" s="1"/>
  <c r="CG21" i="1"/>
  <c r="T66" i="5"/>
  <c r="W55" i="1"/>
  <c r="CB91" i="1"/>
  <c r="AS42" i="1"/>
  <c r="CG19" i="1"/>
  <c r="N66" i="5"/>
  <c r="W12" i="1"/>
  <c r="AA97" i="1"/>
  <c r="AA91" i="1"/>
  <c r="N102" i="3"/>
  <c r="D80" i="3" s="1"/>
  <c r="EU42" i="1"/>
  <c r="CY42" i="1"/>
  <c r="AT36" i="1"/>
  <c r="N100" i="3"/>
  <c r="I100" i="3" s="1"/>
  <c r="AC42" i="1"/>
  <c r="AC20" i="1"/>
  <c r="AC99" i="1"/>
  <c r="AC21" i="1"/>
  <c r="AC19" i="1"/>
  <c r="AC50" i="1"/>
  <c r="CX26" i="1"/>
  <c r="CX40" i="1"/>
  <c r="CX42" i="1" s="1"/>
  <c r="CX27" i="1"/>
  <c r="CX30" i="1" s="1"/>
  <c r="AL6" i="5"/>
  <c r="AN5" i="5"/>
  <c r="AN6" i="5" s="1"/>
  <c r="Z76" i="3"/>
  <c r="AC44" i="1"/>
  <c r="AC26" i="1"/>
  <c r="CL64" i="1"/>
  <c r="CL15" i="1" s="1"/>
  <c r="CN15" i="1" s="1"/>
  <c r="CN64" i="1"/>
  <c r="W72" i="1"/>
  <c r="Y72" i="1" s="1"/>
  <c r="AS66" i="5"/>
  <c r="AL46" i="5"/>
  <c r="AL47" i="5" s="1"/>
  <c r="W65" i="1" s="1"/>
  <c r="AN42" i="5"/>
  <c r="AN46" i="5" s="1"/>
  <c r="AN47" i="5" s="1"/>
  <c r="W67" i="1" s="1"/>
  <c r="L42" i="1"/>
  <c r="Q102" i="3"/>
  <c r="S102" i="3" s="1"/>
  <c r="AP42" i="1"/>
  <c r="BB36" i="1"/>
  <c r="CN59" i="1"/>
  <c r="CL59" i="1"/>
  <c r="AM66" i="5"/>
  <c r="W66" i="1"/>
  <c r="Y66" i="1" s="1"/>
  <c r="X26" i="1"/>
  <c r="X27" i="1"/>
  <c r="X30" i="1" s="1"/>
  <c r="AP46" i="5"/>
  <c r="AP47" i="5" s="1"/>
  <c r="BP42" i="5"/>
  <c r="BQ42" i="5"/>
  <c r="BQ20" i="5"/>
  <c r="BR20" i="5"/>
  <c r="AS23" i="5"/>
  <c r="BR23" i="5" s="1"/>
  <c r="X41" i="1"/>
  <c r="X42" i="1" s="1"/>
  <c r="BH8" i="5"/>
  <c r="BH10" i="5"/>
  <c r="L12" i="5" s="1"/>
  <c r="AE10" i="1" s="1"/>
  <c r="ES26" i="1"/>
  <c r="AC27" i="1"/>
  <c r="AC30" i="1" s="1"/>
  <c r="Q72" i="5"/>
  <c r="AB88" i="1"/>
  <c r="AB41" i="1"/>
  <c r="Q64" i="5"/>
  <c r="X9" i="1"/>
  <c r="I46" i="5"/>
  <c r="I47" i="5" s="1"/>
  <c r="BL42" i="5"/>
  <c r="BL63" i="5" s="1"/>
  <c r="AR104" i="5"/>
  <c r="AR105" i="5" s="1"/>
  <c r="U71" i="1" s="1"/>
  <c r="AT10" i="5"/>
  <c r="CE17" i="1"/>
  <c r="AB87" i="1"/>
  <c r="AQ42" i="1"/>
  <c r="CG20" i="1"/>
  <c r="AO66" i="5"/>
  <c r="W68" i="1"/>
  <c r="Y68" i="1" s="1"/>
  <c r="AB40" i="1"/>
  <c r="AB26" i="1"/>
  <c r="CO26" i="1"/>
  <c r="CO41" i="1"/>
  <c r="CO40" i="1"/>
  <c r="CO27" i="1"/>
  <c r="CO30" i="1" s="1"/>
  <c r="CH70" i="1"/>
  <c r="CG98" i="1"/>
  <c r="X15" i="3"/>
  <c r="P37" i="3"/>
  <c r="Y15" i="3"/>
  <c r="BF35" i="1"/>
  <c r="BF37" i="1"/>
  <c r="BN37" i="1"/>
  <c r="BN35" i="1"/>
  <c r="BN36" i="1"/>
  <c r="EU37" i="1"/>
  <c r="EU36" i="1"/>
  <c r="EU35" i="1"/>
  <c r="CM35" i="1"/>
  <c r="CM37" i="1"/>
  <c r="CM36" i="1"/>
  <c r="BW37" i="1"/>
  <c r="BW35" i="1"/>
  <c r="BW36" i="1"/>
  <c r="EA37" i="1"/>
  <c r="EA35" i="1"/>
  <c r="CA36" i="1"/>
  <c r="CA35" i="1"/>
  <c r="CA37" i="1"/>
  <c r="BH35" i="1"/>
  <c r="BH37" i="1"/>
  <c r="EF35" i="1"/>
  <c r="CC35" i="1"/>
  <c r="CC37" i="1"/>
  <c r="AC3" i="1"/>
  <c r="AC17" i="1" s="1"/>
  <c r="D159" i="5"/>
  <c r="I37" i="1"/>
  <c r="I35" i="1"/>
  <c r="AX37" i="1"/>
  <c r="AX35" i="1"/>
  <c r="AX36" i="1"/>
  <c r="ES35" i="1"/>
  <c r="ES37" i="1"/>
  <c r="ES36" i="1"/>
  <c r="CB30" i="1"/>
  <c r="U50" i="1"/>
  <c r="U27" i="1"/>
  <c r="U30" i="1" s="1"/>
  <c r="U104" i="1"/>
  <c r="AK35" i="1"/>
  <c r="AK37" i="1"/>
  <c r="AK36" i="1"/>
  <c r="K105" i="5"/>
  <c r="Q104" i="5"/>
  <c r="M82" i="5"/>
  <c r="M83" i="5" s="1"/>
  <c r="S11" i="1" s="1"/>
  <c r="BJ37" i="1"/>
  <c r="BJ35" i="1"/>
  <c r="K35" i="1"/>
  <c r="K36" i="1"/>
  <c r="BC37" i="1"/>
  <c r="BC36" i="1"/>
  <c r="BC35" i="1"/>
  <c r="AI37" i="1"/>
  <c r="AI35" i="1"/>
  <c r="BE37" i="1"/>
  <c r="BE35" i="1"/>
  <c r="BE36" i="1"/>
  <c r="AA66" i="3"/>
  <c r="BV95" i="1"/>
  <c r="BV93" i="1"/>
  <c r="AC75" i="3"/>
  <c r="AA75" i="3"/>
  <c r="CG90" i="1"/>
  <c r="CH65" i="1"/>
  <c r="O48" i="3"/>
  <c r="N48" i="3"/>
  <c r="Z48" i="3" s="1"/>
  <c r="AA48" i="3" s="1"/>
  <c r="Q48" i="3"/>
  <c r="S48" i="3" s="1"/>
  <c r="G17" i="3"/>
  <c r="S42" i="1"/>
  <c r="T40" i="1"/>
  <c r="AF105" i="5"/>
  <c r="U62" i="1" s="1"/>
  <c r="EQ42" i="1"/>
  <c r="BH36" i="1"/>
  <c r="BH30" i="1"/>
  <c r="CS36" i="1"/>
  <c r="CS35" i="1"/>
  <c r="CS37" i="1"/>
  <c r="BV103" i="1"/>
  <c r="BV50" i="1"/>
  <c r="BV27" i="1"/>
  <c r="BV30" i="1" s="1"/>
  <c r="BV99" i="1"/>
  <c r="BV21" i="1"/>
  <c r="BV19" i="1"/>
  <c r="BV20" i="1"/>
  <c r="BP19" i="1"/>
  <c r="BP28" i="1"/>
  <c r="BP99" i="1"/>
  <c r="BP21" i="1"/>
  <c r="J23" i="1"/>
  <c r="J24" i="1" s="1"/>
  <c r="J44" i="1"/>
  <c r="J17" i="1"/>
  <c r="AC88" i="1"/>
  <c r="U61" i="3"/>
  <c r="Z61" i="3"/>
  <c r="BJ30" i="1"/>
  <c r="AT30" i="1"/>
  <c r="P98" i="3"/>
  <c r="D17" i="3"/>
  <c r="Q7" i="3"/>
  <c r="S7" i="3" s="1"/>
  <c r="D35" i="3"/>
  <c r="Q35" i="3" s="1"/>
  <c r="S35" i="3" s="1"/>
  <c r="CG103" i="1"/>
  <c r="W119" i="1"/>
  <c r="Y81" i="1"/>
  <c r="Y119" i="1" s="1"/>
  <c r="W73" i="1"/>
  <c r="Y73" i="1" s="1"/>
  <c r="M37" i="1"/>
  <c r="M36" i="1"/>
  <c r="M35" i="1"/>
  <c r="CD37" i="1"/>
  <c r="CD35" i="1"/>
  <c r="CD36" i="1"/>
  <c r="AC76" i="3"/>
  <c r="AA76" i="3"/>
  <c r="EB36" i="1"/>
  <c r="EB30" i="1"/>
  <c r="CN77" i="1"/>
  <c r="CN97" i="1" s="1"/>
  <c r="CL97" i="1"/>
  <c r="BI35" i="1"/>
  <c r="BI37" i="1"/>
  <c r="BI36" i="1"/>
  <c r="AT37" i="1"/>
  <c r="AT35" i="1"/>
  <c r="O28" i="3"/>
  <c r="C97" i="3"/>
  <c r="Q28" i="3"/>
  <c r="S28" i="3" s="1"/>
  <c r="N28" i="3"/>
  <c r="Z28" i="3" s="1"/>
  <c r="AA28" i="3" s="1"/>
  <c r="I22" i="3"/>
  <c r="CC36" i="1"/>
  <c r="BP50" i="1"/>
  <c r="BP103" i="1"/>
  <c r="BP20" i="1"/>
  <c r="BP27" i="1"/>
  <c r="CN69" i="1"/>
  <c r="CL93" i="1"/>
  <c r="CL105" i="1"/>
  <c r="CL95" i="1"/>
  <c r="BP75" i="5"/>
  <c r="BQ75" i="5"/>
  <c r="CL88" i="1"/>
  <c r="CL104" i="1"/>
  <c r="CN4" i="1"/>
  <c r="CL26" i="1"/>
  <c r="CL44" i="1"/>
  <c r="CN5" i="1"/>
  <c r="AG66" i="5"/>
  <c r="W63" i="1"/>
  <c r="AT72" i="5"/>
  <c r="AU72" i="5"/>
  <c r="AV72" i="5"/>
  <c r="BR72" i="5"/>
  <c r="AW72" i="5"/>
  <c r="BV74" i="1"/>
  <c r="AN37" i="1"/>
  <c r="AN36" i="1"/>
  <c r="AN35" i="1"/>
  <c r="AW75" i="5"/>
  <c r="CH28" i="1"/>
  <c r="EM37" i="1"/>
  <c r="EM35" i="1"/>
  <c r="CP36" i="1"/>
  <c r="CP37" i="1"/>
  <c r="CP35" i="1"/>
  <c r="BL37" i="1"/>
  <c r="BL35" i="1"/>
  <c r="BL36" i="1"/>
  <c r="AO36" i="1"/>
  <c r="AO37" i="1"/>
  <c r="AO35" i="1"/>
  <c r="P35" i="1"/>
  <c r="P37" i="1"/>
  <c r="EB37" i="1"/>
  <c r="EB35" i="1"/>
  <c r="CT35" i="1"/>
  <c r="CT37" i="1"/>
  <c r="P65" i="3"/>
  <c r="EV42" i="1"/>
  <c r="AY42" i="1"/>
  <c r="AP34" i="3"/>
  <c r="AQ35" i="3" s="1"/>
  <c r="BV17" i="1"/>
  <c r="CB40" i="1"/>
  <c r="CB87" i="1"/>
  <c r="U42" i="1"/>
  <c r="CB94" i="1"/>
  <c r="CB95" i="1"/>
  <c r="CB105" i="1"/>
  <c r="CB93" i="1"/>
  <c r="F37" i="1"/>
  <c r="F36" i="1"/>
  <c r="F35" i="1"/>
  <c r="EL41" i="1"/>
  <c r="EL26" i="1"/>
  <c r="CG26" i="1" s="1"/>
  <c r="EL28" i="1"/>
  <c r="EL36" i="1" s="1"/>
  <c r="EL40" i="1"/>
  <c r="O42" i="1"/>
  <c r="Q42" i="1"/>
  <c r="CG88" i="1"/>
  <c r="CH4" i="1"/>
  <c r="CG104" i="1"/>
  <c r="CG17" i="1"/>
  <c r="FH37" i="1"/>
  <c r="FH35" i="1"/>
  <c r="J99" i="1"/>
  <c r="J21" i="1"/>
  <c r="J19" i="1"/>
  <c r="J103" i="1"/>
  <c r="J50" i="1"/>
  <c r="J30" i="1"/>
  <c r="J20" i="1"/>
  <c r="CB41" i="1"/>
  <c r="Y83" i="1"/>
  <c r="Q88" i="3"/>
  <c r="S88" i="3" s="1"/>
  <c r="N88" i="3"/>
  <c r="O88" i="3"/>
  <c r="BH42" i="1"/>
  <c r="EC36" i="1"/>
  <c r="CS30" i="1"/>
  <c r="F45" i="3"/>
  <c r="H45" i="3"/>
  <c r="I45" i="3"/>
  <c r="G45" i="3"/>
  <c r="AR15" i="3"/>
  <c r="AR5" i="3" s="1"/>
  <c r="AO15" i="3"/>
  <c r="BR35" i="1"/>
  <c r="BR37" i="1"/>
  <c r="BR36" i="1"/>
  <c r="CJ26" i="1"/>
  <c r="CJ27" i="1"/>
  <c r="CJ28" i="1"/>
  <c r="EA30" i="1"/>
  <c r="EA36" i="1"/>
  <c r="ET35" i="1"/>
  <c r="ET37" i="1"/>
  <c r="Q334" i="5"/>
  <c r="AB7" i="1"/>
  <c r="L66" i="5"/>
  <c r="W10" i="1"/>
  <c r="EW37" i="1"/>
  <c r="EW35" i="1"/>
  <c r="EW36" i="1"/>
  <c r="AL35" i="1"/>
  <c r="AL37" i="1"/>
  <c r="AV37" i="1"/>
  <c r="AV35" i="1"/>
  <c r="AV36" i="1"/>
  <c r="AR85" i="5"/>
  <c r="AR82" i="5"/>
  <c r="AR83" i="5" s="1"/>
  <c r="S71" i="1" s="1"/>
  <c r="T71" i="1" s="1"/>
  <c r="BT37" i="1"/>
  <c r="BT35" i="1"/>
  <c r="AY37" i="1"/>
  <c r="AY35" i="1"/>
  <c r="BU37" i="1"/>
  <c r="BU35" i="1"/>
  <c r="I93" i="3"/>
  <c r="I59" i="3"/>
  <c r="AZ60" i="3"/>
  <c r="AL64" i="5"/>
  <c r="AN63" i="5"/>
  <c r="AN64" i="5" s="1"/>
  <c r="BP63" i="5"/>
  <c r="AR63" i="5" s="1"/>
  <c r="AR64" i="5" s="1"/>
  <c r="X71" i="1" s="1"/>
  <c r="EH40" i="1"/>
  <c r="EH42" i="1" s="1"/>
  <c r="EH28" i="1"/>
  <c r="EH27" i="1"/>
  <c r="EH26" i="1"/>
  <c r="EC35" i="1"/>
  <c r="EC37" i="1"/>
  <c r="CF37" i="1"/>
  <c r="CF35" i="1"/>
  <c r="CF36" i="1"/>
  <c r="E96" i="3"/>
  <c r="AY73" i="3"/>
  <c r="Q73" i="3"/>
  <c r="S73" i="3" s="1"/>
  <c r="O73" i="3"/>
  <c r="N73" i="3"/>
  <c r="Z73" i="3" s="1"/>
  <c r="FI100" i="1"/>
  <c r="FI15" i="1"/>
  <c r="O46" i="3"/>
  <c r="CW30" i="1"/>
  <c r="BV40" i="1"/>
  <c r="BV42" i="1" s="1"/>
  <c r="BV87" i="1"/>
  <c r="T87" i="1"/>
  <c r="Q2" i="3"/>
  <c r="S2" i="3" s="1"/>
  <c r="C15" i="3"/>
  <c r="BM41" i="1"/>
  <c r="BM40" i="1"/>
  <c r="BM27" i="1"/>
  <c r="BM28" i="1"/>
  <c r="BM26" i="1"/>
  <c r="AP36" i="1"/>
  <c r="AP30" i="1"/>
  <c r="AY36" i="1"/>
  <c r="CH81" i="1"/>
  <c r="CH119" i="1" s="1"/>
  <c r="CG119" i="1"/>
  <c r="CK41" i="1"/>
  <c r="CK40" i="1"/>
  <c r="CK26" i="1"/>
  <c r="CK28" i="1"/>
  <c r="CK27" i="1"/>
  <c r="BF30" i="1"/>
  <c r="BF36" i="1"/>
  <c r="O35" i="1"/>
  <c r="O37" i="1"/>
  <c r="BN104" i="1"/>
  <c r="BN17" i="1"/>
  <c r="BN88" i="1"/>
  <c r="BP4" i="1"/>
  <c r="Q3" i="3"/>
  <c r="S3" i="3" s="1"/>
  <c r="O35" i="3"/>
  <c r="N89" i="3"/>
  <c r="Q89" i="3"/>
  <c r="S89" i="3" s="1"/>
  <c r="O89" i="3"/>
  <c r="Q6" i="3"/>
  <c r="S6" i="3" s="1"/>
  <c r="BB30" i="1"/>
  <c r="F9" i="3"/>
  <c r="Q9" i="3" s="1"/>
  <c r="S9" i="3" s="1"/>
  <c r="Q4" i="3"/>
  <c r="S4" i="3" s="1"/>
  <c r="G22" i="3"/>
  <c r="CE27" i="1"/>
  <c r="CE30" i="1" s="1"/>
  <c r="CE103" i="1"/>
  <c r="CE20" i="1"/>
  <c r="CE50" i="1"/>
  <c r="Q206" i="5"/>
  <c r="G206" i="5"/>
  <c r="BQ72" i="5"/>
  <c r="BP72" i="5"/>
  <c r="BQ37" i="1"/>
  <c r="BQ35" i="1"/>
  <c r="Q78" i="3"/>
  <c r="S78" i="3" s="1"/>
  <c r="Q13" i="3"/>
  <c r="S13" i="3" s="1"/>
  <c r="CG27" i="1"/>
  <c r="AB90" i="1"/>
  <c r="AB91" i="1"/>
  <c r="I195" i="5"/>
  <c r="I196" i="5" s="1"/>
  <c r="AA7" i="1" s="1"/>
  <c r="K189" i="5"/>
  <c r="G189" i="5" s="1"/>
  <c r="G195" i="5" s="1"/>
  <c r="CN60" i="1"/>
  <c r="CL60" i="1"/>
  <c r="BP23" i="5"/>
  <c r="AC85" i="3"/>
  <c r="AA85" i="3"/>
  <c r="CL56" i="1"/>
  <c r="CN56" i="1"/>
  <c r="E46" i="5"/>
  <c r="E47" i="5" s="1"/>
  <c r="G35" i="1"/>
  <c r="G37" i="1"/>
  <c r="CU37" i="1"/>
  <c r="CU35" i="1"/>
  <c r="CU36" i="1"/>
  <c r="EG42" i="1"/>
  <c r="BP90" i="1"/>
  <c r="BP91" i="1"/>
  <c r="BV90" i="1"/>
  <c r="ET36" i="1"/>
  <c r="ET30" i="1"/>
  <c r="I94" i="5"/>
  <c r="CN61" i="1"/>
  <c r="CL61" i="1"/>
  <c r="I85" i="5"/>
  <c r="I82" i="5"/>
  <c r="I83" i="5" s="1"/>
  <c r="S7" i="1" s="1"/>
  <c r="K79" i="5"/>
  <c r="J79" i="5"/>
  <c r="D79" i="5" s="1"/>
  <c r="Q93" i="5"/>
  <c r="CN63" i="1"/>
  <c r="CL63" i="1"/>
  <c r="CL14" i="1" s="1"/>
  <c r="CN14" i="1" s="1"/>
  <c r="CN3" i="1"/>
  <c r="D119" i="5"/>
  <c r="AP3" i="1"/>
  <c r="AP17" i="1" s="1"/>
  <c r="AY66" i="5"/>
  <c r="W78" i="1"/>
  <c r="Y78" i="1" s="1"/>
  <c r="AV154" i="5"/>
  <c r="AV159" i="5" s="1"/>
  <c r="AC75" i="1" s="1"/>
  <c r="AW154" i="5"/>
  <c r="AW159" i="5" s="1"/>
  <c r="AC76" i="1" s="1"/>
  <c r="BR154" i="5"/>
  <c r="AU154" i="5"/>
  <c r="AS159" i="5"/>
  <c r="AC72" i="1" s="1"/>
  <c r="AT154" i="5"/>
  <c r="AT159" i="5" s="1"/>
  <c r="AC73" i="1" s="1"/>
  <c r="BQ154" i="5"/>
  <c r="AT75" i="5"/>
  <c r="EJ37" i="1"/>
  <c r="EJ35" i="1"/>
  <c r="AJ35" i="1"/>
  <c r="AJ37" i="1"/>
  <c r="EV36" i="1"/>
  <c r="EV35" i="1"/>
  <c r="EV37" i="1"/>
  <c r="BK35" i="1"/>
  <c r="BK36" i="1"/>
  <c r="BK37" i="1"/>
  <c r="AM36" i="1"/>
  <c r="AM35" i="1"/>
  <c r="AM37" i="1"/>
  <c r="N60" i="3"/>
  <c r="B93" i="3"/>
  <c r="Q60" i="3"/>
  <c r="S60" i="3" s="1"/>
  <c r="O60" i="3"/>
  <c r="AV60" i="3"/>
  <c r="FI119" i="1"/>
  <c r="N78" i="3"/>
  <c r="Z78" i="3" s="1"/>
  <c r="AA78" i="3" s="1"/>
  <c r="CB100" i="1"/>
  <c r="CB15" i="1"/>
  <c r="CB17" i="1" s="1"/>
  <c r="CJ40" i="1"/>
  <c r="CJ42" i="1" s="1"/>
  <c r="N46" i="3"/>
  <c r="Z46" i="3" s="1"/>
  <c r="R42" i="1"/>
  <c r="T42" i="1" s="1"/>
  <c r="T41" i="1"/>
  <c r="P36" i="1"/>
  <c r="CB26" i="1"/>
  <c r="CC30" i="1"/>
  <c r="AQ30" i="1"/>
  <c r="AQ36" i="1"/>
  <c r="N84" i="3"/>
  <c r="Z84" i="3" s="1"/>
  <c r="Q84" i="3"/>
  <c r="S84" i="3" s="1"/>
  <c r="O84" i="3"/>
  <c r="B97" i="3"/>
  <c r="BZ37" i="1"/>
  <c r="BZ35" i="1"/>
  <c r="G36" i="1"/>
  <c r="AN15" i="3"/>
  <c r="AQ15" i="3"/>
  <c r="H35" i="1"/>
  <c r="H37" i="1"/>
  <c r="H36" i="1"/>
  <c r="J28" i="1"/>
  <c r="CE26" i="1"/>
  <c r="CE44" i="1"/>
  <c r="BT30" i="1"/>
  <c r="BT36" i="1"/>
  <c r="AC92" i="1"/>
  <c r="AC95" i="1"/>
  <c r="AC93" i="1"/>
  <c r="G204" i="5"/>
  <c r="K209" i="5"/>
  <c r="Q204" i="5"/>
  <c r="AC90" i="1"/>
  <c r="CN65" i="1"/>
  <c r="CL65" i="1"/>
  <c r="AF150" i="5"/>
  <c r="AF151" i="5" s="1"/>
  <c r="AU151" i="5"/>
  <c r="CV36" i="1"/>
  <c r="CV37" i="1"/>
  <c r="CV35" i="1"/>
  <c r="AW36" i="1"/>
  <c r="AW37" i="1"/>
  <c r="AW35" i="1"/>
  <c r="CG100" i="1"/>
  <c r="CH64" i="1"/>
  <c r="CY37" i="1"/>
  <c r="CY35" i="1"/>
  <c r="AC31" i="3"/>
  <c r="AA31" i="3"/>
  <c r="W76" i="1"/>
  <c r="Y76" i="1" s="1"/>
  <c r="AW66" i="5"/>
  <c r="H85" i="5"/>
  <c r="H82" i="5"/>
  <c r="H83" i="5" s="1"/>
  <c r="S6" i="1" s="1"/>
  <c r="T6" i="1" s="1"/>
  <c r="EG37" i="1"/>
  <c r="EG35" i="1"/>
  <c r="L37" i="1"/>
  <c r="L35" i="1"/>
  <c r="I80" i="3"/>
  <c r="E80" i="3"/>
  <c r="B80" i="3"/>
  <c r="F80" i="3"/>
  <c r="G80" i="3"/>
  <c r="AZ66" i="5"/>
  <c r="W79" i="1"/>
  <c r="Y79" i="1" s="1"/>
  <c r="W75" i="1"/>
  <c r="Y75" i="1" s="1"/>
  <c r="AV66" i="5"/>
  <c r="BD35" i="1"/>
  <c r="BD37" i="1"/>
  <c r="BD36" i="1"/>
  <c r="AS37" i="1"/>
  <c r="AS35" i="1"/>
  <c r="CL57" i="1"/>
  <c r="CN8" i="1"/>
  <c r="CN57" i="1" s="1"/>
  <c r="CL23" i="1"/>
  <c r="CL106" i="1"/>
  <c r="CN10" i="1"/>
  <c r="CL49" i="1"/>
  <c r="H42" i="5"/>
  <c r="H46" i="5" s="1"/>
  <c r="H47" i="5" s="1"/>
  <c r="V46" i="5"/>
  <c r="V47" i="5" s="1"/>
  <c r="AQ35" i="1"/>
  <c r="AQ37" i="1"/>
  <c r="V37" i="1"/>
  <c r="V35" i="1"/>
  <c r="V36" i="1"/>
  <c r="BS35" i="1"/>
  <c r="BS37" i="1"/>
  <c r="CR37" i="1"/>
  <c r="CR35" i="1"/>
  <c r="BB37" i="1"/>
  <c r="BB35" i="1"/>
  <c r="BO35" i="1"/>
  <c r="N37" i="1"/>
  <c r="N36" i="1"/>
  <c r="N35" i="1"/>
  <c r="BG37" i="1"/>
  <c r="BG35" i="1"/>
  <c r="CG94" i="1"/>
  <c r="CG93" i="1"/>
  <c r="CH69" i="1"/>
  <c r="CG96" i="1"/>
  <c r="CG95" i="1"/>
  <c r="CG105" i="1"/>
  <c r="N94" i="3"/>
  <c r="BR42" i="1"/>
  <c r="Q46" i="3"/>
  <c r="S46" i="3" s="1"/>
  <c r="B42" i="1"/>
  <c r="AZ73" i="3"/>
  <c r="I96" i="3"/>
  <c r="AA38" i="3"/>
  <c r="AC38" i="3"/>
  <c r="CE40" i="1"/>
  <c r="CE41" i="1"/>
  <c r="E41" i="1"/>
  <c r="E40" i="1"/>
  <c r="E28" i="1"/>
  <c r="E27" i="1"/>
  <c r="CB19" i="1"/>
  <c r="CB21" i="1"/>
  <c r="CB20" i="1"/>
  <c r="CB99" i="1"/>
  <c r="CB28" i="1"/>
  <c r="BG36" i="1"/>
  <c r="BZ30" i="1"/>
  <c r="BZ36" i="1"/>
  <c r="BF42" i="1"/>
  <c r="G16" i="3"/>
  <c r="O16" i="3" s="1"/>
  <c r="I36" i="1"/>
  <c r="J27" i="1"/>
  <c r="CE98" i="1"/>
  <c r="CE48" i="1"/>
  <c r="CI36" i="1"/>
  <c r="CI37" i="1"/>
  <c r="H22" i="3"/>
  <c r="CE28" i="1"/>
  <c r="CE21" i="1"/>
  <c r="CE19" i="1"/>
  <c r="CN28" i="1"/>
  <c r="AP37" i="1"/>
  <c r="AP35" i="1"/>
  <c r="B15" i="3"/>
  <c r="CH103" i="1"/>
  <c r="CH20" i="1"/>
  <c r="CH50" i="1"/>
  <c r="CH21" i="1"/>
  <c r="CH19" i="1"/>
  <c r="CZ36" i="1"/>
  <c r="O30" i="1"/>
  <c r="O36" i="1"/>
  <c r="BZ42" i="1"/>
  <c r="J71" i="5"/>
  <c r="J72" i="5" s="1"/>
  <c r="D72" i="5" s="1"/>
  <c r="J97" i="5"/>
  <c r="J104" i="5" s="1"/>
  <c r="J105" i="5" s="1"/>
  <c r="U8" i="1" s="1"/>
  <c r="U57" i="1" s="1"/>
  <c r="J88" i="5"/>
  <c r="J93" i="5" s="1"/>
  <c r="J94" i="5" s="1"/>
  <c r="R8" i="1" s="1"/>
  <c r="K46" i="5"/>
  <c r="Q42" i="5"/>
  <c r="CL103" i="1"/>
  <c r="CL19" i="1"/>
  <c r="CL50" i="1"/>
  <c r="CL21" i="1"/>
  <c r="CL27" i="1"/>
  <c r="CL36" i="1" s="1"/>
  <c r="CN7" i="1"/>
  <c r="CN99" i="1" s="1"/>
  <c r="CL99" i="1"/>
  <c r="CL20" i="1"/>
  <c r="G85" i="5"/>
  <c r="G82" i="5"/>
  <c r="S75" i="1"/>
  <c r="T75" i="1" s="1"/>
  <c r="AF83" i="5"/>
  <c r="S62" i="1" s="1"/>
  <c r="T62" i="1" s="1"/>
  <c r="AU37" i="1"/>
  <c r="AU35" i="1"/>
  <c r="AU36" i="1"/>
  <c r="EE35" i="1"/>
  <c r="EE36" i="1"/>
  <c r="EE37" i="1"/>
  <c r="CZ37" i="1"/>
  <c r="CZ35" i="1"/>
  <c r="C37" i="1"/>
  <c r="C35" i="1"/>
  <c r="C36" i="1"/>
  <c r="ED35" i="1"/>
  <c r="ED37" i="1"/>
  <c r="ED36" i="1"/>
  <c r="EQ37" i="1"/>
  <c r="EQ35" i="1"/>
  <c r="CW40" i="1"/>
  <c r="CW26" i="1"/>
  <c r="CW41" i="1"/>
  <c r="CW28" i="1"/>
  <c r="CW36" i="1" s="1"/>
  <c r="ES42" i="1"/>
  <c r="O78" i="3"/>
  <c r="P78" i="3" s="1"/>
  <c r="BS36" i="1"/>
  <c r="CZ42" i="1"/>
  <c r="DX41" i="1"/>
  <c r="DX40" i="1"/>
  <c r="DX26" i="1"/>
  <c r="DX27" i="1"/>
  <c r="DX28" i="1"/>
  <c r="AR37" i="1"/>
  <c r="AR35" i="1"/>
  <c r="AI36" i="1"/>
  <c r="CY30" i="1"/>
  <c r="CY36" i="1"/>
  <c r="B17" i="1"/>
  <c r="CH27" i="1"/>
  <c r="EM36" i="1"/>
  <c r="AL36" i="1"/>
  <c r="AR36" i="1"/>
  <c r="AS36" i="1"/>
  <c r="AA724" i="15"/>
  <c r="AP723" i="15"/>
  <c r="AO723" i="15"/>
  <c r="AN723" i="15"/>
  <c r="AM723" i="15"/>
  <c r="AS723" i="15" s="1"/>
  <c r="X724" i="15"/>
  <c r="W724" i="15"/>
  <c r="Z724" i="15"/>
  <c r="Y724" i="15"/>
  <c r="AH788" i="7" l="1"/>
  <c r="AI792" i="7"/>
  <c r="AB788" i="7"/>
  <c r="AE788" i="7"/>
  <c r="AF788" i="7"/>
  <c r="AD788" i="7"/>
  <c r="AC788" i="7"/>
  <c r="AG788" i="7"/>
  <c r="U726" i="15"/>
  <c r="DW37" i="1"/>
  <c r="P92" i="3"/>
  <c r="AR5" i="5"/>
  <c r="AR6" i="5" s="1"/>
  <c r="CQ36" i="1"/>
  <c r="CQ35" i="1"/>
  <c r="DW36" i="1"/>
  <c r="Q17" i="5"/>
  <c r="BO36" i="1"/>
  <c r="CQ37" i="1"/>
  <c r="BO37" i="1"/>
  <c r="EF36" i="1"/>
  <c r="DV36" i="1"/>
  <c r="Z65" i="3"/>
  <c r="U65" i="3"/>
  <c r="K2" i="5"/>
  <c r="EF37" i="1"/>
  <c r="AZ37" i="1"/>
  <c r="CH98" i="1"/>
  <c r="DV37" i="1"/>
  <c r="CH100" i="1"/>
  <c r="CO36" i="1"/>
  <c r="P102" i="3"/>
  <c r="DV35" i="1"/>
  <c r="CO37" i="1"/>
  <c r="DW35" i="1"/>
  <c r="P66" i="3"/>
  <c r="CX35" i="1"/>
  <c r="W97" i="1"/>
  <c r="CO35" i="1"/>
  <c r="AT12" i="5"/>
  <c r="AE73" i="1" s="1"/>
  <c r="BA37" i="1"/>
  <c r="BA36" i="1"/>
  <c r="N87" i="3"/>
  <c r="BP36" i="1"/>
  <c r="AS12" i="5"/>
  <c r="AE72" i="1" s="1"/>
  <c r="Q91" i="3"/>
  <c r="S91" i="3" s="1"/>
  <c r="O91" i="3"/>
  <c r="P91" i="3" s="1"/>
  <c r="AZ35" i="1"/>
  <c r="AC37" i="3"/>
  <c r="AO82" i="5"/>
  <c r="AO83" i="5" s="1"/>
  <c r="S68" i="1" s="1"/>
  <c r="T68" i="1" s="1"/>
  <c r="BA35" i="1"/>
  <c r="H42" i="1"/>
  <c r="J42" i="1" s="1"/>
  <c r="J40" i="1"/>
  <c r="CL17" i="1"/>
  <c r="P88" i="3"/>
  <c r="AZ36" i="1"/>
  <c r="X95" i="1"/>
  <c r="X93" i="1"/>
  <c r="C80" i="3"/>
  <c r="N93" i="3"/>
  <c r="Z103" i="1"/>
  <c r="Z57" i="1"/>
  <c r="AV10" i="5"/>
  <c r="AV12" i="5" s="1"/>
  <c r="H80" i="3"/>
  <c r="AP12" i="5"/>
  <c r="AE69" i="1" s="1"/>
  <c r="Z27" i="1"/>
  <c r="Z30" i="1" s="1"/>
  <c r="Z50" i="1"/>
  <c r="Z104" i="1"/>
  <c r="CH49" i="1"/>
  <c r="CH23" i="1"/>
  <c r="Y64" i="1"/>
  <c r="W15" i="1"/>
  <c r="Y15" i="1" s="1"/>
  <c r="E36" i="1"/>
  <c r="CB42" i="1"/>
  <c r="AR75" i="5"/>
  <c r="P28" i="3"/>
  <c r="BC12" i="5"/>
  <c r="AE81" i="1" s="1"/>
  <c r="AE119" i="1" s="1"/>
  <c r="AN12" i="5"/>
  <c r="AE67" i="1" s="1"/>
  <c r="AW12" i="5"/>
  <c r="AE76" i="1" s="1"/>
  <c r="AZ12" i="5"/>
  <c r="AE79" i="1" s="1"/>
  <c r="AR12" i="5"/>
  <c r="AE71" i="1" s="1"/>
  <c r="T12" i="5"/>
  <c r="AE55" i="1" s="1"/>
  <c r="AU12" i="5"/>
  <c r="AE74" i="1" s="1"/>
  <c r="CX36" i="1"/>
  <c r="M12" i="5"/>
  <c r="AE11" i="1" s="1"/>
  <c r="AE48" i="1" s="1"/>
  <c r="N12" i="5"/>
  <c r="AE12" i="1" s="1"/>
  <c r="AE54" i="1" s="1"/>
  <c r="AL12" i="5"/>
  <c r="F12" i="5"/>
  <c r="AE4" i="1" s="1"/>
  <c r="AX12" i="5"/>
  <c r="AE77" i="1" s="1"/>
  <c r="AY12" i="5"/>
  <c r="AE78" i="1" s="1"/>
  <c r="BO42" i="1"/>
  <c r="AE49" i="1"/>
  <c r="DX42" i="1"/>
  <c r="W44" i="1"/>
  <c r="Y5" i="1"/>
  <c r="Y44" i="1" s="1"/>
  <c r="AR72" i="5"/>
  <c r="CO42" i="1"/>
  <c r="W54" i="1"/>
  <c r="Y54" i="1" s="1"/>
  <c r="Y12" i="1"/>
  <c r="P60" i="3"/>
  <c r="BQ23" i="5"/>
  <c r="AR23" i="5" s="1"/>
  <c r="Y55" i="1"/>
  <c r="Y88" i="1" s="1"/>
  <c r="W88" i="1"/>
  <c r="AI42" i="1"/>
  <c r="AR20" i="5"/>
  <c r="CH36" i="1"/>
  <c r="D93" i="5"/>
  <c r="I66" i="5"/>
  <c r="W7" i="1"/>
  <c r="W27" i="1" s="1"/>
  <c r="AC37" i="1"/>
  <c r="AC35" i="1"/>
  <c r="AC36" i="1"/>
  <c r="W91" i="1"/>
  <c r="AU66" i="5"/>
  <c r="W74" i="1"/>
  <c r="Y74" i="1" s="1"/>
  <c r="AB42" i="1"/>
  <c r="AR42" i="5"/>
  <c r="AR46" i="5" s="1"/>
  <c r="AR47" i="5" s="1"/>
  <c r="P84" i="3"/>
  <c r="AR154" i="5"/>
  <c r="AR159" i="5" s="1"/>
  <c r="AC71" i="1" s="1"/>
  <c r="P89" i="3"/>
  <c r="CK42" i="1"/>
  <c r="X20" i="1"/>
  <c r="X17" i="1"/>
  <c r="X99" i="1"/>
  <c r="X21" i="1"/>
  <c r="X19" i="1"/>
  <c r="BE12" i="5"/>
  <c r="AE83" i="1" s="1"/>
  <c r="H12" i="5"/>
  <c r="AE6" i="1" s="1"/>
  <c r="E12" i="5"/>
  <c r="AE3" i="1" s="1"/>
  <c r="AI12" i="5"/>
  <c r="Y12" i="5"/>
  <c r="AE59" i="1" s="1"/>
  <c r="BA12" i="5"/>
  <c r="AE80" i="1" s="1"/>
  <c r="AO12" i="5"/>
  <c r="AE68" i="1" s="1"/>
  <c r="BF12" i="5"/>
  <c r="AE84" i="1" s="1"/>
  <c r="V12" i="5"/>
  <c r="AE56" i="1" s="1"/>
  <c r="AM12" i="5"/>
  <c r="AE66" i="1" s="1"/>
  <c r="BD12" i="5"/>
  <c r="AE82" i="1" s="1"/>
  <c r="G12" i="5"/>
  <c r="AE5" i="1" s="1"/>
  <c r="O12" i="5"/>
  <c r="AE13" i="1" s="1"/>
  <c r="X12" i="5"/>
  <c r="AE58" i="1" s="1"/>
  <c r="AQ12" i="5"/>
  <c r="AE70" i="1" s="1"/>
  <c r="AK12" i="5"/>
  <c r="AE64" i="1" s="1"/>
  <c r="AE15" i="1" s="1"/>
  <c r="AP66" i="5"/>
  <c r="W69" i="1"/>
  <c r="I12" i="5"/>
  <c r="AE7" i="1" s="1"/>
  <c r="X28" i="1"/>
  <c r="AF47" i="5"/>
  <c r="J12" i="5"/>
  <c r="AE8" i="1" s="1"/>
  <c r="AE57" i="1" s="1"/>
  <c r="Y788" i="7"/>
  <c r="Z788" i="7"/>
  <c r="AE75" i="1"/>
  <c r="AF154" i="5"/>
  <c r="AF159" i="5" s="1"/>
  <c r="AC62" i="1" s="1"/>
  <c r="AU159" i="5"/>
  <c r="AC74" i="1" s="1"/>
  <c r="CB37" i="1"/>
  <c r="CB35" i="1"/>
  <c r="H66" i="5"/>
  <c r="W6" i="1"/>
  <c r="Y6" i="1" s="1"/>
  <c r="AA84" i="3"/>
  <c r="AC84" i="3"/>
  <c r="Q2" i="5"/>
  <c r="K5" i="5"/>
  <c r="CL37" i="1"/>
  <c r="N35" i="3"/>
  <c r="U103" i="1"/>
  <c r="J36" i="1"/>
  <c r="CN90" i="1"/>
  <c r="CN91" i="1"/>
  <c r="AA46" i="3"/>
  <c r="AC46" i="3"/>
  <c r="EH36" i="1"/>
  <c r="EH30" i="1"/>
  <c r="AB27" i="1"/>
  <c r="AB30" i="1" s="1"/>
  <c r="AB19" i="1"/>
  <c r="AB21" i="1"/>
  <c r="AB104" i="1"/>
  <c r="AB20" i="1"/>
  <c r="AB99" i="1"/>
  <c r="AB17" i="1"/>
  <c r="AB103" i="1"/>
  <c r="AB50" i="1"/>
  <c r="CJ30" i="1"/>
  <c r="CJ36" i="1"/>
  <c r="CH88" i="1"/>
  <c r="CH104" i="1"/>
  <c r="CH17" i="1"/>
  <c r="W26" i="1"/>
  <c r="W41" i="1"/>
  <c r="CN103" i="1"/>
  <c r="CN50" i="1"/>
  <c r="CN20" i="1"/>
  <c r="CN27" i="1"/>
  <c r="CN36" i="1" s="1"/>
  <c r="CE35" i="1"/>
  <c r="CE37" i="1"/>
  <c r="AQ6" i="3"/>
  <c r="AQ10" i="3"/>
  <c r="AQ7" i="3"/>
  <c r="AQ2" i="3"/>
  <c r="AQ8" i="3"/>
  <c r="AQ5" i="3"/>
  <c r="AS5" i="3" s="1"/>
  <c r="AQ11" i="3"/>
  <c r="AQ4" i="3"/>
  <c r="AQ9" i="3"/>
  <c r="CH41" i="1"/>
  <c r="CH40" i="1"/>
  <c r="CJ35" i="1"/>
  <c r="CJ37" i="1"/>
  <c r="DX37" i="1"/>
  <c r="DX35" i="1"/>
  <c r="DX30" i="1"/>
  <c r="DX36" i="1"/>
  <c r="CW35" i="1"/>
  <c r="CW37" i="1"/>
  <c r="G83" i="5"/>
  <c r="S5" i="1" s="1"/>
  <c r="CN37" i="1"/>
  <c r="CE42" i="1"/>
  <c r="CN106" i="1"/>
  <c r="CN23" i="1"/>
  <c r="CN49" i="1"/>
  <c r="D42" i="5"/>
  <c r="CE36" i="1"/>
  <c r="BP88" i="1"/>
  <c r="BP104" i="1"/>
  <c r="BP17" i="1"/>
  <c r="CK36" i="1"/>
  <c r="CK30" i="1"/>
  <c r="P46" i="3"/>
  <c r="EH35" i="1"/>
  <c r="EH37" i="1"/>
  <c r="CN104" i="1"/>
  <c r="CN88" i="1"/>
  <c r="CB36" i="1"/>
  <c r="J37" i="1"/>
  <c r="J35" i="1"/>
  <c r="E66" i="5"/>
  <c r="W3" i="1"/>
  <c r="Q45" i="3"/>
  <c r="S45" i="3" s="1"/>
  <c r="O45" i="3"/>
  <c r="N45" i="3"/>
  <c r="Z45" i="3" s="1"/>
  <c r="Y97" i="1"/>
  <c r="CN93" i="1"/>
  <c r="CN95" i="1"/>
  <c r="CN105" i="1"/>
  <c r="Q16" i="3"/>
  <c r="S16" i="3" s="1"/>
  <c r="P16" i="3" s="1"/>
  <c r="Q94" i="5"/>
  <c r="R7" i="1"/>
  <c r="K195" i="5"/>
  <c r="D195" i="5" s="1"/>
  <c r="Q189" i="5"/>
  <c r="Q22" i="3"/>
  <c r="S22" i="3" s="1"/>
  <c r="O22" i="3"/>
  <c r="N22" i="3"/>
  <c r="N97" i="3"/>
  <c r="Q97" i="3"/>
  <c r="S97" i="3" s="1"/>
  <c r="O97" i="3"/>
  <c r="J85" i="5"/>
  <c r="J82" i="5"/>
  <c r="J83" i="5" s="1"/>
  <c r="S8" i="1" s="1"/>
  <c r="S57" i="1" s="1"/>
  <c r="AA103" i="1"/>
  <c r="AA50" i="1"/>
  <c r="AA27" i="1"/>
  <c r="AA104" i="1"/>
  <c r="BM37" i="1"/>
  <c r="BM35" i="1"/>
  <c r="I14" i="3"/>
  <c r="N59" i="3"/>
  <c r="Z59" i="3" s="1"/>
  <c r="AA59" i="3" s="1"/>
  <c r="O59" i="3"/>
  <c r="Q59" i="3"/>
  <c r="S59" i="3" s="1"/>
  <c r="EL42" i="1"/>
  <c r="Y63" i="1"/>
  <c r="W14" i="1"/>
  <c r="Y14" i="1" s="1"/>
  <c r="BP30" i="1"/>
  <c r="AA61" i="3"/>
  <c r="AC61" i="3"/>
  <c r="BP35" i="1"/>
  <c r="BP37" i="1"/>
  <c r="S48" i="1"/>
  <c r="T48" i="1" s="1"/>
  <c r="T11" i="1"/>
  <c r="G196" i="5"/>
  <c r="CK37" i="1"/>
  <c r="CK35" i="1"/>
  <c r="R57" i="1"/>
  <c r="Q20" i="5"/>
  <c r="K23" i="5"/>
  <c r="CN17" i="1"/>
  <c r="K82" i="5"/>
  <c r="K85" i="5"/>
  <c r="Q85" i="5" s="1"/>
  <c r="Q79" i="5"/>
  <c r="CN87" i="1"/>
  <c r="CN40" i="1"/>
  <c r="CN42" i="1" s="1"/>
  <c r="P35" i="3"/>
  <c r="BM36" i="1"/>
  <c r="BM30" i="1"/>
  <c r="AC73" i="3"/>
  <c r="AA73" i="3"/>
  <c r="X67" i="1"/>
  <c r="Y67" i="1" s="1"/>
  <c r="AN66" i="5"/>
  <c r="EL35" i="1"/>
  <c r="CG28" i="1"/>
  <c r="CG36" i="1" s="1"/>
  <c r="EL37" i="1"/>
  <c r="CH37" i="1"/>
  <c r="CH35" i="1"/>
  <c r="P48" i="3"/>
  <c r="CN19" i="1"/>
  <c r="CH96" i="1"/>
  <c r="CH93" i="1"/>
  <c r="CH94" i="1"/>
  <c r="CH95" i="1"/>
  <c r="CH105" i="1"/>
  <c r="K210" i="5"/>
  <c r="Q209" i="5"/>
  <c r="CW42" i="1"/>
  <c r="CN21" i="1"/>
  <c r="G209" i="5"/>
  <c r="G210" i="5" s="1"/>
  <c r="CL30" i="1"/>
  <c r="E35" i="1"/>
  <c r="E37" i="1"/>
  <c r="F12" i="3"/>
  <c r="F15" i="3" s="1"/>
  <c r="H12" i="3"/>
  <c r="G12" i="3"/>
  <c r="I12" i="3"/>
  <c r="Q46" i="5"/>
  <c r="K47" i="5"/>
  <c r="E42" i="1"/>
  <c r="W56" i="1"/>
  <c r="V66" i="5"/>
  <c r="CL91" i="1"/>
  <c r="CL90" i="1"/>
  <c r="FI17" i="1"/>
  <c r="FJ15" i="1" s="1"/>
  <c r="AQ3" i="3"/>
  <c r="Z60" i="3"/>
  <c r="U60" i="3"/>
  <c r="S104" i="1"/>
  <c r="S50" i="1"/>
  <c r="S27" i="1"/>
  <c r="S30" i="1"/>
  <c r="CL87" i="1"/>
  <c r="CL40" i="1"/>
  <c r="CL42" i="1" s="1"/>
  <c r="CG41" i="1"/>
  <c r="CG40" i="1"/>
  <c r="BM42" i="1"/>
  <c r="P73" i="3"/>
  <c r="X65" i="1"/>
  <c r="AL66" i="5"/>
  <c r="W106" i="1"/>
  <c r="W49" i="1"/>
  <c r="W23" i="1"/>
  <c r="Y10" i="1"/>
  <c r="AR2" i="3"/>
  <c r="AR11" i="3"/>
  <c r="AR4" i="3"/>
  <c r="AR3" i="3"/>
  <c r="AR10" i="3"/>
  <c r="AR6" i="3"/>
  <c r="AR8" i="3"/>
  <c r="AR7" i="3"/>
  <c r="AR9" i="3"/>
  <c r="CL35" i="1"/>
  <c r="CN44" i="1"/>
  <c r="CN26" i="1"/>
  <c r="Q17" i="3"/>
  <c r="S17" i="3" s="1"/>
  <c r="N17" i="3"/>
  <c r="O17" i="3"/>
  <c r="BV37" i="1"/>
  <c r="BV35" i="1"/>
  <c r="BV36" i="1"/>
  <c r="CH90" i="1"/>
  <c r="Q105" i="5"/>
  <c r="U9" i="1"/>
  <c r="AC725" i="15"/>
  <c r="Y725" i="15" l="1"/>
  <c r="X725" i="15"/>
  <c r="Q80" i="3"/>
  <c r="S80" i="3" s="1"/>
  <c r="AS6" i="3"/>
  <c r="T8" i="1"/>
  <c r="Z725" i="15"/>
  <c r="AA725" i="15"/>
  <c r="AC65" i="3"/>
  <c r="AA65" i="3"/>
  <c r="W725" i="15"/>
  <c r="S103" i="1"/>
  <c r="N80" i="3"/>
  <c r="Z80" i="3" s="1"/>
  <c r="AA80" i="3" s="1"/>
  <c r="AE93" i="1"/>
  <c r="Y41" i="1"/>
  <c r="AF10" i="5"/>
  <c r="P22" i="3"/>
  <c r="AF12" i="5"/>
  <c r="P17" i="3"/>
  <c r="O80" i="3"/>
  <c r="P80" i="3" s="1"/>
  <c r="Y26" i="1"/>
  <c r="AE88" i="1"/>
  <c r="CH42" i="1"/>
  <c r="AE41" i="1"/>
  <c r="CI65" i="1"/>
  <c r="AE65" i="1"/>
  <c r="CN30" i="1"/>
  <c r="W62" i="1"/>
  <c r="Y62" i="1" s="1"/>
  <c r="AF66" i="5"/>
  <c r="AR66" i="5"/>
  <c r="W71" i="1"/>
  <c r="Y71" i="1" s="1"/>
  <c r="X37" i="1"/>
  <c r="X35" i="1"/>
  <c r="X36" i="1"/>
  <c r="AE44" i="1"/>
  <c r="AE26" i="1"/>
  <c r="CN35" i="1"/>
  <c r="AE103" i="1"/>
  <c r="AE27" i="1"/>
  <c r="AE30" i="1" s="1"/>
  <c r="AE104" i="1"/>
  <c r="AE50" i="1"/>
  <c r="Y7" i="1"/>
  <c r="W50" i="1"/>
  <c r="W104" i="1"/>
  <c r="W103" i="1"/>
  <c r="P45" i="3"/>
  <c r="Y69" i="1"/>
  <c r="W93" i="1"/>
  <c r="W95" i="1"/>
  <c r="AE23" i="1"/>
  <c r="AE40" i="1"/>
  <c r="AE87" i="1"/>
  <c r="AE105" i="1"/>
  <c r="AE95" i="1"/>
  <c r="AE97" i="1"/>
  <c r="AE106" i="1"/>
  <c r="AR16" i="3"/>
  <c r="T57" i="1"/>
  <c r="W90" i="1"/>
  <c r="J31" i="3"/>
  <c r="J48" i="3"/>
  <c r="J79" i="3"/>
  <c r="J61" i="3"/>
  <c r="J7" i="3"/>
  <c r="J38" i="3"/>
  <c r="J65" i="3"/>
  <c r="J74" i="3"/>
  <c r="J85" i="3"/>
  <c r="J14" i="3"/>
  <c r="J2" i="3"/>
  <c r="J47" i="3"/>
  <c r="J34" i="3"/>
  <c r="J63" i="3"/>
  <c r="J3" i="3"/>
  <c r="J60" i="3"/>
  <c r="J75" i="3"/>
  <c r="J8" i="3"/>
  <c r="J73" i="3"/>
  <c r="J11" i="3"/>
  <c r="J66" i="3"/>
  <c r="J59" i="3"/>
  <c r="J68" i="3"/>
  <c r="J37" i="3"/>
  <c r="J13" i="3"/>
  <c r="J78" i="3"/>
  <c r="J5" i="3"/>
  <c r="J76" i="3"/>
  <c r="J10" i="3"/>
  <c r="J28" i="3"/>
  <c r="J22" i="3"/>
  <c r="J6" i="3"/>
  <c r="J35" i="3"/>
  <c r="J46" i="3"/>
  <c r="J4" i="3"/>
  <c r="J84" i="3"/>
  <c r="J80" i="3"/>
  <c r="J45" i="3"/>
  <c r="AA45" i="3"/>
  <c r="AC45" i="3"/>
  <c r="Q14" i="3"/>
  <c r="S14" i="3" s="1"/>
  <c r="Q47" i="5"/>
  <c r="K66" i="5"/>
  <c r="Q66" i="5" s="1"/>
  <c r="W9" i="1"/>
  <c r="D82" i="5"/>
  <c r="K6" i="5"/>
  <c r="Q5" i="5"/>
  <c r="D5" i="5"/>
  <c r="U28" i="1"/>
  <c r="U99" i="1"/>
  <c r="U19" i="1"/>
  <c r="U17" i="1"/>
  <c r="U20" i="1"/>
  <c r="Y49" i="1"/>
  <c r="Y106" i="1"/>
  <c r="Y23" i="1"/>
  <c r="CG42" i="1"/>
  <c r="I15" i="3"/>
  <c r="M12" i="3" s="1"/>
  <c r="D210" i="5"/>
  <c r="Z5" i="1"/>
  <c r="Q82" i="5"/>
  <c r="K83" i="5"/>
  <c r="P97" i="3"/>
  <c r="K196" i="5"/>
  <c r="Q195" i="5"/>
  <c r="T5" i="1"/>
  <c r="T44" i="1" s="1"/>
  <c r="S26" i="1"/>
  <c r="T26" i="1" s="1"/>
  <c r="S44" i="1"/>
  <c r="S106" i="1"/>
  <c r="T106" i="1" s="1"/>
  <c r="S23" i="1"/>
  <c r="T23" i="1" s="1"/>
  <c r="W30" i="1"/>
  <c r="AB36" i="1"/>
  <c r="AB37" i="1"/>
  <c r="AB35" i="1"/>
  <c r="Q210" i="5"/>
  <c r="Z9" i="1"/>
  <c r="R50" i="1"/>
  <c r="T50" i="1" s="1"/>
  <c r="R103" i="1"/>
  <c r="T103" i="1" s="1"/>
  <c r="R27" i="1"/>
  <c r="R30" i="1" s="1"/>
  <c r="T30" i="1" s="1"/>
  <c r="R20" i="1"/>
  <c r="R104" i="1"/>
  <c r="T104" i="1" s="1"/>
  <c r="T7" i="1"/>
  <c r="R19" i="1"/>
  <c r="R21" i="1"/>
  <c r="R17" i="1"/>
  <c r="R99" i="1"/>
  <c r="X90" i="1"/>
  <c r="X91" i="1"/>
  <c r="Y65" i="1"/>
  <c r="Y91" i="1" s="1"/>
  <c r="FJ78" i="1"/>
  <c r="FJ58" i="1"/>
  <c r="FJ6" i="1"/>
  <c r="FJ76" i="1"/>
  <c r="FJ73" i="1"/>
  <c r="FJ67" i="1"/>
  <c r="FJ74" i="1"/>
  <c r="FJ70" i="1"/>
  <c r="FJ10" i="1"/>
  <c r="FJ82" i="1"/>
  <c r="FJ84" i="1"/>
  <c r="FJ63" i="1"/>
  <c r="FJ62" i="1"/>
  <c r="FJ83" i="1"/>
  <c r="FJ68" i="1"/>
  <c r="FJ9" i="1"/>
  <c r="FJ61" i="1"/>
  <c r="FJ79" i="1"/>
  <c r="FJ57" i="1"/>
  <c r="FJ4" i="1"/>
  <c r="FJ7" i="1"/>
  <c r="FJ55" i="1"/>
  <c r="FJ14" i="1"/>
  <c r="FJ75" i="1"/>
  <c r="FJ80" i="1"/>
  <c r="FJ72" i="1"/>
  <c r="FJ66" i="1"/>
  <c r="FJ64" i="1"/>
  <c r="FJ71" i="1"/>
  <c r="FJ12" i="1"/>
  <c r="FJ59" i="1"/>
  <c r="FJ54" i="1"/>
  <c r="FJ3" i="1"/>
  <c r="FJ5" i="1"/>
  <c r="FJ13" i="1"/>
  <c r="FJ69" i="1"/>
  <c r="FJ60" i="1"/>
  <c r="FJ77" i="1"/>
  <c r="FJ97" i="1" s="1"/>
  <c r="FJ56" i="1"/>
  <c r="FJ11" i="1"/>
  <c r="FJ65" i="1"/>
  <c r="FJ8" i="1"/>
  <c r="FJ81" i="1"/>
  <c r="Y56" i="1"/>
  <c r="W87" i="1"/>
  <c r="W40" i="1"/>
  <c r="W42" i="1" s="1"/>
  <c r="G15" i="3"/>
  <c r="CG37" i="1"/>
  <c r="CG35" i="1"/>
  <c r="H15" i="3"/>
  <c r="L12" i="3" s="1"/>
  <c r="Q23" i="5"/>
  <c r="D23" i="5"/>
  <c r="P59" i="3"/>
  <c r="AA30" i="1"/>
  <c r="Y3" i="1"/>
  <c r="AQ16" i="3"/>
  <c r="AA60" i="3"/>
  <c r="AC60" i="3"/>
  <c r="J12" i="3"/>
  <c r="Q12" i="3"/>
  <c r="S12" i="3" s="1"/>
  <c r="AA5" i="1"/>
  <c r="AE42" i="1" l="1"/>
  <c r="FJ104" i="1"/>
  <c r="FJ105" i="1"/>
  <c r="CI91" i="1"/>
  <c r="CI90" i="1"/>
  <c r="AE91" i="1"/>
  <c r="AE90" i="1"/>
  <c r="Y93" i="1"/>
  <c r="Y95" i="1"/>
  <c r="M14" i="3"/>
  <c r="Y50" i="1"/>
  <c r="Y103" i="1"/>
  <c r="Y104" i="1"/>
  <c r="Y27" i="1"/>
  <c r="Y30" i="1" s="1"/>
  <c r="K75" i="3"/>
  <c r="K76" i="3"/>
  <c r="K59" i="3"/>
  <c r="K66" i="3"/>
  <c r="K4" i="3"/>
  <c r="K9" i="3" s="1"/>
  <c r="K2" i="3"/>
  <c r="K60" i="3"/>
  <c r="K38" i="3"/>
  <c r="K48" i="3"/>
  <c r="K85" i="3"/>
  <c r="K46" i="3"/>
  <c r="K7" i="3"/>
  <c r="K61" i="3"/>
  <c r="K68" i="3"/>
  <c r="K34" i="3"/>
  <c r="K8" i="3"/>
  <c r="K79" i="3"/>
  <c r="K31" i="3"/>
  <c r="K3" i="3"/>
  <c r="K74" i="3"/>
  <c r="K47" i="3"/>
  <c r="K11" i="3"/>
  <c r="K63" i="3"/>
  <c r="K73" i="3"/>
  <c r="K84" i="3"/>
  <c r="K5" i="3"/>
  <c r="K13" i="3"/>
  <c r="K14" i="3"/>
  <c r="K28" i="3"/>
  <c r="K65" i="3"/>
  <c r="K37" i="3"/>
  <c r="K78" i="3"/>
  <c r="K35" i="3"/>
  <c r="K10" i="3"/>
  <c r="K6" i="3"/>
  <c r="K45" i="3"/>
  <c r="K80" i="3"/>
  <c r="K22" i="3"/>
  <c r="Q196" i="5"/>
  <c r="AA9" i="1"/>
  <c r="AA17" i="1" s="1"/>
  <c r="K12" i="3"/>
  <c r="O12" i="3" s="1"/>
  <c r="P12" i="3" s="1"/>
  <c r="FJ45" i="1"/>
  <c r="Z19" i="1"/>
  <c r="Z99" i="1"/>
  <c r="Z28" i="1"/>
  <c r="Z21" i="1"/>
  <c r="Z20" i="1"/>
  <c r="M63" i="3"/>
  <c r="M34" i="3"/>
  <c r="M76" i="3"/>
  <c r="M84" i="3"/>
  <c r="M7" i="3"/>
  <c r="M37" i="3"/>
  <c r="M66" i="3"/>
  <c r="M8" i="3"/>
  <c r="M79" i="3"/>
  <c r="M74" i="3"/>
  <c r="M11" i="3"/>
  <c r="M2" i="3"/>
  <c r="M31" i="3"/>
  <c r="M47" i="3"/>
  <c r="M3" i="3"/>
  <c r="M75" i="3"/>
  <c r="M61" i="3"/>
  <c r="M68" i="3"/>
  <c r="M38" i="3"/>
  <c r="M46" i="3"/>
  <c r="M48" i="3"/>
  <c r="M6" i="3"/>
  <c r="M65" i="3"/>
  <c r="M5" i="3"/>
  <c r="M35" i="3"/>
  <c r="M28" i="3"/>
  <c r="M85" i="3"/>
  <c r="M4" i="3"/>
  <c r="M9" i="3" s="1"/>
  <c r="M73" i="3"/>
  <c r="M13" i="3"/>
  <c r="M78" i="3"/>
  <c r="M60" i="3"/>
  <c r="M10" i="3"/>
  <c r="M45" i="3"/>
  <c r="M80" i="3"/>
  <c r="M59" i="3"/>
  <c r="M22" i="3"/>
  <c r="W99" i="1"/>
  <c r="Y9" i="1"/>
  <c r="Y17" i="1" s="1"/>
  <c r="W20" i="1"/>
  <c r="W21" i="1"/>
  <c r="W28" i="1"/>
  <c r="W19" i="1"/>
  <c r="FJ90" i="1"/>
  <c r="FJ91" i="1"/>
  <c r="FJ17" i="1"/>
  <c r="FJ23" i="1"/>
  <c r="FJ106" i="1"/>
  <c r="FJ49" i="1"/>
  <c r="Q15" i="3"/>
  <c r="S15" i="3" s="1"/>
  <c r="U37" i="1"/>
  <c r="U35" i="1"/>
  <c r="U36" i="1"/>
  <c r="FJ98" i="1"/>
  <c r="FJ48" i="1"/>
  <c r="O15" i="3"/>
  <c r="Q83" i="5"/>
  <c r="S9" i="1"/>
  <c r="D196" i="5"/>
  <c r="L79" i="3"/>
  <c r="L76" i="3"/>
  <c r="L7" i="3"/>
  <c r="L73" i="3"/>
  <c r="L35" i="3"/>
  <c r="L84" i="3"/>
  <c r="L5" i="3"/>
  <c r="L48" i="3"/>
  <c r="L75" i="3"/>
  <c r="L28" i="3"/>
  <c r="L66" i="3"/>
  <c r="L2" i="3"/>
  <c r="L74" i="3"/>
  <c r="L46" i="3"/>
  <c r="L61" i="3"/>
  <c r="L68" i="3"/>
  <c r="L85" i="3"/>
  <c r="L14" i="3"/>
  <c r="O14" i="3" s="1"/>
  <c r="P14" i="3" s="1"/>
  <c r="L4" i="3"/>
  <c r="L9" i="3" s="1"/>
  <c r="L37" i="3"/>
  <c r="L34" i="3"/>
  <c r="L47" i="3"/>
  <c r="L60" i="3"/>
  <c r="L65" i="3"/>
  <c r="L13" i="3"/>
  <c r="L78" i="3"/>
  <c r="L3" i="3"/>
  <c r="L59" i="3"/>
  <c r="L31" i="3"/>
  <c r="L6" i="3"/>
  <c r="N6" i="3" s="1"/>
  <c r="Z6" i="3" s="1"/>
  <c r="L11" i="3"/>
  <c r="L63" i="3"/>
  <c r="L8" i="3"/>
  <c r="L38" i="3"/>
  <c r="L10" i="3"/>
  <c r="L22" i="3"/>
  <c r="L45" i="3"/>
  <c r="L80" i="3"/>
  <c r="FJ50" i="1"/>
  <c r="FJ20" i="1"/>
  <c r="FJ103" i="1"/>
  <c r="R36" i="1"/>
  <c r="T27" i="1"/>
  <c r="R35" i="1"/>
  <c r="R37" i="1"/>
  <c r="J9" i="3"/>
  <c r="J15" i="3"/>
  <c r="FJ19" i="1"/>
  <c r="FJ99" i="1"/>
  <c r="FJ21" i="1"/>
  <c r="Z106" i="1"/>
  <c r="Z26" i="1"/>
  <c r="Z23" i="1"/>
  <c r="Z44" i="1"/>
  <c r="Z17" i="1"/>
  <c r="K12" i="5"/>
  <c r="Q6" i="5"/>
  <c r="J16" i="3"/>
  <c r="FJ87" i="1"/>
  <c r="FJ88" i="1"/>
  <c r="AA44" i="1"/>
  <c r="AA23" i="1"/>
  <c r="AA26" i="1"/>
  <c r="AA106" i="1"/>
  <c r="Y87" i="1"/>
  <c r="Y40" i="1"/>
  <c r="Y42" i="1" s="1"/>
  <c r="FJ95" i="1"/>
  <c r="FJ93" i="1"/>
  <c r="FJ94" i="1"/>
  <c r="FJ100" i="1"/>
  <c r="W17" i="1"/>
  <c r="FJ107" i="1"/>
  <c r="FJ119" i="1"/>
  <c r="FJ40" i="1" s="1"/>
  <c r="N14" i="3" l="1"/>
  <c r="O11" i="3"/>
  <c r="P11" i="3" s="1"/>
  <c r="N7" i="3"/>
  <c r="Z7" i="3" s="1"/>
  <c r="N2" i="3"/>
  <c r="O5" i="3"/>
  <c r="P5" i="3" s="1"/>
  <c r="N10" i="3"/>
  <c r="Z10" i="3" s="1"/>
  <c r="AC10" i="3" s="1"/>
  <c r="N5" i="3"/>
  <c r="Z5" i="3" s="1"/>
  <c r="O8" i="3"/>
  <c r="P8" i="3" s="1"/>
  <c r="N13" i="3"/>
  <c r="K16" i="3"/>
  <c r="O2" i="3"/>
  <c r="P2" i="3" s="1"/>
  <c r="N3" i="3"/>
  <c r="Z3" i="3" s="1"/>
  <c r="O4" i="3"/>
  <c r="P4" i="3" s="1"/>
  <c r="N11" i="3"/>
  <c r="Z11" i="3" s="1"/>
  <c r="AC11" i="3" s="1"/>
  <c r="N12" i="3"/>
  <c r="Z12" i="3" s="1"/>
  <c r="AA12" i="3" s="1"/>
  <c r="O13" i="3"/>
  <c r="P13" i="3" s="1"/>
  <c r="O10" i="3"/>
  <c r="P10" i="3" s="1"/>
  <c r="O7" i="3"/>
  <c r="P7" i="3" s="1"/>
  <c r="AA6" i="3"/>
  <c r="AC6" i="3"/>
  <c r="AC3" i="3"/>
  <c r="AA3" i="3"/>
  <c r="AC7" i="3"/>
  <c r="Z35" i="3"/>
  <c r="AA7" i="3"/>
  <c r="Z35" i="1"/>
  <c r="Z36" i="1"/>
  <c r="Z37" i="1"/>
  <c r="AA99" i="1"/>
  <c r="AA19" i="1"/>
  <c r="AA28" i="1"/>
  <c r="AA21" i="1"/>
  <c r="AA20" i="1"/>
  <c r="Z2" i="3"/>
  <c r="S19" i="1"/>
  <c r="T19" i="1" s="1"/>
  <c r="S99" i="1"/>
  <c r="T99" i="1" s="1"/>
  <c r="S21" i="1"/>
  <c r="T21" i="1" s="1"/>
  <c r="S28" i="1"/>
  <c r="T9" i="1"/>
  <c r="S20" i="1"/>
  <c r="T20" i="1" s="1"/>
  <c r="S17" i="1"/>
  <c r="T17" i="1" s="1"/>
  <c r="O6" i="3"/>
  <c r="P6" i="3" s="1"/>
  <c r="N8" i="3"/>
  <c r="M15" i="3"/>
  <c r="K15" i="3"/>
  <c r="L15" i="3"/>
  <c r="W35" i="1"/>
  <c r="W37" i="1"/>
  <c r="W36" i="1"/>
  <c r="FJ26" i="1"/>
  <c r="FJ41" i="1"/>
  <c r="FJ42" i="1" s="1"/>
  <c r="AA10" i="3"/>
  <c r="FJ27" i="1"/>
  <c r="P15" i="3"/>
  <c r="Q12" i="5"/>
  <c r="AE9" i="1"/>
  <c r="FJ28" i="1"/>
  <c r="O9" i="3"/>
  <c r="P9" i="3" s="1"/>
  <c r="N9" i="3"/>
  <c r="Z9" i="3" s="1"/>
  <c r="O3" i="3"/>
  <c r="P3" i="3" s="1"/>
  <c r="M16" i="3"/>
  <c r="AA5" i="3"/>
  <c r="Z34" i="3"/>
  <c r="AC5" i="3"/>
  <c r="N4" i="3"/>
  <c r="Z4" i="3" s="1"/>
  <c r="L16" i="3"/>
  <c r="Y19" i="1"/>
  <c r="Y28" i="1"/>
  <c r="Y20" i="1"/>
  <c r="Y21" i="1"/>
  <c r="AA11" i="3" l="1"/>
  <c r="N15" i="3"/>
  <c r="AA4" i="3"/>
  <c r="AC4" i="3"/>
  <c r="FJ35" i="1"/>
  <c r="FJ37" i="1"/>
  <c r="N16" i="3"/>
  <c r="Z8" i="3"/>
  <c r="AE21" i="1"/>
  <c r="AE99" i="1"/>
  <c r="AE19" i="1"/>
  <c r="AE28" i="1"/>
  <c r="AE20" i="1"/>
  <c r="AE17" i="1"/>
  <c r="S37" i="1"/>
  <c r="T37" i="1" s="1"/>
  <c r="S35" i="1"/>
  <c r="T35" i="1" s="1"/>
  <c r="T28" i="1"/>
  <c r="S36" i="1"/>
  <c r="T36" i="1" s="1"/>
  <c r="AA2" i="3"/>
  <c r="AC2" i="3"/>
  <c r="FJ36" i="1"/>
  <c r="FJ30" i="1"/>
  <c r="Y37" i="1"/>
  <c r="Y35" i="1"/>
  <c r="Y36" i="1"/>
  <c r="AC9" i="3"/>
  <c r="AA9" i="3"/>
  <c r="AA35" i="1"/>
  <c r="AA37" i="1"/>
  <c r="AA36" i="1"/>
  <c r="AA8" i="3" l="1"/>
  <c r="AC8" i="3"/>
  <c r="Z16" i="3"/>
  <c r="Z17" i="3"/>
  <c r="AE35" i="1"/>
  <c r="AE37" i="1"/>
  <c r="AE36" i="1"/>
  <c r="Z1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Korotev</author>
  </authors>
  <commentList>
    <comment ref="N26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Randy Korotev:</t>
        </r>
        <r>
          <rPr>
            <sz val="9"/>
            <color indexed="81"/>
            <rFont val="Tahoma"/>
            <family val="2"/>
          </rPr>
          <t xml:space="preserve">
originally, 2016-03-31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</authors>
  <commentList>
    <comment ref="L2" authorId="0" shapeId="0" xr:uid="{00000000-0006-0000-0400-000001000000}">
      <text>
        <r>
          <rPr>
            <b/>
            <sz val="7"/>
            <color indexed="81"/>
            <rFont val="Tahoma"/>
            <family val="2"/>
          </rPr>
          <t>recalculate</t>
        </r>
        <r>
          <rPr>
            <sz val="7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  <author>Randy Korotev</author>
  </authors>
  <commentList>
    <comment ref="BL53" authorId="0" shapeId="0" xr:uid="{00000000-0006-0000-0600-000001000000}">
      <text>
        <r>
          <rPr>
            <b/>
            <sz val="7"/>
            <color indexed="81"/>
            <rFont val="Tahoma"/>
            <family val="2"/>
          </rPr>
          <t>2.5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71" authorId="0" shapeId="0" xr:uid="{00000000-0006-0000-0600-000002000000}">
      <text>
        <r>
          <rPr>
            <b/>
            <sz val="7"/>
            <color indexed="81"/>
            <rFont val="Tahoma"/>
            <family val="2"/>
          </rPr>
          <t>est.; 
1.02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P71" authorId="0" shapeId="0" xr:uid="{00000000-0006-0000-0600-000003000000}">
      <text>
        <r>
          <rPr>
            <b/>
            <sz val="7"/>
            <color indexed="81"/>
            <rFont val="Tahoma"/>
            <family val="2"/>
          </rPr>
          <t>est.;
0.195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1" authorId="0" shapeId="0" xr:uid="{00000000-0006-0000-0600-000004000000}">
      <text>
        <r>
          <rPr>
            <b/>
            <sz val="7"/>
            <color indexed="81"/>
            <rFont val="Tahoma"/>
            <family val="2"/>
          </rPr>
          <t>est.; 1.09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2" authorId="0" shapeId="0" xr:uid="{00000000-0006-0000-0600-000005000000}">
      <text>
        <r>
          <rPr>
            <b/>
            <sz val="7"/>
            <color indexed="81"/>
            <rFont val="Tahoma"/>
            <family val="2"/>
          </rPr>
          <t>est.;
0.95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73" authorId="0" shapeId="0" xr:uid="{00000000-0006-0000-0600-000006000000}">
      <text>
        <r>
          <rPr>
            <b/>
            <sz val="7"/>
            <color indexed="81"/>
            <rFont val="Tahoma"/>
            <family val="2"/>
          </rPr>
          <t>estimated;
reported as 2.0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3" authorId="0" shapeId="0" xr:uid="{00000000-0006-0000-0600-000007000000}">
      <text>
        <r>
          <rPr>
            <b/>
            <sz val="7"/>
            <color indexed="81"/>
            <rFont val="Tahoma"/>
            <family val="2"/>
          </rPr>
          <t>est.;
1.21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75" authorId="0" shapeId="0" xr:uid="{00000000-0006-0000-0600-000008000000}">
      <text>
        <r>
          <rPr>
            <b/>
            <sz val="7"/>
            <color indexed="81"/>
            <rFont val="Tahoma"/>
            <family val="2"/>
          </rPr>
          <t>estimated,
reported = 1.7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T75" authorId="0" shapeId="0" xr:uid="{00000000-0006-0000-0600-000009000000}">
      <text>
        <r>
          <rPr>
            <b/>
            <sz val="7"/>
            <color indexed="81"/>
            <rFont val="Tahoma"/>
            <family val="2"/>
          </rPr>
          <t xml:space="preserve">est.;
0.12 reported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76" authorId="0" shapeId="0" xr:uid="{00000000-0006-0000-0600-00000A000000}">
      <text>
        <r>
          <rPr>
            <b/>
            <sz val="7"/>
            <color indexed="81"/>
            <rFont val="Tahoma"/>
            <family val="2"/>
          </rPr>
          <t>estimated
reported = 1.9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6" authorId="0" shapeId="0" xr:uid="{00000000-0006-0000-0600-00000B000000}">
      <text>
        <r>
          <rPr>
            <b/>
            <sz val="7"/>
            <color indexed="81"/>
            <rFont val="Tahoma"/>
            <family val="2"/>
          </rPr>
          <t>est.;
0.7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111" authorId="0" shapeId="0" xr:uid="{00000000-0006-0000-0600-00000C000000}">
      <text>
        <r>
          <rPr>
            <b/>
            <sz val="7"/>
            <color indexed="81"/>
            <rFont val="Tahoma"/>
            <family val="2"/>
          </rPr>
          <t>est.;
reported = 1.39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112" authorId="0" shapeId="0" xr:uid="{00000000-0006-0000-0600-00000D000000}">
      <text>
        <r>
          <rPr>
            <b/>
            <sz val="7"/>
            <color indexed="81"/>
            <rFont val="Tahoma"/>
            <family val="2"/>
          </rPr>
          <t>est.;
reported=3.44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112" authorId="0" shapeId="0" xr:uid="{00000000-0006-0000-0600-00000E000000}">
      <text>
        <r>
          <rPr>
            <b/>
            <sz val="7"/>
            <color indexed="81"/>
            <rFont val="Tahoma"/>
            <family val="2"/>
          </rPr>
          <t xml:space="preserve">est.;
reported = 1.03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P123" authorId="0" shapeId="0" xr:uid="{00000000-0006-0000-0600-00000F000000}">
      <text>
        <r>
          <rPr>
            <b/>
            <sz val="7"/>
            <color indexed="81"/>
            <rFont val="Tahoma"/>
            <family val="2"/>
          </rPr>
          <t>est.;
0.41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123" authorId="0" shapeId="0" xr:uid="{00000000-0006-0000-0600-000010000000}">
      <text>
        <r>
          <rPr>
            <b/>
            <sz val="7"/>
            <color indexed="81"/>
            <rFont val="Tahoma"/>
            <family val="2"/>
          </rPr>
          <t>est.;
2.47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141" authorId="0" shapeId="0" xr:uid="{00000000-0006-0000-0600-000011000000}">
      <text>
        <r>
          <rPr>
            <b/>
            <sz val="7"/>
            <color indexed="81"/>
            <rFont val="Tahoma"/>
            <family val="2"/>
          </rPr>
          <t>est.;
reported as 1.2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Z229" authorId="1" shapeId="0" xr:uid="{00000000-0006-0000-0600-000012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excludes anomalous sample, else 15.5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  <author>Randy Korotev</author>
    <author>RLK</author>
  </authors>
  <commentList>
    <comment ref="K2" authorId="0" shapeId="0" xr:uid="{00000000-0006-0000-0700-000001000000}">
      <text>
        <r>
          <rPr>
            <b/>
            <sz val="7"/>
            <color indexed="81"/>
            <rFont val="Tahoma"/>
            <family val="2"/>
          </rPr>
          <t>estimated for Cr/Sc &amp; MgO/FeO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2000000}">
      <text>
        <r>
          <rPr>
            <b/>
            <sz val="7"/>
            <color indexed="81"/>
            <rFont val="Tahoma"/>
            <family val="2"/>
          </rPr>
          <t xml:space="preserve">all 3, with estimate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K17" authorId="0" shapeId="0" xr:uid="{00000000-0006-0000-0700-000003000000}">
      <text>
        <r>
          <rPr>
            <b/>
            <sz val="7"/>
            <color indexed="81"/>
            <rFont val="Tahoma"/>
            <family val="2"/>
          </rPr>
          <t>estimated for Cr/Sc &amp; MgO/FeO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F22" authorId="1" shapeId="0" xr:uid="{00000000-0006-0000-0700-000004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
</t>
        </r>
      </text>
    </comment>
    <comment ref="P54" authorId="2" shapeId="0" xr:uid="{00000000-0006-0000-0700-000005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check if S or SO2
</t>
        </r>
      </text>
    </comment>
    <comment ref="F7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 from Ti-Fe correlation</t>
        </r>
      </text>
    </comment>
    <comment ref="J71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71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G78" authorId="1" shapeId="0" xr:uid="{00000000-0006-0000-0700-000009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J79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79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F88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 from Ti-Fe correlation</t>
        </r>
      </text>
    </comment>
    <comment ref="G88" authorId="1" shapeId="0" xr:uid="{00000000-0006-0000-0700-00000D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J88" authorId="1" shapeId="0" xr:uid="{00000000-0006-0000-0700-00000E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88" authorId="1" shapeId="0" xr:uid="{00000000-0006-0000-0700-00000F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F97" authorId="1" shapeId="0" xr:uid="{00000000-0006-0000-0700-000010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 from Ti-Fe correlation</t>
        </r>
      </text>
    </comment>
    <comment ref="G97" authorId="1" shapeId="0" xr:uid="{00000000-0006-0000-0700-000011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J97" authorId="1" shapeId="0" xr:uid="{00000000-0006-0000-0700-000012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97" authorId="1" shapeId="0" xr:uid="{00000000-0006-0000-0700-000013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I273" authorId="1" shapeId="0" xr:uid="{00000000-0006-0000-0700-000014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all interp'd from INAA FeO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</authors>
  <commentList>
    <comment ref="G5" authorId="0" shapeId="0" xr:uid="{00000000-0006-0000-0B00-000001000000}">
      <text>
        <r>
          <rPr>
            <b/>
            <sz val="7"/>
            <color indexed="81"/>
            <rFont val="Tahoma"/>
            <family val="2"/>
          </rPr>
          <t>~1 = 4-pi exp. age
~3 = 2-pi on Moon</t>
        </r>
        <r>
          <rPr>
            <sz val="7"/>
            <color indexed="81"/>
            <rFont val="Tahoma"/>
            <family val="2"/>
          </rPr>
          <t xml:space="preserve">
not paired with DaG 262</t>
        </r>
      </text>
    </comment>
    <comment ref="K6" authorId="0" shapeId="0" xr:uid="{00000000-0006-0000-0B00-000002000000}">
      <text>
        <r>
          <rPr>
            <b/>
            <sz val="7"/>
            <color indexed="81"/>
            <rFont val="Tahoma"/>
            <family val="2"/>
          </rPr>
          <t>don't rule out launch pair with QUE93/94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E8" authorId="0" shapeId="0" xr:uid="{00000000-0006-0000-0B00-000003000000}">
      <text>
        <r>
          <rPr>
            <sz val="7"/>
            <color indexed="81"/>
            <rFont val="Tahoma"/>
            <family val="2"/>
          </rPr>
          <t xml:space="preserve">alternate scenario, to try to get agreement with Bischoff data
</t>
        </r>
      </text>
    </comment>
    <comment ref="I41" authorId="0" shapeId="0" xr:uid="{00000000-0006-0000-0B00-000004000000}">
      <text>
        <r>
          <rPr>
            <b/>
            <sz val="7"/>
            <color indexed="81"/>
            <rFont val="Tahoma"/>
            <family val="2"/>
          </rPr>
          <t>my interp.</t>
        </r>
        <r>
          <rPr>
            <sz val="7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RLK</author>
    <author>Randy L. Korotev</author>
  </authors>
  <commentList>
    <comment ref="H60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raw=2.36</t>
        </r>
      </text>
    </comment>
    <comment ref="H61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raw=5.41</t>
        </r>
      </text>
    </comment>
    <comment ref="AH61" authorId="1" shapeId="0" xr:uid="{00000000-0006-0000-0C00-000003000000}">
      <text>
        <r>
          <rPr>
            <b/>
            <sz val="7"/>
            <color indexed="81"/>
            <rFont val="Tahoma"/>
            <family val="2"/>
          </rPr>
          <t xml:space="preserve">lowered to give no anomaly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H63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raw=3.25</t>
        </r>
      </text>
    </comment>
  </commentList>
</comments>
</file>

<file path=xl/sharedStrings.xml><?xml version="1.0" encoding="utf-8"?>
<sst xmlns="http://schemas.openxmlformats.org/spreadsheetml/2006/main" count="13370" uniqueCount="3970">
  <si>
    <t>NWA 4936</t>
  </si>
  <si>
    <t>xx-Aug-2007</t>
  </si>
  <si>
    <t>Anoual</t>
  </si>
  <si>
    <t>NWA 3190</t>
  </si>
  <si>
    <t>NWA 4503</t>
  </si>
  <si>
    <t>NWA 4819</t>
  </si>
  <si>
    <t>NWA 4881</t>
  </si>
  <si>
    <t>NWA 4898</t>
  </si>
  <si>
    <t>MB 93</t>
  </si>
  <si>
    <t>;13.2</t>
  </si>
  <si>
    <t>SaU 449</t>
  </si>
  <si>
    <t>NWA 5000</t>
  </si>
  <si>
    <t>NWA 4932</t>
  </si>
  <si>
    <t>WU-FB, new</t>
  </si>
  <si>
    <t>;44.98</t>
  </si>
  <si>
    <t>;1.41</t>
  </si>
  <si>
    <t>;17.04</t>
  </si>
  <si>
    <t>;0.235</t>
  </si>
  <si>
    <t>;16.03</t>
  </si>
  <si>
    <t>;0.209</t>
  </si>
  <si>
    <t>;6.225</t>
  </si>
  <si>
    <t>;13.28</t>
  </si>
  <si>
    <t>;0.305</t>
  </si>
  <si>
    <t>;0.0476</t>
  </si>
  <si>
    <t>;0.0163</t>
  </si>
  <si>
    <t>;13.64</t>
  </si>
  <si>
    <t>;5.974</t>
  </si>
  <si>
    <t>;0.261</t>
  </si>
  <si>
    <t>;16.18</t>
  </si>
  <si>
    <t>;17.045</t>
  </si>
  <si>
    <t>;1.58</t>
  </si>
  <si>
    <t>;44.78</t>
  </si>
  <si>
    <t>;44.3</t>
  </si>
  <si>
    <t>;1.6</t>
  </si>
  <si>
    <t>;16.2</t>
  </si>
  <si>
    <t>;16.6</t>
  </si>
  <si>
    <t>;6</t>
  </si>
  <si>
    <t>;12.7</t>
  </si>
  <si>
    <t>NWA 2995 et al.</t>
  </si>
  <si>
    <t>NWA 2995/2996</t>
  </si>
  <si>
    <t>La/Th</t>
  </si>
  <si>
    <t xml:space="preserve">GRA 06157 </t>
  </si>
  <si>
    <t>TiO2 vs Sc</t>
  </si>
  <si>
    <t>TiO2 vs Sc(C)</t>
  </si>
  <si>
    <t>TiO2 vs FeO(c)</t>
  </si>
  <si>
    <t>MnO vs FeO(c)</t>
  </si>
  <si>
    <t>Y-793169</t>
  </si>
  <si>
    <t>Y-981031</t>
  </si>
  <si>
    <t>NWA 5207</t>
  </si>
  <si>
    <t>NWA 5153</t>
  </si>
  <si>
    <t>unique</t>
  </si>
  <si>
    <t>Borg et al</t>
  </si>
  <si>
    <t>Shisr 160</t>
  </si>
  <si>
    <t>Shisr 161</t>
  </si>
  <si>
    <t>Dhofar 1436</t>
  </si>
  <si>
    <t>JaH 348</t>
  </si>
  <si>
    <t>JaH 348 ("1004")</t>
  </si>
  <si>
    <t>N=8</t>
  </si>
  <si>
    <t>,0.13</t>
  </si>
  <si>
    <t>;14.16</t>
  </si>
  <si>
    <t>NWA 5406</t>
  </si>
  <si>
    <t>NWA 4936 pair</t>
  </si>
  <si>
    <t>MIL 07006</t>
  </si>
  <si>
    <t>MB 94</t>
  </si>
  <si>
    <t>basaltic regolith breccia</t>
  </si>
  <si>
    <t>NWA 6275</t>
  </si>
  <si>
    <t>Sokol et al. (2008)</t>
  </si>
  <si>
    <t>&lt;12</t>
  </si>
  <si>
    <t>km^2</t>
  </si>
  <si>
    <t>Dhofar 1442</t>
  </si>
  <si>
    <t>Shişr 161</t>
  </si>
  <si>
    <t>Shişr 160</t>
  </si>
  <si>
    <t>Hsu et al. (2008)</t>
  </si>
  <si>
    <t>ICP-MS</t>
  </si>
  <si>
    <t>TXRF</t>
  </si>
  <si>
    <t>ICP-OES/-MS</t>
  </si>
  <si>
    <t>;17.82</t>
  </si>
  <si>
    <t>;1.388</t>
  </si>
  <si>
    <t>;13.4</t>
  </si>
  <si>
    <t>;13.58</t>
  </si>
  <si>
    <t>;14.87</t>
  </si>
  <si>
    <t>NWA 6554</t>
  </si>
  <si>
    <t>NWA 6555</t>
  </si>
  <si>
    <t>;14.08</t>
  </si>
  <si>
    <t>;0.060</t>
  </si>
  <si>
    <t>est</t>
  </si>
  <si>
    <t>Shişr 162</t>
  </si>
  <si>
    <t>Vera</t>
  </si>
  <si>
    <t>MB 95</t>
  </si>
  <si>
    <t>Shisr 162</t>
  </si>
  <si>
    <t>Dhofar 1443</t>
  </si>
  <si>
    <t>???</t>
  </si>
  <si>
    <t>Al2O3 CM</t>
  </si>
  <si>
    <t>FeO CM</t>
  </si>
  <si>
    <t>MgO CM</t>
  </si>
  <si>
    <t>Sc  CM</t>
  </si>
  <si>
    <t>Cr  CM</t>
  </si>
  <si>
    <t>Ir  CM</t>
  </si>
  <si>
    <r>
      <t>f</t>
    </r>
    <r>
      <rPr>
        <sz val="10"/>
        <rFont val="Arial Narrow"/>
        <family val="2"/>
      </rPr>
      <t xml:space="preserve">  CM</t>
    </r>
  </si>
  <si>
    <t>% Fe in metal</t>
  </si>
  <si>
    <t>Karouji et al. (2006) LPSC 37</t>
  </si>
  <si>
    <t>NWA 5744</t>
  </si>
  <si>
    <t>Dhofar 0026 et al</t>
  </si>
  <si>
    <t>MAC 88105,41</t>
  </si>
  <si>
    <t>AMN Sep 2006</t>
  </si>
  <si>
    <t>MB 96</t>
  </si>
  <si>
    <t>Day et al (2006) GCA 70:5957–5989</t>
  </si>
  <si>
    <t>plots off Al-Fe line</t>
  </si>
  <si>
    <t>;0.028</t>
  </si>
  <si>
    <t>;0.02</t>
  </si>
  <si>
    <t>;0.044</t>
  </si>
  <si>
    <t>Dhofar 1442 mean</t>
  </si>
  <si>
    <t>;11.9</t>
  </si>
  <si>
    <t>MIL 07005</t>
  </si>
  <si>
    <t>;11.9092096902303</t>
  </si>
  <si>
    <t>no Yanai</t>
  </si>
  <si>
    <t>Yanai specimen 1153</t>
  </si>
  <si>
    <t>falls&gt;</t>
  </si>
  <si>
    <t>falls&lt;</t>
  </si>
  <si>
    <t>type specimen</t>
  </si>
  <si>
    <t>Dhofar 1527</t>
  </si>
  <si>
    <t>Dhofar 1528</t>
  </si>
  <si>
    <t>Shisr 166</t>
  </si>
  <si>
    <t>mass (g)</t>
  </si>
  <si>
    <t>Dhofar 026 et al.</t>
  </si>
  <si>
    <t>FB, calc'd</t>
  </si>
  <si>
    <t>Dhofar 026 et al</t>
  </si>
  <si>
    <t>Shisr 166 (Labenne 1)</t>
  </si>
  <si>
    <t>M10-81 (Ralew)</t>
  </si>
  <si>
    <t>Stefan Ralew</t>
  </si>
  <si>
    <t>M09-55 (Utas)</t>
  </si>
  <si>
    <t>Dhofar AHID</t>
  </si>
  <si>
    <t>NWA 6355</t>
  </si>
  <si>
    <t>Shişr 166</t>
  </si>
  <si>
    <t>NWA Turecki oriented</t>
  </si>
  <si>
    <t>JS10-5</t>
  </si>
  <si>
    <t>More</t>
  </si>
  <si>
    <t>QUE 93069</t>
  </si>
  <si>
    <t>Yamato 86032</t>
  </si>
  <si>
    <t>MAC 88104/5</t>
  </si>
  <si>
    <t>Yamato 791197</t>
  </si>
  <si>
    <t>ALHA 81005</t>
  </si>
  <si>
    <t>Calcalong Creek</t>
  </si>
  <si>
    <t>QUE 94281</t>
  </si>
  <si>
    <t>Yamato 793274</t>
  </si>
  <si>
    <t>EET 87521</t>
  </si>
  <si>
    <t>Yamato 793169</t>
  </si>
  <si>
    <t>Asuka 881757</t>
  </si>
  <si>
    <t>SiO2</t>
  </si>
  <si>
    <t>TiO2</t>
  </si>
  <si>
    <t>Al2O3</t>
  </si>
  <si>
    <t>Cr2O3</t>
  </si>
  <si>
    <t>FeO</t>
  </si>
  <si>
    <t>MnO</t>
  </si>
  <si>
    <t>MgO</t>
  </si>
  <si>
    <t>#280</t>
  </si>
  <si>
    <t>CaO</t>
  </si>
  <si>
    <t>Na2O</t>
  </si>
  <si>
    <t>K2O</t>
  </si>
  <si>
    <t>S</t>
  </si>
  <si>
    <t>Mg'</t>
  </si>
  <si>
    <t>Cr/Sc</t>
  </si>
  <si>
    <t>Sc</t>
  </si>
  <si>
    <t>Cr</t>
  </si>
  <si>
    <t>Mn</t>
  </si>
  <si>
    <t>Co</t>
  </si>
  <si>
    <t>Ni</t>
  </si>
  <si>
    <t>Sr</t>
  </si>
  <si>
    <t>Zr</t>
  </si>
  <si>
    <t>Ba</t>
  </si>
  <si>
    <t>La</t>
  </si>
  <si>
    <t>Ce</t>
  </si>
  <si>
    <t>Nd</t>
  </si>
  <si>
    <t>Sm</t>
  </si>
  <si>
    <t>Eu</t>
  </si>
  <si>
    <t>Tb</t>
  </si>
  <si>
    <t>Yb</t>
  </si>
  <si>
    <t>Lu</t>
  </si>
  <si>
    <t>Hf</t>
  </si>
  <si>
    <t>Ta</t>
  </si>
  <si>
    <t>Ir</t>
  </si>
  <si>
    <t xml:space="preserve">Au </t>
  </si>
  <si>
    <t>Th</t>
  </si>
  <si>
    <t>U</t>
  </si>
  <si>
    <t>La/Sm</t>
  </si>
  <si>
    <t>Mg/Fe</t>
  </si>
  <si>
    <t>mg</t>
  </si>
  <si>
    <t>Si</t>
  </si>
  <si>
    <t>Ti</t>
  </si>
  <si>
    <t>Al</t>
  </si>
  <si>
    <t>Fe</t>
  </si>
  <si>
    <t>Mg</t>
  </si>
  <si>
    <t>Ca</t>
  </si>
  <si>
    <t>Na</t>
  </si>
  <si>
    <t>K</t>
  </si>
  <si>
    <t>ALHA81005</t>
  </si>
  <si>
    <t>ok</t>
  </si>
  <si>
    <t>wt'd mean</t>
  </si>
  <si>
    <t>Korotev et al. (1983) GRL 10, 829-832</t>
  </si>
  <si>
    <t>matrix</t>
  </si>
  <si>
    <t>Laul et al. (1983) GRL 10, 825-828</t>
  </si>
  <si>
    <t>bulk A+B</t>
  </si>
  <si>
    <t>Boynton &amp; Hill (1983) GRL 10, 837-840</t>
  </si>
  <si>
    <t>Palme et al. (1983) GRL 10, 817-820</t>
  </si>
  <si>
    <t>Warren &amp; Kallemeyn (1991) NIPR 4, 91-117</t>
  </si>
  <si>
    <t>Kallemeyn &amp; Warren (1983) GRL 10, 833-836</t>
  </si>
  <si>
    <t>mean mean</t>
  </si>
  <si>
    <t>Y-791197</t>
  </si>
  <si>
    <t>bulk</t>
  </si>
  <si>
    <t>Warren &amp; Kallemeyn (1986) Mem. Nat. Inst. Pol. Res. 41, 3-16</t>
  </si>
  <si>
    <t>Koeberl C. (1988) Proc. NIPR Symp. Antarct. Met. 1, 122-134</t>
  </si>
  <si>
    <t>Lindstrom et al. (1986) Mem. Nat. Inst. Pol. Res. 41, 58-75</t>
  </si>
  <si>
    <t>YMB bulk</t>
  </si>
  <si>
    <t>Ostertag et al. (1986) Mem. Nat. Inst. Pol. Res. 41, 17-44</t>
  </si>
  <si>
    <t>bulk, mean</t>
  </si>
  <si>
    <t>Fukuoka et al. (1986) Mem. Nat. Inst. Pol. Res. 41, 84-95</t>
  </si>
  <si>
    <t>Y-82192</t>
  </si>
  <si>
    <t>NWA 6578</t>
  </si>
  <si>
    <t>Lindstrom et al. (1991) Proc. NIPR Symp. Antarc. Met, 4,12-32</t>
  </si>
  <si>
    <t>mean of 2</t>
  </si>
  <si>
    <t>whole rock</t>
  </si>
  <si>
    <t>Y-82193</t>
  </si>
  <si>
    <t>mea of 2 bulk</t>
  </si>
  <si>
    <t>Fukuoka et al. (1986) 11th Symp. Antarc. met., 40-42.</t>
  </si>
  <si>
    <t/>
  </si>
  <si>
    <t xml:space="preserve">  </t>
  </si>
  <si>
    <t>Bischoff et al. (1987) Mem. Natl. Inst. Polar Res., Spec. Issue 46, 21-42.</t>
  </si>
  <si>
    <t>N</t>
  </si>
  <si>
    <t>Y-86032</t>
  </si>
  <si>
    <t>fg matrix</t>
  </si>
  <si>
    <t>Vienna</t>
  </si>
  <si>
    <t>Koeberl et al., NIPR Symp. Antarc. Met. 3, 3-18</t>
  </si>
  <si>
    <t>"impact melt"</t>
  </si>
  <si>
    <t>WU</t>
  </si>
  <si>
    <t>Koeberl et al. (1990), NIPR Symp. Antarc. Met. 3, 3-18</t>
  </si>
  <si>
    <t>UCLA</t>
  </si>
  <si>
    <t>JSC</t>
  </si>
  <si>
    <t>Lindstrom et al. (1991) NIPR 4, 12-32</t>
  </si>
  <si>
    <t>MPI</t>
  </si>
  <si>
    <t>Koeberl et al. (1989), NIPR Symp. Antarc. Met. 2, 15-24</t>
  </si>
  <si>
    <t>Tokyo</t>
  </si>
  <si>
    <t>Bern</t>
  </si>
  <si>
    <t>MIL 090034</t>
  </si>
  <si>
    <t>MIL 090036</t>
  </si>
  <si>
    <t>MIL 090070</t>
  </si>
  <si>
    <t>Dho 0287</t>
  </si>
  <si>
    <t>Dho 0302</t>
  </si>
  <si>
    <t>MIL 090075</t>
  </si>
  <si>
    <t>AMN Sep 2010</t>
  </si>
  <si>
    <t>Koeber;'s wt'd mean</t>
  </si>
  <si>
    <t>?</t>
  </si>
  <si>
    <t>my mean</t>
  </si>
  <si>
    <t>MAC88104/5</t>
  </si>
  <si>
    <t>Koeberl et al. (1991) GCA 55, 3073-3087</t>
  </si>
  <si>
    <t>avg</t>
  </si>
  <si>
    <t>powder</t>
  </si>
  <si>
    <t>Jolliff et al. (1991) GCA 55, 3051-3071</t>
  </si>
  <si>
    <t>Warren &amp; Kallemeyn (1991) GCA 55, 3123-3138</t>
  </si>
  <si>
    <t>Lindstrom et al. (1991) GCA 55, 3089-3103</t>
  </si>
  <si>
    <t>2 bulk</t>
  </si>
  <si>
    <t>QUE93069</t>
  </si>
  <si>
    <t>P2O5</t>
  </si>
  <si>
    <t>Zn</t>
  </si>
  <si>
    <t>Rb</t>
  </si>
  <si>
    <t>Cs</t>
  </si>
  <si>
    <t>Au</t>
  </si>
  <si>
    <t>Hill D. H., Boynton W. V., and Haag R. A. (1991) A lunar meteorite found outside the Antarctic, Nature 352, 614-617</t>
  </si>
  <si>
    <t>EET87521</t>
  </si>
  <si>
    <t>EET87521,6a</t>
  </si>
  <si>
    <t>EET87521,6b</t>
  </si>
  <si>
    <t>EET87521, wt'd mean</t>
  </si>
  <si>
    <t>Y793274,62B</t>
  </si>
  <si>
    <t>Lindstrom et al. (1991) NIPR4, 12-32</t>
  </si>
  <si>
    <t>Y793274,62C</t>
  </si>
  <si>
    <t>Y793274,62 wt'd mean</t>
  </si>
  <si>
    <t>Y793274</t>
  </si>
  <si>
    <t>Fukuoka (1990)NIPR 15th Symp Abstra, 122-123</t>
  </si>
  <si>
    <t>Y793274, wt'd mean</t>
  </si>
  <si>
    <t>Koeberl et al. (1991) NIPR4, 33-55</t>
  </si>
  <si>
    <t>mean</t>
  </si>
  <si>
    <t>Asuka-881757,80a</t>
  </si>
  <si>
    <t>Warren &amp; Kallemeyn (1993) NIPR 6, 35-57</t>
  </si>
  <si>
    <t>Asuka-881757,80b</t>
  </si>
  <si>
    <t>Asuka-881757,80</t>
  </si>
  <si>
    <t>Asuka-881757,82</t>
  </si>
  <si>
    <t>Asuka-881757</t>
  </si>
  <si>
    <t>mean-mean</t>
  </si>
  <si>
    <t>Yamato-793169,83</t>
  </si>
  <si>
    <t>Yamato-793169,80</t>
  </si>
  <si>
    <t>Yamato-793169</t>
  </si>
  <si>
    <t>Spettel et al. (1995) Meteoritics 30, 581-582</t>
  </si>
  <si>
    <t>Jolliff et al. (1998)</t>
  </si>
  <si>
    <t>fusion crust</t>
  </si>
  <si>
    <t>Arai &amp; Warren</t>
  </si>
  <si>
    <t>Thalmann et al. (1996) M&amp;PS 31, 857-868.</t>
  </si>
  <si>
    <t>Kring et al. (1995) lps26, 801-802.</t>
  </si>
  <si>
    <t>Lindstrom et al. (1995) lps26, 849-850.</t>
  </si>
  <si>
    <t>&lt;1991</t>
  </si>
  <si>
    <t>QUE 94269</t>
  </si>
  <si>
    <t>EET 96008</t>
  </si>
  <si>
    <t>Hill et al, pers. comm</t>
  </si>
  <si>
    <t>DaG 262</t>
  </si>
  <si>
    <t>Bischoff et al. (1998) M&amp;PS 33, 1243-1257.</t>
  </si>
  <si>
    <t>P</t>
  </si>
  <si>
    <t>Cl</t>
  </si>
  <si>
    <t>V</t>
  </si>
  <si>
    <t>Ga</t>
  </si>
  <si>
    <t>As</t>
  </si>
  <si>
    <t>Se</t>
  </si>
  <si>
    <t>Br</t>
  </si>
  <si>
    <t>&lt;0.4</t>
  </si>
  <si>
    <t>&lt;2</t>
  </si>
  <si>
    <t>Mo</t>
  </si>
  <si>
    <t>Gd</t>
  </si>
  <si>
    <t>Dy</t>
  </si>
  <si>
    <t>Ho</t>
  </si>
  <si>
    <t>Y</t>
  </si>
  <si>
    <t>Nb</t>
  </si>
  <si>
    <t>Sn</t>
  </si>
  <si>
    <t>Sb</t>
  </si>
  <si>
    <t>Pr</t>
  </si>
  <si>
    <t>Er</t>
  </si>
  <si>
    <t>Pb</t>
  </si>
  <si>
    <t>Koeberl et al. (1996) M&amp;PS 31, 897-908.</t>
  </si>
  <si>
    <t>Ag</t>
  </si>
  <si>
    <t>Tm</t>
  </si>
  <si>
    <t>W</t>
  </si>
  <si>
    <t>Korotev et al. (1996) M&amp;PS 31, 909-924.</t>
  </si>
  <si>
    <t>;0.42</t>
  </si>
  <si>
    <t>Gd1</t>
  </si>
  <si>
    <t>Gd2</t>
  </si>
  <si>
    <t>Gd3</t>
  </si>
  <si>
    <t>Ge</t>
  </si>
  <si>
    <t>Cd</t>
  </si>
  <si>
    <t>Palme et al. (1991) GCA 55, 3105-3122</t>
  </si>
  <si>
    <t>Li</t>
  </si>
  <si>
    <t>F</t>
  </si>
  <si>
    <t>I</t>
  </si>
  <si>
    <t>;1.1</t>
  </si>
  <si>
    <t>;0.63</t>
  </si>
  <si>
    <t>;1</t>
  </si>
  <si>
    <t>matrix+bulk</t>
  </si>
  <si>
    <t>Verkouteren et al. (1983) GRL 10, 821-824</t>
  </si>
  <si>
    <t>Te</t>
  </si>
  <si>
    <t>Bi</t>
  </si>
  <si>
    <t>In</t>
  </si>
  <si>
    <t>Tl</t>
  </si>
  <si>
    <t>MAC88105</t>
  </si>
  <si>
    <t>P/Sm</t>
  </si>
  <si>
    <t>V/Cr</t>
  </si>
  <si>
    <t>V/Mg</t>
  </si>
  <si>
    <t>Nb/Ta</t>
  </si>
  <si>
    <t>K/Sm</t>
  </si>
  <si>
    <t>Ba/Sm</t>
  </si>
  <si>
    <t>CI</t>
  </si>
  <si>
    <t>s.d.</t>
  </si>
  <si>
    <t>n</t>
  </si>
  <si>
    <t>~0.3</t>
  </si>
  <si>
    <t>~0.2</t>
  </si>
  <si>
    <t>Taylor (1982)</t>
  </si>
  <si>
    <t>/CI</t>
  </si>
  <si>
    <t>/Taylor</t>
  </si>
  <si>
    <t>f</t>
  </si>
  <si>
    <t>Na, %</t>
  </si>
  <si>
    <t>Mg, %</t>
  </si>
  <si>
    <t>Al, %</t>
  </si>
  <si>
    <t>Si, %</t>
  </si>
  <si>
    <t>Ca, %</t>
  </si>
  <si>
    <t>Ti, %</t>
  </si>
  <si>
    <t>Fe, %</t>
  </si>
  <si>
    <t>Fe/Mn</t>
  </si>
  <si>
    <t>Gd/Sm</t>
  </si>
  <si>
    <t>K82</t>
  </si>
  <si>
    <t xml:space="preserve">DaG 262,L2      </t>
  </si>
  <si>
    <t xml:space="preserve">DaG 262,S2b     </t>
  </si>
  <si>
    <t>EET96008</t>
  </si>
  <si>
    <t>DaG 400</t>
  </si>
  <si>
    <t>Zipfel et al. (1998) M&amp;PS, A171.</t>
  </si>
  <si>
    <t>+/-</t>
  </si>
  <si>
    <t>Warren (1994) Icarus 111, 338-363.</t>
  </si>
  <si>
    <t>&lt;0.07</t>
  </si>
  <si>
    <t>&lt;0.04</t>
  </si>
  <si>
    <t>Yamato 82192/3/86032</t>
  </si>
  <si>
    <t>QUE 93069/94269</t>
  </si>
  <si>
    <t>EET 87521/96008</t>
  </si>
  <si>
    <t>Nishiizumi et al.(1996) M&amp;PS 31, 893-896.</t>
  </si>
  <si>
    <t>terr</t>
  </si>
  <si>
    <t>ejection</t>
  </si>
  <si>
    <t>Nishiizumi &amp; Caffee (1996) LPS27, 959-960</t>
  </si>
  <si>
    <t>Arai &amp; Warren (1999) M&amp;PS 34, 209-234.</t>
  </si>
  <si>
    <t>&lt;0.05</t>
  </si>
  <si>
    <t>&lt;0.06</t>
  </si>
  <si>
    <t>&lt;0.15</t>
  </si>
  <si>
    <t>~0.3+~0.5</t>
  </si>
  <si>
    <t>Nishiizumi et al.(1998) LPS29, #1957.</t>
  </si>
  <si>
    <t>0.050-0.060</t>
  </si>
  <si>
    <t>&lt;0.21</t>
  </si>
  <si>
    <t>Nishiizumi et al.(1999) LPS30, #1980.</t>
  </si>
  <si>
    <t>g/cm^2</t>
  </si>
  <si>
    <t>Thalman et al. (1996) M&amp;PS 31, 857-868.</t>
  </si>
  <si>
    <t>Th-1</t>
  </si>
  <si>
    <t>Th-2</t>
  </si>
  <si>
    <t>Th-3</t>
  </si>
  <si>
    <t>Th-4</t>
  </si>
  <si>
    <t>Th-5</t>
  </si>
  <si>
    <t>Th-6</t>
  </si>
  <si>
    <t>earth-moon</t>
  </si>
  <si>
    <t>&lt;0.150</t>
  </si>
  <si>
    <t>~1 to ~3</t>
  </si>
  <si>
    <t>Scherer et al. (1998) M&amp;PS 33, A135-A136.</t>
  </si>
  <si>
    <t>cm</t>
  </si>
  <si>
    <t>&lt;0.27</t>
  </si>
  <si>
    <t>&lt;0.01</t>
  </si>
  <si>
    <t>0.21-0.25</t>
  </si>
  <si>
    <t>~0.27</t>
  </si>
  <si>
    <t>&lt;0.019</t>
  </si>
  <si>
    <t>0.03-0.09</t>
  </si>
  <si>
    <t>&gt;several m</t>
  </si>
  <si>
    <t>&lt;0.02</t>
  </si>
  <si>
    <t>&gt;1000</t>
  </si>
  <si>
    <t>~0.09</t>
  </si>
  <si>
    <t>~90</t>
  </si>
  <si>
    <t>Nishiizumi et al. (1992) NIPR 17, 129-132</t>
  </si>
  <si>
    <t>1-2</t>
  </si>
  <si>
    <t>&lt;0.03</t>
  </si>
  <si>
    <t>Benoit et al. (1996) M&amp;PS 31, 869-875</t>
  </si>
  <si>
    <t>Nish..., fide Benoit et al. (1996) M&amp;PS 31, 869-875</t>
  </si>
  <si>
    <t>Nishiizumi et al. (1996) M&amp;PS 31, 893-896.</t>
  </si>
  <si>
    <t>Yamato 82192</t>
  </si>
  <si>
    <t>&lt;.001</t>
  </si>
  <si>
    <t>~0.02</t>
  </si>
  <si>
    <t>~0.24</t>
  </si>
  <si>
    <t>&gt;0.045</t>
  </si>
  <si>
    <t>0.005-0.010</t>
  </si>
  <si>
    <t>0.020-0.050</t>
  </si>
  <si>
    <t>&lt;&lt;0.01</t>
  </si>
  <si>
    <t>negligible</t>
  </si>
  <si>
    <t>0.0077-.0196</t>
  </si>
  <si>
    <t>Jull &amp; Donahue (1992) LPS23, 637-638.</t>
  </si>
  <si>
    <t>&lt;0.062</t>
  </si>
  <si>
    <t>&gt;0.015</t>
  </si>
  <si>
    <t>Pm</t>
  </si>
  <si>
    <t>Na2O/Eu</t>
  </si>
  <si>
    <t>Sr/Eu</t>
  </si>
  <si>
    <t>test</t>
  </si>
  <si>
    <t>;3.8</t>
  </si>
  <si>
    <t>;0.12</t>
  </si>
  <si>
    <t>FUpCr</t>
  </si>
  <si>
    <t>FeO/TiO2</t>
  </si>
  <si>
    <t>Sm/Ti</t>
  </si>
  <si>
    <t>Sm/Th</t>
  </si>
  <si>
    <t>Sm/Yb</t>
  </si>
  <si>
    <t>K/Th</t>
  </si>
  <si>
    <t>Yamato 981031</t>
  </si>
  <si>
    <t>NWA 032</t>
  </si>
  <si>
    <t>Dhofar 025</t>
  </si>
  <si>
    <t>Dhofar 026</t>
  </si>
  <si>
    <t>Dhofar 081</t>
  </si>
  <si>
    <t>Th/Sm</t>
  </si>
  <si>
    <t>FLM</t>
  </si>
  <si>
    <t>Taylor et al. (2001) LPS32, #1985</t>
  </si>
  <si>
    <t>Greshake et al. (2001) M&amp;PS 36, 459-470</t>
  </si>
  <si>
    <t>,0.085</t>
  </si>
  <si>
    <t>Neal et al.</t>
  </si>
  <si>
    <t>Zr2O3</t>
  </si>
  <si>
    <t>BaO</t>
  </si>
  <si>
    <t>Hill &amp; Boyton unpublished</t>
  </si>
  <si>
    <t>9,2 bulk</t>
  </si>
  <si>
    <t>9,2,2 bulk</t>
  </si>
  <si>
    <t>5 bulk</t>
  </si>
  <si>
    <t>9,1 bulk/clasts</t>
  </si>
  <si>
    <t>2,1 matrix</t>
  </si>
  <si>
    <t>MgO/FeO</t>
  </si>
  <si>
    <t>;0.713</t>
  </si>
  <si>
    <t>K (mg/g)</t>
  </si>
  <si>
    <t>NWA 482</t>
  </si>
  <si>
    <t xml:space="preserve">Warren &amp; Kallemeyn (2001) </t>
  </si>
  <si>
    <t>found</t>
  </si>
  <si>
    <t>NWA 773</t>
  </si>
  <si>
    <t>U/Sm</t>
  </si>
  <si>
    <t>WU mean</t>
  </si>
  <si>
    <t>Nd/Sm</t>
  </si>
  <si>
    <t>Nd/La</t>
  </si>
  <si>
    <t>Asuka-881757,81_b1</t>
  </si>
  <si>
    <t>Asuka-881757,81_b2</t>
  </si>
  <si>
    <t>Asuka-881757,81</t>
  </si>
  <si>
    <t>Koeberl et al. (1993) NIPR 6</t>
  </si>
  <si>
    <t>Yamato-793169a</t>
  </si>
  <si>
    <t>Yamato-793169b</t>
  </si>
  <si>
    <t>mean, wt'd</t>
  </si>
  <si>
    <t>Yanai (1991) P21, 317-324.</t>
  </si>
  <si>
    <t>Asuka 31 not powder</t>
  </si>
  <si>
    <t>feldspathic fragmental breccia</t>
  </si>
  <si>
    <t>Oman</t>
  </si>
  <si>
    <t>Dar al Gani 400</t>
  </si>
  <si>
    <t>feldspathic regolith breccia</t>
  </si>
  <si>
    <t>feldspathic breccia</t>
  </si>
  <si>
    <t>Official</t>
  </si>
  <si>
    <t>sum</t>
  </si>
  <si>
    <t>Bin In</t>
  </si>
  <si>
    <t>mare basalt</t>
  </si>
  <si>
    <t>Dhofar 287</t>
  </si>
  <si>
    <t>mare basalt breccia</t>
  </si>
  <si>
    <t>Cohen et al. (200x) MAPS submitted</t>
  </si>
  <si>
    <t>Vernadsky</t>
  </si>
  <si>
    <t>Yamato 983885</t>
  </si>
  <si>
    <t>Dhofar 280</t>
  </si>
  <si>
    <t>Dhofar 301</t>
  </si>
  <si>
    <t>Dhofar 302</t>
  </si>
  <si>
    <t>Dhofar 303</t>
  </si>
  <si>
    <t>NWA 479</t>
  </si>
  <si>
    <t>purchased</t>
  </si>
  <si>
    <t>save</t>
  </si>
  <si>
    <t>-</t>
  </si>
  <si>
    <t>EET 87/96</t>
  </si>
  <si>
    <t>Neal mean</t>
  </si>
  <si>
    <t>chips</t>
  </si>
  <si>
    <t>Yanai &amp; Kojima (1984) NIPR Spec Iss 35, 18-34</t>
  </si>
  <si>
    <t>yanai, kojima, &amp; graham photo catalog 1987 in takeda 1989 nipr 2</t>
  </si>
  <si>
    <t>Bogard (1983) GRL 10, 773</t>
  </si>
  <si>
    <t xml:space="preserve"> takeda et al. 1989 nipr 2</t>
  </si>
  <si>
    <t>Warren &amp; Kallemeyn(1989); Delaney (1989)</t>
  </si>
  <si>
    <t>Yanai (1990) 15th symp abstract 119–121</t>
  </si>
  <si>
    <t>various GCA 55</t>
  </si>
  <si>
    <t>various LPSC21</t>
  </si>
  <si>
    <t>Hill D. H., Boynton W. V., and Haag R. A. (1991) Nature 352, 614–617</t>
  </si>
  <si>
    <t>Asuka 881757 (31)</t>
  </si>
  <si>
    <t>Yanai &amp; Kojima (1987) 12th symp 17-18</t>
  </si>
  <si>
    <t>Takeda, Arai, &amp; Saiki (1992) 109-112</t>
  </si>
  <si>
    <t>Kring et al. (1995) lps26, 801-802; Lindstrom et al. (1995) lps26, 849-850; Spettel et al. (1995) Meteoritics 30, 581-582</t>
  </si>
  <si>
    <t>Bischoff &amp; Weber (1997)  Meteorit. Planet. Sci. 32, A13-A14.</t>
  </si>
  <si>
    <t>various LPSC 27</t>
  </si>
  <si>
    <t>2001 MB 85</t>
  </si>
  <si>
    <t>1998 MB 82</t>
  </si>
  <si>
    <t>2000 MB 84</t>
  </si>
  <si>
    <t>various LPSC 30 1999</t>
  </si>
  <si>
    <t>various LPSC 32 2001</t>
  </si>
  <si>
    <t>Greshake et al. (2001) M&amp;PS 36, 459-470 (March</t>
  </si>
  <si>
    <t>Nazarov et al. (2002) LPS 33 CD-ROM 1293</t>
  </si>
  <si>
    <t>Meteorite News 9 (2000, June)</t>
  </si>
  <si>
    <t>Meteorite News 10 (2001, December)</t>
  </si>
  <si>
    <t>Antarctic Meteorite Newsletter (1995) 18(2) August</t>
  </si>
  <si>
    <t>Antarctic Meteorite Newsletter (1998) 21(1) February</t>
  </si>
  <si>
    <t>1997 MB 81 July</t>
  </si>
  <si>
    <t>Antarctic Meteorite Newsletter (1989) 12(3) September p. 21</t>
  </si>
  <si>
    <t>Score et al. (1989) Meteoritics 24, 324.</t>
  </si>
  <si>
    <t>Antarctic Meteorite Newsletter (1994) 17(2) p. 3  August? Satterwhite et al.</t>
  </si>
  <si>
    <t>Dag 400</t>
  </si>
  <si>
    <t>&lt;0.08</t>
  </si>
  <si>
    <t>Nishiizumi et al. (1996) maps 31, 893-896</t>
  </si>
  <si>
    <t>Asuka-881757,106</t>
  </si>
  <si>
    <t>Palme et al. (1991) Geochim. Cosmochim. Acta, 55, 3105-3122</t>
  </si>
  <si>
    <t>Takahashi &amp; Masuda (1987) NIPR 46, 71-88</t>
  </si>
  <si>
    <t>Best</t>
  </si>
  <si>
    <t>Au/Ni</t>
  </si>
  <si>
    <t>MnO/FeO</t>
  </si>
  <si>
    <t>;232</t>
  </si>
  <si>
    <t>WU. wt'mean</t>
  </si>
  <si>
    <t>&lt;6</t>
  </si>
  <si>
    <t>&lt;0.09</t>
  </si>
  <si>
    <t>received 250 mg from R Bartoschewitz; 1251 mg from N Classen</t>
  </si>
  <si>
    <t>289 mg from Addi Bischoff</t>
  </si>
  <si>
    <t>346 mg from AJI</t>
  </si>
  <si>
    <t>321 mg from AJI</t>
  </si>
  <si>
    <t>268 mg from Addi Bischoff</t>
  </si>
  <si>
    <t>|</t>
  </si>
  <si>
    <t>136 mg from AJI</t>
  </si>
  <si>
    <t>170 mg from L Labenne</t>
  </si>
  <si>
    <t>213 mg from L Labenne</t>
  </si>
  <si>
    <t>80 mg from T Bunch</t>
  </si>
  <si>
    <t>M09-55, powder Peter Utas</t>
  </si>
  <si>
    <t>M1080</t>
  </si>
  <si>
    <t>178 mg from T Bunch</t>
  </si>
  <si>
    <t>102 mg sawdust M. Collier; bought 369 mg ebay $260.51 Moritz Karl (Meteoriten); bought 472 mg $500 The Meteorite market Eric Twelker</t>
  </si>
  <si>
    <t>171 mg (+crumbs?) from AJI</t>
  </si>
  <si>
    <t>bought 1233 mg from Martin Altman $740</t>
  </si>
  <si>
    <t>40 mg from Stan Turecki; 258 mg from M Altman &amp; S Ralew gift; 154 mg from Tim Heitz; 16.98 g from Tim Heitz gift</t>
  </si>
  <si>
    <t>25 mg from T Bunch</t>
  </si>
  <si>
    <t>bought 52 mg from E Haiderer $70</t>
  </si>
  <si>
    <t>bought 32 mg from E Haiderer $44</t>
  </si>
  <si>
    <t>bought 88.1 $310 and 46.5 mg $202 from E Haiderer</t>
  </si>
  <si>
    <t>bought 120 mg from E Haiderer $380</t>
  </si>
  <si>
    <t>bought 295 mg from E Haiderer $440</t>
  </si>
  <si>
    <t>327 mg from AJI</t>
  </si>
  <si>
    <t>bought 108.5 ("110") mg from E Haiderer $155; bought 1.120 g ebay $1079 Naturesvault</t>
  </si>
  <si>
    <t>bought 100.5 mg from E Haiderer $155 + huge piece in photo</t>
  </si>
  <si>
    <t>Bots</t>
  </si>
  <si>
    <t>bought 122 ("120")mg from E Haiderer $155</t>
  </si>
  <si>
    <t>408 mg from AJI; or is it 1.1697 g?</t>
  </si>
  <si>
    <t>bought 44 mg E Haiderer $70; bought 547 ("548") mg ebay $519 Cometshop; bought 38 mg ebay $172.50 Labenne</t>
  </si>
  <si>
    <t>from Weibao Hsu</t>
  </si>
  <si>
    <t>200+104+91+qqq</t>
  </si>
  <si>
    <t>some from Mike Farmer?; from AJI 541 mg, kept~200, rest to Kuni; bought 104 mg slice e-bay $154 Jim Strope (catchafallingstar); bought ??? mg ebay $140 who??, 91 powder from Weibao Hsu</t>
  </si>
  <si>
    <t>68 mg basalt from J Haloda; 383 mg brx I bought from E Haiderer $365</t>
  </si>
  <si>
    <t>382 from AJI</t>
  </si>
  <si>
    <t>48 mg from Steve Arnold</t>
  </si>
  <si>
    <t>20.06 g from L Labenne</t>
  </si>
  <si>
    <t>Y-793274</t>
  </si>
  <si>
    <t>Y-983885</t>
  </si>
  <si>
    <t>Dhofar 0308</t>
  </si>
  <si>
    <t>Dhofar 0457</t>
  </si>
  <si>
    <t>Dhofar 0458</t>
  </si>
  <si>
    <t>Dhofar 0459</t>
  </si>
  <si>
    <t>Dhofar 0460</t>
  </si>
  <si>
    <t>Dhofar 0461</t>
  </si>
  <si>
    <t>Dhofar 0462</t>
  </si>
  <si>
    <t>Dhofar 0463</t>
  </si>
  <si>
    <t>Dhofar 0464</t>
  </si>
  <si>
    <t>Dhofar 0465</t>
  </si>
  <si>
    <t>Dhofar 0466</t>
  </si>
  <si>
    <t>Dhofar 0467</t>
  </si>
  <si>
    <t>Dhofar 0468</t>
  </si>
  <si>
    <t>NWA unnamed</t>
  </si>
  <si>
    <t>"Russian"</t>
  </si>
  <si>
    <t>NAU  #1100</t>
  </si>
  <si>
    <t>NAU #1107</t>
  </si>
  <si>
    <t>RA 616</t>
  </si>
  <si>
    <t>NWA 5151</t>
  </si>
  <si>
    <t>NAU #1195</t>
  </si>
  <si>
    <t>NWA 5152</t>
  </si>
  <si>
    <t>NAU #1196</t>
  </si>
  <si>
    <t>NAU #1197</t>
  </si>
  <si>
    <t>NAU #1214 D Pitt</t>
  </si>
  <si>
    <t>Mani 08P</t>
  </si>
  <si>
    <t>WU Labenne 1</t>
  </si>
  <si>
    <t>NAU  #1004</t>
  </si>
  <si>
    <t>Dhofar Smula</t>
  </si>
  <si>
    <t>NWA 6570</t>
  </si>
  <si>
    <t>alternate designation</t>
  </si>
  <si>
    <t>NIPR</t>
  </si>
  <si>
    <t>MB 99</t>
  </si>
  <si>
    <r>
      <t xml:space="preserve">Kagi H. and Takahashi K. (2008) </t>
    </r>
    <r>
      <rPr>
        <i/>
        <sz val="11"/>
        <rFont val="Times New Roman"/>
        <family val="1"/>
      </rPr>
      <t>Meteoritics &amp; Planetary Science</t>
    </r>
    <r>
      <rPr>
        <sz val="11"/>
        <rFont val="Times New Roman"/>
        <family val="1"/>
      </rPr>
      <t xml:space="preserve"> 33, 1033-1040.</t>
    </r>
  </si>
  <si>
    <t>;1.44</t>
  </si>
  <si>
    <t>;1.456</t>
  </si>
  <si>
    <t>;.903</t>
  </si>
  <si>
    <t>Dhofar 489</t>
  </si>
  <si>
    <t>Meteoritical Bulletin: Announcement 86-1</t>
  </si>
  <si>
    <t>;684</t>
  </si>
  <si>
    <t>Al2O3 vs FeO</t>
  </si>
  <si>
    <t>slope</t>
  </si>
  <si>
    <t>icept</t>
  </si>
  <si>
    <t>K2O vs Sm</t>
  </si>
  <si>
    <t>;0.08</t>
  </si>
  <si>
    <t>Sr vs. Eu</t>
  </si>
  <si>
    <t>Ni/Au</t>
  </si>
  <si>
    <t>Ir/Au</t>
  </si>
  <si>
    <t>Semenkova et al. (2000) LPS31, #1252</t>
  </si>
  <si>
    <t>broad beam</t>
  </si>
  <si>
    <t>;.3</t>
  </si>
  <si>
    <t>;0.1</t>
  </si>
  <si>
    <t>;0.33</t>
  </si>
  <si>
    <t>;0.06</t>
  </si>
  <si>
    <t>;3.52</t>
  </si>
  <si>
    <t>;29.16</t>
  </si>
  <si>
    <t>;0.23</t>
  </si>
  <si>
    <t>;43.4</t>
  </si>
  <si>
    <t>P2O5/Sm</t>
  </si>
  <si>
    <t>Rb/K</t>
  </si>
  <si>
    <t>La/Yb</t>
  </si>
  <si>
    <t>YMG bulk</t>
  </si>
  <si>
    <t>;1.3</t>
  </si>
  <si>
    <t>Dhofar 461</t>
  </si>
  <si>
    <t>Dhofar 305</t>
  </si>
  <si>
    <t>Dhofar 306</t>
  </si>
  <si>
    <t>Dhofar 307</t>
  </si>
  <si>
    <t>Dhofar 304</t>
  </si>
  <si>
    <t>Kaiden &amp; Kojima (unpubl), H. Haramura, analyst</t>
  </si>
  <si>
    <t>;.31</t>
  </si>
  <si>
    <t>;.15</t>
  </si>
  <si>
    <t>Calcalong Creek mean</t>
  </si>
  <si>
    <t>FB</t>
  </si>
  <si>
    <t>INAA</t>
  </si>
  <si>
    <t>;34.19</t>
  </si>
  <si>
    <t>;1826</t>
  </si>
  <si>
    <t>EET96008 mean</t>
  </si>
  <si>
    <t>WU, INAA</t>
  </si>
  <si>
    <t>WU, FB</t>
  </si>
  <si>
    <t>Y793274 mean</t>
  </si>
  <si>
    <t>Yamato 981031 mean</t>
  </si>
  <si>
    <t>QUE 94281 mean</t>
  </si>
  <si>
    <t>;0.45</t>
  </si>
  <si>
    <t>Al2O3 vs FeO+MgO slope</t>
  </si>
  <si>
    <t>Al2O3 vs FeO+MgO intercept</t>
  </si>
  <si>
    <t>NMNH</t>
  </si>
  <si>
    <t>Fagan et al. (2002)</t>
  </si>
  <si>
    <t>best</t>
  </si>
  <si>
    <t>FeO/MnO</t>
  </si>
  <si>
    <t>these samples</t>
  </si>
  <si>
    <t>all MB</t>
  </si>
  <si>
    <t>;85.3</t>
  </si>
  <si>
    <t>Dhofar 490</t>
  </si>
  <si>
    <t>Kaiden &amp; Kojima (2000) Antarctic Meteorites XXVII, 49-51</t>
  </si>
  <si>
    <t>Karouji et al. (2002) Antarctic Meteorites XXVII, 52-54.</t>
  </si>
  <si>
    <t>QUE 94281 ("87521")</t>
  </si>
  <si>
    <t>;40.44</t>
  </si>
  <si>
    <t>;0.44</t>
  </si>
  <si>
    <t>;46.3</t>
  </si>
  <si>
    <t>;40.7</t>
  </si>
  <si>
    <t>Snyder et al. (1999) LPS30, no. 1705</t>
  </si>
  <si>
    <t>Kojima and Imae (2000)</t>
  </si>
  <si>
    <t>WU-FB</t>
  </si>
  <si>
    <t>WU, new</t>
  </si>
  <si>
    <t>mean 4</t>
  </si>
  <si>
    <t>WU fb</t>
  </si>
  <si>
    <t>;0.84</t>
  </si>
  <si>
    <t>Warren et al. (2002)</t>
  </si>
  <si>
    <t>&lt;1</t>
  </si>
  <si>
    <t>&lt;.08</t>
  </si>
  <si>
    <t>&lt;24</t>
  </si>
  <si>
    <t>QUE94269</t>
  </si>
  <si>
    <t>&lt;.06</t>
  </si>
  <si>
    <t>&lt;20</t>
  </si>
  <si>
    <t>;0.26</t>
  </si>
  <si>
    <t>&lt;29</t>
  </si>
  <si>
    <t>&lt;.052</t>
  </si>
  <si>
    <t>&lt;1.34</t>
  </si>
  <si>
    <t>NWA 773 - RB</t>
  </si>
  <si>
    <t>WU-INAA</t>
  </si>
  <si>
    <t>Fagan et al.</t>
  </si>
  <si>
    <t>&lt;2.5</t>
  </si>
  <si>
    <t>&lt;1.4</t>
  </si>
  <si>
    <t>;38.6</t>
  </si>
  <si>
    <t>;29.1</t>
  </si>
  <si>
    <t>;6.8</t>
  </si>
  <si>
    <t>;7.4</t>
  </si>
  <si>
    <t>;17.3</t>
  </si>
  <si>
    <t>;0.38</t>
  </si>
  <si>
    <t>;656</t>
  </si>
  <si>
    <t>;23</t>
  </si>
  <si>
    <t>;292</t>
  </si>
  <si>
    <t>&lt;90</t>
  </si>
  <si>
    <t>&lt;2.8</t>
  </si>
  <si>
    <t>&lt;3</t>
  </si>
  <si>
    <t>&lt;2.1</t>
  </si>
  <si>
    <t>modal recombination</t>
  </si>
  <si>
    <t>Yamato 79/98</t>
  </si>
  <si>
    <t>QUE 93/94</t>
  </si>
  <si>
    <t>Pr/La</t>
  </si>
  <si>
    <t>Pr/Ce</t>
  </si>
  <si>
    <t>Pr/Nd</t>
  </si>
  <si>
    <t>Pr/Sm</t>
  </si>
  <si>
    <t>Eugster et al. (1989) NIPR 2, 25-35.</t>
  </si>
  <si>
    <t>Swindle et al</t>
  </si>
  <si>
    <t>Ce/Sm</t>
  </si>
  <si>
    <t>based on means for ALHA, QUE93/94, MAC88, Yam791197, &amp; Yam82/86</t>
  </si>
  <si>
    <t>Ba vs. La</t>
  </si>
  <si>
    <t>P2O5 vs Sm</t>
  </si>
  <si>
    <t>Ba enrichment</t>
  </si>
  <si>
    <t>K enrichment</t>
  </si>
  <si>
    <t>CaO vs Al2O3</t>
  </si>
  <si>
    <t>K (2000)</t>
  </si>
  <si>
    <t>FeO ©</t>
  </si>
  <si>
    <t>MgO ©</t>
  </si>
  <si>
    <t>Meteoritical Bulletin: Announcement 87-1</t>
  </si>
  <si>
    <t>Dhofar 308</t>
  </si>
  <si>
    <t>Dhofar</t>
  </si>
  <si>
    <t>E</t>
  </si>
  <si>
    <t>2003 MB87</t>
  </si>
  <si>
    <t>DaG 996</t>
  </si>
  <si>
    <t>Meteoritical Bulletin: Announcement 87-4</t>
  </si>
  <si>
    <t>Dhofar 309</t>
  </si>
  <si>
    <t>Dhofar 310</t>
  </si>
  <si>
    <t>Dhofar 311</t>
  </si>
  <si>
    <t>Dhofar 730</t>
  </si>
  <si>
    <t>Dhofar 731</t>
  </si>
  <si>
    <t>Dhofar 733</t>
  </si>
  <si>
    <t>fragmental breccia</t>
  </si>
  <si>
    <t>feldspathic granulitic breccia</t>
  </si>
  <si>
    <t>LAP 02205</t>
  </si>
  <si>
    <t>PCA 02007</t>
  </si>
  <si>
    <t>Dhofar 287A</t>
  </si>
  <si>
    <t>Anand et al. (2003) M&amp;PS 38, 485-499.</t>
  </si>
  <si>
    <t>NWA 773 RB</t>
  </si>
  <si>
    <t>NWA 773 OC</t>
  </si>
  <si>
    <t>ICP-AES</t>
  </si>
  <si>
    <t>Bridges et al.</t>
  </si>
  <si>
    <t>JSC INAA</t>
  </si>
  <si>
    <t>0.15</t>
  </si>
  <si>
    <t>0.25</t>
  </si>
  <si>
    <t>0.8</t>
  </si>
  <si>
    <t>PCA02007</t>
  </si>
  <si>
    <t>LAP02205</t>
  </si>
  <si>
    <t>CaO/Al2O3</t>
  </si>
  <si>
    <t>Sc/Co</t>
  </si>
  <si>
    <t>Cr ©</t>
  </si>
  <si>
    <t>our sample (mg)</t>
  </si>
  <si>
    <t>our sample from</t>
  </si>
  <si>
    <t>gift from N Classen</t>
  </si>
  <si>
    <t>294 mg from AJI</t>
  </si>
  <si>
    <t>294 mg (plus crumbs?) from AJI, Phil Mani</t>
  </si>
  <si>
    <t>300 mg slice from AJI</t>
  </si>
  <si>
    <t>214 mg from AJI, Daryl Pitt</t>
  </si>
  <si>
    <t>278 mg from T Bunch</t>
  </si>
  <si>
    <t>205 mg from AJI, then 303 mg from AJI</t>
  </si>
  <si>
    <t>309 mg from AJI</t>
  </si>
  <si>
    <t>ANSMET</t>
  </si>
  <si>
    <t>169 mg from AJI</t>
  </si>
  <si>
    <t>312 mg from AJI</t>
  </si>
  <si>
    <t>q+304.9+132.2</t>
  </si>
  <si>
    <t>xxx mg; 305 + 132 mg (2007) NIPR</t>
  </si>
  <si>
    <t>360 mg from T Bunch</t>
  </si>
  <si>
    <t>478 mg from T Bunch</t>
  </si>
  <si>
    <t>274 mg from AJI</t>
  </si>
  <si>
    <t>152 mg from AJI</t>
  </si>
  <si>
    <t>bought 0.72 g ebay $682.5 Spacerox david Sukow</t>
  </si>
  <si>
    <t>bought 102 mg ebay $146 meteoritica.com (stellardust)</t>
  </si>
  <si>
    <t>592 mg from AJI; 254 mg from AJI; purchased 869.5 mg ebay (876 mg?) $871.70 from A Hupe; AH also sent some sawdust, maybe a gram</t>
  </si>
  <si>
    <t xml:space="preserve">bought 234 mg ebay $216 meteoritica stellardust; </t>
  </si>
  <si>
    <t>542 mg purchased from R Wesel; AJI sent 212 mg from Don Edwards piece; we cut xxx mg from D Edwards piece</t>
  </si>
  <si>
    <t>353 mg slice purchased from E Haiderer ~$890</t>
  </si>
  <si>
    <t>bought 0.79g ebay $1100 Moritz Karl (Meteoriten)</t>
  </si>
  <si>
    <t>233 mg purchased from E Haiderer $322</t>
  </si>
  <si>
    <t>gift 212 mg U of Arizona Dolores Hill</t>
  </si>
  <si>
    <t>bought 178 mg Labenne $154.36</t>
  </si>
  <si>
    <t>1st: 308 mg 50-50 IMB-RB, 187 mg 2:1 RB-IMB, 106 mg RB; 2nd split of RB from Beda Hoffman: 242 mg</t>
  </si>
  <si>
    <t>bought 384 mg E Haiderer $696</t>
  </si>
  <si>
    <t>bought 120 mg from E Haiderer $155</t>
  </si>
  <si>
    <t>bought 100 mg from E Haiderer $155</t>
  </si>
  <si>
    <t>bought 25 mg ebay $95.19 Haberer; bought 0.15 g Haberer $614.53 (500 EUR)</t>
  </si>
  <si>
    <t>970 mg gift from Rainer Bartoschewitz</t>
  </si>
  <si>
    <t>bought 214 (+?) mg ebay $484 Moritz Karl (Meteoriten)</t>
  </si>
  <si>
    <t>264 mg from AJI; bought 433 mg from Martin Altman $520</t>
  </si>
  <si>
    <t>506.5 mg from AJI</t>
  </si>
  <si>
    <t>275 mg from AJI</t>
  </si>
  <si>
    <t>this is really 304</t>
  </si>
  <si>
    <t>320 mg from AJI</t>
  </si>
  <si>
    <t>247 mg from AJI</t>
  </si>
  <si>
    <t>298.5 mg from AJI</t>
  </si>
  <si>
    <t>We purchased 581 mg from E Haiderer $750</t>
  </si>
  <si>
    <t>We purchased 396 mg from E Haiderer $871.20</t>
  </si>
  <si>
    <t>bought 276 mg Labenne $591.50</t>
  </si>
  <si>
    <t>1766 mg from AJI</t>
  </si>
  <si>
    <t>bought 28.7 mg E Haiderer $72</t>
  </si>
  <si>
    <t>bought 438 mg from E Haiderer $765</t>
  </si>
  <si>
    <t>512 mg gift from Mike Farmer</t>
  </si>
  <si>
    <t>499 mg from AJI</t>
  </si>
  <si>
    <t>bought 69 ("72") mg E Haiderer $125</t>
  </si>
  <si>
    <t>bought 142 mg E Haiderer $140</t>
  </si>
  <si>
    <t>bought 257 ("255") mg ebay $305 Cometshop</t>
  </si>
  <si>
    <t>bought 163 ("150") mg ebay Haberer $239.50; bought 684 mg slice from A or G Hupe</t>
  </si>
  <si>
    <t>bought 145 ("160") mg ebay Haberer $224.50; bought 402 mg slice ebay $325.40 from A or G Hupe (raremeteorites); 584 mg gift from Phil Mani</t>
  </si>
  <si>
    <t>1615 g from AJI; Received from Tim Heitz 2 samples sold to him as NWA 2727 pairs: 594+422 mg.  D366</t>
  </si>
  <si>
    <t>1484 from AJI</t>
  </si>
  <si>
    <t>gift 93 mg from L Labenne</t>
  </si>
  <si>
    <t>330 mg from AJI</t>
  </si>
  <si>
    <t>(1003-760) + 174 mg from AJI</t>
  </si>
  <si>
    <t>742 mg from Natural History Museum, London</t>
  </si>
  <si>
    <t>445 mg gift from Jim Strope</t>
  </si>
  <si>
    <t>135 mg from Fagan or Keil?</t>
  </si>
  <si>
    <t>150 (?) mg Jim Haklar</t>
  </si>
  <si>
    <t>WU-FB, with INAA, 20 + 24</t>
  </si>
  <si>
    <t>;0.37</t>
  </si>
  <si>
    <t>LAP 02224</t>
  </si>
  <si>
    <t>LAP 02226</t>
  </si>
  <si>
    <t>LAP 02436</t>
  </si>
  <si>
    <t>regolith breccia</t>
  </si>
  <si>
    <t>MET 01210</t>
  </si>
  <si>
    <t>WU, norm FB</t>
  </si>
  <si>
    <t>Dhofar 908</t>
  </si>
  <si>
    <t>Dhofar 909</t>
  </si>
  <si>
    <t>Dhofar 910</t>
  </si>
  <si>
    <t>Dhofar 911</t>
  </si>
  <si>
    <t>Meteoritical Bulletin: Announcement 88-4</t>
  </si>
  <si>
    <t>Sayh al Uhaymir 169</t>
  </si>
  <si>
    <t>Gnos et al.</t>
  </si>
  <si>
    <t>IMB</t>
  </si>
  <si>
    <t>KREEP clast</t>
  </si>
  <si>
    <t>Dhofar 925</t>
  </si>
  <si>
    <t>Meteoritical Bulletin: Announcement 88-6</t>
  </si>
  <si>
    <t>??</t>
  </si>
  <si>
    <t>black impact melt</t>
  </si>
  <si>
    <t>dark gray lithology</t>
  </si>
  <si>
    <t>anorthosite</t>
  </si>
  <si>
    <t>;46.5</t>
  </si>
  <si>
    <t>LAP 03632</t>
  </si>
  <si>
    <t>D344</t>
  </si>
  <si>
    <t>NWA 3136</t>
  </si>
  <si>
    <t>SaU 169 IMB</t>
  </si>
  <si>
    <t>SaU 169 RB</t>
  </si>
  <si>
    <t>&lt;.1</t>
  </si>
  <si>
    <t>NWA 032/479</t>
  </si>
  <si>
    <t>;82.2</t>
  </si>
  <si>
    <t>;72</t>
  </si>
  <si>
    <t>these samples, no SaU or NWA773</t>
  </si>
  <si>
    <t>NWA 2200</t>
  </si>
  <si>
    <t>xx-01-2003</t>
  </si>
  <si>
    <t>Dhofar 1084</t>
  </si>
  <si>
    <t>Dhofar 1085</t>
  </si>
  <si>
    <t>xx-Apr-2002</t>
  </si>
  <si>
    <t>NEA 001</t>
  </si>
  <si>
    <t>Yb/Th</t>
  </si>
  <si>
    <t>WU-FC</t>
  </si>
  <si>
    <t>;14.66</t>
  </si>
  <si>
    <t>;0.256</t>
  </si>
  <si>
    <t>Arai FC</t>
  </si>
  <si>
    <t>norm plag</t>
  </si>
  <si>
    <t>g</t>
  </si>
  <si>
    <t>Kalahari 008</t>
  </si>
  <si>
    <t>Kalahari 009</t>
  </si>
  <si>
    <t>SaU 300</t>
  </si>
  <si>
    <t>Dhofar 1180</t>
  </si>
  <si>
    <t>Karouji et al. (2004) Antarctic Meteorites XXVIII, 31-33</t>
  </si>
  <si>
    <t>Dhofar 950</t>
  </si>
  <si>
    <t>Dhofar 1224</t>
  </si>
  <si>
    <t>Dhofar 960</t>
  </si>
  <si>
    <t>Dhofar 961</t>
  </si>
  <si>
    <t>NEA001</t>
  </si>
  <si>
    <t>;12.4</t>
  </si>
  <si>
    <t>Antarctic Meteorite Newsletter (2003) 26(2) August, MB 88</t>
  </si>
  <si>
    <t>Antarctic Meteorite Newsletter (2004) 27(1) Feb, MB 88</t>
  </si>
  <si>
    <t>LPSC 36, MB88</t>
  </si>
  <si>
    <t>MB 89</t>
  </si>
  <si>
    <t>Antarctic Meteorite Newsletter (2004) 27(3) Aug</t>
  </si>
  <si>
    <t>specimen 1153</t>
  </si>
  <si>
    <t>LPSC 31 2000</t>
  </si>
  <si>
    <t>D344 &amp; 345</t>
  </si>
  <si>
    <t>;0.60</t>
  </si>
  <si>
    <t>x</t>
  </si>
  <si>
    <t>Na (%)</t>
  </si>
  <si>
    <t>Ca (%)</t>
  </si>
  <si>
    <t>Fe (%)</t>
  </si>
  <si>
    <t>$</t>
  </si>
  <si>
    <t>$/g</t>
  </si>
  <si>
    <t>Dhofar 457</t>
  </si>
  <si>
    <t>Dhofar 458</t>
  </si>
  <si>
    <t>Dhofar 459</t>
  </si>
  <si>
    <t>Dhofar 460</t>
  </si>
  <si>
    <t>Dhofar 462</t>
  </si>
  <si>
    <t>Dhofar 463</t>
  </si>
  <si>
    <t>Dhofar 464</t>
  </si>
  <si>
    <t>Dhofar 465</t>
  </si>
  <si>
    <t>Dhofar 466</t>
  </si>
  <si>
    <t>Dhofar 467</t>
  </si>
  <si>
    <t>Dhofar 468</t>
  </si>
  <si>
    <t>Ir/Ni</t>
  </si>
  <si>
    <t>WU, FC</t>
  </si>
  <si>
    <t>;0.112</t>
  </si>
  <si>
    <t>LAPxxxxx</t>
  </si>
  <si>
    <t>Cr2O3/MgO</t>
  </si>
  <si>
    <t>RB</t>
  </si>
  <si>
    <t>Erich</t>
  </si>
  <si>
    <t>Haberer</t>
  </si>
  <si>
    <t>erich.haiderer@chello.at</t>
  </si>
  <si>
    <t>nakhladog@comcast.net</t>
  </si>
  <si>
    <t>labennemeteorites@hotmail.com</t>
  </si>
  <si>
    <t>cometshop21</t>
  </si>
  <si>
    <t>Warren et al. (2005)</t>
  </si>
  <si>
    <t>&lt;30</t>
  </si>
  <si>
    <t>&lt;.12</t>
  </si>
  <si>
    <t>;0.282</t>
  </si>
  <si>
    <t>&lt;0.007</t>
  </si>
  <si>
    <t>&lt;.2</t>
  </si>
  <si>
    <t>&lt;.006</t>
  </si>
  <si>
    <t>&lt;50</t>
  </si>
  <si>
    <t>&lt;0.13</t>
  </si>
  <si>
    <t>&lt;0.11</t>
  </si>
  <si>
    <t>Dhofar 026 wt'd mean</t>
  </si>
  <si>
    <t>DaG</t>
  </si>
  <si>
    <t>MgO/FeO  ©</t>
  </si>
  <si>
    <t>Mg'  ©</t>
  </si>
  <si>
    <t>FeO+MgO</t>
  </si>
  <si>
    <t>FeO+MgO  ©</t>
  </si>
  <si>
    <t>Al2O3  ©</t>
  </si>
  <si>
    <t>Dhofar 1436/1443</t>
  </si>
  <si>
    <t>FeO CI</t>
  </si>
  <si>
    <t>MgO CI</t>
  </si>
  <si>
    <t>Al2O3 CI</t>
  </si>
  <si>
    <t>Sc  CI</t>
  </si>
  <si>
    <t>Cr  CI</t>
  </si>
  <si>
    <t>Ir  CI</t>
  </si>
  <si>
    <r>
      <t>f</t>
    </r>
    <r>
      <rPr>
        <sz val="10"/>
        <rFont val="Arial Narrow"/>
        <family val="2"/>
      </rPr>
      <t xml:space="preserve">  CI</t>
    </r>
  </si>
  <si>
    <t>Sc ©</t>
  </si>
  <si>
    <t>Na/Eu</t>
  </si>
  <si>
    <t>labenne</t>
  </si>
  <si>
    <t>NWA 3160</t>
  </si>
  <si>
    <t>NWA 2727</t>
  </si>
  <si>
    <t>NWA 3333</t>
  </si>
  <si>
    <t>haberer, via e-bay</t>
  </si>
  <si>
    <t>slice</t>
  </si>
  <si>
    <t>LM</t>
  </si>
  <si>
    <t>form</t>
  </si>
  <si>
    <t>bids</t>
  </si>
  <si>
    <t>I bid</t>
  </si>
  <si>
    <t>end date</t>
  </si>
  <si>
    <t>end time</t>
  </si>
  <si>
    <t>seller</t>
  </si>
  <si>
    <t>raremeteorites</t>
  </si>
  <si>
    <t>naturesvault</t>
  </si>
  <si>
    <t>meteoritesandmore</t>
  </si>
  <si>
    <t xml:space="preserve">haberer-meteorite_de </t>
  </si>
  <si>
    <t>have 143 mg</t>
  </si>
  <si>
    <t>have 118 mg</t>
  </si>
  <si>
    <t>have 145 mg</t>
  </si>
  <si>
    <t>have 163 mg</t>
  </si>
  <si>
    <t>need</t>
  </si>
  <si>
    <t>could use more</t>
  </si>
  <si>
    <t>I bought</t>
  </si>
  <si>
    <t>Labenne</t>
  </si>
  <si>
    <t>Euros</t>
  </si>
  <si>
    <t>Karouji et al. (2004) Antarctic Meteorites XXVIII, 31-32</t>
  </si>
  <si>
    <t>NWA 3163</t>
  </si>
  <si>
    <t>stones</t>
  </si>
  <si>
    <t>feldspathic</t>
  </si>
  <si>
    <t>end cut</t>
  </si>
  <si>
    <t>not Dhofar 306</t>
  </si>
  <si>
    <t>announced</t>
  </si>
  <si>
    <t>Ant</t>
  </si>
  <si>
    <t>Aus</t>
  </si>
  <si>
    <t>S/N</t>
  </si>
  <si>
    <t>Yamato 82193</t>
  </si>
  <si>
    <t>MAC 88104</t>
  </si>
  <si>
    <t>MAC 88105</t>
  </si>
  <si>
    <t>SaU 169  </t>
  </si>
  <si>
    <t>Yanai 1153</t>
  </si>
  <si>
    <t>Bin</t>
  </si>
  <si>
    <t>Frequency</t>
  </si>
  <si>
    <t>24;04</t>
  </si>
  <si>
    <t>Sat</t>
  </si>
  <si>
    <t>haberer, direct</t>
  </si>
  <si>
    <t>cometshop</t>
  </si>
  <si>
    <t>spacerox</t>
  </si>
  <si>
    <t>NWA 0482</t>
  </si>
  <si>
    <t>have</t>
  </si>
  <si>
    <t>not yet received</t>
  </si>
  <si>
    <t>NWA 999</t>
  </si>
  <si>
    <t>eucrite</t>
  </si>
  <si>
    <t>slab</t>
  </si>
  <si>
    <t>D349</t>
  </si>
  <si>
    <t>DaG 262/996</t>
  </si>
  <si>
    <t>Dhofar 287 MB</t>
  </si>
  <si>
    <t>Erich (Greshake?)</t>
  </si>
  <si>
    <t>Greshake</t>
  </si>
  <si>
    <t>Cometshop</t>
  </si>
  <si>
    <t>Haberer (Greshake?)</t>
  </si>
  <si>
    <t>Greshake
Erich</t>
  </si>
  <si>
    <t>Haberer x2 (Greshake?)</t>
  </si>
  <si>
    <t>Luc &amp; Erich</t>
  </si>
  <si>
    <t>Greshake?</t>
  </si>
  <si>
    <t>Wezel</t>
  </si>
  <si>
    <t>g INAA</t>
  </si>
  <si>
    <t>TS</t>
  </si>
  <si>
    <t>D350</t>
  </si>
  <si>
    <t>D349 &amp; 350</t>
  </si>
  <si>
    <t>subsamples</t>
  </si>
  <si>
    <t>NWA</t>
  </si>
  <si>
    <t>http://www.meteorite.fr/en/forsale/nwa479.htm</t>
  </si>
  <si>
    <t>Haloda</t>
  </si>
  <si>
    <t>;11.7</t>
  </si>
  <si>
    <t>;19.27</t>
  </si>
  <si>
    <t>;0.262</t>
  </si>
  <si>
    <t>;0.591</t>
  </si>
  <si>
    <t>have 69 mg</t>
  </si>
  <si>
    <t>Dhofar 0287</t>
  </si>
  <si>
    <t>Dhofar 0302</t>
  </si>
  <si>
    <t>Dhofar 0733</t>
  </si>
  <si>
    <t>Dhofar 0025</t>
  </si>
  <si>
    <t>Dhofar 0026</t>
  </si>
  <si>
    <t>had</t>
  </si>
  <si>
    <t>Joy et al. (subm) M&amp;PS</t>
  </si>
  <si>
    <t>ebay</t>
  </si>
  <si>
    <t>we have</t>
  </si>
  <si>
    <t>;547</t>
  </si>
  <si>
    <t>287b</t>
  </si>
  <si>
    <t>e-bay</t>
  </si>
  <si>
    <t>mafic</t>
  </si>
  <si>
    <t>maf-KREEP</t>
  </si>
  <si>
    <t>NWA 2700</t>
  </si>
  <si>
    <t>NWA 2977</t>
  </si>
  <si>
    <t>meteorite-collector</t>
  </si>
  <si>
    <t>meteoriten</t>
  </si>
  <si>
    <t>LAP 02205, 21 Centre</t>
  </si>
  <si>
    <t>LAP 02224, 17 Outer</t>
  </si>
  <si>
    <t>LAP 02224, 18 Centre</t>
  </si>
  <si>
    <t>LAP 02226, 13, Centre</t>
  </si>
  <si>
    <t>LAP 02436, 20, Centre</t>
  </si>
  <si>
    <t>LAP 03632, 8 Centre</t>
  </si>
  <si>
    <t>Day et al. (2006) GCA</t>
  </si>
  <si>
    <t>SO3</t>
  </si>
  <si>
    <t>LAP mean</t>
  </si>
  <si>
    <t>;44.55</t>
  </si>
  <si>
    <t>;21.49</t>
  </si>
  <si>
    <t>;6.025</t>
  </si>
  <si>
    <t>;0.415</t>
  </si>
  <si>
    <t>MIL 090070/75</t>
  </si>
  <si>
    <t>weight</t>
  </si>
  <si>
    <t xml:space="preserve">LAP 02205, 21 </t>
  </si>
  <si>
    <t>Anand et al. (2006)</t>
  </si>
  <si>
    <t>Anand et al. (2006) GCA</t>
  </si>
  <si>
    <t>Barrat et al (2005) GCA</t>
  </si>
  <si>
    <t>&lt;0.1</t>
  </si>
  <si>
    <t>NEA 003</t>
  </si>
  <si>
    <t>meteorfinder</t>
  </si>
  <si>
    <t>NWA 2995</t>
  </si>
  <si>
    <t>WU INAA</t>
  </si>
  <si>
    <t>WU FB</t>
  </si>
  <si>
    <t>;0.39</t>
  </si>
  <si>
    <t>intercept</t>
  </si>
  <si>
    <t>mag anorthosite only</t>
  </si>
  <si>
    <t>;0.107</t>
  </si>
  <si>
    <t>;0.328</t>
  </si>
  <si>
    <t>;0.321</t>
  </si>
  <si>
    <t>mingled</t>
  </si>
  <si>
    <t>MB</t>
  </si>
  <si>
    <t>Dho 1180</t>
  </si>
  <si>
    <t>Dho 1428</t>
  </si>
  <si>
    <t>Dho 1442</t>
  </si>
  <si>
    <t>Met Soc 2005; MB 90</t>
  </si>
  <si>
    <t>;0.11</t>
  </si>
  <si>
    <t>NWA 773 - OC</t>
  </si>
  <si>
    <t>NWA 2977 OC</t>
  </si>
  <si>
    <t>Dreibus et al. (1996)</t>
  </si>
  <si>
    <t>&lt;0.12</t>
  </si>
  <si>
    <t>Dhofar 1428</t>
  </si>
  <si>
    <t>Cr ©/Sc©</t>
  </si>
  <si>
    <t>simple LR</t>
  </si>
  <si>
    <t>Dhofar 0081</t>
  </si>
  <si>
    <t>Dhofar 0280</t>
  </si>
  <si>
    <t>Dhofar 0304</t>
  </si>
  <si>
    <t>Dhofar 0301</t>
  </si>
  <si>
    <t>Dhofar 0303</t>
  </si>
  <si>
    <t>Dhofar 0305</t>
  </si>
  <si>
    <t>Dhofar 0306</t>
  </si>
  <si>
    <t>Dhofar 0307</t>
  </si>
  <si>
    <t>M1060</t>
  </si>
  <si>
    <t>NWA 6221</t>
  </si>
  <si>
    <t>Dhofar 0309</t>
  </si>
  <si>
    <t>Dhofar 0310</t>
  </si>
  <si>
    <t>Dhofar 0311</t>
  </si>
  <si>
    <t>Dhofar 0489</t>
  </si>
  <si>
    <t>Dhofar 0730</t>
  </si>
  <si>
    <t>Dhofar 0731</t>
  </si>
  <si>
    <t>Dhofar 0908</t>
  </si>
  <si>
    <t>Dhofar 0909</t>
  </si>
  <si>
    <t>Dhofar 0911</t>
  </si>
  <si>
    <t>Dhofar 0950</t>
  </si>
  <si>
    <t>Dhofar 0490</t>
  </si>
  <si>
    <t>Dhofar 0925</t>
  </si>
  <si>
    <t>Dhofar 0960</t>
  </si>
  <si>
    <t>Dhofar 0910</t>
  </si>
  <si>
    <t>Dhofar 0081 et al</t>
  </si>
  <si>
    <t>Dhofar 0025 et al</t>
  </si>
  <si>
    <t>Dhofar 490/1084</t>
  </si>
  <si>
    <t>;0.7</t>
  </si>
  <si>
    <t>;498</t>
  </si>
  <si>
    <t>;520</t>
  </si>
  <si>
    <t>;0.076</t>
  </si>
  <si>
    <t>;45</t>
  </si>
  <si>
    <t>;32</t>
  </si>
  <si>
    <t>;3.2</t>
  </si>
  <si>
    <t>;387</t>
  </si>
  <si>
    <t>;0.05</t>
  </si>
  <si>
    <t>;2.4</t>
  </si>
  <si>
    <t>;16</t>
  </si>
  <si>
    <t>NWA 2998</t>
  </si>
  <si>
    <t>Takeda et al (2006)</t>
  </si>
  <si>
    <t>ICP WR</t>
  </si>
  <si>
    <t>;7.95</t>
  </si>
  <si>
    <t>Nyquist et al. (2006)</t>
  </si>
  <si>
    <t>TiO2/FeO</t>
  </si>
  <si>
    <t>Dhofar 0961</t>
  </si>
  <si>
    <t>LAP 04841</t>
  </si>
  <si>
    <t>;0.281</t>
  </si>
  <si>
    <t>;922</t>
  </si>
  <si>
    <t>;0.0291</t>
  </si>
  <si>
    <t>;0.036</t>
  </si>
  <si>
    <t>Sm/Eu</t>
  </si>
  <si>
    <t>;0.477</t>
  </si>
  <si>
    <t>;0.522</t>
  </si>
  <si>
    <t>;21.12</t>
  </si>
  <si>
    <t>;42.3</t>
  </si>
  <si>
    <t>;8.45</t>
  </si>
  <si>
    <t>WU-FB - extrapolated</t>
  </si>
  <si>
    <t>Dhofar 287A - MB</t>
  </si>
  <si>
    <t>Dhofar 287B - RB</t>
  </si>
  <si>
    <t>xxx</t>
  </si>
  <si>
    <t>WU-FB -measured</t>
  </si>
  <si>
    <t>;0.069</t>
  </si>
  <si>
    <t>;0.223</t>
  </si>
  <si>
    <t>NWA 2727 FFB</t>
  </si>
  <si>
    <t>NWA 3160 MB</t>
  </si>
  <si>
    <t>NWA 3333 MB</t>
  </si>
  <si>
    <t>NWA 2700 OC</t>
  </si>
  <si>
    <t>NWA 3333 OC</t>
  </si>
  <si>
    <t>;6.49</t>
  </si>
  <si>
    <t>0.048</t>
  </si>
  <si>
    <t>;0.108</t>
  </si>
  <si>
    <t>WU-FB - interp</t>
  </si>
  <si>
    <t>;61</t>
  </si>
  <si>
    <t>NWA 2727 brx</t>
  </si>
  <si>
    <t>NWA 3160 brx</t>
  </si>
  <si>
    <t>NWA 3160 brx - anom</t>
  </si>
  <si>
    <t>NWA 3333 brx</t>
  </si>
  <si>
    <t>;0.833</t>
  </si>
  <si>
    <t>;0.197</t>
  </si>
  <si>
    <t>;.014</t>
  </si>
  <si>
    <t>;0.364</t>
  </si>
  <si>
    <t>;0.136</t>
  </si>
  <si>
    <t>;0.169</t>
  </si>
  <si>
    <t>;0.170</t>
  </si>
  <si>
    <t>;0.476</t>
  </si>
  <si>
    <t>;0.137</t>
  </si>
  <si>
    <t>;0.051</t>
  </si>
  <si>
    <t>;0.074</t>
  </si>
  <si>
    <t>;0.183</t>
  </si>
  <si>
    <t>;0.550</t>
  </si>
  <si>
    <t>;0.100</t>
  </si>
  <si>
    <t>;0.498</t>
  </si>
  <si>
    <t>;0.079</t>
  </si>
  <si>
    <t>;0.064</t>
  </si>
  <si>
    <t>LAP</t>
  </si>
  <si>
    <t>WU-INAA, stone wt'd</t>
  </si>
  <si>
    <t>LAP stone'wt'd</t>
  </si>
  <si>
    <t>;0.287</t>
  </si>
  <si>
    <t>;0.393</t>
  </si>
  <si>
    <t>NWA 773 et al. MB</t>
  </si>
  <si>
    <t>;0.478</t>
  </si>
  <si>
    <t>;0.16</t>
  </si>
  <si>
    <t>;0.483</t>
  </si>
  <si>
    <t>;0.154</t>
  </si>
  <si>
    <t>NWA 773 et al. OC</t>
  </si>
  <si>
    <t>;0.396</t>
  </si>
  <si>
    <t xml:space="preserve">Dhofar 458      </t>
  </si>
  <si>
    <t>;0.082</t>
  </si>
  <si>
    <t>;0.19</t>
  </si>
  <si>
    <t>WU-INAA, D345</t>
  </si>
  <si>
    <t>via regression @ 6.31 FeO</t>
  </si>
  <si>
    <t>;0.025</t>
  </si>
  <si>
    <t>WU-INAA, D353, Hsu</t>
  </si>
  <si>
    <t>WU-FB, Hsu</t>
  </si>
  <si>
    <t>MIL 05035</t>
  </si>
  <si>
    <t>LPSC 37; MB90</t>
  </si>
  <si>
    <t>LPSC 37; MB 90</t>
  </si>
  <si>
    <t>MetSoc 2006; MB 90</t>
  </si>
  <si>
    <t>MetSoc 2006; MB 91</t>
  </si>
  <si>
    <t>NWA 4485</t>
  </si>
  <si>
    <t>AMN</t>
  </si>
  <si>
    <t>check</t>
  </si>
  <si>
    <t>Altmann</t>
  </si>
  <si>
    <t>Dhofar 489 et al. mean</t>
  </si>
  <si>
    <t>Ba/La</t>
  </si>
  <si>
    <t>NWA 3163 new Ca</t>
  </si>
  <si>
    <t>NWA 3163c</t>
  </si>
  <si>
    <t>pair</t>
  </si>
  <si>
    <t>SaU</t>
  </si>
  <si>
    <t>NWA 2996</t>
  </si>
  <si>
    <t>;82</t>
  </si>
  <si>
    <t>&lt;0.5</t>
  </si>
  <si>
    <t>Bishoff</t>
  </si>
  <si>
    <t>Sm/Sc</t>
  </si>
  <si>
    <t>D355</t>
  </si>
  <si>
    <t>WU D349&amp;D355</t>
  </si>
  <si>
    <t>R^2</t>
  </si>
  <si>
    <t>Sm/CI(A&amp;G)</t>
  </si>
  <si>
    <t>Dhofar 0280 anom</t>
  </si>
  <si>
    <t>NWA 4472</t>
  </si>
  <si>
    <t>MB mingled</t>
  </si>
  <si>
    <t>NWA 4483</t>
  </si>
  <si>
    <t>Joy et al</t>
  </si>
  <si>
    <t>Ant - stone</t>
  </si>
  <si>
    <t>Austr - stone</t>
  </si>
  <si>
    <t>DaG 1042</t>
  </si>
  <si>
    <t>MB 91-2</t>
  </si>
  <si>
    <t>xx-May-06</t>
  </si>
  <si>
    <t>MB 91-2, LPSC38</t>
  </si>
  <si>
    <t>xx-Jul-06</t>
  </si>
  <si>
    <t>xx-Sep-2006</t>
  </si>
  <si>
    <t>Met Soc 2005; MB91-2</t>
  </si>
  <si>
    <t>Yanai &amp; Kojima 1991</t>
  </si>
  <si>
    <t>;0.5</t>
  </si>
  <si>
    <t>;0.17</t>
  </si>
  <si>
    <t>Asuka 31</t>
  </si>
  <si>
    <t>;0.4</t>
  </si>
  <si>
    <t>;0.29</t>
  </si>
  <si>
    <t>;0.15</t>
  </si>
  <si>
    <t xml:space="preserve"> </t>
  </si>
  <si>
    <t>;45.67</t>
  </si>
  <si>
    <t>;0.09</t>
  </si>
  <si>
    <t>;1.66</t>
  </si>
  <si>
    <t>;1.52</t>
  </si>
  <si>
    <t>;0.18</t>
  </si>
  <si>
    <t>;0.25</t>
  </si>
  <si>
    <t>Sc/TiO2</t>
  </si>
  <si>
    <t>Demidova et al. (2007)</t>
  </si>
  <si>
    <t>;0.28</t>
  </si>
  <si>
    <t>H2O</t>
  </si>
  <si>
    <t>superceded by Demidova</t>
  </si>
  <si>
    <t>;0.35</t>
  </si>
  <si>
    <t>1,2</t>
  </si>
  <si>
    <t>~20</t>
  </si>
  <si>
    <t>Kal 008</t>
  </si>
  <si>
    <t>Kal 009</t>
  </si>
  <si>
    <t>meteorite</t>
  </si>
  <si>
    <t>NWA 4472/4485</t>
  </si>
  <si>
    <t>NWA 4472+4485, Tony</t>
  </si>
  <si>
    <t>Turecki mingled oriented</t>
  </si>
  <si>
    <t>NEA 003 MB</t>
  </si>
  <si>
    <t>NEA 003 RB</t>
  </si>
  <si>
    <t>DaG 1048</t>
  </si>
  <si>
    <t>MB 92</t>
  </si>
  <si>
    <t>NWA 2995 pair</t>
  </si>
  <si>
    <t>Larkman Nunatak 06638</t>
  </si>
  <si>
    <t>GRA 06157</t>
  </si>
  <si>
    <t>NWA 6470</t>
  </si>
  <si>
    <t>NWA 6481</t>
  </si>
  <si>
    <t>M Altman / S Ralew (M10-81)</t>
  </si>
  <si>
    <t>NWA xxxx</t>
  </si>
  <si>
    <t>;0.1364</t>
  </si>
  <si>
    <t>LAR 06638</t>
  </si>
  <si>
    <t>;11.6</t>
  </si>
  <si>
    <t>;0.184</t>
  </si>
  <si>
    <t>;0.356</t>
  </si>
  <si>
    <t>;0.123</t>
  </si>
  <si>
    <t>;0.039</t>
  </si>
  <si>
    <t>;0.021</t>
  </si>
  <si>
    <t>;12.47</t>
  </si>
  <si>
    <t>;13.6</t>
  </si>
  <si>
    <t>;0.253</t>
  </si>
  <si>
    <t>AZ+WU, wt;d</t>
  </si>
  <si>
    <t>AZ</t>
  </si>
  <si>
    <t>;12.3</t>
  </si>
  <si>
    <t>;12.8</t>
  </si>
  <si>
    <t>new</t>
  </si>
  <si>
    <t>WU-FB, norm</t>
  </si>
  <si>
    <t>;0.399</t>
  </si>
  <si>
    <t>;0.347</t>
  </si>
  <si>
    <t>NWA032/479 mean</t>
  </si>
  <si>
    <t>;0.536</t>
  </si>
  <si>
    <t>;11.4</t>
  </si>
  <si>
    <t>;0.161</t>
  </si>
  <si>
    <t>;0.072</t>
  </si>
  <si>
    <t>Turecki basalt</t>
  </si>
  <si>
    <t>;19.8</t>
  </si>
  <si>
    <t>;0.298</t>
  </si>
  <si>
    <t>;11.65</t>
  </si>
  <si>
    <t>;13.9</t>
  </si>
  <si>
    <t>NWA 4734</t>
  </si>
  <si>
    <t>Jambon et al</t>
  </si>
  <si>
    <t>howardite</t>
  </si>
  <si>
    <t>SaU 169</t>
  </si>
  <si>
    <t>;1.14</t>
  </si>
  <si>
    <t>NWA 4819 (#1100)</t>
  </si>
  <si>
    <t>Y-82/86 new mean</t>
  </si>
  <si>
    <t>ME from regression</t>
  </si>
  <si>
    <t>Yamato 82/86</t>
  </si>
  <si>
    <t>zr/hf</t>
  </si>
  <si>
    <t>;13.1</t>
  </si>
  <si>
    <t>NWA 4898 [RA 616]</t>
  </si>
  <si>
    <t>NWA 4884</t>
  </si>
  <si>
    <t xml:space="preserve">NWA 4898 </t>
  </si>
  <si>
    <t>Sc1</t>
  </si>
  <si>
    <t>Cr1</t>
  </si>
  <si>
    <t>Sr2</t>
  </si>
  <si>
    <t>b.d.</t>
  </si>
  <si>
    <t>n.m.</t>
  </si>
  <si>
    <t>Joy et al (2010) M&amp;PS 45, 917-946</t>
  </si>
  <si>
    <t>mean of 3</t>
  </si>
  <si>
    <t>Joy et al (2008)</t>
  </si>
  <si>
    <t>craters&gt;</t>
  </si>
  <si>
    <t>craters&lt;</t>
  </si>
  <si>
    <t>Met.Bull.</t>
  </si>
  <si>
    <t>Shişr</t>
  </si>
  <si>
    <t>JaH</t>
  </si>
  <si>
    <t>18º24.2'N 54º09.1'E</t>
  </si>
  <si>
    <t>18º13.6'N 54º06.7'E</t>
  </si>
  <si>
    <t>19°19.32'N 54°46.96'E</t>
  </si>
  <si>
    <t>19°19.6'N 54°47.0'E</t>
  </si>
  <si>
    <t>18°24.2'N 54°08.8'E</t>
  </si>
  <si>
    <t>18°24.1' N, 54°08.9' E</t>
  </si>
  <si>
    <t>19°19.6' N, 54°47.1' E</t>
  </si>
  <si>
    <t>19°19.8' N, 54°47.0' E</t>
  </si>
  <si>
    <t>18°24.2'N, 54°09.0'E</t>
  </si>
  <si>
    <t>19°19.8'N, 54°47.0'E</t>
  </si>
  <si>
    <t>19°19.7'N, 54°47.1'E</t>
  </si>
  <si>
    <t>19°19.7'N, 54°46.9'E</t>
  </si>
  <si>
    <t>18º24.2' N, 54º09.0' E</t>
  </si>
  <si>
    <t>19°19.6' N, 54°47.3' E</t>
  </si>
  <si>
    <t>19°19.7' N, 54°47.1' E</t>
  </si>
  <si>
    <t>19°19.6' N, 54°47.0' E</t>
  </si>
  <si>
    <t>18°14.901' 54°00.096'</t>
  </si>
  <si>
    <t>18°14.917' 54°00.145'</t>
  </si>
  <si>
    <t>18°14.914' 54°00.202'</t>
  </si>
  <si>
    <t>18°14.965' 54°00.436'</t>
  </si>
  <si>
    <t>18°14.682' 53°59.868'</t>
  </si>
  <si>
    <t>18°14.800' 54°00.113'</t>
  </si>
  <si>
    <t>18°14.808' 54°00.145'</t>
  </si>
  <si>
    <t>18°14.976' 53°59.662'</t>
  </si>
  <si>
    <t>18°14.833' 54°00.377'</t>
  </si>
  <si>
    <t>18°14.814' 53°59.772'</t>
  </si>
  <si>
    <t>18°15.226' 54°00.046'</t>
  </si>
  <si>
    <t>18°15.390' 53°59.525'</t>
  </si>
  <si>
    <t>19°25' N, 54°35' E</t>
  </si>
  <si>
    <t>18°43.00'N 54°27.00'E</t>
  </si>
  <si>
    <t>19°19.5' N, 54°47.5' E</t>
  </si>
  <si>
    <t>19°20.0' N, 54°47.7' E</t>
  </si>
  <si>
    <t>18°35.3' N, 54°13.8' E</t>
  </si>
  <si>
    <t>19°19.9', 54°47.0'</t>
  </si>
  <si>
    <t>19°19.809' 54°46.783'</t>
  </si>
  <si>
    <t>19°19.904' 54°46.734'</t>
  </si>
  <si>
    <t>19°19.9' 54°46.6'</t>
  </si>
  <si>
    <t>19o23.8′ N, 54o33.8′E</t>
  </si>
  <si>
    <t>19°19.5'N,54°46.9E</t>
  </si>
  <si>
    <t>19°23.8'N,54°33.5'E</t>
  </si>
  <si>
    <t>19°23.9'N,54°33.8'E</t>
  </si>
  <si>
    <t>18°43.326',54°27.646'</t>
  </si>
  <si>
    <t>19°19.686',54°46.631'</t>
  </si>
  <si>
    <t>19°19.605'N,54°46.507'E</t>
  </si>
  <si>
    <t>18°25.4'N, 54 25.4'E</t>
  </si>
  <si>
    <t>19°17.5’ N  54°34.4’ E</t>
  </si>
  <si>
    <t>(18° 25' 0"N, 54° 25' 30"E)</t>
  </si>
  <si>
    <t>20°34.391′N, 57°19.400′E</t>
  </si>
  <si>
    <t>21°00′23.6′′N, 57°20′03.9′′E</t>
  </si>
  <si>
    <t>21°2.4'N, 57°18.9'E</t>
  </si>
  <si>
    <t>18° 20' 11"N, 53° 20' 1"E)</t>
  </si>
  <si>
    <t>18°36.25' N, '53°54.88' E</t>
  </si>
  <si>
    <t>~18°34' N, ~53°50' E</t>
  </si>
  <si>
    <t> 19° 32' 1"N, 55° 7' 8"E</t>
  </si>
  <si>
    <t> 18° 32' 56.68"N, 53° 58' 40.73"E</t>
  </si>
  <si>
    <t>Lab euc</t>
  </si>
  <si>
    <t> 20° 59' 30.02"N, 57° 11' 48.33"E</t>
  </si>
  <si>
    <t>N19.00.645 - E54.32.246</t>
  </si>
  <si>
    <t>Oman meteorites</t>
  </si>
  <si>
    <t>Dhofar field</t>
  </si>
  <si>
    <t>by weighing paper</t>
  </si>
  <si>
    <t>g/km^2</t>
  </si>
  <si>
    <t>y</t>
  </si>
  <si>
    <t>terr age Dhofar 025</t>
  </si>
  <si>
    <t>g/km^2/year</t>
  </si>
  <si>
    <t>earth's surface</t>
  </si>
  <si>
    <t>g/year</t>
  </si>
  <si>
    <t>Dhofar 925/960/961</t>
  </si>
  <si>
    <t>Dho 1527</t>
  </si>
  <si>
    <t>Dho 1528</t>
  </si>
  <si>
    <t>;0.073</t>
  </si>
  <si>
    <t>;0.185</t>
  </si>
  <si>
    <t xml:space="preserve">Dhofar 1436 </t>
  </si>
  <si>
    <t>#1107</t>
  </si>
  <si>
    <t>#1100</t>
  </si>
  <si>
    <t>#1195</t>
  </si>
  <si>
    <t>#1196</t>
  </si>
  <si>
    <t>#1197</t>
  </si>
  <si>
    <t>#1004</t>
  </si>
  <si>
    <t>#1214 D Pitt</t>
  </si>
  <si>
    <t>name</t>
  </si>
  <si>
    <t>NWA 6721</t>
  </si>
  <si>
    <t>AJI</t>
  </si>
  <si>
    <t>NWA #104A</t>
  </si>
  <si>
    <t>NWA 6888</t>
  </si>
  <si>
    <t>MB 100</t>
  </si>
  <si>
    <t>cometshopnew</t>
  </si>
  <si>
    <t>Serge Afanasyev</t>
  </si>
  <si>
    <t>NWA 6950</t>
  </si>
  <si>
    <t>2 + pieces</t>
  </si>
  <si>
    <t>NWA 6831</t>
  </si>
  <si>
    <t>Dho 1436/1443</t>
  </si>
  <si>
    <t>NWA 6252</t>
  </si>
  <si>
    <t>NWA 7007</t>
  </si>
  <si>
    <t>NWA 3170</t>
  </si>
  <si>
    <t>NWA 7022</t>
  </si>
  <si>
    <t>DaG 1058</t>
  </si>
  <si>
    <t>Dhofar 1627</t>
  </si>
  <si>
    <t>Lukasz Smula</t>
  </si>
  <si>
    <t>18°54′52'′′N, 54°20′42′′E</t>
  </si>
  <si>
    <t>18°53.44′N, 54°20.36′E</t>
  </si>
  <si>
    <t>includes Mani sample</t>
  </si>
  <si>
    <t>DaG 400 pair Sergey Vasliev, 25 stones</t>
  </si>
  <si>
    <t>NWA 6687</t>
  </si>
  <si>
    <t>CometShop</t>
  </si>
  <si>
    <t>Utas dilithologic</t>
  </si>
  <si>
    <t>Dho 1627</t>
  </si>
  <si>
    <t>19 23' 22.25" N 54 28' 0.93" E</t>
  </si>
  <si>
    <t>18°28'7.62"N, 54°10'29.54"E</t>
  </si>
  <si>
    <t>Dhofar 1629</t>
  </si>
  <si>
    <t>;18.5</t>
  </si>
  <si>
    <t>NWA 0032/479</t>
  </si>
  <si>
    <t>Dhofar 0925/960</t>
  </si>
  <si>
    <t>KREEP</t>
  </si>
  <si>
    <t>DaG 0262</t>
  </si>
  <si>
    <t>DaG 0996</t>
  </si>
  <si>
    <t>;0.049</t>
  </si>
  <si>
    <t>;0.075</t>
  </si>
  <si>
    <t>;0.052</t>
  </si>
  <si>
    <t>Dag 400/1058</t>
  </si>
  <si>
    <t>;0.58</t>
  </si>
  <si>
    <t>;0.34</t>
  </si>
  <si>
    <t>Al2O3 vs FeO+MgO</t>
  </si>
  <si>
    <t>simple</t>
  </si>
  <si>
    <t>Dhofar 025/301/304 sample wt'd mean</t>
  </si>
  <si>
    <t>Dhofar 026/458/461</t>
  </si>
  <si>
    <t>D353</t>
  </si>
  <si>
    <t>Dhofar 280 best</t>
  </si>
  <si>
    <t>Dhofar 081 best</t>
  </si>
  <si>
    <t>Warren &amp; Bridges (2004)</t>
  </si>
  <si>
    <t>;11.87</t>
  </si>
  <si>
    <t>;0.832</t>
  </si>
  <si>
    <t>N = 22</t>
  </si>
  <si>
    <r>
      <t>Dhofar 490/1084</t>
    </r>
    <r>
      <rPr>
        <b/>
        <sz val="10"/>
        <rFont val="Calibri"/>
        <family val="2"/>
      </rPr>
      <t>©</t>
    </r>
  </si>
  <si>
    <t>;0.135</t>
  </si>
  <si>
    <t>NWA 3163/4483/4881/6275</t>
  </si>
  <si>
    <t>;31</t>
  </si>
  <si>
    <t>WU-FB, est</t>
  </si>
  <si>
    <t>NWA 4936 et al</t>
  </si>
  <si>
    <t>NWA 7022 brx</t>
  </si>
  <si>
    <t>NWA 7022 clast</t>
  </si>
  <si>
    <t>INAA mass wt'd</t>
  </si>
  <si>
    <t>Dhofar 925/960</t>
  </si>
  <si>
    <t>NWA 7190</t>
  </si>
  <si>
    <t>#104A</t>
  </si>
  <si>
    <t>Kurz X12A</t>
  </si>
  <si>
    <t>Kurz X114</t>
  </si>
  <si>
    <t>Kurz X115</t>
  </si>
  <si>
    <t>Rainer Bartoschewitz</t>
  </si>
  <si>
    <t>18.460 N, 54.058 E</t>
  </si>
  <si>
    <t>NWA 7274</t>
  </si>
  <si>
    <t>RC23.1</t>
  </si>
  <si>
    <t>M1352</t>
  </si>
  <si>
    <t>NWA 7262</t>
  </si>
  <si>
    <t>18°42′40.9'′′N, 54°09′26.3′′E</t>
  </si>
  <si>
    <t>18°42′40.4'′′N, 54°09′37.1′′E</t>
  </si>
  <si>
    <t>18°42′41.4'′′N, 54°09′25.2′′E</t>
  </si>
  <si>
    <t>NWA 2998 pair (M1352)</t>
  </si>
  <si>
    <t>Smula 2012</t>
  </si>
  <si>
    <t>feet</t>
  </si>
  <si>
    <t>meter</t>
  </si>
  <si>
    <t>Lynch 002</t>
  </si>
  <si>
    <t>Dhofar xxxx</t>
  </si>
  <si>
    <t>NWA 7173</t>
  </si>
  <si>
    <t>EET87/96 simple mean</t>
  </si>
  <si>
    <t>Liu et al. (2009)</t>
  </si>
  <si>
    <t>RC29.1 AJI - mingled RB</t>
  </si>
  <si>
    <t>L Smula &amp; M Cimala</t>
  </si>
  <si>
    <t>O-61</t>
  </si>
  <si>
    <t>O-62</t>
  </si>
  <si>
    <t>Dhofar 1669</t>
  </si>
  <si>
    <t>Luc Labenne</t>
  </si>
  <si>
    <t>Chris Herd</t>
  </si>
  <si>
    <t>Dhofar 1673</t>
  </si>
  <si>
    <t>MM-42</t>
  </si>
  <si>
    <t>Carl Agee</t>
  </si>
  <si>
    <t>DaG 0400</t>
  </si>
  <si>
    <t>18.425 N, 54.158 E</t>
  </si>
  <si>
    <t>Dho 1629</t>
  </si>
  <si>
    <t>RC29.1</t>
  </si>
  <si>
    <t xml:space="preserve">NWA 7493 </t>
  </si>
  <si>
    <t>NWA 7493</t>
  </si>
  <si>
    <t>another "secretive" guy from Poland; N Classen</t>
  </si>
  <si>
    <t>MB 101</t>
  </si>
  <si>
    <t>Norbert Classen</t>
  </si>
  <si>
    <t>NWA 773 pair</t>
  </si>
  <si>
    <t>stone mass</t>
  </si>
  <si>
    <t>~66</t>
  </si>
  <si>
    <t>#107, Matt Morgan, most at UNM (MM-42) bimodal</t>
  </si>
  <si>
    <t>NWA 7611</t>
  </si>
  <si>
    <t>DaG 1058 (400)</t>
  </si>
  <si>
    <t>aliases for hot-desert meteorites</t>
  </si>
  <si>
    <t>alias</t>
  </si>
  <si>
    <t>M1040 new from Ted Bunch, NWA 2995 look-alike</t>
  </si>
  <si>
    <t>AJI - likely NWA 4936 pair (Matt Morgan)</t>
  </si>
  <si>
    <t>AJI - Jason Utas, maybe NWA 319x (M09-55)</t>
  </si>
  <si>
    <t>M1060 new from Ted Bunch, NWA 2995 look-alike Aaronson</t>
  </si>
  <si>
    <t>M1080 AJI NWA 2995 look-alike  Aaronson</t>
  </si>
  <si>
    <t>NAU 1438, M1180</t>
  </si>
  <si>
    <t>Labenne / Bizzarro</t>
  </si>
  <si>
    <t>NWA 2995 pair?</t>
  </si>
  <si>
    <t>unnamed #</t>
  </si>
  <si>
    <t>RC30.1 AJI, JP-20</t>
  </si>
  <si>
    <t>Elardo subm 2012</t>
  </si>
  <si>
    <t>Dhofar 081/ 280/ 910/ 1224</t>
  </si>
  <si>
    <t>MacAlpine Hills 88104/ 88105</t>
  </si>
  <si>
    <t>Yamato 82192/ 82193/ 86032</t>
  </si>
  <si>
    <t>Dhofar 1436/ 1443</t>
  </si>
  <si>
    <t>Allan Hills A81005</t>
  </si>
  <si>
    <t>Dhofar 925/ 960/ 961</t>
  </si>
  <si>
    <t>Yamato 793274/ 981031</t>
  </si>
  <si>
    <t>Kalahari 008/ 009</t>
  </si>
  <si>
    <t>[unnamed] ("specimen 1153")</t>
  </si>
  <si>
    <t>NWA 7173 [Galb Inal provisional]</t>
  </si>
  <si>
    <t>[unnamed 04] NWA Turecki oriented</t>
  </si>
  <si>
    <t>[unnamed 43] NWA RC29.1</t>
  </si>
  <si>
    <t>source craters min</t>
  </si>
  <si>
    <t>source craters max</t>
  </si>
  <si>
    <t>QUE 93069/ 94269</t>
  </si>
  <si>
    <t>NWA 032/ 479</t>
  </si>
  <si>
    <t>NWA 2995/ 2996/ 3190/ 4503/ 5151/ 5152/ 6252/ 6554/ 6555/ [6831 provisional]/ [unnamed 3]/ [unnamed 12]/</t>
  </si>
  <si>
    <t>NWA 2998/ 7262</t>
  </si>
  <si>
    <t>NWA 3163/ 4483/ 4881/ 6275</t>
  </si>
  <si>
    <t>NWA 4472/ 4485</t>
  </si>
  <si>
    <t>NWA 4936/ 5406/ 6221/ 6355/ 6470/ 6570/ 7190</t>
  </si>
  <si>
    <t>NWA 773/ 2700/ 2727/ 2977/ 3160/ 3170 / 3333/ 6950/ 7007/ Anoual</t>
  </si>
  <si>
    <t>DaG 262/ 996/ 1042/ 1048</t>
  </si>
  <si>
    <t>DaG 400/ 1058</t>
  </si>
  <si>
    <t>EET 87521/ 96008</t>
  </si>
  <si>
    <t>LAP 02205/ 02224/ 02226/ 02436/ 03632/ 04841</t>
  </si>
  <si>
    <t>MAC 88104/ 88105</t>
  </si>
  <si>
    <t>MIL 090034/090070/ 090075</t>
  </si>
  <si>
    <t>Dhofar 0490/ 1084</t>
  </si>
  <si>
    <t>Dhofar 0925/ 960/ 961</t>
  </si>
  <si>
    <t>Dhofar 0025/ 301/ 304/ 308</t>
  </si>
  <si>
    <t>Dhofar 0026/ 457/ 458/ 459/ 460/ 461/ 462/ 463/ 464/ 465/ 466/ 467/ 468/ 1669</t>
  </si>
  <si>
    <t>Kurz X12a, X14, X15 R. Bartoschewitz</t>
  </si>
  <si>
    <t>Labenne / Bizzarro / Haack</t>
  </si>
  <si>
    <t>M09-55 Jason Utas</t>
  </si>
  <si>
    <t>M1040 from Ted Bunch</t>
  </si>
  <si>
    <t>M1060 from Ted Bunch</t>
  </si>
  <si>
    <t xml:space="preserve">M1080 </t>
  </si>
  <si>
    <t>O-61, Farmer &amp; Ward</t>
  </si>
  <si>
    <t>O-62, Farmer &amp; Ward</t>
  </si>
  <si>
    <t>Smula</t>
  </si>
  <si>
    <t>MAC88104</t>
  </si>
  <si>
    <t>first INAA sample</t>
  </si>
  <si>
    <t>D377</t>
  </si>
  <si>
    <t>D376</t>
  </si>
  <si>
    <t>D375</t>
  </si>
  <si>
    <t>D374</t>
  </si>
  <si>
    <t>D373</t>
  </si>
  <si>
    <t>D372</t>
  </si>
  <si>
    <t>D370</t>
  </si>
  <si>
    <t>irrad begin</t>
  </si>
  <si>
    <t>D369</t>
  </si>
  <si>
    <t>D367</t>
  </si>
  <si>
    <t>D366</t>
  </si>
  <si>
    <t>D365</t>
  </si>
  <si>
    <t>D364</t>
  </si>
  <si>
    <t>D363</t>
  </si>
  <si>
    <t>D362</t>
  </si>
  <si>
    <t>NWA 7834</t>
  </si>
  <si>
    <t>NEA 001 pair</t>
  </si>
  <si>
    <t>AJI, S Morocco</t>
  </si>
  <si>
    <t>NWA 7868</t>
  </si>
  <si>
    <t>D358</t>
  </si>
  <si>
    <t>D359</t>
  </si>
  <si>
    <t>D361</t>
  </si>
  <si>
    <t>D352</t>
  </si>
  <si>
    <t>D357</t>
  </si>
  <si>
    <t>D345</t>
  </si>
  <si>
    <t>D347</t>
  </si>
  <si>
    <t>D342</t>
  </si>
  <si>
    <t>D351</t>
  </si>
  <si>
    <t>D339</t>
  </si>
  <si>
    <t>D336</t>
  </si>
  <si>
    <t>D333</t>
  </si>
  <si>
    <t>D334</t>
  </si>
  <si>
    <t>D332</t>
  </si>
  <si>
    <t>D329</t>
  </si>
  <si>
    <t>D311</t>
  </si>
  <si>
    <t>D304</t>
  </si>
  <si>
    <t>D271</t>
  </si>
  <si>
    <t>D268</t>
  </si>
  <si>
    <t>D238</t>
  </si>
  <si>
    <t>D227</t>
  </si>
  <si>
    <t>D161</t>
  </si>
  <si>
    <t>D115</t>
  </si>
  <si>
    <t>NWA 7931</t>
  </si>
  <si>
    <t>NWA 7948</t>
  </si>
  <si>
    <t>NWA 7959</t>
  </si>
  <si>
    <t>D378</t>
  </si>
  <si>
    <t>fine-grained brx with big gabbro clast "eyeball"</t>
  </si>
  <si>
    <t>NWA RA13-2, NWA 4936 pair ?</t>
  </si>
  <si>
    <t>NWA 7986</t>
  </si>
  <si>
    <t>NWA 8001</t>
  </si>
  <si>
    <t>NWA DP129 (729?), forsterite-bearing, NWA 3136 like</t>
  </si>
  <si>
    <t>Dhofar 1766</t>
  </si>
  <si>
    <t>NWA 8022</t>
  </si>
  <si>
    <t>RA13-2</t>
  </si>
  <si>
    <t>M1580</t>
  </si>
  <si>
    <t>MH13-1</t>
  </si>
  <si>
    <t xml:space="preserve">#137 </t>
  </si>
  <si>
    <t>AJI, ferroan granulite, M1558, , Adam Aaronson</t>
  </si>
  <si>
    <t>NWA 8046</t>
  </si>
  <si>
    <t>NWA 8055</t>
  </si>
  <si>
    <t>NWA 8010</t>
  </si>
  <si>
    <t>D379</t>
  </si>
  <si>
    <t xml:space="preserve">RC49.1, maskelynite granulite,  Mauritania </t>
  </si>
  <si>
    <t>Beda Hoffman</t>
  </si>
  <si>
    <t>O-30</t>
  </si>
  <si>
    <t>D371</t>
  </si>
  <si>
    <t>NWA 8127</t>
  </si>
  <si>
    <t>M1580 Adam Aaronson</t>
  </si>
  <si>
    <t>7834 pair, from Mauritania, RC39.1</t>
  </si>
  <si>
    <t xml:space="preserve">S12-011 </t>
  </si>
  <si>
    <t>lab name #138, Stefan Ralew?</t>
  </si>
  <si>
    <t>Nagaoka et al (2013) M&amp;PS</t>
  </si>
  <si>
    <t>MB102</t>
  </si>
  <si>
    <t>MB 103</t>
  </si>
  <si>
    <t>NWA 8181</t>
  </si>
  <si>
    <t>M1633, feldspathic, Adam Aaronson</t>
  </si>
  <si>
    <t>Abar al' Uj 012</t>
  </si>
  <si>
    <t>NWA 8182</t>
  </si>
  <si>
    <t>Morgan &amp; Agee</t>
  </si>
  <si>
    <t>NWA 8222</t>
  </si>
  <si>
    <t>NWA 4936 pair, Fabien Kunz</t>
  </si>
  <si>
    <t>D380</t>
  </si>
  <si>
    <t>AuU 012</t>
  </si>
  <si>
    <t>22°23.999’N, 48°42.409’E</t>
  </si>
  <si>
    <t>AaU</t>
  </si>
  <si>
    <t>NWA 8306</t>
  </si>
  <si>
    <t>NWA 8277</t>
  </si>
  <si>
    <t>Aaronson &amp; Agee = SH13-1, via AJI</t>
  </si>
  <si>
    <t>SH26</t>
  </si>
  <si>
    <t>SH27</t>
  </si>
  <si>
    <t>MAC41</t>
  </si>
  <si>
    <t>MA154</t>
  </si>
  <si>
    <t>MA167</t>
  </si>
  <si>
    <t>SH25, was in epoxy</t>
  </si>
  <si>
    <t>MA150 GrBrx</t>
  </si>
  <si>
    <t>MA164, troct GrBrx, same as YAE</t>
  </si>
  <si>
    <t>YAE(14)1, troct GrBrx, same as MA164</t>
  </si>
  <si>
    <t>MA150</t>
  </si>
  <si>
    <t>MAC42</t>
  </si>
  <si>
    <t>Paul Sipiera</t>
  </si>
  <si>
    <t>16120,  "Russian Omani"</t>
  </si>
  <si>
    <t>1132,  M777</t>
  </si>
  <si>
    <t>1200T,  D Pitt</t>
  </si>
  <si>
    <t>08P, Ph Mani</t>
  </si>
  <si>
    <t>Real Name</t>
  </si>
  <si>
    <t>Alias</t>
  </si>
  <si>
    <t>NAU #1107, #1120</t>
  </si>
  <si>
    <t>#1195, Ali Hmani</t>
  </si>
  <si>
    <t xml:space="preserve">1197, </t>
  </si>
  <si>
    <t>O-30, Farmer &amp; Ward, Dhofar 1673 pair</t>
  </si>
  <si>
    <t>Aaronson &amp; Agee = SH13-1, via AJI, NWA 4884 pair</t>
  </si>
  <si>
    <t>DEW 12007</t>
  </si>
  <si>
    <t>NWA 8455</t>
  </si>
  <si>
    <t>AJI French collector</t>
  </si>
  <si>
    <t>MA155, Aid</t>
  </si>
  <si>
    <t>Oued Awlitis 001</t>
  </si>
  <si>
    <t>K228</t>
  </si>
  <si>
    <t>K229</t>
  </si>
  <si>
    <t>MA137, #137, mare basalt</t>
  </si>
  <si>
    <t>SH13-1</t>
  </si>
  <si>
    <t>D381</t>
  </si>
  <si>
    <t>Italian (Moggi Cecchi)</t>
  </si>
  <si>
    <t>K232</t>
  </si>
  <si>
    <t>MAC58</t>
  </si>
  <si>
    <t>JaH 838</t>
  </si>
  <si>
    <t>Steve Arnold</t>
  </si>
  <si>
    <t>SaU XXX</t>
  </si>
  <si>
    <t>Y01</t>
  </si>
  <si>
    <t>N19°22.044, E55°28.85</t>
  </si>
  <si>
    <t>Dho 1669</t>
  </si>
  <si>
    <t>Dho 1766</t>
  </si>
  <si>
    <t>Dho 0025</t>
  </si>
  <si>
    <t>Dho 0026</t>
  </si>
  <si>
    <t>Dho 0081</t>
  </si>
  <si>
    <t>Dho 0280</t>
  </si>
  <si>
    <t>Dho 0301</t>
  </si>
  <si>
    <t>Dho 0304</t>
  </si>
  <si>
    <t>Dho 0303</t>
  </si>
  <si>
    <t>Dho 0305</t>
  </si>
  <si>
    <t>Dho 0306</t>
  </si>
  <si>
    <t>Dho 0307</t>
  </si>
  <si>
    <t>Dho 0308</t>
  </si>
  <si>
    <t>Dho 0309</t>
  </si>
  <si>
    <t>Dho 0310</t>
  </si>
  <si>
    <t>Dho 0311</t>
  </si>
  <si>
    <t>Dho 0457</t>
  </si>
  <si>
    <t>Dho 0458</t>
  </si>
  <si>
    <t>Dho 0459</t>
  </si>
  <si>
    <t>Dho 0460</t>
  </si>
  <si>
    <t>Dho 0461</t>
  </si>
  <si>
    <t>Dho 0462</t>
  </si>
  <si>
    <t>Dho 0463</t>
  </si>
  <si>
    <t>Dho 0464</t>
  </si>
  <si>
    <t>Dho 0465</t>
  </si>
  <si>
    <t>Dho 0466</t>
  </si>
  <si>
    <t>Dho 0467</t>
  </si>
  <si>
    <t>Dho 0468</t>
  </si>
  <si>
    <t>Dho 0489</t>
  </si>
  <si>
    <t>Dho 0490</t>
  </si>
  <si>
    <t>Dho 0730</t>
  </si>
  <si>
    <t>Dho 0731</t>
  </si>
  <si>
    <t>Dho 0733</t>
  </si>
  <si>
    <t>Dho 0908</t>
  </si>
  <si>
    <t>Dho 0909</t>
  </si>
  <si>
    <t>Dho 0910</t>
  </si>
  <si>
    <t>Dho 0911</t>
  </si>
  <si>
    <t>Dho 0925</t>
  </si>
  <si>
    <t>Dho 0950</t>
  </si>
  <si>
    <t>Dho 0960</t>
  </si>
  <si>
    <t>Dho 0961</t>
  </si>
  <si>
    <t>Dho 1084</t>
  </si>
  <si>
    <t>Dho 1085</t>
  </si>
  <si>
    <t>Dho 1224</t>
  </si>
  <si>
    <t>Dho 1436</t>
  </si>
  <si>
    <t>Dho 1443</t>
  </si>
  <si>
    <t>Dho 1673 O-61 15-g</t>
  </si>
  <si>
    <t>18.592°N, 54.271°E</t>
  </si>
  <si>
    <t>Mauritania</t>
  </si>
  <si>
    <t>NWA 8599</t>
  </si>
  <si>
    <t>Aaronson &amp; Agee</t>
  </si>
  <si>
    <t>D382</t>
  </si>
  <si>
    <t>NWA 8607</t>
  </si>
  <si>
    <t>NWA 8609</t>
  </si>
  <si>
    <t>M Morgan &amp; Agee</t>
  </si>
  <si>
    <t>NWA 8586</t>
  </si>
  <si>
    <t>Doug Ross</t>
  </si>
  <si>
    <t>D383</t>
  </si>
  <si>
    <t>Met Bull</t>
  </si>
  <si>
    <t>Dhofar 1980</t>
  </si>
  <si>
    <t>NWA 8632</t>
  </si>
  <si>
    <t>NWA 8641</t>
  </si>
  <si>
    <t>RC56.2</t>
  </si>
  <si>
    <t>RC58.6</t>
  </si>
  <si>
    <t>SVMJ14-2, stone A</t>
  </si>
  <si>
    <t>SVMJ14-2, stone B</t>
  </si>
  <si>
    <t>Lukas Smula C63, Dho 1627 pair</t>
  </si>
  <si>
    <t>OB33 A Jambon: "Galb Inal"</t>
  </si>
  <si>
    <t>O-30, Dhofar 1673 pair, from Chris Herd</t>
  </si>
  <si>
    <t>O-62, Dhofar 1673 pair, from Chris Herd</t>
  </si>
  <si>
    <t>NWA 8668</t>
  </si>
  <si>
    <t>NWA 8673</t>
  </si>
  <si>
    <t>NWA 8682</t>
  </si>
  <si>
    <t>Agee, J Piatek - MA167</t>
  </si>
  <si>
    <t>NWA 8651</t>
  </si>
  <si>
    <t>NWA 8687</t>
  </si>
  <si>
    <t>K228 (8455)</t>
  </si>
  <si>
    <t>YAE(14)5 Steve Arnold (8641 &amp; 8682)</t>
  </si>
  <si>
    <t>5744 pair Aaronson &amp; Agee</t>
  </si>
  <si>
    <t>NWA 8701</t>
  </si>
  <si>
    <t>Dhofar 1983</t>
  </si>
  <si>
    <t>Dhofar 1984</t>
  </si>
  <si>
    <t>Mount DeWitt 12007</t>
  </si>
  <si>
    <t>MAC79</t>
  </si>
  <si>
    <t>AB14-5, Casablanca &amp; November</t>
  </si>
  <si>
    <t>SH26 Hadanny, Casablanca &amp; November</t>
  </si>
  <si>
    <t>RC62.2, Casablanca &amp; November = GF14-3</t>
  </si>
  <si>
    <t>M1780</t>
  </si>
  <si>
    <t>RC70.6</t>
  </si>
  <si>
    <t>MH13-1 AJI,  Mike Hankey</t>
  </si>
  <si>
    <t>Chinese (5744 pair?)</t>
  </si>
  <si>
    <t>Dhofar AHID, 303 pair Norbert Classen</t>
  </si>
  <si>
    <t>Dhofar 4.8-g Marcin Stolarz</t>
  </si>
  <si>
    <t>MAC41 (8641 &amp; 8682 pair)</t>
  </si>
  <si>
    <t>YAE(14)5 Steve Arnold (8641 pair)</t>
  </si>
  <si>
    <t>NWA RA13-2, NWA 4936 pair</t>
  </si>
  <si>
    <t>lab name #138, Stefan Ralew</t>
  </si>
  <si>
    <t>Y01, D. Pitt</t>
  </si>
  <si>
    <t>Stan Turecki</t>
  </si>
  <si>
    <t>SVMJ14-2, stone D</t>
  </si>
  <si>
    <t>MAC79 D Pitt</t>
  </si>
  <si>
    <t>AD14-A</t>
  </si>
  <si>
    <t>D384</t>
  </si>
  <si>
    <t>SVMJ 14-2 A</t>
  </si>
  <si>
    <t>SVMJ 14-2 B</t>
  </si>
  <si>
    <t>SVMJ 14-2 D</t>
  </si>
  <si>
    <t>NWA 8746</t>
  </si>
  <si>
    <t>NWA 8753</t>
  </si>
  <si>
    <t>RC62.1 MAC0075 D Pitt</t>
  </si>
  <si>
    <t>NWA 8727</t>
  </si>
  <si>
    <t>NWA 8783</t>
  </si>
  <si>
    <t>NWA 8733</t>
  </si>
  <si>
    <t>MB 104</t>
  </si>
  <si>
    <t>found/ purchased</t>
  </si>
  <si>
    <t>announced/ approved</t>
  </si>
  <si>
    <t>WU FB, assume bad CaO</t>
  </si>
  <si>
    <t>;0.102036775680533</t>
  </si>
  <si>
    <t>Dho 1983 O-30 57-2</t>
  </si>
  <si>
    <t>Dho 1984 O-62 31-g</t>
  </si>
  <si>
    <t>Dho 1980</t>
  </si>
  <si>
    <t> 19°0.643’N, 54°32.242’E</t>
  </si>
  <si>
    <t>Dhofar 1769</t>
  </si>
  <si>
    <t> 18°20.4’N , 54°12.8’E</t>
  </si>
  <si>
    <t>AN-1</t>
  </si>
  <si>
    <t>AJI, Paul C</t>
  </si>
  <si>
    <t>NWA 10073</t>
  </si>
  <si>
    <t>AA15-1</t>
  </si>
  <si>
    <t>NWA 10065</t>
  </si>
  <si>
    <t>NWA 10077</t>
  </si>
  <si>
    <t>NWA 10082</t>
  </si>
  <si>
    <t>M1633</t>
  </si>
  <si>
    <t>NWA 10048</t>
  </si>
  <si>
    <t>NWA 10049</t>
  </si>
  <si>
    <t>D385</t>
  </si>
  <si>
    <t>MAC132</t>
  </si>
  <si>
    <t>AB14-5 Sept</t>
  </si>
  <si>
    <t>AB14-5 Nov</t>
  </si>
  <si>
    <t>AB14-5 Sept/March</t>
  </si>
  <si>
    <t>YAE(14)5 original</t>
  </si>
  <si>
    <t>YAE(14)5 A stone</t>
  </si>
  <si>
    <t>YAE(14)5 D stone</t>
  </si>
  <si>
    <t>YAE(14)5 E stone</t>
  </si>
  <si>
    <t>March</t>
  </si>
  <si>
    <t>NOT MA174 Carl Agee has this, too</t>
  </si>
  <si>
    <t>8455?</t>
  </si>
  <si>
    <t>NWA 1XXXX</t>
  </si>
  <si>
    <t>AaU 012</t>
  </si>
  <si>
    <t>Dhofar 00287</t>
  </si>
  <si>
    <t>Dhofar 00301</t>
  </si>
  <si>
    <t>NWA 04881</t>
  </si>
  <si>
    <t>NWA 00032</t>
  </si>
  <si>
    <t>NWA 02200</t>
  </si>
  <si>
    <t>NWA 02700</t>
  </si>
  <si>
    <t>NWA 02727</t>
  </si>
  <si>
    <t>NWA 02977</t>
  </si>
  <si>
    <t>NWA 02995</t>
  </si>
  <si>
    <t>NWA 02996</t>
  </si>
  <si>
    <t>NWA 02998</t>
  </si>
  <si>
    <t>NWA 03136</t>
  </si>
  <si>
    <t>NWA 03160</t>
  </si>
  <si>
    <t>NWA 03163</t>
  </si>
  <si>
    <t>NWA 03170</t>
  </si>
  <si>
    <t>NWA 03190</t>
  </si>
  <si>
    <t>NWA 03333</t>
  </si>
  <si>
    <t>NWA 04472</t>
  </si>
  <si>
    <t>NWA 04483</t>
  </si>
  <si>
    <t>NWA 04485</t>
  </si>
  <si>
    <t>NWA 04503</t>
  </si>
  <si>
    <t>NWA 04734</t>
  </si>
  <si>
    <t>NWA 00479</t>
  </si>
  <si>
    <t>NWA 00482</t>
  </si>
  <si>
    <t>NWA 04884</t>
  </si>
  <si>
    <t>NWA 04898</t>
  </si>
  <si>
    <t>NWA 04932</t>
  </si>
  <si>
    <t>NWA 04936</t>
  </si>
  <si>
    <t>NWA 05000</t>
  </si>
  <si>
    <t>NWA 05151</t>
  </si>
  <si>
    <t>NWA 05152</t>
  </si>
  <si>
    <t>NWA 05153</t>
  </si>
  <si>
    <t>NWA 05207</t>
  </si>
  <si>
    <t>NWA 05406</t>
  </si>
  <si>
    <t>NWA 05744</t>
  </si>
  <si>
    <t>NWA 06221</t>
  </si>
  <si>
    <t>NWA 06252</t>
  </si>
  <si>
    <t>NWA 06275</t>
  </si>
  <si>
    <t>NWA 06355</t>
  </si>
  <si>
    <t>NWA 06470</t>
  </si>
  <si>
    <t>NWA 06481</t>
  </si>
  <si>
    <t>NWA 06554</t>
  </si>
  <si>
    <t>NWA 06555</t>
  </si>
  <si>
    <t>NWA 06570</t>
  </si>
  <si>
    <t>NWA 06578</t>
  </si>
  <si>
    <t>NWA 06687</t>
  </si>
  <si>
    <t>NWA 06721</t>
  </si>
  <si>
    <t>NWA 06888</t>
  </si>
  <si>
    <t>NWA 06950</t>
  </si>
  <si>
    <t>NWA 07007</t>
  </si>
  <si>
    <t>NWA 07022</t>
  </si>
  <si>
    <t>NWA 07190</t>
  </si>
  <si>
    <t>NWA 07262</t>
  </si>
  <si>
    <t>NWA 07274</t>
  </si>
  <si>
    <t>NWA 07493</t>
  </si>
  <si>
    <t>NWA 07611</t>
  </si>
  <si>
    <t>NWA 00773</t>
  </si>
  <si>
    <t>NWA 07931</t>
  </si>
  <si>
    <t>NWA 07948</t>
  </si>
  <si>
    <t>NWA 07959</t>
  </si>
  <si>
    <t>NWA 07986</t>
  </si>
  <si>
    <t>NWA 08001</t>
  </si>
  <si>
    <t>NWA 08010</t>
  </si>
  <si>
    <t>NWA 08022</t>
  </si>
  <si>
    <t>NWA 08046</t>
  </si>
  <si>
    <t>NWA 08055</t>
  </si>
  <si>
    <t>NWA 08127</t>
  </si>
  <si>
    <t>NWA 08181</t>
  </si>
  <si>
    <t>NWA 08182</t>
  </si>
  <si>
    <t>NWA 08222</t>
  </si>
  <si>
    <t>NWA 08277</t>
  </si>
  <si>
    <t>NWA 08306</t>
  </si>
  <si>
    <t>NWA 08455</t>
  </si>
  <si>
    <t>NWA 08586</t>
  </si>
  <si>
    <t>NWA 08599</t>
  </si>
  <si>
    <t>NWA 08607</t>
  </si>
  <si>
    <t>NWA 08609</t>
  </si>
  <si>
    <t>NWA 08632</t>
  </si>
  <si>
    <t>NWA 08641</t>
  </si>
  <si>
    <t>NWA 08651</t>
  </si>
  <si>
    <t>NWA 08668</t>
  </si>
  <si>
    <t>NWA 08673</t>
  </si>
  <si>
    <t>NWA 08682</t>
  </si>
  <si>
    <t>NWA 08687</t>
  </si>
  <si>
    <t>NWA 08701</t>
  </si>
  <si>
    <t>NWA 08727</t>
  </si>
  <si>
    <t>NWA 08733</t>
  </si>
  <si>
    <t>NWA 08746</t>
  </si>
  <si>
    <t>NWA 08753</t>
  </si>
  <si>
    <t>NWA 08783</t>
  </si>
  <si>
    <t>NWA 07834</t>
  </si>
  <si>
    <t>NWA 04819</t>
  </si>
  <si>
    <t>NWA 10123</t>
  </si>
  <si>
    <t>NWA 10130</t>
  </si>
  <si>
    <t>NWA 10133</t>
  </si>
  <si>
    <t>NWA 10149</t>
  </si>
  <si>
    <t>MAC 120</t>
  </si>
  <si>
    <t>MAC 137</t>
  </si>
  <si>
    <t>MAC 139, alias RC73.5</t>
  </si>
  <si>
    <t>RC192</t>
  </si>
  <si>
    <t>RC249</t>
  </si>
  <si>
    <t>NWA 10178</t>
  </si>
  <si>
    <t>NWA 10140</t>
  </si>
  <si>
    <t>NWA 10142</t>
  </si>
  <si>
    <t>NWA 10141</t>
  </si>
  <si>
    <t>Agee: troctolitic anorthosite</t>
  </si>
  <si>
    <t>Agee</t>
  </si>
  <si>
    <t>NWA 10172</t>
  </si>
  <si>
    <t>JH15-4, IMB ol rich</t>
  </si>
  <si>
    <t>K279, Kuntz</t>
  </si>
  <si>
    <t>D386</t>
  </si>
  <si>
    <t>NWA 02727 pair</t>
  </si>
  <si>
    <t xml:space="preserve">NWA 06252 </t>
  </si>
  <si>
    <t>NWA 10228</t>
  </si>
  <si>
    <t>NWA 10203</t>
  </si>
  <si>
    <t>Agee, same as K280, and maybe 10172 and MAC 139</t>
  </si>
  <si>
    <t>MAC 166</t>
  </si>
  <si>
    <t>MIL 13317</t>
  </si>
  <si>
    <t>NWA 10291</t>
  </si>
  <si>
    <t>NWA 10272</t>
  </si>
  <si>
    <t>NWA 10263</t>
  </si>
  <si>
    <t>Fabien Kuntz Jan 2015 DID NOT BUY</t>
  </si>
  <si>
    <t>K280, Kuntz and Pelé is from same batch as NWA 10203</t>
  </si>
  <si>
    <t>NWA 10253</t>
  </si>
  <si>
    <t>NWA 10258</t>
  </si>
  <si>
    <t>RC49.1 sold to Japanese collector</t>
  </si>
  <si>
    <t>NWA 10309</t>
  </si>
  <si>
    <t>5744 pair Aaronson &amp; Agee; Gary Fujihara</t>
  </si>
  <si>
    <t>Nahkla Dog Rob Wesel</t>
  </si>
  <si>
    <t>Big Kahuna Gary Fujihara</t>
  </si>
  <si>
    <t>AB15-17B, Ahmad Bouragaa</t>
  </si>
  <si>
    <t>AB15-17B</t>
  </si>
  <si>
    <t>NWA 10317</t>
  </si>
  <si>
    <t>NWA 10318</t>
  </si>
  <si>
    <t>D387</t>
  </si>
  <si>
    <t>MCVICH 005</t>
  </si>
  <si>
    <t>NWA 10404</t>
  </si>
  <si>
    <t>MA188</t>
  </si>
  <si>
    <t>D388</t>
  </si>
  <si>
    <t>DGR 027-5</t>
  </si>
  <si>
    <t>MA190</t>
  </si>
  <si>
    <t>SH88</t>
  </si>
  <si>
    <t>NWA 10415</t>
  </si>
  <si>
    <t>Jonikas/Agee</t>
  </si>
  <si>
    <t>Bischoff/Decker</t>
  </si>
  <si>
    <t>AB15-17D, Ahmad Bouragaa</t>
  </si>
  <si>
    <t>AB15-17C, Ahmad Bouragaa</t>
  </si>
  <si>
    <t>NWA 10447</t>
  </si>
  <si>
    <t>NWA 10376</t>
  </si>
  <si>
    <t>Philippe Schmitt-Kopplin</t>
  </si>
  <si>
    <t>Jah 838</t>
  </si>
  <si>
    <t>D389</t>
  </si>
  <si>
    <t>Agee; Matt Morgan ebay</t>
  </si>
  <si>
    <t>feldspathic regolithic breccia</t>
  </si>
  <si>
    <t>troctolitic granulitic breccia</t>
  </si>
  <si>
    <t>troctolite</t>
  </si>
  <si>
    <t>troctolitic anorthosite</t>
  </si>
  <si>
    <t>granulitic breccia of olivine-bearing anorthositic norite precursor</t>
  </si>
  <si>
    <t>polymict breccia</t>
  </si>
  <si>
    <t>olivine leuco-gabbro</t>
  </si>
  <si>
    <t>feldspathic melt-matrix breccia</t>
  </si>
  <si>
    <t>feldspathic vitric regolithic breccia</t>
  </si>
  <si>
    <t>lunar basaltic/anorthositic breccia</t>
  </si>
  <si>
    <t>anorthositic breccia</t>
  </si>
  <si>
    <t>anorthositic impact melt breccia</t>
  </si>
  <si>
    <t>olivine-pyroxene basalt</t>
  </si>
  <si>
    <t>feldspathic mingled regolithic breccia</t>
  </si>
  <si>
    <t>feldspathic vitric fragmental breccia.</t>
  </si>
  <si>
    <t>feldspathic fragmental breccia.</t>
  </si>
  <si>
    <t>feldspathic impact melt breccia, fragmental breccia w/melt veins</t>
  </si>
  <si>
    <t xml:space="preserve">feldspathic breccia </t>
  </si>
  <si>
    <t>feldspathic vitric breccia</t>
  </si>
  <si>
    <t>feldspathic (fragmental) breccia</t>
  </si>
  <si>
    <t>granulitic anorthositic breccia</t>
  </si>
  <si>
    <t>"feldspathic breccia"</t>
  </si>
  <si>
    <t>basalt</t>
  </si>
  <si>
    <t>mare basalt/gabbro breccia</t>
  </si>
  <si>
    <t>mare basalt and basaltic breccia</t>
  </si>
  <si>
    <t>olivine gabbro with regolith breccia</t>
  </si>
  <si>
    <t>feldspathic granulitic impactite</t>
  </si>
  <si>
    <t>granulitic breccia</t>
  </si>
  <si>
    <t>granulitic troctolitic breccia</t>
  </si>
  <si>
    <t xml:space="preserve">feldspathic (melt-matrix) breccia </t>
  </si>
  <si>
    <t>melt &amp; fragmental breccia</t>
  </si>
  <si>
    <t xml:space="preserve">feldspathic (melt-matrix regolith) breccia </t>
  </si>
  <si>
    <t>feldspathic granulitic  breccia</t>
  </si>
  <si>
    <t>feldspathic (fragmental to melt matrix) breccia</t>
  </si>
  <si>
    <t xml:space="preserve">feldspathic (glassy-matrix) breccia </t>
  </si>
  <si>
    <t>anorthositic regolithic breccia</t>
  </si>
  <si>
    <t>feldspathic breccia, glassy-to-finely crystalline matrix</t>
  </si>
  <si>
    <t>KREEP-rich (regolith) breccia</t>
  </si>
  <si>
    <t>feldspathic (regolith) breccia</t>
  </si>
  <si>
    <t>basalt-rich regolith breccia</t>
  </si>
  <si>
    <t>crystalline impact melt breccia</t>
  </si>
  <si>
    <t>mare basalt, olivine gabbro breccia</t>
  </si>
  <si>
    <t>olivine gabbro</t>
  </si>
  <si>
    <t>olivine gabbro &amp; breccia</t>
  </si>
  <si>
    <t>olivine gabbro, basalt, &amp; breccia</t>
  </si>
  <si>
    <t xml:space="preserve">feldspathic (very fine grained crystalline) breccia </t>
  </si>
  <si>
    <t>fragmental breccia.</t>
  </si>
  <si>
    <t>feldspathic (fragmental?) breccia</t>
  </si>
  <si>
    <t>Maciej Burski</t>
  </si>
  <si>
    <t xml:space="preserve">Marcin Stolarz </t>
  </si>
  <si>
    <t>K279</t>
  </si>
  <si>
    <t>Aras Jonikas</t>
  </si>
  <si>
    <t>AB15-17C</t>
  </si>
  <si>
    <t>AB15-17D</t>
  </si>
  <si>
    <t>K280</t>
  </si>
  <si>
    <t>K253</t>
  </si>
  <si>
    <t>MAC 115</t>
  </si>
  <si>
    <t>NWA 10401</t>
  </si>
  <si>
    <t>S Arnold</t>
  </si>
  <si>
    <t>Dho 303 pair, Classen</t>
  </si>
  <si>
    <t>NWA we have analyzed unique</t>
  </si>
  <si>
    <t>"Almahbas", Luc Labenne</t>
  </si>
  <si>
    <t>"I purchased three stones of 22, 39 and 78g recently found in the same area close to the Moroccan / Algeria border"</t>
  </si>
  <si>
    <t>P-M Pelé e-bay</t>
  </si>
  <si>
    <t>P-M Pelé 10203 pair?</t>
  </si>
  <si>
    <t>NWA 10495</t>
  </si>
  <si>
    <t>NWA 10461</t>
  </si>
  <si>
    <t>MB 105</t>
  </si>
  <si>
    <t>AB17-13</t>
  </si>
  <si>
    <t>Smula 2015, labeled "E49 0.85g"</t>
  </si>
  <si>
    <t>NWA 10480</t>
  </si>
  <si>
    <t>NWA 10566</t>
  </si>
  <si>
    <t>NWA 10546</t>
  </si>
  <si>
    <t>NWA 10509</t>
  </si>
  <si>
    <t>RC78.1</t>
  </si>
  <si>
    <t>K295</t>
  </si>
  <si>
    <t>K289</t>
  </si>
  <si>
    <t>Galb Inal</t>
  </si>
  <si>
    <t>NWA 10597</t>
  </si>
  <si>
    <t>W Hsu, Y Wu mare basalt</t>
  </si>
  <si>
    <t>D390</t>
  </si>
  <si>
    <t>NWA 10599</t>
  </si>
  <si>
    <t>NWA 10621</t>
  </si>
  <si>
    <t>NWA 10626</t>
  </si>
  <si>
    <t>MM16-1</t>
  </si>
  <si>
    <t>MCVICH 43</t>
  </si>
  <si>
    <t>MAC 140, MA178</t>
  </si>
  <si>
    <t>AA15-1 (unn 87)</t>
  </si>
  <si>
    <t>AB15-17A (unn 88)</t>
  </si>
  <si>
    <t>280, 2995 pair (unn 03)</t>
  </si>
  <si>
    <t>NWA 2995 pair (unn 12)</t>
  </si>
  <si>
    <t>MA154, 8455 pair (unn58)</t>
  </si>
  <si>
    <t>MA155, 8455 pair (unn 59)</t>
  </si>
  <si>
    <t>MA164, 5744 pair (unn 60)</t>
  </si>
  <si>
    <t>MAC 137, 7834 pair (unn 93)</t>
  </si>
  <si>
    <t>RC192, 8455 pair (unn 95)</t>
  </si>
  <si>
    <t>RC249 10073 pair (unn 92)</t>
  </si>
  <si>
    <t>RC49.1, 5744 pair (unn 55)</t>
  </si>
  <si>
    <t>RC56.2 8641 pair (unn 77)</t>
  </si>
  <si>
    <t>SH25, unique (unn 65)</t>
  </si>
  <si>
    <t>YAE(14)1, 5744 pair (unn 68)</t>
  </si>
  <si>
    <t>Erich Haiderer</t>
  </si>
  <si>
    <t>Ted Bunch</t>
  </si>
  <si>
    <t>Tim Heitz</t>
  </si>
  <si>
    <t>Albert Jambon</t>
  </si>
  <si>
    <t>NAU #1132</t>
  </si>
  <si>
    <t>NAU 1200T</t>
  </si>
  <si>
    <t>NAU M1040</t>
  </si>
  <si>
    <t>#104B, M1278</t>
  </si>
  <si>
    <t>NAU #1438, M1180</t>
  </si>
  <si>
    <t>#107(A), 152(or 3)-g stone</t>
  </si>
  <si>
    <t>#107(B), 152(or 3)-g stone</t>
  </si>
  <si>
    <t>#107(C), 343-g stone</t>
  </si>
  <si>
    <t>we have a TS from AJI</t>
  </si>
  <si>
    <t>RC29.1(A)</t>
  </si>
  <si>
    <t>RC29.1(B)</t>
  </si>
  <si>
    <t>RC39.1, M1558</t>
  </si>
  <si>
    <t>(C) from type specimen</t>
  </si>
  <si>
    <t>DP729</t>
  </si>
  <si>
    <t>0.3-g H-I</t>
  </si>
  <si>
    <t>0.41 g J-K</t>
  </si>
  <si>
    <t>MCVICH 005A</t>
  </si>
  <si>
    <t>MCVICH 005B</t>
  </si>
  <si>
    <t>MCVICH 005C</t>
  </si>
  <si>
    <t>MCVICH 005D</t>
  </si>
  <si>
    <t>MCVICH 005E</t>
  </si>
  <si>
    <t>MCVICH 005F</t>
  </si>
  <si>
    <t>B</t>
  </si>
  <si>
    <t>C</t>
  </si>
  <si>
    <t>D</t>
  </si>
  <si>
    <t>AB15-31</t>
  </si>
  <si>
    <t>MCVICH 32, 2977 pair</t>
  </si>
  <si>
    <t>Michael Farmer</t>
  </si>
  <si>
    <t>Dhofar 2047</t>
  </si>
  <si>
    <t>NWA 6721 SD</t>
  </si>
  <si>
    <t>NWA 6721 A</t>
  </si>
  <si>
    <t>NWA 6721 B</t>
  </si>
  <si>
    <t>RC62.2 Nov</t>
  </si>
  <si>
    <t>RC62.2 Sep</t>
  </si>
  <si>
    <t>RC62.1 Nov</t>
  </si>
  <si>
    <t>Greg Hupé</t>
  </si>
  <si>
    <t>Great Sand Sea</t>
  </si>
  <si>
    <t>Al Quaryah ash Sahrquial</t>
  </si>
  <si>
    <t>Anthony Love</t>
  </si>
  <si>
    <t>NWA 10608</t>
  </si>
  <si>
    <t>NWA 10609</t>
  </si>
  <si>
    <t>Agee, J Piatek</t>
  </si>
  <si>
    <t>NWA 10649</t>
  </si>
  <si>
    <t>NWA 10656</t>
  </si>
  <si>
    <t>Dho 303 pair</t>
  </si>
  <si>
    <t>W Hsu, Y Wu is a sample of MA189</t>
  </si>
  <si>
    <t>MAC 133 Darryl Pitt</t>
  </si>
  <si>
    <t>6950?</t>
  </si>
  <si>
    <t>WU &amp; UCLA</t>
  </si>
  <si>
    <t>La'gad</t>
  </si>
  <si>
    <t>NWA 10643</t>
  </si>
  <si>
    <t>NWA 10644</t>
  </si>
  <si>
    <t>AV02; Agee</t>
  </si>
  <si>
    <t>NWA 10665</t>
  </si>
  <si>
    <t>Gary Fujihara</t>
  </si>
  <si>
    <t>D391</t>
  </si>
  <si>
    <t>NWA 10678</t>
  </si>
  <si>
    <t>NWA 10713</t>
  </si>
  <si>
    <t>NWA 10756</t>
  </si>
  <si>
    <t>Mendy Ouzillou</t>
  </si>
  <si>
    <t>Stolarz 2047</t>
  </si>
  <si>
    <t>19°19.900'N, 54°47.146'N</t>
  </si>
  <si>
    <t>no INAA? Apparently</t>
  </si>
  <si>
    <t>Dhofar 303/ 305/ 306/ 307/ 309/ 310/ 311/ 489/ 730/ 731/ 908/ 909/ 911/ 950/ 1085/ 2047/ [unnamed 28]/</t>
  </si>
  <si>
    <t>Dhofar 1673/ 1983/ 1984</t>
  </si>
  <si>
    <t>Dhofar 0733/ 1766</t>
  </si>
  <si>
    <t>NWA 10798</t>
  </si>
  <si>
    <t>MVCH 55</t>
  </si>
  <si>
    <t>AM16-2</t>
  </si>
  <si>
    <t>AB15-31,  GF16-1</t>
  </si>
  <si>
    <t>Agee, Jean Redelsperger</t>
  </si>
  <si>
    <t>MVCH 55 A</t>
  </si>
  <si>
    <t>A Bouragaa</t>
  </si>
  <si>
    <t>Dho 1527 pair?</t>
  </si>
  <si>
    <t>NWA 10810</t>
  </si>
  <si>
    <t>NWA 10822</t>
  </si>
  <si>
    <t>NWA 10823</t>
  </si>
  <si>
    <t>ET16-2, E Twelker; 10649</t>
  </si>
  <si>
    <t>Agee, G Fujihara; 10309</t>
  </si>
  <si>
    <t>BH001, Ben Hoefnagels; 10626</t>
  </si>
  <si>
    <t>MVCH 115</t>
  </si>
  <si>
    <t>BH031</t>
  </si>
  <si>
    <t>JH16-9</t>
  </si>
  <si>
    <t>D392</t>
  </si>
  <si>
    <t>MVCH 102</t>
  </si>
  <si>
    <t>Abdelaziz Alhyanem on e-bay</t>
  </si>
  <si>
    <t>Abdelaziz Alhyane</t>
  </si>
  <si>
    <t>Ben Hoefnagels, Mauritania, Abdelaziz Alhyane</t>
  </si>
  <si>
    <t>NWA 10782</t>
  </si>
  <si>
    <t>NWA 10783</t>
  </si>
  <si>
    <t>MVCH 211</t>
  </si>
  <si>
    <t>Anand A</t>
  </si>
  <si>
    <t>Anand B</t>
  </si>
  <si>
    <t>Mahesh Anand</t>
  </si>
  <si>
    <t>Frank Carroll</t>
  </si>
  <si>
    <t>BH02</t>
  </si>
  <si>
    <t>BH05</t>
  </si>
  <si>
    <t>BH06</t>
  </si>
  <si>
    <t>BH08</t>
  </si>
  <si>
    <t>MVCH 225</t>
  </si>
  <si>
    <t>MVCH 064</t>
  </si>
  <si>
    <t>NWA 10953</t>
  </si>
  <si>
    <t>NWA 10901</t>
  </si>
  <si>
    <t>NWA 10902</t>
  </si>
  <si>
    <t>Agee, S Tutorow</t>
  </si>
  <si>
    <t>Matt Morgan</t>
  </si>
  <si>
    <t>ASU NWA-95; Love</t>
  </si>
  <si>
    <t>OB33, NWA 7173</t>
  </si>
  <si>
    <t>Mohamed Aid</t>
  </si>
  <si>
    <t>NWA 10973</t>
  </si>
  <si>
    <t>NWA 11029</t>
  </si>
  <si>
    <t>AB#42</t>
  </si>
  <si>
    <t>D393</t>
  </si>
  <si>
    <t>MVCH 228</t>
  </si>
  <si>
    <t>8673 &amp; pairs?; 10626 &amp; pairs?</t>
  </si>
  <si>
    <t>NWA 10964</t>
  </si>
  <si>
    <t>NWA 10985</t>
  </si>
  <si>
    <t>NWA 10986</t>
  </si>
  <si>
    <t>NWA 10989</t>
  </si>
  <si>
    <t>LAT &amp; Sarah Roberts (UTenn)</t>
  </si>
  <si>
    <t>Anand A, 7834 pair, but high Cr/Sc</t>
  </si>
  <si>
    <t>Agee; Piatek; NWA 733</t>
  </si>
  <si>
    <t>JH16-9; 8010</t>
  </si>
  <si>
    <t>ASU NWA-95, Anthony Love; 7834</t>
  </si>
  <si>
    <t>MM16-1 Matthew Martin, fine grained</t>
  </si>
  <si>
    <t>Agee, Frank Carroll; 7834</t>
  </si>
  <si>
    <t>Pele; 7834</t>
  </si>
  <si>
    <t>Greshake/Philippe Schmitt-Kopplin' 7611</t>
  </si>
  <si>
    <t>AN-1; C Agee, E Twelker</t>
  </si>
  <si>
    <t>K232; 8641</t>
  </si>
  <si>
    <t>AD14-A; 8022</t>
  </si>
  <si>
    <t>SVMJ14-2, Sergey Vasiliev and Marc Jost; 8641</t>
  </si>
  <si>
    <t>JH15-4; 8455</t>
  </si>
  <si>
    <t>Steve Arnold; 5744</t>
  </si>
  <si>
    <t>NWA 11006</t>
  </si>
  <si>
    <t>8455?; Ben Hoefnagels, granulitic</t>
  </si>
  <si>
    <t>AH 219</t>
  </si>
  <si>
    <t>Rabt Sbayta 002</t>
  </si>
  <si>
    <t>NWA 11061</t>
  </si>
  <si>
    <t>NWA 11077</t>
  </si>
  <si>
    <t>8222; Ahmad Ourbaa; AB#41? 8222 and SH88</t>
  </si>
  <si>
    <t>notes</t>
  </si>
  <si>
    <t>tony says no: 10141/ 10415</t>
  </si>
  <si>
    <t>AJ16-7</t>
  </si>
  <si>
    <t>feldspathic clast</t>
  </si>
  <si>
    <t>K315</t>
  </si>
  <si>
    <t>Hewins; "Almahbas", Luc Labenne</t>
  </si>
  <si>
    <t>MB 106</t>
  </si>
  <si>
    <t>AJ17-1</t>
  </si>
  <si>
    <t>feldspathic, polymict breccia</t>
  </si>
  <si>
    <t>anorthositic troctolitic breccia</t>
  </si>
  <si>
    <t>olivine diabase</t>
  </si>
  <si>
    <t>feldspathic breccia, granulitic</t>
  </si>
  <si>
    <t>poikilitic anorthositic breccia</t>
  </si>
  <si>
    <t>mingled regolithic breccia</t>
  </si>
  <si>
    <t>polymict regolithic breccia</t>
  </si>
  <si>
    <t>gabbro</t>
  </si>
  <si>
    <t>highland impact-melt breccia</t>
  </si>
  <si>
    <t>Luc L</t>
  </si>
  <si>
    <t>Sean Tutorow</t>
  </si>
  <si>
    <t>eegooblago</t>
  </si>
  <si>
    <t xml:space="preserve">NWA </t>
  </si>
  <si>
    <t>Western Sahara</t>
  </si>
  <si>
    <t>Inchiri, Mauritania</t>
  </si>
  <si>
    <t>Anoual,  Morocco</t>
  </si>
  <si>
    <t>anorthositic melt rock</t>
  </si>
  <si>
    <t>Sudan</t>
  </si>
  <si>
    <t>Khter n'Aït Khebbach, Morocco</t>
  </si>
  <si>
    <t>Alnif, Morocco</t>
  </si>
  <si>
    <t>Dchira, Western Sahara</t>
  </si>
  <si>
    <t>Erfoud, Morocco</t>
  </si>
  <si>
    <t>Atlas Mountains, Morocco</t>
  </si>
  <si>
    <t>Erfoud</t>
  </si>
  <si>
    <t>Tagounite</t>
  </si>
  <si>
    <t>Morocco</t>
  </si>
  <si>
    <t>southern Algeria</t>
  </si>
  <si>
    <t>Ouarzazate</t>
  </si>
  <si>
    <t>Rissani</t>
  </si>
  <si>
    <t>Mauritania or Algeria</t>
  </si>
  <si>
    <t>Morocco or Algeria</t>
  </si>
  <si>
    <t>Algeria</t>
  </si>
  <si>
    <t>Algeria or Morocco</t>
  </si>
  <si>
    <t>Erfoud or Rissani</t>
  </si>
  <si>
    <t>2006 &amp; 2007</t>
  </si>
  <si>
    <t>Siksou</t>
  </si>
  <si>
    <t>southern Morocco</t>
  </si>
  <si>
    <t>Morocco, Siksou Mountain</t>
  </si>
  <si>
    <t>Mali</t>
  </si>
  <si>
    <t>Gawa, Mali</t>
  </si>
  <si>
    <t>Morocco or Western Sahara, Geltat Zemmour</t>
  </si>
  <si>
    <t>Agadir</t>
  </si>
  <si>
    <t>Hamada du Drâa, Morocco</t>
  </si>
  <si>
    <t>Temara</t>
  </si>
  <si>
    <t>Taliouine</t>
  </si>
  <si>
    <t>Sueilila (Zwilila) limestone plateau, ~40 km E of Hassi Lakra (Playa del Cordero) station, W Sahara</t>
  </si>
  <si>
    <t>Smara, southern Morocco</t>
  </si>
  <si>
    <t>near Tandouf, Algeria,</t>
  </si>
  <si>
    <t>Zagora</t>
  </si>
  <si>
    <t>reportedly near Zag, Morocco.</t>
  </si>
  <si>
    <t>near the Moroccan/Algerian border</t>
  </si>
  <si>
    <t>Ensisheim</t>
  </si>
  <si>
    <t>Reported found near Zagora</t>
  </si>
  <si>
    <t>near Boujdou</t>
  </si>
  <si>
    <t>Brügg, Switzerland</t>
  </si>
  <si>
    <t>near Bir Anzarane</t>
  </si>
  <si>
    <t>Tucson</t>
  </si>
  <si>
    <t>Nouadhibou, Mauritania.</t>
  </si>
  <si>
    <t>near Chwichiya</t>
  </si>
  <si>
    <t>Changsha China</t>
  </si>
  <si>
    <t>near the borders of Mauritania, Western Sahara and Algeria</t>
  </si>
  <si>
    <t>Laayoune, Morocco.</t>
  </si>
  <si>
    <t>near the border of Western Sahara and Algeria</t>
  </si>
  <si>
    <t>Foum El Hisn, Morocco</t>
  </si>
  <si>
    <t>Tan Tan, Morocco</t>
  </si>
  <si>
    <t>border between Mauritania and Mali.</t>
  </si>
  <si>
    <t>near Laagad, east of Assa, Morocco</t>
  </si>
  <si>
    <t>Mauritania near the Algerian border.</t>
  </si>
  <si>
    <t>Dakhla</t>
  </si>
  <si>
    <t>Ouarzarete</t>
  </si>
  <si>
    <t>Guelmim</t>
  </si>
  <si>
    <t>near Al Mahbas, southern Morocco, </t>
  </si>
  <si>
    <t>near the border with Mauritania.</t>
  </si>
  <si>
    <t>Munich</t>
  </si>
  <si>
    <t>Beijing</t>
  </si>
  <si>
    <t>near the border between Mauritania and Ma</t>
  </si>
  <si>
    <t>Marrakesh</t>
  </si>
  <si>
    <t>Western Sahara, near the Algerian border</t>
  </si>
  <si>
    <t>Denver</t>
  </si>
  <si>
    <t>Almabas near the frontier between Morocco and Algeria</t>
  </si>
  <si>
    <t>Almahbas region near the frontier between Morocco and Algeria.</t>
  </si>
  <si>
    <t>Rissani, Tucson</t>
  </si>
  <si>
    <t>Brahim Tahiri, Morocco</t>
  </si>
  <si>
    <t>Nouakchott, Mauritania</t>
  </si>
  <si>
    <t>Grarat Zawi, Western Sahara</t>
  </si>
  <si>
    <t>near to the Morocco/Algeria border</t>
  </si>
  <si>
    <t>Changsha, China</t>
  </si>
  <si>
    <t xml:space="preserve">NWA 08682 </t>
  </si>
  <si>
    <t xml:space="preserve">NWA 08687 </t>
  </si>
  <si>
    <t>NWA 11127</t>
  </si>
  <si>
    <t>OB33 A Jambon, NWA 10149</t>
  </si>
  <si>
    <t>DD says it's a 10664 pair</t>
  </si>
  <si>
    <t>D394</t>
  </si>
  <si>
    <t>KB17-1, Khalid Boushaba</t>
  </si>
  <si>
    <t>NWA 11109</t>
  </si>
  <si>
    <t>NWA 11110</t>
  </si>
  <si>
    <t>NWA 11111</t>
  </si>
  <si>
    <t>M&amp;L Morgan, 8046</t>
  </si>
  <si>
    <t>NWA 11185</t>
  </si>
  <si>
    <t>M1998</t>
  </si>
  <si>
    <t>Aaronson </t>
  </si>
  <si>
    <t>NWA 11159</t>
  </si>
  <si>
    <t>A Greshake</t>
  </si>
  <si>
    <t>Rabt Sbayta 004</t>
  </si>
  <si>
    <t>AH219, Ke Zuokai</t>
  </si>
  <si>
    <t>NWA 11193</t>
  </si>
  <si>
    <t>KR17-1</t>
  </si>
  <si>
    <t>NWA 11182</t>
  </si>
  <si>
    <t>KB17-1</t>
  </si>
  <si>
    <t>BH04</t>
  </si>
  <si>
    <t>BH07</t>
  </si>
  <si>
    <t>RC87.1 (BH043)</t>
  </si>
  <si>
    <t>Larry Atkins</t>
  </si>
  <si>
    <t>NWA 11212 </t>
  </si>
  <si>
    <t>NWA 11216</t>
  </si>
  <si>
    <t>8455, from Weibao Hsu</t>
  </si>
  <si>
    <t>BH008 (NWA 8673)</t>
  </si>
  <si>
    <t>Ian Nicklin, ROM</t>
  </si>
  <si>
    <t>NWA 11212</t>
  </si>
  <si>
    <t>M57543</t>
  </si>
  <si>
    <t>Ruben Garcia</t>
  </si>
  <si>
    <t>AB#42 (BH042)</t>
  </si>
  <si>
    <t>BH004_4_5_6_7 (NWA 7834)</t>
  </si>
  <si>
    <t>A. Jonikas</t>
  </si>
  <si>
    <t>Rabt Sbayta 005</t>
  </si>
  <si>
    <t>JR004</t>
  </si>
  <si>
    <t>F Kuntz; 8222 pair</t>
  </si>
  <si>
    <t>Jean Redelsperger; 8222 pair</t>
  </si>
  <si>
    <t>OGA 70</t>
  </si>
  <si>
    <t>BH043 =RC87-1</t>
  </si>
  <si>
    <t>Tichiya</t>
  </si>
  <si>
    <t>NWA 11223</t>
  </si>
  <si>
    <t>NWA 11228</t>
  </si>
  <si>
    <t>NWA 11237</t>
  </si>
  <si>
    <t>NWA 11243</t>
  </si>
  <si>
    <t>NWA 11249</t>
  </si>
  <si>
    <t>RC78.1?</t>
  </si>
  <si>
    <t>NWA 11252</t>
  </si>
  <si>
    <t>LL MB1</t>
  </si>
  <si>
    <t>773 clan</t>
  </si>
  <si>
    <t>5744, from 0.4 g of sawdust</t>
  </si>
  <si>
    <t>JH17-4</t>
  </si>
  <si>
    <t>ARN17-10</t>
  </si>
  <si>
    <t>NWA 11266</t>
  </si>
  <si>
    <t>NWA 11273</t>
  </si>
  <si>
    <t>NWA 11331</t>
  </si>
  <si>
    <t>NWA 11269</t>
  </si>
  <si>
    <t>D Dickens C Agee</t>
  </si>
  <si>
    <t>NWA 11352</t>
  </si>
  <si>
    <t>D395</t>
  </si>
  <si>
    <t>by place</t>
  </si>
  <si>
    <t>Rabt Sbayta 006</t>
  </si>
  <si>
    <t>Terry Boudreaux</t>
  </si>
  <si>
    <t>photo sent to me in march .NE. MA-174</t>
  </si>
  <si>
    <t>D295</t>
  </si>
  <si>
    <t>NWA 11379</t>
  </si>
  <si>
    <t>S Arnold  &amp; C Agee</t>
  </si>
  <si>
    <t>Agee &amp; R Garcia</t>
  </si>
  <si>
    <t>Rabt Sbayta 007</t>
  </si>
  <si>
    <t>Rabt Sbayta 008</t>
  </si>
  <si>
    <t>Bob Falls</t>
  </si>
  <si>
    <t>NWA 11303</t>
  </si>
  <si>
    <t>Muaritania Dustin Dickens</t>
  </si>
  <si>
    <t>BF7-17</t>
  </si>
  <si>
    <t>NWA 11266 pair</t>
  </si>
  <si>
    <t>RC78.1, alleged pair</t>
  </si>
  <si>
    <t>RW17-2 Wesel-Twelker-Phillips</t>
  </si>
  <si>
    <t>Algerian megafind</t>
  </si>
  <si>
    <t>Found</t>
  </si>
  <si>
    <t>Purchase</t>
  </si>
  <si>
    <t>YF</t>
  </si>
  <si>
    <t>YP</t>
  </si>
  <si>
    <t>from Moroccan dealers</t>
  </si>
  <si>
    <t>Ouarzazate, Morocco.</t>
  </si>
  <si>
    <t>Algeria/Mali border </t>
  </si>
  <si>
    <t>Adrar, Algeria </t>
  </si>
  <si>
    <t>Gataa Sfar </t>
  </si>
  <si>
    <t>Tucson </t>
  </si>
  <si>
    <t>Moroccan dealer</t>
  </si>
  <si>
    <t>Tindouf, Algeria </t>
  </si>
  <si>
    <t>Rissani, Morocco.</t>
  </si>
  <si>
    <t>Beijing China</t>
  </si>
  <si>
    <t>Oued Awlitis Western Sahara</t>
  </si>
  <si>
    <t>Gataa Sfar Western Sahara</t>
  </si>
  <si>
    <t>Rio de Oro</t>
  </si>
  <si>
    <t>Tan Tan</t>
  </si>
  <si>
    <t>Tayertand</t>
  </si>
  <si>
    <t>Dar al Gani 1042</t>
  </si>
  <si>
    <t>Dar al Gani 1048</t>
  </si>
  <si>
    <t>Dar al Gani 1058</t>
  </si>
  <si>
    <t>Al Jufrah, Libya</t>
  </si>
  <si>
    <t>Lat-Long</t>
  </si>
  <si>
    <t>Dar al Gani</t>
  </si>
  <si>
    <t>Al Qaryah ash Sharqiyah in Wadi Zamzam area, Libya</t>
  </si>
  <si>
    <t>El Bechir</t>
  </si>
  <si>
    <t>Al-Mahbas, Western Sahara,</t>
  </si>
  <si>
    <t>west of the Kem Kem plateau</t>
  </si>
  <si>
    <t>(Morocco)</t>
  </si>
  <si>
    <t>NW Morocco</t>
  </si>
  <si>
    <t>NWA 11428</t>
  </si>
  <si>
    <t>pair from José A. Sánchez Santana</t>
  </si>
  <si>
    <t>NWA 11407</t>
  </si>
  <si>
    <t>Kraemer and Bischoff</t>
  </si>
  <si>
    <t>Talhat Lihoudi</t>
  </si>
  <si>
    <t>NWA 11421</t>
  </si>
  <si>
    <t>Jakubowski, Cimala, Greshake</t>
  </si>
  <si>
    <t>MVCH 270-1</t>
  </si>
  <si>
    <t>MVCH 270-51</t>
  </si>
  <si>
    <t>MVCH 270-A2</t>
  </si>
  <si>
    <t>D397</t>
  </si>
  <si>
    <t>aji</t>
  </si>
  <si>
    <t>Algerian megafind?</t>
  </si>
  <si>
    <t>China "fall" Vera</t>
  </si>
  <si>
    <t>AB#39</t>
  </si>
  <si>
    <t>NWA 11288 pair</t>
  </si>
  <si>
    <t>NWA 11367</t>
  </si>
  <si>
    <t>NWA 11444</t>
  </si>
  <si>
    <t>NWA 11457</t>
  </si>
  <si>
    <t>Yanai</t>
  </si>
  <si>
    <t>AJI, Martin Goff</t>
  </si>
  <si>
    <t>AB#36(1) &amp; BH036</t>
  </si>
  <si>
    <t>NWA 11460</t>
  </si>
  <si>
    <t>Philippe Schmitt-Kopplin; A Greshake; Ensisheim</t>
  </si>
  <si>
    <t>BH003</t>
  </si>
  <si>
    <t>NWA XXXX</t>
  </si>
  <si>
    <t>TB17-1</t>
  </si>
  <si>
    <t>PMP17-1, @PSF IL</t>
  </si>
  <si>
    <t>AB#36</t>
  </si>
  <si>
    <t xml:space="preserve">BH036 </t>
  </si>
  <si>
    <t>NWA 11472</t>
  </si>
  <si>
    <t>NWA 11474</t>
  </si>
  <si>
    <t>NWA 11479</t>
  </si>
  <si>
    <t>Labenne; Gattacceca &amp; Pourkhorsandi</t>
  </si>
  <si>
    <t>Dickens &amp; Ouzillou; Agee</t>
  </si>
  <si>
    <t>Ke Zuokai; Hsu</t>
  </si>
  <si>
    <t>Sahara</t>
  </si>
  <si>
    <t>NWA 11515</t>
  </si>
  <si>
    <t>NWA 11523</t>
  </si>
  <si>
    <t>NWA 11524</t>
  </si>
  <si>
    <t>basaltic brx</t>
  </si>
  <si>
    <t>Habibi, DPitt, Agee</t>
  </si>
  <si>
    <t>MVCH272</t>
  </si>
  <si>
    <t>M Goff; Greshake</t>
  </si>
  <si>
    <t>MVCH269</t>
  </si>
  <si>
    <t>Martin Goff</t>
  </si>
  <si>
    <t>BH03</t>
  </si>
  <si>
    <t>NWA 11532</t>
  </si>
  <si>
    <t>Samuel Ebert; Kraemer &amp; Bischoff</t>
  </si>
  <si>
    <t>somewhere</t>
  </si>
  <si>
    <t>melt breccia</t>
  </si>
  <si>
    <t>~Mauritania</t>
  </si>
  <si>
    <t>Ali El Wali</t>
  </si>
  <si>
    <t>~Algeria</t>
  </si>
  <si>
    <t>Kunshan China</t>
  </si>
  <si>
    <t>Mauritanian dealer</t>
  </si>
  <si>
    <t>basaltic breccia</t>
  </si>
  <si>
    <t>feldspathic troctolitic granulitic breccia</t>
  </si>
  <si>
    <t>feldspathic impact-melt breccia</t>
  </si>
  <si>
    <t>feldspathic melt breccia</t>
  </si>
  <si>
    <t>breccia</t>
  </si>
  <si>
    <t>feldspathic vitric regolith breccia</t>
  </si>
  <si>
    <t>mixed fragmental breccia</t>
  </si>
  <si>
    <t>lunar meteorite</t>
  </si>
  <si>
    <t>KREEP-rich breccia</t>
  </si>
  <si>
    <t>anorthositic, fragmental breccia</t>
  </si>
  <si>
    <t>anorthositic regolith breccia</t>
  </si>
  <si>
    <t>impact melt breccia</t>
  </si>
  <si>
    <t>cumulate olivine norite with regolith breccia</t>
  </si>
  <si>
    <t>Korotev et al (2003)</t>
  </si>
  <si>
    <t>NWA 11563</t>
  </si>
  <si>
    <t>Errachidia</t>
  </si>
  <si>
    <t>MB 107</t>
  </si>
  <si>
    <t>NWA 11616</t>
  </si>
  <si>
    <t>D Pitt / C Agee, MAC136</t>
  </si>
  <si>
    <t>Aridal 017</t>
  </si>
  <si>
    <t>David Gregory</t>
  </si>
  <si>
    <t>NWA 11517</t>
  </si>
  <si>
    <t>A Love J Sinclair</t>
  </si>
  <si>
    <t>NWA 11695</t>
  </si>
  <si>
    <t>NWA 11703</t>
  </si>
  <si>
    <t>2997, 6950</t>
  </si>
  <si>
    <t>C Agee, Zsolt Kereszty</t>
  </si>
  <si>
    <t>K371</t>
  </si>
  <si>
    <t>D398</t>
  </si>
  <si>
    <t>AJ-713</t>
  </si>
  <si>
    <r>
      <t>Yanai K. and Kojima H. (1984) Lunar meteorite in Japanese collection of the Yamato meteorites. </t>
    </r>
    <r>
      <rPr>
        <i/>
        <sz val="12"/>
        <color rgb="FF000000"/>
        <rFont val="Lucida Sans Unicode"/>
        <family val="2"/>
      </rPr>
      <t>Papers Presented to the Ninth Symposium on Antarctic Meteorites</t>
    </r>
    <r>
      <rPr>
        <sz val="12"/>
        <color rgb="FF000000"/>
        <rFont val="Lucida Sans Unicode"/>
        <family val="2"/>
      </rPr>
      <t>, 42-43, National Institute of Polar Research, Tokyo.</t>
    </r>
  </si>
  <si>
    <t>Cohen et al. (2004)</t>
  </si>
  <si>
    <t>Hidaka et al (2014)</t>
  </si>
  <si>
    <t>NWA 2425</t>
  </si>
  <si>
    <t>NWA 11767 </t>
  </si>
  <si>
    <t>S Ralew; A Greshake</t>
  </si>
  <si>
    <t>LO18-T</t>
  </si>
  <si>
    <t>LO18-1</t>
  </si>
  <si>
    <t>Smula 2018</t>
  </si>
  <si>
    <t>Aridal</t>
  </si>
  <si>
    <t>José A. Sánchez Santana</t>
  </si>
  <si>
    <t>Talhat Lihoudi 001</t>
  </si>
  <si>
    <t>sawdust</t>
  </si>
  <si>
    <t>Dhofar unnamed</t>
  </si>
  <si>
    <t>L. Smula</t>
  </si>
  <si>
    <t>NWA 11783</t>
  </si>
  <si>
    <t>NWA 11787</t>
  </si>
  <si>
    <t>NWA 11788</t>
  </si>
  <si>
    <t>NWA 11789</t>
  </si>
  <si>
    <t>NWA 11809</t>
  </si>
  <si>
    <t>4.7% FeO 6.0 % MgO</t>
  </si>
  <si>
    <t>3.3% FeO 5.1 % MgO</t>
  </si>
  <si>
    <t>8.0% FeO 7.8 % MgO</t>
  </si>
  <si>
    <t>4.3% FeO 6.7 % MgO</t>
  </si>
  <si>
    <t>NWA 11801</t>
  </si>
  <si>
    <t>NWA 11851</t>
  </si>
  <si>
    <t>NWA 11871</t>
  </si>
  <si>
    <t>Rio de Oro, Western Sahara</t>
  </si>
  <si>
    <t>Aoufous, Morocco</t>
  </si>
  <si>
    <t>Denver Show</t>
  </si>
  <si>
    <t>Mohamed Elguirah </t>
  </si>
  <si>
    <t>NE of Bir Anzarane </t>
  </si>
  <si>
    <t>Tindouf, Algeria</t>
  </si>
  <si>
    <t>France</t>
  </si>
  <si>
    <t>polymict breccia with olivine gabbro and basalt clasts</t>
  </si>
  <si>
    <t>Olivine-Gabbro</t>
  </si>
  <si>
    <t>meteorite hunter</t>
  </si>
  <si>
    <t>NWA 02425</t>
  </si>
  <si>
    <t>NWA 11828</t>
  </si>
  <si>
    <t>Demidova and Badyukov</t>
  </si>
  <si>
    <t>AJ-713, HN-713</t>
  </si>
  <si>
    <t>K J Hun; AJI</t>
  </si>
  <si>
    <t>NWA 11886</t>
  </si>
  <si>
    <t>Azawad region of northern Mali</t>
  </si>
  <si>
    <t>Mauritanian source</t>
  </si>
  <si>
    <t>NWA 11898</t>
  </si>
  <si>
    <t>Mali Dealer</t>
  </si>
  <si>
    <t>2.5% FeO 2.0 % MgO</t>
  </si>
  <si>
    <t>NWA 11962</t>
  </si>
  <si>
    <t>(basaltic?) regolith breccia</t>
  </si>
  <si>
    <t>NWA 11966</t>
  </si>
  <si>
    <t>31.1%Al2O3, 3.6 FeO, 3.0 MgO</t>
  </si>
  <si>
    <t>NWA 11968</t>
  </si>
  <si>
    <t>from A Aaronson</t>
  </si>
  <si>
    <t>30.7%Al2O3, 4.6 FeO, 4.0 MgO</t>
  </si>
  <si>
    <t>;0.13</t>
  </si>
  <si>
    <t>brx mainly mb or gab</t>
  </si>
  <si>
    <t>kg</t>
  </si>
  <si>
    <t>NWA INAA</t>
  </si>
  <si>
    <t>Dho 303</t>
  </si>
  <si>
    <t>MA180, Kai Zuokai</t>
  </si>
  <si>
    <t>MA189, is in China</t>
  </si>
  <si>
    <t>MCVICH 005 is MVCH 55</t>
  </si>
  <si>
    <t>AJ-46A, will not be classified</t>
  </si>
  <si>
    <t>AB#41; A Bouragaa</t>
  </si>
  <si>
    <t>SH17-1 (Ensisheim, Haddany)still with the Moroccan dealer, who says that he wants to keep it for his own collection</t>
  </si>
  <si>
    <t>RC91.1 bought by Chinese dealer  Ke Zuokai</t>
  </si>
  <si>
    <t>LL MB1 4-5% TiO2</t>
  </si>
  <si>
    <t>Stan Turecki oriented</t>
  </si>
  <si>
    <t>unique or 10495</t>
  </si>
  <si>
    <t>MCVCH 005 is MA188</t>
  </si>
  <si>
    <t>Rabt Sabayta 007</t>
  </si>
  <si>
    <t>NWA 12008</t>
  </si>
  <si>
    <t>NWA 12248</t>
  </si>
  <si>
    <t>AJI; Ben Hoefnagels</t>
  </si>
  <si>
    <t>AJI; D Pitt</t>
  </si>
  <si>
    <t xml:space="preserve">Mauritania </t>
  </si>
  <si>
    <t>Mauritanian dealer.</t>
  </si>
  <si>
    <t>NWA 12270</t>
  </si>
  <si>
    <t>26.0 Al2O3, 5.9% FeO</t>
  </si>
  <si>
    <t>NWA 12368</t>
  </si>
  <si>
    <t>28.8 Al2O3, 4.2% FeO</t>
  </si>
  <si>
    <t>NWA 12279</t>
  </si>
  <si>
    <t>Zhouping Guo and Guobing Zhong; A Aaronson</t>
  </si>
  <si>
    <t>NWA 12384</t>
  </si>
  <si>
    <t>Botswana</t>
  </si>
  <si>
    <t>NWA 12216</t>
  </si>
  <si>
    <t>MB 108</t>
  </si>
  <si>
    <t>junk</t>
  </si>
  <si>
    <t xml:space="preserve">Lahmada 020 </t>
  </si>
  <si>
    <t>NWA 12393</t>
  </si>
  <si>
    <t>NWA 12422</t>
  </si>
  <si>
    <t>NWA 12427</t>
  </si>
  <si>
    <t>NWA 12428</t>
  </si>
  <si>
    <t>AJI; Ouzillou &amp; Lyon</t>
  </si>
  <si>
    <t>olivine gabbronorite</t>
  </si>
  <si>
    <t>27.9 Al2O3; 5.5 FeO; 5.2 MgO</t>
  </si>
  <si>
    <t>24.3 Al2O3; 6.3 FeO; 9.6 MgO</t>
  </si>
  <si>
    <t>AJI; L Labenne</t>
  </si>
  <si>
    <t>MB breccia</t>
  </si>
  <si>
    <t>La'gad 003</t>
  </si>
  <si>
    <t>100/114</t>
  </si>
  <si>
    <t>MCVICH 005/MVCH 55</t>
  </si>
  <si>
    <t>mare basalt, PROVISIONAL</t>
  </si>
  <si>
    <t>2013, Ayoub Haddou Oumoussa</t>
  </si>
  <si>
    <t>=La'gad 003</t>
  </si>
  <si>
    <t>Arabian Peninsula 007</t>
  </si>
  <si>
    <t>NWA 12592</t>
  </si>
  <si>
    <t>NWA 12593</t>
  </si>
  <si>
    <t>NWA 12603</t>
  </si>
  <si>
    <t>NWA 12604</t>
  </si>
  <si>
    <t>P 2017 Nov</t>
  </si>
  <si>
    <t>P 2017</t>
  </si>
  <si>
    <t xml:space="preserve">P 2018 Dec </t>
  </si>
  <si>
    <t>NWA 12643</t>
  </si>
  <si>
    <t>D Pitt; Irving &amp; Carpenter</t>
  </si>
  <si>
    <t>NWA 06831</t>
  </si>
  <si>
    <t>M</t>
  </si>
  <si>
    <t>0</t>
  </si>
  <si>
    <t>NONE</t>
  </si>
  <si>
    <t>Dar al Gani 0262</t>
  </si>
  <si>
    <t>Dar al Gani 0400</t>
  </si>
  <si>
    <t>Dar al Gani 0996</t>
  </si>
  <si>
    <t>on a small hill named Grarat-Zawi, Western Sahara</t>
  </si>
  <si>
    <t>Mauritanian dealers</t>
  </si>
  <si>
    <t>Lahmada 020</t>
  </si>
  <si>
    <t>north of Jdiriya, Morocco, near Oued Skikima</t>
  </si>
  <si>
    <t>feldspathic regolith melt breccia</t>
  </si>
  <si>
    <t>highland polymict breccia</t>
  </si>
  <si>
    <t>regolith beccia</t>
  </si>
  <si>
    <t>Wad Alma, Algeria</t>
  </si>
  <si>
    <t>Oregon</t>
  </si>
  <si>
    <t>Temara, near the border between Mali and Algeria </t>
  </si>
  <si>
    <t>Moroccan Sahara</t>
  </si>
  <si>
    <t>Adam Aaronson</t>
  </si>
  <si>
    <t>Assa-Zag region of Morocco</t>
  </si>
  <si>
    <t>Nouakchott, Mauritania.</t>
  </si>
  <si>
    <t>northeastern Western Sahara</t>
  </si>
  <si>
    <t> Nouakchott, Mauritania</t>
  </si>
  <si>
    <t>in Algeria near the northern Mali border region</t>
  </si>
  <si>
    <t>Algeria </t>
  </si>
  <si>
    <t>Mali </t>
  </si>
  <si>
    <t>Hamburg, Germany</t>
  </si>
  <si>
    <t>Munich show</t>
  </si>
  <si>
    <t>date F or P</t>
  </si>
  <si>
    <t>date announced</t>
  </si>
  <si>
    <t>MB85</t>
  </si>
  <si>
    <t>F ymd</t>
  </si>
  <si>
    <t>P ymd</t>
  </si>
  <si>
    <t>FOUND</t>
  </si>
  <si>
    <t>MB89</t>
  </si>
  <si>
    <t>DELTA DAYS</t>
  </si>
  <si>
    <t>DELTA YEARS</t>
  </si>
  <si>
    <t>NWA 12697</t>
  </si>
  <si>
    <t xml:space="preserve">P 2018 Jun </t>
  </si>
  <si>
    <t>Lahmada 046</t>
  </si>
  <si>
    <t>NWA 12695</t>
  </si>
  <si>
    <t>MCVICH-003</t>
  </si>
  <si>
    <t>F or P</t>
  </si>
  <si>
    <t>YMD</t>
  </si>
  <si>
    <t>NWA 12760</t>
  </si>
  <si>
    <t>MVCH 475</t>
  </si>
  <si>
    <t>NWA 12765</t>
  </si>
  <si>
    <t>NWA 12691</t>
  </si>
  <si>
    <t>DOM 18262</t>
  </si>
  <si>
    <t>DOM 18509</t>
  </si>
  <si>
    <t>DOM 18543</t>
  </si>
  <si>
    <t>DOM 18666</t>
  </si>
  <si>
    <t>DOM 18678</t>
  </si>
  <si>
    <t>Dhofar 2101</t>
  </si>
  <si>
    <t>Dho 2101</t>
  </si>
  <si>
    <t>19°03'35.5"N, 54°27'19.5"E</t>
  </si>
  <si>
    <t>count</t>
  </si>
  <si>
    <t>AP</t>
  </si>
  <si>
    <t>Sueilila 005</t>
  </si>
  <si>
    <t>MVCH 270 #1 &amp; MVCH 270 #A2</t>
  </si>
  <si>
    <t>AB15-17A (AB#17A), Ahmad Bouragaa &amp; Ahmed Bouferra</t>
  </si>
  <si>
    <t>AJI, Ben Hoefnagels</t>
  </si>
  <si>
    <t>NWA 12826</t>
  </si>
  <si>
    <t>??, Greshake</t>
  </si>
  <si>
    <t>NWA 12870</t>
  </si>
  <si>
    <t>NWA 12830</t>
  </si>
  <si>
    <t>Ph Schmitt-Kopplin, Greshake</t>
  </si>
  <si>
    <t>NWA 12630</t>
  </si>
  <si>
    <t>NWA 12831</t>
  </si>
  <si>
    <t>NWA 12839</t>
  </si>
  <si>
    <t>Swayyah 001 </t>
  </si>
  <si>
    <t>Irving/Carpenter; Alexandre</t>
  </si>
  <si>
    <t>Irving/Carpenter; Ben Hoefnagels</t>
  </si>
  <si>
    <t>AH 700, MVCH 451, MVCH 469, MVCH 471 and MVCH 477</t>
  </si>
  <si>
    <t>DI19-1</t>
  </si>
  <si>
    <t>AD19-1</t>
  </si>
  <si>
    <t>BH211</t>
  </si>
  <si>
    <t>NWA 2402</t>
  </si>
  <si>
    <t>NWA 2420</t>
  </si>
  <si>
    <t>NWA 12909</t>
  </si>
  <si>
    <t>NWA 12952</t>
  </si>
  <si>
    <t>P Warren; N Gessler</t>
  </si>
  <si>
    <t>likely NWA 7611 pair</t>
  </si>
  <si>
    <t>Irving/Carpenter; Hermès</t>
  </si>
  <si>
    <t>Swayyah 001</t>
  </si>
  <si>
    <t>NWA 02402</t>
  </si>
  <si>
    <t>NWA 02420</t>
  </si>
  <si>
    <t>Lahmada</t>
  </si>
  <si>
    <t>NWA 12966</t>
  </si>
  <si>
    <t>NWA 12971</t>
  </si>
  <si>
    <t>NWA 12980</t>
  </si>
  <si>
    <t>NWA 12985</t>
  </si>
  <si>
    <t>NWA 12997</t>
  </si>
  <si>
    <t>Irving/Carpenter; C Zlimen, M Lyon, M Stream</t>
  </si>
  <si>
    <t>Hayden, ,Anand, Barrett; Graham Ensor</t>
  </si>
  <si>
    <t>Lahmada 047</t>
  </si>
  <si>
    <t>5744 pair?</t>
  </si>
  <si>
    <t>troctolite melt rock</t>
  </si>
  <si>
    <t>NWA 08701 a</t>
  </si>
  <si>
    <t>NWA 08701 b</t>
  </si>
  <si>
    <t>NWA 08701 c</t>
  </si>
  <si>
    <t>NWA 08701 d</t>
  </si>
  <si>
    <t>925-1629</t>
  </si>
  <si>
    <t>925-449</t>
  </si>
  <si>
    <t>km</t>
  </si>
  <si>
    <t>NWA 13120</t>
  </si>
  <si>
    <t>MB 109</t>
  </si>
  <si>
    <t>NWA 13138</t>
  </si>
  <si>
    <t>DOM 18242</t>
  </si>
  <si>
    <t>DOM 18244</t>
  </si>
  <si>
    <t>NWA 13119</t>
  </si>
  <si>
    <t>NWA 13112</t>
  </si>
  <si>
    <t>Irving/Carpenter; Labenne</t>
  </si>
  <si>
    <t>NWA 13101</t>
  </si>
  <si>
    <t>MVCH 270C</t>
  </si>
  <si>
    <t>NWA 13036</t>
  </si>
  <si>
    <t>Irving/Carpenter; A Aaronson and A Bouragaa</t>
  </si>
  <si>
    <t>MB 98</t>
  </si>
  <si>
    <t>NWA 13185</t>
  </si>
  <si>
    <t>NWA 13191</t>
  </si>
  <si>
    <t>Irving/Carpenter; M Stream, A Habibi</t>
  </si>
  <si>
    <t>DGR 027-15; 7611</t>
  </si>
  <si>
    <t>all mass (g) 31 Dec 2019</t>
  </si>
  <si>
    <t>NWA 13216</t>
  </si>
  <si>
    <t>NWA 13225</t>
  </si>
  <si>
    <t>NWA 13256</t>
  </si>
  <si>
    <t>NWA 13259</t>
  </si>
  <si>
    <t>DIFF</t>
  </si>
  <si>
    <t>of NWA</t>
  </si>
  <si>
    <t>SA</t>
  </si>
  <si>
    <t>all</t>
  </si>
  <si>
    <t>NWA 13306</t>
  </si>
  <si>
    <t>Tisserlitine 001</t>
  </si>
  <si>
    <t>Irving/Carpenter; Carlos Muñecas</t>
  </si>
  <si>
    <r>
      <t>Ghadduwah 001</t>
    </r>
    <r>
      <rPr>
        <sz val="12"/>
        <color rgb="FF000000"/>
        <rFont val="Times New Roman"/>
        <family val="1"/>
      </rPr>
      <t> </t>
    </r>
  </si>
  <si>
    <t>Agee; Abdelhadi Aithiba</t>
  </si>
  <si>
    <t>NWA 13408</t>
  </si>
  <si>
    <t>NWA 13426</t>
  </si>
  <si>
    <t>NEA 014</t>
  </si>
  <si>
    <t>Irving/Carpenter; A Habibi</t>
  </si>
  <si>
    <t>A Love; F Kuntz</t>
  </si>
  <si>
    <t>NWA 13283</t>
  </si>
  <si>
    <t>A Love; M Jost</t>
  </si>
  <si>
    <t>NWA 13450</t>
  </si>
  <si>
    <t>Touat 004</t>
  </si>
  <si>
    <t>NWA 13478</t>
  </si>
  <si>
    <t>Irving/Carpenter;  M Lyon</t>
  </si>
  <si>
    <t>NWA 13390</t>
  </si>
  <si>
    <t>NWA 13346</t>
  </si>
  <si>
    <t>Irving/Carpenter; C Zliman</t>
  </si>
  <si>
    <t>NWA 13484</t>
  </si>
  <si>
    <t>NWA 13531</t>
  </si>
  <si>
    <t>Touat 005</t>
  </si>
  <si>
    <t>NWA 13582</t>
  </si>
  <si>
    <t>W Hsu, Y Wu; Bo Zhang</t>
  </si>
  <si>
    <t>C Agee; Mark Lyon</t>
  </si>
  <si>
    <t>M1984, 8046 pair (unn 130)</t>
  </si>
  <si>
    <t>SH17-1, 10678 pair (unn 131)</t>
  </si>
  <si>
    <t>AB15-17A, AB#17A</t>
  </si>
  <si>
    <t>AH 225 12604 pair (unn 128)</t>
  </si>
  <si>
    <t>AJ16-7 8673 pair (unn 109)</t>
  </si>
  <si>
    <t>AJ-46A 10626 pair (unn 110)</t>
  </si>
  <si>
    <t>Anand B 8046 pair (unn 116)</t>
  </si>
  <si>
    <t>LO-18-T (unn 142)</t>
  </si>
  <si>
    <t>LO-18-1 Rabt Sabayta 007 pair (unn 143)</t>
  </si>
  <si>
    <t>MA180, 2977 pair (unn 099)</t>
  </si>
  <si>
    <t>MA190 7611 pair (unn 107)</t>
  </si>
  <si>
    <t>RC78.1, 11243 (unn 111)</t>
  </si>
  <si>
    <t>RC91.1 (unn 133)</t>
  </si>
  <si>
    <t>SH88 8222 pair (106)</t>
  </si>
  <si>
    <t>TB17-1 8046 pair (unn 139)</t>
  </si>
  <si>
    <t>M1984</t>
  </si>
  <si>
    <t>Anand 8046 pair?</t>
  </si>
  <si>
    <t>NWA 13568</t>
  </si>
  <si>
    <t>NWA 13621</t>
  </si>
  <si>
    <t>A Love; Adrián Contreras</t>
  </si>
  <si>
    <t>Irving/Carpenter; Higgins, Kuntz, Ross, Lehman</t>
  </si>
  <si>
    <t>Tata 001 </t>
  </si>
  <si>
    <t>NWA 13546</t>
  </si>
  <si>
    <t>NWA 13625</t>
  </si>
  <si>
    <t>Greshake; Chnaoui</t>
  </si>
  <si>
    <t>Swayyah 003</t>
  </si>
  <si>
    <t>MB 110</t>
  </si>
  <si>
    <t>Irving/Carpenter;  Lehman</t>
  </si>
  <si>
    <t>NWA 13637</t>
  </si>
  <si>
    <t>NWA 13638</t>
  </si>
  <si>
    <t>Liu Y; M Morgan</t>
  </si>
  <si>
    <t>RC58-6, 8701 pair (unn 64)</t>
  </si>
  <si>
    <t>returned to Tim</t>
  </si>
  <si>
    <t>Luigi Folco</t>
  </si>
  <si>
    <t>where is this?</t>
  </si>
  <si>
    <t>What about the big piece in the photo on my website? In museum?</t>
  </si>
  <si>
    <t>NWA 13714</t>
  </si>
  <si>
    <t>NWA 13715</t>
  </si>
  <si>
    <t>NWA 13717</t>
  </si>
  <si>
    <t>unofficial pair</t>
  </si>
  <si>
    <t>4 Australia</t>
  </si>
  <si>
    <t>5 No Africa</t>
  </si>
  <si>
    <t>oriented (unn 004)</t>
  </si>
  <si>
    <t>to JSC</t>
  </si>
  <si>
    <t>to JSC, except for TS</t>
  </si>
  <si>
    <t>NIPR 2007</t>
  </si>
  <si>
    <t>NWA 13739</t>
  </si>
  <si>
    <t>NWA 13785</t>
  </si>
  <si>
    <t>NWA 13788</t>
  </si>
  <si>
    <t>A Love; Carlos Muñecas, Adrián Contreras</t>
  </si>
  <si>
    <t>alleged pair</t>
  </si>
  <si>
    <t>Marc Jost</t>
  </si>
  <si>
    <t>BLJ has this</t>
  </si>
  <si>
    <t>note</t>
  </si>
  <si>
    <t>8 Saudi Arabia</t>
  </si>
  <si>
    <t>7 Oman</t>
  </si>
  <si>
    <t>6 Botswana</t>
  </si>
  <si>
    <t>meteorite name</t>
  </si>
  <si>
    <t>in E&amp;PS museum, but mislabeled as 911</t>
  </si>
  <si>
    <t>Eucrite</t>
  </si>
  <si>
    <t>3 chips</t>
  </si>
  <si>
    <t>what is this?</t>
  </si>
  <si>
    <t>N Classen</t>
  </si>
  <si>
    <t>L Labenne</t>
  </si>
  <si>
    <t>Jim Haklar</t>
  </si>
  <si>
    <t>E Haiderer</t>
  </si>
  <si>
    <t>Siegfried Haberer</t>
  </si>
  <si>
    <t>remainder to Kuni Nishiizumi</t>
  </si>
  <si>
    <t>Dustin Dickens</t>
  </si>
  <si>
    <t>AV02 (unn 89)</t>
  </si>
  <si>
    <t>RC30.1, JP-20</t>
  </si>
  <si>
    <t>whole stone</t>
  </si>
  <si>
    <t xml:space="preserve">AJI 514 mg </t>
  </si>
  <si>
    <t>RLK sent 0.30 g to K. Nisshiizumi</t>
  </si>
  <si>
    <t>single slice</t>
  </si>
  <si>
    <t>5 frags</t>
  </si>
  <si>
    <t>several slices</t>
  </si>
  <si>
    <t>big slice</t>
  </si>
  <si>
    <t>big slice &amp; frags</t>
  </si>
  <si>
    <t>frags &amp; crumbs</t>
  </si>
  <si>
    <t>unirrad thick section A. Wittmann</t>
  </si>
  <si>
    <t>big &amp; small slices</t>
  </si>
  <si>
    <t>sent to Chris Herd as type specimen</t>
  </si>
  <si>
    <t>LMS?</t>
  </si>
  <si>
    <t>remaining sample to be sent to ASU as type specimen</t>
  </si>
  <si>
    <t>1 chip</t>
  </si>
  <si>
    <t>1 slice</t>
  </si>
  <si>
    <t>crumbs</t>
  </si>
  <si>
    <t>1 chunk</t>
  </si>
  <si>
    <t>2 frags</t>
  </si>
  <si>
    <t>1 frag</t>
  </si>
  <si>
    <t>frags</t>
  </si>
  <si>
    <t>3 frags</t>
  </si>
  <si>
    <t>LMS 60</t>
  </si>
  <si>
    <t>3 frags 1 big</t>
  </si>
  <si>
    <t>2 chips of clast</t>
  </si>
  <si>
    <t>2 chip 1 big</t>
  </si>
  <si>
    <t>1 big</t>
  </si>
  <si>
    <t>sent as NWA 7034</t>
  </si>
  <si>
    <t>2 chips</t>
  </si>
  <si>
    <t>5 frags &amp; crumbs</t>
  </si>
  <si>
    <t>2 frags 1 big</t>
  </si>
  <si>
    <t>~5 frags &amp; crumbs</t>
  </si>
  <si>
    <t>2 slices</t>
  </si>
  <si>
    <t>4 frags &amp; crumbs</t>
  </si>
  <si>
    <t>Smula 2014 C63 (C23?)</t>
  </si>
  <si>
    <t>small frags</t>
  </si>
  <si>
    <t>3 frags &amp; crumbs</t>
  </si>
  <si>
    <t>7 frags</t>
  </si>
  <si>
    <t>3 chunks</t>
  </si>
  <si>
    <t>NWA 13676</t>
  </si>
  <si>
    <t>NWA 13779</t>
  </si>
  <si>
    <t>Irving/Carpenter; Ziyao Wang</t>
  </si>
  <si>
    <t>Greshake; Salamu Ali</t>
  </si>
  <si>
    <t>2 frags &amp; crumbs</t>
  </si>
  <si>
    <t>Dhofar 1767</t>
  </si>
  <si>
    <t>weigh</t>
  </si>
  <si>
    <t>NWA 10673</t>
  </si>
  <si>
    <t>where is this? LMS?</t>
  </si>
  <si>
    <t>2nd sample "I made 2 saw cuts"</t>
  </si>
  <si>
    <t>from</t>
  </si>
  <si>
    <t>alleged China lunar fall</t>
  </si>
  <si>
    <t>Vera Fernandes</t>
  </si>
  <si>
    <t>6 frags; likely NWA 10626, poss. 10509 pair</t>
  </si>
  <si>
    <t>~19600+ thick section</t>
  </si>
  <si>
    <t>3 big slices, smaller stuff, &amp; 1 thick section. AJI (UWB) is the holder of record of the type specimen.</t>
  </si>
  <si>
    <t>AHID, Dho 303 pair</t>
  </si>
  <si>
    <t>PMO</t>
  </si>
  <si>
    <t>Purple Mountain Observatory, Weibao Hsu</t>
  </si>
  <si>
    <t>UNM</t>
  </si>
  <si>
    <t>University of New Mexico, Carl Agee</t>
  </si>
  <si>
    <t>ROM</t>
  </si>
  <si>
    <t>Royal Ontario Museum, Ian Nicklin or Audrey Bouvier</t>
  </si>
  <si>
    <t>from TS</t>
  </si>
  <si>
    <t>from P</t>
  </si>
  <si>
    <t>from D</t>
  </si>
  <si>
    <t>donation, perhaps from finder</t>
  </si>
  <si>
    <t>sawdust, contaminated</t>
  </si>
  <si>
    <t>big chip</t>
  </si>
  <si>
    <t>sawdust, some remains (on bench?)</t>
  </si>
  <si>
    <t>We have 6 each TS</t>
  </si>
  <si>
    <t>we have a TS (from AJI?)</t>
  </si>
  <si>
    <t>~6 frags</t>
  </si>
  <si>
    <t>1 big slice &amp; crumbs</t>
  </si>
  <si>
    <t>1 big frag</t>
  </si>
  <si>
    <t>~8 frags &amp; crumbs</t>
  </si>
  <si>
    <t>frags, 1 big</t>
  </si>
  <si>
    <t>~8 chips 1 big</t>
  </si>
  <si>
    <t>frags 2 big w/metal</t>
  </si>
  <si>
    <t>frags &amp; crumbs 1 big</t>
  </si>
  <si>
    <t>lots, big</t>
  </si>
  <si>
    <t>2 big frags &amp; crumbs</t>
  </si>
  <si>
    <t>3 frags (145 mg) &amp; crumbs</t>
  </si>
  <si>
    <t>many frags</t>
  </si>
  <si>
    <t>5 frag &amp; crumbs</t>
  </si>
  <si>
    <t>~12 frags 1 big</t>
  </si>
  <si>
    <t>1 big 2 small chips</t>
  </si>
  <si>
    <t>beautiful big slice</t>
  </si>
  <si>
    <t>1 frag &amp; crumbs</t>
  </si>
  <si>
    <t>1 big slice</t>
  </si>
  <si>
    <t>big chip with sawmark smear &amp; 48 mg crumbs</t>
  </si>
  <si>
    <t>big frag and crumbs</t>
  </si>
  <si>
    <t>6+ chips</t>
  </si>
  <si>
    <t>2 big chips</t>
  </si>
  <si>
    <t>slice &amp; frags, I big</t>
  </si>
  <si>
    <t>5 frags 1 big</t>
  </si>
  <si>
    <t>4 frags</t>
  </si>
  <si>
    <t>1 big sev small frags</t>
  </si>
  <si>
    <t>sev. frags 1 big</t>
  </si>
  <si>
    <t xml:space="preserve">4 big 1 small frags; if real, actually a NWA 8673 pair </t>
  </si>
  <si>
    <t>sawdut</t>
  </si>
  <si>
    <t>~5 frags</t>
  </si>
  <si>
    <t>1 big frag &amp; crumbs</t>
  </si>
  <si>
    <t>frags &amp; fines</t>
  </si>
  <si>
    <t>4 frag</t>
  </si>
  <si>
    <t>5 frags + thick section</t>
  </si>
  <si>
    <t>1 slice (216 mg) &amp; crumbs</t>
  </si>
  <si>
    <t>1 slice; compositionally identical to Dho 303 clan but looks very different and not found nearby</t>
  </si>
  <si>
    <t>17.7-g slice + frags. This thing should be given to a place allowed to hold type specimens.</t>
  </si>
  <si>
    <t>3 slices 1 big</t>
  </si>
  <si>
    <t>6 frags</t>
  </si>
  <si>
    <t>lots</t>
  </si>
  <si>
    <t>some</t>
  </si>
  <si>
    <t>44+</t>
  </si>
  <si>
    <t>216+</t>
  </si>
  <si>
    <t>MA188 (unn 101)</t>
  </si>
  <si>
    <t>where in the world</t>
  </si>
  <si>
    <t>MA189 (unn 102)</t>
  </si>
  <si>
    <t>AB#41 8222 pair (unn 115)</t>
  </si>
  <si>
    <t>many slices, 2 TS, to be sent to ASU as type specimen</t>
  </si>
  <si>
    <t>Smula 2018; E49; He never pursued classification with us</t>
  </si>
  <si>
    <t>where is this? with frags above?</t>
  </si>
  <si>
    <t>lunar?</t>
  </si>
  <si>
    <t>returned to Tim; was in museum</t>
  </si>
  <si>
    <t>all gone</t>
  </si>
  <si>
    <t>Philippe Thomas</t>
  </si>
  <si>
    <t>Dolores Hill</t>
  </si>
  <si>
    <t>Eric Twelker</t>
  </si>
  <si>
    <t>Mike Collier</t>
  </si>
  <si>
    <t>Moritz Karl</t>
  </si>
  <si>
    <t>Jim Strope</t>
  </si>
  <si>
    <t>Peter Utas</t>
  </si>
  <si>
    <t>Jack Schrader</t>
  </si>
  <si>
    <t>Rob Wesel</t>
  </si>
  <si>
    <t>Stephan Decker</t>
  </si>
  <si>
    <t>Addi Bischoff</t>
  </si>
  <si>
    <t>David Sukow</t>
  </si>
  <si>
    <t>Brennan Klose</t>
  </si>
  <si>
    <t>S Haberer</t>
  </si>
  <si>
    <t>R Wesel</t>
  </si>
  <si>
    <t>L &amp; J Labenne</t>
  </si>
  <si>
    <t>reg brx only</t>
  </si>
  <si>
    <t>assumed attrition</t>
  </si>
  <si>
    <t>NWA 10577?</t>
  </si>
  <si>
    <t>MAC88105
,35</t>
  </si>
  <si>
    <t>MAC88105
,51</t>
  </si>
  <si>
    <t>MAC88105
,108-120</t>
  </si>
  <si>
    <t>Abar al' Uj
012</t>
  </si>
  <si>
    <t>INAA (mg)</t>
  </si>
  <si>
    <t>remain (mg)</t>
  </si>
  <si>
    <t>(mg)</t>
  </si>
  <si>
    <t>usually not actually measured</t>
  </si>
  <si>
    <t>Anthony J Irving, U of Washington</t>
  </si>
  <si>
    <t>Alex Bevan</t>
  </si>
  <si>
    <t>U of Western Australia</t>
  </si>
  <si>
    <t>dealers &amp; collectors</t>
  </si>
  <si>
    <t>Austria</t>
  </si>
  <si>
    <t>Alaska</t>
  </si>
  <si>
    <t>Germany</t>
  </si>
  <si>
    <t>Sorbonne U | Pierre and Marie Curie University, France</t>
  </si>
  <si>
    <t>Meteorite Laboratory, Weiland,
Germany</t>
  </si>
  <si>
    <t>Jakub Haloda</t>
  </si>
  <si>
    <t>Czech Geological Survey</t>
  </si>
  <si>
    <t>Klaus Keil</t>
  </si>
  <si>
    <t>USA</t>
  </si>
  <si>
    <t>John Bridges</t>
  </si>
  <si>
    <t>Natural History Museum, UK</t>
  </si>
  <si>
    <t>Martin Altmann</t>
  </si>
  <si>
    <t>Adam Hupé</t>
  </si>
  <si>
    <t xml:space="preserve">USA </t>
  </si>
  <si>
    <t>Catch a Falling Star</t>
  </si>
  <si>
    <t>Hupé Collection, Nature's Vault</t>
  </si>
  <si>
    <t>Russia?</t>
  </si>
  <si>
    <t>Spain</t>
  </si>
  <si>
    <t>Mile High Meteorites</t>
  </si>
  <si>
    <t>Big Kahuna Meteorites</t>
  </si>
  <si>
    <t>Nakhla Dog Meteorites</t>
  </si>
  <si>
    <t>Luc (&amp; Jim) Labenne</t>
  </si>
  <si>
    <t>Appalachian State University</t>
  </si>
  <si>
    <t>various places</t>
  </si>
  <si>
    <t xml:space="preserve">Cometshop </t>
  </si>
  <si>
    <t>Don Edwards</t>
  </si>
  <si>
    <t>University of Alberta</t>
  </si>
  <si>
    <t>Phil Mani</t>
  </si>
  <si>
    <t>Poland</t>
  </si>
  <si>
    <t>ArtMet</t>
  </si>
  <si>
    <t>Marcin Cimala</t>
  </si>
  <si>
    <t>Polandmet</t>
  </si>
  <si>
    <t>Polish Fireball Network</t>
  </si>
  <si>
    <t>Scientists</t>
  </si>
  <si>
    <t>University of Northern Arizona</t>
  </si>
  <si>
    <t>Universität Münster, Germany</t>
  </si>
  <si>
    <t>Università di Pisa, Italy</t>
  </si>
  <si>
    <t>University of Arizona</t>
  </si>
  <si>
    <t>University of Hawaii</t>
  </si>
  <si>
    <t>collector</t>
  </si>
  <si>
    <t>Norway?</t>
  </si>
  <si>
    <t>Helmholtz-Zentrum Muenchen-German Research Center for Environmental Health, Germany</t>
  </si>
  <si>
    <t xml:space="preserve">The Meteorite Market </t>
  </si>
  <si>
    <t>Meteoriten</t>
  </si>
  <si>
    <t>France?</t>
  </si>
  <si>
    <t>Cometshopnew</t>
  </si>
  <si>
    <t>Meteorite-Shop</t>
  </si>
  <si>
    <t>Labenne Meteorites</t>
  </si>
  <si>
    <t>Top Meteorite</t>
  </si>
  <si>
    <t>Erich's</t>
  </si>
  <si>
    <t>collector?</t>
  </si>
  <si>
    <t>a guy who contacted me</t>
  </si>
  <si>
    <t>Explore Meteorite</t>
  </si>
  <si>
    <t>Mr. Meteorite</t>
  </si>
  <si>
    <t>ebay, Meteoritica,  Stellardust</t>
  </si>
  <si>
    <t>Switzerland</t>
  </si>
  <si>
    <t>USA?</t>
  </si>
  <si>
    <t>ebay, SR meteorite</t>
  </si>
  <si>
    <t>finder-collecter</t>
  </si>
  <si>
    <t>eegooblago meteorites</t>
  </si>
  <si>
    <t>dealer</t>
  </si>
  <si>
    <t>guy who contacted me</t>
  </si>
  <si>
    <t>SkyFall Meteorites</t>
  </si>
  <si>
    <t>Natural History Museum Bern, Switzerland</t>
  </si>
  <si>
    <t>1 Antarctica</t>
  </si>
  <si>
    <t>2 Antarctica</t>
  </si>
  <si>
    <t>3 Antarctica</t>
  </si>
  <si>
    <t>Italy/Korea
L Folco</t>
  </si>
  <si>
    <t>D Hill</t>
  </si>
  <si>
    <t>A Bevan</t>
  </si>
  <si>
    <t>Ph Thomas</t>
  </si>
  <si>
    <t>E Twelker</t>
  </si>
  <si>
    <t>M Collier</t>
  </si>
  <si>
    <t>M Karl</t>
  </si>
  <si>
    <t>A Jambon</t>
  </si>
  <si>
    <t>Bartoschewitz</t>
  </si>
  <si>
    <t>J Haloda</t>
  </si>
  <si>
    <t>D Ross</t>
  </si>
  <si>
    <t>K Keil</t>
  </si>
  <si>
    <t>J Strope</t>
  </si>
  <si>
    <t>J Bridges</t>
  </si>
  <si>
    <t>T Bunch</t>
  </si>
  <si>
    <t>T Heitz</t>
  </si>
  <si>
    <t>M Farmer</t>
  </si>
  <si>
    <t>S Ralew</t>
  </si>
  <si>
    <t>M Altman</t>
  </si>
  <si>
    <t>Altman &amp; Ralew</t>
  </si>
  <si>
    <t>S Turecki</t>
  </si>
  <si>
    <t>P Utas</t>
  </si>
  <si>
    <t>J Schrader</t>
  </si>
  <si>
    <t>S Afanasyev</t>
  </si>
  <si>
    <t>M Aid</t>
  </si>
  <si>
    <t>AJI or UNM</t>
  </si>
  <si>
    <t>J Santana</t>
  </si>
  <si>
    <t>G Fujihara</t>
  </si>
  <si>
    <t>G Hupé</t>
  </si>
  <si>
    <t>A Hupé via AJI</t>
  </si>
  <si>
    <t>A Hupé</t>
  </si>
  <si>
    <t>A or G Hupé</t>
  </si>
  <si>
    <t>M Morgan</t>
  </si>
  <si>
    <t>L Atkins</t>
  </si>
  <si>
    <t>S Decker</t>
  </si>
  <si>
    <t>Schmitt-Kopplin</t>
  </si>
  <si>
    <t>A Jonikas</t>
  </si>
  <si>
    <t>F Carroll</t>
  </si>
  <si>
    <t>M Ouzillou</t>
  </si>
  <si>
    <t>A Love</t>
  </si>
  <si>
    <t>S Tutorow</t>
  </si>
  <si>
    <t>M Anand</t>
  </si>
  <si>
    <t>R Garcia</t>
  </si>
  <si>
    <t>D Dickens</t>
  </si>
  <si>
    <t>A Wang</t>
  </si>
  <si>
    <t>M Goff</t>
  </si>
  <si>
    <t>M Jost</t>
  </si>
  <si>
    <t>V Fernandes</t>
  </si>
  <si>
    <t>A Bischoff</t>
  </si>
  <si>
    <t>J Haklar</t>
  </si>
  <si>
    <t>B Klose</t>
  </si>
  <si>
    <t>D Sukow</t>
  </si>
  <si>
    <t>P Mani &amp; G Hupé</t>
  </si>
  <si>
    <t>AJI sent from D Edwards piece</t>
  </si>
  <si>
    <t>P Mani via AJI</t>
  </si>
  <si>
    <t>L Smula</t>
  </si>
  <si>
    <t>C Herd</t>
  </si>
  <si>
    <t>M Burski</t>
  </si>
  <si>
    <t xml:space="preserve">M Stolarz </t>
  </si>
  <si>
    <t>B Hoffman</t>
  </si>
  <si>
    <t>AJI &amp; D Pitt</t>
  </si>
  <si>
    <t>AJI &amp; P Mani</t>
  </si>
  <si>
    <t>Pavel Zareba</t>
  </si>
  <si>
    <t xml:space="preserve">P Zareba &amp; M Stolarz </t>
  </si>
  <si>
    <t>we cut xx mg D Edwards piece</t>
  </si>
  <si>
    <t>INAA DXXX</t>
  </si>
  <si>
    <t>where is this? Alian?</t>
  </si>
  <si>
    <t>sev. frags</t>
  </si>
  <si>
    <t>new sample</t>
  </si>
  <si>
    <t>3 big frags</t>
  </si>
  <si>
    <t>frags 1 big</t>
  </si>
  <si>
    <t>~8 frags</t>
  </si>
  <si>
    <t>2 chips &amp; fines</t>
  </si>
  <si>
    <t>3 big slices &amp; crumbs</t>
  </si>
  <si>
    <t>~8 frags; unique</t>
  </si>
  <si>
    <t>big frags &amp; crumbs</t>
  </si>
  <si>
    <t>MVCH 258B basalt clast</t>
  </si>
  <si>
    <t>MVCH 258A brx</t>
  </si>
  <si>
    <t>`</t>
  </si>
  <si>
    <t>~7 frags</t>
  </si>
  <si>
    <t>from whom/where</t>
  </si>
  <si>
    <t>chips &amp; fines</t>
  </si>
  <si>
    <t>several big frags</t>
  </si>
  <si>
    <t>Smula 2015, unn.096, Dho 1527 pair</t>
  </si>
  <si>
    <t>now I can't find it</t>
  </si>
  <si>
    <t>LMS 2</t>
  </si>
  <si>
    <t>LMS 3</t>
  </si>
  <si>
    <t>LMS 4</t>
  </si>
  <si>
    <t>crumbs &amp; sawdust; LMS 4?</t>
  </si>
  <si>
    <t>LMS 7</t>
  </si>
  <si>
    <t>LMS 8</t>
  </si>
  <si>
    <t>was: 308 mg 50-50 IMB-RB, 187 mg 2:1 RB-IMB, 106 mg RB; now: various frags; LMS 10</t>
  </si>
  <si>
    <t>LMS 11</t>
  </si>
  <si>
    <t>LMS 12</t>
  </si>
  <si>
    <t>LMS 12 &amp; 13?</t>
  </si>
  <si>
    <t>1 chunk; LMS 13</t>
  </si>
  <si>
    <t>LMS 13</t>
  </si>
  <si>
    <t>slice &amp; frags; slice in E&amp;PS museum? LMS 14</t>
  </si>
  <si>
    <t>single frag; LMS 14</t>
  </si>
  <si>
    <t>LMS 14</t>
  </si>
  <si>
    <t>LMS 5 &amp; 6, 15A&amp;B</t>
  </si>
  <si>
    <t>frags; slice in E&amp;PS museum?; LMS 16</t>
  </si>
  <si>
    <t>LMS 17</t>
  </si>
  <si>
    <t>1 frag+1 slice + TS; LMS 18</t>
  </si>
  <si>
    <t>LMS 19</t>
  </si>
  <si>
    <t>frags &amp; crumbs; LMS 19</t>
  </si>
  <si>
    <t>LMS 20</t>
  </si>
  <si>
    <t>crumbs; LMS 20</t>
  </si>
  <si>
    <t>LMS 21</t>
  </si>
  <si>
    <t>2 frags; LMS 21</t>
  </si>
  <si>
    <t>LMS 22</t>
  </si>
  <si>
    <t>crumbs; LMS 23</t>
  </si>
  <si>
    <t>LMS 24</t>
  </si>
  <si>
    <t>LMS 25</t>
  </si>
  <si>
    <t>frags &amp; crumbs; LMS 26</t>
  </si>
  <si>
    <t>LMS 26</t>
  </si>
  <si>
    <t>LMS 26?</t>
  </si>
  <si>
    <t>LMS 27</t>
  </si>
  <si>
    <t>logbook: "3 large slices" where is this?</t>
  </si>
  <si>
    <t>returned main portion to AJI; LMS 11</t>
  </si>
  <si>
    <t>LMS 16</t>
  </si>
  <si>
    <t>what is this? Where is it</t>
  </si>
  <si>
    <t>NWA 13757</t>
  </si>
  <si>
    <t>NWA 13837</t>
  </si>
  <si>
    <t>NWA 13908</t>
  </si>
  <si>
    <t>Irving/Carpenter; D Pitt</t>
  </si>
  <si>
    <t>Ghardaïa 001</t>
  </si>
  <si>
    <t>NWA 13859</t>
  </si>
  <si>
    <t>NWA 13907</t>
  </si>
  <si>
    <t>NWA 13916</t>
  </si>
  <si>
    <t>Tichiya 003</t>
  </si>
  <si>
    <t>Classen 13 g  NWA 3163/4483</t>
  </si>
  <si>
    <t>AJI NWA 4936 pair</t>
  </si>
  <si>
    <t>NWA 773 et al pair</t>
  </si>
  <si>
    <t>RC301 AJI, JP-20; Agee</t>
  </si>
  <si>
    <t>7834 pair, from Mauritania, RC391</t>
  </si>
  <si>
    <t>MH13-1 Moroccan owner AJI,  Mike Hankey</t>
  </si>
  <si>
    <t>RC621 MAC0075 D Pitt, Casablanca &amp; November; new</t>
  </si>
  <si>
    <t>RC622, Casablanca &amp; November = GF14-3; 8455</t>
  </si>
  <si>
    <t>MAC79; 8746, D Pitt</t>
  </si>
  <si>
    <t xml:space="preserve">Agee; J Kettunen </t>
  </si>
  <si>
    <t>Agee AJI suspects like MAC 139 10149  OA-7</t>
  </si>
  <si>
    <t>JaH 838; R Bartoschewitz</t>
  </si>
  <si>
    <t>K253, Kuntz, feldspathic IMB, ves matrix</t>
  </si>
  <si>
    <t>303 pair; M Stolarz</t>
  </si>
  <si>
    <t>Agee &amp;  M Ouzillou, 7834</t>
  </si>
  <si>
    <t>AB15-31, ensaist@gmailcom GF16-1</t>
  </si>
  <si>
    <t>Z Guo (UWO) Dustin Dickens, Audrey B</t>
  </si>
  <si>
    <t>W Hsu, Y Li</t>
  </si>
  <si>
    <t>N Gessler, P Warren</t>
  </si>
  <si>
    <t>C Agee J Piatek</t>
  </si>
  <si>
    <t>C Agee D Dickens</t>
  </si>
  <si>
    <t>B Miao, HLiu, Z Xia, GUT</t>
  </si>
  <si>
    <t>L Labenne; J Gattacceca</t>
  </si>
  <si>
    <t>F Brandstätter</t>
  </si>
  <si>
    <t>C Agee Terry Boudreaux</t>
  </si>
  <si>
    <t>C Agee, A Aaronson</t>
  </si>
  <si>
    <t>AJI; C Zlimen</t>
  </si>
  <si>
    <t>C Agee; D Pitt</t>
  </si>
  <si>
    <t>T S Hayden &amp; M Anand; D Dickens</t>
  </si>
  <si>
    <t>K Metzler; anon</t>
  </si>
  <si>
    <t>AH225; T Burri &amp; B  Hofmann; M Jost</t>
  </si>
  <si>
    <t>K Metzler; S Decker</t>
  </si>
  <si>
    <t>J Gattacceca; Pierre-Marie Pelé</t>
  </si>
  <si>
    <t>D Sheikh, FSU; Daoud Wabich</t>
  </si>
  <si>
    <t>Irving/Carpenter; D Ingalls</t>
  </si>
  <si>
    <t xml:space="preserve">X Gu &amp; C Agee; Zuokai Ke </t>
  </si>
  <si>
    <t>J Gattacceca; Isabelle Pothier</t>
  </si>
  <si>
    <t>J Gattacceca; P-M Pelé</t>
  </si>
  <si>
    <t>T S Hayden &amp; M Anand; Graham Ensor</t>
  </si>
  <si>
    <t>D Sheikh, FSU; Matthew Stream</t>
  </si>
  <si>
    <t>ZXia, BMiao; Zhouping Guo</t>
  </si>
  <si>
    <t>C Agee; Edwin Thompson and Phillip Todd</t>
  </si>
  <si>
    <t>J Gattacceca; Jérémy Bassemon</t>
  </si>
  <si>
    <t>H Chen, Z Xia, B Miao</t>
  </si>
  <si>
    <t>C Agee, UNM); L Atkins</t>
  </si>
  <si>
    <t>A Irving, UWS and P Carpenter, WUSL</t>
  </si>
  <si>
    <t>D Sheikh, FSU; Matthew Sream</t>
  </si>
  <si>
    <t>A Bischoff and K Klemm, IfP</t>
  </si>
  <si>
    <t xml:space="preserve">D Sheikh, FSU; Matthew Sream; Said Bachir </t>
  </si>
  <si>
    <t>Irving/Carpenter; D Lehman</t>
  </si>
  <si>
    <t>A Bischoff and K Klemm; Decker Meteorite Museum</t>
  </si>
  <si>
    <t>J Gattacceca, J Bassemon</t>
  </si>
  <si>
    <t>M Hutson, A Ruzicka; Roger Kilchenmann</t>
  </si>
  <si>
    <t>Resez D</t>
  </si>
  <si>
    <t>J Gattacceca, F Kuntz</t>
  </si>
  <si>
    <t>A Greshake; Philippe Schmitt-Kopplin</t>
  </si>
  <si>
    <t>D Sheikh; Matthew and Travis Stream</t>
  </si>
  <si>
    <t>A Greshake; Chnaoui Larbi and Lucian Cojocaru</t>
  </si>
  <si>
    <t>A Greshake, Irving/Carpenter; Said Yousfi</t>
  </si>
  <si>
    <t>C Agee; M Stream</t>
  </si>
  <si>
    <t>C Agee; Douglas Chenin</t>
  </si>
  <si>
    <t>A Love; Jean Redelsperger</t>
  </si>
  <si>
    <t>5 frags; 1 TS</t>
  </si>
  <si>
    <t>1.244 for TS</t>
  </si>
  <si>
    <t>NWA 13930</t>
  </si>
  <si>
    <t>NWA 13942</t>
  </si>
  <si>
    <t>NWA 13951</t>
  </si>
  <si>
    <t>NWA 13957</t>
  </si>
  <si>
    <t>C Agee; J Piatek</t>
  </si>
  <si>
    <t>D Sheikh; R Borges &amp; I Valenzuela</t>
  </si>
  <si>
    <t>A Love; C Muñecas &amp; A Contreras</t>
  </si>
  <si>
    <t>C Agee; M Lyon; S Mahoney, J Poblador, P Hoyt</t>
  </si>
  <si>
    <t>Irving/Carpenter; L Labenne</t>
  </si>
  <si>
    <t>Gadamis 002</t>
  </si>
  <si>
    <t>Ghardaïa 002</t>
  </si>
  <si>
    <t>J. Gattacceca; Isabelle Pothier</t>
  </si>
  <si>
    <t>NWA 13937</t>
  </si>
  <si>
    <t>NWA 13974</t>
  </si>
  <si>
    <t>NWA 13979</t>
  </si>
  <si>
    <t>NWA 13989</t>
  </si>
  <si>
    <t>NWA 13992</t>
  </si>
  <si>
    <t>NWA 14005</t>
  </si>
  <si>
    <t>A Greshake; Hanno Strufe and Ismaily Sidi Mohamed</t>
  </si>
  <si>
    <t>A Love; A Aaronson; D. Sherman &amp; J. Sinclair</t>
  </si>
  <si>
    <t>Irving/Carpenter; Maryam al Faheem</t>
  </si>
  <si>
    <t>C. Agee/A Ross; C Zlimen, T Thiegs, B Cohen</t>
  </si>
  <si>
    <t>C. Agee/A Ross; Douglas Chenin</t>
  </si>
  <si>
    <t>Jose Garcia/D. Sheikh; J Garcia</t>
  </si>
  <si>
    <t>NWA 13964</t>
  </si>
  <si>
    <t>Irving/Carpenter; C Zlimen &amp; M Lyon; A Ginsberg</t>
  </si>
  <si>
    <t>NWA 14035</t>
  </si>
  <si>
    <t>NWA 14050</t>
  </si>
  <si>
    <t>NWA 14041</t>
  </si>
  <si>
    <t>Irving/Carpenter; Ahmed Salek</t>
  </si>
  <si>
    <t>Irving/Carpenter; Tom Thiegs</t>
  </si>
  <si>
    <t>BH002;  10309/10609</t>
  </si>
  <si>
    <t>A Greshake; Andreas Schefzig via Salamu Ali</t>
  </si>
  <si>
    <t>NWA 13967</t>
  </si>
  <si>
    <t>NWA 14012</t>
  </si>
  <si>
    <t>NWA 14019</t>
  </si>
  <si>
    <t>Irving/Carpenter; Z Wang</t>
  </si>
  <si>
    <t>Geraci, Kroemer, Wittmann; J Piatek</t>
  </si>
  <si>
    <t>Ghadduwah 001 </t>
  </si>
  <si>
    <t>Ghadduwah 001</t>
  </si>
  <si>
    <t>Tata 001</t>
  </si>
  <si>
    <t>P/F year by stone</t>
  </si>
  <si>
    <t>NA</t>
  </si>
  <si>
    <t>0.5-1 g</t>
  </si>
  <si>
    <t>1-2 g</t>
  </si>
  <si>
    <t>2-4 g</t>
  </si>
  <si>
    <t>4-8 g</t>
  </si>
  <si>
    <t>8-16 g</t>
  </si>
  <si>
    <t>16-32 g</t>
  </si>
  <si>
    <t>32-64 g</t>
  </si>
  <si>
    <t>64-125 g</t>
  </si>
  <si>
    <t>125-250 g</t>
  </si>
  <si>
    <t>250-500 g</t>
  </si>
  <si>
    <t>500-1000 g</t>
  </si>
  <si>
    <t>1-2 kg</t>
  </si>
  <si>
    <t>2-4 kg</t>
  </si>
  <si>
    <t>4-8 kg</t>
  </si>
  <si>
    <t>8-16 kg</t>
  </si>
  <si>
    <t>16-32 kg</t>
  </si>
  <si>
    <t>32-64 kg</t>
  </si>
  <si>
    <t>64-125 kg</t>
  </si>
  <si>
    <t>NWA 14063</t>
  </si>
  <si>
    <t>NWA 14064</t>
  </si>
  <si>
    <t>NWA 14088</t>
  </si>
  <si>
    <t>Swayyah 004</t>
  </si>
  <si>
    <t>A Greshake; David Göttlich</t>
  </si>
  <si>
    <t>Agee/Ross; J Piatek</t>
  </si>
  <si>
    <t>NWA 14137</t>
  </si>
  <si>
    <t>Agee/Ross;  Chenin</t>
  </si>
  <si>
    <t>Dhofar 2122</t>
  </si>
  <si>
    <t>Ramlat Fasad 532</t>
  </si>
  <si>
    <t>J. Pape, E. Gnos, B. Hofmann</t>
  </si>
  <si>
    <t>Ramlat Fasad 535</t>
  </si>
  <si>
    <t>18°55.505'N, 53°14.500'E</t>
  </si>
  <si>
    <t>18° 57' 39"N, 53° 14' 31"E</t>
  </si>
  <si>
    <t>Dho 2122</t>
  </si>
  <si>
    <t>19° 23' 44"N, 54° 31' 45"E</t>
  </si>
  <si>
    <t>NWA 14071</t>
  </si>
  <si>
    <t>NWA 14134</t>
  </si>
  <si>
    <t>NWA 14140</t>
  </si>
  <si>
    <t>Irving/Carpenter; Abdelhadi Aithiba</t>
  </si>
  <si>
    <t>A Love; Chong Yaw Ong</t>
  </si>
  <si>
    <t>Irving/Carpenter; D Gregory</t>
  </si>
  <si>
    <t>NWA 14178</t>
  </si>
  <si>
    <t>NWA 14202</t>
  </si>
  <si>
    <t>D Sheikh/Juan Avilés Poblador</t>
  </si>
  <si>
    <t>Hassi Touil 001</t>
  </si>
  <si>
    <t>NWA 14258</t>
  </si>
  <si>
    <t>NWA 14280</t>
  </si>
  <si>
    <t>NWA 14340</t>
  </si>
  <si>
    <t>NWA 14341</t>
  </si>
  <si>
    <t>K. Metzler; Andreas Schefzig</t>
  </si>
  <si>
    <t>D Sheikh; Mathew Stream</t>
  </si>
  <si>
    <t>T. Mijajlovic/E. Walton/C Herd</t>
  </si>
  <si>
    <t>C Agee; L Atkins</t>
  </si>
  <si>
    <t>NWA 13892</t>
  </si>
  <si>
    <t>NWA 13896</t>
  </si>
  <si>
    <t>NWA 13899</t>
  </si>
  <si>
    <t>NWA 14338</t>
  </si>
  <si>
    <t>NWA 14358</t>
  </si>
  <si>
    <t>Ouargla 004</t>
  </si>
  <si>
    <t>Agee; S Tutorow</t>
  </si>
  <si>
    <t>total</t>
  </si>
  <si>
    <t>g mass total</t>
  </si>
  <si>
    <t>A Love; Carlos Muñecas</t>
  </si>
  <si>
    <t>R Bartoschewitz; Z Wang</t>
  </si>
  <si>
    <t>R Bartoschewitz</t>
  </si>
  <si>
    <t>NWA 14323</t>
  </si>
  <si>
    <t>NWA 14446</t>
  </si>
  <si>
    <t>A Greshake; Salamu Ali</t>
  </si>
  <si>
    <r>
      <t xml:space="preserve">Sheikh Ruzicka Greshake, </t>
    </r>
    <r>
      <rPr>
        <sz val="10"/>
        <rFont val="Arial Narrow"/>
        <family val="2"/>
      </rPr>
      <t>E &amp; P Thompson,P Stahurg</t>
    </r>
  </si>
  <si>
    <t>Gadamis 003</t>
  </si>
  <si>
    <t>NWA 14372</t>
  </si>
  <si>
    <t>NWA 14415</t>
  </si>
  <si>
    <t>NWA 14523</t>
  </si>
  <si>
    <t>NWA 14524</t>
  </si>
  <si>
    <t>NWA 14526</t>
  </si>
  <si>
    <t>Irving/Carpenter; T Boudreaux</t>
  </si>
  <si>
    <t>A Greshake; Mateusz Szyszka</t>
  </si>
  <si>
    <t>Ross/Agee; M Lyon &amp; C Zlimen</t>
  </si>
  <si>
    <t>Ross/Agee; L Labenne</t>
  </si>
  <si>
    <t>Ji/Hu/Lin; Wei Jiang</t>
  </si>
  <si>
    <t>NoAfr</t>
  </si>
  <si>
    <t>ArPen</t>
  </si>
  <si>
    <t>No Afr - stone</t>
  </si>
  <si>
    <t>ArPen- stone</t>
  </si>
  <si>
    <t>InI 001</t>
  </si>
  <si>
    <t>Irving/Carpenter; J Piatek</t>
  </si>
  <si>
    <t>MB 111</t>
  </si>
  <si>
    <t>NWA 14418</t>
  </si>
  <si>
    <t>D Dickens?</t>
  </si>
  <si>
    <t>NWA 14576</t>
  </si>
  <si>
    <t>Ross/Agee; M Lyon</t>
  </si>
  <si>
    <t>NWA 14577</t>
  </si>
  <si>
    <t>NWA 14594</t>
  </si>
  <si>
    <t>K. Metzler; Space Rocks, Ewa and Uwe Eger</t>
  </si>
  <si>
    <t>Choum 001</t>
  </si>
  <si>
    <t>NWA 14531</t>
  </si>
  <si>
    <t>NWA 14532</t>
  </si>
  <si>
    <t>NWA 14540</t>
  </si>
  <si>
    <t>J Gattacceca; Pascal Maugein</t>
  </si>
  <si>
    <t>J Gattacceca; F Kuntz</t>
  </si>
  <si>
    <t>NWA 14314</t>
  </si>
  <si>
    <t>x; Larry Atkins</t>
  </si>
  <si>
    <t>Gadamis 004</t>
  </si>
  <si>
    <t>Laâyoune 002</t>
  </si>
  <si>
    <t>NWA 14527</t>
  </si>
  <si>
    <t>NWA 14685</t>
  </si>
  <si>
    <t>NWA 14686</t>
  </si>
  <si>
    <t>NWA 14687</t>
  </si>
  <si>
    <t>NWA 14703</t>
  </si>
  <si>
    <t>NWA 14704</t>
  </si>
  <si>
    <t>NWA 14705</t>
  </si>
  <si>
    <t>NWA 14706</t>
  </si>
  <si>
    <t>NWA 14727</t>
  </si>
  <si>
    <t>NWA 14729</t>
  </si>
  <si>
    <t>NWA 14730</t>
  </si>
  <si>
    <t>NWA 14731</t>
  </si>
  <si>
    <t>NWA 14747</t>
  </si>
  <si>
    <t>NWA 14755</t>
  </si>
  <si>
    <t>NWA 14761</t>
  </si>
  <si>
    <t>NWA 14769</t>
  </si>
  <si>
    <t>Agee; M Lyon</t>
  </si>
  <si>
    <t>J Gattacceca; José Garcia</t>
  </si>
  <si>
    <t>Ross/Dickens/Agee; M Lyon</t>
  </si>
  <si>
    <t>Ross/Dickens/Agee; Bryce Rhodes</t>
  </si>
  <si>
    <t>Chen/Xie/Xia; Kaiping Wang</t>
  </si>
  <si>
    <t>Chen/Xie/Xia; Ziyao Wang</t>
  </si>
  <si>
    <t>Bouvier; Stone Gallery</t>
  </si>
  <si>
    <t>Ross/Agee; C Zlimen &amp;M Lyon</t>
  </si>
  <si>
    <t>Ross/Dickens; anon</t>
  </si>
  <si>
    <t>Ross/Agee; Aaronson, Farmer, Steve Jurvetson</t>
  </si>
  <si>
    <t>Irving/Carpenter; J. Whitcomb</t>
  </si>
  <si>
    <t>Ross/Agee; Aaronson, Rob Wesel</t>
  </si>
  <si>
    <t>NWA 14657</t>
  </si>
  <si>
    <t>Sheikh/Babst; Cascadia</t>
  </si>
  <si>
    <t>NWA 14798</t>
  </si>
  <si>
    <t>Istifane 007</t>
  </si>
  <si>
    <t xml:space="preserve">Gattacceca/ A.C. Gómez </t>
  </si>
  <si>
    <t>NWA 14884</t>
  </si>
  <si>
    <t>NWA 14900</t>
  </si>
  <si>
    <t>NWA 14905</t>
  </si>
  <si>
    <t>NWA 14908</t>
  </si>
  <si>
    <t>NWA 14188</t>
  </si>
  <si>
    <t>NWA 14695</t>
  </si>
  <si>
    <t>NWA 14836</t>
  </si>
  <si>
    <t>A Greshake; L Labenne</t>
  </si>
  <si>
    <t>Ross/Agee/Dickens; J Piatek</t>
  </si>
  <si>
    <t>D Rezes/ Zs Kereszty</t>
  </si>
  <si>
    <t>Irving/Carpenter; C Zlimen</t>
  </si>
  <si>
    <t>A Love/ S Arnold</t>
  </si>
  <si>
    <t>D Sheikh; M Stream</t>
  </si>
  <si>
    <t>D Sheikh; C Malka</t>
  </si>
  <si>
    <t>report order</t>
  </si>
  <si>
    <t>NWA 14969</t>
  </si>
  <si>
    <t>NWA 14977</t>
  </si>
  <si>
    <t>Irving/Carpenter; T Boudreux</t>
  </si>
  <si>
    <t>Irving/Carpenter; M Lyon, S Lee, A Benamro</t>
  </si>
  <si>
    <t>Qued Mya 004</t>
  </si>
  <si>
    <t>Aridal 019</t>
  </si>
  <si>
    <t>Bechar 003</t>
  </si>
  <si>
    <t>NWA 14741</t>
  </si>
  <si>
    <t>NWA 15052</t>
  </si>
  <si>
    <t>NWA 15069</t>
  </si>
  <si>
    <t>Irving/Carpenter; M Stream</t>
  </si>
  <si>
    <t>NWA 14992</t>
  </si>
  <si>
    <t>NWA 15018</t>
  </si>
  <si>
    <t>NWA 15051</t>
  </si>
  <si>
    <t>NWA 15099</t>
  </si>
  <si>
    <t>Rafsa 002</t>
  </si>
  <si>
    <t>Agee/Ross; Z Wang</t>
  </si>
  <si>
    <t>Agee/Ross; S Arnold</t>
  </si>
  <si>
    <t>Irving/Carpenter; W. Jin, Fujun Ren</t>
  </si>
  <si>
    <t>Irving/Carpenter; Z. Wang</t>
  </si>
  <si>
    <t>82/83</t>
  </si>
  <si>
    <t>El Milhas 001</t>
  </si>
  <si>
    <t>NWA 15026</t>
  </si>
  <si>
    <t>Tifariti 002</t>
  </si>
  <si>
    <t>Irving/Carpenter; J. Phillips, J Tobin</t>
  </si>
  <si>
    <t>Irving/Carpenter; Z. Wang, S Ben Badi</t>
  </si>
  <si>
    <t>NWA 15216</t>
  </si>
  <si>
    <t xml:space="preserve">NWA 15216 </t>
  </si>
  <si>
    <t>Agee; J Piatek; 10073 pair</t>
  </si>
  <si>
    <t>DOM 18545</t>
  </si>
  <si>
    <t>El Hareicha 001</t>
  </si>
  <si>
    <t>El Milhas 002</t>
  </si>
  <si>
    <t>NWA 14681</t>
  </si>
  <si>
    <t>NWA 15172</t>
  </si>
  <si>
    <t>NWA 14286</t>
  </si>
  <si>
    <t>NWA 14288</t>
  </si>
  <si>
    <t>Greshake; M Cimala</t>
  </si>
  <si>
    <t>Greshake; M Aid</t>
  </si>
  <si>
    <t>Gattacceca; Isabelle Pothier</t>
  </si>
  <si>
    <t>Sheikh; C Zliman</t>
  </si>
  <si>
    <t>Sheikh; P Stahura</t>
  </si>
  <si>
    <t>Bechar 006</t>
  </si>
  <si>
    <t>NWA 15173</t>
  </si>
  <si>
    <t>NWA 15300</t>
  </si>
  <si>
    <t>NWA 15348</t>
  </si>
  <si>
    <t>NWA 15349</t>
  </si>
  <si>
    <t>K. Metzler; Moh A Loud, M A C Gomez, V P Ivanov</t>
  </si>
  <si>
    <t>Agee/Ross; D Pitt</t>
  </si>
  <si>
    <t>Agee/Ross; M Stream</t>
  </si>
  <si>
    <t>H4</t>
  </si>
  <si>
    <t>Agator el Feroua 001</t>
  </si>
  <si>
    <t>Gadamis 005</t>
  </si>
  <si>
    <t>NWA 15312</t>
  </si>
  <si>
    <t>NWA 15368</t>
  </si>
  <si>
    <t>NWA 15373</t>
  </si>
  <si>
    <t>NWA 15375</t>
  </si>
  <si>
    <t>NWA 15377</t>
  </si>
  <si>
    <t>Agee/Ross; Bachir Salek</t>
  </si>
  <si>
    <t>Agee/Ross; M Lyon</t>
  </si>
  <si>
    <t>GRV 150357</t>
  </si>
  <si>
    <t>Z. Xia, B. Miao</t>
  </si>
  <si>
    <t>Dickens/Bell; anom</t>
  </si>
  <si>
    <t>Sheikh; M Lyon</t>
  </si>
  <si>
    <t>Sheikh; C Zlimen</t>
  </si>
  <si>
    <t>Hutson/Ruzicka; E Thompson &amp; P Stahura</t>
  </si>
  <si>
    <t>NWA 15343</t>
  </si>
  <si>
    <t>NWA 15367</t>
  </si>
  <si>
    <t>NWA 15374</t>
  </si>
  <si>
    <t>Hutson/Ruzicka/Sheikh; E Thompson</t>
  </si>
  <si>
    <t>NWA 15431</t>
  </si>
  <si>
    <t>Hutson/Ruzicka; J Spencer</t>
  </si>
  <si>
    <t>K. Metzler; Space Rocks Eger</t>
  </si>
  <si>
    <t>NWA 15433</t>
  </si>
  <si>
    <t>NWA 15352</t>
  </si>
  <si>
    <t>NWA 15432</t>
  </si>
  <si>
    <t>NWA 15483</t>
  </si>
  <si>
    <t>Lorenz C. A./Vernadsky; anon</t>
  </si>
  <si>
    <t>NWA 13676?</t>
  </si>
  <si>
    <t>NWA 15500</t>
  </si>
  <si>
    <t>NWA 15286</t>
  </si>
  <si>
    <t>NWA 15288</t>
  </si>
  <si>
    <t>some sent to Juliane Gross; remaining, 325 mg sent to Peter Sprung Universität zu Köln</t>
  </si>
  <si>
    <t>big slab; no such LM number</t>
  </si>
  <si>
    <t>purchase; number is $ paid</t>
  </si>
  <si>
    <t>Gadamis 006</t>
  </si>
  <si>
    <t>MB 112</t>
  </si>
  <si>
    <t>NWA 15528</t>
  </si>
  <si>
    <t>Grizim 002</t>
  </si>
  <si>
    <t>Irving/Carpenter; H Wang &amp; Z Wang</t>
  </si>
  <si>
    <t>Aridal 020</t>
  </si>
  <si>
    <t>Hassi el Biod 004</t>
  </si>
  <si>
    <t>NWA 15169</t>
  </si>
  <si>
    <t>NWA 15583</t>
  </si>
  <si>
    <t>NWA 15644</t>
  </si>
  <si>
    <t>NWA 15655</t>
  </si>
  <si>
    <t>Gattacceca/Devouard; j Redelsperger</t>
  </si>
  <si>
    <t>Daniel Sheikh</t>
  </si>
  <si>
    <t>D Sheikh; Sh.-Ch. Yang and J Chen</t>
  </si>
  <si>
    <t>Bechar 009</t>
  </si>
  <si>
    <t>NWA 12788</t>
  </si>
  <si>
    <t>NWA 12789</t>
  </si>
  <si>
    <t>NWA 12790</t>
  </si>
  <si>
    <t>NWA 15482</t>
  </si>
  <si>
    <t>NWA 15603</t>
  </si>
  <si>
    <t>NWA 15604</t>
  </si>
  <si>
    <t>NWA 15605</t>
  </si>
  <si>
    <t>NWA 15612</t>
  </si>
  <si>
    <t>NWA 15714</t>
  </si>
  <si>
    <t>D Sheikh; J Phillips &amp; C Zlimen</t>
  </si>
  <si>
    <t>Bartoschewitz Z Wang</t>
  </si>
  <si>
    <t>NWA 15062</t>
  </si>
  <si>
    <t>NWA 15063</t>
  </si>
  <si>
    <t>Z.Xia, B. Miao, B.Si; Bing’an Miao</t>
  </si>
  <si>
    <t>Adrar 012</t>
  </si>
  <si>
    <t>Arguin 001</t>
  </si>
  <si>
    <t>Bechar 007</t>
  </si>
  <si>
    <t>Bechar 010</t>
  </si>
  <si>
    <t>NWA 15192</t>
  </si>
  <si>
    <t>NWA 15686</t>
  </si>
  <si>
    <t>NWA 15782</t>
  </si>
  <si>
    <t>NWA 15800</t>
  </si>
  <si>
    <t>Zhao/Bouvier; Stone Gallery</t>
  </si>
  <si>
    <t xml:space="preserve">A Love; C M &amp; A C Muñoz </t>
  </si>
  <si>
    <t>Gattacceca/; I Pothier, J Phillips, M Morgan</t>
  </si>
  <si>
    <t xml:space="preserve">Ross/Agee; J Piatek </t>
  </si>
  <si>
    <t>A Love; Sh-Ch Yang</t>
  </si>
  <si>
    <t>NWA 15533</t>
  </si>
  <si>
    <t>NWA 15806</t>
  </si>
  <si>
    <t>Ramlat Fasad 600</t>
  </si>
  <si>
    <t>Gattacceca/; Eclectic Art</t>
  </si>
  <si>
    <t>Irving/Carpenter; J Chaoui</t>
  </si>
  <si>
    <t>Zhao/Bouvier; Achim &amp; M Karl</t>
  </si>
  <si>
    <t>Zappatini/Hofmann/Gnos; MHTOman</t>
  </si>
  <si>
    <t>NWA 15945</t>
  </si>
  <si>
    <t>NWA 15952</t>
  </si>
  <si>
    <t>NWA 15963</t>
  </si>
  <si>
    <t>Irving/Carpenter; J Spencer</t>
  </si>
  <si>
    <t>Irving/Carpenter; B Hoefnagels</t>
  </si>
  <si>
    <t>Warren; N Gessler</t>
  </si>
  <si>
    <t>Tiris 001</t>
  </si>
  <si>
    <t>Irving/D Pitt MAC 140, alias MA178</t>
  </si>
  <si>
    <t>Irving; D Pitt; MCVICH 43</t>
  </si>
  <si>
    <t>MCVICH042; Agee; D Pitt</t>
  </si>
  <si>
    <t>Irving; D Pitt; MVCH 211</t>
  </si>
  <si>
    <t>Irving; D Pitt; MVCH 225</t>
  </si>
  <si>
    <t>Irving; D Pitt; MVCH 64</t>
  </si>
  <si>
    <t>Irving; D Pitt; MVCH 228</t>
  </si>
  <si>
    <t>AJI;  D Pitt; A Jonikas?</t>
  </si>
  <si>
    <t>Irving; D Pitt; 1200T</t>
  </si>
  <si>
    <t>Irving; D Pitt; MAC 120 &amp; MAC 131; 5744</t>
  </si>
  <si>
    <t>Irving; D Pitt&amp;D Gheesling; RC231</t>
  </si>
  <si>
    <t>Irving; D Pitt; MCVICH 32a; 773 diabase</t>
  </si>
  <si>
    <t>Irving; D Pitt; MVCH 258 A &amp; B</t>
  </si>
  <si>
    <t>AJI MAC 133 D Pitt</t>
  </si>
  <si>
    <t>Irving; D Pitt&amp;D Gheesling; 7948 RC291</t>
  </si>
  <si>
    <t>Irving; D Pitt;  RB, Y01</t>
  </si>
  <si>
    <t>Irving; D Pitt; MAC132 = same rock as MA174</t>
  </si>
  <si>
    <t>Irving; D Pitt; MAC 139, alias RC735; 7834</t>
  </si>
  <si>
    <t>Irving; D Pitt; NWA DP129 (729?), forsterite-bearing, NWA 3136 like</t>
  </si>
  <si>
    <t>Irving; D Pitt; MAC 166</t>
  </si>
  <si>
    <t>Irving; D Pitt; MVCH 102</t>
  </si>
  <si>
    <t>Irving; D Pitt; MAC70</t>
  </si>
  <si>
    <t>Irving; D Pitt; MAC86</t>
  </si>
  <si>
    <t>Irving; D Pitt; MAC58</t>
  </si>
  <si>
    <t>Irving; D Pitt; MAC125 = SH27; 8455</t>
  </si>
  <si>
    <t xml:space="preserve">Irving; D Pitt; MAC114= RC706  very fine grained and unusually olivine-rich fragmental breccia </t>
  </si>
  <si>
    <t>Irving; D Pitt; MAC42</t>
  </si>
  <si>
    <t>Irving; D Pitt; MAC41 (8641 &amp; 8682)</t>
  </si>
  <si>
    <t>MAC115; C Agee; D Pitt</t>
  </si>
  <si>
    <t>Irving/Carpenter; D Pitt/Hoefnagels</t>
  </si>
  <si>
    <t>Irving; D Pitt; MVCH 115,  Oum Dreyga 002</t>
  </si>
  <si>
    <t>Al 'Aweinat</t>
  </si>
  <si>
    <t>NEA 039</t>
  </si>
  <si>
    <t>NWA 15807</t>
  </si>
  <si>
    <t>NWA 16095</t>
  </si>
  <si>
    <t>NWA 16106</t>
  </si>
  <si>
    <t>Tisserlitine 003</t>
  </si>
  <si>
    <t>D Sheikh; Jared Collins</t>
  </si>
  <si>
    <t>Irving &amp; Boesenberg; M Lyon,  S Jurvetson, &amp; B Caress</t>
  </si>
  <si>
    <t>Zhao &amp; Bouvier; Achim and Moritz Karl</t>
  </si>
  <si>
    <t>A Love; Shun-Chung Yang</t>
  </si>
  <si>
    <t>Irving/Carpenter; R Falls &amp; R McKenzie</t>
  </si>
  <si>
    <t>Irving/Carpenter; A Aaronson &amp; A Salek</t>
  </si>
  <si>
    <t>JaH 1118</t>
  </si>
  <si>
    <t>A. Greshake; anon</t>
  </si>
  <si>
    <t>NWA 15954</t>
  </si>
  <si>
    <t>M. Patzek/K Klemmm; M Jost</t>
  </si>
  <si>
    <t>NWA 15859</t>
  </si>
  <si>
    <t>D. Sheikh; Sean Mahoney</t>
  </si>
  <si>
    <t>NWA 16132</t>
  </si>
  <si>
    <t>D. Sheikh; David Fletcher</t>
  </si>
  <si>
    <t>NWA 16134</t>
  </si>
  <si>
    <t>Agee/Ross; L A Boltryk</t>
  </si>
  <si>
    <t>NWA 16173</t>
  </si>
  <si>
    <t>Erg Atouila 005</t>
  </si>
  <si>
    <t>Laâyoune 003</t>
  </si>
  <si>
    <t>NWA 16002</t>
  </si>
  <si>
    <t>NWA 16008</t>
  </si>
  <si>
    <t>NWA 16200</t>
  </si>
  <si>
    <t>NWA 16238</t>
  </si>
  <si>
    <t>Touat 008</t>
  </si>
  <si>
    <t>A Greshake; Said Yousfi</t>
  </si>
  <si>
    <t>K Metzler; Said Muftah Bachir</t>
  </si>
  <si>
    <t>J Gattacceca; R Joulin, E Cèbe , A Valz-Blin</t>
  </si>
  <si>
    <t>Irving/Carpenter; W Jiang</t>
  </si>
  <si>
    <t>A Greshake; Jesper Grønne</t>
  </si>
  <si>
    <t>Irving/Carpenter; M Arjdal</t>
  </si>
  <si>
    <t>Bir Moghrein 003</t>
  </si>
  <si>
    <t>NEA 042</t>
  </si>
  <si>
    <t>NWA 16267</t>
  </si>
  <si>
    <t>NWA 16282</t>
  </si>
  <si>
    <t>NWA 16283</t>
  </si>
  <si>
    <t>NWA 16292</t>
  </si>
  <si>
    <t>NWA 16294</t>
  </si>
  <si>
    <t>NWA 16278</t>
  </si>
  <si>
    <t>Irving/Carpenter; A Aaronson</t>
  </si>
  <si>
    <t>A Greshake; Moritz Karl</t>
  </si>
  <si>
    <t>Agee/Ross; B Salek, Fossil Realm</t>
  </si>
  <si>
    <t>Irving/Carpenter; M Hmani</t>
  </si>
  <si>
    <t>Agee/Spilde; C Zlimen</t>
  </si>
  <si>
    <t>NWA 16189</t>
  </si>
  <si>
    <t>Agee/Ross; A Aaronson</t>
  </si>
  <si>
    <t>Ajdabiya 001</t>
  </si>
  <si>
    <t>Bechar 012</t>
  </si>
  <si>
    <t>NWA 16277</t>
  </si>
  <si>
    <t>NWA 16286</t>
  </si>
  <si>
    <t>NWA 16349</t>
  </si>
  <si>
    <t>NWA 16366</t>
  </si>
  <si>
    <t>Shan Qin and Yutong Ma; Fujun Ren</t>
  </si>
  <si>
    <t>Irving &amp; Boesenberg; D. Baidari</t>
  </si>
  <si>
    <t>A Greshake; M Karl</t>
  </si>
  <si>
    <t>K Metzler; Aliyen Faidalah</t>
  </si>
  <si>
    <t>NWA 16400</t>
  </si>
  <si>
    <t>NWA 15059</t>
  </si>
  <si>
    <t>MB 113</t>
  </si>
  <si>
    <t>Adrar 014</t>
  </si>
  <si>
    <t>A Love; Shun-Chung Yang S-R meteorites</t>
  </si>
  <si>
    <t>NWA 16470</t>
  </si>
  <si>
    <t xml:space="preserve">Z Xia &amp; B Miao; Xin Li </t>
  </si>
  <si>
    <t>Adrar 013</t>
  </si>
  <si>
    <t>NWA 16460</t>
  </si>
  <si>
    <t>NWA 16471</t>
  </si>
  <si>
    <t>NWA 16484</t>
  </si>
  <si>
    <t>Pakepake 005</t>
  </si>
  <si>
    <t>A Greshake; M Cimal, C Zlimen, M Lyon, P Durzan</t>
  </si>
  <si>
    <t>D Sheikh; C Zlimen</t>
  </si>
  <si>
    <t>Agee/Spilde; Z Wang</t>
  </si>
  <si>
    <t>W Hsu; J Wei</t>
  </si>
  <si>
    <t>NWA 16372</t>
  </si>
  <si>
    <t>NWA 16507</t>
  </si>
  <si>
    <t>Agee/Spilde; M Lyon &amp; J Bliss</t>
  </si>
  <si>
    <t>A Greshake; Mateusz Szyszko</t>
  </si>
  <si>
    <t>NWA 15629</t>
  </si>
  <si>
    <t>Irving/Carpenter; M Lyon</t>
  </si>
  <si>
    <t>Bechar 013</t>
  </si>
  <si>
    <t>NWA 16530</t>
  </si>
  <si>
    <t>NWA 16531</t>
  </si>
  <si>
    <t>NWA 16535</t>
  </si>
  <si>
    <t>A Greshake; Mario Suppes</t>
  </si>
  <si>
    <t>M. Patzek; S. Decker</t>
  </si>
  <si>
    <t>D Dickens; J Eisler</t>
  </si>
  <si>
    <t>Bir Ounane 005</t>
  </si>
  <si>
    <t>D Sheikh; Jose Garcia</t>
  </si>
  <si>
    <t>NWA 16469</t>
  </si>
  <si>
    <t>Zh. Xia/B Miao; Xin Li</t>
  </si>
  <si>
    <t>NWA 16520</t>
  </si>
  <si>
    <t>NWA 16625</t>
  </si>
  <si>
    <t>NWA 16626</t>
  </si>
  <si>
    <t>NWA 16657</t>
  </si>
  <si>
    <t>NWA 16684</t>
  </si>
  <si>
    <t>C. Herd et al; Jason Whitcomb</t>
  </si>
  <si>
    <t>J. Gattacceca; Labenne</t>
  </si>
  <si>
    <t>A Greshake; Edwin Insuasty</t>
  </si>
  <si>
    <t>C. Herd et al; A Salek &amp; O Bourki</t>
  </si>
  <si>
    <t>El Milhas 007</t>
  </si>
  <si>
    <t>Hassi el Biod 005</t>
  </si>
  <si>
    <t>NWA 16716</t>
  </si>
  <si>
    <t>NWA 16727</t>
  </si>
  <si>
    <t>Agee/Spilde; M Stream</t>
  </si>
  <si>
    <t>Irving &amp; Boesenberg; Lin Hao Wei</t>
  </si>
  <si>
    <t>Irving/Carpenter; Z Wang &amp; J Yu</t>
  </si>
  <si>
    <t>NWA 16683</t>
  </si>
  <si>
    <t>NWA 16690</t>
  </si>
  <si>
    <t>D Sheikh; Habib-naji Naji</t>
  </si>
  <si>
    <t>Aguelt Mahba 001</t>
  </si>
  <si>
    <t>Agee/Spilde; Bachir Salek</t>
  </si>
  <si>
    <t>Irving/Carpenter; R Ward</t>
  </si>
  <si>
    <t>NWA 16761</t>
  </si>
  <si>
    <t>Agee/Spilde; J Piatek</t>
  </si>
  <si>
    <t>Hassi Zerara 001</t>
  </si>
  <si>
    <t>Agee/Spilde; M Lyon &amp; J Collins</t>
  </si>
  <si>
    <t>Dayet el Aam 003</t>
  </si>
  <si>
    <t>NWA 16784</t>
  </si>
  <si>
    <t>D Sheikh; M Stream &amp; M Lyon</t>
  </si>
  <si>
    <t>D Sheikh; M Stream &amp; Sh-Ch Yang</t>
  </si>
  <si>
    <t>NEA 063</t>
  </si>
  <si>
    <t>Agee/Spilde; D Pitt</t>
  </si>
  <si>
    <t>NWA 16557</t>
  </si>
  <si>
    <t>NWA 16660</t>
  </si>
  <si>
    <t>Almeida/Joy; J Spencer</t>
  </si>
  <si>
    <t>Al Qaryah al Sharqiyah 001</t>
  </si>
  <si>
    <t>Greshake; Jiang Wie</t>
  </si>
  <si>
    <t>Aguelt Mahba 002</t>
  </si>
  <si>
    <t>NWA 16760</t>
  </si>
  <si>
    <t>Metzler; Saeed Muftah Bachir</t>
  </si>
  <si>
    <t>NWA 16882</t>
  </si>
  <si>
    <t>Agee/Spilde; L Atkins</t>
  </si>
  <si>
    <t>NWA 16717</t>
  </si>
  <si>
    <t>NWA 16720</t>
  </si>
  <si>
    <t>NWA 16914</t>
  </si>
  <si>
    <t>NWA 16974</t>
  </si>
  <si>
    <t>NWA 17021</t>
  </si>
  <si>
    <t>Reggane 007</t>
  </si>
  <si>
    <t>Pratesi/Cuppone/Shehaj; anon</t>
  </si>
  <si>
    <t>Irving/Carpenter; A Aithiba</t>
  </si>
  <si>
    <t>Greshake; Andreas Schefzig</t>
  </si>
  <si>
    <t>Greshake; Mateusz Szysko</t>
  </si>
  <si>
    <t>D Sheikh; M Stream; Jared Collins</t>
  </si>
  <si>
    <t>Agee/Spilde; M Lyon, Bachir Salek</t>
  </si>
  <si>
    <t>NWA 16315</t>
  </si>
  <si>
    <t>NWA 16894</t>
  </si>
  <si>
    <t>Herd /Locock; A Salek and O Bourki</t>
  </si>
  <si>
    <t>Oued El Hamim 001</t>
  </si>
  <si>
    <t>Agee/Spilde; M Lyon</t>
  </si>
  <si>
    <t>NWA 16888</t>
  </si>
  <si>
    <t>unbrec bas/gab</t>
  </si>
  <si>
    <t>Lahmada 051</t>
  </si>
  <si>
    <t>NWA 17060</t>
  </si>
  <si>
    <t>NWA 17061</t>
  </si>
  <si>
    <t>NWA 16881</t>
  </si>
  <si>
    <t>NWA 17209</t>
  </si>
  <si>
    <t>NWA 17217</t>
  </si>
  <si>
    <t>Irving/Carpenter; J Garcia &amp; A Machiz</t>
  </si>
  <si>
    <t>Greshake; S M Bachir</t>
  </si>
  <si>
    <t>Greshake; SM Cimala</t>
  </si>
  <si>
    <t>Joy &amp; Pernet-Fisher; Bil Bungay</t>
  </si>
  <si>
    <t>J T Mitchell; C Zlimen</t>
  </si>
  <si>
    <t>J T Mitchell; Mitchell Wright</t>
  </si>
  <si>
    <t>NEA 075</t>
  </si>
  <si>
    <t>MB 114</t>
  </si>
  <si>
    <t>N(W/E)A</t>
  </si>
  <si>
    <t>NWA 17241</t>
  </si>
  <si>
    <t>Sheikh; R Borges</t>
  </si>
  <si>
    <t>China</t>
  </si>
  <si>
    <t>NWA 16256</t>
  </si>
  <si>
    <t>NWA 17294</t>
  </si>
  <si>
    <t>NWA 16718</t>
  </si>
  <si>
    <t>NWA 17295</t>
  </si>
  <si>
    <t>NWA 17351</t>
  </si>
  <si>
    <t>Pratesi/Landi/Shehaj; anon</t>
  </si>
  <si>
    <t>Greshake; S Yousfi</t>
  </si>
  <si>
    <t>NWA 17307</t>
  </si>
  <si>
    <t>NWA 17353</t>
  </si>
  <si>
    <t>Tin-Essako 004</t>
  </si>
  <si>
    <t>Love; S M Bachir</t>
  </si>
  <si>
    <t>NEA 076</t>
  </si>
  <si>
    <t>NEA 079</t>
  </si>
  <si>
    <t>NEA 078</t>
  </si>
  <si>
    <t>NWA 17270</t>
  </si>
  <si>
    <t>NWA 17271</t>
  </si>
  <si>
    <t>NWA 17276</t>
  </si>
  <si>
    <t>NWA 17352</t>
  </si>
  <si>
    <t>NWA 17502</t>
  </si>
  <si>
    <t>Tisserlitine 005</t>
  </si>
  <si>
    <t>Tisserlitine 006</t>
  </si>
  <si>
    <t>Metzler; M L Muftah</t>
  </si>
  <si>
    <t>Mitchell J.T.; C Zlimen</t>
  </si>
  <si>
    <t>Pratesi/Landi/Shehaj; L Cableri</t>
  </si>
  <si>
    <t>Hassi el Biod 006</t>
  </si>
  <si>
    <t>NWA 17405</t>
  </si>
  <si>
    <t>Sheikh; M Stream</t>
  </si>
  <si>
    <t>Sheikh; C Sanders</t>
  </si>
  <si>
    <t>NWA 17355</t>
  </si>
  <si>
    <t>Sheikh; D Astudillo</t>
  </si>
  <si>
    <t>NWA 17586</t>
  </si>
  <si>
    <t>NWA 17587</t>
  </si>
  <si>
    <t>Sheikh; Shun Chung-Yang</t>
  </si>
  <si>
    <t>Aridal 022</t>
  </si>
  <si>
    <t>Sheikh; M Stream, Mario Suppes</t>
  </si>
  <si>
    <t>Gadamis 008</t>
  </si>
  <si>
    <t>Agee; Ryan Hannahoe</t>
  </si>
  <si>
    <t>Hassi Zerara 004</t>
  </si>
  <si>
    <t>NWA 17471</t>
  </si>
  <si>
    <t>NWA 17581</t>
  </si>
  <si>
    <t>Soto/Gattacceca; F. Kuntz</t>
  </si>
  <si>
    <t>Dickens/Péan/Bell; J. Eisler</t>
  </si>
  <si>
    <t>Ajdabiya 007</t>
  </si>
  <si>
    <t>Araouane 001</t>
  </si>
  <si>
    <t>Greshake; Marios Suppes</t>
  </si>
  <si>
    <t>NWA 17679</t>
  </si>
  <si>
    <t>Al Qaryah al Sharqiyah 002</t>
  </si>
  <si>
    <t>Guemar 002</t>
  </si>
  <si>
    <t>NWA 17716</t>
  </si>
  <si>
    <t>NWA 17721</t>
  </si>
  <si>
    <t>NWA 17747</t>
  </si>
  <si>
    <t xml:space="preserve">Ouargla 007 </t>
  </si>
  <si>
    <t xml:space="preserve">Timétrine 001 </t>
  </si>
  <si>
    <t xml:space="preserve">Touat 011 </t>
  </si>
  <si>
    <t>Mugica, Sheikh, Hutson; Yang Shung-Chung</t>
  </si>
  <si>
    <t>Sheikh; N Jasty</t>
  </si>
  <si>
    <t>J T Mitchell; C Zlimen, M Morgan</t>
  </si>
  <si>
    <t>Greshake; Edwin Insuasty</t>
  </si>
  <si>
    <t>NWA 17859</t>
  </si>
  <si>
    <t>NWA 17869</t>
  </si>
  <si>
    <t>Sheikh; Sarah Glasser</t>
  </si>
  <si>
    <t>Greshake; F. Kuntz</t>
  </si>
  <si>
    <t>M Patzek; S Decker</t>
  </si>
  <si>
    <t>Ash Shaqqah 002</t>
  </si>
  <si>
    <t>Agee/Spilde; D Pitt, Stifler, MMGM</t>
  </si>
  <si>
    <t>NEA 104</t>
  </si>
  <si>
    <t>Greshake; Ali Mftah</t>
  </si>
  <si>
    <t>NWA 17687</t>
  </si>
  <si>
    <t>K. Metzler; Mr. Aliyen</t>
  </si>
  <si>
    <t>NWA 17688</t>
  </si>
  <si>
    <t>NWA 17689</t>
  </si>
  <si>
    <t>NWA 17302</t>
  </si>
  <si>
    <t>McFarlane/Mechem; G Ensor</t>
  </si>
  <si>
    <t>NWA 17313</t>
  </si>
  <si>
    <t>NWA 17497</t>
  </si>
  <si>
    <t>J. Garcia; Mitchell Wright</t>
  </si>
  <si>
    <t xml:space="preserve">Adrar 017 </t>
  </si>
  <si>
    <t>El Atchane 024</t>
  </si>
  <si>
    <t>NWA 17651</t>
  </si>
  <si>
    <t>NWA 17680</t>
  </si>
  <si>
    <t>NWA 17700</t>
  </si>
  <si>
    <t>NWA 17706</t>
  </si>
  <si>
    <t>NWA 17826</t>
  </si>
  <si>
    <t>NWA 17861</t>
  </si>
  <si>
    <t>NWA 17865</t>
  </si>
  <si>
    <t>Pratesi/Cuppone/Shehaj; M Lyon</t>
  </si>
  <si>
    <t>J. Garcia; Milan Zvára</t>
  </si>
  <si>
    <t>Greshake; Whitcomb Meteorite Collection</t>
  </si>
  <si>
    <t>Sheikh; C Zlimen &amp; Brett Cohen</t>
  </si>
  <si>
    <t>Greshake; Said Yousfi</t>
  </si>
  <si>
    <t>J. Garcia; Brian McDonald</t>
  </si>
  <si>
    <t>Greshake; Jatri Zuber Sidi</t>
  </si>
  <si>
    <t>Greshake; Larbi Chnaoui</t>
  </si>
  <si>
    <t>Agee/Spilde; M Lyon.N LaBlanc, J Zigras</t>
  </si>
  <si>
    <t>Ouargla 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</si>
</sst>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0.000"/>
    <numFmt numFmtId="166" formatCode="0.0"/>
    <numFmt numFmtId="167" formatCode="0.0000"/>
    <numFmt numFmtId="168" formatCode="0.00000"/>
    <numFmt numFmtId="169" formatCode="0.0%"/>
    <numFmt numFmtId="170" formatCode="dd/mmm/yyyy"/>
    <numFmt numFmtId="171" formatCode="[$-409]dd/mmm/yy;@"/>
    <numFmt numFmtId="172" formatCode="0.0E+00"/>
    <numFmt numFmtId="173" formatCode="yyyy/mm/dd;@"/>
    <numFmt numFmtId="174" formatCode="0.000%"/>
  </numFmts>
  <fonts count="132" x14ac:knownFonts="1">
    <font>
      <sz val="10"/>
      <name val="Arial Narrow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 Narrow"/>
      <family val="2"/>
    </font>
    <font>
      <sz val="12"/>
      <name val="Arial"/>
      <family val="2"/>
    </font>
    <font>
      <sz val="12"/>
      <name val="Arial Rounded MT Bold"/>
      <family val="2"/>
    </font>
    <font>
      <sz val="12"/>
      <color indexed="13"/>
      <name val="Arial Black"/>
      <family val="2"/>
    </font>
    <font>
      <sz val="10"/>
      <name val="Symbol"/>
      <family val="1"/>
      <charset val="2"/>
    </font>
    <font>
      <b/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i/>
      <sz val="10"/>
      <name val="Arial Narrow"/>
      <family val="2"/>
    </font>
    <font>
      <sz val="8"/>
      <name val="Arial Narrow"/>
      <family val="2"/>
    </font>
    <font>
      <b/>
      <sz val="10"/>
      <color indexed="10"/>
      <name val="Arial Narrow"/>
      <family val="2"/>
    </font>
    <font>
      <b/>
      <i/>
      <sz val="10"/>
      <name val="Arial Narrow"/>
      <family val="2"/>
    </font>
    <font>
      <sz val="10"/>
      <name val="Symbol"/>
      <family val="1"/>
      <charset val="2"/>
    </font>
    <font>
      <b/>
      <sz val="10"/>
      <color indexed="61"/>
      <name val="Arial Narrow"/>
      <family val="2"/>
    </font>
    <font>
      <sz val="10"/>
      <color indexed="61"/>
      <name val="Arial Narrow"/>
      <family val="2"/>
    </font>
    <font>
      <sz val="10"/>
      <color indexed="10"/>
      <name val="Arial Narrow"/>
      <family val="2"/>
    </font>
    <font>
      <sz val="7"/>
      <color indexed="81"/>
      <name val="Tahoma"/>
      <family val="2"/>
    </font>
    <font>
      <b/>
      <sz val="7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indexed="12"/>
      <name val="Arial Narrow"/>
      <family val="2"/>
    </font>
    <font>
      <sz val="10"/>
      <name val="Arial"/>
      <family val="2"/>
    </font>
    <font>
      <b/>
      <sz val="10"/>
      <color indexed="16"/>
      <name val="Arial Narrow"/>
      <family val="2"/>
    </font>
    <font>
      <sz val="8"/>
      <color indexed="8"/>
      <name val="Times New Roman"/>
      <family val="1"/>
    </font>
    <font>
      <sz val="8"/>
      <name val="Arial Narrow"/>
      <family val="2"/>
    </font>
    <font>
      <b/>
      <sz val="10"/>
      <name val="Arial"/>
      <family val="2"/>
    </font>
    <font>
      <sz val="10"/>
      <color indexed="16"/>
      <name val="Arial Narrow"/>
      <family val="2"/>
    </font>
    <font>
      <b/>
      <sz val="10"/>
      <name val="Symbol"/>
      <family val="1"/>
      <charset val="2"/>
    </font>
    <font>
      <strike/>
      <sz val="8"/>
      <name val="Arial Narrow"/>
      <family val="2"/>
    </font>
    <font>
      <b/>
      <sz val="8"/>
      <color indexed="14"/>
      <name val="Arial Narrow"/>
      <family val="2"/>
    </font>
    <font>
      <b/>
      <sz val="8"/>
      <name val="Arial Narrow"/>
      <family val="2"/>
    </font>
    <font>
      <b/>
      <sz val="10"/>
      <color indexed="9"/>
      <name val="Arial Narrow"/>
      <family val="2"/>
    </font>
    <font>
      <sz val="10"/>
      <name val="Arial"/>
      <family val="2"/>
    </font>
    <font>
      <sz val="8"/>
      <name val="Times New Roman"/>
      <family val="1"/>
    </font>
    <font>
      <b/>
      <sz val="10"/>
      <color indexed="8"/>
      <name val="Arial Narrow"/>
      <family val="2"/>
    </font>
    <font>
      <sz val="11"/>
      <name val="Times New Roman"/>
      <family val="1"/>
    </font>
    <font>
      <i/>
      <sz val="11"/>
      <name val="Times New Roman"/>
      <family val="1"/>
    </font>
    <font>
      <sz val="10"/>
      <name val="Arial Narrow"/>
      <family val="2"/>
    </font>
    <font>
      <sz val="12"/>
      <name val="Arial"/>
      <family val="2"/>
    </font>
    <font>
      <sz val="10"/>
      <color indexed="13"/>
      <name val="Arial Black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Arial Black"/>
      <family val="2"/>
    </font>
    <font>
      <sz val="9"/>
      <color indexed="58"/>
      <name val="Arial Black"/>
      <family val="2"/>
    </font>
    <font>
      <sz val="9"/>
      <color indexed="61"/>
      <name val="Arial Black"/>
      <family val="2"/>
    </font>
    <font>
      <sz val="9"/>
      <color indexed="16"/>
      <name val="Arial Black"/>
      <family val="2"/>
    </font>
    <font>
      <b/>
      <sz val="9"/>
      <name val="Arial Black"/>
      <family val="2"/>
    </font>
    <font>
      <sz val="9"/>
      <color theme="0"/>
      <name val="Arial Black"/>
      <family val="2"/>
    </font>
    <font>
      <b/>
      <sz val="10"/>
      <name val="Calibri"/>
      <family val="2"/>
    </font>
    <font>
      <b/>
      <sz val="10"/>
      <color theme="4"/>
      <name val="Arial Narrow"/>
      <family val="2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8"/>
      <name val="Calibri"/>
      <family val="2"/>
      <scheme val="minor"/>
    </font>
    <font>
      <i/>
      <strike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4"/>
      <name val="Calibri"/>
      <family val="2"/>
    </font>
    <font>
      <b/>
      <sz val="11"/>
      <color indexed="25"/>
      <name val="Calibri"/>
      <family val="2"/>
    </font>
    <font>
      <b/>
      <sz val="11"/>
      <color indexed="9"/>
      <name val="Calibri"/>
      <family val="2"/>
    </font>
    <font>
      <i/>
      <sz val="11"/>
      <color indexed="55"/>
      <name val="Calibri"/>
      <family val="2"/>
    </font>
    <font>
      <sz val="11"/>
      <color indexed="34"/>
      <name val="Calibri"/>
      <family val="2"/>
    </font>
    <font>
      <b/>
      <sz val="15"/>
      <color indexed="33"/>
      <name val="Calibri"/>
      <family val="2"/>
    </font>
    <font>
      <b/>
      <sz val="13"/>
      <color indexed="33"/>
      <name val="Calibri"/>
      <family val="2"/>
    </font>
    <font>
      <b/>
      <sz val="11"/>
      <color indexed="33"/>
      <name val="Calibri"/>
      <family val="2"/>
    </font>
    <font>
      <sz val="11"/>
      <color indexed="63"/>
      <name val="Calibri"/>
      <family val="2"/>
    </font>
    <font>
      <sz val="11"/>
      <color indexed="25"/>
      <name val="Calibri"/>
      <family val="2"/>
    </font>
    <font>
      <sz val="11"/>
      <color indexed="37"/>
      <name val="Calibri"/>
      <family val="2"/>
    </font>
    <font>
      <b/>
      <sz val="11"/>
      <color indexed="63"/>
      <name val="Calibri"/>
      <family val="2"/>
    </font>
    <font>
      <b/>
      <sz val="18"/>
      <color indexed="33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b/>
      <sz val="10"/>
      <color indexed="13"/>
      <name val="Arial"/>
      <family val="2"/>
    </font>
    <font>
      <sz val="10"/>
      <color indexed="18"/>
      <name val="Arial"/>
      <family val="2"/>
    </font>
    <font>
      <b/>
      <sz val="10"/>
      <color indexed="25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9"/>
      <name val="Calibri"/>
      <family val="2"/>
      <scheme val="minor"/>
    </font>
    <font>
      <strike/>
      <sz val="8"/>
      <name val="Calibri"/>
      <family val="2"/>
      <scheme val="minor"/>
    </font>
    <font>
      <b/>
      <strike/>
      <sz val="10"/>
      <name val="Calibri"/>
      <family val="2"/>
      <scheme val="minor"/>
    </font>
    <font>
      <strike/>
      <u/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4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12"/>
      <color rgb="FF000000"/>
      <name val="Lucida Sans Unicode"/>
      <family val="2"/>
    </font>
    <font>
      <i/>
      <sz val="12"/>
      <color rgb="FF000000"/>
      <name val="Lucida Sans Unicode"/>
      <family val="2"/>
    </font>
    <font>
      <sz val="1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rgb="FF555555"/>
      <name val="Source Sans Pro"/>
      <family val="2"/>
    </font>
    <font>
      <sz val="16"/>
      <color rgb="FF555555"/>
      <name val="Source Sans Pro"/>
      <family val="2"/>
    </font>
    <font>
      <sz val="8"/>
      <color rgb="FF555555"/>
      <name val="Source Sans Pro"/>
      <family val="2"/>
    </font>
    <font>
      <sz val="8"/>
      <color rgb="FF555555"/>
      <name val="Source Sans Pro"/>
      <family val="2"/>
    </font>
    <font>
      <sz val="8"/>
      <color rgb="FF555555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rgb="FF000000"/>
      <name val="Calibri"/>
      <family val="2"/>
      <scheme val="minor"/>
    </font>
  </fonts>
  <fills count="130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gray0625">
        <fgColor indexed="10"/>
      </patternFill>
    </fill>
    <fill>
      <patternFill patternType="solid">
        <fgColor indexed="1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darkTrellis">
        <fgColor indexed="13"/>
      </patternFill>
    </fill>
    <fill>
      <patternFill patternType="gray0625">
        <fgColor indexed="13"/>
      </patternFill>
    </fill>
    <fill>
      <patternFill patternType="gray0625">
        <fgColor indexed="12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4"/>
        <bgColor indexed="64"/>
      </patternFill>
    </fill>
    <fill>
      <patternFill patternType="gray0625">
        <fgColor indexed="13"/>
        <bgColor indexed="47"/>
      </patternFill>
    </fill>
    <fill>
      <patternFill patternType="solid">
        <fgColor indexed="42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</patternFill>
    </fill>
    <fill>
      <patternFill patternType="solid">
        <fgColor indexed="5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62"/>
      </patternFill>
    </fill>
    <fill>
      <patternFill patternType="solid">
        <fgColor indexed="17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61"/>
      </patternFill>
    </fill>
    <fill>
      <patternFill patternType="solid">
        <fgColor indexed="15"/>
      </patternFill>
    </fill>
    <fill>
      <patternFill patternType="solid">
        <fgColor indexed="52"/>
      </patternFill>
    </fill>
    <fill>
      <patternFill patternType="gray0625">
        <fgColor indexed="15"/>
      </patternFill>
    </fill>
    <fill>
      <patternFill patternType="solid">
        <fgColor indexed="39"/>
      </patternFill>
    </fill>
    <fill>
      <patternFill patternType="solid">
        <fgColor indexed="21"/>
      </patternFill>
    </fill>
    <fill>
      <patternFill patternType="darkTrellis">
        <fgColor indexed="11"/>
        <bgColor indexed="25"/>
      </patternFill>
    </fill>
    <fill>
      <patternFill patternType="gray0625">
        <fgColor indexed="10"/>
        <bgColor indexed="25"/>
      </patternFill>
    </fill>
    <fill>
      <patternFill patternType="darkTrellis">
        <fgColor indexed="13"/>
        <bgColor indexed="25"/>
      </patternFill>
    </fill>
    <fill>
      <patternFill patternType="solid">
        <fgColor rgb="FF66FF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CC"/>
        <bgColor indexed="64"/>
      </patternFill>
    </fill>
  </fills>
  <borders count="28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25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5946">
    <xf numFmtId="0" fontId="0" fillId="0" borderId="0"/>
    <xf numFmtId="0" fontId="10" fillId="0" borderId="0" applyNumberFormat="0" applyFill="0" applyBorder="0" applyAlignment="0" applyProtection="0"/>
    <xf numFmtId="0" fontId="40" fillId="4" borderId="1" applyNumberFormat="0" applyFont="0" applyBorder="0" applyAlignment="0" applyProtection="0"/>
    <xf numFmtId="44" fontId="8" fillId="0" borderId="0" applyFont="0" applyFill="0" applyBorder="0" applyAlignment="0" applyProtection="0"/>
    <xf numFmtId="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0" fillId="0" borderId="0" applyFont="0" applyFill="0" applyBorder="0" applyAlignment="0" applyProtection="0">
      <alignment horizontal="right"/>
    </xf>
    <xf numFmtId="0" fontId="11" fillId="5" borderId="0" applyNumberFormat="0" applyBorder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6" borderId="0" applyNumberFormat="0" applyFont="0" applyBorder="0" applyAlignment="0" applyProtection="0">
      <alignment vertic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10" fillId="8" borderId="0" applyNumberFormat="0" applyFont="0" applyBorder="0" applyAlignment="0" applyProtection="0"/>
    <xf numFmtId="0" fontId="8" fillId="9" borderId="0" applyNumberFormat="0" applyFont="0" applyBorder="0" applyAlignment="0" applyProtection="0">
      <alignment vertical="center"/>
    </xf>
    <xf numFmtId="0" fontId="10" fillId="10" borderId="0" applyNumberFormat="0" applyFont="0" applyBorder="0" applyAlignment="0" applyProtection="0"/>
    <xf numFmtId="0" fontId="13" fillId="4" borderId="2" applyNumberFormat="0" applyFont="0" applyBorder="0" applyAlignment="0" applyProtection="0">
      <alignment horizontal="right"/>
    </xf>
    <xf numFmtId="0" fontId="40" fillId="11" borderId="0" applyNumberFormat="0" applyFont="0" applyBorder="0" applyAlignment="0" applyProtection="0">
      <alignment horizontal="right"/>
    </xf>
    <xf numFmtId="0" fontId="13" fillId="0" borderId="0" applyNumberFormat="0" applyFont="0" applyBorder="0" applyAlignment="0" applyProtection="0">
      <alignment horizontal="right"/>
    </xf>
    <xf numFmtId="0" fontId="13" fillId="0" borderId="0" applyNumberFormat="0" applyFont="0" applyBorder="0" applyAlignment="0" applyProtection="0"/>
    <xf numFmtId="0" fontId="45" fillId="0" borderId="0">
      <alignment vertical="center"/>
    </xf>
    <xf numFmtId="0" fontId="45" fillId="0" borderId="0">
      <alignment vertical="center"/>
    </xf>
    <xf numFmtId="0" fontId="48" fillId="4" borderId="1" applyNumberFormat="0" applyFont="0" applyBorder="0" applyAlignment="0" applyProtection="0"/>
    <xf numFmtId="1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2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0" fontId="47" fillId="5" borderId="0" applyNumberFormat="0" applyBorder="0" applyProtection="0">
      <alignment vertical="center"/>
    </xf>
    <xf numFmtId="10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7" borderId="0" applyNumberFormat="0" applyFont="0" applyBorder="0" applyAlignment="0" applyProtection="0">
      <alignment vertical="center"/>
    </xf>
    <xf numFmtId="0" fontId="45" fillId="0" borderId="0">
      <alignment vertical="center"/>
    </xf>
    <xf numFmtId="0" fontId="8" fillId="0" borderId="0">
      <alignment vertical="center"/>
    </xf>
    <xf numFmtId="0" fontId="29" fillId="4" borderId="1" applyNumberFormat="0" applyFont="0" applyBorder="0" applyAlignment="0" applyProtection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" fillId="0" borderId="0"/>
    <xf numFmtId="0" fontId="66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2" fillId="110" borderId="0" applyNumberFormat="0" applyBorder="0" applyAlignment="0" applyProtection="0"/>
    <xf numFmtId="0" fontId="82" fillId="112" borderId="0" applyNumberFormat="0" applyBorder="0" applyAlignment="0" applyProtection="0"/>
    <xf numFmtId="0" fontId="82" fillId="108" borderId="0" applyNumberFormat="0" applyBorder="0" applyAlignment="0" applyProtection="0"/>
    <xf numFmtId="0" fontId="82" fillId="3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99" fillId="117" borderId="1" applyNumberFormat="0" applyFont="0" applyBorder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8" fillId="0" borderId="0">
      <alignment vertical="center"/>
    </xf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3" borderId="0" applyNumberFormat="0" applyBorder="0" applyAlignment="0" applyProtection="0"/>
    <xf numFmtId="0" fontId="82" fillId="108" borderId="0" applyNumberFormat="0" applyBorder="0" applyAlignment="0" applyProtection="0"/>
    <xf numFmtId="0" fontId="82" fillId="112" borderId="0" applyNumberFormat="0" applyBorder="0" applyAlignment="0" applyProtection="0"/>
    <xf numFmtId="0" fontId="82" fillId="110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10" fontId="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4" fillId="0" borderId="0"/>
    <xf numFmtId="0" fontId="66" fillId="0" borderId="0" applyNumberFormat="0" applyFill="0" applyBorder="0" applyAlignment="0" applyProtection="0"/>
    <xf numFmtId="0" fontId="67" fillId="0" borderId="8" applyNumberFormat="0" applyFill="0" applyAlignment="0" applyProtection="0"/>
    <xf numFmtId="0" fontId="68" fillId="0" borderId="9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71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80" borderId="11" applyNumberFormat="0" applyAlignment="0" applyProtection="0"/>
    <xf numFmtId="0" fontId="74" fillId="81" borderId="12" applyNumberFormat="0" applyAlignment="0" applyProtection="0"/>
    <xf numFmtId="0" fontId="75" fillId="81" borderId="11" applyNumberFormat="0" applyAlignment="0" applyProtection="0"/>
    <xf numFmtId="0" fontId="76" fillId="0" borderId="13" applyNumberFormat="0" applyFill="0" applyAlignment="0" applyProtection="0"/>
    <xf numFmtId="0" fontId="77" fillId="82" borderId="14" applyNumberFormat="0" applyAlignment="0" applyProtection="0"/>
    <xf numFmtId="0" fontId="78" fillId="0" borderId="0" applyNumberFormat="0" applyFill="0" applyBorder="0" applyAlignment="0" applyProtection="0"/>
    <xf numFmtId="0" fontId="4" fillId="83" borderId="15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16" applyNumberFormat="0" applyFill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81" fillId="87" borderId="0" applyNumberFormat="0" applyBorder="0" applyAlignment="0" applyProtection="0"/>
    <xf numFmtId="0" fontId="81" fillId="88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81" fillId="95" borderId="0" applyNumberFormat="0" applyBorder="0" applyAlignment="0" applyProtection="0"/>
    <xf numFmtId="0" fontId="81" fillId="96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81" fillId="99" borderId="0" applyNumberFormat="0" applyBorder="0" applyAlignment="0" applyProtection="0"/>
    <xf numFmtId="0" fontId="81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1" fillId="103" borderId="0" applyNumberFormat="0" applyBorder="0" applyAlignment="0" applyProtection="0"/>
    <xf numFmtId="0" fontId="81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7" borderId="0" applyNumberFormat="0" applyBorder="0" applyAlignment="0" applyProtection="0"/>
    <xf numFmtId="0" fontId="29" fillId="11" borderId="0" applyNumberFormat="0" applyFont="0" applyBorder="0" applyAlignment="0" applyProtection="0">
      <alignment horizontal="right"/>
    </xf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29" fillId="0" borderId="0" applyFont="0" applyFill="0" applyBorder="0" applyAlignment="0" applyProtection="0">
      <alignment horizontal="right"/>
    </xf>
    <xf numFmtId="0" fontId="11" fillId="5" borderId="0" applyNumberFormat="0" applyBorder="0" applyProtection="0">
      <alignment vertical="center"/>
    </xf>
    <xf numFmtId="0" fontId="8" fillId="0" borderId="0">
      <alignment vertical="center"/>
    </xf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67" fillId="0" borderId="8" applyNumberFormat="0" applyFill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69" fillId="0" borderId="10" applyNumberFormat="0" applyFill="0" applyAlignment="0" applyProtection="0"/>
    <xf numFmtId="0" fontId="4" fillId="0" borderId="0"/>
    <xf numFmtId="0" fontId="4" fillId="83" borderId="15" applyNumberFormat="0" applyFont="0" applyAlignment="0" applyProtection="0"/>
    <xf numFmtId="0" fontId="81" fillId="107" borderId="0" applyNumberFormat="0" applyBorder="0" applyAlignment="0" applyProtection="0"/>
    <xf numFmtId="0" fontId="4" fillId="106" borderId="0" applyNumberFormat="0" applyBorder="0" applyAlignment="0" applyProtection="0"/>
    <xf numFmtId="0" fontId="73" fillId="80" borderId="11" applyNumberFormat="0" applyAlignment="0" applyProtection="0"/>
    <xf numFmtId="0" fontId="81" fillId="91" borderId="0" applyNumberFormat="0" applyBorder="0" applyAlignment="0" applyProtection="0"/>
    <xf numFmtId="0" fontId="71" fillId="78" borderId="0" applyNumberFormat="0" applyBorder="0" applyAlignment="0" applyProtection="0"/>
    <xf numFmtId="0" fontId="4" fillId="105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2" fillId="110" borderId="0" applyNumberFormat="0" applyBorder="0" applyAlignment="0" applyProtection="0"/>
    <xf numFmtId="0" fontId="82" fillId="112" borderId="0" applyNumberFormat="0" applyBorder="0" applyAlignment="0" applyProtection="0"/>
    <xf numFmtId="0" fontId="82" fillId="108" borderId="0" applyNumberFormat="0" applyBorder="0" applyAlignment="0" applyProtection="0"/>
    <xf numFmtId="0" fontId="82" fillId="3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10" fontId="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8" fillId="0" borderId="0">
      <alignment vertical="center"/>
    </xf>
    <xf numFmtId="0" fontId="4" fillId="102" borderId="0" applyNumberFormat="0" applyBorder="0" applyAlignment="0" applyProtection="0"/>
    <xf numFmtId="0" fontId="81" fillId="96" borderId="0" applyNumberFormat="0" applyBorder="0" applyAlignment="0" applyProtection="0"/>
    <xf numFmtId="0" fontId="81" fillId="92" borderId="0" applyNumberFormat="0" applyBorder="0" applyAlignment="0" applyProtection="0"/>
    <xf numFmtId="0" fontId="4" fillId="90" borderId="0" applyNumberFormat="0" applyBorder="0" applyAlignment="0" applyProtection="0"/>
    <xf numFmtId="0" fontId="79" fillId="0" borderId="0" applyNumberFormat="0" applyFill="0" applyBorder="0" applyAlignment="0" applyProtection="0"/>
    <xf numFmtId="0" fontId="8" fillId="119" borderId="23" applyNumberFormat="0" applyFont="0" applyAlignment="0" applyProtection="0"/>
    <xf numFmtId="0" fontId="75" fillId="81" borderId="11" applyNumberFormat="0" applyAlignment="0" applyProtection="0"/>
    <xf numFmtId="0" fontId="4" fillId="0" borderId="0"/>
    <xf numFmtId="0" fontId="74" fillId="81" borderId="12" applyNumberFormat="0" applyAlignment="0" applyProtection="0"/>
    <xf numFmtId="0" fontId="81" fillId="95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77" fillId="82" borderId="14" applyNumberFormat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0" fillId="0" borderId="16" applyNumberFormat="0" applyFill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69" fillId="0" borderId="0" applyNumberFormat="0" applyFill="0" applyBorder="0" applyAlignment="0" applyProtection="0"/>
    <xf numFmtId="0" fontId="4" fillId="94" borderId="0" applyNumberFormat="0" applyBorder="0" applyAlignment="0" applyProtection="0"/>
    <xf numFmtId="0" fontId="81" fillId="103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78" fillId="0" borderId="0" applyNumberFormat="0" applyFill="0" applyBorder="0" applyAlignment="0" applyProtection="0"/>
    <xf numFmtId="0" fontId="81" fillId="99" borderId="0" applyNumberFormat="0" applyBorder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68" fillId="0" borderId="9" applyNumberFormat="0" applyFill="0" applyAlignment="0" applyProtection="0"/>
    <xf numFmtId="0" fontId="4" fillId="93" borderId="0" applyNumberFormat="0" applyBorder="0" applyAlignment="0" applyProtection="0"/>
    <xf numFmtId="0" fontId="66" fillId="0" borderId="0" applyNumberFormat="0" applyFill="0" applyBorder="0" applyAlignment="0" applyProtection="0"/>
    <xf numFmtId="0" fontId="4" fillId="89" borderId="0" applyNumberFormat="0" applyBorder="0" applyAlignment="0" applyProtection="0"/>
    <xf numFmtId="0" fontId="72" fillId="79" borderId="0" applyNumberFormat="0" applyBorder="0" applyAlignment="0" applyProtection="0"/>
    <xf numFmtId="0" fontId="81" fillId="104" borderId="0" applyNumberFormat="0" applyBorder="0" applyAlignment="0" applyProtection="0"/>
    <xf numFmtId="0" fontId="81" fillId="87" borderId="0" applyNumberFormat="0" applyBorder="0" applyAlignment="0" applyProtection="0"/>
    <xf numFmtId="0" fontId="70" fillId="77" borderId="0" applyNumberFormat="0" applyBorder="0" applyAlignment="0" applyProtection="0"/>
    <xf numFmtId="0" fontId="81" fillId="88" borderId="0" applyNumberFormat="0" applyBorder="0" applyAlignment="0" applyProtection="0"/>
    <xf numFmtId="0" fontId="76" fillId="0" borderId="13" applyNumberFormat="0" applyFill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9" fontId="8" fillId="0" borderId="0" applyFont="0" applyFill="0" applyBorder="0" applyAlignment="0" applyProtection="0"/>
    <xf numFmtId="0" fontId="8" fillId="8" borderId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2" fillId="110" borderId="0" applyNumberFormat="0" applyBorder="0" applyAlignment="0" applyProtection="0"/>
    <xf numFmtId="0" fontId="82" fillId="112" borderId="0" applyNumberFormat="0" applyBorder="0" applyAlignment="0" applyProtection="0"/>
    <xf numFmtId="0" fontId="82" fillId="108" borderId="0" applyNumberFormat="0" applyBorder="0" applyAlignment="0" applyProtection="0"/>
    <xf numFmtId="0" fontId="82" fillId="3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0" fontId="10" fillId="8" borderId="0" applyNumberFormat="0" applyFont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29" fillId="11" borderId="0" applyNumberFormat="0" applyFont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10" fontId="8" fillId="0" borderId="0" applyFont="0" applyFill="0" applyBorder="0" applyAlignment="0" applyProtection="0"/>
    <xf numFmtId="0" fontId="8" fillId="8" borderId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66" fillId="0" borderId="0" applyNumberFormat="0" applyFill="0" applyBorder="0" applyAlignment="0" applyProtection="0"/>
    <xf numFmtId="0" fontId="67" fillId="0" borderId="8" applyNumberFormat="0" applyFill="0" applyAlignment="0" applyProtection="0"/>
    <xf numFmtId="0" fontId="68" fillId="0" borderId="9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71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80" borderId="11" applyNumberFormat="0" applyAlignment="0" applyProtection="0"/>
    <xf numFmtId="0" fontId="74" fillId="81" borderId="12" applyNumberFormat="0" applyAlignment="0" applyProtection="0"/>
    <xf numFmtId="0" fontId="75" fillId="81" borderId="11" applyNumberFormat="0" applyAlignment="0" applyProtection="0"/>
    <xf numFmtId="0" fontId="76" fillId="0" borderId="13" applyNumberFormat="0" applyFill="0" applyAlignment="0" applyProtection="0"/>
    <xf numFmtId="0" fontId="77" fillId="82" borderId="14" applyNumberFormat="0" applyAlignment="0" applyProtection="0"/>
    <xf numFmtId="0" fontId="78" fillId="0" borderId="0" applyNumberFormat="0" applyFill="0" applyBorder="0" applyAlignment="0" applyProtection="0"/>
    <xf numFmtId="0" fontId="4" fillId="83" borderId="15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16" applyNumberFormat="0" applyFill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81" fillId="87" borderId="0" applyNumberFormat="0" applyBorder="0" applyAlignment="0" applyProtection="0"/>
    <xf numFmtId="0" fontId="81" fillId="88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81" fillId="95" borderId="0" applyNumberFormat="0" applyBorder="0" applyAlignment="0" applyProtection="0"/>
    <xf numFmtId="0" fontId="81" fillId="96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81" fillId="99" borderId="0" applyNumberFormat="0" applyBorder="0" applyAlignment="0" applyProtection="0"/>
    <xf numFmtId="0" fontId="81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1" fillId="103" borderId="0" applyNumberFormat="0" applyBorder="0" applyAlignment="0" applyProtection="0"/>
    <xf numFmtId="0" fontId="81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7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" fillId="0" borderId="0">
      <alignment vertical="center"/>
    </xf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10" fontId="8" fillId="0" borderId="0" applyFont="0" applyFill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29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1" fillId="100" borderId="0" applyNumberFormat="0" applyBorder="0" applyAlignment="0" applyProtection="0"/>
    <xf numFmtId="0" fontId="81" fillId="84" borderId="0" applyNumberFormat="0" applyBorder="0" applyAlignment="0" applyProtection="0"/>
    <xf numFmtId="0" fontId="4" fillId="0" borderId="0"/>
    <xf numFmtId="0" fontId="11" fillId="5" borderId="0" applyNumberFormat="0" applyBorder="0" applyProtection="0">
      <alignment vertical="center"/>
    </xf>
    <xf numFmtId="0" fontId="8" fillId="8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73" fillId="80" borderId="11" applyNumberFormat="0" applyAlignment="0" applyProtection="0"/>
    <xf numFmtId="0" fontId="87" fillId="0" borderId="0" applyNumberFormat="0" applyFill="0" applyBorder="0" applyAlignment="0" applyProtection="0"/>
    <xf numFmtId="2" fontId="9" fillId="0" borderId="0" applyFont="0" applyFill="0" applyBorder="0" applyAlignment="0" applyProtection="0"/>
    <xf numFmtId="0" fontId="86" fillId="118" borderId="18" applyNumberFormat="0" applyAlignment="0" applyProtection="0"/>
    <xf numFmtId="0" fontId="67" fillId="0" borderId="8" applyNumberFormat="0" applyFill="0" applyAlignment="0" applyProtection="0"/>
    <xf numFmtId="0" fontId="83" fillId="116" borderId="0" applyNumberFormat="0" applyBorder="0" applyAlignment="0" applyProtection="0"/>
    <xf numFmtId="0" fontId="83" fillId="115" borderId="0" applyNumberFormat="0" applyBorder="0" applyAlignment="0" applyProtection="0"/>
    <xf numFmtId="0" fontId="11" fillId="5" borderId="0" applyNumberFormat="0" applyBorder="0" applyProtection="0">
      <alignment vertical="center"/>
    </xf>
    <xf numFmtId="0" fontId="82" fillId="112" borderId="0" applyNumberFormat="0" applyBorder="0" applyAlignment="0" applyProtection="0"/>
    <xf numFmtId="0" fontId="82" fillId="112" borderId="0" applyNumberFormat="0" applyBorder="0" applyAlignment="0" applyProtection="0"/>
    <xf numFmtId="0" fontId="89" fillId="0" borderId="19" applyNumberFormat="0" applyFill="0" applyAlignment="0" applyProtection="0"/>
    <xf numFmtId="0" fontId="4" fillId="86" borderId="0" applyNumberFormat="0" applyBorder="0" applyAlignment="0" applyProtection="0"/>
    <xf numFmtId="0" fontId="70" fillId="77" borderId="0" applyNumberFormat="0" applyBorder="0" applyAlignment="0" applyProtection="0"/>
    <xf numFmtId="0" fontId="4" fillId="94" borderId="0" applyNumberFormat="0" applyBorder="0" applyAlignment="0" applyProtection="0"/>
    <xf numFmtId="0" fontId="69" fillId="0" borderId="0" applyNumberFormat="0" applyFill="0" applyBorder="0" applyAlignment="0" applyProtection="0"/>
    <xf numFmtId="0" fontId="4" fillId="0" borderId="0"/>
    <xf numFmtId="166" fontId="9" fillId="0" borderId="0" applyFont="0" applyFill="0" applyBorder="0" applyAlignment="0" applyProtection="0"/>
    <xf numFmtId="0" fontId="67" fillId="0" borderId="8" applyNumberFormat="0" applyFill="0" applyAlignment="0" applyProtection="0"/>
    <xf numFmtId="0" fontId="68" fillId="0" borderId="9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71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80" borderId="11" applyNumberFormat="0" applyAlignment="0" applyProtection="0"/>
    <xf numFmtId="0" fontId="74" fillId="81" borderId="12" applyNumberFormat="0" applyAlignment="0" applyProtection="0"/>
    <xf numFmtId="0" fontId="75" fillId="81" borderId="11" applyNumberFormat="0" applyAlignment="0" applyProtection="0"/>
    <xf numFmtId="0" fontId="76" fillId="0" borderId="13" applyNumberFormat="0" applyFill="0" applyAlignment="0" applyProtection="0"/>
    <xf numFmtId="0" fontId="77" fillId="82" borderId="14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6" applyNumberFormat="0" applyFill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81" fillId="87" borderId="0" applyNumberFormat="0" applyBorder="0" applyAlignment="0" applyProtection="0"/>
    <xf numFmtId="0" fontId="81" fillId="88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81" fillId="95" borderId="0" applyNumberFormat="0" applyBorder="0" applyAlignment="0" applyProtection="0"/>
    <xf numFmtId="0" fontId="81" fillId="96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81" fillId="99" borderId="0" applyNumberFormat="0" applyBorder="0" applyAlignment="0" applyProtection="0"/>
    <xf numFmtId="0" fontId="81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1" fillId="103" borderId="0" applyNumberFormat="0" applyBorder="0" applyAlignment="0" applyProtection="0"/>
    <xf numFmtId="0" fontId="81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7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77" fillId="82" borderId="14" applyNumberForma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81" fillId="99" borderId="0" applyNumberFormat="0" applyBorder="0" applyAlignment="0" applyProtection="0"/>
    <xf numFmtId="0" fontId="81" fillId="92" borderId="0" applyNumberFormat="0" applyBorder="0" applyAlignment="0" applyProtection="0"/>
    <xf numFmtId="0" fontId="82" fillId="109" borderId="0" applyNumberFormat="0" applyBorder="0" applyAlignment="0" applyProtection="0"/>
    <xf numFmtId="0" fontId="11" fillId="5" borderId="0" applyNumberFormat="0" applyBorder="0" applyProtection="0">
      <alignment vertical="center"/>
    </xf>
    <xf numFmtId="0" fontId="75" fillId="81" borderId="11" applyNumberFormat="0" applyAlignment="0" applyProtection="0"/>
    <xf numFmtId="0" fontId="84" fillId="47" borderId="0" applyNumberFormat="0" applyBorder="0" applyAlignment="0" applyProtection="0"/>
    <xf numFmtId="0" fontId="4" fillId="83" borderId="15" applyNumberFormat="0" applyFont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78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167" fontId="9" fillId="0" borderId="0" applyFont="0" applyFill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8" borderId="0" applyNumberFormat="0" applyBorder="0" applyAlignment="0" applyProtection="0"/>
    <xf numFmtId="2" fontId="9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4" fillId="105" borderId="0" applyNumberFormat="0" applyBorder="0" applyAlignment="0" applyProtection="0"/>
    <xf numFmtId="0" fontId="82" fillId="108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68" fillId="0" borderId="9" applyNumberFormat="0" applyFill="0" applyAlignment="0" applyProtection="0"/>
    <xf numFmtId="0" fontId="83" fillId="2" borderId="0" applyNumberFormat="0" applyBorder="0" applyAlignment="0" applyProtection="0"/>
    <xf numFmtId="0" fontId="8" fillId="119" borderId="23" applyNumberFormat="0" applyFont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4" fillId="94" borderId="0" applyNumberFormat="0" applyBorder="0" applyAlignment="0" applyProtection="0"/>
    <xf numFmtId="0" fontId="81" fillId="100" borderId="0" applyNumberFormat="0" applyBorder="0" applyAlignment="0" applyProtection="0"/>
    <xf numFmtId="0" fontId="85" fillId="111" borderId="17" applyNumberFormat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83" fillId="113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2" fillId="109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92" fillId="3" borderId="17" applyNumberForma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3" fillId="114" borderId="0" applyNumberFormat="0" applyBorder="0" applyAlignment="0" applyProtection="0"/>
    <xf numFmtId="0" fontId="81" fillId="96" borderId="0" applyNumberFormat="0" applyBorder="0" applyAlignment="0" applyProtection="0"/>
    <xf numFmtId="0" fontId="95" fillId="111" borderId="24" applyNumberFormat="0" applyAlignment="0" applyProtection="0"/>
    <xf numFmtId="0" fontId="81" fillId="84" borderId="0" applyNumberFormat="0" applyBorder="0" applyAlignment="0" applyProtection="0"/>
    <xf numFmtId="0" fontId="29" fillId="4" borderId="1" applyNumberFormat="0" applyFont="0" applyBorder="0" applyAlignment="0" applyProtection="0"/>
    <xf numFmtId="0" fontId="71" fillId="78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81" fillId="92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10" fontId="8" fillId="0" borderId="0" applyFont="0" applyFill="0" applyBorder="0" applyAlignment="0" applyProtection="0"/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166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10" fontId="8" fillId="0" borderId="0" applyFont="0" applyFill="0" applyBorder="0" applyAlignment="0" applyProtection="0"/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166" fontId="9" fillId="0" borderId="0" applyFont="0" applyFill="0" applyBorder="0" applyAlignment="0" applyProtection="0"/>
    <xf numFmtId="0" fontId="4" fillId="86" borderId="0" applyNumberFormat="0" applyBorder="0" applyAlignment="0" applyProtection="0"/>
    <xf numFmtId="0" fontId="83" fillId="112" borderId="0" applyNumberFormat="0" applyBorder="0" applyAlignment="0" applyProtection="0"/>
    <xf numFmtId="0" fontId="4" fillId="97" borderId="0" applyNumberFormat="0" applyBorder="0" applyAlignment="0" applyProtection="0"/>
    <xf numFmtId="9" fontId="8" fillId="0" borderId="0" applyFont="0" applyFill="0" applyBorder="0" applyAlignment="0" applyProtection="0"/>
    <xf numFmtId="0" fontId="82" fillId="110" borderId="0" applyNumberFormat="0" applyBorder="0" applyAlignment="0" applyProtection="0"/>
    <xf numFmtId="0" fontId="74" fillId="81" borderId="12" applyNumberFormat="0" applyAlignment="0" applyProtection="0"/>
    <xf numFmtId="0" fontId="8" fillId="8" borderId="0"/>
    <xf numFmtId="0" fontId="82" fillId="108" borderId="0" applyNumberFormat="0" applyBorder="0" applyAlignment="0" applyProtection="0"/>
    <xf numFmtId="0" fontId="87" fillId="0" borderId="0" applyNumberFormat="0" applyFill="0" applyBorder="0" applyAlignment="0" applyProtection="0"/>
    <xf numFmtId="0" fontId="83" fillId="2" borderId="0" applyNumberFormat="0" applyBorder="0" applyAlignment="0" applyProtection="0"/>
    <xf numFmtId="0" fontId="81" fillId="96" borderId="0" applyNumberFormat="0" applyBorder="0" applyAlignment="0" applyProtection="0"/>
    <xf numFmtId="0" fontId="81" fillId="103" borderId="0" applyNumberFormat="0" applyBorder="0" applyAlignment="0" applyProtection="0"/>
    <xf numFmtId="9" fontId="8" fillId="0" borderId="0" applyFont="0" applyFill="0" applyBorder="0" applyAlignment="0" applyProtection="0"/>
    <xf numFmtId="0" fontId="88" fillId="110" borderId="0" applyNumberFormat="0" applyBorder="0" applyAlignment="0" applyProtection="0"/>
    <xf numFmtId="0" fontId="75" fillId="81" borderId="11" applyNumberFormat="0" applyAlignment="0" applyProtection="0"/>
    <xf numFmtId="0" fontId="82" fillId="109" borderId="0" applyNumberFormat="0" applyBorder="0" applyAlignment="0" applyProtection="0"/>
    <xf numFmtId="0" fontId="91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81" fillId="88" borderId="0" applyNumberFormat="0" applyBorder="0" applyAlignment="0" applyProtection="0"/>
    <xf numFmtId="0" fontId="71" fillId="78" borderId="0" applyNumberFormat="0" applyBorder="0" applyAlignment="0" applyProtection="0"/>
    <xf numFmtId="0" fontId="4" fillId="89" borderId="0" applyNumberFormat="0" applyBorder="0" applyAlignment="0" applyProtection="0"/>
    <xf numFmtId="0" fontId="69" fillId="0" borderId="10" applyNumberFormat="0" applyFill="0" applyAlignment="0" applyProtection="0"/>
    <xf numFmtId="0" fontId="83" fillId="110" borderId="0" applyNumberFormat="0" applyBorder="0" applyAlignment="0" applyProtection="0"/>
    <xf numFmtId="0" fontId="82" fillId="110" borderId="0" applyNumberFormat="0" applyBorder="0" applyAlignment="0" applyProtection="0"/>
    <xf numFmtId="0" fontId="8" fillId="8" borderId="0"/>
    <xf numFmtId="0" fontId="83" fillId="108" borderId="0" applyNumberFormat="0" applyBorder="0" applyAlignment="0" applyProtection="0"/>
    <xf numFmtId="0" fontId="83" fillId="108" borderId="0" applyNumberFormat="0" applyBorder="0" applyAlignment="0" applyProtection="0"/>
    <xf numFmtId="0" fontId="91" fillId="0" borderId="21" applyNumberFormat="0" applyFill="0" applyAlignment="0" applyProtection="0"/>
    <xf numFmtId="0" fontId="82" fillId="108" borderId="0" applyNumberFormat="0" applyBorder="0" applyAlignment="0" applyProtection="0"/>
    <xf numFmtId="0" fontId="83" fillId="114" borderId="0" applyNumberFormat="0" applyBorder="0" applyAlignment="0" applyProtection="0"/>
    <xf numFmtId="0" fontId="82" fillId="110" borderId="0" applyNumberFormat="0" applyBorder="0" applyAlignment="0" applyProtection="0"/>
    <xf numFmtId="0" fontId="82" fillId="3" borderId="0" applyNumberFormat="0" applyBorder="0" applyAlignment="0" applyProtection="0"/>
    <xf numFmtId="0" fontId="93" fillId="0" borderId="22" applyNumberFormat="0" applyFill="0" applyAlignment="0" applyProtection="0"/>
    <xf numFmtId="0" fontId="83" fillId="110" borderId="0" applyNumberFormat="0" applyBorder="0" applyAlignment="0" applyProtection="0"/>
    <xf numFmtId="0" fontId="4" fillId="101" borderId="0" applyNumberFormat="0" applyBorder="0" applyAlignment="0" applyProtection="0"/>
    <xf numFmtId="0" fontId="81" fillId="99" borderId="0" applyNumberFormat="0" applyBorder="0" applyAlignment="0" applyProtection="0"/>
    <xf numFmtId="0" fontId="83" fillId="2" borderId="0" applyNumberFormat="0" applyBorder="0" applyAlignment="0" applyProtection="0"/>
    <xf numFmtId="0" fontId="81" fillId="87" borderId="0" applyNumberFormat="0" applyBorder="0" applyAlignment="0" applyProtection="0"/>
    <xf numFmtId="167" fontId="9" fillId="0" borderId="0" applyFont="0" applyFill="0" applyBorder="0" applyAlignment="0" applyProtection="0"/>
    <xf numFmtId="0" fontId="94" fillId="3" borderId="0" applyNumberFormat="0" applyBorder="0" applyAlignment="0" applyProtection="0"/>
    <xf numFmtId="0" fontId="93" fillId="0" borderId="22" applyNumberFormat="0" applyFill="0" applyAlignment="0" applyProtection="0"/>
    <xf numFmtId="0" fontId="83" fillId="113" borderId="0" applyNumberFormat="0" applyBorder="0" applyAlignment="0" applyProtection="0"/>
    <xf numFmtId="0" fontId="92" fillId="3" borderId="17" applyNumberFormat="0" applyAlignment="0" applyProtection="0"/>
    <xf numFmtId="0" fontId="81" fillId="91" borderId="0" applyNumberFormat="0" applyBorder="0" applyAlignment="0" applyProtection="0"/>
    <xf numFmtId="0" fontId="81" fillId="107" borderId="0" applyNumberFormat="0" applyBorder="0" applyAlignment="0" applyProtection="0"/>
    <xf numFmtId="0" fontId="83" fillId="110" borderId="0" applyNumberFormat="0" applyBorder="0" applyAlignment="0" applyProtection="0"/>
    <xf numFmtId="0" fontId="4" fillId="90" borderId="0" applyNumberFormat="0" applyBorder="0" applyAlignment="0" applyProtection="0"/>
    <xf numFmtId="0" fontId="83" fillId="108" borderId="0" applyNumberFormat="0" applyBorder="0" applyAlignment="0" applyProtection="0"/>
    <xf numFmtId="0" fontId="4" fillId="90" borderId="0" applyNumberFormat="0" applyBorder="0" applyAlignment="0" applyProtection="0"/>
    <xf numFmtId="0" fontId="83" fillId="2" borderId="0" applyNumberFormat="0" applyBorder="0" applyAlignment="0" applyProtection="0"/>
    <xf numFmtId="165" fontId="9" fillId="0" borderId="0" applyFont="0" applyFill="0" applyBorder="0" applyAlignment="0" applyProtection="0"/>
    <xf numFmtId="0" fontId="91" fillId="0" borderId="21" applyNumberFormat="0" applyFill="0" applyAlignment="0" applyProtection="0"/>
    <xf numFmtId="0" fontId="97" fillId="0" borderId="25" applyNumberFormat="0" applyFill="0" applyAlignment="0" applyProtection="0"/>
    <xf numFmtId="0" fontId="95" fillId="111" borderId="24" applyNumberFormat="0" applyAlignment="0" applyProtection="0"/>
    <xf numFmtId="0" fontId="98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82" fillId="108" borderId="0" applyNumberFormat="0" applyBorder="0" applyAlignment="0" applyProtection="0"/>
    <xf numFmtId="0" fontId="89" fillId="0" borderId="19" applyNumberFormat="0" applyFill="0" applyAlignment="0" applyProtection="0"/>
    <xf numFmtId="0" fontId="68" fillId="0" borderId="9" applyNumberFormat="0" applyFill="0" applyAlignment="0" applyProtection="0"/>
    <xf numFmtId="1" fontId="9" fillId="0" borderId="0" applyFont="0" applyFill="0" applyBorder="0" applyAlignment="0" applyProtection="0"/>
    <xf numFmtId="0" fontId="82" fillId="110" borderId="0" applyNumberFormat="0" applyBorder="0" applyAlignment="0" applyProtection="0"/>
    <xf numFmtId="166" fontId="9" fillId="0" borderId="0" applyFont="0" applyFill="0" applyBorder="0" applyAlignment="0" applyProtection="0"/>
    <xf numFmtId="0" fontId="8" fillId="0" borderId="0">
      <alignment vertical="center"/>
    </xf>
    <xf numFmtId="0" fontId="4" fillId="102" borderId="0" applyNumberFormat="0" applyBorder="0" applyAlignment="0" applyProtection="0"/>
    <xf numFmtId="0" fontId="81" fillId="87" borderId="0" applyNumberFormat="0" applyBorder="0" applyAlignment="0" applyProtection="0"/>
    <xf numFmtId="0" fontId="80" fillId="0" borderId="16" applyNumberFormat="0" applyFill="0" applyAlignment="0" applyProtection="0"/>
    <xf numFmtId="0" fontId="83" fillId="50" borderId="0" applyNumberFormat="0" applyBorder="0" applyAlignment="0" applyProtection="0"/>
    <xf numFmtId="0" fontId="85" fillId="111" borderId="17" applyNumberFormat="0" applyAlignment="0" applyProtection="0"/>
    <xf numFmtId="0" fontId="82" fillId="108" borderId="0" applyNumberFormat="0" applyBorder="0" applyAlignment="0" applyProtection="0"/>
    <xf numFmtId="0" fontId="4" fillId="101" borderId="0" applyNumberFormat="0" applyBorder="0" applyAlignment="0" applyProtection="0"/>
    <xf numFmtId="0" fontId="82" fillId="108" borderId="0" applyNumberFormat="0" applyBorder="0" applyAlignment="0" applyProtection="0"/>
    <xf numFmtId="0" fontId="81" fillId="104" borderId="0" applyNumberFormat="0" applyBorder="0" applyAlignment="0" applyProtection="0"/>
    <xf numFmtId="0" fontId="4" fillId="97" borderId="0" applyNumberFormat="0" applyBorder="0" applyAlignment="0" applyProtection="0"/>
    <xf numFmtId="0" fontId="83" fillId="112" borderId="0" applyNumberFormat="0" applyBorder="0" applyAlignment="0" applyProtection="0"/>
    <xf numFmtId="0" fontId="97" fillId="0" borderId="25" applyNumberFormat="0" applyFill="0" applyAlignment="0" applyProtection="0"/>
    <xf numFmtId="0" fontId="4" fillId="102" borderId="0" applyNumberFormat="0" applyBorder="0" applyAlignment="0" applyProtection="0"/>
    <xf numFmtId="0" fontId="81" fillId="88" borderId="0" applyNumberFormat="0" applyBorder="0" applyAlignment="0" applyProtection="0"/>
    <xf numFmtId="0" fontId="4" fillId="106" borderId="0" applyNumberFormat="0" applyBorder="0" applyAlignment="0" applyProtection="0"/>
    <xf numFmtId="0" fontId="88" fillId="110" borderId="0" applyNumberFormat="0" applyBorder="0" applyAlignment="0" applyProtection="0"/>
    <xf numFmtId="0" fontId="81" fillId="95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90" fillId="0" borderId="20" applyNumberFormat="0" applyFill="0" applyAlignment="0" applyProtection="0"/>
    <xf numFmtId="0" fontId="4" fillId="93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73" fillId="80" borderId="11" applyNumberFormat="0" applyAlignment="0" applyProtection="0"/>
    <xf numFmtId="0" fontId="81" fillId="107" borderId="0" applyNumberFormat="0" applyBorder="0" applyAlignment="0" applyProtection="0"/>
    <xf numFmtId="0" fontId="83" fillId="108" borderId="0" applyNumberFormat="0" applyBorder="0" applyAlignment="0" applyProtection="0"/>
    <xf numFmtId="0" fontId="29" fillId="4" borderId="1" applyNumberFormat="0" applyFont="0" applyBorder="0" applyAlignment="0" applyProtection="0"/>
    <xf numFmtId="0" fontId="81" fillId="104" borderId="0" applyNumberFormat="0" applyBorder="0" applyAlignment="0" applyProtection="0"/>
    <xf numFmtId="0" fontId="84" fillId="47" borderId="0" applyNumberFormat="0" applyBorder="0" applyAlignment="0" applyProtection="0"/>
    <xf numFmtId="0" fontId="72" fillId="79" borderId="0" applyNumberFormat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82" fillId="111" borderId="0" applyNumberFormat="0" applyBorder="0" applyAlignment="0" applyProtection="0"/>
    <xf numFmtId="0" fontId="69" fillId="0" borderId="0" applyNumberFormat="0" applyFill="0" applyBorder="0" applyAlignment="0" applyProtection="0"/>
    <xf numFmtId="0" fontId="4" fillId="106" borderId="0" applyNumberFormat="0" applyBorder="0" applyAlignment="0" applyProtection="0"/>
    <xf numFmtId="0" fontId="76" fillId="0" borderId="13" applyNumberFormat="0" applyFill="0" applyAlignment="0" applyProtection="0"/>
    <xf numFmtId="0" fontId="83" fillId="110" borderId="0" applyNumberFormat="0" applyBorder="0" applyAlignment="0" applyProtection="0"/>
    <xf numFmtId="0" fontId="78" fillId="0" borderId="0" applyNumberFormat="0" applyFill="0" applyBorder="0" applyAlignment="0" applyProtection="0"/>
    <xf numFmtId="0" fontId="83" fillId="115" borderId="0" applyNumberFormat="0" applyBorder="0" applyAlignment="0" applyProtection="0"/>
    <xf numFmtId="0" fontId="74" fillId="81" borderId="12" applyNumberFormat="0" applyAlignment="0" applyProtection="0"/>
    <xf numFmtId="0" fontId="83" fillId="50" borderId="0" applyNumberFormat="0" applyBorder="0" applyAlignment="0" applyProtection="0"/>
    <xf numFmtId="0" fontId="69" fillId="0" borderId="10" applyNumberFormat="0" applyFill="0" applyAlignment="0" applyProtection="0"/>
    <xf numFmtId="10" fontId="8" fillId="0" borderId="0" applyFont="0" applyFill="0" applyBorder="0" applyAlignment="0" applyProtection="0"/>
    <xf numFmtId="0" fontId="82" fillId="111" borderId="0" applyNumberFormat="0" applyBorder="0" applyAlignment="0" applyProtection="0"/>
    <xf numFmtId="0" fontId="77" fillId="82" borderId="14" applyNumberFormat="0" applyAlignment="0" applyProtection="0"/>
    <xf numFmtId="0" fontId="81" fillId="91" borderId="0" applyNumberFormat="0" applyBorder="0" applyAlignment="0" applyProtection="0"/>
    <xf numFmtId="0" fontId="67" fillId="0" borderId="8" applyNumberFormat="0" applyFill="0" applyAlignment="0" applyProtection="0"/>
    <xf numFmtId="0" fontId="72" fillId="79" borderId="0" applyNumberFormat="0" applyBorder="0" applyAlignment="0" applyProtection="0"/>
    <xf numFmtId="0" fontId="82" fillId="110" borderId="0" applyNumberFormat="0" applyBorder="0" applyAlignment="0" applyProtection="0"/>
    <xf numFmtId="0" fontId="80" fillId="0" borderId="16" applyNumberFormat="0" applyFill="0" applyAlignment="0" applyProtection="0"/>
    <xf numFmtId="0" fontId="76" fillId="0" borderId="13" applyNumberFormat="0" applyFill="0" applyAlignment="0" applyProtection="0"/>
    <xf numFmtId="0" fontId="8" fillId="7" borderId="0" applyNumberFormat="0" applyFont="0" applyBorder="0" applyAlignment="0" applyProtection="0">
      <alignment vertical="center"/>
    </xf>
    <xf numFmtId="10" fontId="8" fillId="0" borderId="0" applyFont="0" applyFill="0" applyBorder="0" applyAlignment="0" applyProtection="0"/>
    <xf numFmtId="0" fontId="81" fillId="95" borderId="0" applyNumberFormat="0" applyBorder="0" applyAlignment="0" applyProtection="0"/>
    <xf numFmtId="0" fontId="91" fillId="0" borderId="0" applyNumberFormat="0" applyFill="0" applyBorder="0" applyAlignment="0" applyProtection="0"/>
    <xf numFmtId="0" fontId="82" fillId="109" borderId="0" applyNumberFormat="0" applyBorder="0" applyAlignment="0" applyProtection="0"/>
    <xf numFmtId="0" fontId="81" fillId="103" borderId="0" applyNumberFormat="0" applyBorder="0" applyAlignment="0" applyProtection="0"/>
    <xf numFmtId="0" fontId="8" fillId="119" borderId="23" applyNumberFormat="0" applyFont="0" applyAlignment="0" applyProtection="0"/>
    <xf numFmtId="0" fontId="96" fillId="0" borderId="0" applyNumberFormat="0" applyFill="0" applyBorder="0" applyAlignment="0" applyProtection="0"/>
    <xf numFmtId="0" fontId="82" fillId="3" borderId="0" applyNumberFormat="0" applyBorder="0" applyAlignment="0" applyProtection="0"/>
    <xf numFmtId="0" fontId="83" fillId="116" borderId="0" applyNumberFormat="0" applyBorder="0" applyAlignment="0" applyProtection="0"/>
    <xf numFmtId="0" fontId="86" fillId="118" borderId="18" applyNumberFormat="0" applyAlignment="0" applyProtection="0"/>
    <xf numFmtId="0" fontId="82" fillId="108" borderId="0" applyNumberFormat="0" applyBorder="0" applyAlignment="0" applyProtection="0"/>
    <xf numFmtId="0" fontId="94" fillId="3" borderId="0" applyNumberFormat="0" applyBorder="0" applyAlignment="0" applyProtection="0"/>
    <xf numFmtId="1" fontId="9" fillId="0" borderId="0" applyFont="0" applyFill="0" applyBorder="0" applyAlignment="0" applyProtection="0"/>
    <xf numFmtId="0" fontId="90" fillId="0" borderId="20" applyNumberFormat="0" applyFill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29" fillId="0" borderId="0"/>
    <xf numFmtId="0" fontId="11" fillId="5" borderId="0" applyNumberFormat="0" applyBorder="0" applyProtection="0">
      <alignment vertical="center"/>
    </xf>
    <xf numFmtId="0" fontId="8" fillId="8" borderId="0"/>
    <xf numFmtId="0" fontId="88" fillId="110" borderId="0" applyNumberFormat="0" applyBorder="0" applyAlignment="0" applyProtection="0"/>
    <xf numFmtId="0" fontId="8" fillId="0" borderId="0">
      <alignment vertical="center"/>
    </xf>
    <xf numFmtId="0" fontId="82" fillId="108" borderId="0" applyNumberFormat="0" applyBorder="0" applyAlignment="0" applyProtection="0"/>
    <xf numFmtId="0" fontId="101" fillId="0" borderId="0" applyNumberFormat="0" applyFill="0" applyBorder="0" applyAlignment="0" applyProtection="0">
      <alignment horizontal="right"/>
    </xf>
    <xf numFmtId="0" fontId="91" fillId="0" borderId="0" applyNumberFormat="0" applyFill="0" applyBorder="0" applyAlignment="0" applyProtection="0"/>
    <xf numFmtId="0" fontId="95" fillId="111" borderId="24" applyNumberFormat="0" applyAlignment="0" applyProtection="0"/>
    <xf numFmtId="0" fontId="4" fillId="0" borderId="0"/>
    <xf numFmtId="0" fontId="69" fillId="0" borderId="0" applyNumberFormat="0" applyFill="0" applyBorder="0" applyAlignment="0" applyProtection="0"/>
    <xf numFmtId="0" fontId="103" fillId="122" borderId="0" applyNumberFormat="0" applyFont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69" fillId="0" borderId="10" applyNumberFormat="0" applyFill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100" fillId="0" borderId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2" fillId="10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3" fillId="110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81" fillId="96" borderId="0" applyNumberFormat="0" applyBorder="0" applyAlignment="0" applyProtection="0"/>
    <xf numFmtId="0" fontId="4" fillId="105" borderId="0" applyNumberFormat="0" applyBorder="0" applyAlignment="0" applyProtection="0"/>
    <xf numFmtId="0" fontId="90" fillId="0" borderId="20" applyNumberFormat="0" applyFill="0" applyAlignment="0" applyProtection="0"/>
    <xf numFmtId="0" fontId="83" fillId="112" borderId="0" applyNumberFormat="0" applyBorder="0" applyAlignment="0" applyProtection="0"/>
    <xf numFmtId="0" fontId="82" fillId="110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97" fillId="0" borderId="25" applyNumberFormat="0" applyFill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5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0" borderId="0" applyNumberFormat="0" applyBorder="0" applyAlignment="0" applyProtection="0"/>
    <xf numFmtId="0" fontId="4" fillId="85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3" fillId="113" borderId="0" applyNumberFormat="0" applyBorder="0" applyAlignment="0" applyProtection="0"/>
    <xf numFmtId="0" fontId="92" fillId="3" borderId="17" applyNumberForma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29" fillId="0" borderId="26" applyNumberFormat="0" applyFont="0" applyFill="0" applyAlignment="0" applyProtection="0"/>
    <xf numFmtId="0" fontId="4" fillId="83" borderId="15" applyNumberFormat="0" applyFont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1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6" fillId="118" borderId="18" applyNumberFormat="0" applyAlignment="0" applyProtection="0"/>
    <xf numFmtId="0" fontId="8" fillId="0" borderId="0">
      <alignment vertical="center"/>
    </xf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3" borderId="0" applyNumberFormat="0" applyBorder="0" applyAlignment="0" applyProtection="0"/>
    <xf numFmtId="0" fontId="82" fillId="108" borderId="0" applyNumberFormat="0" applyBorder="0" applyAlignment="0" applyProtection="0"/>
    <xf numFmtId="0" fontId="82" fillId="112" borderId="0" applyNumberFormat="0" applyBorder="0" applyAlignment="0" applyProtection="0"/>
    <xf numFmtId="0" fontId="82" fillId="110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29" fillId="0" borderId="0"/>
    <xf numFmtId="0" fontId="102" fillId="0" borderId="0" applyNumberFormat="0" applyFont="0" applyBorder="0" applyAlignment="0" applyProtection="0"/>
    <xf numFmtId="0" fontId="8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5" fontId="29" fillId="0" borderId="0" applyFont="0" applyFill="0" applyBorder="0" applyAlignment="0" applyProtection="0"/>
    <xf numFmtId="0" fontId="82" fillId="110" borderId="0" applyNumberFormat="0" applyBorder="0" applyAlignment="0" applyProtection="0"/>
    <xf numFmtId="0" fontId="94" fillId="3" borderId="0" applyNumberFormat="0" applyBorder="0" applyAlignment="0" applyProtection="0"/>
    <xf numFmtId="0" fontId="4" fillId="85" borderId="0" applyNumberFormat="0" applyBorder="0" applyAlignment="0" applyProtection="0"/>
    <xf numFmtId="0" fontId="83" fillId="110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83" fillId="114" borderId="0" applyNumberFormat="0" applyBorder="0" applyAlignment="0" applyProtection="0"/>
    <xf numFmtId="0" fontId="82" fillId="3" borderId="0" applyNumberFormat="0" applyBorder="0" applyAlignment="0" applyProtection="0"/>
    <xf numFmtId="0" fontId="82" fillId="111" borderId="0" applyNumberFormat="0" applyBorder="0" applyAlignment="0" applyProtection="0"/>
    <xf numFmtId="0" fontId="93" fillId="0" borderId="22" applyNumberFormat="0" applyFill="0" applyAlignment="0" applyProtection="0"/>
    <xf numFmtId="0" fontId="83" fillId="50" borderId="0" applyNumberFormat="0" applyBorder="0" applyAlignment="0" applyProtection="0"/>
    <xf numFmtId="0" fontId="8" fillId="119" borderId="23" applyNumberFormat="0" applyFont="0" applyAlignment="0" applyProtection="0"/>
    <xf numFmtId="166" fontId="9" fillId="0" borderId="0" applyFont="0" applyFill="0" applyBorder="0" applyAlignment="0" applyProtection="0"/>
    <xf numFmtId="0" fontId="4" fillId="85" borderId="0" applyNumberFormat="0" applyBorder="0" applyAlignment="0" applyProtection="0"/>
    <xf numFmtId="0" fontId="91" fillId="0" borderId="0" applyNumberFormat="0" applyFill="0" applyBorder="0" applyAlignment="0" applyProtection="0"/>
    <xf numFmtId="0" fontId="77" fillId="82" borderId="14" applyNumberFormat="0" applyAlignment="0" applyProtection="0"/>
    <xf numFmtId="0" fontId="29" fillId="0" borderId="0" applyFont="0" applyFill="0" applyBorder="0" applyAlignment="0" applyProtection="0"/>
    <xf numFmtId="2" fontId="29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3" fillId="121" borderId="27" applyNumberFormat="0" applyFont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82" fillId="109" borderId="0" applyNumberFormat="0" applyBorder="0" applyAlignment="0" applyProtection="0"/>
    <xf numFmtId="0" fontId="13" fillId="4" borderId="2" applyNumberFormat="0" applyFont="0" applyBorder="0" applyAlignment="0" applyProtection="0">
      <alignment horizontal="right"/>
    </xf>
    <xf numFmtId="0" fontId="29" fillId="0" borderId="0">
      <alignment vertical="top"/>
    </xf>
    <xf numFmtId="0" fontId="4" fillId="85" borderId="0" applyNumberFormat="0" applyBorder="0" applyAlignment="0" applyProtection="0"/>
    <xf numFmtId="1" fontId="9" fillId="0" borderId="0" applyFont="0" applyFill="0" applyBorder="0" applyAlignment="0" applyProtection="0"/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82" fillId="110" borderId="0" applyNumberFormat="0" applyBorder="0" applyAlignment="0" applyProtection="0"/>
    <xf numFmtId="0" fontId="4" fillId="89" borderId="0" applyNumberFormat="0" applyBorder="0" applyAlignment="0" applyProtection="0"/>
    <xf numFmtId="10" fontId="8" fillId="0" borderId="0" applyFont="0" applyFill="0" applyBorder="0" applyAlignment="0" applyProtection="0"/>
    <xf numFmtId="0" fontId="4" fillId="85" borderId="0" applyNumberFormat="0" applyBorder="0" applyAlignment="0" applyProtection="0"/>
    <xf numFmtId="0" fontId="92" fillId="3" borderId="17" applyNumberFormat="0" applyAlignment="0" applyProtection="0"/>
    <xf numFmtId="0" fontId="84" fillId="47" borderId="0" applyNumberFormat="0" applyBorder="0" applyAlignment="0" applyProtection="0"/>
    <xf numFmtId="0" fontId="4" fillId="89" borderId="0" applyNumberFormat="0" applyBorder="0" applyAlignment="0" applyProtection="0"/>
    <xf numFmtId="0" fontId="91" fillId="0" borderId="21" applyNumberFormat="0" applyFill="0" applyAlignment="0" applyProtection="0"/>
    <xf numFmtId="0" fontId="13" fillId="0" borderId="0" applyNumberFormat="0" applyFont="0" applyBorder="0" applyAlignment="0" applyProtection="0">
      <alignment horizontal="right"/>
    </xf>
    <xf numFmtId="0" fontId="4" fillId="89" borderId="0" applyNumberFormat="0" applyBorder="0" applyAlignment="0" applyProtection="0"/>
    <xf numFmtId="0" fontId="83" fillId="116" borderId="0" applyNumberFormat="0" applyBorder="0" applyAlignment="0" applyProtection="0"/>
    <xf numFmtId="0" fontId="83" fillId="115" borderId="0" applyNumberFormat="0" applyBorder="0" applyAlignment="0" applyProtection="0"/>
    <xf numFmtId="0" fontId="85" fillId="111" borderId="17" applyNumberFormat="0" applyAlignment="0" applyProtection="0"/>
    <xf numFmtId="0" fontId="83" fillId="108" borderId="0" applyNumberFormat="0" applyBorder="0" applyAlignment="0" applyProtection="0"/>
    <xf numFmtId="0" fontId="4" fillId="89" borderId="0" applyNumberFormat="0" applyBorder="0" applyAlignment="0" applyProtection="0"/>
    <xf numFmtId="7" fontId="29" fillId="0" borderId="0" applyFont="0" applyFill="0" applyBorder="0" applyAlignment="0" applyProtection="0"/>
    <xf numFmtId="167" fontId="29" fillId="0" borderId="0" applyFont="0" applyFill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96" fillId="0" borderId="0" applyNumberFormat="0" applyFill="0" applyBorder="0" applyAlignment="0" applyProtection="0"/>
    <xf numFmtId="165" fontId="29" fillId="0" borderId="0" applyFont="0" applyFill="0" applyBorder="0" applyAlignment="0" applyProtection="0">
      <alignment horizontal="right"/>
    </xf>
    <xf numFmtId="0" fontId="95" fillId="111" borderId="24" applyNumberFormat="0" applyAlignment="0" applyProtection="0"/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71" fillId="78" borderId="0" applyNumberFormat="0" applyBorder="0" applyAlignment="0" applyProtection="0"/>
    <xf numFmtId="0" fontId="4" fillId="89" borderId="0" applyNumberFormat="0" applyBorder="0" applyAlignment="0" applyProtection="0"/>
    <xf numFmtId="0" fontId="83" fillId="108" borderId="0" applyNumberFormat="0" applyBorder="0" applyAlignment="0" applyProtection="0"/>
    <xf numFmtId="0" fontId="4" fillId="83" borderId="15" applyNumberFormat="0" applyFont="0" applyAlignment="0" applyProtection="0"/>
    <xf numFmtId="0" fontId="81" fillId="84" borderId="0" applyNumberFormat="0" applyBorder="0" applyAlignment="0" applyProtection="0"/>
    <xf numFmtId="0" fontId="82" fillId="108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101" borderId="0" applyNumberFormat="0" applyBorder="0" applyAlignment="0" applyProtection="0"/>
    <xf numFmtId="0" fontId="82" fillId="3" borderId="0" applyNumberFormat="0" applyBorder="0" applyAlignment="0" applyProtection="0"/>
    <xf numFmtId="0" fontId="8" fillId="0" borderId="0">
      <alignment vertical="center"/>
    </xf>
    <xf numFmtId="0" fontId="83" fillId="108" borderId="0" applyNumberFormat="0" applyBorder="0" applyAlignment="0" applyProtection="0"/>
    <xf numFmtId="0" fontId="4" fillId="85" borderId="0" applyNumberFormat="0" applyBorder="0" applyAlignment="0" applyProtection="0"/>
    <xf numFmtId="165" fontId="9" fillId="0" borderId="0" applyFont="0" applyFill="0" applyBorder="0" applyAlignment="0" applyProtection="0"/>
    <xf numFmtId="0" fontId="4" fillId="86" borderId="0" applyNumberFormat="0" applyBorder="0" applyAlignment="0" applyProtection="0"/>
    <xf numFmtId="0" fontId="85" fillId="111" borderId="17" applyNumberFormat="0" applyAlignment="0" applyProtection="0"/>
    <xf numFmtId="0" fontId="82" fillId="110" borderId="0" applyNumberFormat="0" applyBorder="0" applyAlignment="0" applyProtection="0"/>
    <xf numFmtId="0" fontId="82" fillId="108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89" fillId="0" borderId="19" applyNumberFormat="0" applyFill="0" applyAlignment="0" applyProtection="0"/>
    <xf numFmtId="0" fontId="67" fillId="0" borderId="8" applyNumberFormat="0" applyFill="0" applyAlignment="0" applyProtection="0"/>
    <xf numFmtId="167" fontId="9" fillId="0" borderId="0" applyFont="0" applyFill="0" applyBorder="0" applyAlignment="0" applyProtection="0"/>
    <xf numFmtId="166" fontId="29" fillId="0" borderId="0" applyFont="0" applyFill="0" applyBorder="0" applyAlignment="0" applyProtection="0">
      <alignment horizontal="right"/>
    </xf>
    <xf numFmtId="0" fontId="29" fillId="0" borderId="0" applyNumberFormat="0" applyFont="0" applyBorder="0" applyAlignment="0" applyProtection="0">
      <alignment horizontal="right"/>
    </xf>
    <xf numFmtId="0" fontId="4" fillId="89" borderId="0" applyNumberFormat="0" applyBorder="0" applyAlignment="0" applyProtection="0"/>
    <xf numFmtId="0" fontId="83" fillId="116" borderId="0" applyNumberFormat="0" applyBorder="0" applyAlignment="0" applyProtection="0"/>
    <xf numFmtId="0" fontId="4" fillId="102" borderId="0" applyNumberFormat="0" applyBorder="0" applyAlignment="0" applyProtection="0"/>
    <xf numFmtId="2" fontId="9" fillId="0" borderId="0" applyFont="0" applyFill="0" applyBorder="0" applyAlignment="0" applyProtection="0"/>
    <xf numFmtId="0" fontId="4" fillId="89" borderId="0" applyNumberFormat="0" applyBorder="0" applyAlignment="0" applyProtection="0"/>
    <xf numFmtId="0" fontId="82" fillId="112" borderId="0" applyNumberFormat="0" applyBorder="0" applyAlignment="0" applyProtection="0"/>
    <xf numFmtId="0" fontId="29" fillId="11" borderId="0" applyNumberFormat="0" applyFont="0" applyBorder="0" applyAlignment="0" applyProtection="0">
      <alignment horizontal="right"/>
    </xf>
    <xf numFmtId="0" fontId="83" fillId="115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83" fillId="2" borderId="0" applyNumberFormat="0" applyBorder="0" applyAlignment="0" applyProtection="0"/>
    <xf numFmtId="1" fontId="29" fillId="0" borderId="0" applyFont="0" applyFill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97" fillId="0" borderId="25" applyNumberFormat="0" applyFill="0" applyAlignment="0" applyProtection="0"/>
    <xf numFmtId="0" fontId="4" fillId="89" borderId="0" applyNumberFormat="0" applyBorder="0" applyAlignment="0" applyProtection="0"/>
    <xf numFmtId="0" fontId="83" fillId="110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0" borderId="0"/>
    <xf numFmtId="0" fontId="83" fillId="2" borderId="0" applyNumberFormat="0" applyBorder="0" applyAlignment="0" applyProtection="0"/>
    <xf numFmtId="0" fontId="82" fillId="112" borderId="0" applyNumberFormat="0" applyBorder="0" applyAlignment="0" applyProtection="0"/>
    <xf numFmtId="0" fontId="75" fillId="81" borderId="11" applyNumberFormat="0" applyAlignment="0" applyProtection="0"/>
    <xf numFmtId="0" fontId="82" fillId="108" borderId="0" applyNumberFormat="0" applyBorder="0" applyAlignment="0" applyProtection="0"/>
    <xf numFmtId="0" fontId="4" fillId="89" borderId="0" applyNumberFormat="0" applyBorder="0" applyAlignment="0" applyProtection="0"/>
    <xf numFmtId="0" fontId="82" fillId="109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104" fillId="0" borderId="0" applyNumberFormat="0" applyFont="0" applyBorder="0" applyAlignment="0" applyProtection="0">
      <alignment horizontal="right"/>
    </xf>
    <xf numFmtId="0" fontId="13" fillId="0" borderId="0" applyNumberFormat="0" applyFont="0" applyBorder="0" applyAlignment="0" applyProtection="0"/>
    <xf numFmtId="0" fontId="13" fillId="120" borderId="27" applyNumberFormat="0" applyFont="0" applyBorder="0" applyAlignment="0" applyProtection="0">
      <alignment horizontal="right"/>
    </xf>
    <xf numFmtId="0" fontId="4" fillId="90" borderId="0" applyNumberFormat="0" applyBorder="0" applyAlignment="0" applyProtection="0"/>
    <xf numFmtId="0" fontId="81" fillId="92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90" fillId="0" borderId="20" applyNumberFormat="0" applyFill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70" fillId="7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83" fillId="114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94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82" fillId="109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86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8" fillId="8" borderId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81" fillId="87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91" fillId="0" borderId="21" applyNumberFormat="0" applyFill="0" applyAlignment="0" applyProtection="0"/>
    <xf numFmtId="0" fontId="86" fillId="118" borderId="18" applyNumberFormat="0" applyAlignment="0" applyProtection="0"/>
    <xf numFmtId="0" fontId="73" fillId="80" borderId="11" applyNumberFormat="0" applyAlignment="0" applyProtection="0"/>
    <xf numFmtId="0" fontId="88" fillId="110" borderId="0" applyNumberFormat="0" applyBorder="0" applyAlignment="0" applyProtection="0"/>
    <xf numFmtId="0" fontId="4" fillId="106" borderId="0" applyNumberFormat="0" applyBorder="0" applyAlignment="0" applyProtection="0"/>
    <xf numFmtId="0" fontId="81" fillId="95" borderId="0" applyNumberFormat="0" applyBorder="0" applyAlignment="0" applyProtection="0"/>
    <xf numFmtId="0" fontId="81" fillId="107" borderId="0" applyNumberFormat="0" applyBorder="0" applyAlignment="0" applyProtection="0"/>
    <xf numFmtId="0" fontId="4" fillId="93" borderId="0" applyNumberFormat="0" applyBorder="0" applyAlignment="0" applyProtection="0"/>
    <xf numFmtId="0" fontId="83" fillId="108" borderId="0" applyNumberFormat="0" applyBorder="0" applyAlignment="0" applyProtection="0"/>
    <xf numFmtId="0" fontId="68" fillId="0" borderId="9" applyNumberFormat="0" applyFill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82" fillId="11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89" borderId="0" applyNumberFormat="0" applyBorder="0" applyAlignment="0" applyProtection="0"/>
    <xf numFmtId="0" fontId="83" fillId="113" borderId="0" applyNumberFormat="0" applyBorder="0" applyAlignment="0" applyProtection="0"/>
    <xf numFmtId="0" fontId="4" fillId="105" borderId="0" applyNumberFormat="0" applyBorder="0" applyAlignment="0" applyProtection="0"/>
    <xf numFmtId="0" fontId="4" fillId="94" borderId="0" applyNumberFormat="0" applyBorder="0" applyAlignment="0" applyProtection="0"/>
    <xf numFmtId="0" fontId="82" fillId="108" borderId="0" applyNumberFormat="0" applyBorder="0" applyAlignment="0" applyProtection="0"/>
    <xf numFmtId="0" fontId="93" fillId="0" borderId="22" applyNumberFormat="0" applyFill="0" applyAlignment="0" applyProtection="0"/>
    <xf numFmtId="0" fontId="81" fillId="103" borderId="0" applyNumberFormat="0" applyBorder="0" applyAlignment="0" applyProtection="0"/>
    <xf numFmtId="0" fontId="4" fillId="105" borderId="0" applyNumberFormat="0" applyBorder="0" applyAlignment="0" applyProtection="0"/>
    <xf numFmtId="0" fontId="83" fillId="2" borderId="0" applyNumberFormat="0" applyBorder="0" applyAlignment="0" applyProtection="0"/>
    <xf numFmtId="0" fontId="100" fillId="0" borderId="0"/>
    <xf numFmtId="0" fontId="4" fillId="93" borderId="0" applyNumberFormat="0" applyBorder="0" applyAlignment="0" applyProtection="0"/>
    <xf numFmtId="0" fontId="4" fillId="102" borderId="0" applyNumberFormat="0" applyBorder="0" applyAlignment="0" applyProtection="0"/>
    <xf numFmtId="0" fontId="8" fillId="0" borderId="0">
      <alignment vertical="center"/>
    </xf>
    <xf numFmtId="0" fontId="84" fillId="47" borderId="0" applyNumberFormat="0" applyBorder="0" applyAlignment="0" applyProtection="0"/>
    <xf numFmtId="0" fontId="82" fillId="108" borderId="0" applyNumberFormat="0" applyBorder="0" applyAlignment="0" applyProtection="0"/>
    <xf numFmtId="0" fontId="82" fillId="108" borderId="0" applyNumberFormat="0" applyBorder="0" applyAlignment="0" applyProtection="0"/>
    <xf numFmtId="0" fontId="94" fillId="3" borderId="0" applyNumberFormat="0" applyBorder="0" applyAlignment="0" applyProtection="0"/>
    <xf numFmtId="0" fontId="76" fillId="0" borderId="13" applyNumberFormat="0" applyFill="0" applyAlignment="0" applyProtection="0"/>
    <xf numFmtId="0" fontId="4" fillId="98" borderId="0" applyNumberFormat="0" applyBorder="0" applyAlignment="0" applyProtection="0"/>
    <xf numFmtId="0" fontId="11" fillId="5" borderId="0" applyNumberFormat="0" applyBorder="0" applyProtection="0">
      <alignment vertical="center"/>
    </xf>
    <xf numFmtId="0" fontId="89" fillId="0" borderId="19" applyNumberFormat="0" applyFill="0" applyAlignment="0" applyProtection="0"/>
    <xf numFmtId="0" fontId="4" fillId="0" borderId="0"/>
    <xf numFmtId="0" fontId="83" fillId="112" borderId="0" applyNumberFormat="0" applyBorder="0" applyAlignment="0" applyProtection="0"/>
    <xf numFmtId="0" fontId="13" fillId="120" borderId="27" applyNumberFormat="0" applyFont="0" applyBorder="0" applyAlignment="0" applyProtection="0">
      <alignment horizontal="right"/>
    </xf>
    <xf numFmtId="0" fontId="83" fillId="110" borderId="0" applyNumberFormat="0" applyBorder="0" applyAlignment="0" applyProtection="0"/>
    <xf numFmtId="0" fontId="72" fillId="79" borderId="0" applyNumberFormat="0" applyBorder="0" applyAlignment="0" applyProtection="0"/>
    <xf numFmtId="0" fontId="8" fillId="119" borderId="23" applyNumberFormat="0" applyFont="0" applyAlignment="0" applyProtection="0"/>
    <xf numFmtId="0" fontId="83" fillId="2" borderId="0" applyNumberFormat="0" applyBorder="0" applyAlignment="0" applyProtection="0"/>
    <xf numFmtId="0" fontId="29" fillId="0" borderId="0"/>
    <xf numFmtId="0" fontId="81" fillId="100" borderId="0" applyNumberFormat="0" applyBorder="0" applyAlignment="0" applyProtection="0"/>
    <xf numFmtId="0" fontId="4" fillId="102" borderId="0" applyNumberFormat="0" applyBorder="0" applyAlignment="0" applyProtection="0"/>
    <xf numFmtId="0" fontId="8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4" fillId="81" borderId="12" applyNumberFormat="0" applyAlignment="0" applyProtection="0"/>
    <xf numFmtId="0" fontId="100" fillId="0" borderId="0"/>
    <xf numFmtId="0" fontId="4" fillId="97" borderId="0" applyNumberFormat="0" applyBorder="0" applyAlignment="0" applyProtection="0"/>
    <xf numFmtId="0" fontId="4" fillId="93" borderId="0" applyNumberFormat="0" applyBorder="0" applyAlignment="0" applyProtection="0"/>
    <xf numFmtId="0" fontId="82" fillId="108" borderId="0" applyNumberFormat="0" applyBorder="0" applyAlignment="0" applyProtection="0"/>
    <xf numFmtId="0" fontId="4" fillId="98" borderId="0" applyNumberFormat="0" applyBorder="0" applyAlignment="0" applyProtection="0"/>
    <xf numFmtId="0" fontId="80" fillId="0" borderId="16" applyNumberFormat="0" applyFill="0" applyAlignment="0" applyProtection="0"/>
    <xf numFmtId="0" fontId="4" fillId="106" borderId="0" applyNumberFormat="0" applyBorder="0" applyAlignment="0" applyProtection="0"/>
    <xf numFmtId="0" fontId="83" fillId="50" borderId="0" applyNumberFormat="0" applyBorder="0" applyAlignment="0" applyProtection="0"/>
    <xf numFmtId="0" fontId="82" fillId="110" borderId="0" applyNumberFormat="0" applyBorder="0" applyAlignment="0" applyProtection="0"/>
    <xf numFmtId="0" fontId="4" fillId="105" borderId="0" applyNumberFormat="0" applyBorder="0" applyAlignment="0" applyProtection="0"/>
    <xf numFmtId="0" fontId="4" fillId="94" borderId="0" applyNumberFormat="0" applyBorder="0" applyAlignment="0" applyProtection="0"/>
    <xf numFmtId="0" fontId="82" fillId="110" borderId="0" applyNumberFormat="0" applyBorder="0" applyAlignment="0" applyProtection="0"/>
    <xf numFmtId="0" fontId="9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91" borderId="0" applyNumberFormat="0" applyBorder="0" applyAlignment="0" applyProtection="0"/>
    <xf numFmtId="0" fontId="81" fillId="88" borderId="0" applyNumberFormat="0" applyBorder="0" applyAlignment="0" applyProtection="0"/>
    <xf numFmtId="0" fontId="79" fillId="0" borderId="0" applyNumberFormat="0" applyFill="0" applyBorder="0" applyAlignment="0" applyProtection="0"/>
    <xf numFmtId="0" fontId="100" fillId="0" borderId="0"/>
    <xf numFmtId="0" fontId="4" fillId="106" borderId="0" applyNumberFormat="0" applyBorder="0" applyAlignment="0" applyProtection="0"/>
    <xf numFmtId="0" fontId="4" fillId="90" borderId="0" applyNumberFormat="0" applyBorder="0" applyAlignment="0" applyProtection="0"/>
    <xf numFmtId="0" fontId="4" fillId="98" borderId="0" applyNumberFormat="0" applyBorder="0" applyAlignment="0" applyProtection="0"/>
    <xf numFmtId="0" fontId="81" fillId="104" borderId="0" applyNumberFormat="0" applyBorder="0" applyAlignment="0" applyProtection="0"/>
    <xf numFmtId="0" fontId="81" fillId="99" borderId="0" applyNumberFormat="0" applyBorder="0" applyAlignment="0" applyProtection="0"/>
    <xf numFmtId="0" fontId="29" fillId="0" borderId="0"/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1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1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86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8" borderId="0" applyNumberFormat="0" applyBorder="0" applyAlignment="0" applyProtection="0"/>
    <xf numFmtId="0" fontId="3" fillId="105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94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6" borderId="0" applyNumberFormat="0" applyBorder="0" applyAlignment="0" applyProtection="0"/>
    <xf numFmtId="0" fontId="3" fillId="97" borderId="0" applyNumberFormat="0" applyBorder="0" applyAlignment="0" applyProtection="0"/>
    <xf numFmtId="0" fontId="3" fillId="89" borderId="0" applyNumberFormat="0" applyBorder="0" applyAlignment="0" applyProtection="0"/>
    <xf numFmtId="0" fontId="3" fillId="101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102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93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5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0" borderId="0" applyNumberFormat="0" applyBorder="0" applyAlignment="0" applyProtection="0"/>
    <xf numFmtId="0" fontId="3" fillId="85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3" borderId="15" applyNumberFormat="0" applyFont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5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3" borderId="15" applyNumberFormat="0" applyFont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101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0" borderId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90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94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86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106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94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102" borderId="0" applyNumberFormat="0" applyBorder="0" applyAlignment="0" applyProtection="0"/>
    <xf numFmtId="0" fontId="3" fillId="98" borderId="0" applyNumberFormat="0" applyBorder="0" applyAlignment="0" applyProtection="0"/>
    <xf numFmtId="0" fontId="3" fillId="0" borderId="0"/>
    <xf numFmtId="0" fontId="3" fillId="102" borderId="0" applyNumberFormat="0" applyBorder="0" applyAlignment="0" applyProtection="0"/>
    <xf numFmtId="0" fontId="3" fillId="97" borderId="0" applyNumberFormat="0" applyBorder="0" applyAlignment="0" applyProtection="0"/>
    <xf numFmtId="0" fontId="3" fillId="93" borderId="0" applyNumberFormat="0" applyBorder="0" applyAlignment="0" applyProtection="0"/>
    <xf numFmtId="0" fontId="3" fillId="98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94" borderId="0" applyNumberFormat="0" applyBorder="0" applyAlignment="0" applyProtection="0"/>
    <xf numFmtId="0" fontId="3" fillId="106" borderId="0" applyNumberFormat="0" applyBorder="0" applyAlignment="0" applyProtection="0"/>
    <xf numFmtId="0" fontId="3" fillId="90" borderId="0" applyNumberFormat="0" applyBorder="0" applyAlignment="0" applyProtection="0"/>
    <xf numFmtId="0" fontId="3" fillId="98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86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8" borderId="0" applyNumberFormat="0" applyBorder="0" applyAlignment="0" applyProtection="0"/>
    <xf numFmtId="0" fontId="2" fillId="10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97" borderId="0" applyNumberFormat="0" applyBorder="0" applyAlignment="0" applyProtection="0"/>
    <xf numFmtId="0" fontId="2" fillId="89" borderId="0" applyNumberFormat="0" applyBorder="0" applyAlignment="0" applyProtection="0"/>
    <xf numFmtId="0" fontId="2" fillId="101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102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5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94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86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102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102" borderId="0" applyNumberFormat="0" applyBorder="0" applyAlignment="0" applyProtection="0"/>
    <xf numFmtId="0" fontId="2" fillId="97" borderId="0" applyNumberFormat="0" applyBorder="0" applyAlignment="0" applyProtection="0"/>
    <xf numFmtId="0" fontId="2" fillId="93" borderId="0" applyNumberFormat="0" applyBorder="0" applyAlignment="0" applyProtection="0"/>
    <xf numFmtId="0" fontId="2" fillId="98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6" borderId="0" applyNumberFormat="0" applyBorder="0" applyAlignment="0" applyProtection="0"/>
    <xf numFmtId="0" fontId="2" fillId="90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86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8" borderId="0" applyNumberFormat="0" applyBorder="0" applyAlignment="0" applyProtection="0"/>
    <xf numFmtId="0" fontId="2" fillId="10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97" borderId="0" applyNumberFormat="0" applyBorder="0" applyAlignment="0" applyProtection="0"/>
    <xf numFmtId="0" fontId="2" fillId="89" borderId="0" applyNumberFormat="0" applyBorder="0" applyAlignment="0" applyProtection="0"/>
    <xf numFmtId="0" fontId="2" fillId="101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102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5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94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86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102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102" borderId="0" applyNumberFormat="0" applyBorder="0" applyAlignment="0" applyProtection="0"/>
    <xf numFmtId="0" fontId="2" fillId="97" borderId="0" applyNumberFormat="0" applyBorder="0" applyAlignment="0" applyProtection="0"/>
    <xf numFmtId="0" fontId="2" fillId="93" borderId="0" applyNumberFormat="0" applyBorder="0" applyAlignment="0" applyProtection="0"/>
    <xf numFmtId="0" fontId="2" fillId="98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6" borderId="0" applyNumberFormat="0" applyBorder="0" applyAlignment="0" applyProtection="0"/>
    <xf numFmtId="0" fontId="2" fillId="90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</cellStyleXfs>
  <cellXfs count="993">
    <xf numFmtId="0" fontId="0" fillId="0" borderId="0" xfId="0"/>
    <xf numFmtId="0" fontId="8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/>
    <xf numFmtId="0" fontId="6" fillId="0" borderId="0" xfId="0" applyFont="1" applyAlignment="1">
      <alignment horizontal="right"/>
    </xf>
    <xf numFmtId="0" fontId="6" fillId="0" borderId="0" xfId="0" applyFont="1"/>
    <xf numFmtId="2" fontId="8" fillId="0" borderId="0" xfId="0" applyNumberFormat="1" applyFont="1"/>
    <xf numFmtId="166" fontId="8" fillId="0" borderId="0" xfId="0" applyNumberFormat="1" applyFont="1"/>
    <xf numFmtId="1" fontId="8" fillId="0" borderId="0" xfId="0" applyNumberFormat="1" applyFont="1"/>
    <xf numFmtId="2" fontId="6" fillId="0" borderId="0" xfId="0" applyNumberFormat="1" applyFont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6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1" fontId="8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7" fontId="8" fillId="0" borderId="0" xfId="0" applyNumberFormat="1" applyFont="1"/>
    <xf numFmtId="0" fontId="8" fillId="12" borderId="0" xfId="0" applyFont="1" applyFill="1"/>
    <xf numFmtId="1" fontId="8" fillId="12" borderId="0" xfId="0" applyNumberFormat="1" applyFont="1" applyFill="1"/>
    <xf numFmtId="166" fontId="8" fillId="12" borderId="0" xfId="0" applyNumberFormat="1" applyFont="1" applyFill="1"/>
    <xf numFmtId="165" fontId="8" fillId="12" borderId="0" xfId="0" applyNumberFormat="1" applyFont="1" applyFill="1"/>
    <xf numFmtId="2" fontId="8" fillId="12" borderId="0" xfId="0" applyNumberFormat="1" applyFont="1" applyFill="1"/>
    <xf numFmtId="167" fontId="8" fillId="12" borderId="0" xfId="0" applyNumberFormat="1" applyFont="1" applyFill="1"/>
    <xf numFmtId="0" fontId="8" fillId="13" borderId="0" xfId="0" applyFont="1" applyFill="1"/>
    <xf numFmtId="1" fontId="8" fillId="13" borderId="0" xfId="0" applyNumberFormat="1" applyFont="1" applyFill="1"/>
    <xf numFmtId="2" fontId="8" fillId="13" borderId="0" xfId="0" applyNumberFormat="1" applyFont="1" applyFill="1"/>
    <xf numFmtId="165" fontId="8" fillId="13" borderId="0" xfId="0" applyNumberFormat="1" applyFont="1" applyFill="1"/>
    <xf numFmtId="166" fontId="8" fillId="13" borderId="0" xfId="0" applyNumberFormat="1" applyFont="1" applyFill="1"/>
    <xf numFmtId="0" fontId="0" fillId="0" borderId="0" xfId="0" applyAlignment="1">
      <alignment horizontal="left"/>
    </xf>
    <xf numFmtId="165" fontId="0" fillId="0" borderId="0" xfId="0" applyNumberFormat="1" applyAlignment="1">
      <alignment horizontal="right"/>
    </xf>
    <xf numFmtId="2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14" fillId="0" borderId="0" xfId="0" applyNumberFormat="1" applyFont="1"/>
    <xf numFmtId="1" fontId="14" fillId="0" borderId="0" xfId="0" applyNumberFormat="1" applyFont="1"/>
    <xf numFmtId="0" fontId="14" fillId="0" borderId="0" xfId="0" applyFont="1"/>
    <xf numFmtId="165" fontId="14" fillId="0" borderId="0" xfId="0" applyNumberFormat="1" applyFont="1"/>
    <xf numFmtId="2" fontId="15" fillId="0" borderId="0" xfId="0" applyNumberFormat="1" applyFont="1"/>
    <xf numFmtId="166" fontId="15" fillId="0" borderId="0" xfId="0" applyNumberFormat="1" applyFont="1"/>
    <xf numFmtId="0" fontId="16" fillId="0" borderId="0" xfId="0" applyFont="1"/>
    <xf numFmtId="0" fontId="0" fillId="0" borderId="0" xfId="0" applyAlignment="1">
      <alignment horizontal="right"/>
    </xf>
    <xf numFmtId="0" fontId="17" fillId="0" borderId="0" xfId="0" applyFont="1"/>
    <xf numFmtId="15" fontId="17" fillId="0" borderId="0" xfId="0" applyNumberFormat="1" applyFont="1"/>
    <xf numFmtId="15" fontId="17" fillId="0" borderId="0" xfId="0" applyNumberFormat="1" applyFont="1" applyAlignment="1">
      <alignment horizontal="left"/>
    </xf>
    <xf numFmtId="165" fontId="16" fillId="0" borderId="0" xfId="0" applyNumberFormat="1" applyFont="1"/>
    <xf numFmtId="1" fontId="16" fillId="0" borderId="0" xfId="0" applyNumberFormat="1" applyFont="1"/>
    <xf numFmtId="2" fontId="8" fillId="0" borderId="0" xfId="0" applyNumberFormat="1" applyFont="1" applyAlignment="1">
      <alignment horizontal="right"/>
    </xf>
    <xf numFmtId="2" fontId="16" fillId="0" borderId="0" xfId="0" applyNumberFormat="1" applyFont="1"/>
    <xf numFmtId="165" fontId="15" fillId="0" borderId="0" xfId="0" applyNumberFormat="1" applyFont="1"/>
    <xf numFmtId="0" fontId="15" fillId="0" borderId="0" xfId="0" applyFont="1"/>
    <xf numFmtId="2" fontId="8" fillId="14" borderId="0" xfId="0" applyNumberFormat="1" applyFont="1" applyFill="1"/>
    <xf numFmtId="2" fontId="0" fillId="14" borderId="0" xfId="0" applyNumberFormat="1" applyFill="1" applyAlignment="1">
      <alignment horizontal="right"/>
    </xf>
    <xf numFmtId="0" fontId="0" fillId="14" borderId="0" xfId="0" applyFill="1" applyAlignment="1">
      <alignment horizontal="right"/>
    </xf>
    <xf numFmtId="166" fontId="8" fillId="14" borderId="0" xfId="0" applyNumberFormat="1" applyFont="1" applyFill="1"/>
    <xf numFmtId="167" fontId="15" fillId="0" borderId="0" xfId="0" applyNumberFormat="1" applyFont="1"/>
    <xf numFmtId="168" fontId="8" fillId="0" borderId="0" xfId="0" applyNumberFormat="1" applyFont="1"/>
    <xf numFmtId="10" fontId="0" fillId="0" borderId="0" xfId="14" applyFont="1"/>
    <xf numFmtId="0" fontId="14" fillId="0" borderId="0" xfId="0" applyFont="1" applyAlignment="1">
      <alignment horizontal="right"/>
    </xf>
    <xf numFmtId="9" fontId="14" fillId="0" borderId="0" xfId="14" applyNumberFormat="1" applyFont="1"/>
    <xf numFmtId="166" fontId="8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0" fontId="0" fillId="0" borderId="0" xfId="14" applyNumberFormat="1" applyFont="1"/>
    <xf numFmtId="167" fontId="0" fillId="0" borderId="0" xfId="0" applyNumberFormat="1"/>
    <xf numFmtId="0" fontId="0" fillId="0" borderId="0" xfId="0" quotePrefix="1" applyAlignment="1">
      <alignment horizontal="right"/>
    </xf>
    <xf numFmtId="2" fontId="0" fillId="0" borderId="0" xfId="0" applyNumberFormat="1" applyAlignment="1">
      <alignment horizontal="right"/>
    </xf>
    <xf numFmtId="0" fontId="0" fillId="15" borderId="0" xfId="0" applyFill="1"/>
    <xf numFmtId="1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20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66" fontId="14" fillId="0" borderId="0" xfId="0" applyNumberFormat="1" applyFont="1"/>
    <xf numFmtId="167" fontId="18" fillId="0" borderId="0" xfId="0" applyNumberFormat="1" applyFont="1"/>
    <xf numFmtId="165" fontId="0" fillId="14" borderId="0" xfId="0" applyNumberFormat="1" applyFill="1" applyAlignment="1">
      <alignment horizontal="right"/>
    </xf>
    <xf numFmtId="166" fontId="0" fillId="14" borderId="0" xfId="0" applyNumberFormat="1" applyFill="1"/>
    <xf numFmtId="1" fontId="15" fillId="0" borderId="0" xfId="0" applyNumberFormat="1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166" fontId="16" fillId="0" borderId="0" xfId="0" applyNumberFormat="1" applyFont="1"/>
    <xf numFmtId="0" fontId="6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0" fillId="16" borderId="0" xfId="0" applyFill="1"/>
    <xf numFmtId="0" fontId="15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16" fillId="16" borderId="0" xfId="0" applyFont="1" applyFill="1"/>
    <xf numFmtId="1" fontId="15" fillId="0" borderId="0" xfId="0" applyNumberFormat="1" applyFont="1" applyAlignment="1">
      <alignment horizontal="right" wrapText="1"/>
    </xf>
    <xf numFmtId="1" fontId="15" fillId="0" borderId="0" xfId="0" applyNumberFormat="1" applyFont="1" applyAlignment="1">
      <alignment horizontal="right"/>
    </xf>
    <xf numFmtId="166" fontId="0" fillId="14" borderId="0" xfId="0" applyNumberFormat="1" applyFill="1" applyAlignment="1">
      <alignment horizontal="right"/>
    </xf>
    <xf numFmtId="0" fontId="0" fillId="17" borderId="0" xfId="0" applyFill="1" applyAlignment="1">
      <alignment horizontal="right"/>
    </xf>
    <xf numFmtId="0" fontId="0" fillId="17" borderId="0" xfId="0" quotePrefix="1" applyFill="1"/>
    <xf numFmtId="0" fontId="0" fillId="17" borderId="0" xfId="0" quotePrefix="1" applyFill="1" applyAlignment="1">
      <alignment horizontal="right"/>
    </xf>
    <xf numFmtId="0" fontId="0" fillId="18" borderId="0" xfId="0" applyFill="1"/>
    <xf numFmtId="0" fontId="0" fillId="18" borderId="0" xfId="0" quotePrefix="1" applyFill="1"/>
    <xf numFmtId="0" fontId="0" fillId="18" borderId="0" xfId="0" quotePrefix="1" applyFill="1" applyAlignment="1">
      <alignment horizontal="right"/>
    </xf>
    <xf numFmtId="0" fontId="0" fillId="19" borderId="0" xfId="0" applyFill="1" applyAlignment="1">
      <alignment horizontal="right"/>
    </xf>
    <xf numFmtId="0" fontId="0" fillId="19" borderId="0" xfId="0" applyFill="1"/>
    <xf numFmtId="0" fontId="0" fillId="19" borderId="0" xfId="0" quotePrefix="1" applyFill="1" applyAlignment="1">
      <alignment horizontal="right"/>
    </xf>
    <xf numFmtId="1" fontId="15" fillId="0" borderId="0" xfId="0" quotePrefix="1" applyNumberFormat="1" applyFont="1" applyAlignment="1">
      <alignment horizontal="left" wrapText="1"/>
    </xf>
    <xf numFmtId="0" fontId="15" fillId="0" borderId="0" xfId="0" quotePrefix="1" applyFont="1" applyAlignment="1">
      <alignment horizontal="left" wrapText="1"/>
    </xf>
    <xf numFmtId="0" fontId="14" fillId="0" borderId="0" xfId="0" quotePrefix="1" applyFont="1"/>
    <xf numFmtId="0" fontId="14" fillId="16" borderId="0" xfId="0" applyFont="1" applyFill="1"/>
    <xf numFmtId="0" fontId="19" fillId="0" borderId="0" xfId="0" applyFont="1"/>
    <xf numFmtId="0" fontId="14" fillId="20" borderId="0" xfId="0" applyFont="1" applyFill="1" applyAlignment="1">
      <alignment horizontal="right"/>
    </xf>
    <xf numFmtId="0" fontId="19" fillId="20" borderId="0" xfId="0" applyFont="1" applyFill="1" applyAlignment="1">
      <alignment horizontal="right"/>
    </xf>
    <xf numFmtId="167" fontId="14" fillId="0" borderId="0" xfId="0" applyNumberFormat="1" applyFont="1"/>
    <xf numFmtId="166" fontId="0" fillId="0" borderId="0" xfId="0" quotePrefix="1" applyNumberFormat="1" applyAlignment="1">
      <alignment horizontal="right"/>
    </xf>
    <xf numFmtId="2" fontId="0" fillId="0" borderId="0" xfId="14" applyNumberFormat="1" applyFont="1"/>
    <xf numFmtId="1" fontId="0" fillId="14" borderId="0" xfId="0" applyNumberFormat="1" applyFill="1"/>
    <xf numFmtId="165" fontId="0" fillId="14" borderId="0" xfId="0" applyNumberFormat="1" applyFill="1"/>
    <xf numFmtId="170" fontId="17" fillId="0" borderId="0" xfId="0" applyNumberFormat="1" applyFont="1"/>
    <xf numFmtId="0" fontId="0" fillId="0" borderId="0" xfId="0" applyAlignment="1">
      <alignment horizontal="center"/>
    </xf>
    <xf numFmtId="168" fontId="0" fillId="0" borderId="0" xfId="0" applyNumberFormat="1"/>
    <xf numFmtId="170" fontId="17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2" fontId="0" fillId="0" borderId="0" xfId="0" applyNumberFormat="1" applyAlignment="1">
      <alignment horizontal="left"/>
    </xf>
    <xf numFmtId="165" fontId="14" fillId="0" borderId="0" xfId="0" applyNumberFormat="1" applyFont="1" applyAlignment="1">
      <alignment horizontal="right"/>
    </xf>
    <xf numFmtId="2" fontId="16" fillId="21" borderId="0" xfId="0" applyNumberFormat="1" applyFont="1" applyFill="1"/>
    <xf numFmtId="0" fontId="12" fillId="0" borderId="0" xfId="0" applyFont="1" applyAlignment="1">
      <alignment horizontal="right"/>
    </xf>
    <xf numFmtId="166" fontId="8" fillId="22" borderId="0" xfId="0" applyNumberFormat="1" applyFont="1" applyFill="1"/>
    <xf numFmtId="166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right"/>
    </xf>
    <xf numFmtId="1" fontId="0" fillId="10" borderId="0" xfId="0" applyNumberFormat="1" applyFill="1"/>
    <xf numFmtId="165" fontId="16" fillId="22" borderId="0" xfId="0" applyNumberFormat="1" applyFont="1" applyFill="1"/>
    <xf numFmtId="0" fontId="14" fillId="0" borderId="0" xfId="0" quotePrefix="1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3" xfId="0" applyBorder="1"/>
    <xf numFmtId="165" fontId="15" fillId="23" borderId="0" xfId="0" applyNumberFormat="1" applyFont="1" applyFill="1"/>
    <xf numFmtId="166" fontId="0" fillId="10" borderId="0" xfId="0" applyNumberFormat="1" applyFill="1"/>
    <xf numFmtId="165" fontId="0" fillId="23" borderId="0" xfId="0" applyNumberFormat="1" applyFill="1"/>
    <xf numFmtId="167" fontId="0" fillId="0" borderId="0" xfId="0" applyNumberFormat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2" fontId="8" fillId="0" borderId="3" xfId="0" applyNumberFormat="1" applyFont="1" applyBorder="1"/>
    <xf numFmtId="166" fontId="8" fillId="0" borderId="3" xfId="0" applyNumberFormat="1" applyFont="1" applyBorder="1"/>
    <xf numFmtId="165" fontId="8" fillId="0" borderId="3" xfId="0" applyNumberFormat="1" applyFont="1" applyBorder="1"/>
    <xf numFmtId="167" fontId="8" fillId="0" borderId="3" xfId="0" applyNumberFormat="1" applyFont="1" applyBorder="1"/>
    <xf numFmtId="165" fontId="0" fillId="0" borderId="3" xfId="0" applyNumberFormat="1" applyBorder="1"/>
    <xf numFmtId="166" fontId="8" fillId="14" borderId="3" xfId="0" applyNumberFormat="1" applyFont="1" applyFill="1" applyBorder="1"/>
    <xf numFmtId="2" fontId="8" fillId="14" borderId="3" xfId="0" applyNumberFormat="1" applyFont="1" applyFill="1" applyBorder="1"/>
    <xf numFmtId="165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right"/>
    </xf>
    <xf numFmtId="2" fontId="0" fillId="0" borderId="3" xfId="0" applyNumberFormat="1" applyBorder="1"/>
    <xf numFmtId="2" fontId="8" fillId="24" borderId="0" xfId="0" applyNumberFormat="1" applyFont="1" applyFill="1"/>
    <xf numFmtId="2" fontId="16" fillId="22" borderId="0" xfId="0" applyNumberFormat="1" applyFont="1" applyFill="1"/>
    <xf numFmtId="166" fontId="0" fillId="0" borderId="3" xfId="0" applyNumberFormat="1" applyBorder="1"/>
    <xf numFmtId="1" fontId="0" fillId="0" borderId="3" xfId="0" applyNumberFormat="1" applyBorder="1"/>
    <xf numFmtId="2" fontId="0" fillId="14" borderId="3" xfId="0" applyNumberFormat="1" applyFill="1" applyBorder="1" applyAlignment="1">
      <alignment horizontal="right"/>
    </xf>
    <xf numFmtId="0" fontId="0" fillId="14" borderId="3" xfId="0" applyFill="1" applyBorder="1" applyAlignment="1">
      <alignment horizontal="right"/>
    </xf>
    <xf numFmtId="2" fontId="16" fillId="14" borderId="0" xfId="0" applyNumberFormat="1" applyFont="1" applyFill="1"/>
    <xf numFmtId="166" fontId="15" fillId="0" borderId="3" xfId="0" applyNumberFormat="1" applyFont="1" applyBorder="1"/>
    <xf numFmtId="165" fontId="15" fillId="0" borderId="3" xfId="0" applyNumberFormat="1" applyFont="1" applyBorder="1"/>
    <xf numFmtId="2" fontId="8" fillId="4" borderId="3" xfId="0" applyNumberFormat="1" applyFont="1" applyFill="1" applyBorder="1"/>
    <xf numFmtId="2" fontId="16" fillId="25" borderId="0" xfId="0" applyNumberFormat="1" applyFont="1" applyFill="1"/>
    <xf numFmtId="2" fontId="14" fillId="23" borderId="0" xfId="0" applyNumberFormat="1" applyFont="1" applyFill="1"/>
    <xf numFmtId="1" fontId="14" fillId="23" borderId="0" xfId="0" applyNumberFormat="1" applyFont="1" applyFill="1"/>
    <xf numFmtId="165" fontId="14" fillId="23" borderId="0" xfId="0" applyNumberFormat="1" applyFont="1" applyFill="1"/>
    <xf numFmtId="166" fontId="16" fillId="14" borderId="0" xfId="0" applyNumberFormat="1" applyFont="1" applyFill="1"/>
    <xf numFmtId="165" fontId="0" fillId="14" borderId="3" xfId="0" applyNumberFormat="1" applyFill="1" applyBorder="1" applyAlignment="1">
      <alignment horizontal="right"/>
    </xf>
    <xf numFmtId="0" fontId="14" fillId="0" borderId="3" xfId="0" applyFont="1" applyBorder="1"/>
    <xf numFmtId="167" fontId="0" fillId="0" borderId="3" xfId="0" applyNumberFormat="1" applyBorder="1"/>
    <xf numFmtId="1" fontId="16" fillId="0" borderId="3" xfId="0" applyNumberFormat="1" applyFont="1" applyBorder="1"/>
    <xf numFmtId="2" fontId="15" fillId="10" borderId="0" xfId="0" applyNumberFormat="1" applyFont="1" applyFill="1"/>
    <xf numFmtId="165" fontId="0" fillId="10" borderId="0" xfId="0" applyNumberFormat="1" applyFill="1"/>
    <xf numFmtId="2" fontId="19" fillId="23" borderId="0" xfId="0" applyNumberFormat="1" applyFont="1" applyFill="1"/>
    <xf numFmtId="2" fontId="14" fillId="14" borderId="0" xfId="0" applyNumberFormat="1" applyFont="1" applyFill="1"/>
    <xf numFmtId="15" fontId="0" fillId="0" borderId="0" xfId="0" applyNumberFormat="1"/>
    <xf numFmtId="1" fontId="8" fillId="0" borderId="0" xfId="0" quotePrefix="1" applyNumberFormat="1" applyFont="1"/>
    <xf numFmtId="166" fontId="19" fillId="0" borderId="0" xfId="0" applyNumberFormat="1" applyFont="1"/>
    <xf numFmtId="2" fontId="8" fillId="21" borderId="0" xfId="0" applyNumberFormat="1" applyFont="1" applyFill="1"/>
    <xf numFmtId="1" fontId="16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0" fontId="14" fillId="16" borderId="0" xfId="0" applyFont="1" applyFill="1" applyAlignment="1">
      <alignment horizontal="left"/>
    </xf>
    <xf numFmtId="0" fontId="14" fillId="26" borderId="0" xfId="0" applyFont="1" applyFill="1"/>
    <xf numFmtId="166" fontId="8" fillId="10" borderId="0" xfId="0" applyNumberFormat="1" applyFont="1" applyFill="1"/>
    <xf numFmtId="2" fontId="0" fillId="15" borderId="0" xfId="0" applyNumberFormat="1" applyFill="1"/>
    <xf numFmtId="2" fontId="0" fillId="22" borderId="0" xfId="0" applyNumberFormat="1" applyFill="1"/>
    <xf numFmtId="0" fontId="31" fillId="0" borderId="0" xfId="0" applyFont="1" applyAlignment="1">
      <alignment horizontal="right" vertical="top" wrapText="1"/>
    </xf>
    <xf numFmtId="0" fontId="31" fillId="0" borderId="4" xfId="0" applyFont="1" applyBorder="1" applyAlignment="1">
      <alignment horizontal="right" vertical="top" wrapText="1"/>
    </xf>
    <xf numFmtId="2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0" fillId="22" borderId="0" xfId="0" applyFill="1"/>
    <xf numFmtId="166" fontId="8" fillId="3" borderId="0" xfId="0" applyNumberFormat="1" applyFont="1" applyFill="1"/>
    <xf numFmtId="166" fontId="7" fillId="0" borderId="0" xfId="0" applyNumberFormat="1" applyFont="1" applyAlignment="1">
      <alignment horizontal="right"/>
    </xf>
    <xf numFmtId="14" fontId="0" fillId="0" borderId="0" xfId="0" applyNumberFormat="1"/>
    <xf numFmtId="0" fontId="0" fillId="27" borderId="0" xfId="0" applyFill="1"/>
    <xf numFmtId="165" fontId="16" fillId="0" borderId="0" xfId="0" quotePrefix="1" applyNumberFormat="1" applyFont="1"/>
    <xf numFmtId="16" fontId="0" fillId="0" borderId="0" xfId="0" applyNumberFormat="1"/>
    <xf numFmtId="2" fontId="15" fillId="0" borderId="0" xfId="0" applyNumberFormat="1" applyFont="1" applyAlignment="1">
      <alignment horizontal="right" vertical="center"/>
    </xf>
    <xf numFmtId="166" fontId="15" fillId="0" borderId="0" xfId="0" applyNumberFormat="1" applyFont="1" applyAlignment="1">
      <alignment horizontal="right" vertical="center"/>
    </xf>
    <xf numFmtId="1" fontId="15" fillId="0" borderId="0" xfId="0" applyNumberFormat="1" applyFont="1" applyAlignment="1">
      <alignment horizontal="right" vertical="center"/>
    </xf>
    <xf numFmtId="2" fontId="16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2" fontId="19" fillId="0" borderId="0" xfId="0" applyNumberFormat="1" applyFont="1"/>
    <xf numFmtId="165" fontId="6" fillId="0" borderId="0" xfId="0" applyNumberFormat="1" applyFont="1"/>
    <xf numFmtId="2" fontId="15" fillId="14" borderId="0" xfId="0" applyNumberFormat="1" applyFont="1" applyFill="1"/>
    <xf numFmtId="2" fontId="15" fillId="14" borderId="0" xfId="0" applyNumberFormat="1" applyFont="1" applyFill="1" applyAlignment="1">
      <alignment horizontal="right"/>
    </xf>
    <xf numFmtId="0" fontId="15" fillId="14" borderId="0" xfId="0" applyFont="1" applyFill="1" applyAlignment="1">
      <alignment horizontal="right"/>
    </xf>
    <xf numFmtId="166" fontId="16" fillId="14" borderId="3" xfId="0" applyNumberFormat="1" applyFont="1" applyFill="1" applyBorder="1"/>
    <xf numFmtId="2" fontId="15" fillId="14" borderId="3" xfId="0" applyNumberFormat="1" applyFont="1" applyFill="1" applyBorder="1"/>
    <xf numFmtId="2" fontId="15" fillId="14" borderId="3" xfId="0" applyNumberFormat="1" applyFont="1" applyFill="1" applyBorder="1" applyAlignment="1">
      <alignment horizontal="right"/>
    </xf>
    <xf numFmtId="0" fontId="15" fillId="14" borderId="3" xfId="0" applyFont="1" applyFill="1" applyBorder="1" applyAlignment="1">
      <alignment horizontal="right"/>
    </xf>
    <xf numFmtId="165" fontId="15" fillId="0" borderId="3" xfId="0" applyNumberFormat="1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1" fontId="16" fillId="0" borderId="0" xfId="0" applyNumberFormat="1" applyFont="1" applyAlignment="1">
      <alignment horizontal="left"/>
    </xf>
    <xf numFmtId="165" fontId="15" fillId="0" borderId="0" xfId="0" applyNumberFormat="1" applyFont="1" applyAlignment="1">
      <alignment horizontal="right" vertical="center"/>
    </xf>
    <xf numFmtId="2" fontId="14" fillId="0" borderId="0" xfId="0" applyNumberFormat="1" applyFont="1" applyAlignment="1">
      <alignment horizontal="right" vertical="center"/>
    </xf>
    <xf numFmtId="165" fontId="14" fillId="0" borderId="0" xfId="0" applyNumberFormat="1" applyFont="1" applyAlignment="1">
      <alignment horizontal="right" vertical="center"/>
    </xf>
    <xf numFmtId="166" fontId="14" fillId="0" borderId="0" xfId="0" applyNumberFormat="1" applyFont="1" applyAlignment="1">
      <alignment horizontal="right" vertical="center"/>
    </xf>
    <xf numFmtId="1" fontId="14" fillId="0" borderId="0" xfId="0" applyNumberFormat="1" applyFont="1" applyAlignment="1">
      <alignment horizontal="right" vertical="center"/>
    </xf>
    <xf numFmtId="1" fontId="19" fillId="0" borderId="0" xfId="0" applyNumberFormat="1" applyFont="1" applyAlignment="1">
      <alignment horizontal="right" vertical="center"/>
    </xf>
    <xf numFmtId="1" fontId="19" fillId="0" borderId="0" xfId="0" applyNumberFormat="1" applyFont="1"/>
    <xf numFmtId="170" fontId="17" fillId="0" borderId="0" xfId="0" applyNumberFormat="1" applyFont="1" applyAlignment="1">
      <alignment horizontal="right"/>
    </xf>
    <xf numFmtId="169" fontId="8" fillId="0" borderId="0" xfId="14" applyNumberFormat="1"/>
    <xf numFmtId="170" fontId="36" fillId="0" borderId="0" xfId="0" applyNumberFormat="1" applyFont="1"/>
    <xf numFmtId="1" fontId="16" fillId="0" borderId="0" xfId="0" applyNumberFormat="1" applyFont="1" applyAlignment="1">
      <alignment horizontal="right" vertical="center"/>
    </xf>
    <xf numFmtId="166" fontId="15" fillId="0" borderId="0" xfId="0" applyNumberFormat="1" applyFont="1" applyAlignment="1">
      <alignment horizontal="right" wrapText="1"/>
    </xf>
    <xf numFmtId="0" fontId="14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37" fillId="31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0" fillId="32" borderId="0" xfId="0" applyFill="1" applyAlignment="1">
      <alignment vertical="center"/>
    </xf>
    <xf numFmtId="0" fontId="8" fillId="33" borderId="0" xfId="0" applyFont="1" applyFill="1" applyAlignment="1">
      <alignment vertical="center"/>
    </xf>
    <xf numFmtId="165" fontId="8" fillId="0" borderId="0" xfId="0" applyNumberFormat="1" applyFont="1" applyAlignment="1">
      <alignment horizontal="left"/>
    </xf>
    <xf numFmtId="165" fontId="14" fillId="0" borderId="0" xfId="0" applyNumberFormat="1" applyFont="1" applyAlignment="1">
      <alignment horizontal="left"/>
    </xf>
    <xf numFmtId="167" fontId="33" fillId="0" borderId="0" xfId="0" applyNumberFormat="1" applyFont="1" applyAlignment="1">
      <alignment horizontal="right"/>
    </xf>
    <xf numFmtId="2" fontId="33" fillId="0" borderId="0" xfId="0" applyNumberFormat="1" applyFont="1" applyAlignment="1">
      <alignment horizontal="right"/>
    </xf>
    <xf numFmtId="2" fontId="34" fillId="0" borderId="0" xfId="0" applyNumberFormat="1" applyFont="1"/>
    <xf numFmtId="166" fontId="15" fillId="7" borderId="0" xfId="0" applyNumberFormat="1" applyFont="1" applyFill="1" applyAlignment="1">
      <alignment horizontal="right"/>
    </xf>
    <xf numFmtId="166" fontId="0" fillId="7" borderId="0" xfId="0" applyNumberFormat="1" applyFill="1"/>
    <xf numFmtId="0" fontId="0" fillId="7" borderId="0" xfId="0" applyFill="1"/>
    <xf numFmtId="0" fontId="28" fillId="0" borderId="0" xfId="11" applyAlignment="1" applyProtection="1"/>
    <xf numFmtId="0" fontId="0" fillId="34" borderId="0" xfId="0" applyFill="1"/>
    <xf numFmtId="0" fontId="37" fillId="31" borderId="0" xfId="0" applyFont="1" applyFill="1" applyAlignment="1">
      <alignment horizontal="center" vertical="center" wrapText="1"/>
    </xf>
    <xf numFmtId="166" fontId="15" fillId="0" borderId="0" xfId="0" applyNumberFormat="1" applyFont="1" applyAlignment="1">
      <alignment horizontal="left"/>
    </xf>
    <xf numFmtId="2" fontId="0" fillId="34" borderId="0" xfId="0" applyNumberFormat="1" applyFill="1"/>
    <xf numFmtId="2" fontId="14" fillId="34" borderId="0" xfId="0" applyNumberFormat="1" applyFont="1" applyFill="1"/>
    <xf numFmtId="2" fontId="15" fillId="34" borderId="0" xfId="0" applyNumberFormat="1" applyFont="1" applyFill="1"/>
    <xf numFmtId="0" fontId="39" fillId="33" borderId="0" xfId="0" applyFont="1" applyFill="1" applyAlignment="1">
      <alignment horizontal="center" vertical="center"/>
    </xf>
    <xf numFmtId="0" fontId="14" fillId="18" borderId="0" xfId="0" applyFont="1" applyFill="1"/>
    <xf numFmtId="0" fontId="15" fillId="18" borderId="0" xfId="0" applyFont="1" applyFill="1"/>
    <xf numFmtId="166" fontId="15" fillId="0" borderId="0" xfId="0" applyNumberFormat="1" applyFont="1" applyAlignment="1">
      <alignment horizontal="right"/>
    </xf>
    <xf numFmtId="0" fontId="15" fillId="10" borderId="0" xfId="0" applyFont="1" applyFill="1" applyAlignment="1">
      <alignment horizontal="right"/>
    </xf>
    <xf numFmtId="14" fontId="0" fillId="0" borderId="0" xfId="0" applyNumberFormat="1" applyAlignment="1">
      <alignment horizontal="left"/>
    </xf>
    <xf numFmtId="0" fontId="14" fillId="7" borderId="0" xfId="0" applyFont="1" applyFill="1" applyAlignment="1">
      <alignment horizontal="right" vertical="center" wrapText="1"/>
    </xf>
    <xf numFmtId="0" fontId="14" fillId="35" borderId="0" xfId="0" applyFont="1" applyFill="1" applyAlignment="1">
      <alignment horizontal="right" vertical="center" wrapText="1"/>
    </xf>
    <xf numFmtId="2" fontId="15" fillId="23" borderId="0" xfId="0" applyNumberFormat="1" applyFont="1" applyFill="1"/>
    <xf numFmtId="0" fontId="15" fillId="39" borderId="0" xfId="0" applyFont="1" applyFill="1" applyAlignment="1">
      <alignment horizontal="left" wrapText="1"/>
    </xf>
    <xf numFmtId="0" fontId="0" fillId="39" borderId="0" xfId="0" applyFill="1"/>
    <xf numFmtId="0" fontId="14" fillId="39" borderId="0" xfId="0" applyFont="1" applyFill="1" applyAlignment="1">
      <alignment horizontal="left" wrapText="1"/>
    </xf>
    <xf numFmtId="0" fontId="15" fillId="39" borderId="0" xfId="0" applyFont="1" applyFill="1"/>
    <xf numFmtId="0" fontId="14" fillId="39" borderId="0" xfId="0" applyFont="1" applyFill="1"/>
    <xf numFmtId="0" fontId="8" fillId="39" borderId="0" xfId="0" applyFont="1" applyFill="1"/>
    <xf numFmtId="2" fontId="15" fillId="0" borderId="3" xfId="0" applyNumberFormat="1" applyFont="1" applyBorder="1"/>
    <xf numFmtId="165" fontId="15" fillId="44" borderId="0" xfId="0" applyNumberFormat="1" applyFont="1" applyFill="1"/>
    <xf numFmtId="0" fontId="14" fillId="0" borderId="0" xfId="0" applyFont="1" applyAlignment="1">
      <alignment horizontal="right" vertical="center"/>
    </xf>
    <xf numFmtId="0" fontId="14" fillId="23" borderId="0" xfId="0" applyFont="1" applyFill="1" applyAlignment="1">
      <alignment horizontal="right" vertical="center"/>
    </xf>
    <xf numFmtId="0" fontId="8" fillId="0" borderId="0" xfId="0" applyFont="1" applyAlignment="1">
      <alignment horizontal="right" vertical="center"/>
    </xf>
    <xf numFmtId="2" fontId="0" fillId="35" borderId="0" xfId="0" applyNumberFormat="1" applyFill="1"/>
    <xf numFmtId="1" fontId="16" fillId="46" borderId="0" xfId="0" applyNumberFormat="1" applyFont="1" applyFill="1" applyAlignment="1">
      <alignment horizontal="left"/>
    </xf>
    <xf numFmtId="167" fontId="14" fillId="0" borderId="0" xfId="0" applyNumberFormat="1" applyFont="1" applyAlignment="1">
      <alignment horizontal="right"/>
    </xf>
    <xf numFmtId="0" fontId="8" fillId="35" borderId="0" xfId="0" applyFont="1" applyFill="1"/>
    <xf numFmtId="1" fontId="8" fillId="35" borderId="0" xfId="0" applyNumberFormat="1" applyFont="1" applyFill="1"/>
    <xf numFmtId="2" fontId="8" fillId="35" borderId="0" xfId="0" applyNumberFormat="1" applyFont="1" applyFill="1"/>
    <xf numFmtId="165" fontId="8" fillId="35" borderId="0" xfId="0" applyNumberFormat="1" applyFont="1" applyFill="1"/>
    <xf numFmtId="0" fontId="15" fillId="0" borderId="0" xfId="0" applyFont="1" applyAlignment="1">
      <alignment vertical="center"/>
    </xf>
    <xf numFmtId="1" fontId="0" fillId="46" borderId="0" xfId="0" applyNumberFormat="1" applyFill="1"/>
    <xf numFmtId="2" fontId="0" fillId="23" borderId="0" xfId="0" applyNumberFormat="1" applyFill="1"/>
    <xf numFmtId="3" fontId="0" fillId="0" borderId="0" xfId="0" applyNumberFormat="1"/>
    <xf numFmtId="0" fontId="33" fillId="0" borderId="0" xfId="0" applyFont="1" applyAlignment="1">
      <alignment horizontal="right"/>
    </xf>
    <xf numFmtId="0" fontId="16" fillId="0" borderId="0" xfId="0" applyFont="1" applyAlignment="1">
      <alignment horizontal="left" wrapText="1"/>
    </xf>
    <xf numFmtId="2" fontId="8" fillId="43" borderId="0" xfId="0" applyNumberFormat="1" applyFont="1" applyFill="1"/>
    <xf numFmtId="166" fontId="15" fillId="43" borderId="0" xfId="0" applyNumberFormat="1" applyFont="1" applyFill="1"/>
    <xf numFmtId="165" fontId="8" fillId="23" borderId="0" xfId="0" applyNumberFormat="1" applyFont="1" applyFill="1" applyAlignment="1">
      <alignment horizontal="left"/>
    </xf>
    <xf numFmtId="1" fontId="15" fillId="0" borderId="0" xfId="12" applyNumberFormat="1" applyFont="1">
      <alignment vertical="center"/>
    </xf>
    <xf numFmtId="166" fontId="14" fillId="40" borderId="0" xfId="12" applyNumberFormat="1" applyFont="1" applyFill="1">
      <alignment vertical="center"/>
    </xf>
    <xf numFmtId="2" fontId="16" fillId="22" borderId="0" xfId="0" applyNumberFormat="1" applyFont="1" applyFill="1" applyAlignment="1">
      <alignment horizontal="left"/>
    </xf>
    <xf numFmtId="1" fontId="15" fillId="46" borderId="0" xfId="0" applyNumberFormat="1" applyFont="1" applyFill="1"/>
    <xf numFmtId="0" fontId="15" fillId="0" borderId="0" xfId="0" applyFont="1" applyAlignment="1">
      <alignment horizontal="center"/>
    </xf>
    <xf numFmtId="0" fontId="15" fillId="16" borderId="0" xfId="0" applyFont="1" applyFill="1" applyAlignment="1">
      <alignment horizontal="left"/>
    </xf>
    <xf numFmtId="0" fontId="15" fillId="26" borderId="0" xfId="0" applyFont="1" applyFill="1"/>
    <xf numFmtId="0" fontId="15" fillId="26" borderId="0" xfId="0" applyFont="1" applyFill="1" applyAlignment="1">
      <alignment horizontal="left"/>
    </xf>
    <xf numFmtId="166" fontId="15" fillId="22" borderId="0" xfId="0" applyNumberFormat="1" applyFont="1" applyFill="1"/>
    <xf numFmtId="0" fontId="15" fillId="16" borderId="0" xfId="0" applyFont="1" applyFill="1"/>
    <xf numFmtId="1" fontId="15" fillId="14" borderId="0" xfId="0" applyNumberFormat="1" applyFont="1" applyFill="1"/>
    <xf numFmtId="0" fontId="14" fillId="10" borderId="0" xfId="0" applyFont="1" applyFill="1" applyAlignment="1">
      <alignment horizontal="left"/>
    </xf>
    <xf numFmtId="165" fontId="15" fillId="10" borderId="0" xfId="0" applyNumberFormat="1" applyFont="1" applyFill="1" applyAlignment="1">
      <alignment horizontal="right"/>
    </xf>
    <xf numFmtId="1" fontId="15" fillId="10" borderId="0" xfId="0" applyNumberFormat="1" applyFont="1" applyFill="1" applyAlignment="1">
      <alignment horizontal="right"/>
    </xf>
    <xf numFmtId="166" fontId="15" fillId="0" borderId="0" xfId="6" applyNumberFormat="1" applyFont="1" applyAlignment="1">
      <alignment horizontal="right"/>
    </xf>
    <xf numFmtId="2" fontId="15" fillId="10" borderId="0" xfId="0" applyNumberFormat="1" applyFont="1" applyFill="1" applyAlignment="1">
      <alignment horizontal="right"/>
    </xf>
    <xf numFmtId="0" fontId="15" fillId="0" borderId="0" xfId="0" quotePrefix="1" applyFont="1"/>
    <xf numFmtId="2" fontId="15" fillId="0" borderId="0" xfId="0" applyNumberFormat="1" applyFont="1" applyAlignment="1">
      <alignment horizontal="left"/>
    </xf>
    <xf numFmtId="165" fontId="15" fillId="0" borderId="0" xfId="0" quotePrefix="1" applyNumberFormat="1" applyFont="1"/>
    <xf numFmtId="14" fontId="15" fillId="0" borderId="0" xfId="0" applyNumberFormat="1" applyFont="1"/>
    <xf numFmtId="2" fontId="15" fillId="0" borderId="0" xfId="12" applyNumberFormat="1" applyFont="1">
      <alignment vertical="center"/>
    </xf>
    <xf numFmtId="165" fontId="15" fillId="0" borderId="0" xfId="12" applyNumberFormat="1" applyFont="1">
      <alignment vertical="center"/>
    </xf>
    <xf numFmtId="165" fontId="14" fillId="6" borderId="0" xfId="0" applyNumberFormat="1" applyFont="1" applyFill="1" applyAlignment="1">
      <alignment horizontal="left" vertical="center"/>
    </xf>
    <xf numFmtId="167" fontId="14" fillId="6" borderId="6" xfId="0" applyNumberFormat="1" applyFont="1" applyFill="1" applyBorder="1" applyAlignment="1">
      <alignment horizontal="left" vertical="center"/>
    </xf>
    <xf numFmtId="0" fontId="8" fillId="0" borderId="0" xfId="12">
      <alignment vertical="center"/>
    </xf>
    <xf numFmtId="165" fontId="8" fillId="0" borderId="0" xfId="12" applyNumberFormat="1">
      <alignment vertical="center"/>
    </xf>
    <xf numFmtId="166" fontId="8" fillId="0" borderId="0" xfId="12" applyNumberFormat="1">
      <alignment vertical="center"/>
    </xf>
    <xf numFmtId="1" fontId="8" fillId="0" borderId="0" xfId="12" applyNumberFormat="1">
      <alignment vertical="center"/>
    </xf>
    <xf numFmtId="2" fontId="8" fillId="0" borderId="0" xfId="12" applyNumberFormat="1">
      <alignment vertical="center"/>
    </xf>
    <xf numFmtId="0" fontId="14" fillId="0" borderId="0" xfId="12" applyFont="1">
      <alignment vertical="center"/>
    </xf>
    <xf numFmtId="2" fontId="14" fillId="0" borderId="0" xfId="12" applyNumberFormat="1" applyFont="1">
      <alignment vertical="center"/>
    </xf>
    <xf numFmtId="165" fontId="14" fillId="0" borderId="0" xfId="12" applyNumberFormat="1" applyFont="1">
      <alignment vertical="center"/>
    </xf>
    <xf numFmtId="166" fontId="14" fillId="0" borderId="0" xfId="12" applyNumberFormat="1" applyFont="1">
      <alignment vertical="center"/>
    </xf>
    <xf numFmtId="1" fontId="14" fillId="0" borderId="0" xfId="12" applyNumberFormat="1" applyFont="1">
      <alignment vertical="center"/>
    </xf>
    <xf numFmtId="2" fontId="8" fillId="23" borderId="0" xfId="0" applyNumberFormat="1" applyFont="1" applyFill="1"/>
    <xf numFmtId="2" fontId="15" fillId="41" borderId="0" xfId="0" applyNumberFormat="1" applyFont="1" applyFill="1"/>
    <xf numFmtId="166" fontId="0" fillId="17" borderId="0" xfId="0" applyNumberFormat="1" applyFill="1"/>
    <xf numFmtId="1" fontId="15" fillId="41" borderId="0" xfId="0" applyNumberFormat="1" applyFont="1" applyFill="1"/>
    <xf numFmtId="165" fontId="16" fillId="42" borderId="0" xfId="0" applyNumberFormat="1" applyFont="1" applyFill="1"/>
    <xf numFmtId="0" fontId="15" fillId="42" borderId="0" xfId="0" applyFont="1" applyFill="1"/>
    <xf numFmtId="0" fontId="15" fillId="34" borderId="0" xfId="0" applyFont="1" applyFill="1"/>
    <xf numFmtId="167" fontId="0" fillId="0" borderId="0" xfId="0" applyNumberFormat="1" applyAlignment="1">
      <alignment horizontal="left"/>
    </xf>
    <xf numFmtId="166" fontId="15" fillId="27" borderId="0" xfId="0" applyNumberFormat="1" applyFont="1" applyFill="1"/>
    <xf numFmtId="165" fontId="15" fillId="27" borderId="0" xfId="0" applyNumberFormat="1" applyFont="1" applyFill="1"/>
    <xf numFmtId="2" fontId="15" fillId="27" borderId="0" xfId="0" applyNumberFormat="1" applyFont="1" applyFill="1"/>
    <xf numFmtId="2" fontId="15" fillId="42" borderId="0" xfId="0" applyNumberFormat="1" applyFont="1" applyFill="1"/>
    <xf numFmtId="165" fontId="15" fillId="42" borderId="0" xfId="0" applyNumberFormat="1" applyFont="1" applyFill="1"/>
    <xf numFmtId="165" fontId="8" fillId="43" borderId="0" xfId="0" applyNumberFormat="1" applyFont="1" applyFill="1"/>
    <xf numFmtId="166" fontId="33" fillId="0" borderId="0" xfId="0" applyNumberFormat="1" applyFont="1" applyAlignment="1">
      <alignment horizontal="right"/>
    </xf>
    <xf numFmtId="165" fontId="16" fillId="0" borderId="0" xfId="0" applyNumberFormat="1" applyFont="1" applyAlignment="1">
      <alignment horizontal="left"/>
    </xf>
    <xf numFmtId="166" fontId="16" fillId="0" borderId="0" xfId="0" applyNumberFormat="1" applyFont="1" applyAlignment="1">
      <alignment horizontal="left"/>
    </xf>
    <xf numFmtId="0" fontId="16" fillId="39" borderId="0" xfId="0" applyFont="1" applyFill="1"/>
    <xf numFmtId="0" fontId="15" fillId="27" borderId="0" xfId="0" applyFont="1" applyFill="1" applyAlignment="1">
      <alignment horizontal="left" wrapText="1"/>
    </xf>
    <xf numFmtId="0" fontId="14" fillId="27" borderId="0" xfId="0" applyFont="1" applyFill="1" applyAlignment="1">
      <alignment horizontal="left" wrapText="1"/>
    </xf>
    <xf numFmtId="0" fontId="15" fillId="18" borderId="0" xfId="0" applyFont="1" applyFill="1" applyAlignment="1">
      <alignment horizontal="left" wrapText="1"/>
    </xf>
    <xf numFmtId="0" fontId="14" fillId="18" borderId="0" xfId="0" applyFont="1" applyFill="1" applyAlignment="1">
      <alignment horizontal="left" wrapText="1"/>
    </xf>
    <xf numFmtId="2" fontId="14" fillId="39" borderId="0" xfId="0" applyNumberFormat="1" applyFont="1" applyFill="1"/>
    <xf numFmtId="2" fontId="0" fillId="39" borderId="0" xfId="0" applyNumberFormat="1" applyFill="1"/>
    <xf numFmtId="169" fontId="8" fillId="24" borderId="0" xfId="14" applyNumberFormat="1" applyFill="1" applyAlignment="1">
      <alignment horizontal="left"/>
    </xf>
    <xf numFmtId="169" fontId="8" fillId="47" borderId="0" xfId="14" applyNumberFormat="1" applyFill="1"/>
    <xf numFmtId="169" fontId="0" fillId="24" borderId="0" xfId="14" applyNumberFormat="1" applyFont="1" applyFill="1"/>
    <xf numFmtId="0" fontId="0" fillId="24" borderId="0" xfId="0" applyFill="1"/>
    <xf numFmtId="166" fontId="16" fillId="0" borderId="0" xfId="0" applyNumberFormat="1" applyFont="1" applyAlignment="1">
      <alignment horizontal="left" vertical="center"/>
    </xf>
    <xf numFmtId="165" fontId="15" fillId="0" borderId="0" xfId="0" applyNumberFormat="1" applyFont="1" applyAlignment="1">
      <alignment horizontal="left"/>
    </xf>
    <xf numFmtId="165" fontId="15" fillId="14" borderId="0" xfId="0" applyNumberFormat="1" applyFont="1" applyFill="1" applyAlignment="1">
      <alignment horizontal="right"/>
    </xf>
    <xf numFmtId="0" fontId="15" fillId="29" borderId="0" xfId="0" applyFont="1" applyFill="1"/>
    <xf numFmtId="2" fontId="15" fillId="29" borderId="0" xfId="0" applyNumberFormat="1" applyFont="1" applyFill="1"/>
    <xf numFmtId="165" fontId="15" fillId="29" borderId="0" xfId="0" applyNumberFormat="1" applyFont="1" applyFill="1"/>
    <xf numFmtId="1" fontId="15" fillId="29" borderId="0" xfId="0" applyNumberFormat="1" applyFont="1" applyFill="1"/>
    <xf numFmtId="165" fontId="8" fillId="36" borderId="0" xfId="0" applyNumberFormat="1" applyFont="1" applyFill="1"/>
    <xf numFmtId="2" fontId="14" fillId="24" borderId="0" xfId="0" applyNumberFormat="1" applyFont="1" applyFill="1"/>
    <xf numFmtId="166" fontId="14" fillId="24" borderId="0" xfId="0" applyNumberFormat="1" applyFont="1" applyFill="1"/>
    <xf numFmtId="165" fontId="15" fillId="49" borderId="0" xfId="0" applyNumberFormat="1" applyFont="1" applyFill="1"/>
    <xf numFmtId="165" fontId="16" fillId="44" borderId="0" xfId="0" applyNumberFormat="1" applyFont="1" applyFill="1"/>
    <xf numFmtId="1" fontId="14" fillId="24" borderId="0" xfId="0" applyNumberFormat="1" applyFont="1" applyFill="1"/>
    <xf numFmtId="1" fontId="14" fillId="43" borderId="0" xfId="0" applyNumberFormat="1" applyFont="1" applyFill="1"/>
    <xf numFmtId="166" fontId="15" fillId="29" borderId="0" xfId="0" applyNumberFormat="1" applyFont="1" applyFill="1"/>
    <xf numFmtId="2" fontId="14" fillId="20" borderId="0" xfId="0" applyNumberFormat="1" applyFont="1" applyFill="1"/>
    <xf numFmtId="0" fontId="14" fillId="49" borderId="0" xfId="0" applyFont="1" applyFill="1" applyAlignment="1">
      <alignment horizontal="left"/>
    </xf>
    <xf numFmtId="0" fontId="14" fillId="50" borderId="0" xfId="0" applyFont="1" applyFill="1" applyAlignment="1">
      <alignment horizontal="left"/>
    </xf>
    <xf numFmtId="0" fontId="14" fillId="49" borderId="0" xfId="0" applyFont="1" applyFill="1"/>
    <xf numFmtId="2" fontId="14" fillId="49" borderId="0" xfId="0" applyNumberFormat="1" applyFont="1" applyFill="1"/>
    <xf numFmtId="165" fontId="14" fillId="49" borderId="0" xfId="0" applyNumberFormat="1" applyFont="1" applyFill="1"/>
    <xf numFmtId="1" fontId="14" fillId="49" borderId="0" xfId="0" applyNumberFormat="1" applyFont="1" applyFill="1"/>
    <xf numFmtId="166" fontId="14" fillId="49" borderId="0" xfId="0" applyNumberFormat="1" applyFont="1" applyFill="1"/>
    <xf numFmtId="166" fontId="19" fillId="49" borderId="0" xfId="0" applyNumberFormat="1" applyFont="1" applyFill="1"/>
    <xf numFmtId="166" fontId="19" fillId="49" borderId="0" xfId="0" applyNumberFormat="1" applyFont="1" applyFill="1" applyAlignment="1">
      <alignment horizontal="left"/>
    </xf>
    <xf numFmtId="2" fontId="19" fillId="49" borderId="0" xfId="0" applyNumberFormat="1" applyFont="1" applyFill="1" applyAlignment="1">
      <alignment horizontal="left"/>
    </xf>
    <xf numFmtId="0" fontId="14" fillId="50" borderId="0" xfId="0" applyFont="1" applyFill="1"/>
    <xf numFmtId="2" fontId="19" fillId="49" borderId="0" xfId="0" applyNumberFormat="1" applyFont="1" applyFill="1"/>
    <xf numFmtId="2" fontId="14" fillId="14" borderId="0" xfId="0" applyNumberFormat="1" applyFont="1" applyFill="1" applyAlignment="1">
      <alignment horizontal="right"/>
    </xf>
    <xf numFmtId="0" fontId="14" fillId="14" borderId="0" xfId="0" applyFont="1" applyFill="1" applyAlignment="1">
      <alignment horizontal="right"/>
    </xf>
    <xf numFmtId="1" fontId="15" fillId="30" borderId="0" xfId="0" applyNumberFormat="1" applyFont="1" applyFill="1"/>
    <xf numFmtId="166" fontId="15" fillId="30" borderId="0" xfId="0" applyNumberFormat="1" applyFont="1" applyFill="1"/>
    <xf numFmtId="2" fontId="15" fillId="30" borderId="0" xfId="0" applyNumberFormat="1" applyFont="1" applyFill="1"/>
    <xf numFmtId="1" fontId="15" fillId="44" borderId="0" xfId="0" applyNumberFormat="1" applyFont="1" applyFill="1"/>
    <xf numFmtId="2" fontId="15" fillId="44" borderId="0" xfId="0" applyNumberFormat="1" applyFont="1" applyFill="1"/>
    <xf numFmtId="166" fontId="15" fillId="44" borderId="0" xfId="0" applyNumberFormat="1" applyFont="1" applyFill="1"/>
    <xf numFmtId="2" fontId="41" fillId="0" borderId="0" xfId="0" applyNumberFormat="1" applyFont="1" applyAlignment="1">
      <alignment horizontal="center"/>
    </xf>
    <xf numFmtId="0" fontId="13" fillId="49" borderId="0" xfId="0" applyFont="1" applyFill="1" applyAlignment="1">
      <alignment vertical="center"/>
    </xf>
    <xf numFmtId="171" fontId="0" fillId="0" borderId="0" xfId="0" applyNumberFormat="1" applyAlignment="1">
      <alignment vertical="center"/>
    </xf>
    <xf numFmtId="0" fontId="14" fillId="34" borderId="0" xfId="0" applyFont="1" applyFill="1" applyAlignment="1">
      <alignment horizontal="right"/>
    </xf>
    <xf numFmtId="165" fontId="14" fillId="34" borderId="0" xfId="0" applyNumberFormat="1" applyFont="1" applyFill="1" applyAlignment="1">
      <alignment horizontal="right"/>
    </xf>
    <xf numFmtId="2" fontId="16" fillId="14" borderId="0" xfId="0" applyNumberFormat="1" applyFont="1" applyFill="1" applyAlignment="1">
      <alignment horizontal="right"/>
    </xf>
    <xf numFmtId="0" fontId="16" fillId="14" borderId="0" xfId="0" applyFont="1" applyFill="1" applyAlignment="1">
      <alignment horizontal="right"/>
    </xf>
    <xf numFmtId="1" fontId="16" fillId="0" borderId="0" xfId="12" applyNumberFormat="1" applyFont="1">
      <alignment vertical="center"/>
    </xf>
    <xf numFmtId="2" fontId="16" fillId="0" borderId="0" xfId="0" applyNumberFormat="1" applyFont="1" applyAlignment="1">
      <alignment horizontal="right"/>
    </xf>
    <xf numFmtId="165" fontId="19" fillId="0" borderId="0" xfId="0" applyNumberFormat="1" applyFont="1"/>
    <xf numFmtId="2" fontId="19" fillId="14" borderId="0" xfId="0" applyNumberFormat="1" applyFont="1" applyFill="1"/>
    <xf numFmtId="0" fontId="8" fillId="14" borderId="0" xfId="0" applyFont="1" applyFill="1" applyAlignment="1">
      <alignment horizontal="left"/>
    </xf>
    <xf numFmtId="0" fontId="0" fillId="14" borderId="0" xfId="0" applyFill="1"/>
    <xf numFmtId="166" fontId="15" fillId="14" borderId="0" xfId="0" applyNumberFormat="1" applyFont="1" applyFill="1"/>
    <xf numFmtId="0" fontId="16" fillId="14" borderId="0" xfId="0" applyFont="1" applyFill="1" applyAlignment="1">
      <alignment horizontal="center"/>
    </xf>
    <xf numFmtId="165" fontId="8" fillId="14" borderId="0" xfId="0" applyNumberFormat="1" applyFont="1" applyFill="1"/>
    <xf numFmtId="2" fontId="16" fillId="35" borderId="0" xfId="0" applyNumberFormat="1" applyFont="1" applyFill="1" applyAlignment="1">
      <alignment horizontal="left"/>
    </xf>
    <xf numFmtId="165" fontId="16" fillId="35" borderId="0" xfId="0" applyNumberFormat="1" applyFont="1" applyFill="1" applyAlignment="1">
      <alignment horizontal="left"/>
    </xf>
    <xf numFmtId="165" fontId="15" fillId="41" borderId="0" xfId="0" applyNumberFormat="1" applyFont="1" applyFill="1"/>
    <xf numFmtId="166" fontId="14" fillId="23" borderId="0" xfId="0" applyNumberFormat="1" applyFont="1" applyFill="1"/>
    <xf numFmtId="166" fontId="8" fillId="10" borderId="3" xfId="0" applyNumberFormat="1" applyFont="1" applyFill="1" applyBorder="1"/>
    <xf numFmtId="166" fontId="15" fillId="41" borderId="0" xfId="0" applyNumberFormat="1" applyFont="1" applyFill="1"/>
    <xf numFmtId="165" fontId="14" fillId="23" borderId="0" xfId="0" applyNumberFormat="1" applyFont="1" applyFill="1" applyAlignment="1">
      <alignment horizontal="right" vertical="center"/>
    </xf>
    <xf numFmtId="166" fontId="16" fillId="22" borderId="3" xfId="0" applyNumberFormat="1" applyFont="1" applyFill="1" applyBorder="1"/>
    <xf numFmtId="166" fontId="0" fillId="14" borderId="0" xfId="0" applyNumberFormat="1" applyFill="1" applyAlignment="1">
      <alignment horizontal="left"/>
    </xf>
    <xf numFmtId="166" fontId="15" fillId="38" borderId="0" xfId="0" applyNumberFormat="1" applyFont="1" applyFill="1" applyAlignment="1">
      <alignment horizontal="left"/>
    </xf>
    <xf numFmtId="166" fontId="0" fillId="38" borderId="0" xfId="0" applyNumberFormat="1" applyFill="1" applyAlignment="1">
      <alignment horizontal="left"/>
    </xf>
    <xf numFmtId="2" fontId="16" fillId="46" borderId="0" xfId="0" applyNumberFormat="1" applyFont="1" applyFill="1" applyAlignment="1">
      <alignment horizontal="left"/>
    </xf>
    <xf numFmtId="1" fontId="8" fillId="24" borderId="0" xfId="0" applyNumberFormat="1" applyFont="1" applyFill="1"/>
    <xf numFmtId="1" fontId="16" fillId="0" borderId="3" xfId="0" applyNumberFormat="1" applyFont="1" applyBorder="1" applyAlignment="1">
      <alignment horizontal="left"/>
    </xf>
    <xf numFmtId="2" fontId="14" fillId="23" borderId="0" xfId="0" applyNumberFormat="1" applyFont="1" applyFill="1" applyAlignment="1">
      <alignment horizontal="right" vertical="center"/>
    </xf>
    <xf numFmtId="166" fontId="14" fillId="23" borderId="0" xfId="0" applyNumberFormat="1" applyFont="1" applyFill="1" applyAlignment="1">
      <alignment horizontal="right" vertical="center"/>
    </xf>
    <xf numFmtId="166" fontId="14" fillId="14" borderId="0" xfId="0" applyNumberFormat="1" applyFont="1" applyFill="1"/>
    <xf numFmtId="166" fontId="8" fillId="35" borderId="0" xfId="0" applyNumberFormat="1" applyFont="1" applyFill="1"/>
    <xf numFmtId="2" fontId="16" fillId="42" borderId="0" xfId="0" applyNumberFormat="1" applyFont="1" applyFill="1"/>
    <xf numFmtId="2" fontId="15" fillId="46" borderId="0" xfId="0" applyNumberFormat="1" applyFont="1" applyFill="1"/>
    <xf numFmtId="2" fontId="0" fillId="42" borderId="0" xfId="0" applyNumberFormat="1" applyFill="1"/>
    <xf numFmtId="2" fontId="8" fillId="2" borderId="0" xfId="0" applyNumberFormat="1" applyFont="1" applyFill="1"/>
    <xf numFmtId="165" fontId="8" fillId="2" borderId="0" xfId="0" applyNumberFormat="1" applyFont="1" applyFill="1"/>
    <xf numFmtId="0" fontId="8" fillId="2" borderId="0" xfId="0" applyFont="1" applyFill="1"/>
    <xf numFmtId="0" fontId="14" fillId="42" borderId="0" xfId="0" applyFont="1" applyFill="1"/>
    <xf numFmtId="0" fontId="14" fillId="42" borderId="0" xfId="0" applyFont="1" applyFill="1" applyAlignment="1">
      <alignment horizontal="right"/>
    </xf>
    <xf numFmtId="0" fontId="19" fillId="42" borderId="0" xfId="0" applyFont="1" applyFill="1" applyAlignment="1">
      <alignment horizontal="right"/>
    </xf>
    <xf numFmtId="2" fontId="19" fillId="42" borderId="0" xfId="0" applyNumberFormat="1" applyFont="1" applyFill="1" applyAlignment="1">
      <alignment horizontal="right"/>
    </xf>
    <xf numFmtId="165" fontId="19" fillId="42" borderId="0" xfId="0" applyNumberFormat="1" applyFont="1" applyFill="1" applyAlignment="1">
      <alignment horizontal="right"/>
    </xf>
    <xf numFmtId="166" fontId="19" fillId="42" borderId="0" xfId="0" applyNumberFormat="1" applyFont="1" applyFill="1" applyAlignment="1">
      <alignment horizontal="right"/>
    </xf>
    <xf numFmtId="1" fontId="19" fillId="42" borderId="0" xfId="0" applyNumberFormat="1" applyFont="1" applyFill="1" applyAlignment="1">
      <alignment horizontal="right"/>
    </xf>
    <xf numFmtId="1" fontId="15" fillId="42" borderId="0" xfId="0" applyNumberFormat="1" applyFont="1" applyFill="1"/>
    <xf numFmtId="166" fontId="15" fillId="42" borderId="0" xfId="0" applyNumberFormat="1" applyFont="1" applyFill="1"/>
    <xf numFmtId="165" fontId="14" fillId="42" borderId="0" xfId="0" applyNumberFormat="1" applyFont="1" applyFill="1"/>
    <xf numFmtId="165" fontId="0" fillId="44" borderId="0" xfId="0" applyNumberFormat="1" applyFill="1"/>
    <xf numFmtId="2" fontId="15" fillId="40" borderId="0" xfId="0" applyNumberFormat="1" applyFont="1" applyFill="1"/>
    <xf numFmtId="165" fontId="15" fillId="40" borderId="0" xfId="0" applyNumberFormat="1" applyFont="1" applyFill="1"/>
    <xf numFmtId="2" fontId="16" fillId="44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2" fontId="0" fillId="43" borderId="0" xfId="0" applyNumberFormat="1" applyFill="1"/>
    <xf numFmtId="1" fontId="0" fillId="43" borderId="0" xfId="0" applyNumberFormat="1" applyFill="1"/>
    <xf numFmtId="167" fontId="0" fillId="24" borderId="0" xfId="0" applyNumberFormat="1" applyFill="1"/>
    <xf numFmtId="10" fontId="8" fillId="0" borderId="0" xfId="14"/>
    <xf numFmtId="165" fontId="15" fillId="0" borderId="0" xfId="0" applyNumberFormat="1" applyFont="1" applyAlignment="1">
      <alignment horizontal="left" vertical="center"/>
    </xf>
    <xf numFmtId="2" fontId="0" fillId="10" borderId="0" xfId="0" applyNumberFormat="1" applyFill="1"/>
    <xf numFmtId="2" fontId="15" fillId="0" borderId="0" xfId="0" applyNumberFormat="1" applyFont="1" applyAlignment="1">
      <alignment horizontal="right" wrapText="1"/>
    </xf>
    <xf numFmtId="2" fontId="16" fillId="0" borderId="0" xfId="0" applyNumberFormat="1" applyFont="1" applyAlignment="1">
      <alignment horizontal="right" wrapText="1"/>
    </xf>
    <xf numFmtId="166" fontId="8" fillId="0" borderId="0" xfId="0" applyNumberFormat="1" applyFont="1" applyAlignment="1">
      <alignment horizontal="right" vertical="center"/>
    </xf>
    <xf numFmtId="165" fontId="15" fillId="23" borderId="0" xfId="0" applyNumberFormat="1" applyFont="1" applyFill="1" applyAlignment="1">
      <alignment horizontal="right"/>
    </xf>
    <xf numFmtId="0" fontId="33" fillId="0" borderId="0" xfId="0" applyFont="1"/>
    <xf numFmtId="14" fontId="8" fillId="0" borderId="0" xfId="0" applyNumberFormat="1" applyFont="1"/>
    <xf numFmtId="0" fontId="0" fillId="0" borderId="0" xfId="0" applyAlignment="1">
      <alignment horizontal="right" wrapText="1"/>
    </xf>
    <xf numFmtId="10" fontId="0" fillId="0" borderId="0" xfId="14" applyFont="1" applyAlignment="1">
      <alignment horizontal="center"/>
    </xf>
    <xf numFmtId="0" fontId="14" fillId="30" borderId="0" xfId="0" applyFont="1" applyFill="1" applyAlignment="1">
      <alignment horizontal="right" vertical="center" wrapText="1"/>
    </xf>
    <xf numFmtId="0" fontId="6" fillId="16" borderId="0" xfId="0" applyFont="1" applyFill="1" applyAlignment="1">
      <alignment horizontal="right" vertical="center" wrapText="1"/>
    </xf>
    <xf numFmtId="0" fontId="14" fillId="10" borderId="0" xfId="0" applyFont="1" applyFill="1" applyAlignment="1">
      <alignment horizontal="right" vertical="center" wrapText="1"/>
    </xf>
    <xf numFmtId="0" fontId="14" fillId="37" borderId="0" xfId="0" applyFont="1" applyFill="1" applyAlignment="1">
      <alignment horizontal="right" vertical="center" wrapText="1"/>
    </xf>
    <xf numFmtId="0" fontId="14" fillId="18" borderId="0" xfId="0" applyFont="1" applyFill="1" applyAlignment="1">
      <alignment horizontal="right" vertical="center" wrapText="1"/>
    </xf>
    <xf numFmtId="0" fontId="14" fillId="39" borderId="0" xfId="0" applyFont="1" applyFill="1" applyAlignment="1">
      <alignment horizontal="right" vertical="center" wrapText="1"/>
    </xf>
    <xf numFmtId="0" fontId="19" fillId="20" borderId="0" xfId="0" applyFont="1" applyFill="1" applyAlignment="1">
      <alignment horizontal="right" vertical="center" wrapText="1"/>
    </xf>
    <xf numFmtId="0" fontId="14" fillId="41" borderId="0" xfId="0" applyFont="1" applyFill="1" applyAlignment="1">
      <alignment horizontal="right" vertical="center" wrapText="1"/>
    </xf>
    <xf numFmtId="0" fontId="6" fillId="41" borderId="0" xfId="0" applyFont="1" applyFill="1" applyAlignment="1">
      <alignment horizontal="right" vertical="center" wrapText="1"/>
    </xf>
    <xf numFmtId="0" fontId="30" fillId="36" borderId="0" xfId="0" applyFont="1" applyFill="1" applyAlignment="1">
      <alignment horizontal="right" vertical="center" wrapText="1"/>
    </xf>
    <xf numFmtId="0" fontId="6" fillId="5" borderId="0" xfId="0" applyFont="1" applyFill="1" applyAlignment="1">
      <alignment horizontal="right" vertical="center" wrapText="1"/>
    </xf>
    <xf numFmtId="0" fontId="6" fillId="42" borderId="0" xfId="0" applyFont="1" applyFill="1" applyAlignment="1">
      <alignment horizontal="right" vertical="center" wrapText="1"/>
    </xf>
    <xf numFmtId="0" fontId="6" fillId="36" borderId="0" xfId="0" applyFont="1" applyFill="1" applyAlignment="1">
      <alignment horizontal="right" vertical="center" wrapText="1"/>
    </xf>
    <xf numFmtId="0" fontId="6" fillId="35" borderId="0" xfId="0" applyFont="1" applyFill="1" applyAlignment="1">
      <alignment horizontal="right" vertical="center" wrapText="1"/>
    </xf>
    <xf numFmtId="0" fontId="6" fillId="40" borderId="0" xfId="0" applyFont="1" applyFill="1" applyAlignment="1">
      <alignment horizontal="right" vertical="center" wrapText="1"/>
    </xf>
    <xf numFmtId="0" fontId="14" fillId="17" borderId="0" xfId="0" applyFont="1" applyFill="1" applyAlignment="1">
      <alignment horizontal="right" vertical="center" wrapText="1"/>
    </xf>
    <xf numFmtId="0" fontId="42" fillId="5" borderId="0" xfId="0" applyFont="1" applyFill="1" applyAlignment="1">
      <alignment horizontal="right" vertical="center" wrapText="1"/>
    </xf>
    <xf numFmtId="0" fontId="14" fillId="43" borderId="0" xfId="0" applyFont="1" applyFill="1" applyAlignment="1">
      <alignment horizontal="right" vertical="center" wrapText="1"/>
    </xf>
    <xf numFmtId="0" fontId="14" fillId="28" borderId="0" xfId="0" applyFont="1" applyFill="1" applyAlignment="1">
      <alignment horizontal="right" vertical="center" wrapText="1"/>
    </xf>
    <xf numFmtId="0" fontId="14" fillId="42" borderId="0" xfId="0" applyFont="1" applyFill="1" applyAlignment="1">
      <alignment horizontal="right" vertical="center" wrapText="1"/>
    </xf>
    <xf numFmtId="0" fontId="14" fillId="48" borderId="0" xfId="0" applyFont="1" applyFill="1" applyAlignment="1">
      <alignment horizontal="right" vertical="center" wrapText="1"/>
    </xf>
    <xf numFmtId="0" fontId="14" fillId="49" borderId="0" xfId="0" applyFont="1" applyFill="1" applyAlignment="1">
      <alignment horizontal="right" vertical="center" wrapText="1"/>
    </xf>
    <xf numFmtId="0" fontId="30" fillId="23" borderId="0" xfId="0" applyFont="1" applyFill="1" applyAlignment="1">
      <alignment horizontal="right" vertical="center" wrapText="1"/>
    </xf>
    <xf numFmtId="0" fontId="14" fillId="38" borderId="0" xfId="0" applyFont="1" applyFill="1" applyAlignment="1">
      <alignment horizontal="right" vertical="center" wrapText="1"/>
    </xf>
    <xf numFmtId="0" fontId="6" fillId="28" borderId="0" xfId="0" applyFont="1" applyFill="1" applyAlignment="1">
      <alignment horizontal="right" vertical="center" wrapText="1"/>
    </xf>
    <xf numFmtId="0" fontId="14" fillId="20" borderId="0" xfId="0" applyFont="1" applyFill="1" applyAlignment="1">
      <alignment horizontal="right" vertical="center" wrapText="1"/>
    </xf>
    <xf numFmtId="0" fontId="14" fillId="24" borderId="0" xfId="0" applyFont="1" applyFill="1" applyAlignment="1">
      <alignment horizontal="right" vertical="center" wrapText="1"/>
    </xf>
    <xf numFmtId="0" fontId="6" fillId="34" borderId="0" xfId="0" applyFont="1" applyFill="1" applyAlignment="1">
      <alignment horizontal="right" vertical="center" wrapText="1"/>
    </xf>
    <xf numFmtId="0" fontId="6" fillId="17" borderId="0" xfId="0" applyFont="1" applyFill="1" applyAlignment="1">
      <alignment horizontal="right" vertical="center" wrapText="1"/>
    </xf>
    <xf numFmtId="0" fontId="6" fillId="14" borderId="0" xfId="0" applyFont="1" applyFill="1" applyAlignment="1">
      <alignment horizontal="right" vertical="center" wrapText="1"/>
    </xf>
    <xf numFmtId="0" fontId="6" fillId="45" borderId="0" xfId="0" applyFont="1" applyFill="1" applyAlignment="1">
      <alignment horizontal="right" vertical="center" wrapText="1"/>
    </xf>
    <xf numFmtId="0" fontId="14" fillId="44" borderId="0" xfId="0" applyFont="1" applyFill="1" applyAlignment="1">
      <alignment horizontal="right" vertical="center" wrapText="1"/>
    </xf>
    <xf numFmtId="0" fontId="6" fillId="44" borderId="0" xfId="0" applyFont="1" applyFill="1" applyAlignment="1">
      <alignment horizontal="right" vertical="center" wrapText="1"/>
    </xf>
    <xf numFmtId="0" fontId="14" fillId="16" borderId="0" xfId="0" applyFont="1" applyFill="1" applyAlignment="1">
      <alignment horizontal="right" vertical="center" wrapText="1"/>
    </xf>
    <xf numFmtId="0" fontId="14" fillId="6" borderId="0" xfId="0" applyFont="1" applyFill="1" applyAlignment="1">
      <alignment horizontal="right" vertical="center" wrapText="1"/>
    </xf>
    <xf numFmtId="0" fontId="6" fillId="29" borderId="0" xfId="0" applyFont="1" applyFill="1" applyAlignment="1">
      <alignment horizontal="right" vertical="center" wrapText="1"/>
    </xf>
    <xf numFmtId="0" fontId="14" fillId="19" borderId="0" xfId="0" applyFont="1" applyFill="1" applyAlignment="1">
      <alignment horizontal="right" vertical="center" wrapText="1"/>
    </xf>
    <xf numFmtId="0" fontId="6" fillId="43" borderId="0" xfId="0" applyFont="1" applyFill="1" applyAlignment="1">
      <alignment horizontal="right" vertical="center" wrapText="1"/>
    </xf>
    <xf numFmtId="0" fontId="6" fillId="15" borderId="0" xfId="0" applyFont="1" applyFill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6" fillId="7" borderId="0" xfId="0" applyFont="1" applyFill="1" applyAlignment="1">
      <alignment horizontal="right" vertical="center" wrapText="1"/>
    </xf>
    <xf numFmtId="0" fontId="38" fillId="20" borderId="0" xfId="0" applyFont="1" applyFill="1" applyAlignment="1">
      <alignment horizontal="right" vertical="center" wrapText="1"/>
    </xf>
    <xf numFmtId="0" fontId="14" fillId="51" borderId="0" xfId="0" applyFont="1" applyFill="1" applyAlignment="1">
      <alignment horizontal="center"/>
    </xf>
    <xf numFmtId="0" fontId="14" fillId="52" borderId="0" xfId="0" applyFont="1" applyFill="1" applyAlignment="1">
      <alignment horizontal="center"/>
    </xf>
    <xf numFmtId="0" fontId="6" fillId="53" borderId="0" xfId="0" applyFont="1" applyFill="1" applyAlignment="1">
      <alignment horizontal="center"/>
    </xf>
    <xf numFmtId="2" fontId="45" fillId="0" borderId="0" xfId="24" applyNumberFormat="1">
      <alignment vertical="center"/>
    </xf>
    <xf numFmtId="165" fontId="45" fillId="0" borderId="0" xfId="24" applyNumberFormat="1">
      <alignment vertical="center"/>
    </xf>
    <xf numFmtId="165" fontId="45" fillId="15" borderId="0" xfId="24" applyNumberFormat="1" applyFill="1">
      <alignment vertical="center"/>
    </xf>
    <xf numFmtId="0" fontId="8" fillId="53" borderId="0" xfId="36" applyFont="1" applyFill="1">
      <alignment vertical="center"/>
    </xf>
    <xf numFmtId="2" fontId="7" fillId="53" borderId="0" xfId="36" applyNumberFormat="1" applyFont="1" applyFill="1">
      <alignment vertical="center"/>
    </xf>
    <xf numFmtId="1" fontId="7" fillId="53" borderId="0" xfId="36" applyNumberFormat="1" applyFont="1" applyFill="1">
      <alignment vertical="center"/>
    </xf>
    <xf numFmtId="166" fontId="7" fillId="53" borderId="0" xfId="36" applyNumberFormat="1" applyFont="1" applyFill="1">
      <alignment vertical="center"/>
    </xf>
    <xf numFmtId="0" fontId="7" fillId="53" borderId="0" xfId="36" applyFont="1" applyFill="1">
      <alignment vertical="center"/>
    </xf>
    <xf numFmtId="1" fontId="8" fillId="53" borderId="0" xfId="36" applyNumberFormat="1" applyFont="1" applyFill="1">
      <alignment vertical="center"/>
    </xf>
    <xf numFmtId="2" fontId="8" fillId="53" borderId="0" xfId="36" applyNumberFormat="1" applyFont="1" applyFill="1">
      <alignment vertical="center"/>
    </xf>
    <xf numFmtId="166" fontId="8" fillId="53" borderId="0" xfId="36" applyNumberFormat="1" applyFont="1" applyFill="1">
      <alignment vertical="center"/>
    </xf>
    <xf numFmtId="165" fontId="8" fillId="53" borderId="0" xfId="36" applyNumberFormat="1" applyFont="1" applyFill="1">
      <alignment vertical="center"/>
    </xf>
    <xf numFmtId="2" fontId="8" fillId="53" borderId="0" xfId="36" applyNumberFormat="1" applyFont="1" applyFill="1" applyAlignment="1">
      <alignment horizontal="right" vertical="center"/>
    </xf>
    <xf numFmtId="2" fontId="8" fillId="0" borderId="0" xfId="25" applyNumberFormat="1" applyFont="1" applyAlignment="1">
      <alignment horizontal="right"/>
    </xf>
    <xf numFmtId="165" fontId="8" fillId="0" borderId="0" xfId="25" applyNumberFormat="1" applyFont="1" applyAlignment="1">
      <alignment horizontal="right"/>
    </xf>
    <xf numFmtId="2" fontId="8" fillId="0" borderId="0" xfId="39" applyNumberFormat="1" applyFont="1" applyAlignment="1">
      <alignment horizontal="right"/>
    </xf>
    <xf numFmtId="165" fontId="8" fillId="0" borderId="0" xfId="39" applyNumberFormat="1" applyFont="1" applyAlignment="1">
      <alignment horizontal="right"/>
    </xf>
    <xf numFmtId="0" fontId="6" fillId="37" borderId="0" xfId="0" applyFont="1" applyFill="1" applyAlignment="1">
      <alignment horizontal="right" vertical="center" wrapText="1"/>
    </xf>
    <xf numFmtId="2" fontId="45" fillId="0" borderId="0" xfId="40" applyNumberFormat="1">
      <alignment vertical="center"/>
    </xf>
    <xf numFmtId="2" fontId="45" fillId="0" borderId="0" xfId="41" applyNumberFormat="1">
      <alignment vertical="center"/>
    </xf>
    <xf numFmtId="165" fontId="8" fillId="0" borderId="0" xfId="0" applyNumberFormat="1" applyFont="1" applyAlignment="1">
      <alignment horizontal="right" vertical="center"/>
    </xf>
    <xf numFmtId="2" fontId="15" fillId="54" borderId="0" xfId="0" applyNumberFormat="1" applyFont="1" applyFill="1"/>
    <xf numFmtId="166" fontId="7" fillId="14" borderId="0" xfId="0" applyNumberFormat="1" applyFont="1" applyFill="1"/>
    <xf numFmtId="165" fontId="8" fillId="14" borderId="0" xfId="0" applyNumberFormat="1" applyFont="1" applyFill="1" applyAlignment="1">
      <alignment horizontal="right"/>
    </xf>
    <xf numFmtId="2" fontId="8" fillId="14" borderId="0" xfId="0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0" fontId="6" fillId="52" borderId="0" xfId="0" applyFont="1" applyFill="1" applyAlignment="1">
      <alignment horizontal="right" vertical="center" wrapText="1"/>
    </xf>
    <xf numFmtId="2" fontId="8" fillId="54" borderId="0" xfId="0" applyNumberFormat="1" applyFont="1" applyFill="1"/>
    <xf numFmtId="166" fontId="8" fillId="27" borderId="0" xfId="0" applyNumberFormat="1" applyFont="1" applyFill="1"/>
    <xf numFmtId="166" fontId="7" fillId="0" borderId="0" xfId="0" applyNumberFormat="1" applyFont="1"/>
    <xf numFmtId="1" fontId="7" fillId="0" borderId="0" xfId="0" applyNumberFormat="1" applyFont="1"/>
    <xf numFmtId="0" fontId="7" fillId="0" borderId="0" xfId="0" applyFont="1" applyAlignment="1">
      <alignment horizontal="center"/>
    </xf>
    <xf numFmtId="0" fontId="8" fillId="14" borderId="0" xfId="0" applyFont="1" applyFill="1"/>
    <xf numFmtId="0" fontId="7" fillId="14" borderId="0" xfId="0" applyFont="1" applyFill="1" applyAlignment="1">
      <alignment horizontal="center"/>
    </xf>
    <xf numFmtId="0" fontId="50" fillId="0" borderId="0" xfId="0" applyFont="1"/>
    <xf numFmtId="0" fontId="50" fillId="23" borderId="0" xfId="0" applyFont="1" applyFill="1"/>
    <xf numFmtId="0" fontId="49" fillId="0" borderId="0" xfId="0" applyFont="1" applyAlignment="1">
      <alignment horizontal="right"/>
    </xf>
    <xf numFmtId="2" fontId="50" fillId="0" borderId="0" xfId="0" applyNumberFormat="1" applyFont="1"/>
    <xf numFmtId="0" fontId="50" fillId="30" borderId="0" xfId="0" applyFont="1" applyFill="1"/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6" fillId="61" borderId="0" xfId="0" applyFont="1" applyFill="1" applyAlignment="1">
      <alignment horizontal="right" vertical="center" wrapText="1"/>
    </xf>
    <xf numFmtId="0" fontId="51" fillId="0" borderId="0" xfId="0" applyFont="1"/>
    <xf numFmtId="0" fontId="51" fillId="35" borderId="0" xfId="0" applyFont="1" applyFill="1" applyAlignment="1">
      <alignment horizontal="center"/>
    </xf>
    <xf numFmtId="0" fontId="52" fillId="5" borderId="0" xfId="0" applyFont="1" applyFill="1" applyAlignment="1">
      <alignment horizontal="center"/>
    </xf>
    <xf numFmtId="0" fontId="53" fillId="48" borderId="0" xfId="0" applyFont="1" applyFill="1" applyAlignment="1">
      <alignment horizontal="left"/>
    </xf>
    <xf numFmtId="0" fontId="54" fillId="27" borderId="0" xfId="0" applyFont="1" applyFill="1" applyAlignment="1">
      <alignment horizontal="center"/>
    </xf>
    <xf numFmtId="0" fontId="55" fillId="0" borderId="0" xfId="0" applyFont="1" applyAlignment="1">
      <alignment horizontal="right"/>
    </xf>
    <xf numFmtId="0" fontId="55" fillId="0" borderId="0" xfId="0" applyFont="1"/>
    <xf numFmtId="0" fontId="6" fillId="60" borderId="0" xfId="0" applyFont="1" applyFill="1" applyAlignment="1">
      <alignment horizontal="right" vertical="center" wrapText="1"/>
    </xf>
    <xf numFmtId="0" fontId="51" fillId="0" borderId="0" xfId="0" applyFont="1" applyAlignment="1">
      <alignment horizontal="center"/>
    </xf>
    <xf numFmtId="0" fontId="14" fillId="0" borderId="0" xfId="0" applyFont="1" applyAlignment="1">
      <alignment horizontal="right" vertical="center" wrapText="1"/>
    </xf>
    <xf numFmtId="0" fontId="37" fillId="0" borderId="0" xfId="0" applyFont="1" applyAlignment="1">
      <alignment horizontal="center" vertical="center"/>
    </xf>
    <xf numFmtId="0" fontId="6" fillId="49" borderId="0" xfId="0" applyFont="1" applyFill="1" applyAlignment="1">
      <alignment horizontal="right" vertical="center" wrapText="1"/>
    </xf>
    <xf numFmtId="0" fontId="8" fillId="0" borderId="0" xfId="0" applyFont="1" applyAlignment="1">
      <alignment horizontal="right" vertical="center" wrapText="1"/>
    </xf>
    <xf numFmtId="0" fontId="56" fillId="62" borderId="0" xfId="0" applyFont="1" applyFill="1" applyAlignment="1">
      <alignment horizontal="center"/>
    </xf>
    <xf numFmtId="2" fontId="7" fillId="10" borderId="0" xfId="0" applyNumberFormat="1" applyFont="1" applyFill="1"/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 wrapText="1"/>
    </xf>
    <xf numFmtId="165" fontId="8" fillId="42" borderId="0" xfId="0" applyNumberFormat="1" applyFont="1" applyFill="1"/>
    <xf numFmtId="0" fontId="7" fillId="0" borderId="0" xfId="0" applyFont="1"/>
    <xf numFmtId="2" fontId="7" fillId="0" borderId="0" xfId="0" applyNumberFormat="1" applyFont="1"/>
    <xf numFmtId="165" fontId="7" fillId="0" borderId="0" xfId="0" applyNumberFormat="1" applyFont="1"/>
    <xf numFmtId="2" fontId="8" fillId="63" borderId="0" xfId="0" applyNumberFormat="1" applyFont="1" applyFill="1"/>
    <xf numFmtId="2" fontId="8" fillId="55" borderId="0" xfId="0" applyNumberFormat="1" applyFont="1" applyFill="1"/>
    <xf numFmtId="2" fontId="16" fillId="55" borderId="0" xfId="0" applyNumberFormat="1" applyFont="1" applyFill="1" applyAlignment="1">
      <alignment horizontal="left"/>
    </xf>
    <xf numFmtId="165" fontId="16" fillId="55" borderId="0" xfId="0" applyNumberFormat="1" applyFont="1" applyFill="1" applyAlignment="1">
      <alignment horizontal="left"/>
    </xf>
    <xf numFmtId="2" fontId="7" fillId="55" borderId="0" xfId="0" applyNumberFormat="1" applyFont="1" applyFill="1"/>
    <xf numFmtId="14" fontId="7" fillId="0" borderId="0" xfId="0" applyNumberFormat="1" applyFont="1"/>
    <xf numFmtId="2" fontId="7" fillId="55" borderId="0" xfId="0" applyNumberFormat="1" applyFont="1" applyFill="1" applyAlignment="1">
      <alignment horizontal="left"/>
    </xf>
    <xf numFmtId="166" fontId="7" fillId="64" borderId="0" xfId="0" applyNumberFormat="1" applyFont="1" applyFill="1" applyAlignment="1">
      <alignment horizontal="left"/>
    </xf>
    <xf numFmtId="2" fontId="7" fillId="56" borderId="0" xfId="0" applyNumberFormat="1" applyFont="1" applyFill="1" applyAlignment="1">
      <alignment horizontal="left"/>
    </xf>
    <xf numFmtId="165" fontId="7" fillId="56" borderId="0" xfId="0" applyNumberFormat="1" applyFont="1" applyFill="1" applyAlignment="1">
      <alignment horizontal="left"/>
    </xf>
    <xf numFmtId="0" fontId="6" fillId="27" borderId="0" xfId="0" applyFont="1" applyFill="1" applyAlignment="1">
      <alignment horizontal="left" wrapText="1"/>
    </xf>
    <xf numFmtId="0" fontId="6" fillId="18" borderId="0" xfId="0" applyFont="1" applyFill="1" applyAlignment="1">
      <alignment horizontal="left" wrapText="1"/>
    </xf>
    <xf numFmtId="165" fontId="8" fillId="63" borderId="0" xfId="0" applyNumberFormat="1" applyFont="1" applyFill="1"/>
    <xf numFmtId="0" fontId="0" fillId="65" borderId="0" xfId="0" applyFill="1"/>
    <xf numFmtId="0" fontId="14" fillId="65" borderId="0" xfId="0" applyFont="1" applyFill="1"/>
    <xf numFmtId="0" fontId="8" fillId="65" borderId="0" xfId="0" applyFont="1" applyFill="1"/>
    <xf numFmtId="0" fontId="6" fillId="65" borderId="0" xfId="0" applyFont="1" applyFill="1"/>
    <xf numFmtId="0" fontId="6" fillId="20" borderId="0" xfId="0" applyFont="1" applyFill="1" applyAlignment="1">
      <alignment horizontal="right" vertical="center" wrapText="1"/>
    </xf>
    <xf numFmtId="2" fontId="7" fillId="52" borderId="0" xfId="0" applyNumberFormat="1" applyFont="1" applyFill="1" applyAlignment="1">
      <alignment horizontal="left"/>
    </xf>
    <xf numFmtId="0" fontId="6" fillId="55" borderId="2" xfId="0" applyFont="1" applyFill="1" applyBorder="1" applyAlignment="1">
      <alignment horizontal="right" vertical="center" wrapText="1"/>
    </xf>
    <xf numFmtId="0" fontId="8" fillId="42" borderId="0" xfId="0" applyFont="1" applyFill="1"/>
    <xf numFmtId="2" fontId="8" fillId="42" borderId="0" xfId="0" applyNumberFormat="1" applyFont="1" applyFill="1"/>
    <xf numFmtId="166" fontId="8" fillId="2" borderId="0" xfId="0" applyNumberFormat="1" applyFont="1" applyFill="1"/>
    <xf numFmtId="1" fontId="8" fillId="42" borderId="0" xfId="0" applyNumberFormat="1" applyFont="1" applyFill="1"/>
    <xf numFmtId="166" fontId="8" fillId="42" borderId="0" xfId="0" applyNumberFormat="1" applyFont="1" applyFill="1"/>
    <xf numFmtId="1" fontId="7" fillId="42" borderId="0" xfId="0" applyNumberFormat="1" applyFont="1" applyFill="1"/>
    <xf numFmtId="0" fontId="6" fillId="66" borderId="2" xfId="0" applyFont="1" applyFill="1" applyBorder="1" applyAlignment="1">
      <alignment horizontal="right" vertical="center" wrapText="1"/>
    </xf>
    <xf numFmtId="0" fontId="6" fillId="67" borderId="2" xfId="0" applyFont="1" applyFill="1" applyBorder="1" applyAlignment="1">
      <alignment horizontal="right" vertical="center" wrapText="1"/>
    </xf>
    <xf numFmtId="0" fontId="6" fillId="68" borderId="2" xfId="0" applyFont="1" applyFill="1" applyBorder="1" applyAlignment="1">
      <alignment horizontal="right" vertical="center" wrapText="1"/>
    </xf>
    <xf numFmtId="0" fontId="6" fillId="53" borderId="2" xfId="0" applyFont="1" applyFill="1" applyBorder="1" applyAlignment="1">
      <alignment horizontal="right" vertical="center" wrapText="1"/>
    </xf>
    <xf numFmtId="0" fontId="14" fillId="58" borderId="0" xfId="0" applyFont="1" applyFill="1" applyAlignment="1">
      <alignment horizontal="right" vertical="center" wrapText="1"/>
    </xf>
    <xf numFmtId="166" fontId="35" fillId="0" borderId="0" xfId="0" applyNumberFormat="1" applyFont="1" applyAlignment="1">
      <alignment horizontal="left"/>
    </xf>
    <xf numFmtId="0" fontId="6" fillId="69" borderId="0" xfId="0" applyFont="1" applyFill="1" applyAlignment="1">
      <alignment horizontal="right" vertical="center" wrapText="1"/>
    </xf>
    <xf numFmtId="0" fontId="6" fillId="55" borderId="0" xfId="0" applyFont="1" applyFill="1" applyAlignment="1">
      <alignment horizontal="right" vertical="center" wrapText="1"/>
    </xf>
    <xf numFmtId="0" fontId="14" fillId="54" borderId="0" xfId="0" applyFont="1" applyFill="1" applyAlignment="1">
      <alignment horizontal="right" vertical="center" wrapText="1"/>
    </xf>
    <xf numFmtId="0" fontId="14" fillId="69" borderId="0" xfId="0" applyFont="1" applyFill="1" applyAlignment="1">
      <alignment horizontal="right" vertical="center" wrapText="1"/>
    </xf>
    <xf numFmtId="0" fontId="58" fillId="0" borderId="0" xfId="0" applyFont="1" applyAlignment="1">
      <alignment horizontal="left" wrapText="1"/>
    </xf>
    <xf numFmtId="2" fontId="14" fillId="17" borderId="0" xfId="0" applyNumberFormat="1" applyFont="1" applyFill="1"/>
    <xf numFmtId="165" fontId="14" fillId="17" borderId="0" xfId="0" applyNumberFormat="1" applyFont="1" applyFill="1"/>
    <xf numFmtId="2" fontId="14" fillId="63" borderId="0" xfId="0" applyNumberFormat="1" applyFont="1" applyFill="1"/>
    <xf numFmtId="166" fontId="14" fillId="63" borderId="0" xfId="0" applyNumberFormat="1" applyFont="1" applyFill="1"/>
    <xf numFmtId="165" fontId="14" fillId="63" borderId="0" xfId="0" applyNumberFormat="1" applyFont="1" applyFill="1"/>
    <xf numFmtId="166" fontId="0" fillId="70" borderId="0" xfId="0" applyNumberFormat="1" applyFill="1"/>
    <xf numFmtId="0" fontId="6" fillId="0" borderId="0" xfId="0" applyFont="1" applyAlignment="1">
      <alignment horizontal="center"/>
    </xf>
    <xf numFmtId="2" fontId="7" fillId="0" borderId="0" xfId="0" applyNumberFormat="1" applyFont="1" applyAlignment="1">
      <alignment horizontal="left"/>
    </xf>
    <xf numFmtId="0" fontId="6" fillId="70" borderId="0" xfId="0" applyFont="1" applyFill="1" applyAlignment="1">
      <alignment horizontal="righ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52" borderId="0" xfId="0" applyFont="1" applyFill="1" applyAlignment="1">
      <alignment horizontal="center" vertical="center"/>
    </xf>
    <xf numFmtId="0" fontId="0" fillId="52" borderId="0" xfId="0" applyFill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0" fillId="53" borderId="0" xfId="0" applyFill="1" applyAlignment="1">
      <alignment horizontal="center" vertical="center"/>
    </xf>
    <xf numFmtId="0" fontId="60" fillId="0" borderId="0" xfId="0" applyFont="1"/>
    <xf numFmtId="0" fontId="50" fillId="0" borderId="0" xfId="0" applyFont="1" applyAlignment="1">
      <alignment vertical="center"/>
    </xf>
    <xf numFmtId="0" fontId="50" fillId="0" borderId="0" xfId="0" applyFont="1" applyAlignment="1">
      <alignment horizontal="right"/>
    </xf>
    <xf numFmtId="0" fontId="50" fillId="0" borderId="0" xfId="0" applyFont="1" applyAlignment="1">
      <alignment horizontal="center"/>
    </xf>
    <xf numFmtId="0" fontId="49" fillId="0" borderId="0" xfId="0" applyFont="1"/>
    <xf numFmtId="1" fontId="50" fillId="0" borderId="0" xfId="0" applyNumberFormat="1" applyFont="1" applyAlignment="1">
      <alignment horizontal="right"/>
    </xf>
    <xf numFmtId="0" fontId="50" fillId="37" borderId="0" xfId="0" applyFont="1" applyFill="1"/>
    <xf numFmtId="14" fontId="50" fillId="0" borderId="0" xfId="0" applyNumberFormat="1" applyFont="1" applyAlignment="1">
      <alignment horizontal="right"/>
    </xf>
    <xf numFmtId="15" fontId="50" fillId="41" borderId="0" xfId="0" applyNumberFormat="1" applyFont="1" applyFill="1"/>
    <xf numFmtId="1" fontId="50" fillId="0" borderId="0" xfId="0" applyNumberFormat="1" applyFont="1"/>
    <xf numFmtId="15" fontId="50" fillId="6" borderId="0" xfId="0" applyNumberFormat="1" applyFont="1" applyFill="1"/>
    <xf numFmtId="15" fontId="50" fillId="0" borderId="0" xfId="0" applyNumberFormat="1" applyFont="1"/>
    <xf numFmtId="0" fontId="50" fillId="6" borderId="0" xfId="0" applyFont="1" applyFill="1"/>
    <xf numFmtId="15" fontId="50" fillId="37" borderId="0" xfId="0" applyNumberFormat="1" applyFont="1" applyFill="1"/>
    <xf numFmtId="14" fontId="50" fillId="0" borderId="0" xfId="0" applyNumberFormat="1" applyFont="1"/>
    <xf numFmtId="15" fontId="50" fillId="44" borderId="0" xfId="0" applyNumberFormat="1" applyFont="1" applyFill="1"/>
    <xf numFmtId="15" fontId="50" fillId="65" borderId="0" xfId="0" applyNumberFormat="1" applyFont="1" applyFill="1"/>
    <xf numFmtId="14" fontId="50" fillId="58" borderId="0" xfId="0" applyNumberFormat="1" applyFont="1" applyFill="1"/>
    <xf numFmtId="0" fontId="59" fillId="0" borderId="0" xfId="0" applyFont="1" applyAlignment="1">
      <alignment horizontal="right"/>
    </xf>
    <xf numFmtId="14" fontId="50" fillId="70" borderId="0" xfId="0" applyNumberFormat="1" applyFont="1" applyFill="1"/>
    <xf numFmtId="0" fontId="61" fillId="70" borderId="0" xfId="0" applyFont="1" applyFill="1" applyAlignment="1">
      <alignment horizontal="left"/>
    </xf>
    <xf numFmtId="0" fontId="61" fillId="0" borderId="0" xfId="0" applyFont="1" applyAlignment="1">
      <alignment horizontal="left"/>
    </xf>
    <xf numFmtId="166" fontId="50" fillId="0" borderId="0" xfId="0" applyNumberFormat="1" applyFont="1" applyAlignment="1">
      <alignment horizontal="right"/>
    </xf>
    <xf numFmtId="0" fontId="49" fillId="0" borderId="0" xfId="0" applyFont="1" applyAlignment="1">
      <alignment horizontal="center"/>
    </xf>
    <xf numFmtId="1" fontId="50" fillId="0" borderId="0" xfId="0" applyNumberFormat="1" applyFont="1" applyAlignment="1">
      <alignment horizontal="center"/>
    </xf>
    <xf numFmtId="166" fontId="50" fillId="0" borderId="0" xfId="0" applyNumberFormat="1" applyFont="1" applyAlignment="1">
      <alignment horizont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 wrapText="1"/>
    </xf>
    <xf numFmtId="0" fontId="50" fillId="0" borderId="0" xfId="0" applyFont="1" applyAlignment="1">
      <alignment wrapText="1"/>
    </xf>
    <xf numFmtId="166" fontId="50" fillId="0" borderId="0" xfId="0" applyNumberFormat="1" applyFont="1"/>
    <xf numFmtId="166" fontId="59" fillId="0" borderId="0" xfId="0" applyNumberFormat="1" applyFont="1" applyAlignment="1">
      <alignment horizontal="right"/>
    </xf>
    <xf numFmtId="2" fontId="49" fillId="0" borderId="0" xfId="0" applyNumberFormat="1" applyFont="1" applyAlignment="1">
      <alignment horizontal="right"/>
    </xf>
    <xf numFmtId="169" fontId="50" fillId="0" borderId="0" xfId="14" applyNumberFormat="1" applyFont="1" applyAlignment="1">
      <alignment horizontal="center"/>
    </xf>
    <xf numFmtId="0" fontId="49" fillId="0" borderId="0" xfId="0" applyFont="1" applyAlignment="1">
      <alignment horizontal="center" wrapText="1"/>
    </xf>
    <xf numFmtId="0" fontId="50" fillId="41" borderId="0" xfId="0" applyFont="1" applyFill="1" applyAlignment="1">
      <alignment horizontal="center"/>
    </xf>
    <xf numFmtId="0" fontId="49" fillId="23" borderId="0" xfId="0" applyFont="1" applyFill="1" applyAlignment="1">
      <alignment horizontal="center"/>
    </xf>
    <xf numFmtId="0" fontId="49" fillId="30" borderId="0" xfId="0" applyFont="1" applyFill="1" applyAlignment="1">
      <alignment horizontal="center"/>
    </xf>
    <xf numFmtId="0" fontId="50" fillId="16" borderId="0" xfId="0" applyFont="1" applyFill="1"/>
    <xf numFmtId="0" fontId="50" fillId="39" borderId="0" xfId="0" applyFont="1" applyFill="1"/>
    <xf numFmtId="0" fontId="50" fillId="63" borderId="0" xfId="0" applyFont="1" applyFill="1"/>
    <xf numFmtId="0" fontId="50" fillId="23" borderId="0" xfId="0" applyFont="1" applyFill="1" applyAlignment="1">
      <alignment horizontal="center"/>
    </xf>
    <xf numFmtId="0" fontId="59" fillId="0" borderId="0" xfId="0" applyFont="1"/>
    <xf numFmtId="0" fontId="50" fillId="35" borderId="0" xfId="0" applyFont="1" applyFill="1"/>
    <xf numFmtId="0" fontId="50" fillId="35" borderId="0" xfId="0" applyFont="1" applyFill="1" applyAlignment="1">
      <alignment horizontal="right"/>
    </xf>
    <xf numFmtId="0" fontId="50" fillId="35" borderId="0" xfId="0" applyFont="1" applyFill="1" applyAlignment="1">
      <alignment horizontal="center"/>
    </xf>
    <xf numFmtId="0" fontId="50" fillId="40" borderId="0" xfId="0" applyFont="1" applyFill="1"/>
    <xf numFmtId="0" fontId="50" fillId="40" borderId="0" xfId="0" applyFont="1" applyFill="1" applyAlignment="1">
      <alignment horizontal="right"/>
    </xf>
    <xf numFmtId="0" fontId="50" fillId="40" borderId="0" xfId="0" applyFont="1" applyFill="1" applyAlignment="1">
      <alignment horizontal="center"/>
    </xf>
    <xf numFmtId="0" fontId="50" fillId="44" borderId="0" xfId="0" applyFont="1" applyFill="1"/>
    <xf numFmtId="0" fontId="50" fillId="44" borderId="0" xfId="0" applyFont="1" applyFill="1" applyAlignment="1">
      <alignment horizontal="right"/>
    </xf>
    <xf numFmtId="0" fontId="50" fillId="44" borderId="0" xfId="0" applyFont="1" applyFill="1" applyAlignment="1">
      <alignment horizontal="center"/>
    </xf>
    <xf numFmtId="0" fontId="50" fillId="30" borderId="0" xfId="0" applyFont="1" applyFill="1" applyAlignment="1">
      <alignment horizontal="right"/>
    </xf>
    <xf numFmtId="0" fontId="50" fillId="30" borderId="0" xfId="0" applyFont="1" applyFill="1" applyAlignment="1">
      <alignment horizontal="center"/>
    </xf>
    <xf numFmtId="0" fontId="50" fillId="37" borderId="0" xfId="0" applyFont="1" applyFill="1" applyAlignment="1">
      <alignment horizontal="right"/>
    </xf>
    <xf numFmtId="0" fontId="50" fillId="37" borderId="0" xfId="0" applyFont="1" applyFill="1" applyAlignment="1">
      <alignment horizontal="center"/>
    </xf>
    <xf numFmtId="0" fontId="50" fillId="23" borderId="0" xfId="0" applyFont="1" applyFill="1" applyAlignment="1">
      <alignment horizontal="right"/>
    </xf>
    <xf numFmtId="0" fontId="50" fillId="59" borderId="0" xfId="0" applyFont="1" applyFill="1"/>
    <xf numFmtId="0" fontId="50" fillId="59" borderId="0" xfId="0" applyFont="1" applyFill="1" applyAlignment="1">
      <alignment horizontal="right"/>
    </xf>
    <xf numFmtId="0" fontId="50" fillId="59" borderId="0" xfId="0" applyFont="1" applyFill="1" applyAlignment="1">
      <alignment horizontal="center"/>
    </xf>
    <xf numFmtId="0" fontId="50" fillId="63" borderId="0" xfId="0" applyFont="1" applyFill="1" applyAlignment="1">
      <alignment horizontal="right"/>
    </xf>
    <xf numFmtId="0" fontId="50" fillId="63" borderId="0" xfId="0" applyFont="1" applyFill="1" applyAlignment="1">
      <alignment horizontal="center"/>
    </xf>
    <xf numFmtId="0" fontId="61" fillId="58" borderId="0" xfId="0" applyFont="1" applyFill="1" applyAlignment="1">
      <alignment horizontal="left"/>
    </xf>
    <xf numFmtId="0" fontId="50" fillId="72" borderId="0" xfId="0" applyFont="1" applyFill="1"/>
    <xf numFmtId="0" fontId="50" fillId="72" borderId="0" xfId="0" applyFont="1" applyFill="1" applyAlignment="1">
      <alignment horizontal="right"/>
    </xf>
    <xf numFmtId="0" fontId="50" fillId="72" borderId="0" xfId="0" applyFont="1" applyFill="1" applyAlignment="1">
      <alignment horizontal="center"/>
    </xf>
    <xf numFmtId="0" fontId="50" fillId="73" borderId="0" xfId="0" applyFont="1" applyFill="1"/>
    <xf numFmtId="0" fontId="50" fillId="73" borderId="0" xfId="0" applyFont="1" applyFill="1" applyAlignment="1">
      <alignment horizontal="right"/>
    </xf>
    <xf numFmtId="0" fontId="50" fillId="73" borderId="0" xfId="0" applyFont="1" applyFill="1" applyAlignment="1">
      <alignment horizontal="center"/>
    </xf>
    <xf numFmtId="0" fontId="49" fillId="0" borderId="0" xfId="0" applyFont="1" applyAlignment="1">
      <alignment horizontal="left" wrapText="1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0" fontId="105" fillId="0" borderId="0" xfId="0" applyFont="1"/>
    <xf numFmtId="0" fontId="106" fillId="0" borderId="0" xfId="0" applyFont="1" applyAlignment="1">
      <alignment horizontal="left"/>
    </xf>
    <xf numFmtId="0" fontId="107" fillId="0" borderId="0" xfId="0" applyFont="1"/>
    <xf numFmtId="0" fontId="106" fillId="23" borderId="0" xfId="0" applyFont="1" applyFill="1" applyAlignment="1">
      <alignment horizontal="right"/>
    </xf>
    <xf numFmtId="2" fontId="107" fillId="23" borderId="0" xfId="0" applyNumberFormat="1" applyFont="1" applyFill="1"/>
    <xf numFmtId="0" fontId="107" fillId="23" borderId="0" xfId="0" applyFont="1" applyFill="1"/>
    <xf numFmtId="0" fontId="106" fillId="27" borderId="0" xfId="0" applyFont="1" applyFill="1" applyAlignment="1">
      <alignment horizontal="right"/>
    </xf>
    <xf numFmtId="0" fontId="107" fillId="27" borderId="0" xfId="0" applyFont="1" applyFill="1"/>
    <xf numFmtId="167" fontId="107" fillId="0" borderId="0" xfId="0" applyNumberFormat="1" applyFont="1"/>
    <xf numFmtId="167" fontId="106" fillId="0" borderId="0" xfId="0" applyNumberFormat="1" applyFont="1" applyAlignment="1">
      <alignment horizontal="right"/>
    </xf>
    <xf numFmtId="0" fontId="106" fillId="0" borderId="0" xfId="0" applyFont="1" applyAlignment="1">
      <alignment horizontal="right"/>
    </xf>
    <xf numFmtId="0" fontId="107" fillId="0" borderId="0" xfId="0" applyFont="1" applyAlignment="1">
      <alignment horizontal="left"/>
    </xf>
    <xf numFmtId="166" fontId="107" fillId="0" borderId="0" xfId="0" applyNumberFormat="1" applyFont="1" applyAlignment="1">
      <alignment horizontal="left"/>
    </xf>
    <xf numFmtId="167" fontId="107" fillId="23" borderId="0" xfId="0" applyNumberFormat="1" applyFont="1" applyFill="1"/>
    <xf numFmtId="167" fontId="107" fillId="27" borderId="0" xfId="0" applyNumberFormat="1" applyFont="1" applyFill="1"/>
    <xf numFmtId="2" fontId="107" fillId="0" borderId="0" xfId="0" applyNumberFormat="1" applyFont="1"/>
    <xf numFmtId="165" fontId="107" fillId="0" borderId="0" xfId="0" applyNumberFormat="1" applyFont="1"/>
    <xf numFmtId="0" fontId="107" fillId="15" borderId="0" xfId="0" applyFont="1" applyFill="1" applyAlignment="1">
      <alignment horizontal="left"/>
    </xf>
    <xf numFmtId="0" fontId="107" fillId="15" borderId="0" xfId="0" applyFont="1" applyFill="1"/>
    <xf numFmtId="167" fontId="107" fillId="15" borderId="0" xfId="0" applyNumberFormat="1" applyFont="1" applyFill="1"/>
    <xf numFmtId="0" fontId="107" fillId="29" borderId="0" xfId="0" applyFont="1" applyFill="1" applyAlignment="1">
      <alignment horizontal="left"/>
    </xf>
    <xf numFmtId="0" fontId="107" fillId="29" borderId="0" xfId="0" applyFont="1" applyFill="1"/>
    <xf numFmtId="167" fontId="107" fillId="29" borderId="0" xfId="0" applyNumberFormat="1" applyFont="1" applyFill="1"/>
    <xf numFmtId="0" fontId="107" fillId="30" borderId="0" xfId="0" applyFont="1" applyFill="1" applyAlignment="1">
      <alignment horizontal="left"/>
    </xf>
    <xf numFmtId="0" fontId="107" fillId="30" borderId="0" xfId="0" applyFont="1" applyFill="1"/>
    <xf numFmtId="2" fontId="107" fillId="30" borderId="0" xfId="0" applyNumberFormat="1" applyFont="1" applyFill="1"/>
    <xf numFmtId="14" fontId="107" fillId="0" borderId="0" xfId="0" applyNumberFormat="1" applyFont="1" applyAlignment="1">
      <alignment horizontal="left" vertical="top"/>
    </xf>
    <xf numFmtId="2" fontId="108" fillId="63" borderId="0" xfId="0" applyNumberFormat="1" applyFont="1" applyFill="1" applyAlignment="1">
      <alignment horizontal="left"/>
    </xf>
    <xf numFmtId="167" fontId="106" fillId="0" borderId="0" xfId="0" applyNumberFormat="1" applyFont="1"/>
    <xf numFmtId="1" fontId="107" fillId="0" borderId="0" xfId="0" applyNumberFormat="1" applyFont="1" applyAlignment="1">
      <alignment horizontal="left"/>
    </xf>
    <xf numFmtId="0" fontId="107" fillId="53" borderId="0" xfId="0" applyFont="1" applyFill="1"/>
    <xf numFmtId="0" fontId="108" fillId="53" borderId="0" xfId="0" applyFont="1" applyFill="1"/>
    <xf numFmtId="0" fontId="49" fillId="0" borderId="0" xfId="0" applyFont="1" applyAlignment="1">
      <alignment wrapText="1"/>
    </xf>
    <xf numFmtId="0" fontId="49" fillId="0" borderId="0" xfId="0" applyFont="1" applyAlignment="1">
      <alignment horizontal="right" wrapText="1"/>
    </xf>
    <xf numFmtId="0" fontId="61" fillId="75" borderId="0" xfId="0" applyFont="1" applyFill="1" applyAlignment="1">
      <alignment horizontal="left"/>
    </xf>
    <xf numFmtId="166" fontId="49" fillId="0" borderId="0" xfId="0" applyNumberFormat="1" applyFont="1" applyAlignment="1">
      <alignment horizontal="right" wrapText="1"/>
    </xf>
    <xf numFmtId="14" fontId="60" fillId="0" borderId="0" xfId="0" applyNumberFormat="1" applyFont="1"/>
    <xf numFmtId="0" fontId="107" fillId="63" borderId="0" xfId="0" applyFont="1" applyFill="1" applyAlignment="1">
      <alignment horizontal="left"/>
    </xf>
    <xf numFmtId="0" fontId="50" fillId="0" borderId="0" xfId="3490" applyFont="1">
      <alignment vertical="center"/>
    </xf>
    <xf numFmtId="0" fontId="65" fillId="0" borderId="0" xfId="0" applyFont="1"/>
    <xf numFmtId="0" fontId="65" fillId="0" borderId="0" xfId="0" applyFont="1" applyAlignment="1">
      <alignment horizontal="center"/>
    </xf>
    <xf numFmtId="14" fontId="65" fillId="0" borderId="0" xfId="0" applyNumberFormat="1" applyFont="1" applyAlignment="1">
      <alignment horizontal="right"/>
    </xf>
    <xf numFmtId="14" fontId="50" fillId="66" borderId="0" xfId="0" applyNumberFormat="1" applyFont="1" applyFill="1"/>
    <xf numFmtId="14" fontId="50" fillId="75" borderId="0" xfId="0" applyNumberFormat="1" applyFont="1" applyFill="1"/>
    <xf numFmtId="14" fontId="50" fillId="69" borderId="0" xfId="0" applyNumberFormat="1" applyFont="1" applyFill="1"/>
    <xf numFmtId="0" fontId="50" fillId="0" borderId="0" xfId="0" quotePrefix="1" applyFont="1" applyAlignment="1">
      <alignment horizontal="center"/>
    </xf>
    <xf numFmtId="0" fontId="49" fillId="63" borderId="0" xfId="0" applyFont="1" applyFill="1"/>
    <xf numFmtId="0" fontId="50" fillId="0" borderId="0" xfId="0" applyFont="1" applyAlignment="1">
      <alignment horizontal="left" vertical="center"/>
    </xf>
    <xf numFmtId="14" fontId="50" fillId="68" borderId="0" xfId="0" applyNumberFormat="1" applyFont="1" applyFill="1"/>
    <xf numFmtId="0" fontId="50" fillId="71" borderId="0" xfId="0" applyFont="1" applyFill="1"/>
    <xf numFmtId="0" fontId="50" fillId="71" borderId="0" xfId="0" applyFont="1" applyFill="1" applyAlignment="1">
      <alignment horizontal="right"/>
    </xf>
    <xf numFmtId="0" fontId="50" fillId="71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4" fontId="50" fillId="0" borderId="0" xfId="0" applyNumberFormat="1" applyFont="1" applyAlignment="1">
      <alignment horizontal="left"/>
    </xf>
    <xf numFmtId="0" fontId="8" fillId="26" borderId="0" xfId="0" applyFont="1" applyFill="1"/>
    <xf numFmtId="0" fontId="107" fillId="67" borderId="0" xfId="0" applyFont="1" applyFill="1" applyAlignment="1">
      <alignment horizontal="left"/>
    </xf>
    <xf numFmtId="0" fontId="107" fillId="67" borderId="0" xfId="0" applyFont="1" applyFill="1"/>
    <xf numFmtId="0" fontId="107" fillId="69" borderId="0" xfId="0" applyFont="1" applyFill="1" applyAlignment="1">
      <alignment horizontal="left"/>
    </xf>
    <xf numFmtId="0" fontId="50" fillId="0" borderId="0" xfId="0" applyFont="1" applyAlignment="1">
      <alignment horizontal="left" wrapText="1"/>
    </xf>
    <xf numFmtId="0" fontId="113" fillId="57" borderId="0" xfId="0" applyFont="1" applyFill="1" applyAlignment="1">
      <alignment horizontal="center"/>
    </xf>
    <xf numFmtId="0" fontId="49" fillId="35" borderId="0" xfId="0" applyFont="1" applyFill="1"/>
    <xf numFmtId="0" fontId="49" fillId="40" borderId="0" xfId="0" applyFont="1" applyFill="1"/>
    <xf numFmtId="0" fontId="49" fillId="44" borderId="0" xfId="0" applyFont="1" applyFill="1"/>
    <xf numFmtId="0" fontId="49" fillId="30" borderId="0" xfId="0" applyFont="1" applyFill="1"/>
    <xf numFmtId="0" fontId="49" fillId="37" borderId="0" xfId="0" applyFont="1" applyFill="1"/>
    <xf numFmtId="0" fontId="49" fillId="23" borderId="0" xfId="0" applyFont="1" applyFill="1"/>
    <xf numFmtId="0" fontId="49" fillId="59" borderId="0" xfId="0" applyFont="1" applyFill="1"/>
    <xf numFmtId="0" fontId="49" fillId="72" borderId="0" xfId="0" applyFont="1" applyFill="1"/>
    <xf numFmtId="0" fontId="49" fillId="73" borderId="0" xfId="0" applyFont="1" applyFill="1"/>
    <xf numFmtId="0" fontId="49" fillId="71" borderId="0" xfId="0" applyFont="1" applyFill="1"/>
    <xf numFmtId="0" fontId="50" fillId="123" borderId="0" xfId="0" applyFont="1" applyFill="1" applyAlignment="1">
      <alignment horizontal="center"/>
    </xf>
    <xf numFmtId="0" fontId="114" fillId="0" borderId="0" xfId="0" applyFont="1"/>
    <xf numFmtId="0" fontId="50" fillId="0" borderId="0" xfId="0" applyFont="1" applyAlignment="1">
      <alignment horizontal="left" vertical="center" wrapText="1"/>
    </xf>
    <xf numFmtId="166" fontId="59" fillId="0" borderId="0" xfId="0" applyNumberFormat="1" applyFont="1" applyAlignment="1">
      <alignment horizontal="right" vertical="center"/>
    </xf>
    <xf numFmtId="2" fontId="50" fillId="0" borderId="0" xfId="0" applyNumberFormat="1" applyFont="1" applyAlignment="1">
      <alignment horizontal="right" vertical="center"/>
    </xf>
    <xf numFmtId="0" fontId="50" fillId="0" borderId="0" xfId="0" applyFont="1" applyAlignment="1">
      <alignment horizontal="right" vertical="center"/>
    </xf>
    <xf numFmtId="2" fontId="50" fillId="0" borderId="0" xfId="0" applyNumberFormat="1" applyFont="1" applyAlignment="1">
      <alignment vertical="center"/>
    </xf>
    <xf numFmtId="1" fontId="50" fillId="0" borderId="0" xfId="0" applyNumberFormat="1" applyFont="1" applyAlignment="1">
      <alignment horizontal="center" vertical="center"/>
    </xf>
    <xf numFmtId="0" fontId="50" fillId="69" borderId="0" xfId="0" applyFont="1" applyFill="1"/>
    <xf numFmtId="0" fontId="61" fillId="69" borderId="0" xfId="0" applyFont="1" applyFill="1" applyAlignment="1">
      <alignment horizontal="left"/>
    </xf>
    <xf numFmtId="0" fontId="61" fillId="59" borderId="0" xfId="0" applyFont="1" applyFill="1" applyAlignment="1">
      <alignment horizontal="left"/>
    </xf>
    <xf numFmtId="0" fontId="62" fillId="0" borderId="0" xfId="0" applyFont="1" applyAlignment="1">
      <alignment horizontal="left"/>
    </xf>
    <xf numFmtId="0" fontId="50" fillId="55" borderId="0" xfId="0" applyFont="1" applyFill="1" applyAlignment="1">
      <alignment horizontal="center"/>
    </xf>
    <xf numFmtId="1" fontId="50" fillId="0" borderId="0" xfId="0" applyNumberFormat="1" applyFont="1" applyAlignment="1">
      <alignment vertical="center"/>
    </xf>
    <xf numFmtId="0" fontId="64" fillId="0" borderId="0" xfId="0" applyFont="1"/>
    <xf numFmtId="44" fontId="49" fillId="0" borderId="0" xfId="3" applyFont="1" applyAlignment="1">
      <alignment horizontal="right"/>
    </xf>
    <xf numFmtId="0" fontId="115" fillId="0" borderId="0" xfId="0" applyFont="1"/>
    <xf numFmtId="0" fontId="111" fillId="0" borderId="0" xfId="0" applyFont="1"/>
    <xf numFmtId="44" fontId="116" fillId="0" borderId="0" xfId="3" applyFont="1"/>
    <xf numFmtId="44" fontId="111" fillId="0" borderId="0" xfId="3" applyFont="1"/>
    <xf numFmtId="2" fontId="111" fillId="0" borderId="0" xfId="0" applyNumberFormat="1" applyFont="1" applyAlignment="1">
      <alignment horizontal="right"/>
    </xf>
    <xf numFmtId="0" fontId="111" fillId="0" borderId="0" xfId="0" applyFont="1" applyAlignment="1">
      <alignment horizontal="right"/>
    </xf>
    <xf numFmtId="16" fontId="111" fillId="0" borderId="0" xfId="0" applyNumberFormat="1" applyFont="1"/>
    <xf numFmtId="20" fontId="111" fillId="0" borderId="0" xfId="0" applyNumberFormat="1" applyFont="1"/>
    <xf numFmtId="0" fontId="117" fillId="0" borderId="0" xfId="11" applyFont="1" applyAlignment="1" applyProtection="1"/>
    <xf numFmtId="2" fontId="111" fillId="0" borderId="0" xfId="0" applyNumberFormat="1" applyFont="1"/>
    <xf numFmtId="44" fontId="111" fillId="0" borderId="0" xfId="0" applyNumberFormat="1" applyFont="1"/>
    <xf numFmtId="0" fontId="61" fillId="0" borderId="0" xfId="0" applyFont="1"/>
    <xf numFmtId="44" fontId="49" fillId="0" borderId="0" xfId="3" applyFont="1"/>
    <xf numFmtId="44" fontId="50" fillId="0" borderId="0" xfId="3" applyFont="1"/>
    <xf numFmtId="16" fontId="50" fillId="0" borderId="0" xfId="0" applyNumberFormat="1" applyFont="1"/>
    <xf numFmtId="20" fontId="50" fillId="0" borderId="0" xfId="0" applyNumberFormat="1" applyFont="1"/>
    <xf numFmtId="0" fontId="118" fillId="0" borderId="0" xfId="11" applyFont="1" applyAlignment="1" applyProtection="1"/>
    <xf numFmtId="2" fontId="50" fillId="0" borderId="0" xfId="3" applyNumberFormat="1" applyFont="1"/>
    <xf numFmtId="44" fontId="50" fillId="0" borderId="0" xfId="0" applyNumberFormat="1" applyFont="1"/>
    <xf numFmtId="171" fontId="50" fillId="0" borderId="0" xfId="0" applyNumberFormat="1" applyFont="1"/>
    <xf numFmtId="164" fontId="49" fillId="0" borderId="0" xfId="3" applyNumberFormat="1" applyFont="1"/>
    <xf numFmtId="164" fontId="50" fillId="0" borderId="0" xfId="3" applyNumberFormat="1" applyFont="1"/>
    <xf numFmtId="164" fontId="111" fillId="0" borderId="0" xfId="3" applyNumberFormat="1" applyFont="1"/>
    <xf numFmtId="2" fontId="49" fillId="0" borderId="0" xfId="0" applyNumberFormat="1" applyFont="1"/>
    <xf numFmtId="0" fontId="49" fillId="0" borderId="7" xfId="0" applyFont="1" applyBorder="1" applyAlignment="1">
      <alignment horizontal="right"/>
    </xf>
    <xf numFmtId="0" fontId="50" fillId="0" borderId="0" xfId="0" applyFont="1" applyAlignment="1">
      <alignment horizontal="center" vertical="center"/>
    </xf>
    <xf numFmtId="0" fontId="50" fillId="53" borderId="0" xfId="0" applyFont="1" applyFill="1" applyAlignment="1">
      <alignment horizontal="center" vertical="center"/>
    </xf>
    <xf numFmtId="0" fontId="50" fillId="53" borderId="0" xfId="0" applyFont="1" applyFill="1" applyAlignment="1">
      <alignment horizontal="center"/>
    </xf>
    <xf numFmtId="0" fontId="50" fillId="124" borderId="0" xfId="0" applyFont="1" applyFill="1" applyAlignment="1">
      <alignment horizontal="center"/>
    </xf>
    <xf numFmtId="14" fontId="50" fillId="0" borderId="0" xfId="0" applyNumberFormat="1" applyFont="1" applyAlignment="1">
      <alignment vertical="center"/>
    </xf>
    <xf numFmtId="0" fontId="49" fillId="74" borderId="0" xfId="0" applyFont="1" applyFill="1" applyAlignment="1">
      <alignment vertical="center"/>
    </xf>
    <xf numFmtId="0" fontId="50" fillId="74" borderId="0" xfId="0" applyFont="1" applyFill="1" applyAlignment="1">
      <alignment horizontal="right" vertical="center"/>
    </xf>
    <xf numFmtId="0" fontId="50" fillId="74" borderId="0" xfId="0" applyFont="1" applyFill="1" applyAlignment="1">
      <alignment vertical="center"/>
    </xf>
    <xf numFmtId="0" fontId="112" fillId="57" borderId="0" xfId="0" applyFont="1" applyFill="1" applyAlignment="1">
      <alignment horizontal="center" vertical="center" wrapText="1"/>
    </xf>
    <xf numFmtId="0" fontId="50" fillId="41" borderId="0" xfId="0" applyFont="1" applyFill="1" applyAlignment="1">
      <alignment horizontal="center" vertical="center"/>
    </xf>
    <xf numFmtId="0" fontId="50" fillId="0" borderId="0" xfId="0" applyFont="1" applyAlignment="1">
      <alignment horizontal="right" vertical="center" wrapText="1"/>
    </xf>
    <xf numFmtId="0" fontId="50" fillId="75" borderId="0" xfId="0" applyFont="1" applyFill="1" applyAlignment="1">
      <alignment horizontal="center"/>
    </xf>
    <xf numFmtId="169" fontId="49" fillId="0" borderId="0" xfId="14" applyNumberFormat="1" applyFont="1" applyAlignment="1">
      <alignment horizontal="center"/>
    </xf>
    <xf numFmtId="0" fontId="49" fillId="53" borderId="0" xfId="0" applyFont="1" applyFill="1"/>
    <xf numFmtId="0" fontId="49" fillId="0" borderId="7" xfId="0" applyFont="1" applyBorder="1" applyAlignment="1">
      <alignment horizontal="left"/>
    </xf>
    <xf numFmtId="0" fontId="50" fillId="69" borderId="0" xfId="0" applyFont="1" applyFill="1" applyAlignment="1">
      <alignment vertical="center"/>
    </xf>
    <xf numFmtId="0" fontId="50" fillId="125" borderId="0" xfId="0" applyFont="1" applyFill="1" applyAlignment="1">
      <alignment horizontal="center" vertical="center"/>
    </xf>
    <xf numFmtId="2" fontId="14" fillId="0" borderId="3" xfId="0" applyNumberFormat="1" applyFont="1" applyBorder="1"/>
    <xf numFmtId="166" fontId="7" fillId="63" borderId="0" xfId="0" applyNumberFormat="1" applyFont="1" applyFill="1"/>
    <xf numFmtId="0" fontId="120" fillId="0" borderId="0" xfId="0" applyFont="1" applyAlignment="1">
      <alignment horizontal="center"/>
    </xf>
    <xf numFmtId="166" fontId="50" fillId="0" borderId="0" xfId="0" quotePrefix="1" applyNumberFormat="1" applyFont="1"/>
    <xf numFmtId="166" fontId="50" fillId="0" borderId="0" xfId="0" applyNumberFormat="1" applyFont="1" applyAlignment="1">
      <alignment horizontal="right" vertical="center"/>
    </xf>
    <xf numFmtId="166" fontId="59" fillId="0" borderId="0" xfId="0" applyNumberFormat="1" applyFont="1"/>
    <xf numFmtId="0" fontId="50" fillId="126" borderId="0" xfId="0" applyFont="1" applyFill="1" applyAlignment="1">
      <alignment horizontal="center" vertical="center"/>
    </xf>
    <xf numFmtId="0" fontId="50" fillId="0" borderId="0" xfId="0" applyFont="1" applyAlignment="1">
      <alignment vertical="center" wrapText="1"/>
    </xf>
    <xf numFmtId="2" fontId="6" fillId="0" borderId="0" xfId="0" applyNumberFormat="1" applyFont="1" applyAlignment="1">
      <alignment horizontal="right"/>
    </xf>
    <xf numFmtId="9" fontId="49" fillId="0" borderId="0" xfId="14" applyNumberFormat="1" applyFont="1" applyAlignment="1">
      <alignment horizontal="center"/>
    </xf>
    <xf numFmtId="0" fontId="50" fillId="69" borderId="0" xfId="0" applyFont="1" applyFill="1" applyAlignment="1">
      <alignment horizontal="center"/>
    </xf>
    <xf numFmtId="0" fontId="50" fillId="69" borderId="0" xfId="0" applyFont="1" applyFill="1" applyAlignment="1">
      <alignment horizontal="left"/>
    </xf>
    <xf numFmtId="0" fontId="50" fillId="37" borderId="0" xfId="0" applyFont="1" applyFill="1" applyAlignment="1">
      <alignment horizontal="left"/>
    </xf>
    <xf numFmtId="0" fontId="50" fillId="29" borderId="0" xfId="0" applyFont="1" applyFill="1" applyAlignment="1">
      <alignment horizontal="left"/>
    </xf>
    <xf numFmtId="0" fontId="65" fillId="0" borderId="0" xfId="0" applyFont="1" applyAlignment="1">
      <alignment horizontal="left"/>
    </xf>
    <xf numFmtId="166" fontId="50" fillId="0" borderId="0" xfId="0" applyNumberFormat="1" applyFont="1" applyAlignment="1">
      <alignment horizontal="left"/>
    </xf>
    <xf numFmtId="0" fontId="119" fillId="0" borderId="0" xfId="0" applyFont="1" applyAlignment="1">
      <alignment horizontal="left" vertical="center" wrapText="1"/>
    </xf>
    <xf numFmtId="0" fontId="50" fillId="0" borderId="0" xfId="0" quotePrefix="1" applyFont="1" applyAlignment="1">
      <alignment horizontal="left"/>
    </xf>
    <xf numFmtId="0" fontId="50" fillId="55" borderId="0" xfId="0" applyFont="1" applyFill="1" applyAlignment="1">
      <alignment horizontal="left"/>
    </xf>
    <xf numFmtId="169" fontId="50" fillId="16" borderId="0" xfId="14" applyNumberFormat="1" applyFont="1" applyFill="1"/>
    <xf numFmtId="0" fontId="50" fillId="0" borderId="5" xfId="0" applyFont="1" applyBorder="1"/>
    <xf numFmtId="0" fontId="8" fillId="53" borderId="0" xfId="0" applyFont="1" applyFill="1"/>
    <xf numFmtId="1" fontId="0" fillId="53" borderId="0" xfId="0" applyNumberFormat="1" applyFill="1"/>
    <xf numFmtId="166" fontId="0" fillId="53" borderId="0" xfId="0" applyNumberFormat="1" applyFill="1"/>
    <xf numFmtId="0" fontId="0" fillId="53" borderId="0" xfId="0" applyFill="1"/>
    <xf numFmtId="0" fontId="50" fillId="54" borderId="0" xfId="0" applyFont="1" applyFill="1"/>
    <xf numFmtId="0" fontId="50" fillId="54" borderId="0" xfId="0" applyFont="1" applyFill="1" applyAlignment="1">
      <alignment horizontal="right"/>
    </xf>
    <xf numFmtId="0" fontId="50" fillId="54" borderId="0" xfId="0" applyFont="1" applyFill="1" applyAlignment="1">
      <alignment horizontal="center"/>
    </xf>
    <xf numFmtId="0" fontId="0" fillId="0" borderId="4" xfId="0" applyBorder="1"/>
    <xf numFmtId="0" fontId="7" fillId="0" borderId="5" xfId="0" applyFont="1" applyBorder="1" applyAlignment="1">
      <alignment horizontal="center"/>
    </xf>
    <xf numFmtId="172" fontId="50" fillId="0" borderId="0" xfId="0" applyNumberFormat="1" applyFont="1" applyAlignment="1">
      <alignment horizontal="right"/>
    </xf>
    <xf numFmtId="167" fontId="50" fillId="0" borderId="0" xfId="0" applyNumberFormat="1" applyFont="1" applyAlignment="1">
      <alignment horizontal="right"/>
    </xf>
    <xf numFmtId="14" fontId="59" fillId="0" borderId="0" xfId="0" applyNumberFormat="1" applyFont="1" applyAlignment="1">
      <alignment horizontal="left"/>
    </xf>
    <xf numFmtId="49" fontId="49" fillId="0" borderId="0" xfId="0" applyNumberFormat="1" applyFont="1" applyAlignment="1">
      <alignment horizontal="center" vertical="center"/>
    </xf>
    <xf numFmtId="49" fontId="49" fillId="0" borderId="0" xfId="0" applyNumberFormat="1" applyFont="1" applyAlignment="1">
      <alignment horizontal="center"/>
    </xf>
    <xf numFmtId="49" fontId="50" fillId="0" borderId="0" xfId="0" applyNumberFormat="1" applyFont="1" applyAlignment="1">
      <alignment horizontal="center"/>
    </xf>
    <xf numFmtId="49" fontId="59" fillId="0" borderId="0" xfId="0" applyNumberFormat="1" applyFont="1" applyAlignment="1">
      <alignment horizontal="center"/>
    </xf>
    <xf numFmtId="49" fontId="50" fillId="52" borderId="0" xfId="0" quotePrefix="1" applyNumberFormat="1" applyFont="1" applyFill="1" applyAlignment="1">
      <alignment horizontal="center"/>
    </xf>
    <xf numFmtId="0" fontId="50" fillId="127" borderId="0" xfId="0" applyFont="1" applyFill="1" applyAlignment="1">
      <alignment vertical="center"/>
    </xf>
    <xf numFmtId="0" fontId="49" fillId="127" borderId="0" xfId="0" applyFont="1" applyFill="1" applyAlignment="1">
      <alignment horizontal="left"/>
    </xf>
    <xf numFmtId="0" fontId="49" fillId="127" borderId="0" xfId="0" applyFont="1" applyFill="1" applyAlignment="1">
      <alignment horizontal="center"/>
    </xf>
    <xf numFmtId="0" fontId="50" fillId="127" borderId="0" xfId="0" applyFont="1" applyFill="1"/>
    <xf numFmtId="0" fontId="50" fillId="0" borderId="0" xfId="0" quotePrefix="1" applyFont="1" applyAlignment="1">
      <alignment vertical="center"/>
    </xf>
    <xf numFmtId="2" fontId="50" fillId="127" borderId="0" xfId="0" applyNumberFormat="1" applyFont="1" applyFill="1" applyAlignment="1">
      <alignment vertical="center"/>
    </xf>
    <xf numFmtId="2" fontId="49" fillId="127" borderId="0" xfId="0" applyNumberFormat="1" applyFont="1" applyFill="1" applyAlignment="1">
      <alignment horizontal="right"/>
    </xf>
    <xf numFmtId="2" fontId="50" fillId="127" borderId="0" xfId="0" applyNumberFormat="1" applyFont="1" applyFill="1"/>
    <xf numFmtId="2" fontId="50" fillId="0" borderId="0" xfId="0" applyNumberFormat="1" applyFont="1" applyAlignment="1">
      <alignment horizontal="left"/>
    </xf>
    <xf numFmtId="169" fontId="49" fillId="0" borderId="0" xfId="14" applyNumberFormat="1" applyFont="1" applyAlignment="1">
      <alignment horizontal="left"/>
    </xf>
    <xf numFmtId="1" fontId="50" fillId="76" borderId="0" xfId="0" applyNumberFormat="1" applyFont="1" applyFill="1"/>
    <xf numFmtId="0" fontId="50" fillId="0" borderId="4" xfId="0" applyFont="1" applyBorder="1" applyAlignment="1">
      <alignment vertical="center"/>
    </xf>
    <xf numFmtId="0" fontId="59" fillId="0" borderId="5" xfId="0" applyFont="1" applyBorder="1" applyAlignment="1">
      <alignment horizontal="center"/>
    </xf>
    <xf numFmtId="0" fontId="123" fillId="0" borderId="0" xfId="0" applyFont="1"/>
    <xf numFmtId="0" fontId="124" fillId="0" borderId="0" xfId="0" applyFont="1"/>
    <xf numFmtId="169" fontId="50" fillId="0" borderId="0" xfId="14" applyNumberFormat="1" applyFont="1"/>
    <xf numFmtId="171" fontId="50" fillId="63" borderId="0" xfId="0" applyNumberFormat="1" applyFont="1" applyFill="1" applyAlignment="1">
      <alignment vertical="center"/>
    </xf>
    <xf numFmtId="0" fontId="50" fillId="63" borderId="0" xfId="0" applyFont="1" applyFill="1" applyAlignment="1">
      <alignment vertical="center"/>
    </xf>
    <xf numFmtId="171" fontId="50" fillId="63" borderId="0" xfId="0" applyNumberFormat="1" applyFont="1" applyFill="1"/>
    <xf numFmtId="49" fontId="63" fillId="0" borderId="0" xfId="0" applyNumberFormat="1" applyFont="1" applyAlignment="1">
      <alignment horizontal="center"/>
    </xf>
    <xf numFmtId="171" fontId="49" fillId="63" borderId="0" xfId="0" applyNumberFormat="1" applyFont="1" applyFill="1" applyAlignment="1">
      <alignment horizontal="right" wrapText="1"/>
    </xf>
    <xf numFmtId="0" fontId="49" fillId="127" borderId="0" xfId="0" applyFont="1" applyFill="1" applyAlignment="1">
      <alignment horizontal="center" wrapText="1"/>
    </xf>
    <xf numFmtId="49" fontId="49" fillId="63" borderId="0" xfId="0" applyNumberFormat="1" applyFont="1" applyFill="1" applyAlignment="1">
      <alignment horizontal="center" wrapText="1"/>
    </xf>
    <xf numFmtId="49" fontId="49" fillId="63" borderId="0" xfId="0" applyNumberFormat="1" applyFont="1" applyFill="1" applyAlignment="1">
      <alignment horizontal="center" vertical="center" wrapText="1"/>
    </xf>
    <xf numFmtId="171" fontId="50" fillId="63" borderId="0" xfId="0" applyNumberFormat="1" applyFont="1" applyFill="1" applyAlignment="1">
      <alignment horizontal="center" vertical="center"/>
    </xf>
    <xf numFmtId="171" fontId="50" fillId="0" borderId="0" xfId="0" applyNumberFormat="1" applyFont="1" applyAlignment="1">
      <alignment horizontal="center" vertical="center"/>
    </xf>
    <xf numFmtId="171" fontId="59" fillId="0" borderId="0" xfId="0" applyNumberFormat="1" applyFont="1" applyAlignment="1">
      <alignment horizontal="center" vertical="center"/>
    </xf>
    <xf numFmtId="173" fontId="50" fillId="0" borderId="0" xfId="0" applyNumberFormat="1" applyFont="1"/>
    <xf numFmtId="173" fontId="59" fillId="0" borderId="0" xfId="0" applyNumberFormat="1" applyFont="1"/>
    <xf numFmtId="2" fontId="49" fillId="127" borderId="0" xfId="0" applyNumberFormat="1" applyFont="1" applyFill="1" applyAlignment="1">
      <alignment horizontal="right" wrapText="1"/>
    </xf>
    <xf numFmtId="171" fontId="49" fillId="0" borderId="0" xfId="0" applyNumberFormat="1" applyFont="1" applyAlignment="1">
      <alignment horizontal="center" vertical="center"/>
    </xf>
    <xf numFmtId="169" fontId="50" fillId="0" borderId="0" xfId="0" applyNumberFormat="1" applyFont="1"/>
    <xf numFmtId="0" fontId="50" fillId="128" borderId="0" xfId="0" applyFont="1" applyFill="1"/>
    <xf numFmtId="0" fontId="50" fillId="128" borderId="0" xfId="0" applyFont="1" applyFill="1" applyAlignment="1">
      <alignment horizontal="center"/>
    </xf>
    <xf numFmtId="0" fontId="113" fillId="128" borderId="0" xfId="0" applyFont="1" applyFill="1" applyAlignment="1">
      <alignment horizontal="center"/>
    </xf>
    <xf numFmtId="14" fontId="59" fillId="0" borderId="0" xfId="0" applyNumberFormat="1" applyFont="1"/>
    <xf numFmtId="14" fontId="50" fillId="53" borderId="0" xfId="0" applyNumberFormat="1" applyFont="1" applyFill="1"/>
    <xf numFmtId="165" fontId="50" fillId="0" borderId="0" xfId="0" applyNumberFormat="1" applyFont="1" applyAlignment="1">
      <alignment horizontal="right"/>
    </xf>
    <xf numFmtId="165" fontId="50" fillId="0" borderId="0" xfId="0" applyNumberFormat="1" applyFont="1"/>
    <xf numFmtId="0" fontId="49" fillId="16" borderId="0" xfId="0" applyFont="1" applyFill="1" applyAlignment="1">
      <alignment horizontal="right" wrapText="1"/>
    </xf>
    <xf numFmtId="169" fontId="0" fillId="0" borderId="0" xfId="14" applyNumberFormat="1" applyFont="1"/>
    <xf numFmtId="174" fontId="0" fillId="0" borderId="0" xfId="14" applyNumberFormat="1" applyFont="1"/>
    <xf numFmtId="0" fontId="50" fillId="53" borderId="0" xfId="0" applyFont="1" applyFill="1"/>
    <xf numFmtId="165" fontId="49" fillId="0" borderId="0" xfId="0" applyNumberFormat="1" applyFont="1" applyAlignment="1">
      <alignment horizontal="right"/>
    </xf>
    <xf numFmtId="0" fontId="125" fillId="0" borderId="0" xfId="0" applyFont="1"/>
    <xf numFmtId="0" fontId="126" fillId="0" borderId="0" xfId="0" applyFont="1"/>
    <xf numFmtId="0" fontId="127" fillId="0" borderId="0" xfId="0" applyFont="1"/>
    <xf numFmtId="0" fontId="128" fillId="0" borderId="0" xfId="0" applyFont="1"/>
    <xf numFmtId="0" fontId="129" fillId="0" borderId="0" xfId="0" applyFont="1"/>
    <xf numFmtId="0" fontId="64" fillId="0" borderId="0" xfId="0" applyFont="1" applyAlignment="1">
      <alignment wrapText="1"/>
    </xf>
    <xf numFmtId="0" fontId="129" fillId="0" borderId="0" xfId="0" applyFont="1" applyAlignment="1">
      <alignment horizontal="left"/>
    </xf>
    <xf numFmtId="0" fontId="129" fillId="53" borderId="0" xfId="0" applyFont="1" applyFill="1" applyAlignment="1">
      <alignment horizontal="left"/>
    </xf>
    <xf numFmtId="0" fontId="64" fillId="0" borderId="0" xfId="0" applyFont="1" applyAlignment="1">
      <alignment horizontal="left" wrapText="1"/>
    </xf>
    <xf numFmtId="0" fontId="64" fillId="0" borderId="0" xfId="0" applyFont="1" applyAlignment="1">
      <alignment horizontal="center" wrapText="1"/>
    </xf>
    <xf numFmtId="0" fontId="64" fillId="0" borderId="0" xfId="0" applyFont="1" applyAlignment="1">
      <alignment horizontal="right" wrapText="1"/>
    </xf>
    <xf numFmtId="0" fontId="61" fillId="0" borderId="0" xfId="0" applyFont="1" applyAlignment="1">
      <alignment horizontal="center"/>
    </xf>
    <xf numFmtId="1" fontId="17" fillId="0" borderId="0" xfId="0" applyNumberFormat="1" applyFont="1" applyAlignment="1">
      <alignment horizontal="right"/>
    </xf>
    <xf numFmtId="166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50" fillId="53" borderId="0" xfId="0" applyFont="1" applyFill="1" applyAlignment="1">
      <alignment horizontal="left"/>
    </xf>
    <xf numFmtId="169" fontId="50" fillId="0" borderId="0" xfId="14" applyNumberFormat="1" applyFont="1" applyAlignment="1">
      <alignment horizontal="right"/>
    </xf>
    <xf numFmtId="10" fontId="50" fillId="0" borderId="0" xfId="14" applyFont="1" applyAlignment="1">
      <alignment horizontal="right"/>
    </xf>
    <xf numFmtId="0" fontId="49" fillId="124" borderId="0" xfId="0" applyFont="1" applyFill="1" applyAlignment="1">
      <alignment horizontal="center" vertical="center" wrapText="1"/>
    </xf>
    <xf numFmtId="0" fontId="50" fillId="0" borderId="0" xfId="0" applyFont="1" applyAlignment="1">
      <alignment horizontal="center" wrapText="1"/>
    </xf>
    <xf numFmtId="10" fontId="50" fillId="0" borderId="0" xfId="14" applyFont="1" applyAlignment="1">
      <alignment horizontal="center"/>
    </xf>
    <xf numFmtId="1" fontId="49" fillId="0" borderId="0" xfId="14" applyNumberFormat="1" applyFont="1" applyAlignment="1">
      <alignment horizontal="center"/>
    </xf>
    <xf numFmtId="0" fontId="49" fillId="52" borderId="0" xfId="0" applyFont="1" applyFill="1" applyAlignment="1">
      <alignment horizontal="center" wrapText="1"/>
    </xf>
    <xf numFmtId="1" fontId="49" fillId="0" borderId="0" xfId="0" applyNumberFormat="1" applyFont="1" applyAlignment="1">
      <alignment horizontal="center"/>
    </xf>
    <xf numFmtId="2" fontId="50" fillId="0" borderId="0" xfId="14" applyNumberFormat="1" applyFont="1" applyAlignment="1">
      <alignment horizontal="center"/>
    </xf>
    <xf numFmtId="1" fontId="111" fillId="0" borderId="0" xfId="0" applyNumberFormat="1" applyFont="1" applyAlignment="1">
      <alignment vertical="center"/>
    </xf>
    <xf numFmtId="1" fontId="50" fillId="0" borderId="0" xfId="0" applyNumberFormat="1" applyFont="1" applyAlignment="1">
      <alignment horizontal="right" vertical="center"/>
    </xf>
    <xf numFmtId="166" fontId="50" fillId="0" borderId="0" xfId="0" applyNumberFormat="1" applyFont="1" applyAlignment="1">
      <alignment vertical="center"/>
    </xf>
    <xf numFmtId="2" fontId="50" fillId="0" borderId="0" xfId="0" applyNumberFormat="1" applyFont="1" applyAlignment="1">
      <alignment vertical="center" wrapText="1"/>
    </xf>
    <xf numFmtId="166" fontId="50" fillId="0" borderId="0" xfId="0" applyNumberFormat="1" applyFont="1" applyAlignment="1">
      <alignment vertical="center" wrapText="1"/>
    </xf>
    <xf numFmtId="2" fontId="50" fillId="0" borderId="0" xfId="0" applyNumberFormat="1" applyFont="1" applyAlignment="1">
      <alignment horizontal="left" vertical="center" wrapText="1"/>
    </xf>
    <xf numFmtId="2" fontId="50" fillId="0" borderId="0" xfId="0" applyNumberFormat="1" applyFont="1" applyAlignment="1">
      <alignment horizontal="right" vertical="center" wrapText="1"/>
    </xf>
    <xf numFmtId="166" fontId="50" fillId="0" borderId="0" xfId="0" applyNumberFormat="1" applyFont="1" applyAlignment="1">
      <alignment horizontal="right" vertical="center" wrapText="1"/>
    </xf>
    <xf numFmtId="0" fontId="50" fillId="0" borderId="0" xfId="188" applyFont="1" applyAlignment="1">
      <alignment horizontal="left" vertical="center"/>
    </xf>
    <xf numFmtId="1" fontId="59" fillId="0" borderId="0" xfId="0" applyNumberFormat="1" applyFont="1" applyAlignment="1">
      <alignment vertical="center"/>
    </xf>
    <xf numFmtId="2" fontId="50" fillId="0" borderId="0" xfId="0" applyNumberFormat="1" applyFont="1" applyAlignment="1">
      <alignment horizontal="center" vertical="center"/>
    </xf>
    <xf numFmtId="166" fontId="50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1" fontId="50" fillId="0" borderId="0" xfId="0" applyNumberFormat="1" applyFont="1" applyAlignment="1">
      <alignment vertical="center" wrapText="1"/>
    </xf>
    <xf numFmtId="1" fontId="111" fillId="0" borderId="0" xfId="0" applyNumberFormat="1" applyFont="1" applyAlignment="1">
      <alignment vertical="center" wrapText="1"/>
    </xf>
    <xf numFmtId="1" fontId="50" fillId="53" borderId="0" xfId="0" applyNumberFormat="1" applyFont="1" applyFill="1" applyAlignment="1">
      <alignment vertical="center" wrapText="1"/>
    </xf>
    <xf numFmtId="166" fontId="59" fillId="0" borderId="0" xfId="0" applyNumberFormat="1" applyFont="1" applyAlignment="1">
      <alignment vertical="center"/>
    </xf>
    <xf numFmtId="0" fontId="50" fillId="55" borderId="0" xfId="0" applyFont="1" applyFill="1" applyAlignment="1">
      <alignment vertical="center"/>
    </xf>
    <xf numFmtId="0" fontId="50" fillId="55" borderId="0" xfId="0" applyFont="1" applyFill="1" applyAlignment="1">
      <alignment horizontal="left" vertical="center" wrapText="1"/>
    </xf>
    <xf numFmtId="166" fontId="50" fillId="55" borderId="0" xfId="0" applyNumberFormat="1" applyFont="1" applyFill="1" applyAlignment="1">
      <alignment horizontal="right" vertical="center"/>
    </xf>
    <xf numFmtId="2" fontId="50" fillId="55" borderId="0" xfId="0" applyNumberFormat="1" applyFont="1" applyFill="1" applyAlignment="1">
      <alignment horizontal="right" vertical="center"/>
    </xf>
    <xf numFmtId="0" fontId="50" fillId="55" borderId="0" xfId="0" applyFont="1" applyFill="1" applyAlignment="1">
      <alignment horizontal="center" vertical="center"/>
    </xf>
    <xf numFmtId="0" fontId="50" fillId="55" borderId="0" xfId="0" applyFont="1" applyFill="1" applyAlignment="1">
      <alignment vertical="center" wrapText="1"/>
    </xf>
    <xf numFmtId="1" fontId="50" fillId="55" borderId="0" xfId="0" applyNumberFormat="1" applyFont="1" applyFill="1" applyAlignment="1">
      <alignment vertical="center"/>
    </xf>
    <xf numFmtId="1" fontId="50" fillId="55" borderId="0" xfId="0" applyNumberFormat="1" applyFont="1" applyFill="1" applyAlignment="1">
      <alignment vertical="center" wrapText="1"/>
    </xf>
    <xf numFmtId="0" fontId="131" fillId="0" borderId="0" xfId="0" applyFont="1"/>
    <xf numFmtId="0" fontId="50" fillId="53" borderId="0" xfId="0" applyFont="1" applyFill="1" applyAlignment="1">
      <alignment vertical="center" wrapText="1"/>
    </xf>
    <xf numFmtId="1" fontId="59" fillId="0" borderId="0" xfId="0" applyNumberFormat="1" applyFont="1" applyAlignment="1">
      <alignment horizontal="right" vertical="center"/>
    </xf>
    <xf numFmtId="1" fontId="111" fillId="0" borderId="0" xfId="0" applyNumberFormat="1" applyFont="1" applyAlignment="1">
      <alignment horizontal="left" vertical="center"/>
    </xf>
    <xf numFmtId="0" fontId="50" fillId="0" borderId="0" xfId="0" quotePrefix="1" applyFont="1" applyAlignment="1">
      <alignment horizontal="center" vertical="center"/>
    </xf>
    <xf numFmtId="2" fontId="59" fillId="0" borderId="0" xfId="0" applyNumberFormat="1" applyFont="1" applyAlignment="1">
      <alignment horizontal="right" vertical="center"/>
    </xf>
    <xf numFmtId="1" fontId="64" fillId="60" borderId="0" xfId="0" applyNumberFormat="1" applyFont="1" applyFill="1" applyAlignment="1">
      <alignment horizontal="center" vertical="center" wrapText="1"/>
    </xf>
    <xf numFmtId="1" fontId="49" fillId="74" borderId="0" xfId="0" applyNumberFormat="1" applyFont="1" applyFill="1" applyAlignment="1">
      <alignment horizontal="right" vertical="top" wrapText="1"/>
    </xf>
    <xf numFmtId="1" fontId="35" fillId="74" borderId="0" xfId="0" applyNumberFormat="1" applyFont="1" applyFill="1" applyAlignment="1">
      <alignment horizontal="right" vertical="top" wrapText="1"/>
    </xf>
    <xf numFmtId="0" fontId="50" fillId="0" borderId="0" xfId="0" quotePrefix="1" applyFont="1" applyAlignment="1">
      <alignment vertical="center" wrapText="1"/>
    </xf>
    <xf numFmtId="0" fontId="50" fillId="61" borderId="0" xfId="0" applyFont="1" applyFill="1" applyAlignment="1">
      <alignment horizontal="right"/>
    </xf>
    <xf numFmtId="16" fontId="8" fillId="0" borderId="0" xfId="0" quotePrefix="1" applyNumberFormat="1" applyFont="1"/>
    <xf numFmtId="0" fontId="8" fillId="0" borderId="0" xfId="0" quotePrefix="1" applyFont="1"/>
    <xf numFmtId="165" fontId="6" fillId="0" borderId="0" xfId="0" applyNumberFormat="1" applyFont="1" applyAlignment="1">
      <alignment horizontal="right"/>
    </xf>
    <xf numFmtId="165" fontId="0" fillId="0" borderId="0" xfId="14" applyNumberFormat="1" applyFont="1"/>
    <xf numFmtId="0" fontId="59" fillId="0" borderId="0" xfId="0" applyFont="1" applyAlignment="1">
      <alignment horizontal="left"/>
    </xf>
    <xf numFmtId="15" fontId="123" fillId="0" borderId="0" xfId="0" applyNumberFormat="1" applyFont="1"/>
    <xf numFmtId="172" fontId="49" fillId="63" borderId="0" xfId="0" applyNumberFormat="1" applyFont="1" applyFill="1" applyAlignment="1">
      <alignment horizontal="center"/>
    </xf>
    <xf numFmtId="0" fontId="49" fillId="63" borderId="0" xfId="0" applyFont="1" applyFill="1" applyAlignment="1">
      <alignment horizontal="center"/>
    </xf>
    <xf numFmtId="1" fontId="50" fillId="63" borderId="0" xfId="0" applyNumberFormat="1" applyFont="1" applyFill="1"/>
    <xf numFmtId="14" fontId="49" fillId="74" borderId="0" xfId="0" applyNumberFormat="1" applyFont="1" applyFill="1" applyAlignment="1">
      <alignment horizontal="left" vertical="center"/>
    </xf>
    <xf numFmtId="2" fontId="50" fillId="0" borderId="0" xfId="0" applyNumberFormat="1" applyFont="1" applyAlignment="1">
      <alignment horizontal="right"/>
    </xf>
    <xf numFmtId="0" fontId="50" fillId="0" borderId="0" xfId="0" quotePrefix="1" applyFont="1"/>
    <xf numFmtId="0" fontId="59" fillId="0" borderId="0" xfId="0" applyFont="1" applyAlignment="1">
      <alignment horizontal="left" vertical="center"/>
    </xf>
    <xf numFmtId="0" fontId="50" fillId="74" borderId="0" xfId="0" applyFont="1" applyFill="1" applyAlignment="1">
      <alignment horizontal="center" vertical="center"/>
    </xf>
    <xf numFmtId="169" fontId="50" fillId="0" borderId="0" xfId="0" applyNumberFormat="1" applyFont="1" applyAlignment="1">
      <alignment horizontal="center"/>
    </xf>
    <xf numFmtId="0" fontId="49" fillId="60" borderId="0" xfId="0" applyFont="1" applyFill="1" applyAlignment="1">
      <alignment horizontal="center" vertical="center" wrapText="1"/>
    </xf>
    <xf numFmtId="15" fontId="50" fillId="0" borderId="0" xfId="0" applyNumberFormat="1" applyFont="1" applyAlignment="1">
      <alignment horizontal="center"/>
    </xf>
    <xf numFmtId="0" fontId="50" fillId="129" borderId="0" xfId="0" applyFont="1" applyFill="1" applyAlignment="1">
      <alignment horizontal="right"/>
    </xf>
    <xf numFmtId="0" fontId="50" fillId="53" borderId="0" xfId="0" applyFont="1" applyFill="1" applyAlignment="1">
      <alignment horizontal="right"/>
    </xf>
    <xf numFmtId="2" fontId="50" fillId="53" borderId="0" xfId="0" applyNumberFormat="1" applyFont="1" applyFill="1" applyAlignment="1">
      <alignment horizontal="right"/>
    </xf>
    <xf numFmtId="1" fontId="50" fillId="53" borderId="0" xfId="0" applyNumberFormat="1" applyFont="1" applyFill="1" applyAlignment="1">
      <alignment horizontal="right"/>
    </xf>
    <xf numFmtId="169" fontId="61" fillId="0" borderId="0" xfId="14" applyNumberFormat="1" applyFont="1"/>
    <xf numFmtId="0" fontId="49" fillId="74" borderId="0" xfId="0" applyFont="1" applyFill="1" applyAlignment="1">
      <alignment horizontal="center" vertical="center"/>
    </xf>
    <xf numFmtId="0" fontId="50" fillId="68" borderId="0" xfId="0" applyFont="1" applyFill="1" applyAlignment="1">
      <alignment horizontal="right"/>
    </xf>
    <xf numFmtId="169" fontId="50" fillId="0" borderId="0" xfId="14" applyNumberFormat="1" applyFont="1" applyAlignment="1">
      <alignment horizontal="center" wrapText="1"/>
    </xf>
    <xf numFmtId="10" fontId="50" fillId="0" borderId="0" xfId="14" applyFont="1" applyAlignment="1">
      <alignment horizontal="center" wrapText="1"/>
    </xf>
    <xf numFmtId="174" fontId="50" fillId="0" borderId="0" xfId="14" applyNumberFormat="1" applyFont="1" applyAlignment="1">
      <alignment horizontal="right"/>
    </xf>
    <xf numFmtId="14" fontId="50" fillId="63" borderId="0" xfId="0" applyNumberFormat="1" applyFont="1" applyFill="1"/>
    <xf numFmtId="3" fontId="50" fillId="0" borderId="0" xfId="0" applyNumberFormat="1" applyFont="1" applyAlignment="1">
      <alignment horizontal="right"/>
    </xf>
    <xf numFmtId="0" fontId="49" fillId="63" borderId="0" xfId="0" applyFont="1" applyFill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66" fontId="49" fillId="74" borderId="0" xfId="0" applyNumberFormat="1" applyFont="1" applyFill="1" applyAlignment="1">
      <alignment horizontal="right" vertical="top" wrapText="1"/>
    </xf>
    <xf numFmtId="0" fontId="49" fillId="0" borderId="0" xfId="0" applyFont="1" applyAlignment="1">
      <alignment horizontal="left" vertical="center" wrapText="1"/>
    </xf>
    <xf numFmtId="2" fontId="49" fillId="74" borderId="0" xfId="0" applyNumberFormat="1" applyFont="1" applyFill="1" applyAlignment="1">
      <alignment horizontal="right" vertical="top" wrapText="1"/>
    </xf>
    <xf numFmtId="0" fontId="50" fillId="0" borderId="0" xfId="0" applyFont="1" applyAlignment="1">
      <alignment horizontal="left" vertical="center"/>
    </xf>
    <xf numFmtId="0" fontId="50" fillId="127" borderId="0" xfId="0" applyFont="1" applyFill="1" applyAlignment="1">
      <alignment horizontal="center" vertical="center"/>
    </xf>
    <xf numFmtId="0" fontId="49" fillId="74" borderId="0" xfId="0" applyFont="1" applyFill="1" applyAlignment="1">
      <alignment horizontal="center" vertical="center"/>
    </xf>
    <xf numFmtId="172" fontId="49" fillId="63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</cellXfs>
  <cellStyles count="45946">
    <cellStyle name="20% - Accent1 10" xfId="1436" xr:uid="{00000000-0005-0000-0000-000000000000}"/>
    <cellStyle name="20% - Accent1 10 2" xfId="1480" xr:uid="{00000000-0005-0000-0000-000001000000}"/>
    <cellStyle name="20% - Accent1 10 2 2" xfId="3414" xr:uid="{00000000-0005-0000-0000-000002000000}"/>
    <cellStyle name="20% - Accent1 10 2 2 2" xfId="6386" xr:uid="{00000000-0005-0000-0000-000003000000}"/>
    <cellStyle name="20% - Accent1 10 2 2 2 2" xfId="12036" xr:uid="{00000000-0005-0000-0000-000004000000}"/>
    <cellStyle name="20% - Accent1 10 2 2 2 2 2" xfId="23337" xr:uid="{00000000-0005-0000-0000-000005000000}"/>
    <cellStyle name="20% - Accent1 10 2 2 2 2 2 2" xfId="45939" xr:uid="{00000000-0005-0000-0000-000006000000}"/>
    <cellStyle name="20% - Accent1 10 2 2 2 2 3" xfId="34638" xr:uid="{00000000-0005-0000-0000-000007000000}"/>
    <cellStyle name="20% - Accent1 10 2 2 2 3" xfId="17687" xr:uid="{00000000-0005-0000-0000-000008000000}"/>
    <cellStyle name="20% - Accent1 10 2 2 2 3 2" xfId="40289" xr:uid="{00000000-0005-0000-0000-000009000000}"/>
    <cellStyle name="20% - Accent1 10 2 2 2 4" xfId="28988" xr:uid="{00000000-0005-0000-0000-00000A000000}"/>
    <cellStyle name="20% - Accent1 10 2 2 3" xfId="9204" xr:uid="{00000000-0005-0000-0000-00000B000000}"/>
    <cellStyle name="20% - Accent1 10 2 2 3 2" xfId="20505" xr:uid="{00000000-0005-0000-0000-00000C000000}"/>
    <cellStyle name="20% - Accent1 10 2 2 3 2 2" xfId="43107" xr:uid="{00000000-0005-0000-0000-00000D000000}"/>
    <cellStyle name="20% - Accent1 10 2 2 3 3" xfId="31806" xr:uid="{00000000-0005-0000-0000-00000E000000}"/>
    <cellStyle name="20% - Accent1 10 2 2 4" xfId="14855" xr:uid="{00000000-0005-0000-0000-00000F000000}"/>
    <cellStyle name="20% - Accent1 10 2 2 4 2" xfId="37457" xr:uid="{00000000-0005-0000-0000-000010000000}"/>
    <cellStyle name="20% - Accent1 10 2 2 5" xfId="26156" xr:uid="{00000000-0005-0000-0000-000011000000}"/>
    <cellStyle name="20% - Accent1 10 2 3" xfId="5152" xr:uid="{00000000-0005-0000-0000-000012000000}"/>
    <cellStyle name="20% - Accent1 10 2 3 2" xfId="10802" xr:uid="{00000000-0005-0000-0000-000013000000}"/>
    <cellStyle name="20% - Accent1 10 2 3 2 2" xfId="22103" xr:uid="{00000000-0005-0000-0000-000014000000}"/>
    <cellStyle name="20% - Accent1 10 2 3 2 2 2" xfId="44705" xr:uid="{00000000-0005-0000-0000-000015000000}"/>
    <cellStyle name="20% - Accent1 10 2 3 2 3" xfId="33404" xr:uid="{00000000-0005-0000-0000-000016000000}"/>
    <cellStyle name="20% - Accent1 10 2 3 3" xfId="16453" xr:uid="{00000000-0005-0000-0000-000017000000}"/>
    <cellStyle name="20% - Accent1 10 2 3 3 2" xfId="39055" xr:uid="{00000000-0005-0000-0000-000018000000}"/>
    <cellStyle name="20% - Accent1 10 2 3 4" xfId="27754" xr:uid="{00000000-0005-0000-0000-000019000000}"/>
    <cellStyle name="20% - Accent1 10 2 4" xfId="7336" xr:uid="{00000000-0005-0000-0000-00001A000000}"/>
    <cellStyle name="20% - Accent1 10 2 4 2" xfId="18637" xr:uid="{00000000-0005-0000-0000-00001B000000}"/>
    <cellStyle name="20% - Accent1 10 2 4 2 2" xfId="41239" xr:uid="{00000000-0005-0000-0000-00001C000000}"/>
    <cellStyle name="20% - Accent1 10 2 4 3" xfId="29938" xr:uid="{00000000-0005-0000-0000-00001D000000}"/>
    <cellStyle name="20% - Accent1 10 2 5" xfId="12987" xr:uid="{00000000-0005-0000-0000-00001E000000}"/>
    <cellStyle name="20% - Accent1 10 2 5 2" xfId="35589" xr:uid="{00000000-0005-0000-0000-00001F000000}"/>
    <cellStyle name="20% - Accent1 10 2 6" xfId="24288" xr:uid="{00000000-0005-0000-0000-000020000000}"/>
    <cellStyle name="20% - Accent1 10 3" xfId="2745" xr:uid="{00000000-0005-0000-0000-000021000000}"/>
    <cellStyle name="20% - Accent1 10 3 2" xfId="5762" xr:uid="{00000000-0005-0000-0000-000022000000}"/>
    <cellStyle name="20% - Accent1 10 3 2 2" xfId="11412" xr:uid="{00000000-0005-0000-0000-000023000000}"/>
    <cellStyle name="20% - Accent1 10 3 2 2 2" xfId="22713" xr:uid="{00000000-0005-0000-0000-000024000000}"/>
    <cellStyle name="20% - Accent1 10 3 2 2 2 2" xfId="45315" xr:uid="{00000000-0005-0000-0000-000025000000}"/>
    <cellStyle name="20% - Accent1 10 3 2 2 3" xfId="34014" xr:uid="{00000000-0005-0000-0000-000026000000}"/>
    <cellStyle name="20% - Accent1 10 3 2 3" xfId="17063" xr:uid="{00000000-0005-0000-0000-000027000000}"/>
    <cellStyle name="20% - Accent1 10 3 2 3 2" xfId="39665" xr:uid="{00000000-0005-0000-0000-000028000000}"/>
    <cellStyle name="20% - Accent1 10 3 2 4" xfId="28364" xr:uid="{00000000-0005-0000-0000-000029000000}"/>
    <cellStyle name="20% - Accent1 10 3 3" xfId="8579" xr:uid="{00000000-0005-0000-0000-00002A000000}"/>
    <cellStyle name="20% - Accent1 10 3 3 2" xfId="19880" xr:uid="{00000000-0005-0000-0000-00002B000000}"/>
    <cellStyle name="20% - Accent1 10 3 3 2 2" xfId="42482" xr:uid="{00000000-0005-0000-0000-00002C000000}"/>
    <cellStyle name="20% - Accent1 10 3 3 3" xfId="31181" xr:uid="{00000000-0005-0000-0000-00002D000000}"/>
    <cellStyle name="20% - Accent1 10 3 4" xfId="14230" xr:uid="{00000000-0005-0000-0000-00002E000000}"/>
    <cellStyle name="20% - Accent1 10 3 4 2" xfId="36832" xr:uid="{00000000-0005-0000-0000-00002F000000}"/>
    <cellStyle name="20% - Accent1 10 3 5" xfId="25531" xr:uid="{00000000-0005-0000-0000-000030000000}"/>
    <cellStyle name="20% - Accent1 10 4" xfId="4528" xr:uid="{00000000-0005-0000-0000-000031000000}"/>
    <cellStyle name="20% - Accent1 10 4 2" xfId="10178" xr:uid="{00000000-0005-0000-0000-000032000000}"/>
    <cellStyle name="20% - Accent1 10 4 2 2" xfId="21479" xr:uid="{00000000-0005-0000-0000-000033000000}"/>
    <cellStyle name="20% - Accent1 10 4 2 2 2" xfId="44081" xr:uid="{00000000-0005-0000-0000-000034000000}"/>
    <cellStyle name="20% - Accent1 10 4 2 3" xfId="32780" xr:uid="{00000000-0005-0000-0000-000035000000}"/>
    <cellStyle name="20% - Accent1 10 4 3" xfId="15829" xr:uid="{00000000-0005-0000-0000-000036000000}"/>
    <cellStyle name="20% - Accent1 10 4 3 2" xfId="38431" xr:uid="{00000000-0005-0000-0000-000037000000}"/>
    <cellStyle name="20% - Accent1 10 4 4" xfId="27130" xr:uid="{00000000-0005-0000-0000-000038000000}"/>
    <cellStyle name="20% - Accent1 10 5" xfId="7333" xr:uid="{00000000-0005-0000-0000-000039000000}"/>
    <cellStyle name="20% - Accent1 10 5 2" xfId="18634" xr:uid="{00000000-0005-0000-0000-00003A000000}"/>
    <cellStyle name="20% - Accent1 10 5 2 2" xfId="41236" xr:uid="{00000000-0005-0000-0000-00003B000000}"/>
    <cellStyle name="20% - Accent1 10 5 3" xfId="29935" xr:uid="{00000000-0005-0000-0000-00003C000000}"/>
    <cellStyle name="20% - Accent1 10 6" xfId="12984" xr:uid="{00000000-0005-0000-0000-00003D000000}"/>
    <cellStyle name="20% - Accent1 10 6 2" xfId="35586" xr:uid="{00000000-0005-0000-0000-00003E000000}"/>
    <cellStyle name="20% - Accent1 10 7" xfId="24285" xr:uid="{00000000-0005-0000-0000-00003F000000}"/>
    <cellStyle name="20% - Accent1 11" xfId="656" xr:uid="{00000000-0005-0000-0000-000040000000}"/>
    <cellStyle name="20% - Accent1 11 2" xfId="1481" xr:uid="{00000000-0005-0000-0000-000041000000}"/>
    <cellStyle name="20% - Accent1 11 2 2" xfId="3474" xr:uid="{00000000-0005-0000-0000-000042000000}"/>
    <cellStyle name="20% - Accent1 11 2 2 2" xfId="9227" xr:uid="{00000000-0005-0000-0000-000043000000}"/>
    <cellStyle name="20% - Accent1 11 2 2 2 2" xfId="20528" xr:uid="{00000000-0005-0000-0000-000044000000}"/>
    <cellStyle name="20% - Accent1 11 2 2 2 2 2" xfId="43130" xr:uid="{00000000-0005-0000-0000-000045000000}"/>
    <cellStyle name="20% - Accent1 11 2 2 2 3" xfId="31829" xr:uid="{00000000-0005-0000-0000-000046000000}"/>
    <cellStyle name="20% - Accent1 11 2 2 3" xfId="14878" xr:uid="{00000000-0005-0000-0000-000047000000}"/>
    <cellStyle name="20% - Accent1 11 2 2 3 2" xfId="37480" xr:uid="{00000000-0005-0000-0000-000048000000}"/>
    <cellStyle name="20% - Accent1 11 2 2 4" xfId="26179" xr:uid="{00000000-0005-0000-0000-000049000000}"/>
    <cellStyle name="20% - Accent1 11 2 3" xfId="7337" xr:uid="{00000000-0005-0000-0000-00004A000000}"/>
    <cellStyle name="20% - Accent1 11 2 3 2" xfId="18638" xr:uid="{00000000-0005-0000-0000-00004B000000}"/>
    <cellStyle name="20% - Accent1 11 2 3 2 2" xfId="41240" xr:uid="{00000000-0005-0000-0000-00004C000000}"/>
    <cellStyle name="20% - Accent1 11 2 3 3" xfId="29939" xr:uid="{00000000-0005-0000-0000-00004D000000}"/>
    <cellStyle name="20% - Accent1 11 2 4" xfId="12988" xr:uid="{00000000-0005-0000-0000-00004E000000}"/>
    <cellStyle name="20% - Accent1 11 2 4 2" xfId="35590" xr:uid="{00000000-0005-0000-0000-00004F000000}"/>
    <cellStyle name="20% - Accent1 11 2 5" xfId="24289" xr:uid="{00000000-0005-0000-0000-000050000000}"/>
    <cellStyle name="20% - Accent1 11 3" xfId="2115" xr:uid="{00000000-0005-0000-0000-000051000000}"/>
    <cellStyle name="20% - Accent1 11 3 2" xfId="7960" xr:uid="{00000000-0005-0000-0000-000052000000}"/>
    <cellStyle name="20% - Accent1 11 3 2 2" xfId="19261" xr:uid="{00000000-0005-0000-0000-000053000000}"/>
    <cellStyle name="20% - Accent1 11 3 2 2 2" xfId="41863" xr:uid="{00000000-0005-0000-0000-000054000000}"/>
    <cellStyle name="20% - Accent1 11 3 2 3" xfId="30562" xr:uid="{00000000-0005-0000-0000-000055000000}"/>
    <cellStyle name="20% - Accent1 11 3 3" xfId="13611" xr:uid="{00000000-0005-0000-0000-000056000000}"/>
    <cellStyle name="20% - Accent1 11 3 3 2" xfId="36213" xr:uid="{00000000-0005-0000-0000-000057000000}"/>
    <cellStyle name="20% - Accent1 11 3 4" xfId="24912" xr:uid="{00000000-0005-0000-0000-000058000000}"/>
    <cellStyle name="20% - Accent1 11 4" xfId="3913" xr:uid="{00000000-0005-0000-0000-000059000000}"/>
    <cellStyle name="20% - Accent1 11 4 2" xfId="9563" xr:uid="{00000000-0005-0000-0000-00005A000000}"/>
    <cellStyle name="20% - Accent1 11 4 2 2" xfId="20864" xr:uid="{00000000-0005-0000-0000-00005B000000}"/>
    <cellStyle name="20% - Accent1 11 4 2 2 2" xfId="43466" xr:uid="{00000000-0005-0000-0000-00005C000000}"/>
    <cellStyle name="20% - Accent1 11 4 2 3" xfId="32165" xr:uid="{00000000-0005-0000-0000-00005D000000}"/>
    <cellStyle name="20% - Accent1 11 4 3" xfId="15214" xr:uid="{00000000-0005-0000-0000-00005E000000}"/>
    <cellStyle name="20% - Accent1 11 4 3 2" xfId="37816" xr:uid="{00000000-0005-0000-0000-00005F000000}"/>
    <cellStyle name="20% - Accent1 11 4 4" xfId="26515" xr:uid="{00000000-0005-0000-0000-000060000000}"/>
    <cellStyle name="20% - Accent1 11 5" xfId="6715" xr:uid="{00000000-0005-0000-0000-000061000000}"/>
    <cellStyle name="20% - Accent1 11 5 2" xfId="18016" xr:uid="{00000000-0005-0000-0000-000062000000}"/>
    <cellStyle name="20% - Accent1 11 5 2 2" xfId="40618" xr:uid="{00000000-0005-0000-0000-000063000000}"/>
    <cellStyle name="20% - Accent1 11 5 3" xfId="29317" xr:uid="{00000000-0005-0000-0000-000064000000}"/>
    <cellStyle name="20% - Accent1 11 6" xfId="12366" xr:uid="{00000000-0005-0000-0000-000065000000}"/>
    <cellStyle name="20% - Accent1 11 6 2" xfId="34968" xr:uid="{00000000-0005-0000-0000-000066000000}"/>
    <cellStyle name="20% - Accent1 11 7" xfId="23667" xr:uid="{00000000-0005-0000-0000-000067000000}"/>
    <cellStyle name="20% - Accent1 12" xfId="794" xr:uid="{00000000-0005-0000-0000-000068000000}"/>
    <cellStyle name="20% - Accent1 12 2" xfId="3487" xr:uid="{00000000-0005-0000-0000-000069000000}"/>
    <cellStyle name="20% - Accent1 12 2 2" xfId="9233" xr:uid="{00000000-0005-0000-0000-00006A000000}"/>
    <cellStyle name="20% - Accent1 12 2 2 2" xfId="20534" xr:uid="{00000000-0005-0000-0000-00006B000000}"/>
    <cellStyle name="20% - Accent1 12 2 2 2 2" xfId="43136" xr:uid="{00000000-0005-0000-0000-00006C000000}"/>
    <cellStyle name="20% - Accent1 12 2 2 3" xfId="31835" xr:uid="{00000000-0005-0000-0000-00006D000000}"/>
    <cellStyle name="20% - Accent1 12 2 3" xfId="14884" xr:uid="{00000000-0005-0000-0000-00006E000000}"/>
    <cellStyle name="20% - Accent1 12 2 3 2" xfId="37486" xr:uid="{00000000-0005-0000-0000-00006F000000}"/>
    <cellStyle name="20% - Accent1 12 2 4" xfId="26185" xr:uid="{00000000-0005-0000-0000-000070000000}"/>
    <cellStyle name="20% - Accent1 13" xfId="3485" xr:uid="{00000000-0005-0000-0000-000071000000}"/>
    <cellStyle name="20% - Accent1 14" xfId="46" xr:uid="{00000000-0005-0000-0000-000072000000}"/>
    <cellStyle name="20% - Accent1 2" xfId="99" xr:uid="{00000000-0005-0000-0000-000073000000}"/>
    <cellStyle name="20% - Accent1 2 2" xfId="320" xr:uid="{00000000-0005-0000-0000-000074000000}"/>
    <cellStyle name="20% - Accent1 2 2 10" xfId="23423" xr:uid="{00000000-0005-0000-0000-000075000000}"/>
    <cellStyle name="20% - Accent1 2 2 2" xfId="573" xr:uid="{00000000-0005-0000-0000-000076000000}"/>
    <cellStyle name="20% - Accent1 2 2 2 2" xfId="1283" xr:uid="{00000000-0005-0000-0000-000077000000}"/>
    <cellStyle name="20% - Accent1 2 2 2 2 2" xfId="1484" xr:uid="{00000000-0005-0000-0000-000078000000}"/>
    <cellStyle name="20% - Accent1 2 2 2 2 2 2" xfId="3352" xr:uid="{00000000-0005-0000-0000-000079000000}"/>
    <cellStyle name="20% - Accent1 2 2 2 2 2 2 2" xfId="6324" xr:uid="{00000000-0005-0000-0000-00007A000000}"/>
    <cellStyle name="20% - Accent1 2 2 2 2 2 2 2 2" xfId="11974" xr:uid="{00000000-0005-0000-0000-00007B000000}"/>
    <cellStyle name="20% - Accent1 2 2 2 2 2 2 2 2 2" xfId="23275" xr:uid="{00000000-0005-0000-0000-00007C000000}"/>
    <cellStyle name="20% - Accent1 2 2 2 2 2 2 2 2 2 2" xfId="45877" xr:uid="{00000000-0005-0000-0000-00007D000000}"/>
    <cellStyle name="20% - Accent1 2 2 2 2 2 2 2 2 3" xfId="34576" xr:uid="{00000000-0005-0000-0000-00007E000000}"/>
    <cellStyle name="20% - Accent1 2 2 2 2 2 2 2 3" xfId="17625" xr:uid="{00000000-0005-0000-0000-00007F000000}"/>
    <cellStyle name="20% - Accent1 2 2 2 2 2 2 2 3 2" xfId="40227" xr:uid="{00000000-0005-0000-0000-000080000000}"/>
    <cellStyle name="20% - Accent1 2 2 2 2 2 2 2 4" xfId="28926" xr:uid="{00000000-0005-0000-0000-000081000000}"/>
    <cellStyle name="20% - Accent1 2 2 2 2 2 2 3" xfId="9142" xr:uid="{00000000-0005-0000-0000-000082000000}"/>
    <cellStyle name="20% - Accent1 2 2 2 2 2 2 3 2" xfId="20443" xr:uid="{00000000-0005-0000-0000-000083000000}"/>
    <cellStyle name="20% - Accent1 2 2 2 2 2 2 3 2 2" xfId="43045" xr:uid="{00000000-0005-0000-0000-000084000000}"/>
    <cellStyle name="20% - Accent1 2 2 2 2 2 2 3 3" xfId="31744" xr:uid="{00000000-0005-0000-0000-000085000000}"/>
    <cellStyle name="20% - Accent1 2 2 2 2 2 2 4" xfId="14793" xr:uid="{00000000-0005-0000-0000-000086000000}"/>
    <cellStyle name="20% - Accent1 2 2 2 2 2 2 4 2" xfId="37395" xr:uid="{00000000-0005-0000-0000-000087000000}"/>
    <cellStyle name="20% - Accent1 2 2 2 2 2 2 5" xfId="26094" xr:uid="{00000000-0005-0000-0000-000088000000}"/>
    <cellStyle name="20% - Accent1 2 2 2 2 2 3" xfId="5090" xr:uid="{00000000-0005-0000-0000-000089000000}"/>
    <cellStyle name="20% - Accent1 2 2 2 2 2 3 2" xfId="10740" xr:uid="{00000000-0005-0000-0000-00008A000000}"/>
    <cellStyle name="20% - Accent1 2 2 2 2 2 3 2 2" xfId="22041" xr:uid="{00000000-0005-0000-0000-00008B000000}"/>
    <cellStyle name="20% - Accent1 2 2 2 2 2 3 2 2 2" xfId="44643" xr:uid="{00000000-0005-0000-0000-00008C000000}"/>
    <cellStyle name="20% - Accent1 2 2 2 2 2 3 2 3" xfId="33342" xr:uid="{00000000-0005-0000-0000-00008D000000}"/>
    <cellStyle name="20% - Accent1 2 2 2 2 2 3 3" xfId="16391" xr:uid="{00000000-0005-0000-0000-00008E000000}"/>
    <cellStyle name="20% - Accent1 2 2 2 2 2 3 3 2" xfId="38993" xr:uid="{00000000-0005-0000-0000-00008F000000}"/>
    <cellStyle name="20% - Accent1 2 2 2 2 2 3 4" xfId="27692" xr:uid="{00000000-0005-0000-0000-000090000000}"/>
    <cellStyle name="20% - Accent1 2 2 2 2 2 4" xfId="7340" xr:uid="{00000000-0005-0000-0000-000091000000}"/>
    <cellStyle name="20% - Accent1 2 2 2 2 2 4 2" xfId="18641" xr:uid="{00000000-0005-0000-0000-000092000000}"/>
    <cellStyle name="20% - Accent1 2 2 2 2 2 4 2 2" xfId="41243" xr:uid="{00000000-0005-0000-0000-000093000000}"/>
    <cellStyle name="20% - Accent1 2 2 2 2 2 4 3" xfId="29942" xr:uid="{00000000-0005-0000-0000-000094000000}"/>
    <cellStyle name="20% - Accent1 2 2 2 2 2 5" xfId="12991" xr:uid="{00000000-0005-0000-0000-000095000000}"/>
    <cellStyle name="20% - Accent1 2 2 2 2 2 5 2" xfId="35593" xr:uid="{00000000-0005-0000-0000-000096000000}"/>
    <cellStyle name="20% - Accent1 2 2 2 2 2 6" xfId="24292" xr:uid="{00000000-0005-0000-0000-000097000000}"/>
    <cellStyle name="20% - Accent1 2 2 2 2 3" xfId="2681" xr:uid="{00000000-0005-0000-0000-000098000000}"/>
    <cellStyle name="20% - Accent1 2 2 2 2 3 2" xfId="5700" xr:uid="{00000000-0005-0000-0000-000099000000}"/>
    <cellStyle name="20% - Accent1 2 2 2 2 3 2 2" xfId="11350" xr:uid="{00000000-0005-0000-0000-00009A000000}"/>
    <cellStyle name="20% - Accent1 2 2 2 2 3 2 2 2" xfId="22651" xr:uid="{00000000-0005-0000-0000-00009B000000}"/>
    <cellStyle name="20% - Accent1 2 2 2 2 3 2 2 2 2" xfId="45253" xr:uid="{00000000-0005-0000-0000-00009C000000}"/>
    <cellStyle name="20% - Accent1 2 2 2 2 3 2 2 3" xfId="33952" xr:uid="{00000000-0005-0000-0000-00009D000000}"/>
    <cellStyle name="20% - Accent1 2 2 2 2 3 2 3" xfId="17001" xr:uid="{00000000-0005-0000-0000-00009E000000}"/>
    <cellStyle name="20% - Accent1 2 2 2 2 3 2 3 2" xfId="39603" xr:uid="{00000000-0005-0000-0000-00009F000000}"/>
    <cellStyle name="20% - Accent1 2 2 2 2 3 2 4" xfId="28302" xr:uid="{00000000-0005-0000-0000-0000A0000000}"/>
    <cellStyle name="20% - Accent1 2 2 2 2 3 3" xfId="8517" xr:uid="{00000000-0005-0000-0000-0000A1000000}"/>
    <cellStyle name="20% - Accent1 2 2 2 2 3 3 2" xfId="19818" xr:uid="{00000000-0005-0000-0000-0000A2000000}"/>
    <cellStyle name="20% - Accent1 2 2 2 2 3 3 2 2" xfId="42420" xr:uid="{00000000-0005-0000-0000-0000A3000000}"/>
    <cellStyle name="20% - Accent1 2 2 2 2 3 3 3" xfId="31119" xr:uid="{00000000-0005-0000-0000-0000A4000000}"/>
    <cellStyle name="20% - Accent1 2 2 2 2 3 4" xfId="14168" xr:uid="{00000000-0005-0000-0000-0000A5000000}"/>
    <cellStyle name="20% - Accent1 2 2 2 2 3 4 2" xfId="36770" xr:uid="{00000000-0005-0000-0000-0000A6000000}"/>
    <cellStyle name="20% - Accent1 2 2 2 2 3 5" xfId="25469" xr:uid="{00000000-0005-0000-0000-0000A7000000}"/>
    <cellStyle name="20% - Accent1 2 2 2 2 4" xfId="4466" xr:uid="{00000000-0005-0000-0000-0000A8000000}"/>
    <cellStyle name="20% - Accent1 2 2 2 2 4 2" xfId="10116" xr:uid="{00000000-0005-0000-0000-0000A9000000}"/>
    <cellStyle name="20% - Accent1 2 2 2 2 4 2 2" xfId="21417" xr:uid="{00000000-0005-0000-0000-0000AA000000}"/>
    <cellStyle name="20% - Accent1 2 2 2 2 4 2 2 2" xfId="44019" xr:uid="{00000000-0005-0000-0000-0000AB000000}"/>
    <cellStyle name="20% - Accent1 2 2 2 2 4 2 3" xfId="32718" xr:uid="{00000000-0005-0000-0000-0000AC000000}"/>
    <cellStyle name="20% - Accent1 2 2 2 2 4 3" xfId="15767" xr:uid="{00000000-0005-0000-0000-0000AD000000}"/>
    <cellStyle name="20% - Accent1 2 2 2 2 4 3 2" xfId="38369" xr:uid="{00000000-0005-0000-0000-0000AE000000}"/>
    <cellStyle name="20% - Accent1 2 2 2 2 4 4" xfId="27068" xr:uid="{00000000-0005-0000-0000-0000AF000000}"/>
    <cellStyle name="20% - Accent1 2 2 2 2 5" xfId="7262" xr:uid="{00000000-0005-0000-0000-0000B0000000}"/>
    <cellStyle name="20% - Accent1 2 2 2 2 5 2" xfId="18563" xr:uid="{00000000-0005-0000-0000-0000B1000000}"/>
    <cellStyle name="20% - Accent1 2 2 2 2 5 2 2" xfId="41165" xr:uid="{00000000-0005-0000-0000-0000B2000000}"/>
    <cellStyle name="20% - Accent1 2 2 2 2 5 3" xfId="29864" xr:uid="{00000000-0005-0000-0000-0000B3000000}"/>
    <cellStyle name="20% - Accent1 2 2 2 2 6" xfId="12913" xr:uid="{00000000-0005-0000-0000-0000B4000000}"/>
    <cellStyle name="20% - Accent1 2 2 2 2 6 2" xfId="35515" xr:uid="{00000000-0005-0000-0000-0000B5000000}"/>
    <cellStyle name="20% - Accent1 2 2 2 2 7" xfId="24214" xr:uid="{00000000-0005-0000-0000-0000B6000000}"/>
    <cellStyle name="20% - Accent1 2 2 2 3" xfId="981" xr:uid="{00000000-0005-0000-0000-0000B7000000}"/>
    <cellStyle name="20% - Accent1 2 2 2 3 2" xfId="3044" xr:uid="{00000000-0005-0000-0000-0000B8000000}"/>
    <cellStyle name="20% - Accent1 2 2 2 3 2 2" xfId="6016" xr:uid="{00000000-0005-0000-0000-0000B9000000}"/>
    <cellStyle name="20% - Accent1 2 2 2 3 2 2 2" xfId="11666" xr:uid="{00000000-0005-0000-0000-0000BA000000}"/>
    <cellStyle name="20% - Accent1 2 2 2 3 2 2 2 2" xfId="22967" xr:uid="{00000000-0005-0000-0000-0000BB000000}"/>
    <cellStyle name="20% - Accent1 2 2 2 3 2 2 2 2 2" xfId="45569" xr:uid="{00000000-0005-0000-0000-0000BC000000}"/>
    <cellStyle name="20% - Accent1 2 2 2 3 2 2 2 3" xfId="34268" xr:uid="{00000000-0005-0000-0000-0000BD000000}"/>
    <cellStyle name="20% - Accent1 2 2 2 3 2 2 3" xfId="17317" xr:uid="{00000000-0005-0000-0000-0000BE000000}"/>
    <cellStyle name="20% - Accent1 2 2 2 3 2 2 3 2" xfId="39919" xr:uid="{00000000-0005-0000-0000-0000BF000000}"/>
    <cellStyle name="20% - Accent1 2 2 2 3 2 2 4" xfId="28618" xr:uid="{00000000-0005-0000-0000-0000C0000000}"/>
    <cellStyle name="20% - Accent1 2 2 2 3 2 3" xfId="8834" xr:uid="{00000000-0005-0000-0000-0000C1000000}"/>
    <cellStyle name="20% - Accent1 2 2 2 3 2 3 2" xfId="20135" xr:uid="{00000000-0005-0000-0000-0000C2000000}"/>
    <cellStyle name="20% - Accent1 2 2 2 3 2 3 2 2" xfId="42737" xr:uid="{00000000-0005-0000-0000-0000C3000000}"/>
    <cellStyle name="20% - Accent1 2 2 2 3 2 3 3" xfId="31436" xr:uid="{00000000-0005-0000-0000-0000C4000000}"/>
    <cellStyle name="20% - Accent1 2 2 2 3 2 4" xfId="14485" xr:uid="{00000000-0005-0000-0000-0000C5000000}"/>
    <cellStyle name="20% - Accent1 2 2 2 3 2 4 2" xfId="37087" xr:uid="{00000000-0005-0000-0000-0000C6000000}"/>
    <cellStyle name="20% - Accent1 2 2 2 3 2 5" xfId="25786" xr:uid="{00000000-0005-0000-0000-0000C7000000}"/>
    <cellStyle name="20% - Accent1 2 2 2 3 3" xfId="4782" xr:uid="{00000000-0005-0000-0000-0000C8000000}"/>
    <cellStyle name="20% - Accent1 2 2 2 3 3 2" xfId="10432" xr:uid="{00000000-0005-0000-0000-0000C9000000}"/>
    <cellStyle name="20% - Accent1 2 2 2 3 3 2 2" xfId="21733" xr:uid="{00000000-0005-0000-0000-0000CA000000}"/>
    <cellStyle name="20% - Accent1 2 2 2 3 3 2 2 2" xfId="44335" xr:uid="{00000000-0005-0000-0000-0000CB000000}"/>
    <cellStyle name="20% - Accent1 2 2 2 3 3 2 3" xfId="33034" xr:uid="{00000000-0005-0000-0000-0000CC000000}"/>
    <cellStyle name="20% - Accent1 2 2 2 3 3 3" xfId="16083" xr:uid="{00000000-0005-0000-0000-0000CD000000}"/>
    <cellStyle name="20% - Accent1 2 2 2 3 3 3 2" xfId="38685" xr:uid="{00000000-0005-0000-0000-0000CE000000}"/>
    <cellStyle name="20% - Accent1 2 2 2 3 3 4" xfId="27384" xr:uid="{00000000-0005-0000-0000-0000CF000000}"/>
    <cellStyle name="20% - Accent1 2 2 2 3 4" xfId="6969" xr:uid="{00000000-0005-0000-0000-0000D0000000}"/>
    <cellStyle name="20% - Accent1 2 2 2 3 4 2" xfId="18270" xr:uid="{00000000-0005-0000-0000-0000D1000000}"/>
    <cellStyle name="20% - Accent1 2 2 2 3 4 2 2" xfId="40872" xr:uid="{00000000-0005-0000-0000-0000D2000000}"/>
    <cellStyle name="20% - Accent1 2 2 2 3 4 3" xfId="29571" xr:uid="{00000000-0005-0000-0000-0000D3000000}"/>
    <cellStyle name="20% - Accent1 2 2 2 3 5" xfId="12620" xr:uid="{00000000-0005-0000-0000-0000D4000000}"/>
    <cellStyle name="20% - Accent1 2 2 2 3 5 2" xfId="35222" xr:uid="{00000000-0005-0000-0000-0000D5000000}"/>
    <cellStyle name="20% - Accent1 2 2 2 3 6" xfId="23921" xr:uid="{00000000-0005-0000-0000-0000D6000000}"/>
    <cellStyle name="20% - Accent1 2 2 2 4" xfId="1483" xr:uid="{00000000-0005-0000-0000-0000D7000000}"/>
    <cellStyle name="20% - Accent1 2 2 2 4 2" xfId="3438" xr:uid="{00000000-0005-0000-0000-0000D8000000}"/>
    <cellStyle name="20% - Accent1 2 2 2 4 2 2" xfId="9213" xr:uid="{00000000-0005-0000-0000-0000D9000000}"/>
    <cellStyle name="20% - Accent1 2 2 2 4 2 2 2" xfId="20514" xr:uid="{00000000-0005-0000-0000-0000DA000000}"/>
    <cellStyle name="20% - Accent1 2 2 2 4 2 2 2 2" xfId="43116" xr:uid="{00000000-0005-0000-0000-0000DB000000}"/>
    <cellStyle name="20% - Accent1 2 2 2 4 2 2 3" xfId="31815" xr:uid="{00000000-0005-0000-0000-0000DC000000}"/>
    <cellStyle name="20% - Accent1 2 2 2 4 2 3" xfId="14864" xr:uid="{00000000-0005-0000-0000-0000DD000000}"/>
    <cellStyle name="20% - Accent1 2 2 2 4 2 3 2" xfId="37466" xr:uid="{00000000-0005-0000-0000-0000DE000000}"/>
    <cellStyle name="20% - Accent1 2 2 2 4 2 4" xfId="26165" xr:uid="{00000000-0005-0000-0000-0000DF000000}"/>
    <cellStyle name="20% - Accent1 2 2 2 4 3" xfId="5392" xr:uid="{00000000-0005-0000-0000-0000E0000000}"/>
    <cellStyle name="20% - Accent1 2 2 2 4 3 2" xfId="11042" xr:uid="{00000000-0005-0000-0000-0000E1000000}"/>
    <cellStyle name="20% - Accent1 2 2 2 4 3 2 2" xfId="22343" xr:uid="{00000000-0005-0000-0000-0000E2000000}"/>
    <cellStyle name="20% - Accent1 2 2 2 4 3 2 2 2" xfId="44945" xr:uid="{00000000-0005-0000-0000-0000E3000000}"/>
    <cellStyle name="20% - Accent1 2 2 2 4 3 2 3" xfId="33644" xr:uid="{00000000-0005-0000-0000-0000E4000000}"/>
    <cellStyle name="20% - Accent1 2 2 2 4 3 3" xfId="16693" xr:uid="{00000000-0005-0000-0000-0000E5000000}"/>
    <cellStyle name="20% - Accent1 2 2 2 4 3 3 2" xfId="39295" xr:uid="{00000000-0005-0000-0000-0000E6000000}"/>
    <cellStyle name="20% - Accent1 2 2 2 4 3 4" xfId="27994" xr:uid="{00000000-0005-0000-0000-0000E7000000}"/>
    <cellStyle name="20% - Accent1 2 2 2 4 4" xfId="7339" xr:uid="{00000000-0005-0000-0000-0000E8000000}"/>
    <cellStyle name="20% - Accent1 2 2 2 4 4 2" xfId="18640" xr:uid="{00000000-0005-0000-0000-0000E9000000}"/>
    <cellStyle name="20% - Accent1 2 2 2 4 4 2 2" xfId="41242" xr:uid="{00000000-0005-0000-0000-0000EA000000}"/>
    <cellStyle name="20% - Accent1 2 2 2 4 4 3" xfId="29941" xr:uid="{00000000-0005-0000-0000-0000EB000000}"/>
    <cellStyle name="20% - Accent1 2 2 2 4 5" xfId="12990" xr:uid="{00000000-0005-0000-0000-0000EC000000}"/>
    <cellStyle name="20% - Accent1 2 2 2 4 5 2" xfId="35592" xr:uid="{00000000-0005-0000-0000-0000ED000000}"/>
    <cellStyle name="20% - Accent1 2 2 2 4 6" xfId="24291" xr:uid="{00000000-0005-0000-0000-0000EE000000}"/>
    <cellStyle name="20% - Accent1 2 2 2 5" xfId="2373" xr:uid="{00000000-0005-0000-0000-0000EF000000}"/>
    <cellStyle name="20% - Accent1 2 2 2 5 2" xfId="8209" xr:uid="{00000000-0005-0000-0000-0000F0000000}"/>
    <cellStyle name="20% - Accent1 2 2 2 5 2 2" xfId="19510" xr:uid="{00000000-0005-0000-0000-0000F1000000}"/>
    <cellStyle name="20% - Accent1 2 2 2 5 2 2 2" xfId="42112" xr:uid="{00000000-0005-0000-0000-0000F2000000}"/>
    <cellStyle name="20% - Accent1 2 2 2 5 2 3" xfId="30811" xr:uid="{00000000-0005-0000-0000-0000F3000000}"/>
    <cellStyle name="20% - Accent1 2 2 2 5 3" xfId="13860" xr:uid="{00000000-0005-0000-0000-0000F4000000}"/>
    <cellStyle name="20% - Accent1 2 2 2 5 3 2" xfId="36462" xr:uid="{00000000-0005-0000-0000-0000F5000000}"/>
    <cellStyle name="20% - Accent1 2 2 2 5 4" xfId="25161" xr:uid="{00000000-0005-0000-0000-0000F6000000}"/>
    <cellStyle name="20% - Accent1 2 2 2 6" xfId="4158" xr:uid="{00000000-0005-0000-0000-0000F7000000}"/>
    <cellStyle name="20% - Accent1 2 2 2 6 2" xfId="9808" xr:uid="{00000000-0005-0000-0000-0000F8000000}"/>
    <cellStyle name="20% - Accent1 2 2 2 6 2 2" xfId="21109" xr:uid="{00000000-0005-0000-0000-0000F9000000}"/>
    <cellStyle name="20% - Accent1 2 2 2 6 2 2 2" xfId="43711" xr:uid="{00000000-0005-0000-0000-0000FA000000}"/>
    <cellStyle name="20% - Accent1 2 2 2 6 2 3" xfId="32410" xr:uid="{00000000-0005-0000-0000-0000FB000000}"/>
    <cellStyle name="20% - Accent1 2 2 2 6 3" xfId="15459" xr:uid="{00000000-0005-0000-0000-0000FC000000}"/>
    <cellStyle name="20% - Accent1 2 2 2 6 3 2" xfId="38061" xr:uid="{00000000-0005-0000-0000-0000FD000000}"/>
    <cellStyle name="20% - Accent1 2 2 2 6 4" xfId="26760" xr:uid="{00000000-0005-0000-0000-0000FE000000}"/>
    <cellStyle name="20% - Accent1 2 2 2 7" xfId="6638" xr:uid="{00000000-0005-0000-0000-0000FF000000}"/>
    <cellStyle name="20% - Accent1 2 2 2 7 2" xfId="17939" xr:uid="{00000000-0005-0000-0000-000000010000}"/>
    <cellStyle name="20% - Accent1 2 2 2 7 2 2" xfId="40541" xr:uid="{00000000-0005-0000-0000-000001010000}"/>
    <cellStyle name="20% - Accent1 2 2 2 7 3" xfId="29240" xr:uid="{00000000-0005-0000-0000-000002010000}"/>
    <cellStyle name="20% - Accent1 2 2 2 8" xfId="12289" xr:uid="{00000000-0005-0000-0000-000003010000}"/>
    <cellStyle name="20% - Accent1 2 2 2 8 2" xfId="34891" xr:uid="{00000000-0005-0000-0000-000004010000}"/>
    <cellStyle name="20% - Accent1 2 2 2 9" xfId="23590" xr:uid="{00000000-0005-0000-0000-000005010000}"/>
    <cellStyle name="20% - Accent1 2 2 3" xfId="1145" xr:uid="{00000000-0005-0000-0000-000006010000}"/>
    <cellStyle name="20% - Accent1 2 2 3 2" xfId="1485" xr:uid="{00000000-0005-0000-0000-000007010000}"/>
    <cellStyle name="20% - Accent1 2 2 3 2 2" xfId="3213" xr:uid="{00000000-0005-0000-0000-000008010000}"/>
    <cellStyle name="20% - Accent1 2 2 3 2 2 2" xfId="6185" xr:uid="{00000000-0005-0000-0000-000009010000}"/>
    <cellStyle name="20% - Accent1 2 2 3 2 2 2 2" xfId="11835" xr:uid="{00000000-0005-0000-0000-00000A010000}"/>
    <cellStyle name="20% - Accent1 2 2 3 2 2 2 2 2" xfId="23136" xr:uid="{00000000-0005-0000-0000-00000B010000}"/>
    <cellStyle name="20% - Accent1 2 2 3 2 2 2 2 2 2" xfId="45738" xr:uid="{00000000-0005-0000-0000-00000C010000}"/>
    <cellStyle name="20% - Accent1 2 2 3 2 2 2 2 3" xfId="34437" xr:uid="{00000000-0005-0000-0000-00000D010000}"/>
    <cellStyle name="20% - Accent1 2 2 3 2 2 2 3" xfId="17486" xr:uid="{00000000-0005-0000-0000-00000E010000}"/>
    <cellStyle name="20% - Accent1 2 2 3 2 2 2 3 2" xfId="40088" xr:uid="{00000000-0005-0000-0000-00000F010000}"/>
    <cellStyle name="20% - Accent1 2 2 3 2 2 2 4" xfId="28787" xr:uid="{00000000-0005-0000-0000-000010010000}"/>
    <cellStyle name="20% - Accent1 2 2 3 2 2 3" xfId="9003" xr:uid="{00000000-0005-0000-0000-000011010000}"/>
    <cellStyle name="20% - Accent1 2 2 3 2 2 3 2" xfId="20304" xr:uid="{00000000-0005-0000-0000-000012010000}"/>
    <cellStyle name="20% - Accent1 2 2 3 2 2 3 2 2" xfId="42906" xr:uid="{00000000-0005-0000-0000-000013010000}"/>
    <cellStyle name="20% - Accent1 2 2 3 2 2 3 3" xfId="31605" xr:uid="{00000000-0005-0000-0000-000014010000}"/>
    <cellStyle name="20% - Accent1 2 2 3 2 2 4" xfId="14654" xr:uid="{00000000-0005-0000-0000-000015010000}"/>
    <cellStyle name="20% - Accent1 2 2 3 2 2 4 2" xfId="37256" xr:uid="{00000000-0005-0000-0000-000016010000}"/>
    <cellStyle name="20% - Accent1 2 2 3 2 2 5" xfId="25955" xr:uid="{00000000-0005-0000-0000-000017010000}"/>
    <cellStyle name="20% - Accent1 2 2 3 2 3" xfId="4951" xr:uid="{00000000-0005-0000-0000-000018010000}"/>
    <cellStyle name="20% - Accent1 2 2 3 2 3 2" xfId="10601" xr:uid="{00000000-0005-0000-0000-000019010000}"/>
    <cellStyle name="20% - Accent1 2 2 3 2 3 2 2" xfId="21902" xr:uid="{00000000-0005-0000-0000-00001A010000}"/>
    <cellStyle name="20% - Accent1 2 2 3 2 3 2 2 2" xfId="44504" xr:uid="{00000000-0005-0000-0000-00001B010000}"/>
    <cellStyle name="20% - Accent1 2 2 3 2 3 2 3" xfId="33203" xr:uid="{00000000-0005-0000-0000-00001C010000}"/>
    <cellStyle name="20% - Accent1 2 2 3 2 3 3" xfId="16252" xr:uid="{00000000-0005-0000-0000-00001D010000}"/>
    <cellStyle name="20% - Accent1 2 2 3 2 3 3 2" xfId="38854" xr:uid="{00000000-0005-0000-0000-00001E010000}"/>
    <cellStyle name="20% - Accent1 2 2 3 2 3 4" xfId="27553" xr:uid="{00000000-0005-0000-0000-00001F010000}"/>
    <cellStyle name="20% - Accent1 2 2 3 2 4" xfId="7341" xr:uid="{00000000-0005-0000-0000-000020010000}"/>
    <cellStyle name="20% - Accent1 2 2 3 2 4 2" xfId="18642" xr:uid="{00000000-0005-0000-0000-000021010000}"/>
    <cellStyle name="20% - Accent1 2 2 3 2 4 2 2" xfId="41244" xr:uid="{00000000-0005-0000-0000-000022010000}"/>
    <cellStyle name="20% - Accent1 2 2 3 2 4 3" xfId="29943" xr:uid="{00000000-0005-0000-0000-000023010000}"/>
    <cellStyle name="20% - Accent1 2 2 3 2 5" xfId="12992" xr:uid="{00000000-0005-0000-0000-000024010000}"/>
    <cellStyle name="20% - Accent1 2 2 3 2 5 2" xfId="35594" xr:uid="{00000000-0005-0000-0000-000025010000}"/>
    <cellStyle name="20% - Accent1 2 2 3 2 6" xfId="24293" xr:uid="{00000000-0005-0000-0000-000026010000}"/>
    <cellStyle name="20% - Accent1 2 2 3 3" xfId="2542" xr:uid="{00000000-0005-0000-0000-000027010000}"/>
    <cellStyle name="20% - Accent1 2 2 3 3 2" xfId="5561" xr:uid="{00000000-0005-0000-0000-000028010000}"/>
    <cellStyle name="20% - Accent1 2 2 3 3 2 2" xfId="11211" xr:uid="{00000000-0005-0000-0000-000029010000}"/>
    <cellStyle name="20% - Accent1 2 2 3 3 2 2 2" xfId="22512" xr:uid="{00000000-0005-0000-0000-00002A010000}"/>
    <cellStyle name="20% - Accent1 2 2 3 3 2 2 2 2" xfId="45114" xr:uid="{00000000-0005-0000-0000-00002B010000}"/>
    <cellStyle name="20% - Accent1 2 2 3 3 2 2 3" xfId="33813" xr:uid="{00000000-0005-0000-0000-00002C010000}"/>
    <cellStyle name="20% - Accent1 2 2 3 3 2 3" xfId="16862" xr:uid="{00000000-0005-0000-0000-00002D010000}"/>
    <cellStyle name="20% - Accent1 2 2 3 3 2 3 2" xfId="39464" xr:uid="{00000000-0005-0000-0000-00002E010000}"/>
    <cellStyle name="20% - Accent1 2 2 3 3 2 4" xfId="28163" xr:uid="{00000000-0005-0000-0000-00002F010000}"/>
    <cellStyle name="20% - Accent1 2 2 3 3 3" xfId="8378" xr:uid="{00000000-0005-0000-0000-000030010000}"/>
    <cellStyle name="20% - Accent1 2 2 3 3 3 2" xfId="19679" xr:uid="{00000000-0005-0000-0000-000031010000}"/>
    <cellStyle name="20% - Accent1 2 2 3 3 3 2 2" xfId="42281" xr:uid="{00000000-0005-0000-0000-000032010000}"/>
    <cellStyle name="20% - Accent1 2 2 3 3 3 3" xfId="30980" xr:uid="{00000000-0005-0000-0000-000033010000}"/>
    <cellStyle name="20% - Accent1 2 2 3 3 4" xfId="14029" xr:uid="{00000000-0005-0000-0000-000034010000}"/>
    <cellStyle name="20% - Accent1 2 2 3 3 4 2" xfId="36631" xr:uid="{00000000-0005-0000-0000-000035010000}"/>
    <cellStyle name="20% - Accent1 2 2 3 3 5" xfId="25330" xr:uid="{00000000-0005-0000-0000-000036010000}"/>
    <cellStyle name="20% - Accent1 2 2 3 4" xfId="4327" xr:uid="{00000000-0005-0000-0000-000037010000}"/>
    <cellStyle name="20% - Accent1 2 2 3 4 2" xfId="9977" xr:uid="{00000000-0005-0000-0000-000038010000}"/>
    <cellStyle name="20% - Accent1 2 2 3 4 2 2" xfId="21278" xr:uid="{00000000-0005-0000-0000-000039010000}"/>
    <cellStyle name="20% - Accent1 2 2 3 4 2 2 2" xfId="43880" xr:uid="{00000000-0005-0000-0000-00003A010000}"/>
    <cellStyle name="20% - Accent1 2 2 3 4 2 3" xfId="32579" xr:uid="{00000000-0005-0000-0000-00003B010000}"/>
    <cellStyle name="20% - Accent1 2 2 3 4 3" xfId="15628" xr:uid="{00000000-0005-0000-0000-00003C010000}"/>
    <cellStyle name="20% - Accent1 2 2 3 4 3 2" xfId="38230" xr:uid="{00000000-0005-0000-0000-00003D010000}"/>
    <cellStyle name="20% - Accent1 2 2 3 4 4" xfId="26929" xr:uid="{00000000-0005-0000-0000-00003E010000}"/>
    <cellStyle name="20% - Accent1 2 2 3 5" xfId="7124" xr:uid="{00000000-0005-0000-0000-00003F010000}"/>
    <cellStyle name="20% - Accent1 2 2 3 5 2" xfId="18425" xr:uid="{00000000-0005-0000-0000-000040010000}"/>
    <cellStyle name="20% - Accent1 2 2 3 5 2 2" xfId="41027" xr:uid="{00000000-0005-0000-0000-000041010000}"/>
    <cellStyle name="20% - Accent1 2 2 3 5 3" xfId="29726" xr:uid="{00000000-0005-0000-0000-000042010000}"/>
    <cellStyle name="20% - Accent1 2 2 3 6" xfId="12775" xr:uid="{00000000-0005-0000-0000-000043010000}"/>
    <cellStyle name="20% - Accent1 2 2 3 6 2" xfId="35377" xr:uid="{00000000-0005-0000-0000-000044010000}"/>
    <cellStyle name="20% - Accent1 2 2 3 7" xfId="24076" xr:uid="{00000000-0005-0000-0000-000045010000}"/>
    <cellStyle name="20% - Accent1 2 2 4" xfId="835" xr:uid="{00000000-0005-0000-0000-000046010000}"/>
    <cellStyle name="20% - Accent1 2 2 4 2" xfId="2906" xr:uid="{00000000-0005-0000-0000-000047010000}"/>
    <cellStyle name="20% - Accent1 2 2 4 2 2" xfId="5878" xr:uid="{00000000-0005-0000-0000-000048010000}"/>
    <cellStyle name="20% - Accent1 2 2 4 2 2 2" xfId="11528" xr:uid="{00000000-0005-0000-0000-000049010000}"/>
    <cellStyle name="20% - Accent1 2 2 4 2 2 2 2" xfId="22829" xr:uid="{00000000-0005-0000-0000-00004A010000}"/>
    <cellStyle name="20% - Accent1 2 2 4 2 2 2 2 2" xfId="45431" xr:uid="{00000000-0005-0000-0000-00004B010000}"/>
    <cellStyle name="20% - Accent1 2 2 4 2 2 2 3" xfId="34130" xr:uid="{00000000-0005-0000-0000-00004C010000}"/>
    <cellStyle name="20% - Accent1 2 2 4 2 2 3" xfId="17179" xr:uid="{00000000-0005-0000-0000-00004D010000}"/>
    <cellStyle name="20% - Accent1 2 2 4 2 2 3 2" xfId="39781" xr:uid="{00000000-0005-0000-0000-00004E010000}"/>
    <cellStyle name="20% - Accent1 2 2 4 2 2 4" xfId="28480" xr:uid="{00000000-0005-0000-0000-00004F010000}"/>
    <cellStyle name="20% - Accent1 2 2 4 2 3" xfId="8696" xr:uid="{00000000-0005-0000-0000-000050010000}"/>
    <cellStyle name="20% - Accent1 2 2 4 2 3 2" xfId="19997" xr:uid="{00000000-0005-0000-0000-000051010000}"/>
    <cellStyle name="20% - Accent1 2 2 4 2 3 2 2" xfId="42599" xr:uid="{00000000-0005-0000-0000-000052010000}"/>
    <cellStyle name="20% - Accent1 2 2 4 2 3 3" xfId="31298" xr:uid="{00000000-0005-0000-0000-000053010000}"/>
    <cellStyle name="20% - Accent1 2 2 4 2 4" xfId="14347" xr:uid="{00000000-0005-0000-0000-000054010000}"/>
    <cellStyle name="20% - Accent1 2 2 4 2 4 2" xfId="36949" xr:uid="{00000000-0005-0000-0000-000055010000}"/>
    <cellStyle name="20% - Accent1 2 2 4 2 5" xfId="25648" xr:uid="{00000000-0005-0000-0000-000056010000}"/>
    <cellStyle name="20% - Accent1 2 2 4 3" xfId="4644" xr:uid="{00000000-0005-0000-0000-000057010000}"/>
    <cellStyle name="20% - Accent1 2 2 4 3 2" xfId="10294" xr:uid="{00000000-0005-0000-0000-000058010000}"/>
    <cellStyle name="20% - Accent1 2 2 4 3 2 2" xfId="21595" xr:uid="{00000000-0005-0000-0000-000059010000}"/>
    <cellStyle name="20% - Accent1 2 2 4 3 2 2 2" xfId="44197" xr:uid="{00000000-0005-0000-0000-00005A010000}"/>
    <cellStyle name="20% - Accent1 2 2 4 3 2 3" xfId="32896" xr:uid="{00000000-0005-0000-0000-00005B010000}"/>
    <cellStyle name="20% - Accent1 2 2 4 3 3" xfId="15945" xr:uid="{00000000-0005-0000-0000-00005C010000}"/>
    <cellStyle name="20% - Accent1 2 2 4 3 3 2" xfId="38547" xr:uid="{00000000-0005-0000-0000-00005D010000}"/>
    <cellStyle name="20% - Accent1 2 2 4 3 4" xfId="27246" xr:uid="{00000000-0005-0000-0000-00005E010000}"/>
    <cellStyle name="20% - Accent1 2 2 4 4" xfId="6831" xr:uid="{00000000-0005-0000-0000-00005F010000}"/>
    <cellStyle name="20% - Accent1 2 2 4 4 2" xfId="18132" xr:uid="{00000000-0005-0000-0000-000060010000}"/>
    <cellStyle name="20% - Accent1 2 2 4 4 2 2" xfId="40734" xr:uid="{00000000-0005-0000-0000-000061010000}"/>
    <cellStyle name="20% - Accent1 2 2 4 4 3" xfId="29433" xr:uid="{00000000-0005-0000-0000-000062010000}"/>
    <cellStyle name="20% - Accent1 2 2 4 5" xfId="12482" xr:uid="{00000000-0005-0000-0000-000063010000}"/>
    <cellStyle name="20% - Accent1 2 2 4 5 2" xfId="35084" xr:uid="{00000000-0005-0000-0000-000064010000}"/>
    <cellStyle name="20% - Accent1 2 2 4 6" xfId="23783" xr:uid="{00000000-0005-0000-0000-000065010000}"/>
    <cellStyle name="20% - Accent1 2 2 5" xfId="1482" xr:uid="{00000000-0005-0000-0000-000066010000}"/>
    <cellStyle name="20% - Accent1 2 2 5 2" xfId="3453" xr:uid="{00000000-0005-0000-0000-000067010000}"/>
    <cellStyle name="20% - Accent1 2 2 5 2 2" xfId="9218" xr:uid="{00000000-0005-0000-0000-000068010000}"/>
    <cellStyle name="20% - Accent1 2 2 5 2 2 2" xfId="20519" xr:uid="{00000000-0005-0000-0000-000069010000}"/>
    <cellStyle name="20% - Accent1 2 2 5 2 2 2 2" xfId="43121" xr:uid="{00000000-0005-0000-0000-00006A010000}"/>
    <cellStyle name="20% - Accent1 2 2 5 2 2 3" xfId="31820" xr:uid="{00000000-0005-0000-0000-00006B010000}"/>
    <cellStyle name="20% - Accent1 2 2 5 2 3" xfId="14869" xr:uid="{00000000-0005-0000-0000-00006C010000}"/>
    <cellStyle name="20% - Accent1 2 2 5 2 3 2" xfId="37471" xr:uid="{00000000-0005-0000-0000-00006D010000}"/>
    <cellStyle name="20% - Accent1 2 2 5 2 4" xfId="26170" xr:uid="{00000000-0005-0000-0000-00006E010000}"/>
    <cellStyle name="20% - Accent1 2 2 5 3" xfId="5254" xr:uid="{00000000-0005-0000-0000-00006F010000}"/>
    <cellStyle name="20% - Accent1 2 2 5 3 2" xfId="10904" xr:uid="{00000000-0005-0000-0000-000070010000}"/>
    <cellStyle name="20% - Accent1 2 2 5 3 2 2" xfId="22205" xr:uid="{00000000-0005-0000-0000-000071010000}"/>
    <cellStyle name="20% - Accent1 2 2 5 3 2 2 2" xfId="44807" xr:uid="{00000000-0005-0000-0000-000072010000}"/>
    <cellStyle name="20% - Accent1 2 2 5 3 2 3" xfId="33506" xr:uid="{00000000-0005-0000-0000-000073010000}"/>
    <cellStyle name="20% - Accent1 2 2 5 3 3" xfId="16555" xr:uid="{00000000-0005-0000-0000-000074010000}"/>
    <cellStyle name="20% - Accent1 2 2 5 3 3 2" xfId="39157" xr:uid="{00000000-0005-0000-0000-000075010000}"/>
    <cellStyle name="20% - Accent1 2 2 5 3 4" xfId="27856" xr:uid="{00000000-0005-0000-0000-000076010000}"/>
    <cellStyle name="20% - Accent1 2 2 5 4" xfId="7338" xr:uid="{00000000-0005-0000-0000-000077010000}"/>
    <cellStyle name="20% - Accent1 2 2 5 4 2" xfId="18639" xr:uid="{00000000-0005-0000-0000-000078010000}"/>
    <cellStyle name="20% - Accent1 2 2 5 4 2 2" xfId="41241" xr:uid="{00000000-0005-0000-0000-000079010000}"/>
    <cellStyle name="20% - Accent1 2 2 5 4 3" xfId="29940" xr:uid="{00000000-0005-0000-0000-00007A010000}"/>
    <cellStyle name="20% - Accent1 2 2 5 5" xfId="12989" xr:uid="{00000000-0005-0000-0000-00007B010000}"/>
    <cellStyle name="20% - Accent1 2 2 5 5 2" xfId="35591" xr:uid="{00000000-0005-0000-0000-00007C010000}"/>
    <cellStyle name="20% - Accent1 2 2 5 6" xfId="24290" xr:uid="{00000000-0005-0000-0000-00007D010000}"/>
    <cellStyle name="20% - Accent1 2 2 6" xfId="2233" xr:uid="{00000000-0005-0000-0000-00007E010000}"/>
    <cellStyle name="20% - Accent1 2 2 6 2" xfId="8069" xr:uid="{00000000-0005-0000-0000-00007F010000}"/>
    <cellStyle name="20% - Accent1 2 2 6 2 2" xfId="19370" xr:uid="{00000000-0005-0000-0000-000080010000}"/>
    <cellStyle name="20% - Accent1 2 2 6 2 2 2" xfId="41972" xr:uid="{00000000-0005-0000-0000-000081010000}"/>
    <cellStyle name="20% - Accent1 2 2 6 2 3" xfId="30671" xr:uid="{00000000-0005-0000-0000-000082010000}"/>
    <cellStyle name="20% - Accent1 2 2 6 3" xfId="13720" xr:uid="{00000000-0005-0000-0000-000083010000}"/>
    <cellStyle name="20% - Accent1 2 2 6 3 2" xfId="36322" xr:uid="{00000000-0005-0000-0000-000084010000}"/>
    <cellStyle name="20% - Accent1 2 2 6 4" xfId="25021" xr:uid="{00000000-0005-0000-0000-000085010000}"/>
    <cellStyle name="20% - Accent1 2 2 7" xfId="4020" xr:uid="{00000000-0005-0000-0000-000086010000}"/>
    <cellStyle name="20% - Accent1 2 2 7 2" xfId="9670" xr:uid="{00000000-0005-0000-0000-000087010000}"/>
    <cellStyle name="20% - Accent1 2 2 7 2 2" xfId="20971" xr:uid="{00000000-0005-0000-0000-000088010000}"/>
    <cellStyle name="20% - Accent1 2 2 7 2 2 2" xfId="43573" xr:uid="{00000000-0005-0000-0000-000089010000}"/>
    <cellStyle name="20% - Accent1 2 2 7 2 3" xfId="32272" xr:uid="{00000000-0005-0000-0000-00008A010000}"/>
    <cellStyle name="20% - Accent1 2 2 7 3" xfId="15321" xr:uid="{00000000-0005-0000-0000-00008B010000}"/>
    <cellStyle name="20% - Accent1 2 2 7 3 2" xfId="37923" xr:uid="{00000000-0005-0000-0000-00008C010000}"/>
    <cellStyle name="20% - Accent1 2 2 7 4" xfId="26622" xr:uid="{00000000-0005-0000-0000-00008D010000}"/>
    <cellStyle name="20% - Accent1 2 2 8" xfId="6471" xr:uid="{00000000-0005-0000-0000-00008E010000}"/>
    <cellStyle name="20% - Accent1 2 2 8 2" xfId="17772" xr:uid="{00000000-0005-0000-0000-00008F010000}"/>
    <cellStyle name="20% - Accent1 2 2 8 2 2" xfId="40374" xr:uid="{00000000-0005-0000-0000-000090010000}"/>
    <cellStyle name="20% - Accent1 2 2 8 3" xfId="29073" xr:uid="{00000000-0005-0000-0000-000091010000}"/>
    <cellStyle name="20% - Accent1 2 2 9" xfId="12122" xr:uid="{00000000-0005-0000-0000-000092010000}"/>
    <cellStyle name="20% - Accent1 2 2 9 2" xfId="34724" xr:uid="{00000000-0005-0000-0000-000093010000}"/>
    <cellStyle name="20% - Accent1 2 3" xfId="2757" xr:uid="{00000000-0005-0000-0000-000094010000}"/>
    <cellStyle name="20% - Accent1 2 3 2" xfId="3829" xr:uid="{00000000-0005-0000-0000-000095010000}"/>
    <cellStyle name="20% - Accent1 2 3 2 2" xfId="5772" xr:uid="{00000000-0005-0000-0000-000096010000}"/>
    <cellStyle name="20% - Accent1 2 3 2 2 2" xfId="11422" xr:uid="{00000000-0005-0000-0000-000097010000}"/>
    <cellStyle name="20% - Accent1 2 3 2 2 2 2" xfId="22723" xr:uid="{00000000-0005-0000-0000-000098010000}"/>
    <cellStyle name="20% - Accent1 2 3 2 2 2 2 2" xfId="45325" xr:uid="{00000000-0005-0000-0000-000099010000}"/>
    <cellStyle name="20% - Accent1 2 3 2 2 2 3" xfId="34024" xr:uid="{00000000-0005-0000-0000-00009A010000}"/>
    <cellStyle name="20% - Accent1 2 3 2 2 3" xfId="17073" xr:uid="{00000000-0005-0000-0000-00009B010000}"/>
    <cellStyle name="20% - Accent1 2 3 2 2 3 2" xfId="39675" xr:uid="{00000000-0005-0000-0000-00009C010000}"/>
    <cellStyle name="20% - Accent1 2 3 2 2 4" xfId="28374" xr:uid="{00000000-0005-0000-0000-00009D010000}"/>
    <cellStyle name="20% - Accent1 2 3 2 3" xfId="9537" xr:uid="{00000000-0005-0000-0000-00009E010000}"/>
    <cellStyle name="20% - Accent1 2 3 2 3 2" xfId="20838" xr:uid="{00000000-0005-0000-0000-00009F010000}"/>
    <cellStyle name="20% - Accent1 2 3 2 3 2 2" xfId="43440" xr:uid="{00000000-0005-0000-0000-0000A0010000}"/>
    <cellStyle name="20% - Accent1 2 3 2 3 3" xfId="32139" xr:uid="{00000000-0005-0000-0000-0000A1010000}"/>
    <cellStyle name="20% - Accent1 2 3 2 4" xfId="15188" xr:uid="{00000000-0005-0000-0000-0000A2010000}"/>
    <cellStyle name="20% - Accent1 2 3 2 4 2" xfId="37790" xr:uid="{00000000-0005-0000-0000-0000A3010000}"/>
    <cellStyle name="20% - Accent1 2 3 2 5" xfId="26489" xr:uid="{00000000-0005-0000-0000-0000A4010000}"/>
    <cellStyle name="20% - Accent1 2 3 3" xfId="4538" xr:uid="{00000000-0005-0000-0000-0000A5010000}"/>
    <cellStyle name="20% - Accent1 2 3 3 2" xfId="10188" xr:uid="{00000000-0005-0000-0000-0000A6010000}"/>
    <cellStyle name="20% - Accent1 2 3 3 2 2" xfId="21489" xr:uid="{00000000-0005-0000-0000-0000A7010000}"/>
    <cellStyle name="20% - Accent1 2 3 3 2 2 2" xfId="44091" xr:uid="{00000000-0005-0000-0000-0000A8010000}"/>
    <cellStyle name="20% - Accent1 2 3 3 2 3" xfId="32790" xr:uid="{00000000-0005-0000-0000-0000A9010000}"/>
    <cellStyle name="20% - Accent1 2 3 3 3" xfId="15839" xr:uid="{00000000-0005-0000-0000-0000AA010000}"/>
    <cellStyle name="20% - Accent1 2 3 3 3 2" xfId="38441" xr:uid="{00000000-0005-0000-0000-0000AB010000}"/>
    <cellStyle name="20% - Accent1 2 3 3 4" xfId="27140" xr:uid="{00000000-0005-0000-0000-0000AC010000}"/>
    <cellStyle name="20% - Accent1 2 3 4" xfId="8590" xr:uid="{00000000-0005-0000-0000-0000AD010000}"/>
    <cellStyle name="20% - Accent1 2 3 4 2" xfId="19891" xr:uid="{00000000-0005-0000-0000-0000AE010000}"/>
    <cellStyle name="20% - Accent1 2 3 4 2 2" xfId="42493" xr:uid="{00000000-0005-0000-0000-0000AF010000}"/>
    <cellStyle name="20% - Accent1 2 3 4 3" xfId="31192" xr:uid="{00000000-0005-0000-0000-0000B0010000}"/>
    <cellStyle name="20% - Accent1 2 3 5" xfId="14241" xr:uid="{00000000-0005-0000-0000-0000B1010000}"/>
    <cellStyle name="20% - Accent1 2 3 5 2" xfId="36843" xr:uid="{00000000-0005-0000-0000-0000B2010000}"/>
    <cellStyle name="20% - Accent1 2 3 6" xfId="25542" xr:uid="{00000000-0005-0000-0000-0000B3010000}"/>
    <cellStyle name="20% - Accent1 2 4" xfId="2779" xr:uid="{00000000-0005-0000-0000-0000B4010000}"/>
    <cellStyle name="20% - Accent1 2 5" xfId="3841" xr:uid="{00000000-0005-0000-0000-0000B5010000}"/>
    <cellStyle name="20% - Accent1 2 5 2" xfId="9541" xr:uid="{00000000-0005-0000-0000-0000B6010000}"/>
    <cellStyle name="20% - Accent1 2 5 2 2" xfId="20842" xr:uid="{00000000-0005-0000-0000-0000B7010000}"/>
    <cellStyle name="20% - Accent1 2 5 2 2 2" xfId="43444" xr:uid="{00000000-0005-0000-0000-0000B8010000}"/>
    <cellStyle name="20% - Accent1 2 5 2 3" xfId="32143" xr:uid="{00000000-0005-0000-0000-0000B9010000}"/>
    <cellStyle name="20% - Accent1 2 5 3" xfId="15192" xr:uid="{00000000-0005-0000-0000-0000BA010000}"/>
    <cellStyle name="20% - Accent1 2 5 3 2" xfId="37794" xr:uid="{00000000-0005-0000-0000-0000BB010000}"/>
    <cellStyle name="20% - Accent1 2 5 4" xfId="26493" xr:uid="{00000000-0005-0000-0000-0000BC010000}"/>
    <cellStyle name="20% - Accent1 2 6" xfId="3860" xr:uid="{00000000-0005-0000-0000-0000BD010000}"/>
    <cellStyle name="20% - Accent1 3" xfId="150" xr:uid="{00000000-0005-0000-0000-0000BE010000}"/>
    <cellStyle name="20% - Accent1 3 2" xfId="282" xr:uid="{00000000-0005-0000-0000-0000BF010000}"/>
    <cellStyle name="20% - Accent1 3 2 10" xfId="23393" xr:uid="{00000000-0005-0000-0000-0000C0010000}"/>
    <cellStyle name="20% - Accent1 3 2 2" xfId="543" xr:uid="{00000000-0005-0000-0000-0000C1010000}"/>
    <cellStyle name="20% - Accent1 3 2 2 2" xfId="1253" xr:uid="{00000000-0005-0000-0000-0000C2010000}"/>
    <cellStyle name="20% - Accent1 3 2 2 2 2" xfId="1488" xr:uid="{00000000-0005-0000-0000-0000C3010000}"/>
    <cellStyle name="20% - Accent1 3 2 2 2 2 2" xfId="3322" xr:uid="{00000000-0005-0000-0000-0000C4010000}"/>
    <cellStyle name="20% - Accent1 3 2 2 2 2 2 2" xfId="6294" xr:uid="{00000000-0005-0000-0000-0000C5010000}"/>
    <cellStyle name="20% - Accent1 3 2 2 2 2 2 2 2" xfId="11944" xr:uid="{00000000-0005-0000-0000-0000C6010000}"/>
    <cellStyle name="20% - Accent1 3 2 2 2 2 2 2 2 2" xfId="23245" xr:uid="{00000000-0005-0000-0000-0000C7010000}"/>
    <cellStyle name="20% - Accent1 3 2 2 2 2 2 2 2 2 2" xfId="45847" xr:uid="{00000000-0005-0000-0000-0000C8010000}"/>
    <cellStyle name="20% - Accent1 3 2 2 2 2 2 2 2 3" xfId="34546" xr:uid="{00000000-0005-0000-0000-0000C9010000}"/>
    <cellStyle name="20% - Accent1 3 2 2 2 2 2 2 3" xfId="17595" xr:uid="{00000000-0005-0000-0000-0000CA010000}"/>
    <cellStyle name="20% - Accent1 3 2 2 2 2 2 2 3 2" xfId="40197" xr:uid="{00000000-0005-0000-0000-0000CB010000}"/>
    <cellStyle name="20% - Accent1 3 2 2 2 2 2 2 4" xfId="28896" xr:uid="{00000000-0005-0000-0000-0000CC010000}"/>
    <cellStyle name="20% - Accent1 3 2 2 2 2 2 3" xfId="9112" xr:uid="{00000000-0005-0000-0000-0000CD010000}"/>
    <cellStyle name="20% - Accent1 3 2 2 2 2 2 3 2" xfId="20413" xr:uid="{00000000-0005-0000-0000-0000CE010000}"/>
    <cellStyle name="20% - Accent1 3 2 2 2 2 2 3 2 2" xfId="43015" xr:uid="{00000000-0005-0000-0000-0000CF010000}"/>
    <cellStyle name="20% - Accent1 3 2 2 2 2 2 3 3" xfId="31714" xr:uid="{00000000-0005-0000-0000-0000D0010000}"/>
    <cellStyle name="20% - Accent1 3 2 2 2 2 2 4" xfId="14763" xr:uid="{00000000-0005-0000-0000-0000D1010000}"/>
    <cellStyle name="20% - Accent1 3 2 2 2 2 2 4 2" xfId="37365" xr:uid="{00000000-0005-0000-0000-0000D2010000}"/>
    <cellStyle name="20% - Accent1 3 2 2 2 2 2 5" xfId="26064" xr:uid="{00000000-0005-0000-0000-0000D3010000}"/>
    <cellStyle name="20% - Accent1 3 2 2 2 2 3" xfId="5060" xr:uid="{00000000-0005-0000-0000-0000D4010000}"/>
    <cellStyle name="20% - Accent1 3 2 2 2 2 3 2" xfId="10710" xr:uid="{00000000-0005-0000-0000-0000D5010000}"/>
    <cellStyle name="20% - Accent1 3 2 2 2 2 3 2 2" xfId="22011" xr:uid="{00000000-0005-0000-0000-0000D6010000}"/>
    <cellStyle name="20% - Accent1 3 2 2 2 2 3 2 2 2" xfId="44613" xr:uid="{00000000-0005-0000-0000-0000D7010000}"/>
    <cellStyle name="20% - Accent1 3 2 2 2 2 3 2 3" xfId="33312" xr:uid="{00000000-0005-0000-0000-0000D8010000}"/>
    <cellStyle name="20% - Accent1 3 2 2 2 2 3 3" xfId="16361" xr:uid="{00000000-0005-0000-0000-0000D9010000}"/>
    <cellStyle name="20% - Accent1 3 2 2 2 2 3 3 2" xfId="38963" xr:uid="{00000000-0005-0000-0000-0000DA010000}"/>
    <cellStyle name="20% - Accent1 3 2 2 2 2 3 4" xfId="27662" xr:uid="{00000000-0005-0000-0000-0000DB010000}"/>
    <cellStyle name="20% - Accent1 3 2 2 2 2 4" xfId="7344" xr:uid="{00000000-0005-0000-0000-0000DC010000}"/>
    <cellStyle name="20% - Accent1 3 2 2 2 2 4 2" xfId="18645" xr:uid="{00000000-0005-0000-0000-0000DD010000}"/>
    <cellStyle name="20% - Accent1 3 2 2 2 2 4 2 2" xfId="41247" xr:uid="{00000000-0005-0000-0000-0000DE010000}"/>
    <cellStyle name="20% - Accent1 3 2 2 2 2 4 3" xfId="29946" xr:uid="{00000000-0005-0000-0000-0000DF010000}"/>
    <cellStyle name="20% - Accent1 3 2 2 2 2 5" xfId="12995" xr:uid="{00000000-0005-0000-0000-0000E0010000}"/>
    <cellStyle name="20% - Accent1 3 2 2 2 2 5 2" xfId="35597" xr:uid="{00000000-0005-0000-0000-0000E1010000}"/>
    <cellStyle name="20% - Accent1 3 2 2 2 2 6" xfId="24296" xr:uid="{00000000-0005-0000-0000-0000E2010000}"/>
    <cellStyle name="20% - Accent1 3 2 2 2 3" xfId="2651" xr:uid="{00000000-0005-0000-0000-0000E3010000}"/>
    <cellStyle name="20% - Accent1 3 2 2 2 3 2" xfId="5670" xr:uid="{00000000-0005-0000-0000-0000E4010000}"/>
    <cellStyle name="20% - Accent1 3 2 2 2 3 2 2" xfId="11320" xr:uid="{00000000-0005-0000-0000-0000E5010000}"/>
    <cellStyle name="20% - Accent1 3 2 2 2 3 2 2 2" xfId="22621" xr:uid="{00000000-0005-0000-0000-0000E6010000}"/>
    <cellStyle name="20% - Accent1 3 2 2 2 3 2 2 2 2" xfId="45223" xr:uid="{00000000-0005-0000-0000-0000E7010000}"/>
    <cellStyle name="20% - Accent1 3 2 2 2 3 2 2 3" xfId="33922" xr:uid="{00000000-0005-0000-0000-0000E8010000}"/>
    <cellStyle name="20% - Accent1 3 2 2 2 3 2 3" xfId="16971" xr:uid="{00000000-0005-0000-0000-0000E9010000}"/>
    <cellStyle name="20% - Accent1 3 2 2 2 3 2 3 2" xfId="39573" xr:uid="{00000000-0005-0000-0000-0000EA010000}"/>
    <cellStyle name="20% - Accent1 3 2 2 2 3 2 4" xfId="28272" xr:uid="{00000000-0005-0000-0000-0000EB010000}"/>
    <cellStyle name="20% - Accent1 3 2 2 2 3 3" xfId="8487" xr:uid="{00000000-0005-0000-0000-0000EC010000}"/>
    <cellStyle name="20% - Accent1 3 2 2 2 3 3 2" xfId="19788" xr:uid="{00000000-0005-0000-0000-0000ED010000}"/>
    <cellStyle name="20% - Accent1 3 2 2 2 3 3 2 2" xfId="42390" xr:uid="{00000000-0005-0000-0000-0000EE010000}"/>
    <cellStyle name="20% - Accent1 3 2 2 2 3 3 3" xfId="31089" xr:uid="{00000000-0005-0000-0000-0000EF010000}"/>
    <cellStyle name="20% - Accent1 3 2 2 2 3 4" xfId="14138" xr:uid="{00000000-0005-0000-0000-0000F0010000}"/>
    <cellStyle name="20% - Accent1 3 2 2 2 3 4 2" xfId="36740" xr:uid="{00000000-0005-0000-0000-0000F1010000}"/>
    <cellStyle name="20% - Accent1 3 2 2 2 3 5" xfId="25439" xr:uid="{00000000-0005-0000-0000-0000F2010000}"/>
    <cellStyle name="20% - Accent1 3 2 2 2 4" xfId="4436" xr:uid="{00000000-0005-0000-0000-0000F3010000}"/>
    <cellStyle name="20% - Accent1 3 2 2 2 4 2" xfId="10086" xr:uid="{00000000-0005-0000-0000-0000F4010000}"/>
    <cellStyle name="20% - Accent1 3 2 2 2 4 2 2" xfId="21387" xr:uid="{00000000-0005-0000-0000-0000F5010000}"/>
    <cellStyle name="20% - Accent1 3 2 2 2 4 2 2 2" xfId="43989" xr:uid="{00000000-0005-0000-0000-0000F6010000}"/>
    <cellStyle name="20% - Accent1 3 2 2 2 4 2 3" xfId="32688" xr:uid="{00000000-0005-0000-0000-0000F7010000}"/>
    <cellStyle name="20% - Accent1 3 2 2 2 4 3" xfId="15737" xr:uid="{00000000-0005-0000-0000-0000F8010000}"/>
    <cellStyle name="20% - Accent1 3 2 2 2 4 3 2" xfId="38339" xr:uid="{00000000-0005-0000-0000-0000F9010000}"/>
    <cellStyle name="20% - Accent1 3 2 2 2 4 4" xfId="27038" xr:uid="{00000000-0005-0000-0000-0000FA010000}"/>
    <cellStyle name="20% - Accent1 3 2 2 2 5" xfId="7232" xr:uid="{00000000-0005-0000-0000-0000FB010000}"/>
    <cellStyle name="20% - Accent1 3 2 2 2 5 2" xfId="18533" xr:uid="{00000000-0005-0000-0000-0000FC010000}"/>
    <cellStyle name="20% - Accent1 3 2 2 2 5 2 2" xfId="41135" xr:uid="{00000000-0005-0000-0000-0000FD010000}"/>
    <cellStyle name="20% - Accent1 3 2 2 2 5 3" xfId="29834" xr:uid="{00000000-0005-0000-0000-0000FE010000}"/>
    <cellStyle name="20% - Accent1 3 2 2 2 6" xfId="12883" xr:uid="{00000000-0005-0000-0000-0000FF010000}"/>
    <cellStyle name="20% - Accent1 3 2 2 2 6 2" xfId="35485" xr:uid="{00000000-0005-0000-0000-000000020000}"/>
    <cellStyle name="20% - Accent1 3 2 2 2 7" xfId="24184" xr:uid="{00000000-0005-0000-0000-000001020000}"/>
    <cellStyle name="20% - Accent1 3 2 2 3" xfId="951" xr:uid="{00000000-0005-0000-0000-000002020000}"/>
    <cellStyle name="20% - Accent1 3 2 2 3 2" xfId="3014" xr:uid="{00000000-0005-0000-0000-000003020000}"/>
    <cellStyle name="20% - Accent1 3 2 2 3 2 2" xfId="5986" xr:uid="{00000000-0005-0000-0000-000004020000}"/>
    <cellStyle name="20% - Accent1 3 2 2 3 2 2 2" xfId="11636" xr:uid="{00000000-0005-0000-0000-000005020000}"/>
    <cellStyle name="20% - Accent1 3 2 2 3 2 2 2 2" xfId="22937" xr:uid="{00000000-0005-0000-0000-000006020000}"/>
    <cellStyle name="20% - Accent1 3 2 2 3 2 2 2 2 2" xfId="45539" xr:uid="{00000000-0005-0000-0000-000007020000}"/>
    <cellStyle name="20% - Accent1 3 2 2 3 2 2 2 3" xfId="34238" xr:uid="{00000000-0005-0000-0000-000008020000}"/>
    <cellStyle name="20% - Accent1 3 2 2 3 2 2 3" xfId="17287" xr:uid="{00000000-0005-0000-0000-000009020000}"/>
    <cellStyle name="20% - Accent1 3 2 2 3 2 2 3 2" xfId="39889" xr:uid="{00000000-0005-0000-0000-00000A020000}"/>
    <cellStyle name="20% - Accent1 3 2 2 3 2 2 4" xfId="28588" xr:uid="{00000000-0005-0000-0000-00000B020000}"/>
    <cellStyle name="20% - Accent1 3 2 2 3 2 3" xfId="8804" xr:uid="{00000000-0005-0000-0000-00000C020000}"/>
    <cellStyle name="20% - Accent1 3 2 2 3 2 3 2" xfId="20105" xr:uid="{00000000-0005-0000-0000-00000D020000}"/>
    <cellStyle name="20% - Accent1 3 2 2 3 2 3 2 2" xfId="42707" xr:uid="{00000000-0005-0000-0000-00000E020000}"/>
    <cellStyle name="20% - Accent1 3 2 2 3 2 3 3" xfId="31406" xr:uid="{00000000-0005-0000-0000-00000F020000}"/>
    <cellStyle name="20% - Accent1 3 2 2 3 2 4" xfId="14455" xr:uid="{00000000-0005-0000-0000-000010020000}"/>
    <cellStyle name="20% - Accent1 3 2 2 3 2 4 2" xfId="37057" xr:uid="{00000000-0005-0000-0000-000011020000}"/>
    <cellStyle name="20% - Accent1 3 2 2 3 2 5" xfId="25756" xr:uid="{00000000-0005-0000-0000-000012020000}"/>
    <cellStyle name="20% - Accent1 3 2 2 3 3" xfId="4752" xr:uid="{00000000-0005-0000-0000-000013020000}"/>
    <cellStyle name="20% - Accent1 3 2 2 3 3 2" xfId="10402" xr:uid="{00000000-0005-0000-0000-000014020000}"/>
    <cellStyle name="20% - Accent1 3 2 2 3 3 2 2" xfId="21703" xr:uid="{00000000-0005-0000-0000-000015020000}"/>
    <cellStyle name="20% - Accent1 3 2 2 3 3 2 2 2" xfId="44305" xr:uid="{00000000-0005-0000-0000-000016020000}"/>
    <cellStyle name="20% - Accent1 3 2 2 3 3 2 3" xfId="33004" xr:uid="{00000000-0005-0000-0000-000017020000}"/>
    <cellStyle name="20% - Accent1 3 2 2 3 3 3" xfId="16053" xr:uid="{00000000-0005-0000-0000-000018020000}"/>
    <cellStyle name="20% - Accent1 3 2 2 3 3 3 2" xfId="38655" xr:uid="{00000000-0005-0000-0000-000019020000}"/>
    <cellStyle name="20% - Accent1 3 2 2 3 3 4" xfId="27354" xr:uid="{00000000-0005-0000-0000-00001A020000}"/>
    <cellStyle name="20% - Accent1 3 2 2 3 4" xfId="6939" xr:uid="{00000000-0005-0000-0000-00001B020000}"/>
    <cellStyle name="20% - Accent1 3 2 2 3 4 2" xfId="18240" xr:uid="{00000000-0005-0000-0000-00001C020000}"/>
    <cellStyle name="20% - Accent1 3 2 2 3 4 2 2" xfId="40842" xr:uid="{00000000-0005-0000-0000-00001D020000}"/>
    <cellStyle name="20% - Accent1 3 2 2 3 4 3" xfId="29541" xr:uid="{00000000-0005-0000-0000-00001E020000}"/>
    <cellStyle name="20% - Accent1 3 2 2 3 5" xfId="12590" xr:uid="{00000000-0005-0000-0000-00001F020000}"/>
    <cellStyle name="20% - Accent1 3 2 2 3 5 2" xfId="35192" xr:uid="{00000000-0005-0000-0000-000020020000}"/>
    <cellStyle name="20% - Accent1 3 2 2 3 6" xfId="23891" xr:uid="{00000000-0005-0000-0000-000021020000}"/>
    <cellStyle name="20% - Accent1 3 2 2 4" xfId="1487" xr:uid="{00000000-0005-0000-0000-000022020000}"/>
    <cellStyle name="20% - Accent1 3 2 2 4 2" xfId="2293" xr:uid="{00000000-0005-0000-0000-000023020000}"/>
    <cellStyle name="20% - Accent1 3 2 2 4 2 2" xfId="8129" xr:uid="{00000000-0005-0000-0000-000024020000}"/>
    <cellStyle name="20% - Accent1 3 2 2 4 2 2 2" xfId="19430" xr:uid="{00000000-0005-0000-0000-000025020000}"/>
    <cellStyle name="20% - Accent1 3 2 2 4 2 2 2 2" xfId="42032" xr:uid="{00000000-0005-0000-0000-000026020000}"/>
    <cellStyle name="20% - Accent1 3 2 2 4 2 2 3" xfId="30731" xr:uid="{00000000-0005-0000-0000-000027020000}"/>
    <cellStyle name="20% - Accent1 3 2 2 4 2 3" xfId="13780" xr:uid="{00000000-0005-0000-0000-000028020000}"/>
    <cellStyle name="20% - Accent1 3 2 2 4 2 3 2" xfId="36382" xr:uid="{00000000-0005-0000-0000-000029020000}"/>
    <cellStyle name="20% - Accent1 3 2 2 4 2 4" xfId="25081" xr:uid="{00000000-0005-0000-0000-00002A020000}"/>
    <cellStyle name="20% - Accent1 3 2 2 4 3" xfId="5362" xr:uid="{00000000-0005-0000-0000-00002B020000}"/>
    <cellStyle name="20% - Accent1 3 2 2 4 3 2" xfId="11012" xr:uid="{00000000-0005-0000-0000-00002C020000}"/>
    <cellStyle name="20% - Accent1 3 2 2 4 3 2 2" xfId="22313" xr:uid="{00000000-0005-0000-0000-00002D020000}"/>
    <cellStyle name="20% - Accent1 3 2 2 4 3 2 2 2" xfId="44915" xr:uid="{00000000-0005-0000-0000-00002E020000}"/>
    <cellStyle name="20% - Accent1 3 2 2 4 3 2 3" xfId="33614" xr:uid="{00000000-0005-0000-0000-00002F020000}"/>
    <cellStyle name="20% - Accent1 3 2 2 4 3 3" xfId="16663" xr:uid="{00000000-0005-0000-0000-000030020000}"/>
    <cellStyle name="20% - Accent1 3 2 2 4 3 3 2" xfId="39265" xr:uid="{00000000-0005-0000-0000-000031020000}"/>
    <cellStyle name="20% - Accent1 3 2 2 4 3 4" xfId="27964" xr:uid="{00000000-0005-0000-0000-000032020000}"/>
    <cellStyle name="20% - Accent1 3 2 2 4 4" xfId="7343" xr:uid="{00000000-0005-0000-0000-000033020000}"/>
    <cellStyle name="20% - Accent1 3 2 2 4 4 2" xfId="18644" xr:uid="{00000000-0005-0000-0000-000034020000}"/>
    <cellStyle name="20% - Accent1 3 2 2 4 4 2 2" xfId="41246" xr:uid="{00000000-0005-0000-0000-000035020000}"/>
    <cellStyle name="20% - Accent1 3 2 2 4 4 3" xfId="29945" xr:uid="{00000000-0005-0000-0000-000036020000}"/>
    <cellStyle name="20% - Accent1 3 2 2 4 5" xfId="12994" xr:uid="{00000000-0005-0000-0000-000037020000}"/>
    <cellStyle name="20% - Accent1 3 2 2 4 5 2" xfId="35596" xr:uid="{00000000-0005-0000-0000-000038020000}"/>
    <cellStyle name="20% - Accent1 3 2 2 4 6" xfId="24295" xr:uid="{00000000-0005-0000-0000-000039020000}"/>
    <cellStyle name="20% - Accent1 3 2 2 5" xfId="2343" xr:uid="{00000000-0005-0000-0000-00003A020000}"/>
    <cellStyle name="20% - Accent1 3 2 2 5 2" xfId="8179" xr:uid="{00000000-0005-0000-0000-00003B020000}"/>
    <cellStyle name="20% - Accent1 3 2 2 5 2 2" xfId="19480" xr:uid="{00000000-0005-0000-0000-00003C020000}"/>
    <cellStyle name="20% - Accent1 3 2 2 5 2 2 2" xfId="42082" xr:uid="{00000000-0005-0000-0000-00003D020000}"/>
    <cellStyle name="20% - Accent1 3 2 2 5 2 3" xfId="30781" xr:uid="{00000000-0005-0000-0000-00003E020000}"/>
    <cellStyle name="20% - Accent1 3 2 2 5 3" xfId="13830" xr:uid="{00000000-0005-0000-0000-00003F020000}"/>
    <cellStyle name="20% - Accent1 3 2 2 5 3 2" xfId="36432" xr:uid="{00000000-0005-0000-0000-000040020000}"/>
    <cellStyle name="20% - Accent1 3 2 2 5 4" xfId="25131" xr:uid="{00000000-0005-0000-0000-000041020000}"/>
    <cellStyle name="20% - Accent1 3 2 2 6" xfId="4128" xr:uid="{00000000-0005-0000-0000-000042020000}"/>
    <cellStyle name="20% - Accent1 3 2 2 6 2" xfId="9778" xr:uid="{00000000-0005-0000-0000-000043020000}"/>
    <cellStyle name="20% - Accent1 3 2 2 6 2 2" xfId="21079" xr:uid="{00000000-0005-0000-0000-000044020000}"/>
    <cellStyle name="20% - Accent1 3 2 2 6 2 2 2" xfId="43681" xr:uid="{00000000-0005-0000-0000-000045020000}"/>
    <cellStyle name="20% - Accent1 3 2 2 6 2 3" xfId="32380" xr:uid="{00000000-0005-0000-0000-000046020000}"/>
    <cellStyle name="20% - Accent1 3 2 2 6 3" xfId="15429" xr:uid="{00000000-0005-0000-0000-000047020000}"/>
    <cellStyle name="20% - Accent1 3 2 2 6 3 2" xfId="38031" xr:uid="{00000000-0005-0000-0000-000048020000}"/>
    <cellStyle name="20% - Accent1 3 2 2 6 4" xfId="26730" xr:uid="{00000000-0005-0000-0000-000049020000}"/>
    <cellStyle name="20% - Accent1 3 2 2 7" xfId="6608" xr:uid="{00000000-0005-0000-0000-00004A020000}"/>
    <cellStyle name="20% - Accent1 3 2 2 7 2" xfId="17909" xr:uid="{00000000-0005-0000-0000-00004B020000}"/>
    <cellStyle name="20% - Accent1 3 2 2 7 2 2" xfId="40511" xr:uid="{00000000-0005-0000-0000-00004C020000}"/>
    <cellStyle name="20% - Accent1 3 2 2 7 3" xfId="29210" xr:uid="{00000000-0005-0000-0000-00004D020000}"/>
    <cellStyle name="20% - Accent1 3 2 2 8" xfId="12259" xr:uid="{00000000-0005-0000-0000-00004E020000}"/>
    <cellStyle name="20% - Accent1 3 2 2 8 2" xfId="34861" xr:uid="{00000000-0005-0000-0000-00004F020000}"/>
    <cellStyle name="20% - Accent1 3 2 2 9" xfId="23560" xr:uid="{00000000-0005-0000-0000-000050020000}"/>
    <cellStyle name="20% - Accent1 3 2 3" xfId="1115" xr:uid="{00000000-0005-0000-0000-000051020000}"/>
    <cellStyle name="20% - Accent1 3 2 3 2" xfId="1489" xr:uid="{00000000-0005-0000-0000-000052020000}"/>
    <cellStyle name="20% - Accent1 3 2 3 2 2" xfId="3183" xr:uid="{00000000-0005-0000-0000-000053020000}"/>
    <cellStyle name="20% - Accent1 3 2 3 2 2 2" xfId="6155" xr:uid="{00000000-0005-0000-0000-000054020000}"/>
    <cellStyle name="20% - Accent1 3 2 3 2 2 2 2" xfId="11805" xr:uid="{00000000-0005-0000-0000-000055020000}"/>
    <cellStyle name="20% - Accent1 3 2 3 2 2 2 2 2" xfId="23106" xr:uid="{00000000-0005-0000-0000-000056020000}"/>
    <cellStyle name="20% - Accent1 3 2 3 2 2 2 2 2 2" xfId="45708" xr:uid="{00000000-0005-0000-0000-000057020000}"/>
    <cellStyle name="20% - Accent1 3 2 3 2 2 2 2 3" xfId="34407" xr:uid="{00000000-0005-0000-0000-000058020000}"/>
    <cellStyle name="20% - Accent1 3 2 3 2 2 2 3" xfId="17456" xr:uid="{00000000-0005-0000-0000-000059020000}"/>
    <cellStyle name="20% - Accent1 3 2 3 2 2 2 3 2" xfId="40058" xr:uid="{00000000-0005-0000-0000-00005A020000}"/>
    <cellStyle name="20% - Accent1 3 2 3 2 2 2 4" xfId="28757" xr:uid="{00000000-0005-0000-0000-00005B020000}"/>
    <cellStyle name="20% - Accent1 3 2 3 2 2 3" xfId="8973" xr:uid="{00000000-0005-0000-0000-00005C020000}"/>
    <cellStyle name="20% - Accent1 3 2 3 2 2 3 2" xfId="20274" xr:uid="{00000000-0005-0000-0000-00005D020000}"/>
    <cellStyle name="20% - Accent1 3 2 3 2 2 3 2 2" xfId="42876" xr:uid="{00000000-0005-0000-0000-00005E020000}"/>
    <cellStyle name="20% - Accent1 3 2 3 2 2 3 3" xfId="31575" xr:uid="{00000000-0005-0000-0000-00005F020000}"/>
    <cellStyle name="20% - Accent1 3 2 3 2 2 4" xfId="14624" xr:uid="{00000000-0005-0000-0000-000060020000}"/>
    <cellStyle name="20% - Accent1 3 2 3 2 2 4 2" xfId="37226" xr:uid="{00000000-0005-0000-0000-000061020000}"/>
    <cellStyle name="20% - Accent1 3 2 3 2 2 5" xfId="25925" xr:uid="{00000000-0005-0000-0000-000062020000}"/>
    <cellStyle name="20% - Accent1 3 2 3 2 3" xfId="4921" xr:uid="{00000000-0005-0000-0000-000063020000}"/>
    <cellStyle name="20% - Accent1 3 2 3 2 3 2" xfId="10571" xr:uid="{00000000-0005-0000-0000-000064020000}"/>
    <cellStyle name="20% - Accent1 3 2 3 2 3 2 2" xfId="21872" xr:uid="{00000000-0005-0000-0000-000065020000}"/>
    <cellStyle name="20% - Accent1 3 2 3 2 3 2 2 2" xfId="44474" xr:uid="{00000000-0005-0000-0000-000066020000}"/>
    <cellStyle name="20% - Accent1 3 2 3 2 3 2 3" xfId="33173" xr:uid="{00000000-0005-0000-0000-000067020000}"/>
    <cellStyle name="20% - Accent1 3 2 3 2 3 3" xfId="16222" xr:uid="{00000000-0005-0000-0000-000068020000}"/>
    <cellStyle name="20% - Accent1 3 2 3 2 3 3 2" xfId="38824" xr:uid="{00000000-0005-0000-0000-000069020000}"/>
    <cellStyle name="20% - Accent1 3 2 3 2 3 4" xfId="27523" xr:uid="{00000000-0005-0000-0000-00006A020000}"/>
    <cellStyle name="20% - Accent1 3 2 3 2 4" xfId="7345" xr:uid="{00000000-0005-0000-0000-00006B020000}"/>
    <cellStyle name="20% - Accent1 3 2 3 2 4 2" xfId="18646" xr:uid="{00000000-0005-0000-0000-00006C020000}"/>
    <cellStyle name="20% - Accent1 3 2 3 2 4 2 2" xfId="41248" xr:uid="{00000000-0005-0000-0000-00006D020000}"/>
    <cellStyle name="20% - Accent1 3 2 3 2 4 3" xfId="29947" xr:uid="{00000000-0005-0000-0000-00006E020000}"/>
    <cellStyle name="20% - Accent1 3 2 3 2 5" xfId="12996" xr:uid="{00000000-0005-0000-0000-00006F020000}"/>
    <cellStyle name="20% - Accent1 3 2 3 2 5 2" xfId="35598" xr:uid="{00000000-0005-0000-0000-000070020000}"/>
    <cellStyle name="20% - Accent1 3 2 3 2 6" xfId="24297" xr:uid="{00000000-0005-0000-0000-000071020000}"/>
    <cellStyle name="20% - Accent1 3 2 3 3" xfId="2512" xr:uid="{00000000-0005-0000-0000-000072020000}"/>
    <cellStyle name="20% - Accent1 3 2 3 3 2" xfId="5531" xr:uid="{00000000-0005-0000-0000-000073020000}"/>
    <cellStyle name="20% - Accent1 3 2 3 3 2 2" xfId="11181" xr:uid="{00000000-0005-0000-0000-000074020000}"/>
    <cellStyle name="20% - Accent1 3 2 3 3 2 2 2" xfId="22482" xr:uid="{00000000-0005-0000-0000-000075020000}"/>
    <cellStyle name="20% - Accent1 3 2 3 3 2 2 2 2" xfId="45084" xr:uid="{00000000-0005-0000-0000-000076020000}"/>
    <cellStyle name="20% - Accent1 3 2 3 3 2 2 3" xfId="33783" xr:uid="{00000000-0005-0000-0000-000077020000}"/>
    <cellStyle name="20% - Accent1 3 2 3 3 2 3" xfId="16832" xr:uid="{00000000-0005-0000-0000-000078020000}"/>
    <cellStyle name="20% - Accent1 3 2 3 3 2 3 2" xfId="39434" xr:uid="{00000000-0005-0000-0000-000079020000}"/>
    <cellStyle name="20% - Accent1 3 2 3 3 2 4" xfId="28133" xr:uid="{00000000-0005-0000-0000-00007A020000}"/>
    <cellStyle name="20% - Accent1 3 2 3 3 3" xfId="8348" xr:uid="{00000000-0005-0000-0000-00007B020000}"/>
    <cellStyle name="20% - Accent1 3 2 3 3 3 2" xfId="19649" xr:uid="{00000000-0005-0000-0000-00007C020000}"/>
    <cellStyle name="20% - Accent1 3 2 3 3 3 2 2" xfId="42251" xr:uid="{00000000-0005-0000-0000-00007D020000}"/>
    <cellStyle name="20% - Accent1 3 2 3 3 3 3" xfId="30950" xr:uid="{00000000-0005-0000-0000-00007E020000}"/>
    <cellStyle name="20% - Accent1 3 2 3 3 4" xfId="13999" xr:uid="{00000000-0005-0000-0000-00007F020000}"/>
    <cellStyle name="20% - Accent1 3 2 3 3 4 2" xfId="36601" xr:uid="{00000000-0005-0000-0000-000080020000}"/>
    <cellStyle name="20% - Accent1 3 2 3 3 5" xfId="25300" xr:uid="{00000000-0005-0000-0000-000081020000}"/>
    <cellStyle name="20% - Accent1 3 2 3 4" xfId="4297" xr:uid="{00000000-0005-0000-0000-000082020000}"/>
    <cellStyle name="20% - Accent1 3 2 3 4 2" xfId="9947" xr:uid="{00000000-0005-0000-0000-000083020000}"/>
    <cellStyle name="20% - Accent1 3 2 3 4 2 2" xfId="21248" xr:uid="{00000000-0005-0000-0000-000084020000}"/>
    <cellStyle name="20% - Accent1 3 2 3 4 2 2 2" xfId="43850" xr:uid="{00000000-0005-0000-0000-000085020000}"/>
    <cellStyle name="20% - Accent1 3 2 3 4 2 3" xfId="32549" xr:uid="{00000000-0005-0000-0000-000086020000}"/>
    <cellStyle name="20% - Accent1 3 2 3 4 3" xfId="15598" xr:uid="{00000000-0005-0000-0000-000087020000}"/>
    <cellStyle name="20% - Accent1 3 2 3 4 3 2" xfId="38200" xr:uid="{00000000-0005-0000-0000-000088020000}"/>
    <cellStyle name="20% - Accent1 3 2 3 4 4" xfId="26899" xr:uid="{00000000-0005-0000-0000-000089020000}"/>
    <cellStyle name="20% - Accent1 3 2 3 5" xfId="7094" xr:uid="{00000000-0005-0000-0000-00008A020000}"/>
    <cellStyle name="20% - Accent1 3 2 3 5 2" xfId="18395" xr:uid="{00000000-0005-0000-0000-00008B020000}"/>
    <cellStyle name="20% - Accent1 3 2 3 5 2 2" xfId="40997" xr:uid="{00000000-0005-0000-0000-00008C020000}"/>
    <cellStyle name="20% - Accent1 3 2 3 5 3" xfId="29696" xr:uid="{00000000-0005-0000-0000-00008D020000}"/>
    <cellStyle name="20% - Accent1 3 2 3 6" xfId="12745" xr:uid="{00000000-0005-0000-0000-00008E020000}"/>
    <cellStyle name="20% - Accent1 3 2 3 6 2" xfId="35347" xr:uid="{00000000-0005-0000-0000-00008F020000}"/>
    <cellStyle name="20% - Accent1 3 2 3 7" xfId="24046" xr:uid="{00000000-0005-0000-0000-000090020000}"/>
    <cellStyle name="20% - Accent1 3 2 4" xfId="804" xr:uid="{00000000-0005-0000-0000-000091020000}"/>
    <cellStyle name="20% - Accent1 3 2 4 2" xfId="2876" xr:uid="{00000000-0005-0000-0000-000092020000}"/>
    <cellStyle name="20% - Accent1 3 2 4 2 2" xfId="5848" xr:uid="{00000000-0005-0000-0000-000093020000}"/>
    <cellStyle name="20% - Accent1 3 2 4 2 2 2" xfId="11498" xr:uid="{00000000-0005-0000-0000-000094020000}"/>
    <cellStyle name="20% - Accent1 3 2 4 2 2 2 2" xfId="22799" xr:uid="{00000000-0005-0000-0000-000095020000}"/>
    <cellStyle name="20% - Accent1 3 2 4 2 2 2 2 2" xfId="45401" xr:uid="{00000000-0005-0000-0000-000096020000}"/>
    <cellStyle name="20% - Accent1 3 2 4 2 2 2 3" xfId="34100" xr:uid="{00000000-0005-0000-0000-000097020000}"/>
    <cellStyle name="20% - Accent1 3 2 4 2 2 3" xfId="17149" xr:uid="{00000000-0005-0000-0000-000098020000}"/>
    <cellStyle name="20% - Accent1 3 2 4 2 2 3 2" xfId="39751" xr:uid="{00000000-0005-0000-0000-000099020000}"/>
    <cellStyle name="20% - Accent1 3 2 4 2 2 4" xfId="28450" xr:uid="{00000000-0005-0000-0000-00009A020000}"/>
    <cellStyle name="20% - Accent1 3 2 4 2 3" xfId="8666" xr:uid="{00000000-0005-0000-0000-00009B020000}"/>
    <cellStyle name="20% - Accent1 3 2 4 2 3 2" xfId="19967" xr:uid="{00000000-0005-0000-0000-00009C020000}"/>
    <cellStyle name="20% - Accent1 3 2 4 2 3 2 2" xfId="42569" xr:uid="{00000000-0005-0000-0000-00009D020000}"/>
    <cellStyle name="20% - Accent1 3 2 4 2 3 3" xfId="31268" xr:uid="{00000000-0005-0000-0000-00009E020000}"/>
    <cellStyle name="20% - Accent1 3 2 4 2 4" xfId="14317" xr:uid="{00000000-0005-0000-0000-00009F020000}"/>
    <cellStyle name="20% - Accent1 3 2 4 2 4 2" xfId="36919" xr:uid="{00000000-0005-0000-0000-0000A0020000}"/>
    <cellStyle name="20% - Accent1 3 2 4 2 5" xfId="25618" xr:uid="{00000000-0005-0000-0000-0000A1020000}"/>
    <cellStyle name="20% - Accent1 3 2 4 3" xfId="4614" xr:uid="{00000000-0005-0000-0000-0000A2020000}"/>
    <cellStyle name="20% - Accent1 3 2 4 3 2" xfId="10264" xr:uid="{00000000-0005-0000-0000-0000A3020000}"/>
    <cellStyle name="20% - Accent1 3 2 4 3 2 2" xfId="21565" xr:uid="{00000000-0005-0000-0000-0000A4020000}"/>
    <cellStyle name="20% - Accent1 3 2 4 3 2 2 2" xfId="44167" xr:uid="{00000000-0005-0000-0000-0000A5020000}"/>
    <cellStyle name="20% - Accent1 3 2 4 3 2 3" xfId="32866" xr:uid="{00000000-0005-0000-0000-0000A6020000}"/>
    <cellStyle name="20% - Accent1 3 2 4 3 3" xfId="15915" xr:uid="{00000000-0005-0000-0000-0000A7020000}"/>
    <cellStyle name="20% - Accent1 3 2 4 3 3 2" xfId="38517" xr:uid="{00000000-0005-0000-0000-0000A8020000}"/>
    <cellStyle name="20% - Accent1 3 2 4 3 4" xfId="27216" xr:uid="{00000000-0005-0000-0000-0000A9020000}"/>
    <cellStyle name="20% - Accent1 3 2 4 4" xfId="6801" xr:uid="{00000000-0005-0000-0000-0000AA020000}"/>
    <cellStyle name="20% - Accent1 3 2 4 4 2" xfId="18102" xr:uid="{00000000-0005-0000-0000-0000AB020000}"/>
    <cellStyle name="20% - Accent1 3 2 4 4 2 2" xfId="40704" xr:uid="{00000000-0005-0000-0000-0000AC020000}"/>
    <cellStyle name="20% - Accent1 3 2 4 4 3" xfId="29403" xr:uid="{00000000-0005-0000-0000-0000AD020000}"/>
    <cellStyle name="20% - Accent1 3 2 4 5" xfId="12452" xr:uid="{00000000-0005-0000-0000-0000AE020000}"/>
    <cellStyle name="20% - Accent1 3 2 4 5 2" xfId="35054" xr:uid="{00000000-0005-0000-0000-0000AF020000}"/>
    <cellStyle name="20% - Accent1 3 2 4 6" xfId="23753" xr:uid="{00000000-0005-0000-0000-0000B0020000}"/>
    <cellStyle name="20% - Accent1 3 2 5" xfId="1486" xr:uid="{00000000-0005-0000-0000-0000B1020000}"/>
    <cellStyle name="20% - Accent1 3 2 5 2" xfId="3445" xr:uid="{00000000-0005-0000-0000-0000B2020000}"/>
    <cellStyle name="20% - Accent1 3 2 5 2 2" xfId="9214" xr:uid="{00000000-0005-0000-0000-0000B3020000}"/>
    <cellStyle name="20% - Accent1 3 2 5 2 2 2" xfId="20515" xr:uid="{00000000-0005-0000-0000-0000B4020000}"/>
    <cellStyle name="20% - Accent1 3 2 5 2 2 2 2" xfId="43117" xr:uid="{00000000-0005-0000-0000-0000B5020000}"/>
    <cellStyle name="20% - Accent1 3 2 5 2 2 3" xfId="31816" xr:uid="{00000000-0005-0000-0000-0000B6020000}"/>
    <cellStyle name="20% - Accent1 3 2 5 2 3" xfId="14865" xr:uid="{00000000-0005-0000-0000-0000B7020000}"/>
    <cellStyle name="20% - Accent1 3 2 5 2 3 2" xfId="37467" xr:uid="{00000000-0005-0000-0000-0000B8020000}"/>
    <cellStyle name="20% - Accent1 3 2 5 2 4" xfId="26166" xr:uid="{00000000-0005-0000-0000-0000B9020000}"/>
    <cellStyle name="20% - Accent1 3 2 5 3" xfId="5224" xr:uid="{00000000-0005-0000-0000-0000BA020000}"/>
    <cellStyle name="20% - Accent1 3 2 5 3 2" xfId="10874" xr:uid="{00000000-0005-0000-0000-0000BB020000}"/>
    <cellStyle name="20% - Accent1 3 2 5 3 2 2" xfId="22175" xr:uid="{00000000-0005-0000-0000-0000BC020000}"/>
    <cellStyle name="20% - Accent1 3 2 5 3 2 2 2" xfId="44777" xr:uid="{00000000-0005-0000-0000-0000BD020000}"/>
    <cellStyle name="20% - Accent1 3 2 5 3 2 3" xfId="33476" xr:uid="{00000000-0005-0000-0000-0000BE020000}"/>
    <cellStyle name="20% - Accent1 3 2 5 3 3" xfId="16525" xr:uid="{00000000-0005-0000-0000-0000BF020000}"/>
    <cellStyle name="20% - Accent1 3 2 5 3 3 2" xfId="39127" xr:uid="{00000000-0005-0000-0000-0000C0020000}"/>
    <cellStyle name="20% - Accent1 3 2 5 3 4" xfId="27826" xr:uid="{00000000-0005-0000-0000-0000C1020000}"/>
    <cellStyle name="20% - Accent1 3 2 5 4" xfId="7342" xr:uid="{00000000-0005-0000-0000-0000C2020000}"/>
    <cellStyle name="20% - Accent1 3 2 5 4 2" xfId="18643" xr:uid="{00000000-0005-0000-0000-0000C3020000}"/>
    <cellStyle name="20% - Accent1 3 2 5 4 2 2" xfId="41245" xr:uid="{00000000-0005-0000-0000-0000C4020000}"/>
    <cellStyle name="20% - Accent1 3 2 5 4 3" xfId="29944" xr:uid="{00000000-0005-0000-0000-0000C5020000}"/>
    <cellStyle name="20% - Accent1 3 2 5 5" xfId="12993" xr:uid="{00000000-0005-0000-0000-0000C6020000}"/>
    <cellStyle name="20% - Accent1 3 2 5 5 2" xfId="35595" xr:uid="{00000000-0005-0000-0000-0000C7020000}"/>
    <cellStyle name="20% - Accent1 3 2 5 6" xfId="24294" xr:uid="{00000000-0005-0000-0000-0000C8020000}"/>
    <cellStyle name="20% - Accent1 3 2 6" xfId="2202" xr:uid="{00000000-0005-0000-0000-0000C9020000}"/>
    <cellStyle name="20% - Accent1 3 2 6 2" xfId="8038" xr:uid="{00000000-0005-0000-0000-0000CA020000}"/>
    <cellStyle name="20% - Accent1 3 2 6 2 2" xfId="19339" xr:uid="{00000000-0005-0000-0000-0000CB020000}"/>
    <cellStyle name="20% - Accent1 3 2 6 2 2 2" xfId="41941" xr:uid="{00000000-0005-0000-0000-0000CC020000}"/>
    <cellStyle name="20% - Accent1 3 2 6 2 3" xfId="30640" xr:uid="{00000000-0005-0000-0000-0000CD020000}"/>
    <cellStyle name="20% - Accent1 3 2 6 3" xfId="13689" xr:uid="{00000000-0005-0000-0000-0000CE020000}"/>
    <cellStyle name="20% - Accent1 3 2 6 3 2" xfId="36291" xr:uid="{00000000-0005-0000-0000-0000CF020000}"/>
    <cellStyle name="20% - Accent1 3 2 6 4" xfId="24990" xr:uid="{00000000-0005-0000-0000-0000D0020000}"/>
    <cellStyle name="20% - Accent1 3 2 7" xfId="3990" xr:uid="{00000000-0005-0000-0000-0000D1020000}"/>
    <cellStyle name="20% - Accent1 3 2 7 2" xfId="9640" xr:uid="{00000000-0005-0000-0000-0000D2020000}"/>
    <cellStyle name="20% - Accent1 3 2 7 2 2" xfId="20941" xr:uid="{00000000-0005-0000-0000-0000D3020000}"/>
    <cellStyle name="20% - Accent1 3 2 7 2 2 2" xfId="43543" xr:uid="{00000000-0005-0000-0000-0000D4020000}"/>
    <cellStyle name="20% - Accent1 3 2 7 2 3" xfId="32242" xr:uid="{00000000-0005-0000-0000-0000D5020000}"/>
    <cellStyle name="20% - Accent1 3 2 7 3" xfId="15291" xr:uid="{00000000-0005-0000-0000-0000D6020000}"/>
    <cellStyle name="20% - Accent1 3 2 7 3 2" xfId="37893" xr:uid="{00000000-0005-0000-0000-0000D7020000}"/>
    <cellStyle name="20% - Accent1 3 2 7 4" xfId="26592" xr:uid="{00000000-0005-0000-0000-0000D8020000}"/>
    <cellStyle name="20% - Accent1 3 2 8" xfId="6441" xr:uid="{00000000-0005-0000-0000-0000D9020000}"/>
    <cellStyle name="20% - Accent1 3 2 8 2" xfId="17742" xr:uid="{00000000-0005-0000-0000-0000DA020000}"/>
    <cellStyle name="20% - Accent1 3 2 8 2 2" xfId="40344" xr:uid="{00000000-0005-0000-0000-0000DB020000}"/>
    <cellStyle name="20% - Accent1 3 2 8 3" xfId="29043" xr:uid="{00000000-0005-0000-0000-0000DC020000}"/>
    <cellStyle name="20% - Accent1 3 2 9" xfId="12092" xr:uid="{00000000-0005-0000-0000-0000DD020000}"/>
    <cellStyle name="20% - Accent1 3 2 9 2" xfId="34694" xr:uid="{00000000-0005-0000-0000-0000DE020000}"/>
    <cellStyle name="20% - Accent1 3 3" xfId="347" xr:uid="{00000000-0005-0000-0000-0000DF020000}"/>
    <cellStyle name="20% - Accent1 3 3 10" xfId="23442" xr:uid="{00000000-0005-0000-0000-0000E0020000}"/>
    <cellStyle name="20% - Accent1 3 3 2" xfId="592" xr:uid="{00000000-0005-0000-0000-0000E1020000}"/>
    <cellStyle name="20% - Accent1 3 3 2 2" xfId="1302" xr:uid="{00000000-0005-0000-0000-0000E2020000}"/>
    <cellStyle name="20% - Accent1 3 3 2 2 2" xfId="1492" xr:uid="{00000000-0005-0000-0000-0000E3020000}"/>
    <cellStyle name="20% - Accent1 3 3 2 2 2 2" xfId="3371" xr:uid="{00000000-0005-0000-0000-0000E4020000}"/>
    <cellStyle name="20% - Accent1 3 3 2 2 2 2 2" xfId="6343" xr:uid="{00000000-0005-0000-0000-0000E5020000}"/>
    <cellStyle name="20% - Accent1 3 3 2 2 2 2 2 2" xfId="11993" xr:uid="{00000000-0005-0000-0000-0000E6020000}"/>
    <cellStyle name="20% - Accent1 3 3 2 2 2 2 2 2 2" xfId="23294" xr:uid="{00000000-0005-0000-0000-0000E7020000}"/>
    <cellStyle name="20% - Accent1 3 3 2 2 2 2 2 2 2 2" xfId="45896" xr:uid="{00000000-0005-0000-0000-0000E8020000}"/>
    <cellStyle name="20% - Accent1 3 3 2 2 2 2 2 2 3" xfId="34595" xr:uid="{00000000-0005-0000-0000-0000E9020000}"/>
    <cellStyle name="20% - Accent1 3 3 2 2 2 2 2 3" xfId="17644" xr:uid="{00000000-0005-0000-0000-0000EA020000}"/>
    <cellStyle name="20% - Accent1 3 3 2 2 2 2 2 3 2" xfId="40246" xr:uid="{00000000-0005-0000-0000-0000EB020000}"/>
    <cellStyle name="20% - Accent1 3 3 2 2 2 2 2 4" xfId="28945" xr:uid="{00000000-0005-0000-0000-0000EC020000}"/>
    <cellStyle name="20% - Accent1 3 3 2 2 2 2 3" xfId="9161" xr:uid="{00000000-0005-0000-0000-0000ED020000}"/>
    <cellStyle name="20% - Accent1 3 3 2 2 2 2 3 2" xfId="20462" xr:uid="{00000000-0005-0000-0000-0000EE020000}"/>
    <cellStyle name="20% - Accent1 3 3 2 2 2 2 3 2 2" xfId="43064" xr:uid="{00000000-0005-0000-0000-0000EF020000}"/>
    <cellStyle name="20% - Accent1 3 3 2 2 2 2 3 3" xfId="31763" xr:uid="{00000000-0005-0000-0000-0000F0020000}"/>
    <cellStyle name="20% - Accent1 3 3 2 2 2 2 4" xfId="14812" xr:uid="{00000000-0005-0000-0000-0000F1020000}"/>
    <cellStyle name="20% - Accent1 3 3 2 2 2 2 4 2" xfId="37414" xr:uid="{00000000-0005-0000-0000-0000F2020000}"/>
    <cellStyle name="20% - Accent1 3 3 2 2 2 2 5" xfId="26113" xr:uid="{00000000-0005-0000-0000-0000F3020000}"/>
    <cellStyle name="20% - Accent1 3 3 2 2 2 3" xfId="5109" xr:uid="{00000000-0005-0000-0000-0000F4020000}"/>
    <cellStyle name="20% - Accent1 3 3 2 2 2 3 2" xfId="10759" xr:uid="{00000000-0005-0000-0000-0000F5020000}"/>
    <cellStyle name="20% - Accent1 3 3 2 2 2 3 2 2" xfId="22060" xr:uid="{00000000-0005-0000-0000-0000F6020000}"/>
    <cellStyle name="20% - Accent1 3 3 2 2 2 3 2 2 2" xfId="44662" xr:uid="{00000000-0005-0000-0000-0000F7020000}"/>
    <cellStyle name="20% - Accent1 3 3 2 2 2 3 2 3" xfId="33361" xr:uid="{00000000-0005-0000-0000-0000F8020000}"/>
    <cellStyle name="20% - Accent1 3 3 2 2 2 3 3" xfId="16410" xr:uid="{00000000-0005-0000-0000-0000F9020000}"/>
    <cellStyle name="20% - Accent1 3 3 2 2 2 3 3 2" xfId="39012" xr:uid="{00000000-0005-0000-0000-0000FA020000}"/>
    <cellStyle name="20% - Accent1 3 3 2 2 2 3 4" xfId="27711" xr:uid="{00000000-0005-0000-0000-0000FB020000}"/>
    <cellStyle name="20% - Accent1 3 3 2 2 2 4" xfId="7348" xr:uid="{00000000-0005-0000-0000-0000FC020000}"/>
    <cellStyle name="20% - Accent1 3 3 2 2 2 4 2" xfId="18649" xr:uid="{00000000-0005-0000-0000-0000FD020000}"/>
    <cellStyle name="20% - Accent1 3 3 2 2 2 4 2 2" xfId="41251" xr:uid="{00000000-0005-0000-0000-0000FE020000}"/>
    <cellStyle name="20% - Accent1 3 3 2 2 2 4 3" xfId="29950" xr:uid="{00000000-0005-0000-0000-0000FF020000}"/>
    <cellStyle name="20% - Accent1 3 3 2 2 2 5" xfId="12999" xr:uid="{00000000-0005-0000-0000-000000030000}"/>
    <cellStyle name="20% - Accent1 3 3 2 2 2 5 2" xfId="35601" xr:uid="{00000000-0005-0000-0000-000001030000}"/>
    <cellStyle name="20% - Accent1 3 3 2 2 2 6" xfId="24300" xr:uid="{00000000-0005-0000-0000-000002030000}"/>
    <cellStyle name="20% - Accent1 3 3 2 2 3" xfId="2700" xr:uid="{00000000-0005-0000-0000-000003030000}"/>
    <cellStyle name="20% - Accent1 3 3 2 2 3 2" xfId="5719" xr:uid="{00000000-0005-0000-0000-000004030000}"/>
    <cellStyle name="20% - Accent1 3 3 2 2 3 2 2" xfId="11369" xr:uid="{00000000-0005-0000-0000-000005030000}"/>
    <cellStyle name="20% - Accent1 3 3 2 2 3 2 2 2" xfId="22670" xr:uid="{00000000-0005-0000-0000-000006030000}"/>
    <cellStyle name="20% - Accent1 3 3 2 2 3 2 2 2 2" xfId="45272" xr:uid="{00000000-0005-0000-0000-000007030000}"/>
    <cellStyle name="20% - Accent1 3 3 2 2 3 2 2 3" xfId="33971" xr:uid="{00000000-0005-0000-0000-000008030000}"/>
    <cellStyle name="20% - Accent1 3 3 2 2 3 2 3" xfId="17020" xr:uid="{00000000-0005-0000-0000-000009030000}"/>
    <cellStyle name="20% - Accent1 3 3 2 2 3 2 3 2" xfId="39622" xr:uid="{00000000-0005-0000-0000-00000A030000}"/>
    <cellStyle name="20% - Accent1 3 3 2 2 3 2 4" xfId="28321" xr:uid="{00000000-0005-0000-0000-00000B030000}"/>
    <cellStyle name="20% - Accent1 3 3 2 2 3 3" xfId="8536" xr:uid="{00000000-0005-0000-0000-00000C030000}"/>
    <cellStyle name="20% - Accent1 3 3 2 2 3 3 2" xfId="19837" xr:uid="{00000000-0005-0000-0000-00000D030000}"/>
    <cellStyle name="20% - Accent1 3 3 2 2 3 3 2 2" xfId="42439" xr:uid="{00000000-0005-0000-0000-00000E030000}"/>
    <cellStyle name="20% - Accent1 3 3 2 2 3 3 3" xfId="31138" xr:uid="{00000000-0005-0000-0000-00000F030000}"/>
    <cellStyle name="20% - Accent1 3 3 2 2 3 4" xfId="14187" xr:uid="{00000000-0005-0000-0000-000010030000}"/>
    <cellStyle name="20% - Accent1 3 3 2 2 3 4 2" xfId="36789" xr:uid="{00000000-0005-0000-0000-000011030000}"/>
    <cellStyle name="20% - Accent1 3 3 2 2 3 5" xfId="25488" xr:uid="{00000000-0005-0000-0000-000012030000}"/>
    <cellStyle name="20% - Accent1 3 3 2 2 4" xfId="4485" xr:uid="{00000000-0005-0000-0000-000013030000}"/>
    <cellStyle name="20% - Accent1 3 3 2 2 4 2" xfId="10135" xr:uid="{00000000-0005-0000-0000-000014030000}"/>
    <cellStyle name="20% - Accent1 3 3 2 2 4 2 2" xfId="21436" xr:uid="{00000000-0005-0000-0000-000015030000}"/>
    <cellStyle name="20% - Accent1 3 3 2 2 4 2 2 2" xfId="44038" xr:uid="{00000000-0005-0000-0000-000016030000}"/>
    <cellStyle name="20% - Accent1 3 3 2 2 4 2 3" xfId="32737" xr:uid="{00000000-0005-0000-0000-000017030000}"/>
    <cellStyle name="20% - Accent1 3 3 2 2 4 3" xfId="15786" xr:uid="{00000000-0005-0000-0000-000018030000}"/>
    <cellStyle name="20% - Accent1 3 3 2 2 4 3 2" xfId="38388" xr:uid="{00000000-0005-0000-0000-000019030000}"/>
    <cellStyle name="20% - Accent1 3 3 2 2 4 4" xfId="27087" xr:uid="{00000000-0005-0000-0000-00001A030000}"/>
    <cellStyle name="20% - Accent1 3 3 2 2 5" xfId="7281" xr:uid="{00000000-0005-0000-0000-00001B030000}"/>
    <cellStyle name="20% - Accent1 3 3 2 2 5 2" xfId="18582" xr:uid="{00000000-0005-0000-0000-00001C030000}"/>
    <cellStyle name="20% - Accent1 3 3 2 2 5 2 2" xfId="41184" xr:uid="{00000000-0005-0000-0000-00001D030000}"/>
    <cellStyle name="20% - Accent1 3 3 2 2 5 3" xfId="29883" xr:uid="{00000000-0005-0000-0000-00001E030000}"/>
    <cellStyle name="20% - Accent1 3 3 2 2 6" xfId="12932" xr:uid="{00000000-0005-0000-0000-00001F030000}"/>
    <cellStyle name="20% - Accent1 3 3 2 2 6 2" xfId="35534" xr:uid="{00000000-0005-0000-0000-000020030000}"/>
    <cellStyle name="20% - Accent1 3 3 2 2 7" xfId="24233" xr:uid="{00000000-0005-0000-0000-000021030000}"/>
    <cellStyle name="20% - Accent1 3 3 2 3" xfId="1000" xr:uid="{00000000-0005-0000-0000-000022030000}"/>
    <cellStyle name="20% - Accent1 3 3 2 3 2" xfId="3063" xr:uid="{00000000-0005-0000-0000-000023030000}"/>
    <cellStyle name="20% - Accent1 3 3 2 3 2 2" xfId="6035" xr:uid="{00000000-0005-0000-0000-000024030000}"/>
    <cellStyle name="20% - Accent1 3 3 2 3 2 2 2" xfId="11685" xr:uid="{00000000-0005-0000-0000-000025030000}"/>
    <cellStyle name="20% - Accent1 3 3 2 3 2 2 2 2" xfId="22986" xr:uid="{00000000-0005-0000-0000-000026030000}"/>
    <cellStyle name="20% - Accent1 3 3 2 3 2 2 2 2 2" xfId="45588" xr:uid="{00000000-0005-0000-0000-000027030000}"/>
    <cellStyle name="20% - Accent1 3 3 2 3 2 2 2 3" xfId="34287" xr:uid="{00000000-0005-0000-0000-000028030000}"/>
    <cellStyle name="20% - Accent1 3 3 2 3 2 2 3" xfId="17336" xr:uid="{00000000-0005-0000-0000-000029030000}"/>
    <cellStyle name="20% - Accent1 3 3 2 3 2 2 3 2" xfId="39938" xr:uid="{00000000-0005-0000-0000-00002A030000}"/>
    <cellStyle name="20% - Accent1 3 3 2 3 2 2 4" xfId="28637" xr:uid="{00000000-0005-0000-0000-00002B030000}"/>
    <cellStyle name="20% - Accent1 3 3 2 3 2 3" xfId="8853" xr:uid="{00000000-0005-0000-0000-00002C030000}"/>
    <cellStyle name="20% - Accent1 3 3 2 3 2 3 2" xfId="20154" xr:uid="{00000000-0005-0000-0000-00002D030000}"/>
    <cellStyle name="20% - Accent1 3 3 2 3 2 3 2 2" xfId="42756" xr:uid="{00000000-0005-0000-0000-00002E030000}"/>
    <cellStyle name="20% - Accent1 3 3 2 3 2 3 3" xfId="31455" xr:uid="{00000000-0005-0000-0000-00002F030000}"/>
    <cellStyle name="20% - Accent1 3 3 2 3 2 4" xfId="14504" xr:uid="{00000000-0005-0000-0000-000030030000}"/>
    <cellStyle name="20% - Accent1 3 3 2 3 2 4 2" xfId="37106" xr:uid="{00000000-0005-0000-0000-000031030000}"/>
    <cellStyle name="20% - Accent1 3 3 2 3 2 5" xfId="25805" xr:uid="{00000000-0005-0000-0000-000032030000}"/>
    <cellStyle name="20% - Accent1 3 3 2 3 3" xfId="4801" xr:uid="{00000000-0005-0000-0000-000033030000}"/>
    <cellStyle name="20% - Accent1 3 3 2 3 3 2" xfId="10451" xr:uid="{00000000-0005-0000-0000-000034030000}"/>
    <cellStyle name="20% - Accent1 3 3 2 3 3 2 2" xfId="21752" xr:uid="{00000000-0005-0000-0000-000035030000}"/>
    <cellStyle name="20% - Accent1 3 3 2 3 3 2 2 2" xfId="44354" xr:uid="{00000000-0005-0000-0000-000036030000}"/>
    <cellStyle name="20% - Accent1 3 3 2 3 3 2 3" xfId="33053" xr:uid="{00000000-0005-0000-0000-000037030000}"/>
    <cellStyle name="20% - Accent1 3 3 2 3 3 3" xfId="16102" xr:uid="{00000000-0005-0000-0000-000038030000}"/>
    <cellStyle name="20% - Accent1 3 3 2 3 3 3 2" xfId="38704" xr:uid="{00000000-0005-0000-0000-000039030000}"/>
    <cellStyle name="20% - Accent1 3 3 2 3 3 4" xfId="27403" xr:uid="{00000000-0005-0000-0000-00003A030000}"/>
    <cellStyle name="20% - Accent1 3 3 2 3 4" xfId="6988" xr:uid="{00000000-0005-0000-0000-00003B030000}"/>
    <cellStyle name="20% - Accent1 3 3 2 3 4 2" xfId="18289" xr:uid="{00000000-0005-0000-0000-00003C030000}"/>
    <cellStyle name="20% - Accent1 3 3 2 3 4 2 2" xfId="40891" xr:uid="{00000000-0005-0000-0000-00003D030000}"/>
    <cellStyle name="20% - Accent1 3 3 2 3 4 3" xfId="29590" xr:uid="{00000000-0005-0000-0000-00003E030000}"/>
    <cellStyle name="20% - Accent1 3 3 2 3 5" xfId="12639" xr:uid="{00000000-0005-0000-0000-00003F030000}"/>
    <cellStyle name="20% - Accent1 3 3 2 3 5 2" xfId="35241" xr:uid="{00000000-0005-0000-0000-000040030000}"/>
    <cellStyle name="20% - Accent1 3 3 2 3 6" xfId="23940" xr:uid="{00000000-0005-0000-0000-000041030000}"/>
    <cellStyle name="20% - Accent1 3 3 2 4" xfId="1491" xr:uid="{00000000-0005-0000-0000-000042030000}"/>
    <cellStyle name="20% - Accent1 3 3 2 4 2" xfId="3514" xr:uid="{00000000-0005-0000-0000-000043030000}"/>
    <cellStyle name="20% - Accent1 3 3 2 4 2 2" xfId="9243" xr:uid="{00000000-0005-0000-0000-000044030000}"/>
    <cellStyle name="20% - Accent1 3 3 2 4 2 2 2" xfId="20544" xr:uid="{00000000-0005-0000-0000-000045030000}"/>
    <cellStyle name="20% - Accent1 3 3 2 4 2 2 2 2" xfId="43146" xr:uid="{00000000-0005-0000-0000-000046030000}"/>
    <cellStyle name="20% - Accent1 3 3 2 4 2 2 3" xfId="31845" xr:uid="{00000000-0005-0000-0000-000047030000}"/>
    <cellStyle name="20% - Accent1 3 3 2 4 2 3" xfId="14894" xr:uid="{00000000-0005-0000-0000-000048030000}"/>
    <cellStyle name="20% - Accent1 3 3 2 4 2 3 2" xfId="37496" xr:uid="{00000000-0005-0000-0000-000049030000}"/>
    <cellStyle name="20% - Accent1 3 3 2 4 2 4" xfId="26195" xr:uid="{00000000-0005-0000-0000-00004A030000}"/>
    <cellStyle name="20% - Accent1 3 3 2 4 3" xfId="5411" xr:uid="{00000000-0005-0000-0000-00004B030000}"/>
    <cellStyle name="20% - Accent1 3 3 2 4 3 2" xfId="11061" xr:uid="{00000000-0005-0000-0000-00004C030000}"/>
    <cellStyle name="20% - Accent1 3 3 2 4 3 2 2" xfId="22362" xr:uid="{00000000-0005-0000-0000-00004D030000}"/>
    <cellStyle name="20% - Accent1 3 3 2 4 3 2 2 2" xfId="44964" xr:uid="{00000000-0005-0000-0000-00004E030000}"/>
    <cellStyle name="20% - Accent1 3 3 2 4 3 2 3" xfId="33663" xr:uid="{00000000-0005-0000-0000-00004F030000}"/>
    <cellStyle name="20% - Accent1 3 3 2 4 3 3" xfId="16712" xr:uid="{00000000-0005-0000-0000-000050030000}"/>
    <cellStyle name="20% - Accent1 3 3 2 4 3 3 2" xfId="39314" xr:uid="{00000000-0005-0000-0000-000051030000}"/>
    <cellStyle name="20% - Accent1 3 3 2 4 3 4" xfId="28013" xr:uid="{00000000-0005-0000-0000-000052030000}"/>
    <cellStyle name="20% - Accent1 3 3 2 4 4" xfId="7347" xr:uid="{00000000-0005-0000-0000-000053030000}"/>
    <cellStyle name="20% - Accent1 3 3 2 4 4 2" xfId="18648" xr:uid="{00000000-0005-0000-0000-000054030000}"/>
    <cellStyle name="20% - Accent1 3 3 2 4 4 2 2" xfId="41250" xr:uid="{00000000-0005-0000-0000-000055030000}"/>
    <cellStyle name="20% - Accent1 3 3 2 4 4 3" xfId="29949" xr:uid="{00000000-0005-0000-0000-000056030000}"/>
    <cellStyle name="20% - Accent1 3 3 2 4 5" xfId="12998" xr:uid="{00000000-0005-0000-0000-000057030000}"/>
    <cellStyle name="20% - Accent1 3 3 2 4 5 2" xfId="35600" xr:uid="{00000000-0005-0000-0000-000058030000}"/>
    <cellStyle name="20% - Accent1 3 3 2 4 6" xfId="24299" xr:uid="{00000000-0005-0000-0000-000059030000}"/>
    <cellStyle name="20% - Accent1 3 3 2 5" xfId="2392" xr:uid="{00000000-0005-0000-0000-00005A030000}"/>
    <cellStyle name="20% - Accent1 3 3 2 5 2" xfId="8228" xr:uid="{00000000-0005-0000-0000-00005B030000}"/>
    <cellStyle name="20% - Accent1 3 3 2 5 2 2" xfId="19529" xr:uid="{00000000-0005-0000-0000-00005C030000}"/>
    <cellStyle name="20% - Accent1 3 3 2 5 2 2 2" xfId="42131" xr:uid="{00000000-0005-0000-0000-00005D030000}"/>
    <cellStyle name="20% - Accent1 3 3 2 5 2 3" xfId="30830" xr:uid="{00000000-0005-0000-0000-00005E030000}"/>
    <cellStyle name="20% - Accent1 3 3 2 5 3" xfId="13879" xr:uid="{00000000-0005-0000-0000-00005F030000}"/>
    <cellStyle name="20% - Accent1 3 3 2 5 3 2" xfId="36481" xr:uid="{00000000-0005-0000-0000-000060030000}"/>
    <cellStyle name="20% - Accent1 3 3 2 5 4" xfId="25180" xr:uid="{00000000-0005-0000-0000-000061030000}"/>
    <cellStyle name="20% - Accent1 3 3 2 6" xfId="4177" xr:uid="{00000000-0005-0000-0000-000062030000}"/>
    <cellStyle name="20% - Accent1 3 3 2 6 2" xfId="9827" xr:uid="{00000000-0005-0000-0000-000063030000}"/>
    <cellStyle name="20% - Accent1 3 3 2 6 2 2" xfId="21128" xr:uid="{00000000-0005-0000-0000-000064030000}"/>
    <cellStyle name="20% - Accent1 3 3 2 6 2 2 2" xfId="43730" xr:uid="{00000000-0005-0000-0000-000065030000}"/>
    <cellStyle name="20% - Accent1 3 3 2 6 2 3" xfId="32429" xr:uid="{00000000-0005-0000-0000-000066030000}"/>
    <cellStyle name="20% - Accent1 3 3 2 6 3" xfId="15478" xr:uid="{00000000-0005-0000-0000-000067030000}"/>
    <cellStyle name="20% - Accent1 3 3 2 6 3 2" xfId="38080" xr:uid="{00000000-0005-0000-0000-000068030000}"/>
    <cellStyle name="20% - Accent1 3 3 2 6 4" xfId="26779" xr:uid="{00000000-0005-0000-0000-000069030000}"/>
    <cellStyle name="20% - Accent1 3 3 2 7" xfId="6657" xr:uid="{00000000-0005-0000-0000-00006A030000}"/>
    <cellStyle name="20% - Accent1 3 3 2 7 2" xfId="17958" xr:uid="{00000000-0005-0000-0000-00006B030000}"/>
    <cellStyle name="20% - Accent1 3 3 2 7 2 2" xfId="40560" xr:uid="{00000000-0005-0000-0000-00006C030000}"/>
    <cellStyle name="20% - Accent1 3 3 2 7 3" xfId="29259" xr:uid="{00000000-0005-0000-0000-00006D030000}"/>
    <cellStyle name="20% - Accent1 3 3 2 8" xfId="12308" xr:uid="{00000000-0005-0000-0000-00006E030000}"/>
    <cellStyle name="20% - Accent1 3 3 2 8 2" xfId="34910" xr:uid="{00000000-0005-0000-0000-00006F030000}"/>
    <cellStyle name="20% - Accent1 3 3 2 9" xfId="23609" xr:uid="{00000000-0005-0000-0000-000070030000}"/>
    <cellStyle name="20% - Accent1 3 3 3" xfId="1164" xr:uid="{00000000-0005-0000-0000-000071030000}"/>
    <cellStyle name="20% - Accent1 3 3 3 2" xfId="1493" xr:uid="{00000000-0005-0000-0000-000072030000}"/>
    <cellStyle name="20% - Accent1 3 3 3 2 2" xfId="3232" xr:uid="{00000000-0005-0000-0000-000073030000}"/>
    <cellStyle name="20% - Accent1 3 3 3 2 2 2" xfId="6204" xr:uid="{00000000-0005-0000-0000-000074030000}"/>
    <cellStyle name="20% - Accent1 3 3 3 2 2 2 2" xfId="11854" xr:uid="{00000000-0005-0000-0000-000075030000}"/>
    <cellStyle name="20% - Accent1 3 3 3 2 2 2 2 2" xfId="23155" xr:uid="{00000000-0005-0000-0000-000076030000}"/>
    <cellStyle name="20% - Accent1 3 3 3 2 2 2 2 2 2" xfId="45757" xr:uid="{00000000-0005-0000-0000-000077030000}"/>
    <cellStyle name="20% - Accent1 3 3 3 2 2 2 2 3" xfId="34456" xr:uid="{00000000-0005-0000-0000-000078030000}"/>
    <cellStyle name="20% - Accent1 3 3 3 2 2 2 3" xfId="17505" xr:uid="{00000000-0005-0000-0000-000079030000}"/>
    <cellStyle name="20% - Accent1 3 3 3 2 2 2 3 2" xfId="40107" xr:uid="{00000000-0005-0000-0000-00007A030000}"/>
    <cellStyle name="20% - Accent1 3 3 3 2 2 2 4" xfId="28806" xr:uid="{00000000-0005-0000-0000-00007B030000}"/>
    <cellStyle name="20% - Accent1 3 3 3 2 2 3" xfId="9022" xr:uid="{00000000-0005-0000-0000-00007C030000}"/>
    <cellStyle name="20% - Accent1 3 3 3 2 2 3 2" xfId="20323" xr:uid="{00000000-0005-0000-0000-00007D030000}"/>
    <cellStyle name="20% - Accent1 3 3 3 2 2 3 2 2" xfId="42925" xr:uid="{00000000-0005-0000-0000-00007E030000}"/>
    <cellStyle name="20% - Accent1 3 3 3 2 2 3 3" xfId="31624" xr:uid="{00000000-0005-0000-0000-00007F030000}"/>
    <cellStyle name="20% - Accent1 3 3 3 2 2 4" xfId="14673" xr:uid="{00000000-0005-0000-0000-000080030000}"/>
    <cellStyle name="20% - Accent1 3 3 3 2 2 4 2" xfId="37275" xr:uid="{00000000-0005-0000-0000-000081030000}"/>
    <cellStyle name="20% - Accent1 3 3 3 2 2 5" xfId="25974" xr:uid="{00000000-0005-0000-0000-000082030000}"/>
    <cellStyle name="20% - Accent1 3 3 3 2 3" xfId="4970" xr:uid="{00000000-0005-0000-0000-000083030000}"/>
    <cellStyle name="20% - Accent1 3 3 3 2 3 2" xfId="10620" xr:uid="{00000000-0005-0000-0000-000084030000}"/>
    <cellStyle name="20% - Accent1 3 3 3 2 3 2 2" xfId="21921" xr:uid="{00000000-0005-0000-0000-000085030000}"/>
    <cellStyle name="20% - Accent1 3 3 3 2 3 2 2 2" xfId="44523" xr:uid="{00000000-0005-0000-0000-000086030000}"/>
    <cellStyle name="20% - Accent1 3 3 3 2 3 2 3" xfId="33222" xr:uid="{00000000-0005-0000-0000-000087030000}"/>
    <cellStyle name="20% - Accent1 3 3 3 2 3 3" xfId="16271" xr:uid="{00000000-0005-0000-0000-000088030000}"/>
    <cellStyle name="20% - Accent1 3 3 3 2 3 3 2" xfId="38873" xr:uid="{00000000-0005-0000-0000-000089030000}"/>
    <cellStyle name="20% - Accent1 3 3 3 2 3 4" xfId="27572" xr:uid="{00000000-0005-0000-0000-00008A030000}"/>
    <cellStyle name="20% - Accent1 3 3 3 2 4" xfId="7349" xr:uid="{00000000-0005-0000-0000-00008B030000}"/>
    <cellStyle name="20% - Accent1 3 3 3 2 4 2" xfId="18650" xr:uid="{00000000-0005-0000-0000-00008C030000}"/>
    <cellStyle name="20% - Accent1 3 3 3 2 4 2 2" xfId="41252" xr:uid="{00000000-0005-0000-0000-00008D030000}"/>
    <cellStyle name="20% - Accent1 3 3 3 2 4 3" xfId="29951" xr:uid="{00000000-0005-0000-0000-00008E030000}"/>
    <cellStyle name="20% - Accent1 3 3 3 2 5" xfId="13000" xr:uid="{00000000-0005-0000-0000-00008F030000}"/>
    <cellStyle name="20% - Accent1 3 3 3 2 5 2" xfId="35602" xr:uid="{00000000-0005-0000-0000-000090030000}"/>
    <cellStyle name="20% - Accent1 3 3 3 2 6" xfId="24301" xr:uid="{00000000-0005-0000-0000-000091030000}"/>
    <cellStyle name="20% - Accent1 3 3 3 3" xfId="2561" xr:uid="{00000000-0005-0000-0000-000092030000}"/>
    <cellStyle name="20% - Accent1 3 3 3 3 2" xfId="5580" xr:uid="{00000000-0005-0000-0000-000093030000}"/>
    <cellStyle name="20% - Accent1 3 3 3 3 2 2" xfId="11230" xr:uid="{00000000-0005-0000-0000-000094030000}"/>
    <cellStyle name="20% - Accent1 3 3 3 3 2 2 2" xfId="22531" xr:uid="{00000000-0005-0000-0000-000095030000}"/>
    <cellStyle name="20% - Accent1 3 3 3 3 2 2 2 2" xfId="45133" xr:uid="{00000000-0005-0000-0000-000096030000}"/>
    <cellStyle name="20% - Accent1 3 3 3 3 2 2 3" xfId="33832" xr:uid="{00000000-0005-0000-0000-000097030000}"/>
    <cellStyle name="20% - Accent1 3 3 3 3 2 3" xfId="16881" xr:uid="{00000000-0005-0000-0000-000098030000}"/>
    <cellStyle name="20% - Accent1 3 3 3 3 2 3 2" xfId="39483" xr:uid="{00000000-0005-0000-0000-000099030000}"/>
    <cellStyle name="20% - Accent1 3 3 3 3 2 4" xfId="28182" xr:uid="{00000000-0005-0000-0000-00009A030000}"/>
    <cellStyle name="20% - Accent1 3 3 3 3 3" xfId="8397" xr:uid="{00000000-0005-0000-0000-00009B030000}"/>
    <cellStyle name="20% - Accent1 3 3 3 3 3 2" xfId="19698" xr:uid="{00000000-0005-0000-0000-00009C030000}"/>
    <cellStyle name="20% - Accent1 3 3 3 3 3 2 2" xfId="42300" xr:uid="{00000000-0005-0000-0000-00009D030000}"/>
    <cellStyle name="20% - Accent1 3 3 3 3 3 3" xfId="30999" xr:uid="{00000000-0005-0000-0000-00009E030000}"/>
    <cellStyle name="20% - Accent1 3 3 3 3 4" xfId="14048" xr:uid="{00000000-0005-0000-0000-00009F030000}"/>
    <cellStyle name="20% - Accent1 3 3 3 3 4 2" xfId="36650" xr:uid="{00000000-0005-0000-0000-0000A0030000}"/>
    <cellStyle name="20% - Accent1 3 3 3 3 5" xfId="25349" xr:uid="{00000000-0005-0000-0000-0000A1030000}"/>
    <cellStyle name="20% - Accent1 3 3 3 4" xfId="4346" xr:uid="{00000000-0005-0000-0000-0000A2030000}"/>
    <cellStyle name="20% - Accent1 3 3 3 4 2" xfId="9996" xr:uid="{00000000-0005-0000-0000-0000A3030000}"/>
    <cellStyle name="20% - Accent1 3 3 3 4 2 2" xfId="21297" xr:uid="{00000000-0005-0000-0000-0000A4030000}"/>
    <cellStyle name="20% - Accent1 3 3 3 4 2 2 2" xfId="43899" xr:uid="{00000000-0005-0000-0000-0000A5030000}"/>
    <cellStyle name="20% - Accent1 3 3 3 4 2 3" xfId="32598" xr:uid="{00000000-0005-0000-0000-0000A6030000}"/>
    <cellStyle name="20% - Accent1 3 3 3 4 3" xfId="15647" xr:uid="{00000000-0005-0000-0000-0000A7030000}"/>
    <cellStyle name="20% - Accent1 3 3 3 4 3 2" xfId="38249" xr:uid="{00000000-0005-0000-0000-0000A8030000}"/>
    <cellStyle name="20% - Accent1 3 3 3 4 4" xfId="26948" xr:uid="{00000000-0005-0000-0000-0000A9030000}"/>
    <cellStyle name="20% - Accent1 3 3 3 5" xfId="7143" xr:uid="{00000000-0005-0000-0000-0000AA030000}"/>
    <cellStyle name="20% - Accent1 3 3 3 5 2" xfId="18444" xr:uid="{00000000-0005-0000-0000-0000AB030000}"/>
    <cellStyle name="20% - Accent1 3 3 3 5 2 2" xfId="41046" xr:uid="{00000000-0005-0000-0000-0000AC030000}"/>
    <cellStyle name="20% - Accent1 3 3 3 5 3" xfId="29745" xr:uid="{00000000-0005-0000-0000-0000AD030000}"/>
    <cellStyle name="20% - Accent1 3 3 3 6" xfId="12794" xr:uid="{00000000-0005-0000-0000-0000AE030000}"/>
    <cellStyle name="20% - Accent1 3 3 3 6 2" xfId="35396" xr:uid="{00000000-0005-0000-0000-0000AF030000}"/>
    <cellStyle name="20% - Accent1 3 3 3 7" xfId="24095" xr:uid="{00000000-0005-0000-0000-0000B0030000}"/>
    <cellStyle name="20% - Accent1 3 3 4" xfId="855" xr:uid="{00000000-0005-0000-0000-0000B1030000}"/>
    <cellStyle name="20% - Accent1 3 3 4 2" xfId="2925" xr:uid="{00000000-0005-0000-0000-0000B2030000}"/>
    <cellStyle name="20% - Accent1 3 3 4 2 2" xfId="5897" xr:uid="{00000000-0005-0000-0000-0000B3030000}"/>
    <cellStyle name="20% - Accent1 3 3 4 2 2 2" xfId="11547" xr:uid="{00000000-0005-0000-0000-0000B4030000}"/>
    <cellStyle name="20% - Accent1 3 3 4 2 2 2 2" xfId="22848" xr:uid="{00000000-0005-0000-0000-0000B5030000}"/>
    <cellStyle name="20% - Accent1 3 3 4 2 2 2 2 2" xfId="45450" xr:uid="{00000000-0005-0000-0000-0000B6030000}"/>
    <cellStyle name="20% - Accent1 3 3 4 2 2 2 3" xfId="34149" xr:uid="{00000000-0005-0000-0000-0000B7030000}"/>
    <cellStyle name="20% - Accent1 3 3 4 2 2 3" xfId="17198" xr:uid="{00000000-0005-0000-0000-0000B8030000}"/>
    <cellStyle name="20% - Accent1 3 3 4 2 2 3 2" xfId="39800" xr:uid="{00000000-0005-0000-0000-0000B9030000}"/>
    <cellStyle name="20% - Accent1 3 3 4 2 2 4" xfId="28499" xr:uid="{00000000-0005-0000-0000-0000BA030000}"/>
    <cellStyle name="20% - Accent1 3 3 4 2 3" xfId="8715" xr:uid="{00000000-0005-0000-0000-0000BB030000}"/>
    <cellStyle name="20% - Accent1 3 3 4 2 3 2" xfId="20016" xr:uid="{00000000-0005-0000-0000-0000BC030000}"/>
    <cellStyle name="20% - Accent1 3 3 4 2 3 2 2" xfId="42618" xr:uid="{00000000-0005-0000-0000-0000BD030000}"/>
    <cellStyle name="20% - Accent1 3 3 4 2 3 3" xfId="31317" xr:uid="{00000000-0005-0000-0000-0000BE030000}"/>
    <cellStyle name="20% - Accent1 3 3 4 2 4" xfId="14366" xr:uid="{00000000-0005-0000-0000-0000BF030000}"/>
    <cellStyle name="20% - Accent1 3 3 4 2 4 2" xfId="36968" xr:uid="{00000000-0005-0000-0000-0000C0030000}"/>
    <cellStyle name="20% - Accent1 3 3 4 2 5" xfId="25667" xr:uid="{00000000-0005-0000-0000-0000C1030000}"/>
    <cellStyle name="20% - Accent1 3 3 4 3" xfId="4663" xr:uid="{00000000-0005-0000-0000-0000C2030000}"/>
    <cellStyle name="20% - Accent1 3 3 4 3 2" xfId="10313" xr:uid="{00000000-0005-0000-0000-0000C3030000}"/>
    <cellStyle name="20% - Accent1 3 3 4 3 2 2" xfId="21614" xr:uid="{00000000-0005-0000-0000-0000C4030000}"/>
    <cellStyle name="20% - Accent1 3 3 4 3 2 2 2" xfId="44216" xr:uid="{00000000-0005-0000-0000-0000C5030000}"/>
    <cellStyle name="20% - Accent1 3 3 4 3 2 3" xfId="32915" xr:uid="{00000000-0005-0000-0000-0000C6030000}"/>
    <cellStyle name="20% - Accent1 3 3 4 3 3" xfId="15964" xr:uid="{00000000-0005-0000-0000-0000C7030000}"/>
    <cellStyle name="20% - Accent1 3 3 4 3 3 2" xfId="38566" xr:uid="{00000000-0005-0000-0000-0000C8030000}"/>
    <cellStyle name="20% - Accent1 3 3 4 3 4" xfId="27265" xr:uid="{00000000-0005-0000-0000-0000C9030000}"/>
    <cellStyle name="20% - Accent1 3 3 4 4" xfId="6850" xr:uid="{00000000-0005-0000-0000-0000CA030000}"/>
    <cellStyle name="20% - Accent1 3 3 4 4 2" xfId="18151" xr:uid="{00000000-0005-0000-0000-0000CB030000}"/>
    <cellStyle name="20% - Accent1 3 3 4 4 2 2" xfId="40753" xr:uid="{00000000-0005-0000-0000-0000CC030000}"/>
    <cellStyle name="20% - Accent1 3 3 4 4 3" xfId="29452" xr:uid="{00000000-0005-0000-0000-0000CD030000}"/>
    <cellStyle name="20% - Accent1 3 3 4 5" xfId="12501" xr:uid="{00000000-0005-0000-0000-0000CE030000}"/>
    <cellStyle name="20% - Accent1 3 3 4 5 2" xfId="35103" xr:uid="{00000000-0005-0000-0000-0000CF030000}"/>
    <cellStyle name="20% - Accent1 3 3 4 6" xfId="23802" xr:uid="{00000000-0005-0000-0000-0000D0030000}"/>
    <cellStyle name="20% - Accent1 3 3 5" xfId="1490" xr:uid="{00000000-0005-0000-0000-0000D1030000}"/>
    <cellStyle name="20% - Accent1 3 3 5 2" xfId="2212" xr:uid="{00000000-0005-0000-0000-0000D2030000}"/>
    <cellStyle name="20% - Accent1 3 3 5 2 2" xfId="8048" xr:uid="{00000000-0005-0000-0000-0000D3030000}"/>
    <cellStyle name="20% - Accent1 3 3 5 2 2 2" xfId="19349" xr:uid="{00000000-0005-0000-0000-0000D4030000}"/>
    <cellStyle name="20% - Accent1 3 3 5 2 2 2 2" xfId="41951" xr:uid="{00000000-0005-0000-0000-0000D5030000}"/>
    <cellStyle name="20% - Accent1 3 3 5 2 2 3" xfId="30650" xr:uid="{00000000-0005-0000-0000-0000D6030000}"/>
    <cellStyle name="20% - Accent1 3 3 5 2 3" xfId="13699" xr:uid="{00000000-0005-0000-0000-0000D7030000}"/>
    <cellStyle name="20% - Accent1 3 3 5 2 3 2" xfId="36301" xr:uid="{00000000-0005-0000-0000-0000D8030000}"/>
    <cellStyle name="20% - Accent1 3 3 5 2 4" xfId="25000" xr:uid="{00000000-0005-0000-0000-0000D9030000}"/>
    <cellStyle name="20% - Accent1 3 3 5 3" xfId="5273" xr:uid="{00000000-0005-0000-0000-0000DA030000}"/>
    <cellStyle name="20% - Accent1 3 3 5 3 2" xfId="10923" xr:uid="{00000000-0005-0000-0000-0000DB030000}"/>
    <cellStyle name="20% - Accent1 3 3 5 3 2 2" xfId="22224" xr:uid="{00000000-0005-0000-0000-0000DC030000}"/>
    <cellStyle name="20% - Accent1 3 3 5 3 2 2 2" xfId="44826" xr:uid="{00000000-0005-0000-0000-0000DD030000}"/>
    <cellStyle name="20% - Accent1 3 3 5 3 2 3" xfId="33525" xr:uid="{00000000-0005-0000-0000-0000DE030000}"/>
    <cellStyle name="20% - Accent1 3 3 5 3 3" xfId="16574" xr:uid="{00000000-0005-0000-0000-0000DF030000}"/>
    <cellStyle name="20% - Accent1 3 3 5 3 3 2" xfId="39176" xr:uid="{00000000-0005-0000-0000-0000E0030000}"/>
    <cellStyle name="20% - Accent1 3 3 5 3 4" xfId="27875" xr:uid="{00000000-0005-0000-0000-0000E1030000}"/>
    <cellStyle name="20% - Accent1 3 3 5 4" xfId="7346" xr:uid="{00000000-0005-0000-0000-0000E2030000}"/>
    <cellStyle name="20% - Accent1 3 3 5 4 2" xfId="18647" xr:uid="{00000000-0005-0000-0000-0000E3030000}"/>
    <cellStyle name="20% - Accent1 3 3 5 4 2 2" xfId="41249" xr:uid="{00000000-0005-0000-0000-0000E4030000}"/>
    <cellStyle name="20% - Accent1 3 3 5 4 3" xfId="29948" xr:uid="{00000000-0005-0000-0000-0000E5030000}"/>
    <cellStyle name="20% - Accent1 3 3 5 5" xfId="12997" xr:uid="{00000000-0005-0000-0000-0000E6030000}"/>
    <cellStyle name="20% - Accent1 3 3 5 5 2" xfId="35599" xr:uid="{00000000-0005-0000-0000-0000E7030000}"/>
    <cellStyle name="20% - Accent1 3 3 5 6" xfId="24298" xr:uid="{00000000-0005-0000-0000-0000E8030000}"/>
    <cellStyle name="20% - Accent1 3 3 6" xfId="2252" xr:uid="{00000000-0005-0000-0000-0000E9030000}"/>
    <cellStyle name="20% - Accent1 3 3 6 2" xfId="8088" xr:uid="{00000000-0005-0000-0000-0000EA030000}"/>
    <cellStyle name="20% - Accent1 3 3 6 2 2" xfId="19389" xr:uid="{00000000-0005-0000-0000-0000EB030000}"/>
    <cellStyle name="20% - Accent1 3 3 6 2 2 2" xfId="41991" xr:uid="{00000000-0005-0000-0000-0000EC030000}"/>
    <cellStyle name="20% - Accent1 3 3 6 2 3" xfId="30690" xr:uid="{00000000-0005-0000-0000-0000ED030000}"/>
    <cellStyle name="20% - Accent1 3 3 6 3" xfId="13739" xr:uid="{00000000-0005-0000-0000-0000EE030000}"/>
    <cellStyle name="20% - Accent1 3 3 6 3 2" xfId="36341" xr:uid="{00000000-0005-0000-0000-0000EF030000}"/>
    <cellStyle name="20% - Accent1 3 3 6 4" xfId="25040" xr:uid="{00000000-0005-0000-0000-0000F0030000}"/>
    <cellStyle name="20% - Accent1 3 3 7" xfId="4039" xr:uid="{00000000-0005-0000-0000-0000F1030000}"/>
    <cellStyle name="20% - Accent1 3 3 7 2" xfId="9689" xr:uid="{00000000-0005-0000-0000-0000F2030000}"/>
    <cellStyle name="20% - Accent1 3 3 7 2 2" xfId="20990" xr:uid="{00000000-0005-0000-0000-0000F3030000}"/>
    <cellStyle name="20% - Accent1 3 3 7 2 2 2" xfId="43592" xr:uid="{00000000-0005-0000-0000-0000F4030000}"/>
    <cellStyle name="20% - Accent1 3 3 7 2 3" xfId="32291" xr:uid="{00000000-0005-0000-0000-0000F5030000}"/>
    <cellStyle name="20% - Accent1 3 3 7 3" xfId="15340" xr:uid="{00000000-0005-0000-0000-0000F6030000}"/>
    <cellStyle name="20% - Accent1 3 3 7 3 2" xfId="37942" xr:uid="{00000000-0005-0000-0000-0000F7030000}"/>
    <cellStyle name="20% - Accent1 3 3 7 4" xfId="26641" xr:uid="{00000000-0005-0000-0000-0000F8030000}"/>
    <cellStyle name="20% - Accent1 3 3 8" xfId="6490" xr:uid="{00000000-0005-0000-0000-0000F9030000}"/>
    <cellStyle name="20% - Accent1 3 3 8 2" xfId="17791" xr:uid="{00000000-0005-0000-0000-0000FA030000}"/>
    <cellStyle name="20% - Accent1 3 3 8 2 2" xfId="40393" xr:uid="{00000000-0005-0000-0000-0000FB030000}"/>
    <cellStyle name="20% - Accent1 3 3 8 3" xfId="29092" xr:uid="{00000000-0005-0000-0000-0000FC030000}"/>
    <cellStyle name="20% - Accent1 3 3 9" xfId="12141" xr:uid="{00000000-0005-0000-0000-0000FD030000}"/>
    <cellStyle name="20% - Accent1 3 3 9 2" xfId="34743" xr:uid="{00000000-0005-0000-0000-0000FE030000}"/>
    <cellStyle name="20% - Accent1 3 4" xfId="483" xr:uid="{00000000-0005-0000-0000-0000FF030000}"/>
    <cellStyle name="20% - Accent1 3 4 2" xfId="1068" xr:uid="{00000000-0005-0000-0000-000000040000}"/>
    <cellStyle name="20% - Accent1 3 4 2 2" xfId="1495" xr:uid="{00000000-0005-0000-0000-000001040000}"/>
    <cellStyle name="20% - Accent1 3 4 2 2 2" xfId="3135" xr:uid="{00000000-0005-0000-0000-000002040000}"/>
    <cellStyle name="20% - Accent1 3 4 2 2 2 2" xfId="6107" xr:uid="{00000000-0005-0000-0000-000003040000}"/>
    <cellStyle name="20% - Accent1 3 4 2 2 2 2 2" xfId="11757" xr:uid="{00000000-0005-0000-0000-000004040000}"/>
    <cellStyle name="20% - Accent1 3 4 2 2 2 2 2 2" xfId="23058" xr:uid="{00000000-0005-0000-0000-000005040000}"/>
    <cellStyle name="20% - Accent1 3 4 2 2 2 2 2 2 2" xfId="45660" xr:uid="{00000000-0005-0000-0000-000006040000}"/>
    <cellStyle name="20% - Accent1 3 4 2 2 2 2 2 3" xfId="34359" xr:uid="{00000000-0005-0000-0000-000007040000}"/>
    <cellStyle name="20% - Accent1 3 4 2 2 2 2 3" xfId="17408" xr:uid="{00000000-0005-0000-0000-000008040000}"/>
    <cellStyle name="20% - Accent1 3 4 2 2 2 2 3 2" xfId="40010" xr:uid="{00000000-0005-0000-0000-000009040000}"/>
    <cellStyle name="20% - Accent1 3 4 2 2 2 2 4" xfId="28709" xr:uid="{00000000-0005-0000-0000-00000A040000}"/>
    <cellStyle name="20% - Accent1 3 4 2 2 2 3" xfId="8925" xr:uid="{00000000-0005-0000-0000-00000B040000}"/>
    <cellStyle name="20% - Accent1 3 4 2 2 2 3 2" xfId="20226" xr:uid="{00000000-0005-0000-0000-00000C040000}"/>
    <cellStyle name="20% - Accent1 3 4 2 2 2 3 2 2" xfId="42828" xr:uid="{00000000-0005-0000-0000-00000D040000}"/>
    <cellStyle name="20% - Accent1 3 4 2 2 2 3 3" xfId="31527" xr:uid="{00000000-0005-0000-0000-00000E040000}"/>
    <cellStyle name="20% - Accent1 3 4 2 2 2 4" xfId="14576" xr:uid="{00000000-0005-0000-0000-00000F040000}"/>
    <cellStyle name="20% - Accent1 3 4 2 2 2 4 2" xfId="37178" xr:uid="{00000000-0005-0000-0000-000010040000}"/>
    <cellStyle name="20% - Accent1 3 4 2 2 2 5" xfId="25877" xr:uid="{00000000-0005-0000-0000-000011040000}"/>
    <cellStyle name="20% - Accent1 3 4 2 2 3" xfId="4873" xr:uid="{00000000-0005-0000-0000-000012040000}"/>
    <cellStyle name="20% - Accent1 3 4 2 2 3 2" xfId="10523" xr:uid="{00000000-0005-0000-0000-000013040000}"/>
    <cellStyle name="20% - Accent1 3 4 2 2 3 2 2" xfId="21824" xr:uid="{00000000-0005-0000-0000-000014040000}"/>
    <cellStyle name="20% - Accent1 3 4 2 2 3 2 2 2" xfId="44426" xr:uid="{00000000-0005-0000-0000-000015040000}"/>
    <cellStyle name="20% - Accent1 3 4 2 2 3 2 3" xfId="33125" xr:uid="{00000000-0005-0000-0000-000016040000}"/>
    <cellStyle name="20% - Accent1 3 4 2 2 3 3" xfId="16174" xr:uid="{00000000-0005-0000-0000-000017040000}"/>
    <cellStyle name="20% - Accent1 3 4 2 2 3 3 2" xfId="38776" xr:uid="{00000000-0005-0000-0000-000018040000}"/>
    <cellStyle name="20% - Accent1 3 4 2 2 3 4" xfId="27475" xr:uid="{00000000-0005-0000-0000-000019040000}"/>
    <cellStyle name="20% - Accent1 3 4 2 2 4" xfId="7351" xr:uid="{00000000-0005-0000-0000-00001A040000}"/>
    <cellStyle name="20% - Accent1 3 4 2 2 4 2" xfId="18652" xr:uid="{00000000-0005-0000-0000-00001B040000}"/>
    <cellStyle name="20% - Accent1 3 4 2 2 4 2 2" xfId="41254" xr:uid="{00000000-0005-0000-0000-00001C040000}"/>
    <cellStyle name="20% - Accent1 3 4 2 2 4 3" xfId="29953" xr:uid="{00000000-0005-0000-0000-00001D040000}"/>
    <cellStyle name="20% - Accent1 3 4 2 2 5" xfId="13002" xr:uid="{00000000-0005-0000-0000-00001E040000}"/>
    <cellStyle name="20% - Accent1 3 4 2 2 5 2" xfId="35604" xr:uid="{00000000-0005-0000-0000-00001F040000}"/>
    <cellStyle name="20% - Accent1 3 4 2 2 6" xfId="24303" xr:uid="{00000000-0005-0000-0000-000020040000}"/>
    <cellStyle name="20% - Accent1 3 4 2 3" xfId="2464" xr:uid="{00000000-0005-0000-0000-000021040000}"/>
    <cellStyle name="20% - Accent1 3 4 2 3 2" xfId="5483" xr:uid="{00000000-0005-0000-0000-000022040000}"/>
    <cellStyle name="20% - Accent1 3 4 2 3 2 2" xfId="11133" xr:uid="{00000000-0005-0000-0000-000023040000}"/>
    <cellStyle name="20% - Accent1 3 4 2 3 2 2 2" xfId="22434" xr:uid="{00000000-0005-0000-0000-000024040000}"/>
    <cellStyle name="20% - Accent1 3 4 2 3 2 2 2 2" xfId="45036" xr:uid="{00000000-0005-0000-0000-000025040000}"/>
    <cellStyle name="20% - Accent1 3 4 2 3 2 2 3" xfId="33735" xr:uid="{00000000-0005-0000-0000-000026040000}"/>
    <cellStyle name="20% - Accent1 3 4 2 3 2 3" xfId="16784" xr:uid="{00000000-0005-0000-0000-000027040000}"/>
    <cellStyle name="20% - Accent1 3 4 2 3 2 3 2" xfId="39386" xr:uid="{00000000-0005-0000-0000-000028040000}"/>
    <cellStyle name="20% - Accent1 3 4 2 3 2 4" xfId="28085" xr:uid="{00000000-0005-0000-0000-000029040000}"/>
    <cellStyle name="20% - Accent1 3 4 2 3 3" xfId="8300" xr:uid="{00000000-0005-0000-0000-00002A040000}"/>
    <cellStyle name="20% - Accent1 3 4 2 3 3 2" xfId="19601" xr:uid="{00000000-0005-0000-0000-00002B040000}"/>
    <cellStyle name="20% - Accent1 3 4 2 3 3 2 2" xfId="42203" xr:uid="{00000000-0005-0000-0000-00002C040000}"/>
    <cellStyle name="20% - Accent1 3 4 2 3 3 3" xfId="30902" xr:uid="{00000000-0005-0000-0000-00002D040000}"/>
    <cellStyle name="20% - Accent1 3 4 2 3 4" xfId="13951" xr:uid="{00000000-0005-0000-0000-00002E040000}"/>
    <cellStyle name="20% - Accent1 3 4 2 3 4 2" xfId="36553" xr:uid="{00000000-0005-0000-0000-00002F040000}"/>
    <cellStyle name="20% - Accent1 3 4 2 3 5" xfId="25252" xr:uid="{00000000-0005-0000-0000-000030040000}"/>
    <cellStyle name="20% - Accent1 3 4 2 4" xfId="4249" xr:uid="{00000000-0005-0000-0000-000031040000}"/>
    <cellStyle name="20% - Accent1 3 4 2 4 2" xfId="9899" xr:uid="{00000000-0005-0000-0000-000032040000}"/>
    <cellStyle name="20% - Accent1 3 4 2 4 2 2" xfId="21200" xr:uid="{00000000-0005-0000-0000-000033040000}"/>
    <cellStyle name="20% - Accent1 3 4 2 4 2 2 2" xfId="43802" xr:uid="{00000000-0005-0000-0000-000034040000}"/>
    <cellStyle name="20% - Accent1 3 4 2 4 2 3" xfId="32501" xr:uid="{00000000-0005-0000-0000-000035040000}"/>
    <cellStyle name="20% - Accent1 3 4 2 4 3" xfId="15550" xr:uid="{00000000-0005-0000-0000-000036040000}"/>
    <cellStyle name="20% - Accent1 3 4 2 4 3 2" xfId="38152" xr:uid="{00000000-0005-0000-0000-000037040000}"/>
    <cellStyle name="20% - Accent1 3 4 2 4 4" xfId="26851" xr:uid="{00000000-0005-0000-0000-000038040000}"/>
    <cellStyle name="20% - Accent1 3 4 2 5" xfId="7047" xr:uid="{00000000-0005-0000-0000-000039040000}"/>
    <cellStyle name="20% - Accent1 3 4 2 5 2" xfId="18348" xr:uid="{00000000-0005-0000-0000-00003A040000}"/>
    <cellStyle name="20% - Accent1 3 4 2 5 2 2" xfId="40950" xr:uid="{00000000-0005-0000-0000-00003B040000}"/>
    <cellStyle name="20% - Accent1 3 4 2 5 3" xfId="29649" xr:uid="{00000000-0005-0000-0000-00003C040000}"/>
    <cellStyle name="20% - Accent1 3 4 2 6" xfId="12698" xr:uid="{00000000-0005-0000-0000-00003D040000}"/>
    <cellStyle name="20% - Accent1 3 4 2 6 2" xfId="35300" xr:uid="{00000000-0005-0000-0000-00003E040000}"/>
    <cellStyle name="20% - Accent1 3 4 2 7" xfId="23999" xr:uid="{00000000-0005-0000-0000-00003F040000}"/>
    <cellStyle name="20% - Accent1 3 4 3" xfId="739" xr:uid="{00000000-0005-0000-0000-000040040000}"/>
    <cellStyle name="20% - Accent1 3 4 3 2" xfId="2829" xr:uid="{00000000-0005-0000-0000-000041040000}"/>
    <cellStyle name="20% - Accent1 3 4 3 2 2" xfId="5801" xr:uid="{00000000-0005-0000-0000-000042040000}"/>
    <cellStyle name="20% - Accent1 3 4 3 2 2 2" xfId="11451" xr:uid="{00000000-0005-0000-0000-000043040000}"/>
    <cellStyle name="20% - Accent1 3 4 3 2 2 2 2" xfId="22752" xr:uid="{00000000-0005-0000-0000-000044040000}"/>
    <cellStyle name="20% - Accent1 3 4 3 2 2 2 2 2" xfId="45354" xr:uid="{00000000-0005-0000-0000-000045040000}"/>
    <cellStyle name="20% - Accent1 3 4 3 2 2 2 3" xfId="34053" xr:uid="{00000000-0005-0000-0000-000046040000}"/>
    <cellStyle name="20% - Accent1 3 4 3 2 2 3" xfId="17102" xr:uid="{00000000-0005-0000-0000-000047040000}"/>
    <cellStyle name="20% - Accent1 3 4 3 2 2 3 2" xfId="39704" xr:uid="{00000000-0005-0000-0000-000048040000}"/>
    <cellStyle name="20% - Accent1 3 4 3 2 2 4" xfId="28403" xr:uid="{00000000-0005-0000-0000-000049040000}"/>
    <cellStyle name="20% - Accent1 3 4 3 2 3" xfId="8619" xr:uid="{00000000-0005-0000-0000-00004A040000}"/>
    <cellStyle name="20% - Accent1 3 4 3 2 3 2" xfId="19920" xr:uid="{00000000-0005-0000-0000-00004B040000}"/>
    <cellStyle name="20% - Accent1 3 4 3 2 3 2 2" xfId="42522" xr:uid="{00000000-0005-0000-0000-00004C040000}"/>
    <cellStyle name="20% - Accent1 3 4 3 2 3 3" xfId="31221" xr:uid="{00000000-0005-0000-0000-00004D040000}"/>
    <cellStyle name="20% - Accent1 3 4 3 2 4" xfId="14270" xr:uid="{00000000-0005-0000-0000-00004E040000}"/>
    <cellStyle name="20% - Accent1 3 4 3 2 4 2" xfId="36872" xr:uid="{00000000-0005-0000-0000-00004F040000}"/>
    <cellStyle name="20% - Accent1 3 4 3 2 5" xfId="25571" xr:uid="{00000000-0005-0000-0000-000050040000}"/>
    <cellStyle name="20% - Accent1 3 4 3 3" xfId="4567" xr:uid="{00000000-0005-0000-0000-000051040000}"/>
    <cellStyle name="20% - Accent1 3 4 3 3 2" xfId="10217" xr:uid="{00000000-0005-0000-0000-000052040000}"/>
    <cellStyle name="20% - Accent1 3 4 3 3 2 2" xfId="21518" xr:uid="{00000000-0005-0000-0000-000053040000}"/>
    <cellStyle name="20% - Accent1 3 4 3 3 2 2 2" xfId="44120" xr:uid="{00000000-0005-0000-0000-000054040000}"/>
    <cellStyle name="20% - Accent1 3 4 3 3 2 3" xfId="32819" xr:uid="{00000000-0005-0000-0000-000055040000}"/>
    <cellStyle name="20% - Accent1 3 4 3 3 3" xfId="15868" xr:uid="{00000000-0005-0000-0000-000056040000}"/>
    <cellStyle name="20% - Accent1 3 4 3 3 3 2" xfId="38470" xr:uid="{00000000-0005-0000-0000-000057040000}"/>
    <cellStyle name="20% - Accent1 3 4 3 3 4" xfId="27169" xr:uid="{00000000-0005-0000-0000-000058040000}"/>
    <cellStyle name="20% - Accent1 3 4 3 4" xfId="6750" xr:uid="{00000000-0005-0000-0000-000059040000}"/>
    <cellStyle name="20% - Accent1 3 4 3 4 2" xfId="18051" xr:uid="{00000000-0005-0000-0000-00005A040000}"/>
    <cellStyle name="20% - Accent1 3 4 3 4 2 2" xfId="40653" xr:uid="{00000000-0005-0000-0000-00005B040000}"/>
    <cellStyle name="20% - Accent1 3 4 3 4 3" xfId="29352" xr:uid="{00000000-0005-0000-0000-00005C040000}"/>
    <cellStyle name="20% - Accent1 3 4 3 5" xfId="12401" xr:uid="{00000000-0005-0000-0000-00005D040000}"/>
    <cellStyle name="20% - Accent1 3 4 3 5 2" xfId="35003" xr:uid="{00000000-0005-0000-0000-00005E040000}"/>
    <cellStyle name="20% - Accent1 3 4 3 6" xfId="23702" xr:uid="{00000000-0005-0000-0000-00005F040000}"/>
    <cellStyle name="20% - Accent1 3 4 4" xfId="1494" xr:uid="{00000000-0005-0000-0000-000060040000}"/>
    <cellStyle name="20% - Accent1 3 4 4 2" xfId="3499" xr:uid="{00000000-0005-0000-0000-000061040000}"/>
    <cellStyle name="20% - Accent1 3 4 4 2 2" xfId="9238" xr:uid="{00000000-0005-0000-0000-000062040000}"/>
    <cellStyle name="20% - Accent1 3 4 4 2 2 2" xfId="20539" xr:uid="{00000000-0005-0000-0000-000063040000}"/>
    <cellStyle name="20% - Accent1 3 4 4 2 2 2 2" xfId="43141" xr:uid="{00000000-0005-0000-0000-000064040000}"/>
    <cellStyle name="20% - Accent1 3 4 4 2 2 3" xfId="31840" xr:uid="{00000000-0005-0000-0000-000065040000}"/>
    <cellStyle name="20% - Accent1 3 4 4 2 3" xfId="14889" xr:uid="{00000000-0005-0000-0000-000066040000}"/>
    <cellStyle name="20% - Accent1 3 4 4 2 3 2" xfId="37491" xr:uid="{00000000-0005-0000-0000-000067040000}"/>
    <cellStyle name="20% - Accent1 3 4 4 2 4" xfId="26190" xr:uid="{00000000-0005-0000-0000-000068040000}"/>
    <cellStyle name="20% - Accent1 3 4 4 3" xfId="5177" xr:uid="{00000000-0005-0000-0000-000069040000}"/>
    <cellStyle name="20% - Accent1 3 4 4 3 2" xfId="10827" xr:uid="{00000000-0005-0000-0000-00006A040000}"/>
    <cellStyle name="20% - Accent1 3 4 4 3 2 2" xfId="22128" xr:uid="{00000000-0005-0000-0000-00006B040000}"/>
    <cellStyle name="20% - Accent1 3 4 4 3 2 2 2" xfId="44730" xr:uid="{00000000-0005-0000-0000-00006C040000}"/>
    <cellStyle name="20% - Accent1 3 4 4 3 2 3" xfId="33429" xr:uid="{00000000-0005-0000-0000-00006D040000}"/>
    <cellStyle name="20% - Accent1 3 4 4 3 3" xfId="16478" xr:uid="{00000000-0005-0000-0000-00006E040000}"/>
    <cellStyle name="20% - Accent1 3 4 4 3 3 2" xfId="39080" xr:uid="{00000000-0005-0000-0000-00006F040000}"/>
    <cellStyle name="20% - Accent1 3 4 4 3 4" xfId="27779" xr:uid="{00000000-0005-0000-0000-000070040000}"/>
    <cellStyle name="20% - Accent1 3 4 4 4" xfId="7350" xr:uid="{00000000-0005-0000-0000-000071040000}"/>
    <cellStyle name="20% - Accent1 3 4 4 4 2" xfId="18651" xr:uid="{00000000-0005-0000-0000-000072040000}"/>
    <cellStyle name="20% - Accent1 3 4 4 4 2 2" xfId="41253" xr:uid="{00000000-0005-0000-0000-000073040000}"/>
    <cellStyle name="20% - Accent1 3 4 4 4 3" xfId="29952" xr:uid="{00000000-0005-0000-0000-000074040000}"/>
    <cellStyle name="20% - Accent1 3 4 4 5" xfId="13001" xr:uid="{00000000-0005-0000-0000-000075040000}"/>
    <cellStyle name="20% - Accent1 3 4 4 5 2" xfId="35603" xr:uid="{00000000-0005-0000-0000-000076040000}"/>
    <cellStyle name="20% - Accent1 3 4 4 6" xfId="24302" xr:uid="{00000000-0005-0000-0000-000077040000}"/>
    <cellStyle name="20% - Accent1 3 4 5" xfId="2149" xr:uid="{00000000-0005-0000-0000-000078040000}"/>
    <cellStyle name="20% - Accent1 3 4 5 2" xfId="7991" xr:uid="{00000000-0005-0000-0000-000079040000}"/>
    <cellStyle name="20% - Accent1 3 4 5 2 2" xfId="19292" xr:uid="{00000000-0005-0000-0000-00007A040000}"/>
    <cellStyle name="20% - Accent1 3 4 5 2 2 2" xfId="41894" xr:uid="{00000000-0005-0000-0000-00007B040000}"/>
    <cellStyle name="20% - Accent1 3 4 5 2 3" xfId="30593" xr:uid="{00000000-0005-0000-0000-00007C040000}"/>
    <cellStyle name="20% - Accent1 3 4 5 3" xfId="13642" xr:uid="{00000000-0005-0000-0000-00007D040000}"/>
    <cellStyle name="20% - Accent1 3 4 5 3 2" xfId="36244" xr:uid="{00000000-0005-0000-0000-00007E040000}"/>
    <cellStyle name="20% - Accent1 3 4 5 4" xfId="24943" xr:uid="{00000000-0005-0000-0000-00007F040000}"/>
    <cellStyle name="20% - Accent1 3 4 6" xfId="3943" xr:uid="{00000000-0005-0000-0000-000080040000}"/>
    <cellStyle name="20% - Accent1 3 4 6 2" xfId="9593" xr:uid="{00000000-0005-0000-0000-000081040000}"/>
    <cellStyle name="20% - Accent1 3 4 6 2 2" xfId="20894" xr:uid="{00000000-0005-0000-0000-000082040000}"/>
    <cellStyle name="20% - Accent1 3 4 6 2 2 2" xfId="43496" xr:uid="{00000000-0005-0000-0000-000083040000}"/>
    <cellStyle name="20% - Accent1 3 4 6 2 3" xfId="32195" xr:uid="{00000000-0005-0000-0000-000084040000}"/>
    <cellStyle name="20% - Accent1 3 4 6 3" xfId="15244" xr:uid="{00000000-0005-0000-0000-000085040000}"/>
    <cellStyle name="20% - Accent1 3 4 6 3 2" xfId="37846" xr:uid="{00000000-0005-0000-0000-000086040000}"/>
    <cellStyle name="20% - Accent1 3 4 6 4" xfId="26545" xr:uid="{00000000-0005-0000-0000-000087040000}"/>
    <cellStyle name="20% - Accent1 3 4 7" xfId="6561" xr:uid="{00000000-0005-0000-0000-000088040000}"/>
    <cellStyle name="20% - Accent1 3 4 7 2" xfId="17862" xr:uid="{00000000-0005-0000-0000-000089040000}"/>
    <cellStyle name="20% - Accent1 3 4 7 2 2" xfId="40464" xr:uid="{00000000-0005-0000-0000-00008A040000}"/>
    <cellStyle name="20% - Accent1 3 4 7 3" xfId="29163" xr:uid="{00000000-0005-0000-0000-00008B040000}"/>
    <cellStyle name="20% - Accent1 3 4 8" xfId="12212" xr:uid="{00000000-0005-0000-0000-00008C040000}"/>
    <cellStyle name="20% - Accent1 3 4 8 2" xfId="34814" xr:uid="{00000000-0005-0000-0000-00008D040000}"/>
    <cellStyle name="20% - Accent1 3 4 9" xfId="23513" xr:uid="{00000000-0005-0000-0000-00008E040000}"/>
    <cellStyle name="20% - Accent1 3 5" xfId="389" xr:uid="{00000000-0005-0000-0000-00008F040000}"/>
    <cellStyle name="20% - Accent1 3 6" xfId="1420" xr:uid="{00000000-0005-0000-0000-000090040000}"/>
    <cellStyle name="20% - Accent1 3 7" xfId="6394" xr:uid="{00000000-0005-0000-0000-000091040000}"/>
    <cellStyle name="20% - Accent1 3 7 2" xfId="17695" xr:uid="{00000000-0005-0000-0000-000092040000}"/>
    <cellStyle name="20% - Accent1 3 7 2 2" xfId="40297" xr:uid="{00000000-0005-0000-0000-000093040000}"/>
    <cellStyle name="20% - Accent1 3 7 3" xfId="28996" xr:uid="{00000000-0005-0000-0000-000094040000}"/>
    <cellStyle name="20% - Accent1 3 8" xfId="12045" xr:uid="{00000000-0005-0000-0000-000095040000}"/>
    <cellStyle name="20% - Accent1 3 8 2" xfId="34647" xr:uid="{00000000-0005-0000-0000-000096040000}"/>
    <cellStyle name="20% - Accent1 3 9" xfId="23346" xr:uid="{00000000-0005-0000-0000-000097040000}"/>
    <cellStyle name="20% - Accent1 4" xfId="176" xr:uid="{00000000-0005-0000-0000-000098040000}"/>
    <cellStyle name="20% - Accent1 4 10" xfId="3929" xr:uid="{00000000-0005-0000-0000-000099040000}"/>
    <cellStyle name="20% - Accent1 4 10 2" xfId="9579" xr:uid="{00000000-0005-0000-0000-00009A040000}"/>
    <cellStyle name="20% - Accent1 4 10 2 2" xfId="20880" xr:uid="{00000000-0005-0000-0000-00009B040000}"/>
    <cellStyle name="20% - Accent1 4 10 2 2 2" xfId="43482" xr:uid="{00000000-0005-0000-0000-00009C040000}"/>
    <cellStyle name="20% - Accent1 4 10 2 3" xfId="32181" xr:uid="{00000000-0005-0000-0000-00009D040000}"/>
    <cellStyle name="20% - Accent1 4 10 3" xfId="15230" xr:uid="{00000000-0005-0000-0000-00009E040000}"/>
    <cellStyle name="20% - Accent1 4 10 3 2" xfId="37832" xr:uid="{00000000-0005-0000-0000-00009F040000}"/>
    <cellStyle name="20% - Accent1 4 10 4" xfId="26531" xr:uid="{00000000-0005-0000-0000-0000A0040000}"/>
    <cellStyle name="20% - Accent1 4 11" xfId="6408" xr:uid="{00000000-0005-0000-0000-0000A1040000}"/>
    <cellStyle name="20% - Accent1 4 11 2" xfId="17709" xr:uid="{00000000-0005-0000-0000-0000A2040000}"/>
    <cellStyle name="20% - Accent1 4 11 2 2" xfId="40311" xr:uid="{00000000-0005-0000-0000-0000A3040000}"/>
    <cellStyle name="20% - Accent1 4 11 3" xfId="29010" xr:uid="{00000000-0005-0000-0000-0000A4040000}"/>
    <cellStyle name="20% - Accent1 4 12" xfId="12059" xr:uid="{00000000-0005-0000-0000-0000A5040000}"/>
    <cellStyle name="20% - Accent1 4 12 2" xfId="34661" xr:uid="{00000000-0005-0000-0000-0000A6040000}"/>
    <cellStyle name="20% - Accent1 4 13" xfId="23360" xr:uid="{00000000-0005-0000-0000-0000A7040000}"/>
    <cellStyle name="20% - Accent1 4 2" xfId="299" xr:uid="{00000000-0005-0000-0000-0000A8040000}"/>
    <cellStyle name="20% - Accent1 4 2 10" xfId="23407" xr:uid="{00000000-0005-0000-0000-0000A9040000}"/>
    <cellStyle name="20% - Accent1 4 2 2" xfId="557" xr:uid="{00000000-0005-0000-0000-0000AA040000}"/>
    <cellStyle name="20% - Accent1 4 2 2 2" xfId="1267" xr:uid="{00000000-0005-0000-0000-0000AB040000}"/>
    <cellStyle name="20% - Accent1 4 2 2 2 2" xfId="1499" xr:uid="{00000000-0005-0000-0000-0000AC040000}"/>
    <cellStyle name="20% - Accent1 4 2 2 2 2 2" xfId="3336" xr:uid="{00000000-0005-0000-0000-0000AD040000}"/>
    <cellStyle name="20% - Accent1 4 2 2 2 2 2 2" xfId="6308" xr:uid="{00000000-0005-0000-0000-0000AE040000}"/>
    <cellStyle name="20% - Accent1 4 2 2 2 2 2 2 2" xfId="11958" xr:uid="{00000000-0005-0000-0000-0000AF040000}"/>
    <cellStyle name="20% - Accent1 4 2 2 2 2 2 2 2 2" xfId="23259" xr:uid="{00000000-0005-0000-0000-0000B0040000}"/>
    <cellStyle name="20% - Accent1 4 2 2 2 2 2 2 2 2 2" xfId="45861" xr:uid="{00000000-0005-0000-0000-0000B1040000}"/>
    <cellStyle name="20% - Accent1 4 2 2 2 2 2 2 2 3" xfId="34560" xr:uid="{00000000-0005-0000-0000-0000B2040000}"/>
    <cellStyle name="20% - Accent1 4 2 2 2 2 2 2 3" xfId="17609" xr:uid="{00000000-0005-0000-0000-0000B3040000}"/>
    <cellStyle name="20% - Accent1 4 2 2 2 2 2 2 3 2" xfId="40211" xr:uid="{00000000-0005-0000-0000-0000B4040000}"/>
    <cellStyle name="20% - Accent1 4 2 2 2 2 2 2 4" xfId="28910" xr:uid="{00000000-0005-0000-0000-0000B5040000}"/>
    <cellStyle name="20% - Accent1 4 2 2 2 2 2 3" xfId="9126" xr:uid="{00000000-0005-0000-0000-0000B6040000}"/>
    <cellStyle name="20% - Accent1 4 2 2 2 2 2 3 2" xfId="20427" xr:uid="{00000000-0005-0000-0000-0000B7040000}"/>
    <cellStyle name="20% - Accent1 4 2 2 2 2 2 3 2 2" xfId="43029" xr:uid="{00000000-0005-0000-0000-0000B8040000}"/>
    <cellStyle name="20% - Accent1 4 2 2 2 2 2 3 3" xfId="31728" xr:uid="{00000000-0005-0000-0000-0000B9040000}"/>
    <cellStyle name="20% - Accent1 4 2 2 2 2 2 4" xfId="14777" xr:uid="{00000000-0005-0000-0000-0000BA040000}"/>
    <cellStyle name="20% - Accent1 4 2 2 2 2 2 4 2" xfId="37379" xr:uid="{00000000-0005-0000-0000-0000BB040000}"/>
    <cellStyle name="20% - Accent1 4 2 2 2 2 2 5" xfId="26078" xr:uid="{00000000-0005-0000-0000-0000BC040000}"/>
    <cellStyle name="20% - Accent1 4 2 2 2 2 3" xfId="5074" xr:uid="{00000000-0005-0000-0000-0000BD040000}"/>
    <cellStyle name="20% - Accent1 4 2 2 2 2 3 2" xfId="10724" xr:uid="{00000000-0005-0000-0000-0000BE040000}"/>
    <cellStyle name="20% - Accent1 4 2 2 2 2 3 2 2" xfId="22025" xr:uid="{00000000-0005-0000-0000-0000BF040000}"/>
    <cellStyle name="20% - Accent1 4 2 2 2 2 3 2 2 2" xfId="44627" xr:uid="{00000000-0005-0000-0000-0000C0040000}"/>
    <cellStyle name="20% - Accent1 4 2 2 2 2 3 2 3" xfId="33326" xr:uid="{00000000-0005-0000-0000-0000C1040000}"/>
    <cellStyle name="20% - Accent1 4 2 2 2 2 3 3" xfId="16375" xr:uid="{00000000-0005-0000-0000-0000C2040000}"/>
    <cellStyle name="20% - Accent1 4 2 2 2 2 3 3 2" xfId="38977" xr:uid="{00000000-0005-0000-0000-0000C3040000}"/>
    <cellStyle name="20% - Accent1 4 2 2 2 2 3 4" xfId="27676" xr:uid="{00000000-0005-0000-0000-0000C4040000}"/>
    <cellStyle name="20% - Accent1 4 2 2 2 2 4" xfId="7355" xr:uid="{00000000-0005-0000-0000-0000C5040000}"/>
    <cellStyle name="20% - Accent1 4 2 2 2 2 4 2" xfId="18656" xr:uid="{00000000-0005-0000-0000-0000C6040000}"/>
    <cellStyle name="20% - Accent1 4 2 2 2 2 4 2 2" xfId="41258" xr:uid="{00000000-0005-0000-0000-0000C7040000}"/>
    <cellStyle name="20% - Accent1 4 2 2 2 2 4 3" xfId="29957" xr:uid="{00000000-0005-0000-0000-0000C8040000}"/>
    <cellStyle name="20% - Accent1 4 2 2 2 2 5" xfId="13006" xr:uid="{00000000-0005-0000-0000-0000C9040000}"/>
    <cellStyle name="20% - Accent1 4 2 2 2 2 5 2" xfId="35608" xr:uid="{00000000-0005-0000-0000-0000CA040000}"/>
    <cellStyle name="20% - Accent1 4 2 2 2 2 6" xfId="24307" xr:uid="{00000000-0005-0000-0000-0000CB040000}"/>
    <cellStyle name="20% - Accent1 4 2 2 2 3" xfId="2665" xr:uid="{00000000-0005-0000-0000-0000CC040000}"/>
    <cellStyle name="20% - Accent1 4 2 2 2 3 2" xfId="5684" xr:uid="{00000000-0005-0000-0000-0000CD040000}"/>
    <cellStyle name="20% - Accent1 4 2 2 2 3 2 2" xfId="11334" xr:uid="{00000000-0005-0000-0000-0000CE040000}"/>
    <cellStyle name="20% - Accent1 4 2 2 2 3 2 2 2" xfId="22635" xr:uid="{00000000-0005-0000-0000-0000CF040000}"/>
    <cellStyle name="20% - Accent1 4 2 2 2 3 2 2 2 2" xfId="45237" xr:uid="{00000000-0005-0000-0000-0000D0040000}"/>
    <cellStyle name="20% - Accent1 4 2 2 2 3 2 2 3" xfId="33936" xr:uid="{00000000-0005-0000-0000-0000D1040000}"/>
    <cellStyle name="20% - Accent1 4 2 2 2 3 2 3" xfId="16985" xr:uid="{00000000-0005-0000-0000-0000D2040000}"/>
    <cellStyle name="20% - Accent1 4 2 2 2 3 2 3 2" xfId="39587" xr:uid="{00000000-0005-0000-0000-0000D3040000}"/>
    <cellStyle name="20% - Accent1 4 2 2 2 3 2 4" xfId="28286" xr:uid="{00000000-0005-0000-0000-0000D4040000}"/>
    <cellStyle name="20% - Accent1 4 2 2 2 3 3" xfId="8501" xr:uid="{00000000-0005-0000-0000-0000D5040000}"/>
    <cellStyle name="20% - Accent1 4 2 2 2 3 3 2" xfId="19802" xr:uid="{00000000-0005-0000-0000-0000D6040000}"/>
    <cellStyle name="20% - Accent1 4 2 2 2 3 3 2 2" xfId="42404" xr:uid="{00000000-0005-0000-0000-0000D7040000}"/>
    <cellStyle name="20% - Accent1 4 2 2 2 3 3 3" xfId="31103" xr:uid="{00000000-0005-0000-0000-0000D8040000}"/>
    <cellStyle name="20% - Accent1 4 2 2 2 3 4" xfId="14152" xr:uid="{00000000-0005-0000-0000-0000D9040000}"/>
    <cellStyle name="20% - Accent1 4 2 2 2 3 4 2" xfId="36754" xr:uid="{00000000-0005-0000-0000-0000DA040000}"/>
    <cellStyle name="20% - Accent1 4 2 2 2 3 5" xfId="25453" xr:uid="{00000000-0005-0000-0000-0000DB040000}"/>
    <cellStyle name="20% - Accent1 4 2 2 2 4" xfId="4450" xr:uid="{00000000-0005-0000-0000-0000DC040000}"/>
    <cellStyle name="20% - Accent1 4 2 2 2 4 2" xfId="10100" xr:uid="{00000000-0005-0000-0000-0000DD040000}"/>
    <cellStyle name="20% - Accent1 4 2 2 2 4 2 2" xfId="21401" xr:uid="{00000000-0005-0000-0000-0000DE040000}"/>
    <cellStyle name="20% - Accent1 4 2 2 2 4 2 2 2" xfId="44003" xr:uid="{00000000-0005-0000-0000-0000DF040000}"/>
    <cellStyle name="20% - Accent1 4 2 2 2 4 2 3" xfId="32702" xr:uid="{00000000-0005-0000-0000-0000E0040000}"/>
    <cellStyle name="20% - Accent1 4 2 2 2 4 3" xfId="15751" xr:uid="{00000000-0005-0000-0000-0000E1040000}"/>
    <cellStyle name="20% - Accent1 4 2 2 2 4 3 2" xfId="38353" xr:uid="{00000000-0005-0000-0000-0000E2040000}"/>
    <cellStyle name="20% - Accent1 4 2 2 2 4 4" xfId="27052" xr:uid="{00000000-0005-0000-0000-0000E3040000}"/>
    <cellStyle name="20% - Accent1 4 2 2 2 5" xfId="7246" xr:uid="{00000000-0005-0000-0000-0000E4040000}"/>
    <cellStyle name="20% - Accent1 4 2 2 2 5 2" xfId="18547" xr:uid="{00000000-0005-0000-0000-0000E5040000}"/>
    <cellStyle name="20% - Accent1 4 2 2 2 5 2 2" xfId="41149" xr:uid="{00000000-0005-0000-0000-0000E6040000}"/>
    <cellStyle name="20% - Accent1 4 2 2 2 5 3" xfId="29848" xr:uid="{00000000-0005-0000-0000-0000E7040000}"/>
    <cellStyle name="20% - Accent1 4 2 2 2 6" xfId="12897" xr:uid="{00000000-0005-0000-0000-0000E8040000}"/>
    <cellStyle name="20% - Accent1 4 2 2 2 6 2" xfId="35499" xr:uid="{00000000-0005-0000-0000-0000E9040000}"/>
    <cellStyle name="20% - Accent1 4 2 2 2 7" xfId="24198" xr:uid="{00000000-0005-0000-0000-0000EA040000}"/>
    <cellStyle name="20% - Accent1 4 2 2 3" xfId="965" xr:uid="{00000000-0005-0000-0000-0000EB040000}"/>
    <cellStyle name="20% - Accent1 4 2 2 3 2" xfId="3028" xr:uid="{00000000-0005-0000-0000-0000EC040000}"/>
    <cellStyle name="20% - Accent1 4 2 2 3 2 2" xfId="6000" xr:uid="{00000000-0005-0000-0000-0000ED040000}"/>
    <cellStyle name="20% - Accent1 4 2 2 3 2 2 2" xfId="11650" xr:uid="{00000000-0005-0000-0000-0000EE040000}"/>
    <cellStyle name="20% - Accent1 4 2 2 3 2 2 2 2" xfId="22951" xr:uid="{00000000-0005-0000-0000-0000EF040000}"/>
    <cellStyle name="20% - Accent1 4 2 2 3 2 2 2 2 2" xfId="45553" xr:uid="{00000000-0005-0000-0000-0000F0040000}"/>
    <cellStyle name="20% - Accent1 4 2 2 3 2 2 2 3" xfId="34252" xr:uid="{00000000-0005-0000-0000-0000F1040000}"/>
    <cellStyle name="20% - Accent1 4 2 2 3 2 2 3" xfId="17301" xr:uid="{00000000-0005-0000-0000-0000F2040000}"/>
    <cellStyle name="20% - Accent1 4 2 2 3 2 2 3 2" xfId="39903" xr:uid="{00000000-0005-0000-0000-0000F3040000}"/>
    <cellStyle name="20% - Accent1 4 2 2 3 2 2 4" xfId="28602" xr:uid="{00000000-0005-0000-0000-0000F4040000}"/>
    <cellStyle name="20% - Accent1 4 2 2 3 2 3" xfId="8818" xr:uid="{00000000-0005-0000-0000-0000F5040000}"/>
    <cellStyle name="20% - Accent1 4 2 2 3 2 3 2" xfId="20119" xr:uid="{00000000-0005-0000-0000-0000F6040000}"/>
    <cellStyle name="20% - Accent1 4 2 2 3 2 3 2 2" xfId="42721" xr:uid="{00000000-0005-0000-0000-0000F7040000}"/>
    <cellStyle name="20% - Accent1 4 2 2 3 2 3 3" xfId="31420" xr:uid="{00000000-0005-0000-0000-0000F8040000}"/>
    <cellStyle name="20% - Accent1 4 2 2 3 2 4" xfId="14469" xr:uid="{00000000-0005-0000-0000-0000F9040000}"/>
    <cellStyle name="20% - Accent1 4 2 2 3 2 4 2" xfId="37071" xr:uid="{00000000-0005-0000-0000-0000FA040000}"/>
    <cellStyle name="20% - Accent1 4 2 2 3 2 5" xfId="25770" xr:uid="{00000000-0005-0000-0000-0000FB040000}"/>
    <cellStyle name="20% - Accent1 4 2 2 3 3" xfId="4766" xr:uid="{00000000-0005-0000-0000-0000FC040000}"/>
    <cellStyle name="20% - Accent1 4 2 2 3 3 2" xfId="10416" xr:uid="{00000000-0005-0000-0000-0000FD040000}"/>
    <cellStyle name="20% - Accent1 4 2 2 3 3 2 2" xfId="21717" xr:uid="{00000000-0005-0000-0000-0000FE040000}"/>
    <cellStyle name="20% - Accent1 4 2 2 3 3 2 2 2" xfId="44319" xr:uid="{00000000-0005-0000-0000-0000FF040000}"/>
    <cellStyle name="20% - Accent1 4 2 2 3 3 2 3" xfId="33018" xr:uid="{00000000-0005-0000-0000-000000050000}"/>
    <cellStyle name="20% - Accent1 4 2 2 3 3 3" xfId="16067" xr:uid="{00000000-0005-0000-0000-000001050000}"/>
    <cellStyle name="20% - Accent1 4 2 2 3 3 3 2" xfId="38669" xr:uid="{00000000-0005-0000-0000-000002050000}"/>
    <cellStyle name="20% - Accent1 4 2 2 3 3 4" xfId="27368" xr:uid="{00000000-0005-0000-0000-000003050000}"/>
    <cellStyle name="20% - Accent1 4 2 2 3 4" xfId="6953" xr:uid="{00000000-0005-0000-0000-000004050000}"/>
    <cellStyle name="20% - Accent1 4 2 2 3 4 2" xfId="18254" xr:uid="{00000000-0005-0000-0000-000005050000}"/>
    <cellStyle name="20% - Accent1 4 2 2 3 4 2 2" xfId="40856" xr:uid="{00000000-0005-0000-0000-000006050000}"/>
    <cellStyle name="20% - Accent1 4 2 2 3 4 3" xfId="29555" xr:uid="{00000000-0005-0000-0000-000007050000}"/>
    <cellStyle name="20% - Accent1 4 2 2 3 5" xfId="12604" xr:uid="{00000000-0005-0000-0000-000008050000}"/>
    <cellStyle name="20% - Accent1 4 2 2 3 5 2" xfId="35206" xr:uid="{00000000-0005-0000-0000-000009050000}"/>
    <cellStyle name="20% - Accent1 4 2 2 3 6" xfId="23905" xr:uid="{00000000-0005-0000-0000-00000A050000}"/>
    <cellStyle name="20% - Accent1 4 2 2 4" xfId="1498" xr:uid="{00000000-0005-0000-0000-00000B050000}"/>
    <cellStyle name="20% - Accent1 4 2 2 4 2" xfId="3472" xr:uid="{00000000-0005-0000-0000-00000C050000}"/>
    <cellStyle name="20% - Accent1 4 2 2 4 2 2" xfId="9225" xr:uid="{00000000-0005-0000-0000-00000D050000}"/>
    <cellStyle name="20% - Accent1 4 2 2 4 2 2 2" xfId="20526" xr:uid="{00000000-0005-0000-0000-00000E050000}"/>
    <cellStyle name="20% - Accent1 4 2 2 4 2 2 2 2" xfId="43128" xr:uid="{00000000-0005-0000-0000-00000F050000}"/>
    <cellStyle name="20% - Accent1 4 2 2 4 2 2 3" xfId="31827" xr:uid="{00000000-0005-0000-0000-000010050000}"/>
    <cellStyle name="20% - Accent1 4 2 2 4 2 3" xfId="14876" xr:uid="{00000000-0005-0000-0000-000011050000}"/>
    <cellStyle name="20% - Accent1 4 2 2 4 2 3 2" xfId="37478" xr:uid="{00000000-0005-0000-0000-000012050000}"/>
    <cellStyle name="20% - Accent1 4 2 2 4 2 4" xfId="26177" xr:uid="{00000000-0005-0000-0000-000013050000}"/>
    <cellStyle name="20% - Accent1 4 2 2 4 3" xfId="5376" xr:uid="{00000000-0005-0000-0000-000014050000}"/>
    <cellStyle name="20% - Accent1 4 2 2 4 3 2" xfId="11026" xr:uid="{00000000-0005-0000-0000-000015050000}"/>
    <cellStyle name="20% - Accent1 4 2 2 4 3 2 2" xfId="22327" xr:uid="{00000000-0005-0000-0000-000016050000}"/>
    <cellStyle name="20% - Accent1 4 2 2 4 3 2 2 2" xfId="44929" xr:uid="{00000000-0005-0000-0000-000017050000}"/>
    <cellStyle name="20% - Accent1 4 2 2 4 3 2 3" xfId="33628" xr:uid="{00000000-0005-0000-0000-000018050000}"/>
    <cellStyle name="20% - Accent1 4 2 2 4 3 3" xfId="16677" xr:uid="{00000000-0005-0000-0000-000019050000}"/>
    <cellStyle name="20% - Accent1 4 2 2 4 3 3 2" xfId="39279" xr:uid="{00000000-0005-0000-0000-00001A050000}"/>
    <cellStyle name="20% - Accent1 4 2 2 4 3 4" xfId="27978" xr:uid="{00000000-0005-0000-0000-00001B050000}"/>
    <cellStyle name="20% - Accent1 4 2 2 4 4" xfId="7354" xr:uid="{00000000-0005-0000-0000-00001C050000}"/>
    <cellStyle name="20% - Accent1 4 2 2 4 4 2" xfId="18655" xr:uid="{00000000-0005-0000-0000-00001D050000}"/>
    <cellStyle name="20% - Accent1 4 2 2 4 4 2 2" xfId="41257" xr:uid="{00000000-0005-0000-0000-00001E050000}"/>
    <cellStyle name="20% - Accent1 4 2 2 4 4 3" xfId="29956" xr:uid="{00000000-0005-0000-0000-00001F050000}"/>
    <cellStyle name="20% - Accent1 4 2 2 4 5" xfId="13005" xr:uid="{00000000-0005-0000-0000-000020050000}"/>
    <cellStyle name="20% - Accent1 4 2 2 4 5 2" xfId="35607" xr:uid="{00000000-0005-0000-0000-000021050000}"/>
    <cellStyle name="20% - Accent1 4 2 2 4 6" xfId="24306" xr:uid="{00000000-0005-0000-0000-000022050000}"/>
    <cellStyle name="20% - Accent1 4 2 2 5" xfId="2357" xr:uid="{00000000-0005-0000-0000-000023050000}"/>
    <cellStyle name="20% - Accent1 4 2 2 5 2" xfId="8193" xr:uid="{00000000-0005-0000-0000-000024050000}"/>
    <cellStyle name="20% - Accent1 4 2 2 5 2 2" xfId="19494" xr:uid="{00000000-0005-0000-0000-000025050000}"/>
    <cellStyle name="20% - Accent1 4 2 2 5 2 2 2" xfId="42096" xr:uid="{00000000-0005-0000-0000-000026050000}"/>
    <cellStyle name="20% - Accent1 4 2 2 5 2 3" xfId="30795" xr:uid="{00000000-0005-0000-0000-000027050000}"/>
    <cellStyle name="20% - Accent1 4 2 2 5 3" xfId="13844" xr:uid="{00000000-0005-0000-0000-000028050000}"/>
    <cellStyle name="20% - Accent1 4 2 2 5 3 2" xfId="36446" xr:uid="{00000000-0005-0000-0000-000029050000}"/>
    <cellStyle name="20% - Accent1 4 2 2 5 4" xfId="25145" xr:uid="{00000000-0005-0000-0000-00002A050000}"/>
    <cellStyle name="20% - Accent1 4 2 2 6" xfId="4142" xr:uid="{00000000-0005-0000-0000-00002B050000}"/>
    <cellStyle name="20% - Accent1 4 2 2 6 2" xfId="9792" xr:uid="{00000000-0005-0000-0000-00002C050000}"/>
    <cellStyle name="20% - Accent1 4 2 2 6 2 2" xfId="21093" xr:uid="{00000000-0005-0000-0000-00002D050000}"/>
    <cellStyle name="20% - Accent1 4 2 2 6 2 2 2" xfId="43695" xr:uid="{00000000-0005-0000-0000-00002E050000}"/>
    <cellStyle name="20% - Accent1 4 2 2 6 2 3" xfId="32394" xr:uid="{00000000-0005-0000-0000-00002F050000}"/>
    <cellStyle name="20% - Accent1 4 2 2 6 3" xfId="15443" xr:uid="{00000000-0005-0000-0000-000030050000}"/>
    <cellStyle name="20% - Accent1 4 2 2 6 3 2" xfId="38045" xr:uid="{00000000-0005-0000-0000-000031050000}"/>
    <cellStyle name="20% - Accent1 4 2 2 6 4" xfId="26744" xr:uid="{00000000-0005-0000-0000-000032050000}"/>
    <cellStyle name="20% - Accent1 4 2 2 7" xfId="6622" xr:uid="{00000000-0005-0000-0000-000033050000}"/>
    <cellStyle name="20% - Accent1 4 2 2 7 2" xfId="17923" xr:uid="{00000000-0005-0000-0000-000034050000}"/>
    <cellStyle name="20% - Accent1 4 2 2 7 2 2" xfId="40525" xr:uid="{00000000-0005-0000-0000-000035050000}"/>
    <cellStyle name="20% - Accent1 4 2 2 7 3" xfId="29224" xr:uid="{00000000-0005-0000-0000-000036050000}"/>
    <cellStyle name="20% - Accent1 4 2 2 8" xfId="12273" xr:uid="{00000000-0005-0000-0000-000037050000}"/>
    <cellStyle name="20% - Accent1 4 2 2 8 2" xfId="34875" xr:uid="{00000000-0005-0000-0000-000038050000}"/>
    <cellStyle name="20% - Accent1 4 2 2 9" xfId="23574" xr:uid="{00000000-0005-0000-0000-000039050000}"/>
    <cellStyle name="20% - Accent1 4 2 3" xfId="1129" xr:uid="{00000000-0005-0000-0000-00003A050000}"/>
    <cellStyle name="20% - Accent1 4 2 3 2" xfId="1500" xr:uid="{00000000-0005-0000-0000-00003B050000}"/>
    <cellStyle name="20% - Accent1 4 2 3 2 2" xfId="3197" xr:uid="{00000000-0005-0000-0000-00003C050000}"/>
    <cellStyle name="20% - Accent1 4 2 3 2 2 2" xfId="6169" xr:uid="{00000000-0005-0000-0000-00003D050000}"/>
    <cellStyle name="20% - Accent1 4 2 3 2 2 2 2" xfId="11819" xr:uid="{00000000-0005-0000-0000-00003E050000}"/>
    <cellStyle name="20% - Accent1 4 2 3 2 2 2 2 2" xfId="23120" xr:uid="{00000000-0005-0000-0000-00003F050000}"/>
    <cellStyle name="20% - Accent1 4 2 3 2 2 2 2 2 2" xfId="45722" xr:uid="{00000000-0005-0000-0000-000040050000}"/>
    <cellStyle name="20% - Accent1 4 2 3 2 2 2 2 3" xfId="34421" xr:uid="{00000000-0005-0000-0000-000041050000}"/>
    <cellStyle name="20% - Accent1 4 2 3 2 2 2 3" xfId="17470" xr:uid="{00000000-0005-0000-0000-000042050000}"/>
    <cellStyle name="20% - Accent1 4 2 3 2 2 2 3 2" xfId="40072" xr:uid="{00000000-0005-0000-0000-000043050000}"/>
    <cellStyle name="20% - Accent1 4 2 3 2 2 2 4" xfId="28771" xr:uid="{00000000-0005-0000-0000-000044050000}"/>
    <cellStyle name="20% - Accent1 4 2 3 2 2 3" xfId="8987" xr:uid="{00000000-0005-0000-0000-000045050000}"/>
    <cellStyle name="20% - Accent1 4 2 3 2 2 3 2" xfId="20288" xr:uid="{00000000-0005-0000-0000-000046050000}"/>
    <cellStyle name="20% - Accent1 4 2 3 2 2 3 2 2" xfId="42890" xr:uid="{00000000-0005-0000-0000-000047050000}"/>
    <cellStyle name="20% - Accent1 4 2 3 2 2 3 3" xfId="31589" xr:uid="{00000000-0005-0000-0000-000048050000}"/>
    <cellStyle name="20% - Accent1 4 2 3 2 2 4" xfId="14638" xr:uid="{00000000-0005-0000-0000-000049050000}"/>
    <cellStyle name="20% - Accent1 4 2 3 2 2 4 2" xfId="37240" xr:uid="{00000000-0005-0000-0000-00004A050000}"/>
    <cellStyle name="20% - Accent1 4 2 3 2 2 5" xfId="25939" xr:uid="{00000000-0005-0000-0000-00004B050000}"/>
    <cellStyle name="20% - Accent1 4 2 3 2 3" xfId="4935" xr:uid="{00000000-0005-0000-0000-00004C050000}"/>
    <cellStyle name="20% - Accent1 4 2 3 2 3 2" xfId="10585" xr:uid="{00000000-0005-0000-0000-00004D050000}"/>
    <cellStyle name="20% - Accent1 4 2 3 2 3 2 2" xfId="21886" xr:uid="{00000000-0005-0000-0000-00004E050000}"/>
    <cellStyle name="20% - Accent1 4 2 3 2 3 2 2 2" xfId="44488" xr:uid="{00000000-0005-0000-0000-00004F050000}"/>
    <cellStyle name="20% - Accent1 4 2 3 2 3 2 3" xfId="33187" xr:uid="{00000000-0005-0000-0000-000050050000}"/>
    <cellStyle name="20% - Accent1 4 2 3 2 3 3" xfId="16236" xr:uid="{00000000-0005-0000-0000-000051050000}"/>
    <cellStyle name="20% - Accent1 4 2 3 2 3 3 2" xfId="38838" xr:uid="{00000000-0005-0000-0000-000052050000}"/>
    <cellStyle name="20% - Accent1 4 2 3 2 3 4" xfId="27537" xr:uid="{00000000-0005-0000-0000-000053050000}"/>
    <cellStyle name="20% - Accent1 4 2 3 2 4" xfId="7356" xr:uid="{00000000-0005-0000-0000-000054050000}"/>
    <cellStyle name="20% - Accent1 4 2 3 2 4 2" xfId="18657" xr:uid="{00000000-0005-0000-0000-000055050000}"/>
    <cellStyle name="20% - Accent1 4 2 3 2 4 2 2" xfId="41259" xr:uid="{00000000-0005-0000-0000-000056050000}"/>
    <cellStyle name="20% - Accent1 4 2 3 2 4 3" xfId="29958" xr:uid="{00000000-0005-0000-0000-000057050000}"/>
    <cellStyle name="20% - Accent1 4 2 3 2 5" xfId="13007" xr:uid="{00000000-0005-0000-0000-000058050000}"/>
    <cellStyle name="20% - Accent1 4 2 3 2 5 2" xfId="35609" xr:uid="{00000000-0005-0000-0000-000059050000}"/>
    <cellStyle name="20% - Accent1 4 2 3 2 6" xfId="24308" xr:uid="{00000000-0005-0000-0000-00005A050000}"/>
    <cellStyle name="20% - Accent1 4 2 3 3" xfId="2526" xr:uid="{00000000-0005-0000-0000-00005B050000}"/>
    <cellStyle name="20% - Accent1 4 2 3 3 2" xfId="5545" xr:uid="{00000000-0005-0000-0000-00005C050000}"/>
    <cellStyle name="20% - Accent1 4 2 3 3 2 2" xfId="11195" xr:uid="{00000000-0005-0000-0000-00005D050000}"/>
    <cellStyle name="20% - Accent1 4 2 3 3 2 2 2" xfId="22496" xr:uid="{00000000-0005-0000-0000-00005E050000}"/>
    <cellStyle name="20% - Accent1 4 2 3 3 2 2 2 2" xfId="45098" xr:uid="{00000000-0005-0000-0000-00005F050000}"/>
    <cellStyle name="20% - Accent1 4 2 3 3 2 2 3" xfId="33797" xr:uid="{00000000-0005-0000-0000-000060050000}"/>
    <cellStyle name="20% - Accent1 4 2 3 3 2 3" xfId="16846" xr:uid="{00000000-0005-0000-0000-000061050000}"/>
    <cellStyle name="20% - Accent1 4 2 3 3 2 3 2" xfId="39448" xr:uid="{00000000-0005-0000-0000-000062050000}"/>
    <cellStyle name="20% - Accent1 4 2 3 3 2 4" xfId="28147" xr:uid="{00000000-0005-0000-0000-000063050000}"/>
    <cellStyle name="20% - Accent1 4 2 3 3 3" xfId="8362" xr:uid="{00000000-0005-0000-0000-000064050000}"/>
    <cellStyle name="20% - Accent1 4 2 3 3 3 2" xfId="19663" xr:uid="{00000000-0005-0000-0000-000065050000}"/>
    <cellStyle name="20% - Accent1 4 2 3 3 3 2 2" xfId="42265" xr:uid="{00000000-0005-0000-0000-000066050000}"/>
    <cellStyle name="20% - Accent1 4 2 3 3 3 3" xfId="30964" xr:uid="{00000000-0005-0000-0000-000067050000}"/>
    <cellStyle name="20% - Accent1 4 2 3 3 4" xfId="14013" xr:uid="{00000000-0005-0000-0000-000068050000}"/>
    <cellStyle name="20% - Accent1 4 2 3 3 4 2" xfId="36615" xr:uid="{00000000-0005-0000-0000-000069050000}"/>
    <cellStyle name="20% - Accent1 4 2 3 3 5" xfId="25314" xr:uid="{00000000-0005-0000-0000-00006A050000}"/>
    <cellStyle name="20% - Accent1 4 2 3 4" xfId="4311" xr:uid="{00000000-0005-0000-0000-00006B050000}"/>
    <cellStyle name="20% - Accent1 4 2 3 4 2" xfId="9961" xr:uid="{00000000-0005-0000-0000-00006C050000}"/>
    <cellStyle name="20% - Accent1 4 2 3 4 2 2" xfId="21262" xr:uid="{00000000-0005-0000-0000-00006D050000}"/>
    <cellStyle name="20% - Accent1 4 2 3 4 2 2 2" xfId="43864" xr:uid="{00000000-0005-0000-0000-00006E050000}"/>
    <cellStyle name="20% - Accent1 4 2 3 4 2 3" xfId="32563" xr:uid="{00000000-0005-0000-0000-00006F050000}"/>
    <cellStyle name="20% - Accent1 4 2 3 4 3" xfId="15612" xr:uid="{00000000-0005-0000-0000-000070050000}"/>
    <cellStyle name="20% - Accent1 4 2 3 4 3 2" xfId="38214" xr:uid="{00000000-0005-0000-0000-000071050000}"/>
    <cellStyle name="20% - Accent1 4 2 3 4 4" xfId="26913" xr:uid="{00000000-0005-0000-0000-000072050000}"/>
    <cellStyle name="20% - Accent1 4 2 3 5" xfId="7108" xr:uid="{00000000-0005-0000-0000-000073050000}"/>
    <cellStyle name="20% - Accent1 4 2 3 5 2" xfId="18409" xr:uid="{00000000-0005-0000-0000-000074050000}"/>
    <cellStyle name="20% - Accent1 4 2 3 5 2 2" xfId="41011" xr:uid="{00000000-0005-0000-0000-000075050000}"/>
    <cellStyle name="20% - Accent1 4 2 3 5 3" xfId="29710" xr:uid="{00000000-0005-0000-0000-000076050000}"/>
    <cellStyle name="20% - Accent1 4 2 3 6" xfId="12759" xr:uid="{00000000-0005-0000-0000-000077050000}"/>
    <cellStyle name="20% - Accent1 4 2 3 6 2" xfId="35361" xr:uid="{00000000-0005-0000-0000-000078050000}"/>
    <cellStyle name="20% - Accent1 4 2 3 7" xfId="24060" xr:uid="{00000000-0005-0000-0000-000079050000}"/>
    <cellStyle name="20% - Accent1 4 2 4" xfId="819" xr:uid="{00000000-0005-0000-0000-00007A050000}"/>
    <cellStyle name="20% - Accent1 4 2 4 2" xfId="2890" xr:uid="{00000000-0005-0000-0000-00007B050000}"/>
    <cellStyle name="20% - Accent1 4 2 4 2 2" xfId="5862" xr:uid="{00000000-0005-0000-0000-00007C050000}"/>
    <cellStyle name="20% - Accent1 4 2 4 2 2 2" xfId="11512" xr:uid="{00000000-0005-0000-0000-00007D050000}"/>
    <cellStyle name="20% - Accent1 4 2 4 2 2 2 2" xfId="22813" xr:uid="{00000000-0005-0000-0000-00007E050000}"/>
    <cellStyle name="20% - Accent1 4 2 4 2 2 2 2 2" xfId="45415" xr:uid="{00000000-0005-0000-0000-00007F050000}"/>
    <cellStyle name="20% - Accent1 4 2 4 2 2 2 3" xfId="34114" xr:uid="{00000000-0005-0000-0000-000080050000}"/>
    <cellStyle name="20% - Accent1 4 2 4 2 2 3" xfId="17163" xr:uid="{00000000-0005-0000-0000-000081050000}"/>
    <cellStyle name="20% - Accent1 4 2 4 2 2 3 2" xfId="39765" xr:uid="{00000000-0005-0000-0000-000082050000}"/>
    <cellStyle name="20% - Accent1 4 2 4 2 2 4" xfId="28464" xr:uid="{00000000-0005-0000-0000-000083050000}"/>
    <cellStyle name="20% - Accent1 4 2 4 2 3" xfId="8680" xr:uid="{00000000-0005-0000-0000-000084050000}"/>
    <cellStyle name="20% - Accent1 4 2 4 2 3 2" xfId="19981" xr:uid="{00000000-0005-0000-0000-000085050000}"/>
    <cellStyle name="20% - Accent1 4 2 4 2 3 2 2" xfId="42583" xr:uid="{00000000-0005-0000-0000-000086050000}"/>
    <cellStyle name="20% - Accent1 4 2 4 2 3 3" xfId="31282" xr:uid="{00000000-0005-0000-0000-000087050000}"/>
    <cellStyle name="20% - Accent1 4 2 4 2 4" xfId="14331" xr:uid="{00000000-0005-0000-0000-000088050000}"/>
    <cellStyle name="20% - Accent1 4 2 4 2 4 2" xfId="36933" xr:uid="{00000000-0005-0000-0000-000089050000}"/>
    <cellStyle name="20% - Accent1 4 2 4 2 5" xfId="25632" xr:uid="{00000000-0005-0000-0000-00008A050000}"/>
    <cellStyle name="20% - Accent1 4 2 4 3" xfId="4628" xr:uid="{00000000-0005-0000-0000-00008B050000}"/>
    <cellStyle name="20% - Accent1 4 2 4 3 2" xfId="10278" xr:uid="{00000000-0005-0000-0000-00008C050000}"/>
    <cellStyle name="20% - Accent1 4 2 4 3 2 2" xfId="21579" xr:uid="{00000000-0005-0000-0000-00008D050000}"/>
    <cellStyle name="20% - Accent1 4 2 4 3 2 2 2" xfId="44181" xr:uid="{00000000-0005-0000-0000-00008E050000}"/>
    <cellStyle name="20% - Accent1 4 2 4 3 2 3" xfId="32880" xr:uid="{00000000-0005-0000-0000-00008F050000}"/>
    <cellStyle name="20% - Accent1 4 2 4 3 3" xfId="15929" xr:uid="{00000000-0005-0000-0000-000090050000}"/>
    <cellStyle name="20% - Accent1 4 2 4 3 3 2" xfId="38531" xr:uid="{00000000-0005-0000-0000-000091050000}"/>
    <cellStyle name="20% - Accent1 4 2 4 3 4" xfId="27230" xr:uid="{00000000-0005-0000-0000-000092050000}"/>
    <cellStyle name="20% - Accent1 4 2 4 4" xfId="6815" xr:uid="{00000000-0005-0000-0000-000093050000}"/>
    <cellStyle name="20% - Accent1 4 2 4 4 2" xfId="18116" xr:uid="{00000000-0005-0000-0000-000094050000}"/>
    <cellStyle name="20% - Accent1 4 2 4 4 2 2" xfId="40718" xr:uid="{00000000-0005-0000-0000-000095050000}"/>
    <cellStyle name="20% - Accent1 4 2 4 4 3" xfId="29417" xr:uid="{00000000-0005-0000-0000-000096050000}"/>
    <cellStyle name="20% - Accent1 4 2 4 5" xfId="12466" xr:uid="{00000000-0005-0000-0000-000097050000}"/>
    <cellStyle name="20% - Accent1 4 2 4 5 2" xfId="35068" xr:uid="{00000000-0005-0000-0000-000098050000}"/>
    <cellStyle name="20% - Accent1 4 2 4 6" xfId="23767" xr:uid="{00000000-0005-0000-0000-000099050000}"/>
    <cellStyle name="20% - Accent1 4 2 5" xfId="1497" xr:uid="{00000000-0005-0000-0000-00009A050000}"/>
    <cellStyle name="20% - Accent1 4 2 5 2" xfId="2114" xr:uid="{00000000-0005-0000-0000-00009B050000}"/>
    <cellStyle name="20% - Accent1 4 2 5 2 2" xfId="7959" xr:uid="{00000000-0005-0000-0000-00009C050000}"/>
    <cellStyle name="20% - Accent1 4 2 5 2 2 2" xfId="19260" xr:uid="{00000000-0005-0000-0000-00009D050000}"/>
    <cellStyle name="20% - Accent1 4 2 5 2 2 2 2" xfId="41862" xr:uid="{00000000-0005-0000-0000-00009E050000}"/>
    <cellStyle name="20% - Accent1 4 2 5 2 2 3" xfId="30561" xr:uid="{00000000-0005-0000-0000-00009F050000}"/>
    <cellStyle name="20% - Accent1 4 2 5 2 3" xfId="13610" xr:uid="{00000000-0005-0000-0000-0000A0050000}"/>
    <cellStyle name="20% - Accent1 4 2 5 2 3 2" xfId="36212" xr:uid="{00000000-0005-0000-0000-0000A1050000}"/>
    <cellStyle name="20% - Accent1 4 2 5 2 4" xfId="24911" xr:uid="{00000000-0005-0000-0000-0000A2050000}"/>
    <cellStyle name="20% - Accent1 4 2 5 3" xfId="5238" xr:uid="{00000000-0005-0000-0000-0000A3050000}"/>
    <cellStyle name="20% - Accent1 4 2 5 3 2" xfId="10888" xr:uid="{00000000-0005-0000-0000-0000A4050000}"/>
    <cellStyle name="20% - Accent1 4 2 5 3 2 2" xfId="22189" xr:uid="{00000000-0005-0000-0000-0000A5050000}"/>
    <cellStyle name="20% - Accent1 4 2 5 3 2 2 2" xfId="44791" xr:uid="{00000000-0005-0000-0000-0000A6050000}"/>
    <cellStyle name="20% - Accent1 4 2 5 3 2 3" xfId="33490" xr:uid="{00000000-0005-0000-0000-0000A7050000}"/>
    <cellStyle name="20% - Accent1 4 2 5 3 3" xfId="16539" xr:uid="{00000000-0005-0000-0000-0000A8050000}"/>
    <cellStyle name="20% - Accent1 4 2 5 3 3 2" xfId="39141" xr:uid="{00000000-0005-0000-0000-0000A9050000}"/>
    <cellStyle name="20% - Accent1 4 2 5 3 4" xfId="27840" xr:uid="{00000000-0005-0000-0000-0000AA050000}"/>
    <cellStyle name="20% - Accent1 4 2 5 4" xfId="7353" xr:uid="{00000000-0005-0000-0000-0000AB050000}"/>
    <cellStyle name="20% - Accent1 4 2 5 4 2" xfId="18654" xr:uid="{00000000-0005-0000-0000-0000AC050000}"/>
    <cellStyle name="20% - Accent1 4 2 5 4 2 2" xfId="41256" xr:uid="{00000000-0005-0000-0000-0000AD050000}"/>
    <cellStyle name="20% - Accent1 4 2 5 4 3" xfId="29955" xr:uid="{00000000-0005-0000-0000-0000AE050000}"/>
    <cellStyle name="20% - Accent1 4 2 5 5" xfId="13004" xr:uid="{00000000-0005-0000-0000-0000AF050000}"/>
    <cellStyle name="20% - Accent1 4 2 5 5 2" xfId="35606" xr:uid="{00000000-0005-0000-0000-0000B0050000}"/>
    <cellStyle name="20% - Accent1 4 2 5 6" xfId="24305" xr:uid="{00000000-0005-0000-0000-0000B1050000}"/>
    <cellStyle name="20% - Accent1 4 2 6" xfId="2217" xr:uid="{00000000-0005-0000-0000-0000B2050000}"/>
    <cellStyle name="20% - Accent1 4 2 6 2" xfId="8053" xr:uid="{00000000-0005-0000-0000-0000B3050000}"/>
    <cellStyle name="20% - Accent1 4 2 6 2 2" xfId="19354" xr:uid="{00000000-0005-0000-0000-0000B4050000}"/>
    <cellStyle name="20% - Accent1 4 2 6 2 2 2" xfId="41956" xr:uid="{00000000-0005-0000-0000-0000B5050000}"/>
    <cellStyle name="20% - Accent1 4 2 6 2 3" xfId="30655" xr:uid="{00000000-0005-0000-0000-0000B6050000}"/>
    <cellStyle name="20% - Accent1 4 2 6 3" xfId="13704" xr:uid="{00000000-0005-0000-0000-0000B7050000}"/>
    <cellStyle name="20% - Accent1 4 2 6 3 2" xfId="36306" xr:uid="{00000000-0005-0000-0000-0000B8050000}"/>
    <cellStyle name="20% - Accent1 4 2 6 4" xfId="25005" xr:uid="{00000000-0005-0000-0000-0000B9050000}"/>
    <cellStyle name="20% - Accent1 4 2 7" xfId="4004" xr:uid="{00000000-0005-0000-0000-0000BA050000}"/>
    <cellStyle name="20% - Accent1 4 2 7 2" xfId="9654" xr:uid="{00000000-0005-0000-0000-0000BB050000}"/>
    <cellStyle name="20% - Accent1 4 2 7 2 2" xfId="20955" xr:uid="{00000000-0005-0000-0000-0000BC050000}"/>
    <cellStyle name="20% - Accent1 4 2 7 2 2 2" xfId="43557" xr:uid="{00000000-0005-0000-0000-0000BD050000}"/>
    <cellStyle name="20% - Accent1 4 2 7 2 3" xfId="32256" xr:uid="{00000000-0005-0000-0000-0000BE050000}"/>
    <cellStyle name="20% - Accent1 4 2 7 3" xfId="15305" xr:uid="{00000000-0005-0000-0000-0000BF050000}"/>
    <cellStyle name="20% - Accent1 4 2 7 3 2" xfId="37907" xr:uid="{00000000-0005-0000-0000-0000C0050000}"/>
    <cellStyle name="20% - Accent1 4 2 7 4" xfId="26606" xr:uid="{00000000-0005-0000-0000-0000C1050000}"/>
    <cellStyle name="20% - Accent1 4 2 8" xfId="6455" xr:uid="{00000000-0005-0000-0000-0000C2050000}"/>
    <cellStyle name="20% - Accent1 4 2 8 2" xfId="17756" xr:uid="{00000000-0005-0000-0000-0000C3050000}"/>
    <cellStyle name="20% - Accent1 4 2 8 2 2" xfId="40358" xr:uid="{00000000-0005-0000-0000-0000C4050000}"/>
    <cellStyle name="20% - Accent1 4 2 8 3" xfId="29057" xr:uid="{00000000-0005-0000-0000-0000C5050000}"/>
    <cellStyle name="20% - Accent1 4 2 9" xfId="12106" xr:uid="{00000000-0005-0000-0000-0000C6050000}"/>
    <cellStyle name="20% - Accent1 4 2 9 2" xfId="34708" xr:uid="{00000000-0005-0000-0000-0000C7050000}"/>
    <cellStyle name="20% - Accent1 4 3" xfId="361" xr:uid="{00000000-0005-0000-0000-0000C8050000}"/>
    <cellStyle name="20% - Accent1 4 3 10" xfId="23456" xr:uid="{00000000-0005-0000-0000-0000C9050000}"/>
    <cellStyle name="20% - Accent1 4 3 2" xfId="606" xr:uid="{00000000-0005-0000-0000-0000CA050000}"/>
    <cellStyle name="20% - Accent1 4 3 2 2" xfId="1316" xr:uid="{00000000-0005-0000-0000-0000CB050000}"/>
    <cellStyle name="20% - Accent1 4 3 2 2 2" xfId="1503" xr:uid="{00000000-0005-0000-0000-0000CC050000}"/>
    <cellStyle name="20% - Accent1 4 3 2 2 2 2" xfId="3385" xr:uid="{00000000-0005-0000-0000-0000CD050000}"/>
    <cellStyle name="20% - Accent1 4 3 2 2 2 2 2" xfId="6357" xr:uid="{00000000-0005-0000-0000-0000CE050000}"/>
    <cellStyle name="20% - Accent1 4 3 2 2 2 2 2 2" xfId="12007" xr:uid="{00000000-0005-0000-0000-0000CF050000}"/>
    <cellStyle name="20% - Accent1 4 3 2 2 2 2 2 2 2" xfId="23308" xr:uid="{00000000-0005-0000-0000-0000D0050000}"/>
    <cellStyle name="20% - Accent1 4 3 2 2 2 2 2 2 2 2" xfId="45910" xr:uid="{00000000-0005-0000-0000-0000D1050000}"/>
    <cellStyle name="20% - Accent1 4 3 2 2 2 2 2 2 3" xfId="34609" xr:uid="{00000000-0005-0000-0000-0000D2050000}"/>
    <cellStyle name="20% - Accent1 4 3 2 2 2 2 2 3" xfId="17658" xr:uid="{00000000-0005-0000-0000-0000D3050000}"/>
    <cellStyle name="20% - Accent1 4 3 2 2 2 2 2 3 2" xfId="40260" xr:uid="{00000000-0005-0000-0000-0000D4050000}"/>
    <cellStyle name="20% - Accent1 4 3 2 2 2 2 2 4" xfId="28959" xr:uid="{00000000-0005-0000-0000-0000D5050000}"/>
    <cellStyle name="20% - Accent1 4 3 2 2 2 2 3" xfId="9175" xr:uid="{00000000-0005-0000-0000-0000D6050000}"/>
    <cellStyle name="20% - Accent1 4 3 2 2 2 2 3 2" xfId="20476" xr:uid="{00000000-0005-0000-0000-0000D7050000}"/>
    <cellStyle name="20% - Accent1 4 3 2 2 2 2 3 2 2" xfId="43078" xr:uid="{00000000-0005-0000-0000-0000D8050000}"/>
    <cellStyle name="20% - Accent1 4 3 2 2 2 2 3 3" xfId="31777" xr:uid="{00000000-0005-0000-0000-0000D9050000}"/>
    <cellStyle name="20% - Accent1 4 3 2 2 2 2 4" xfId="14826" xr:uid="{00000000-0005-0000-0000-0000DA050000}"/>
    <cellStyle name="20% - Accent1 4 3 2 2 2 2 4 2" xfId="37428" xr:uid="{00000000-0005-0000-0000-0000DB050000}"/>
    <cellStyle name="20% - Accent1 4 3 2 2 2 2 5" xfId="26127" xr:uid="{00000000-0005-0000-0000-0000DC050000}"/>
    <cellStyle name="20% - Accent1 4 3 2 2 2 3" xfId="5123" xr:uid="{00000000-0005-0000-0000-0000DD050000}"/>
    <cellStyle name="20% - Accent1 4 3 2 2 2 3 2" xfId="10773" xr:uid="{00000000-0005-0000-0000-0000DE050000}"/>
    <cellStyle name="20% - Accent1 4 3 2 2 2 3 2 2" xfId="22074" xr:uid="{00000000-0005-0000-0000-0000DF050000}"/>
    <cellStyle name="20% - Accent1 4 3 2 2 2 3 2 2 2" xfId="44676" xr:uid="{00000000-0005-0000-0000-0000E0050000}"/>
    <cellStyle name="20% - Accent1 4 3 2 2 2 3 2 3" xfId="33375" xr:uid="{00000000-0005-0000-0000-0000E1050000}"/>
    <cellStyle name="20% - Accent1 4 3 2 2 2 3 3" xfId="16424" xr:uid="{00000000-0005-0000-0000-0000E2050000}"/>
    <cellStyle name="20% - Accent1 4 3 2 2 2 3 3 2" xfId="39026" xr:uid="{00000000-0005-0000-0000-0000E3050000}"/>
    <cellStyle name="20% - Accent1 4 3 2 2 2 3 4" xfId="27725" xr:uid="{00000000-0005-0000-0000-0000E4050000}"/>
    <cellStyle name="20% - Accent1 4 3 2 2 2 4" xfId="7359" xr:uid="{00000000-0005-0000-0000-0000E5050000}"/>
    <cellStyle name="20% - Accent1 4 3 2 2 2 4 2" xfId="18660" xr:uid="{00000000-0005-0000-0000-0000E6050000}"/>
    <cellStyle name="20% - Accent1 4 3 2 2 2 4 2 2" xfId="41262" xr:uid="{00000000-0005-0000-0000-0000E7050000}"/>
    <cellStyle name="20% - Accent1 4 3 2 2 2 4 3" xfId="29961" xr:uid="{00000000-0005-0000-0000-0000E8050000}"/>
    <cellStyle name="20% - Accent1 4 3 2 2 2 5" xfId="13010" xr:uid="{00000000-0005-0000-0000-0000E9050000}"/>
    <cellStyle name="20% - Accent1 4 3 2 2 2 5 2" xfId="35612" xr:uid="{00000000-0005-0000-0000-0000EA050000}"/>
    <cellStyle name="20% - Accent1 4 3 2 2 2 6" xfId="24311" xr:uid="{00000000-0005-0000-0000-0000EB050000}"/>
    <cellStyle name="20% - Accent1 4 3 2 2 3" xfId="2714" xr:uid="{00000000-0005-0000-0000-0000EC050000}"/>
    <cellStyle name="20% - Accent1 4 3 2 2 3 2" xfId="5733" xr:uid="{00000000-0005-0000-0000-0000ED050000}"/>
    <cellStyle name="20% - Accent1 4 3 2 2 3 2 2" xfId="11383" xr:uid="{00000000-0005-0000-0000-0000EE050000}"/>
    <cellStyle name="20% - Accent1 4 3 2 2 3 2 2 2" xfId="22684" xr:uid="{00000000-0005-0000-0000-0000EF050000}"/>
    <cellStyle name="20% - Accent1 4 3 2 2 3 2 2 2 2" xfId="45286" xr:uid="{00000000-0005-0000-0000-0000F0050000}"/>
    <cellStyle name="20% - Accent1 4 3 2 2 3 2 2 3" xfId="33985" xr:uid="{00000000-0005-0000-0000-0000F1050000}"/>
    <cellStyle name="20% - Accent1 4 3 2 2 3 2 3" xfId="17034" xr:uid="{00000000-0005-0000-0000-0000F2050000}"/>
    <cellStyle name="20% - Accent1 4 3 2 2 3 2 3 2" xfId="39636" xr:uid="{00000000-0005-0000-0000-0000F3050000}"/>
    <cellStyle name="20% - Accent1 4 3 2 2 3 2 4" xfId="28335" xr:uid="{00000000-0005-0000-0000-0000F4050000}"/>
    <cellStyle name="20% - Accent1 4 3 2 2 3 3" xfId="8550" xr:uid="{00000000-0005-0000-0000-0000F5050000}"/>
    <cellStyle name="20% - Accent1 4 3 2 2 3 3 2" xfId="19851" xr:uid="{00000000-0005-0000-0000-0000F6050000}"/>
    <cellStyle name="20% - Accent1 4 3 2 2 3 3 2 2" xfId="42453" xr:uid="{00000000-0005-0000-0000-0000F7050000}"/>
    <cellStyle name="20% - Accent1 4 3 2 2 3 3 3" xfId="31152" xr:uid="{00000000-0005-0000-0000-0000F8050000}"/>
    <cellStyle name="20% - Accent1 4 3 2 2 3 4" xfId="14201" xr:uid="{00000000-0005-0000-0000-0000F9050000}"/>
    <cellStyle name="20% - Accent1 4 3 2 2 3 4 2" xfId="36803" xr:uid="{00000000-0005-0000-0000-0000FA050000}"/>
    <cellStyle name="20% - Accent1 4 3 2 2 3 5" xfId="25502" xr:uid="{00000000-0005-0000-0000-0000FB050000}"/>
    <cellStyle name="20% - Accent1 4 3 2 2 4" xfId="4499" xr:uid="{00000000-0005-0000-0000-0000FC050000}"/>
    <cellStyle name="20% - Accent1 4 3 2 2 4 2" xfId="10149" xr:uid="{00000000-0005-0000-0000-0000FD050000}"/>
    <cellStyle name="20% - Accent1 4 3 2 2 4 2 2" xfId="21450" xr:uid="{00000000-0005-0000-0000-0000FE050000}"/>
    <cellStyle name="20% - Accent1 4 3 2 2 4 2 2 2" xfId="44052" xr:uid="{00000000-0005-0000-0000-0000FF050000}"/>
    <cellStyle name="20% - Accent1 4 3 2 2 4 2 3" xfId="32751" xr:uid="{00000000-0005-0000-0000-000000060000}"/>
    <cellStyle name="20% - Accent1 4 3 2 2 4 3" xfId="15800" xr:uid="{00000000-0005-0000-0000-000001060000}"/>
    <cellStyle name="20% - Accent1 4 3 2 2 4 3 2" xfId="38402" xr:uid="{00000000-0005-0000-0000-000002060000}"/>
    <cellStyle name="20% - Accent1 4 3 2 2 4 4" xfId="27101" xr:uid="{00000000-0005-0000-0000-000003060000}"/>
    <cellStyle name="20% - Accent1 4 3 2 2 5" xfId="7295" xr:uid="{00000000-0005-0000-0000-000004060000}"/>
    <cellStyle name="20% - Accent1 4 3 2 2 5 2" xfId="18596" xr:uid="{00000000-0005-0000-0000-000005060000}"/>
    <cellStyle name="20% - Accent1 4 3 2 2 5 2 2" xfId="41198" xr:uid="{00000000-0005-0000-0000-000006060000}"/>
    <cellStyle name="20% - Accent1 4 3 2 2 5 3" xfId="29897" xr:uid="{00000000-0005-0000-0000-000007060000}"/>
    <cellStyle name="20% - Accent1 4 3 2 2 6" xfId="12946" xr:uid="{00000000-0005-0000-0000-000008060000}"/>
    <cellStyle name="20% - Accent1 4 3 2 2 6 2" xfId="35548" xr:uid="{00000000-0005-0000-0000-000009060000}"/>
    <cellStyle name="20% - Accent1 4 3 2 2 7" xfId="24247" xr:uid="{00000000-0005-0000-0000-00000A060000}"/>
    <cellStyle name="20% - Accent1 4 3 2 3" xfId="1014" xr:uid="{00000000-0005-0000-0000-00000B060000}"/>
    <cellStyle name="20% - Accent1 4 3 2 3 2" xfId="3077" xr:uid="{00000000-0005-0000-0000-00000C060000}"/>
    <cellStyle name="20% - Accent1 4 3 2 3 2 2" xfId="6049" xr:uid="{00000000-0005-0000-0000-00000D060000}"/>
    <cellStyle name="20% - Accent1 4 3 2 3 2 2 2" xfId="11699" xr:uid="{00000000-0005-0000-0000-00000E060000}"/>
    <cellStyle name="20% - Accent1 4 3 2 3 2 2 2 2" xfId="23000" xr:uid="{00000000-0005-0000-0000-00000F060000}"/>
    <cellStyle name="20% - Accent1 4 3 2 3 2 2 2 2 2" xfId="45602" xr:uid="{00000000-0005-0000-0000-000010060000}"/>
    <cellStyle name="20% - Accent1 4 3 2 3 2 2 2 3" xfId="34301" xr:uid="{00000000-0005-0000-0000-000011060000}"/>
    <cellStyle name="20% - Accent1 4 3 2 3 2 2 3" xfId="17350" xr:uid="{00000000-0005-0000-0000-000012060000}"/>
    <cellStyle name="20% - Accent1 4 3 2 3 2 2 3 2" xfId="39952" xr:uid="{00000000-0005-0000-0000-000013060000}"/>
    <cellStyle name="20% - Accent1 4 3 2 3 2 2 4" xfId="28651" xr:uid="{00000000-0005-0000-0000-000014060000}"/>
    <cellStyle name="20% - Accent1 4 3 2 3 2 3" xfId="8867" xr:uid="{00000000-0005-0000-0000-000015060000}"/>
    <cellStyle name="20% - Accent1 4 3 2 3 2 3 2" xfId="20168" xr:uid="{00000000-0005-0000-0000-000016060000}"/>
    <cellStyle name="20% - Accent1 4 3 2 3 2 3 2 2" xfId="42770" xr:uid="{00000000-0005-0000-0000-000017060000}"/>
    <cellStyle name="20% - Accent1 4 3 2 3 2 3 3" xfId="31469" xr:uid="{00000000-0005-0000-0000-000018060000}"/>
    <cellStyle name="20% - Accent1 4 3 2 3 2 4" xfId="14518" xr:uid="{00000000-0005-0000-0000-000019060000}"/>
    <cellStyle name="20% - Accent1 4 3 2 3 2 4 2" xfId="37120" xr:uid="{00000000-0005-0000-0000-00001A060000}"/>
    <cellStyle name="20% - Accent1 4 3 2 3 2 5" xfId="25819" xr:uid="{00000000-0005-0000-0000-00001B060000}"/>
    <cellStyle name="20% - Accent1 4 3 2 3 3" xfId="4815" xr:uid="{00000000-0005-0000-0000-00001C060000}"/>
    <cellStyle name="20% - Accent1 4 3 2 3 3 2" xfId="10465" xr:uid="{00000000-0005-0000-0000-00001D060000}"/>
    <cellStyle name="20% - Accent1 4 3 2 3 3 2 2" xfId="21766" xr:uid="{00000000-0005-0000-0000-00001E060000}"/>
    <cellStyle name="20% - Accent1 4 3 2 3 3 2 2 2" xfId="44368" xr:uid="{00000000-0005-0000-0000-00001F060000}"/>
    <cellStyle name="20% - Accent1 4 3 2 3 3 2 3" xfId="33067" xr:uid="{00000000-0005-0000-0000-000020060000}"/>
    <cellStyle name="20% - Accent1 4 3 2 3 3 3" xfId="16116" xr:uid="{00000000-0005-0000-0000-000021060000}"/>
    <cellStyle name="20% - Accent1 4 3 2 3 3 3 2" xfId="38718" xr:uid="{00000000-0005-0000-0000-000022060000}"/>
    <cellStyle name="20% - Accent1 4 3 2 3 3 4" xfId="27417" xr:uid="{00000000-0005-0000-0000-000023060000}"/>
    <cellStyle name="20% - Accent1 4 3 2 3 4" xfId="7002" xr:uid="{00000000-0005-0000-0000-000024060000}"/>
    <cellStyle name="20% - Accent1 4 3 2 3 4 2" xfId="18303" xr:uid="{00000000-0005-0000-0000-000025060000}"/>
    <cellStyle name="20% - Accent1 4 3 2 3 4 2 2" xfId="40905" xr:uid="{00000000-0005-0000-0000-000026060000}"/>
    <cellStyle name="20% - Accent1 4 3 2 3 4 3" xfId="29604" xr:uid="{00000000-0005-0000-0000-000027060000}"/>
    <cellStyle name="20% - Accent1 4 3 2 3 5" xfId="12653" xr:uid="{00000000-0005-0000-0000-000028060000}"/>
    <cellStyle name="20% - Accent1 4 3 2 3 5 2" xfId="35255" xr:uid="{00000000-0005-0000-0000-000029060000}"/>
    <cellStyle name="20% - Accent1 4 3 2 3 6" xfId="23954" xr:uid="{00000000-0005-0000-0000-00002A060000}"/>
    <cellStyle name="20% - Accent1 4 3 2 4" xfId="1502" xr:uid="{00000000-0005-0000-0000-00002B060000}"/>
    <cellStyle name="20% - Accent1 4 3 2 4 2" xfId="3518" xr:uid="{00000000-0005-0000-0000-00002C060000}"/>
    <cellStyle name="20% - Accent1 4 3 2 4 2 2" xfId="9245" xr:uid="{00000000-0005-0000-0000-00002D060000}"/>
    <cellStyle name="20% - Accent1 4 3 2 4 2 2 2" xfId="20546" xr:uid="{00000000-0005-0000-0000-00002E060000}"/>
    <cellStyle name="20% - Accent1 4 3 2 4 2 2 2 2" xfId="43148" xr:uid="{00000000-0005-0000-0000-00002F060000}"/>
    <cellStyle name="20% - Accent1 4 3 2 4 2 2 3" xfId="31847" xr:uid="{00000000-0005-0000-0000-000030060000}"/>
    <cellStyle name="20% - Accent1 4 3 2 4 2 3" xfId="14896" xr:uid="{00000000-0005-0000-0000-000031060000}"/>
    <cellStyle name="20% - Accent1 4 3 2 4 2 3 2" xfId="37498" xr:uid="{00000000-0005-0000-0000-000032060000}"/>
    <cellStyle name="20% - Accent1 4 3 2 4 2 4" xfId="26197" xr:uid="{00000000-0005-0000-0000-000033060000}"/>
    <cellStyle name="20% - Accent1 4 3 2 4 3" xfId="5425" xr:uid="{00000000-0005-0000-0000-000034060000}"/>
    <cellStyle name="20% - Accent1 4 3 2 4 3 2" xfId="11075" xr:uid="{00000000-0005-0000-0000-000035060000}"/>
    <cellStyle name="20% - Accent1 4 3 2 4 3 2 2" xfId="22376" xr:uid="{00000000-0005-0000-0000-000036060000}"/>
    <cellStyle name="20% - Accent1 4 3 2 4 3 2 2 2" xfId="44978" xr:uid="{00000000-0005-0000-0000-000037060000}"/>
    <cellStyle name="20% - Accent1 4 3 2 4 3 2 3" xfId="33677" xr:uid="{00000000-0005-0000-0000-000038060000}"/>
    <cellStyle name="20% - Accent1 4 3 2 4 3 3" xfId="16726" xr:uid="{00000000-0005-0000-0000-000039060000}"/>
    <cellStyle name="20% - Accent1 4 3 2 4 3 3 2" xfId="39328" xr:uid="{00000000-0005-0000-0000-00003A060000}"/>
    <cellStyle name="20% - Accent1 4 3 2 4 3 4" xfId="28027" xr:uid="{00000000-0005-0000-0000-00003B060000}"/>
    <cellStyle name="20% - Accent1 4 3 2 4 4" xfId="7358" xr:uid="{00000000-0005-0000-0000-00003C060000}"/>
    <cellStyle name="20% - Accent1 4 3 2 4 4 2" xfId="18659" xr:uid="{00000000-0005-0000-0000-00003D060000}"/>
    <cellStyle name="20% - Accent1 4 3 2 4 4 2 2" xfId="41261" xr:uid="{00000000-0005-0000-0000-00003E060000}"/>
    <cellStyle name="20% - Accent1 4 3 2 4 4 3" xfId="29960" xr:uid="{00000000-0005-0000-0000-00003F060000}"/>
    <cellStyle name="20% - Accent1 4 3 2 4 5" xfId="13009" xr:uid="{00000000-0005-0000-0000-000040060000}"/>
    <cellStyle name="20% - Accent1 4 3 2 4 5 2" xfId="35611" xr:uid="{00000000-0005-0000-0000-000041060000}"/>
    <cellStyle name="20% - Accent1 4 3 2 4 6" xfId="24310" xr:uid="{00000000-0005-0000-0000-000042060000}"/>
    <cellStyle name="20% - Accent1 4 3 2 5" xfId="2406" xr:uid="{00000000-0005-0000-0000-000043060000}"/>
    <cellStyle name="20% - Accent1 4 3 2 5 2" xfId="8242" xr:uid="{00000000-0005-0000-0000-000044060000}"/>
    <cellStyle name="20% - Accent1 4 3 2 5 2 2" xfId="19543" xr:uid="{00000000-0005-0000-0000-000045060000}"/>
    <cellStyle name="20% - Accent1 4 3 2 5 2 2 2" xfId="42145" xr:uid="{00000000-0005-0000-0000-000046060000}"/>
    <cellStyle name="20% - Accent1 4 3 2 5 2 3" xfId="30844" xr:uid="{00000000-0005-0000-0000-000047060000}"/>
    <cellStyle name="20% - Accent1 4 3 2 5 3" xfId="13893" xr:uid="{00000000-0005-0000-0000-000048060000}"/>
    <cellStyle name="20% - Accent1 4 3 2 5 3 2" xfId="36495" xr:uid="{00000000-0005-0000-0000-000049060000}"/>
    <cellStyle name="20% - Accent1 4 3 2 5 4" xfId="25194" xr:uid="{00000000-0005-0000-0000-00004A060000}"/>
    <cellStyle name="20% - Accent1 4 3 2 6" xfId="4191" xr:uid="{00000000-0005-0000-0000-00004B060000}"/>
    <cellStyle name="20% - Accent1 4 3 2 6 2" xfId="9841" xr:uid="{00000000-0005-0000-0000-00004C060000}"/>
    <cellStyle name="20% - Accent1 4 3 2 6 2 2" xfId="21142" xr:uid="{00000000-0005-0000-0000-00004D060000}"/>
    <cellStyle name="20% - Accent1 4 3 2 6 2 2 2" xfId="43744" xr:uid="{00000000-0005-0000-0000-00004E060000}"/>
    <cellStyle name="20% - Accent1 4 3 2 6 2 3" xfId="32443" xr:uid="{00000000-0005-0000-0000-00004F060000}"/>
    <cellStyle name="20% - Accent1 4 3 2 6 3" xfId="15492" xr:uid="{00000000-0005-0000-0000-000050060000}"/>
    <cellStyle name="20% - Accent1 4 3 2 6 3 2" xfId="38094" xr:uid="{00000000-0005-0000-0000-000051060000}"/>
    <cellStyle name="20% - Accent1 4 3 2 6 4" xfId="26793" xr:uid="{00000000-0005-0000-0000-000052060000}"/>
    <cellStyle name="20% - Accent1 4 3 2 7" xfId="6671" xr:uid="{00000000-0005-0000-0000-000053060000}"/>
    <cellStyle name="20% - Accent1 4 3 2 7 2" xfId="17972" xr:uid="{00000000-0005-0000-0000-000054060000}"/>
    <cellStyle name="20% - Accent1 4 3 2 7 2 2" xfId="40574" xr:uid="{00000000-0005-0000-0000-000055060000}"/>
    <cellStyle name="20% - Accent1 4 3 2 7 3" xfId="29273" xr:uid="{00000000-0005-0000-0000-000056060000}"/>
    <cellStyle name="20% - Accent1 4 3 2 8" xfId="12322" xr:uid="{00000000-0005-0000-0000-000057060000}"/>
    <cellStyle name="20% - Accent1 4 3 2 8 2" xfId="34924" xr:uid="{00000000-0005-0000-0000-000058060000}"/>
    <cellStyle name="20% - Accent1 4 3 2 9" xfId="23623" xr:uid="{00000000-0005-0000-0000-000059060000}"/>
    <cellStyle name="20% - Accent1 4 3 3" xfId="1178" xr:uid="{00000000-0005-0000-0000-00005A060000}"/>
    <cellStyle name="20% - Accent1 4 3 3 2" xfId="1504" xr:uid="{00000000-0005-0000-0000-00005B060000}"/>
    <cellStyle name="20% - Accent1 4 3 3 2 2" xfId="3246" xr:uid="{00000000-0005-0000-0000-00005C060000}"/>
    <cellStyle name="20% - Accent1 4 3 3 2 2 2" xfId="6218" xr:uid="{00000000-0005-0000-0000-00005D060000}"/>
    <cellStyle name="20% - Accent1 4 3 3 2 2 2 2" xfId="11868" xr:uid="{00000000-0005-0000-0000-00005E060000}"/>
    <cellStyle name="20% - Accent1 4 3 3 2 2 2 2 2" xfId="23169" xr:uid="{00000000-0005-0000-0000-00005F060000}"/>
    <cellStyle name="20% - Accent1 4 3 3 2 2 2 2 2 2" xfId="45771" xr:uid="{00000000-0005-0000-0000-000060060000}"/>
    <cellStyle name="20% - Accent1 4 3 3 2 2 2 2 3" xfId="34470" xr:uid="{00000000-0005-0000-0000-000061060000}"/>
    <cellStyle name="20% - Accent1 4 3 3 2 2 2 3" xfId="17519" xr:uid="{00000000-0005-0000-0000-000062060000}"/>
    <cellStyle name="20% - Accent1 4 3 3 2 2 2 3 2" xfId="40121" xr:uid="{00000000-0005-0000-0000-000063060000}"/>
    <cellStyle name="20% - Accent1 4 3 3 2 2 2 4" xfId="28820" xr:uid="{00000000-0005-0000-0000-000064060000}"/>
    <cellStyle name="20% - Accent1 4 3 3 2 2 3" xfId="9036" xr:uid="{00000000-0005-0000-0000-000065060000}"/>
    <cellStyle name="20% - Accent1 4 3 3 2 2 3 2" xfId="20337" xr:uid="{00000000-0005-0000-0000-000066060000}"/>
    <cellStyle name="20% - Accent1 4 3 3 2 2 3 2 2" xfId="42939" xr:uid="{00000000-0005-0000-0000-000067060000}"/>
    <cellStyle name="20% - Accent1 4 3 3 2 2 3 3" xfId="31638" xr:uid="{00000000-0005-0000-0000-000068060000}"/>
    <cellStyle name="20% - Accent1 4 3 3 2 2 4" xfId="14687" xr:uid="{00000000-0005-0000-0000-000069060000}"/>
    <cellStyle name="20% - Accent1 4 3 3 2 2 4 2" xfId="37289" xr:uid="{00000000-0005-0000-0000-00006A060000}"/>
    <cellStyle name="20% - Accent1 4 3 3 2 2 5" xfId="25988" xr:uid="{00000000-0005-0000-0000-00006B060000}"/>
    <cellStyle name="20% - Accent1 4 3 3 2 3" xfId="4984" xr:uid="{00000000-0005-0000-0000-00006C060000}"/>
    <cellStyle name="20% - Accent1 4 3 3 2 3 2" xfId="10634" xr:uid="{00000000-0005-0000-0000-00006D060000}"/>
    <cellStyle name="20% - Accent1 4 3 3 2 3 2 2" xfId="21935" xr:uid="{00000000-0005-0000-0000-00006E060000}"/>
    <cellStyle name="20% - Accent1 4 3 3 2 3 2 2 2" xfId="44537" xr:uid="{00000000-0005-0000-0000-00006F060000}"/>
    <cellStyle name="20% - Accent1 4 3 3 2 3 2 3" xfId="33236" xr:uid="{00000000-0005-0000-0000-000070060000}"/>
    <cellStyle name="20% - Accent1 4 3 3 2 3 3" xfId="16285" xr:uid="{00000000-0005-0000-0000-000071060000}"/>
    <cellStyle name="20% - Accent1 4 3 3 2 3 3 2" xfId="38887" xr:uid="{00000000-0005-0000-0000-000072060000}"/>
    <cellStyle name="20% - Accent1 4 3 3 2 3 4" xfId="27586" xr:uid="{00000000-0005-0000-0000-000073060000}"/>
    <cellStyle name="20% - Accent1 4 3 3 2 4" xfId="7360" xr:uid="{00000000-0005-0000-0000-000074060000}"/>
    <cellStyle name="20% - Accent1 4 3 3 2 4 2" xfId="18661" xr:uid="{00000000-0005-0000-0000-000075060000}"/>
    <cellStyle name="20% - Accent1 4 3 3 2 4 2 2" xfId="41263" xr:uid="{00000000-0005-0000-0000-000076060000}"/>
    <cellStyle name="20% - Accent1 4 3 3 2 4 3" xfId="29962" xr:uid="{00000000-0005-0000-0000-000077060000}"/>
    <cellStyle name="20% - Accent1 4 3 3 2 5" xfId="13011" xr:uid="{00000000-0005-0000-0000-000078060000}"/>
    <cellStyle name="20% - Accent1 4 3 3 2 5 2" xfId="35613" xr:uid="{00000000-0005-0000-0000-000079060000}"/>
    <cellStyle name="20% - Accent1 4 3 3 2 6" xfId="24312" xr:uid="{00000000-0005-0000-0000-00007A060000}"/>
    <cellStyle name="20% - Accent1 4 3 3 3" xfId="2575" xr:uid="{00000000-0005-0000-0000-00007B060000}"/>
    <cellStyle name="20% - Accent1 4 3 3 3 2" xfId="5594" xr:uid="{00000000-0005-0000-0000-00007C060000}"/>
    <cellStyle name="20% - Accent1 4 3 3 3 2 2" xfId="11244" xr:uid="{00000000-0005-0000-0000-00007D060000}"/>
    <cellStyle name="20% - Accent1 4 3 3 3 2 2 2" xfId="22545" xr:uid="{00000000-0005-0000-0000-00007E060000}"/>
    <cellStyle name="20% - Accent1 4 3 3 3 2 2 2 2" xfId="45147" xr:uid="{00000000-0005-0000-0000-00007F060000}"/>
    <cellStyle name="20% - Accent1 4 3 3 3 2 2 3" xfId="33846" xr:uid="{00000000-0005-0000-0000-000080060000}"/>
    <cellStyle name="20% - Accent1 4 3 3 3 2 3" xfId="16895" xr:uid="{00000000-0005-0000-0000-000081060000}"/>
    <cellStyle name="20% - Accent1 4 3 3 3 2 3 2" xfId="39497" xr:uid="{00000000-0005-0000-0000-000082060000}"/>
    <cellStyle name="20% - Accent1 4 3 3 3 2 4" xfId="28196" xr:uid="{00000000-0005-0000-0000-000083060000}"/>
    <cellStyle name="20% - Accent1 4 3 3 3 3" xfId="8411" xr:uid="{00000000-0005-0000-0000-000084060000}"/>
    <cellStyle name="20% - Accent1 4 3 3 3 3 2" xfId="19712" xr:uid="{00000000-0005-0000-0000-000085060000}"/>
    <cellStyle name="20% - Accent1 4 3 3 3 3 2 2" xfId="42314" xr:uid="{00000000-0005-0000-0000-000086060000}"/>
    <cellStyle name="20% - Accent1 4 3 3 3 3 3" xfId="31013" xr:uid="{00000000-0005-0000-0000-000087060000}"/>
    <cellStyle name="20% - Accent1 4 3 3 3 4" xfId="14062" xr:uid="{00000000-0005-0000-0000-000088060000}"/>
    <cellStyle name="20% - Accent1 4 3 3 3 4 2" xfId="36664" xr:uid="{00000000-0005-0000-0000-000089060000}"/>
    <cellStyle name="20% - Accent1 4 3 3 3 5" xfId="25363" xr:uid="{00000000-0005-0000-0000-00008A060000}"/>
    <cellStyle name="20% - Accent1 4 3 3 4" xfId="4360" xr:uid="{00000000-0005-0000-0000-00008B060000}"/>
    <cellStyle name="20% - Accent1 4 3 3 4 2" xfId="10010" xr:uid="{00000000-0005-0000-0000-00008C060000}"/>
    <cellStyle name="20% - Accent1 4 3 3 4 2 2" xfId="21311" xr:uid="{00000000-0005-0000-0000-00008D060000}"/>
    <cellStyle name="20% - Accent1 4 3 3 4 2 2 2" xfId="43913" xr:uid="{00000000-0005-0000-0000-00008E060000}"/>
    <cellStyle name="20% - Accent1 4 3 3 4 2 3" xfId="32612" xr:uid="{00000000-0005-0000-0000-00008F060000}"/>
    <cellStyle name="20% - Accent1 4 3 3 4 3" xfId="15661" xr:uid="{00000000-0005-0000-0000-000090060000}"/>
    <cellStyle name="20% - Accent1 4 3 3 4 3 2" xfId="38263" xr:uid="{00000000-0005-0000-0000-000091060000}"/>
    <cellStyle name="20% - Accent1 4 3 3 4 4" xfId="26962" xr:uid="{00000000-0005-0000-0000-000092060000}"/>
    <cellStyle name="20% - Accent1 4 3 3 5" xfId="7157" xr:uid="{00000000-0005-0000-0000-000093060000}"/>
    <cellStyle name="20% - Accent1 4 3 3 5 2" xfId="18458" xr:uid="{00000000-0005-0000-0000-000094060000}"/>
    <cellStyle name="20% - Accent1 4 3 3 5 2 2" xfId="41060" xr:uid="{00000000-0005-0000-0000-000095060000}"/>
    <cellStyle name="20% - Accent1 4 3 3 5 3" xfId="29759" xr:uid="{00000000-0005-0000-0000-000096060000}"/>
    <cellStyle name="20% - Accent1 4 3 3 6" xfId="12808" xr:uid="{00000000-0005-0000-0000-000097060000}"/>
    <cellStyle name="20% - Accent1 4 3 3 6 2" xfId="35410" xr:uid="{00000000-0005-0000-0000-000098060000}"/>
    <cellStyle name="20% - Accent1 4 3 3 7" xfId="24109" xr:uid="{00000000-0005-0000-0000-000099060000}"/>
    <cellStyle name="20% - Accent1 4 3 4" xfId="869" xr:uid="{00000000-0005-0000-0000-00009A060000}"/>
    <cellStyle name="20% - Accent1 4 3 4 2" xfId="2939" xr:uid="{00000000-0005-0000-0000-00009B060000}"/>
    <cellStyle name="20% - Accent1 4 3 4 2 2" xfId="5911" xr:uid="{00000000-0005-0000-0000-00009C060000}"/>
    <cellStyle name="20% - Accent1 4 3 4 2 2 2" xfId="11561" xr:uid="{00000000-0005-0000-0000-00009D060000}"/>
    <cellStyle name="20% - Accent1 4 3 4 2 2 2 2" xfId="22862" xr:uid="{00000000-0005-0000-0000-00009E060000}"/>
    <cellStyle name="20% - Accent1 4 3 4 2 2 2 2 2" xfId="45464" xr:uid="{00000000-0005-0000-0000-00009F060000}"/>
    <cellStyle name="20% - Accent1 4 3 4 2 2 2 3" xfId="34163" xr:uid="{00000000-0005-0000-0000-0000A0060000}"/>
    <cellStyle name="20% - Accent1 4 3 4 2 2 3" xfId="17212" xr:uid="{00000000-0005-0000-0000-0000A1060000}"/>
    <cellStyle name="20% - Accent1 4 3 4 2 2 3 2" xfId="39814" xr:uid="{00000000-0005-0000-0000-0000A2060000}"/>
    <cellStyle name="20% - Accent1 4 3 4 2 2 4" xfId="28513" xr:uid="{00000000-0005-0000-0000-0000A3060000}"/>
    <cellStyle name="20% - Accent1 4 3 4 2 3" xfId="8729" xr:uid="{00000000-0005-0000-0000-0000A4060000}"/>
    <cellStyle name="20% - Accent1 4 3 4 2 3 2" xfId="20030" xr:uid="{00000000-0005-0000-0000-0000A5060000}"/>
    <cellStyle name="20% - Accent1 4 3 4 2 3 2 2" xfId="42632" xr:uid="{00000000-0005-0000-0000-0000A6060000}"/>
    <cellStyle name="20% - Accent1 4 3 4 2 3 3" xfId="31331" xr:uid="{00000000-0005-0000-0000-0000A7060000}"/>
    <cellStyle name="20% - Accent1 4 3 4 2 4" xfId="14380" xr:uid="{00000000-0005-0000-0000-0000A8060000}"/>
    <cellStyle name="20% - Accent1 4 3 4 2 4 2" xfId="36982" xr:uid="{00000000-0005-0000-0000-0000A9060000}"/>
    <cellStyle name="20% - Accent1 4 3 4 2 5" xfId="25681" xr:uid="{00000000-0005-0000-0000-0000AA060000}"/>
    <cellStyle name="20% - Accent1 4 3 4 3" xfId="4677" xr:uid="{00000000-0005-0000-0000-0000AB060000}"/>
    <cellStyle name="20% - Accent1 4 3 4 3 2" xfId="10327" xr:uid="{00000000-0005-0000-0000-0000AC060000}"/>
    <cellStyle name="20% - Accent1 4 3 4 3 2 2" xfId="21628" xr:uid="{00000000-0005-0000-0000-0000AD060000}"/>
    <cellStyle name="20% - Accent1 4 3 4 3 2 2 2" xfId="44230" xr:uid="{00000000-0005-0000-0000-0000AE060000}"/>
    <cellStyle name="20% - Accent1 4 3 4 3 2 3" xfId="32929" xr:uid="{00000000-0005-0000-0000-0000AF060000}"/>
    <cellStyle name="20% - Accent1 4 3 4 3 3" xfId="15978" xr:uid="{00000000-0005-0000-0000-0000B0060000}"/>
    <cellStyle name="20% - Accent1 4 3 4 3 3 2" xfId="38580" xr:uid="{00000000-0005-0000-0000-0000B1060000}"/>
    <cellStyle name="20% - Accent1 4 3 4 3 4" xfId="27279" xr:uid="{00000000-0005-0000-0000-0000B2060000}"/>
    <cellStyle name="20% - Accent1 4 3 4 4" xfId="6864" xr:uid="{00000000-0005-0000-0000-0000B3060000}"/>
    <cellStyle name="20% - Accent1 4 3 4 4 2" xfId="18165" xr:uid="{00000000-0005-0000-0000-0000B4060000}"/>
    <cellStyle name="20% - Accent1 4 3 4 4 2 2" xfId="40767" xr:uid="{00000000-0005-0000-0000-0000B5060000}"/>
    <cellStyle name="20% - Accent1 4 3 4 4 3" xfId="29466" xr:uid="{00000000-0005-0000-0000-0000B6060000}"/>
    <cellStyle name="20% - Accent1 4 3 4 5" xfId="12515" xr:uid="{00000000-0005-0000-0000-0000B7060000}"/>
    <cellStyle name="20% - Accent1 4 3 4 5 2" xfId="35117" xr:uid="{00000000-0005-0000-0000-0000B8060000}"/>
    <cellStyle name="20% - Accent1 4 3 4 6" xfId="23816" xr:uid="{00000000-0005-0000-0000-0000B9060000}"/>
    <cellStyle name="20% - Accent1 4 3 5" xfId="1501" xr:uid="{00000000-0005-0000-0000-0000BA060000}"/>
    <cellStyle name="20% - Accent1 4 3 5 2" xfId="3492" xr:uid="{00000000-0005-0000-0000-0000BB060000}"/>
    <cellStyle name="20% - Accent1 4 3 5 2 2" xfId="9235" xr:uid="{00000000-0005-0000-0000-0000BC060000}"/>
    <cellStyle name="20% - Accent1 4 3 5 2 2 2" xfId="20536" xr:uid="{00000000-0005-0000-0000-0000BD060000}"/>
    <cellStyle name="20% - Accent1 4 3 5 2 2 2 2" xfId="43138" xr:uid="{00000000-0005-0000-0000-0000BE060000}"/>
    <cellStyle name="20% - Accent1 4 3 5 2 2 3" xfId="31837" xr:uid="{00000000-0005-0000-0000-0000BF060000}"/>
    <cellStyle name="20% - Accent1 4 3 5 2 3" xfId="14886" xr:uid="{00000000-0005-0000-0000-0000C0060000}"/>
    <cellStyle name="20% - Accent1 4 3 5 2 3 2" xfId="37488" xr:uid="{00000000-0005-0000-0000-0000C1060000}"/>
    <cellStyle name="20% - Accent1 4 3 5 2 4" xfId="26187" xr:uid="{00000000-0005-0000-0000-0000C2060000}"/>
    <cellStyle name="20% - Accent1 4 3 5 3" xfId="5287" xr:uid="{00000000-0005-0000-0000-0000C3060000}"/>
    <cellStyle name="20% - Accent1 4 3 5 3 2" xfId="10937" xr:uid="{00000000-0005-0000-0000-0000C4060000}"/>
    <cellStyle name="20% - Accent1 4 3 5 3 2 2" xfId="22238" xr:uid="{00000000-0005-0000-0000-0000C5060000}"/>
    <cellStyle name="20% - Accent1 4 3 5 3 2 2 2" xfId="44840" xr:uid="{00000000-0005-0000-0000-0000C6060000}"/>
    <cellStyle name="20% - Accent1 4 3 5 3 2 3" xfId="33539" xr:uid="{00000000-0005-0000-0000-0000C7060000}"/>
    <cellStyle name="20% - Accent1 4 3 5 3 3" xfId="16588" xr:uid="{00000000-0005-0000-0000-0000C8060000}"/>
    <cellStyle name="20% - Accent1 4 3 5 3 3 2" xfId="39190" xr:uid="{00000000-0005-0000-0000-0000C9060000}"/>
    <cellStyle name="20% - Accent1 4 3 5 3 4" xfId="27889" xr:uid="{00000000-0005-0000-0000-0000CA060000}"/>
    <cellStyle name="20% - Accent1 4 3 5 4" xfId="7357" xr:uid="{00000000-0005-0000-0000-0000CB060000}"/>
    <cellStyle name="20% - Accent1 4 3 5 4 2" xfId="18658" xr:uid="{00000000-0005-0000-0000-0000CC060000}"/>
    <cellStyle name="20% - Accent1 4 3 5 4 2 2" xfId="41260" xr:uid="{00000000-0005-0000-0000-0000CD060000}"/>
    <cellStyle name="20% - Accent1 4 3 5 4 3" xfId="29959" xr:uid="{00000000-0005-0000-0000-0000CE060000}"/>
    <cellStyle name="20% - Accent1 4 3 5 5" xfId="13008" xr:uid="{00000000-0005-0000-0000-0000CF060000}"/>
    <cellStyle name="20% - Accent1 4 3 5 5 2" xfId="35610" xr:uid="{00000000-0005-0000-0000-0000D0060000}"/>
    <cellStyle name="20% - Accent1 4 3 5 6" xfId="24309" xr:uid="{00000000-0005-0000-0000-0000D1060000}"/>
    <cellStyle name="20% - Accent1 4 3 6" xfId="2266" xr:uid="{00000000-0005-0000-0000-0000D2060000}"/>
    <cellStyle name="20% - Accent1 4 3 6 2" xfId="8102" xr:uid="{00000000-0005-0000-0000-0000D3060000}"/>
    <cellStyle name="20% - Accent1 4 3 6 2 2" xfId="19403" xr:uid="{00000000-0005-0000-0000-0000D4060000}"/>
    <cellStyle name="20% - Accent1 4 3 6 2 2 2" xfId="42005" xr:uid="{00000000-0005-0000-0000-0000D5060000}"/>
    <cellStyle name="20% - Accent1 4 3 6 2 3" xfId="30704" xr:uid="{00000000-0005-0000-0000-0000D6060000}"/>
    <cellStyle name="20% - Accent1 4 3 6 3" xfId="13753" xr:uid="{00000000-0005-0000-0000-0000D7060000}"/>
    <cellStyle name="20% - Accent1 4 3 6 3 2" xfId="36355" xr:uid="{00000000-0005-0000-0000-0000D8060000}"/>
    <cellStyle name="20% - Accent1 4 3 6 4" xfId="25054" xr:uid="{00000000-0005-0000-0000-0000D9060000}"/>
    <cellStyle name="20% - Accent1 4 3 7" xfId="4053" xr:uid="{00000000-0005-0000-0000-0000DA060000}"/>
    <cellStyle name="20% - Accent1 4 3 7 2" xfId="9703" xr:uid="{00000000-0005-0000-0000-0000DB060000}"/>
    <cellStyle name="20% - Accent1 4 3 7 2 2" xfId="21004" xr:uid="{00000000-0005-0000-0000-0000DC060000}"/>
    <cellStyle name="20% - Accent1 4 3 7 2 2 2" xfId="43606" xr:uid="{00000000-0005-0000-0000-0000DD060000}"/>
    <cellStyle name="20% - Accent1 4 3 7 2 3" xfId="32305" xr:uid="{00000000-0005-0000-0000-0000DE060000}"/>
    <cellStyle name="20% - Accent1 4 3 7 3" xfId="15354" xr:uid="{00000000-0005-0000-0000-0000DF060000}"/>
    <cellStyle name="20% - Accent1 4 3 7 3 2" xfId="37956" xr:uid="{00000000-0005-0000-0000-0000E0060000}"/>
    <cellStyle name="20% - Accent1 4 3 7 4" xfId="26655" xr:uid="{00000000-0005-0000-0000-0000E1060000}"/>
    <cellStyle name="20% - Accent1 4 3 8" xfId="6504" xr:uid="{00000000-0005-0000-0000-0000E2060000}"/>
    <cellStyle name="20% - Accent1 4 3 8 2" xfId="17805" xr:uid="{00000000-0005-0000-0000-0000E3060000}"/>
    <cellStyle name="20% - Accent1 4 3 8 2 2" xfId="40407" xr:uid="{00000000-0005-0000-0000-0000E4060000}"/>
    <cellStyle name="20% - Accent1 4 3 8 3" xfId="29106" xr:uid="{00000000-0005-0000-0000-0000E5060000}"/>
    <cellStyle name="20% - Accent1 4 3 9" xfId="12155" xr:uid="{00000000-0005-0000-0000-0000E6060000}"/>
    <cellStyle name="20% - Accent1 4 3 9 2" xfId="34757" xr:uid="{00000000-0005-0000-0000-0000E7060000}"/>
    <cellStyle name="20% - Accent1 4 4" xfId="508" xr:uid="{00000000-0005-0000-0000-0000E8060000}"/>
    <cellStyle name="20% - Accent1 4 4 2" xfId="1082" xr:uid="{00000000-0005-0000-0000-0000E9060000}"/>
    <cellStyle name="20% - Accent1 4 4 2 2" xfId="1506" xr:uid="{00000000-0005-0000-0000-0000EA060000}"/>
    <cellStyle name="20% - Accent1 4 4 2 2 2" xfId="3150" xr:uid="{00000000-0005-0000-0000-0000EB060000}"/>
    <cellStyle name="20% - Accent1 4 4 2 2 2 2" xfId="6122" xr:uid="{00000000-0005-0000-0000-0000EC060000}"/>
    <cellStyle name="20% - Accent1 4 4 2 2 2 2 2" xfId="11772" xr:uid="{00000000-0005-0000-0000-0000ED060000}"/>
    <cellStyle name="20% - Accent1 4 4 2 2 2 2 2 2" xfId="23073" xr:uid="{00000000-0005-0000-0000-0000EE060000}"/>
    <cellStyle name="20% - Accent1 4 4 2 2 2 2 2 2 2" xfId="45675" xr:uid="{00000000-0005-0000-0000-0000EF060000}"/>
    <cellStyle name="20% - Accent1 4 4 2 2 2 2 2 3" xfId="34374" xr:uid="{00000000-0005-0000-0000-0000F0060000}"/>
    <cellStyle name="20% - Accent1 4 4 2 2 2 2 3" xfId="17423" xr:uid="{00000000-0005-0000-0000-0000F1060000}"/>
    <cellStyle name="20% - Accent1 4 4 2 2 2 2 3 2" xfId="40025" xr:uid="{00000000-0005-0000-0000-0000F2060000}"/>
    <cellStyle name="20% - Accent1 4 4 2 2 2 2 4" xfId="28724" xr:uid="{00000000-0005-0000-0000-0000F3060000}"/>
    <cellStyle name="20% - Accent1 4 4 2 2 2 3" xfId="8940" xr:uid="{00000000-0005-0000-0000-0000F4060000}"/>
    <cellStyle name="20% - Accent1 4 4 2 2 2 3 2" xfId="20241" xr:uid="{00000000-0005-0000-0000-0000F5060000}"/>
    <cellStyle name="20% - Accent1 4 4 2 2 2 3 2 2" xfId="42843" xr:uid="{00000000-0005-0000-0000-0000F6060000}"/>
    <cellStyle name="20% - Accent1 4 4 2 2 2 3 3" xfId="31542" xr:uid="{00000000-0005-0000-0000-0000F7060000}"/>
    <cellStyle name="20% - Accent1 4 4 2 2 2 4" xfId="14591" xr:uid="{00000000-0005-0000-0000-0000F8060000}"/>
    <cellStyle name="20% - Accent1 4 4 2 2 2 4 2" xfId="37193" xr:uid="{00000000-0005-0000-0000-0000F9060000}"/>
    <cellStyle name="20% - Accent1 4 4 2 2 2 5" xfId="25892" xr:uid="{00000000-0005-0000-0000-0000FA060000}"/>
    <cellStyle name="20% - Accent1 4 4 2 2 3" xfId="4888" xr:uid="{00000000-0005-0000-0000-0000FB060000}"/>
    <cellStyle name="20% - Accent1 4 4 2 2 3 2" xfId="10538" xr:uid="{00000000-0005-0000-0000-0000FC060000}"/>
    <cellStyle name="20% - Accent1 4 4 2 2 3 2 2" xfId="21839" xr:uid="{00000000-0005-0000-0000-0000FD060000}"/>
    <cellStyle name="20% - Accent1 4 4 2 2 3 2 2 2" xfId="44441" xr:uid="{00000000-0005-0000-0000-0000FE060000}"/>
    <cellStyle name="20% - Accent1 4 4 2 2 3 2 3" xfId="33140" xr:uid="{00000000-0005-0000-0000-0000FF060000}"/>
    <cellStyle name="20% - Accent1 4 4 2 2 3 3" xfId="16189" xr:uid="{00000000-0005-0000-0000-000000070000}"/>
    <cellStyle name="20% - Accent1 4 4 2 2 3 3 2" xfId="38791" xr:uid="{00000000-0005-0000-0000-000001070000}"/>
    <cellStyle name="20% - Accent1 4 4 2 2 3 4" xfId="27490" xr:uid="{00000000-0005-0000-0000-000002070000}"/>
    <cellStyle name="20% - Accent1 4 4 2 2 4" xfId="7362" xr:uid="{00000000-0005-0000-0000-000003070000}"/>
    <cellStyle name="20% - Accent1 4 4 2 2 4 2" xfId="18663" xr:uid="{00000000-0005-0000-0000-000004070000}"/>
    <cellStyle name="20% - Accent1 4 4 2 2 4 2 2" xfId="41265" xr:uid="{00000000-0005-0000-0000-000005070000}"/>
    <cellStyle name="20% - Accent1 4 4 2 2 4 3" xfId="29964" xr:uid="{00000000-0005-0000-0000-000006070000}"/>
    <cellStyle name="20% - Accent1 4 4 2 2 5" xfId="13013" xr:uid="{00000000-0005-0000-0000-000007070000}"/>
    <cellStyle name="20% - Accent1 4 4 2 2 5 2" xfId="35615" xr:uid="{00000000-0005-0000-0000-000008070000}"/>
    <cellStyle name="20% - Accent1 4 4 2 2 6" xfId="24314" xr:uid="{00000000-0005-0000-0000-000009070000}"/>
    <cellStyle name="20% - Accent1 4 4 2 3" xfId="2479" xr:uid="{00000000-0005-0000-0000-00000A070000}"/>
    <cellStyle name="20% - Accent1 4 4 2 3 2" xfId="5498" xr:uid="{00000000-0005-0000-0000-00000B070000}"/>
    <cellStyle name="20% - Accent1 4 4 2 3 2 2" xfId="11148" xr:uid="{00000000-0005-0000-0000-00000C070000}"/>
    <cellStyle name="20% - Accent1 4 4 2 3 2 2 2" xfId="22449" xr:uid="{00000000-0005-0000-0000-00000D070000}"/>
    <cellStyle name="20% - Accent1 4 4 2 3 2 2 2 2" xfId="45051" xr:uid="{00000000-0005-0000-0000-00000E070000}"/>
    <cellStyle name="20% - Accent1 4 4 2 3 2 2 3" xfId="33750" xr:uid="{00000000-0005-0000-0000-00000F070000}"/>
    <cellStyle name="20% - Accent1 4 4 2 3 2 3" xfId="16799" xr:uid="{00000000-0005-0000-0000-000010070000}"/>
    <cellStyle name="20% - Accent1 4 4 2 3 2 3 2" xfId="39401" xr:uid="{00000000-0005-0000-0000-000011070000}"/>
    <cellStyle name="20% - Accent1 4 4 2 3 2 4" xfId="28100" xr:uid="{00000000-0005-0000-0000-000012070000}"/>
    <cellStyle name="20% - Accent1 4 4 2 3 3" xfId="8315" xr:uid="{00000000-0005-0000-0000-000013070000}"/>
    <cellStyle name="20% - Accent1 4 4 2 3 3 2" xfId="19616" xr:uid="{00000000-0005-0000-0000-000014070000}"/>
    <cellStyle name="20% - Accent1 4 4 2 3 3 2 2" xfId="42218" xr:uid="{00000000-0005-0000-0000-000015070000}"/>
    <cellStyle name="20% - Accent1 4 4 2 3 3 3" xfId="30917" xr:uid="{00000000-0005-0000-0000-000016070000}"/>
    <cellStyle name="20% - Accent1 4 4 2 3 4" xfId="13966" xr:uid="{00000000-0005-0000-0000-000017070000}"/>
    <cellStyle name="20% - Accent1 4 4 2 3 4 2" xfId="36568" xr:uid="{00000000-0005-0000-0000-000018070000}"/>
    <cellStyle name="20% - Accent1 4 4 2 3 5" xfId="25267" xr:uid="{00000000-0005-0000-0000-000019070000}"/>
    <cellStyle name="20% - Accent1 4 4 2 4" xfId="4264" xr:uid="{00000000-0005-0000-0000-00001A070000}"/>
    <cellStyle name="20% - Accent1 4 4 2 4 2" xfId="9914" xr:uid="{00000000-0005-0000-0000-00001B070000}"/>
    <cellStyle name="20% - Accent1 4 4 2 4 2 2" xfId="21215" xr:uid="{00000000-0005-0000-0000-00001C070000}"/>
    <cellStyle name="20% - Accent1 4 4 2 4 2 2 2" xfId="43817" xr:uid="{00000000-0005-0000-0000-00001D070000}"/>
    <cellStyle name="20% - Accent1 4 4 2 4 2 3" xfId="32516" xr:uid="{00000000-0005-0000-0000-00001E070000}"/>
    <cellStyle name="20% - Accent1 4 4 2 4 3" xfId="15565" xr:uid="{00000000-0005-0000-0000-00001F070000}"/>
    <cellStyle name="20% - Accent1 4 4 2 4 3 2" xfId="38167" xr:uid="{00000000-0005-0000-0000-000020070000}"/>
    <cellStyle name="20% - Accent1 4 4 2 4 4" xfId="26866" xr:uid="{00000000-0005-0000-0000-000021070000}"/>
    <cellStyle name="20% - Accent1 4 4 2 5" xfId="7061" xr:uid="{00000000-0005-0000-0000-000022070000}"/>
    <cellStyle name="20% - Accent1 4 4 2 5 2" xfId="18362" xr:uid="{00000000-0005-0000-0000-000023070000}"/>
    <cellStyle name="20% - Accent1 4 4 2 5 2 2" xfId="40964" xr:uid="{00000000-0005-0000-0000-000024070000}"/>
    <cellStyle name="20% - Accent1 4 4 2 5 3" xfId="29663" xr:uid="{00000000-0005-0000-0000-000025070000}"/>
    <cellStyle name="20% - Accent1 4 4 2 6" xfId="12712" xr:uid="{00000000-0005-0000-0000-000026070000}"/>
    <cellStyle name="20% - Accent1 4 4 2 6 2" xfId="35314" xr:uid="{00000000-0005-0000-0000-000027070000}"/>
    <cellStyle name="20% - Accent1 4 4 2 7" xfId="24013" xr:uid="{00000000-0005-0000-0000-000028070000}"/>
    <cellStyle name="20% - Accent1 4 4 3" xfId="756" xr:uid="{00000000-0005-0000-0000-000029070000}"/>
    <cellStyle name="20% - Accent1 4 4 3 2" xfId="2843" xr:uid="{00000000-0005-0000-0000-00002A070000}"/>
    <cellStyle name="20% - Accent1 4 4 3 2 2" xfId="5815" xr:uid="{00000000-0005-0000-0000-00002B070000}"/>
    <cellStyle name="20% - Accent1 4 4 3 2 2 2" xfId="11465" xr:uid="{00000000-0005-0000-0000-00002C070000}"/>
    <cellStyle name="20% - Accent1 4 4 3 2 2 2 2" xfId="22766" xr:uid="{00000000-0005-0000-0000-00002D070000}"/>
    <cellStyle name="20% - Accent1 4 4 3 2 2 2 2 2" xfId="45368" xr:uid="{00000000-0005-0000-0000-00002E070000}"/>
    <cellStyle name="20% - Accent1 4 4 3 2 2 2 3" xfId="34067" xr:uid="{00000000-0005-0000-0000-00002F070000}"/>
    <cellStyle name="20% - Accent1 4 4 3 2 2 3" xfId="17116" xr:uid="{00000000-0005-0000-0000-000030070000}"/>
    <cellStyle name="20% - Accent1 4 4 3 2 2 3 2" xfId="39718" xr:uid="{00000000-0005-0000-0000-000031070000}"/>
    <cellStyle name="20% - Accent1 4 4 3 2 2 4" xfId="28417" xr:uid="{00000000-0005-0000-0000-000032070000}"/>
    <cellStyle name="20% - Accent1 4 4 3 2 3" xfId="8633" xr:uid="{00000000-0005-0000-0000-000033070000}"/>
    <cellStyle name="20% - Accent1 4 4 3 2 3 2" xfId="19934" xr:uid="{00000000-0005-0000-0000-000034070000}"/>
    <cellStyle name="20% - Accent1 4 4 3 2 3 2 2" xfId="42536" xr:uid="{00000000-0005-0000-0000-000035070000}"/>
    <cellStyle name="20% - Accent1 4 4 3 2 3 3" xfId="31235" xr:uid="{00000000-0005-0000-0000-000036070000}"/>
    <cellStyle name="20% - Accent1 4 4 3 2 4" xfId="14284" xr:uid="{00000000-0005-0000-0000-000037070000}"/>
    <cellStyle name="20% - Accent1 4 4 3 2 4 2" xfId="36886" xr:uid="{00000000-0005-0000-0000-000038070000}"/>
    <cellStyle name="20% - Accent1 4 4 3 2 5" xfId="25585" xr:uid="{00000000-0005-0000-0000-000039070000}"/>
    <cellStyle name="20% - Accent1 4 4 3 3" xfId="4581" xr:uid="{00000000-0005-0000-0000-00003A070000}"/>
    <cellStyle name="20% - Accent1 4 4 3 3 2" xfId="10231" xr:uid="{00000000-0005-0000-0000-00003B070000}"/>
    <cellStyle name="20% - Accent1 4 4 3 3 2 2" xfId="21532" xr:uid="{00000000-0005-0000-0000-00003C070000}"/>
    <cellStyle name="20% - Accent1 4 4 3 3 2 2 2" xfId="44134" xr:uid="{00000000-0005-0000-0000-00003D070000}"/>
    <cellStyle name="20% - Accent1 4 4 3 3 2 3" xfId="32833" xr:uid="{00000000-0005-0000-0000-00003E070000}"/>
    <cellStyle name="20% - Accent1 4 4 3 3 3" xfId="15882" xr:uid="{00000000-0005-0000-0000-00003F070000}"/>
    <cellStyle name="20% - Accent1 4 4 3 3 3 2" xfId="38484" xr:uid="{00000000-0005-0000-0000-000040070000}"/>
    <cellStyle name="20% - Accent1 4 4 3 3 4" xfId="27183" xr:uid="{00000000-0005-0000-0000-000041070000}"/>
    <cellStyle name="20% - Accent1 4 4 3 4" xfId="6764" xr:uid="{00000000-0005-0000-0000-000042070000}"/>
    <cellStyle name="20% - Accent1 4 4 3 4 2" xfId="18065" xr:uid="{00000000-0005-0000-0000-000043070000}"/>
    <cellStyle name="20% - Accent1 4 4 3 4 2 2" xfId="40667" xr:uid="{00000000-0005-0000-0000-000044070000}"/>
    <cellStyle name="20% - Accent1 4 4 3 4 3" xfId="29366" xr:uid="{00000000-0005-0000-0000-000045070000}"/>
    <cellStyle name="20% - Accent1 4 4 3 5" xfId="12415" xr:uid="{00000000-0005-0000-0000-000046070000}"/>
    <cellStyle name="20% - Accent1 4 4 3 5 2" xfId="35017" xr:uid="{00000000-0005-0000-0000-000047070000}"/>
    <cellStyle name="20% - Accent1 4 4 3 6" xfId="23716" xr:uid="{00000000-0005-0000-0000-000048070000}"/>
    <cellStyle name="20% - Accent1 4 4 4" xfId="1505" xr:uid="{00000000-0005-0000-0000-000049070000}"/>
    <cellStyle name="20% - Accent1 4 4 4 2" xfId="3498" xr:uid="{00000000-0005-0000-0000-00004A070000}"/>
    <cellStyle name="20% - Accent1 4 4 4 2 2" xfId="9237" xr:uid="{00000000-0005-0000-0000-00004B070000}"/>
    <cellStyle name="20% - Accent1 4 4 4 2 2 2" xfId="20538" xr:uid="{00000000-0005-0000-0000-00004C070000}"/>
    <cellStyle name="20% - Accent1 4 4 4 2 2 2 2" xfId="43140" xr:uid="{00000000-0005-0000-0000-00004D070000}"/>
    <cellStyle name="20% - Accent1 4 4 4 2 2 3" xfId="31839" xr:uid="{00000000-0005-0000-0000-00004E070000}"/>
    <cellStyle name="20% - Accent1 4 4 4 2 3" xfId="14888" xr:uid="{00000000-0005-0000-0000-00004F070000}"/>
    <cellStyle name="20% - Accent1 4 4 4 2 3 2" xfId="37490" xr:uid="{00000000-0005-0000-0000-000050070000}"/>
    <cellStyle name="20% - Accent1 4 4 4 2 4" xfId="26189" xr:uid="{00000000-0005-0000-0000-000051070000}"/>
    <cellStyle name="20% - Accent1 4 4 4 3" xfId="5191" xr:uid="{00000000-0005-0000-0000-000052070000}"/>
    <cellStyle name="20% - Accent1 4 4 4 3 2" xfId="10841" xr:uid="{00000000-0005-0000-0000-000053070000}"/>
    <cellStyle name="20% - Accent1 4 4 4 3 2 2" xfId="22142" xr:uid="{00000000-0005-0000-0000-000054070000}"/>
    <cellStyle name="20% - Accent1 4 4 4 3 2 2 2" xfId="44744" xr:uid="{00000000-0005-0000-0000-000055070000}"/>
    <cellStyle name="20% - Accent1 4 4 4 3 2 3" xfId="33443" xr:uid="{00000000-0005-0000-0000-000056070000}"/>
    <cellStyle name="20% - Accent1 4 4 4 3 3" xfId="16492" xr:uid="{00000000-0005-0000-0000-000057070000}"/>
    <cellStyle name="20% - Accent1 4 4 4 3 3 2" xfId="39094" xr:uid="{00000000-0005-0000-0000-000058070000}"/>
    <cellStyle name="20% - Accent1 4 4 4 3 4" xfId="27793" xr:uid="{00000000-0005-0000-0000-000059070000}"/>
    <cellStyle name="20% - Accent1 4 4 4 4" xfId="7361" xr:uid="{00000000-0005-0000-0000-00005A070000}"/>
    <cellStyle name="20% - Accent1 4 4 4 4 2" xfId="18662" xr:uid="{00000000-0005-0000-0000-00005B070000}"/>
    <cellStyle name="20% - Accent1 4 4 4 4 2 2" xfId="41264" xr:uid="{00000000-0005-0000-0000-00005C070000}"/>
    <cellStyle name="20% - Accent1 4 4 4 4 3" xfId="29963" xr:uid="{00000000-0005-0000-0000-00005D070000}"/>
    <cellStyle name="20% - Accent1 4 4 4 5" xfId="13012" xr:uid="{00000000-0005-0000-0000-00005E070000}"/>
    <cellStyle name="20% - Accent1 4 4 4 5 2" xfId="35614" xr:uid="{00000000-0005-0000-0000-00005F070000}"/>
    <cellStyle name="20% - Accent1 4 4 4 6" xfId="24313" xr:uid="{00000000-0005-0000-0000-000060070000}"/>
    <cellStyle name="20% - Accent1 4 4 5" xfId="2163" xr:uid="{00000000-0005-0000-0000-000061070000}"/>
    <cellStyle name="20% - Accent1 4 4 5 2" xfId="8005" xr:uid="{00000000-0005-0000-0000-000062070000}"/>
    <cellStyle name="20% - Accent1 4 4 5 2 2" xfId="19306" xr:uid="{00000000-0005-0000-0000-000063070000}"/>
    <cellStyle name="20% - Accent1 4 4 5 2 2 2" xfId="41908" xr:uid="{00000000-0005-0000-0000-000064070000}"/>
    <cellStyle name="20% - Accent1 4 4 5 2 3" xfId="30607" xr:uid="{00000000-0005-0000-0000-000065070000}"/>
    <cellStyle name="20% - Accent1 4 4 5 3" xfId="13656" xr:uid="{00000000-0005-0000-0000-000066070000}"/>
    <cellStyle name="20% - Accent1 4 4 5 3 2" xfId="36258" xr:uid="{00000000-0005-0000-0000-000067070000}"/>
    <cellStyle name="20% - Accent1 4 4 5 4" xfId="24957" xr:uid="{00000000-0005-0000-0000-000068070000}"/>
    <cellStyle name="20% - Accent1 4 4 6" xfId="3957" xr:uid="{00000000-0005-0000-0000-000069070000}"/>
    <cellStyle name="20% - Accent1 4 4 6 2" xfId="9607" xr:uid="{00000000-0005-0000-0000-00006A070000}"/>
    <cellStyle name="20% - Accent1 4 4 6 2 2" xfId="20908" xr:uid="{00000000-0005-0000-0000-00006B070000}"/>
    <cellStyle name="20% - Accent1 4 4 6 2 2 2" xfId="43510" xr:uid="{00000000-0005-0000-0000-00006C070000}"/>
    <cellStyle name="20% - Accent1 4 4 6 2 3" xfId="32209" xr:uid="{00000000-0005-0000-0000-00006D070000}"/>
    <cellStyle name="20% - Accent1 4 4 6 3" xfId="15258" xr:uid="{00000000-0005-0000-0000-00006E070000}"/>
    <cellStyle name="20% - Accent1 4 4 6 3 2" xfId="37860" xr:uid="{00000000-0005-0000-0000-00006F070000}"/>
    <cellStyle name="20% - Accent1 4 4 6 4" xfId="26559" xr:uid="{00000000-0005-0000-0000-000070070000}"/>
    <cellStyle name="20% - Accent1 4 4 7" xfId="6575" xr:uid="{00000000-0005-0000-0000-000071070000}"/>
    <cellStyle name="20% - Accent1 4 4 7 2" xfId="17876" xr:uid="{00000000-0005-0000-0000-000072070000}"/>
    <cellStyle name="20% - Accent1 4 4 7 2 2" xfId="40478" xr:uid="{00000000-0005-0000-0000-000073070000}"/>
    <cellStyle name="20% - Accent1 4 4 7 3" xfId="29177" xr:uid="{00000000-0005-0000-0000-000074070000}"/>
    <cellStyle name="20% - Accent1 4 4 8" xfId="12226" xr:uid="{00000000-0005-0000-0000-000075070000}"/>
    <cellStyle name="20% - Accent1 4 4 8 2" xfId="34828" xr:uid="{00000000-0005-0000-0000-000076070000}"/>
    <cellStyle name="20% - Accent1 4 4 9" xfId="23527" xr:uid="{00000000-0005-0000-0000-000077070000}"/>
    <cellStyle name="20% - Accent1 4 5" xfId="452" xr:uid="{00000000-0005-0000-0000-000078070000}"/>
    <cellStyle name="20% - Accent1 4 5 2" xfId="1221" xr:uid="{00000000-0005-0000-0000-000079070000}"/>
    <cellStyle name="20% - Accent1 4 5 2 2" xfId="1508" xr:uid="{00000000-0005-0000-0000-00007A070000}"/>
    <cellStyle name="20% - Accent1 4 5 2 2 2" xfId="3290" xr:uid="{00000000-0005-0000-0000-00007B070000}"/>
    <cellStyle name="20% - Accent1 4 5 2 2 2 2" xfId="6262" xr:uid="{00000000-0005-0000-0000-00007C070000}"/>
    <cellStyle name="20% - Accent1 4 5 2 2 2 2 2" xfId="11912" xr:uid="{00000000-0005-0000-0000-00007D070000}"/>
    <cellStyle name="20% - Accent1 4 5 2 2 2 2 2 2" xfId="23213" xr:uid="{00000000-0005-0000-0000-00007E070000}"/>
    <cellStyle name="20% - Accent1 4 5 2 2 2 2 2 2 2" xfId="45815" xr:uid="{00000000-0005-0000-0000-00007F070000}"/>
    <cellStyle name="20% - Accent1 4 5 2 2 2 2 2 3" xfId="34514" xr:uid="{00000000-0005-0000-0000-000080070000}"/>
    <cellStyle name="20% - Accent1 4 5 2 2 2 2 3" xfId="17563" xr:uid="{00000000-0005-0000-0000-000081070000}"/>
    <cellStyle name="20% - Accent1 4 5 2 2 2 2 3 2" xfId="40165" xr:uid="{00000000-0005-0000-0000-000082070000}"/>
    <cellStyle name="20% - Accent1 4 5 2 2 2 2 4" xfId="28864" xr:uid="{00000000-0005-0000-0000-000083070000}"/>
    <cellStyle name="20% - Accent1 4 5 2 2 2 3" xfId="9080" xr:uid="{00000000-0005-0000-0000-000084070000}"/>
    <cellStyle name="20% - Accent1 4 5 2 2 2 3 2" xfId="20381" xr:uid="{00000000-0005-0000-0000-000085070000}"/>
    <cellStyle name="20% - Accent1 4 5 2 2 2 3 2 2" xfId="42983" xr:uid="{00000000-0005-0000-0000-000086070000}"/>
    <cellStyle name="20% - Accent1 4 5 2 2 2 3 3" xfId="31682" xr:uid="{00000000-0005-0000-0000-000087070000}"/>
    <cellStyle name="20% - Accent1 4 5 2 2 2 4" xfId="14731" xr:uid="{00000000-0005-0000-0000-000088070000}"/>
    <cellStyle name="20% - Accent1 4 5 2 2 2 4 2" xfId="37333" xr:uid="{00000000-0005-0000-0000-000089070000}"/>
    <cellStyle name="20% - Accent1 4 5 2 2 2 5" xfId="26032" xr:uid="{00000000-0005-0000-0000-00008A070000}"/>
    <cellStyle name="20% - Accent1 4 5 2 2 3" xfId="5028" xr:uid="{00000000-0005-0000-0000-00008B070000}"/>
    <cellStyle name="20% - Accent1 4 5 2 2 3 2" xfId="10678" xr:uid="{00000000-0005-0000-0000-00008C070000}"/>
    <cellStyle name="20% - Accent1 4 5 2 2 3 2 2" xfId="21979" xr:uid="{00000000-0005-0000-0000-00008D070000}"/>
    <cellStyle name="20% - Accent1 4 5 2 2 3 2 2 2" xfId="44581" xr:uid="{00000000-0005-0000-0000-00008E070000}"/>
    <cellStyle name="20% - Accent1 4 5 2 2 3 2 3" xfId="33280" xr:uid="{00000000-0005-0000-0000-00008F070000}"/>
    <cellStyle name="20% - Accent1 4 5 2 2 3 3" xfId="16329" xr:uid="{00000000-0005-0000-0000-000090070000}"/>
    <cellStyle name="20% - Accent1 4 5 2 2 3 3 2" xfId="38931" xr:uid="{00000000-0005-0000-0000-000091070000}"/>
    <cellStyle name="20% - Accent1 4 5 2 2 3 4" xfId="27630" xr:uid="{00000000-0005-0000-0000-000092070000}"/>
    <cellStyle name="20% - Accent1 4 5 2 2 4" xfId="7364" xr:uid="{00000000-0005-0000-0000-000093070000}"/>
    <cellStyle name="20% - Accent1 4 5 2 2 4 2" xfId="18665" xr:uid="{00000000-0005-0000-0000-000094070000}"/>
    <cellStyle name="20% - Accent1 4 5 2 2 4 2 2" xfId="41267" xr:uid="{00000000-0005-0000-0000-000095070000}"/>
    <cellStyle name="20% - Accent1 4 5 2 2 4 3" xfId="29966" xr:uid="{00000000-0005-0000-0000-000096070000}"/>
    <cellStyle name="20% - Accent1 4 5 2 2 5" xfId="13015" xr:uid="{00000000-0005-0000-0000-000097070000}"/>
    <cellStyle name="20% - Accent1 4 5 2 2 5 2" xfId="35617" xr:uid="{00000000-0005-0000-0000-000098070000}"/>
    <cellStyle name="20% - Accent1 4 5 2 2 6" xfId="24316" xr:uid="{00000000-0005-0000-0000-000099070000}"/>
    <cellStyle name="20% - Accent1 4 5 2 3" xfId="2619" xr:uid="{00000000-0005-0000-0000-00009A070000}"/>
    <cellStyle name="20% - Accent1 4 5 2 3 2" xfId="5638" xr:uid="{00000000-0005-0000-0000-00009B070000}"/>
    <cellStyle name="20% - Accent1 4 5 2 3 2 2" xfId="11288" xr:uid="{00000000-0005-0000-0000-00009C070000}"/>
    <cellStyle name="20% - Accent1 4 5 2 3 2 2 2" xfId="22589" xr:uid="{00000000-0005-0000-0000-00009D070000}"/>
    <cellStyle name="20% - Accent1 4 5 2 3 2 2 2 2" xfId="45191" xr:uid="{00000000-0005-0000-0000-00009E070000}"/>
    <cellStyle name="20% - Accent1 4 5 2 3 2 2 3" xfId="33890" xr:uid="{00000000-0005-0000-0000-00009F070000}"/>
    <cellStyle name="20% - Accent1 4 5 2 3 2 3" xfId="16939" xr:uid="{00000000-0005-0000-0000-0000A0070000}"/>
    <cellStyle name="20% - Accent1 4 5 2 3 2 3 2" xfId="39541" xr:uid="{00000000-0005-0000-0000-0000A1070000}"/>
    <cellStyle name="20% - Accent1 4 5 2 3 2 4" xfId="28240" xr:uid="{00000000-0005-0000-0000-0000A2070000}"/>
    <cellStyle name="20% - Accent1 4 5 2 3 3" xfId="8455" xr:uid="{00000000-0005-0000-0000-0000A3070000}"/>
    <cellStyle name="20% - Accent1 4 5 2 3 3 2" xfId="19756" xr:uid="{00000000-0005-0000-0000-0000A4070000}"/>
    <cellStyle name="20% - Accent1 4 5 2 3 3 2 2" xfId="42358" xr:uid="{00000000-0005-0000-0000-0000A5070000}"/>
    <cellStyle name="20% - Accent1 4 5 2 3 3 3" xfId="31057" xr:uid="{00000000-0005-0000-0000-0000A6070000}"/>
    <cellStyle name="20% - Accent1 4 5 2 3 4" xfId="14106" xr:uid="{00000000-0005-0000-0000-0000A7070000}"/>
    <cellStyle name="20% - Accent1 4 5 2 3 4 2" xfId="36708" xr:uid="{00000000-0005-0000-0000-0000A8070000}"/>
    <cellStyle name="20% - Accent1 4 5 2 3 5" xfId="25407" xr:uid="{00000000-0005-0000-0000-0000A9070000}"/>
    <cellStyle name="20% - Accent1 4 5 2 4" xfId="4404" xr:uid="{00000000-0005-0000-0000-0000AA070000}"/>
    <cellStyle name="20% - Accent1 4 5 2 4 2" xfId="10054" xr:uid="{00000000-0005-0000-0000-0000AB070000}"/>
    <cellStyle name="20% - Accent1 4 5 2 4 2 2" xfId="21355" xr:uid="{00000000-0005-0000-0000-0000AC070000}"/>
    <cellStyle name="20% - Accent1 4 5 2 4 2 2 2" xfId="43957" xr:uid="{00000000-0005-0000-0000-0000AD070000}"/>
    <cellStyle name="20% - Accent1 4 5 2 4 2 3" xfId="32656" xr:uid="{00000000-0005-0000-0000-0000AE070000}"/>
    <cellStyle name="20% - Accent1 4 5 2 4 3" xfId="15705" xr:uid="{00000000-0005-0000-0000-0000AF070000}"/>
    <cellStyle name="20% - Accent1 4 5 2 4 3 2" xfId="38307" xr:uid="{00000000-0005-0000-0000-0000B0070000}"/>
    <cellStyle name="20% - Accent1 4 5 2 4 4" xfId="27006" xr:uid="{00000000-0005-0000-0000-0000B1070000}"/>
    <cellStyle name="20% - Accent1 4 5 2 5" xfId="7200" xr:uid="{00000000-0005-0000-0000-0000B2070000}"/>
    <cellStyle name="20% - Accent1 4 5 2 5 2" xfId="18501" xr:uid="{00000000-0005-0000-0000-0000B3070000}"/>
    <cellStyle name="20% - Accent1 4 5 2 5 2 2" xfId="41103" xr:uid="{00000000-0005-0000-0000-0000B4070000}"/>
    <cellStyle name="20% - Accent1 4 5 2 5 3" xfId="29802" xr:uid="{00000000-0005-0000-0000-0000B5070000}"/>
    <cellStyle name="20% - Accent1 4 5 2 6" xfId="12851" xr:uid="{00000000-0005-0000-0000-0000B6070000}"/>
    <cellStyle name="20% - Accent1 4 5 2 6 2" xfId="35453" xr:uid="{00000000-0005-0000-0000-0000B7070000}"/>
    <cellStyle name="20% - Accent1 4 5 2 7" xfId="24152" xr:uid="{00000000-0005-0000-0000-0000B8070000}"/>
    <cellStyle name="20% - Accent1 4 5 3" xfId="919" xr:uid="{00000000-0005-0000-0000-0000B9070000}"/>
    <cellStyle name="20% - Accent1 4 5 3 2" xfId="2982" xr:uid="{00000000-0005-0000-0000-0000BA070000}"/>
    <cellStyle name="20% - Accent1 4 5 3 2 2" xfId="5954" xr:uid="{00000000-0005-0000-0000-0000BB070000}"/>
    <cellStyle name="20% - Accent1 4 5 3 2 2 2" xfId="11604" xr:uid="{00000000-0005-0000-0000-0000BC070000}"/>
    <cellStyle name="20% - Accent1 4 5 3 2 2 2 2" xfId="22905" xr:uid="{00000000-0005-0000-0000-0000BD070000}"/>
    <cellStyle name="20% - Accent1 4 5 3 2 2 2 2 2" xfId="45507" xr:uid="{00000000-0005-0000-0000-0000BE070000}"/>
    <cellStyle name="20% - Accent1 4 5 3 2 2 2 3" xfId="34206" xr:uid="{00000000-0005-0000-0000-0000BF070000}"/>
    <cellStyle name="20% - Accent1 4 5 3 2 2 3" xfId="17255" xr:uid="{00000000-0005-0000-0000-0000C0070000}"/>
    <cellStyle name="20% - Accent1 4 5 3 2 2 3 2" xfId="39857" xr:uid="{00000000-0005-0000-0000-0000C1070000}"/>
    <cellStyle name="20% - Accent1 4 5 3 2 2 4" xfId="28556" xr:uid="{00000000-0005-0000-0000-0000C2070000}"/>
    <cellStyle name="20% - Accent1 4 5 3 2 3" xfId="8772" xr:uid="{00000000-0005-0000-0000-0000C3070000}"/>
    <cellStyle name="20% - Accent1 4 5 3 2 3 2" xfId="20073" xr:uid="{00000000-0005-0000-0000-0000C4070000}"/>
    <cellStyle name="20% - Accent1 4 5 3 2 3 2 2" xfId="42675" xr:uid="{00000000-0005-0000-0000-0000C5070000}"/>
    <cellStyle name="20% - Accent1 4 5 3 2 3 3" xfId="31374" xr:uid="{00000000-0005-0000-0000-0000C6070000}"/>
    <cellStyle name="20% - Accent1 4 5 3 2 4" xfId="14423" xr:uid="{00000000-0005-0000-0000-0000C7070000}"/>
    <cellStyle name="20% - Accent1 4 5 3 2 4 2" xfId="37025" xr:uid="{00000000-0005-0000-0000-0000C8070000}"/>
    <cellStyle name="20% - Accent1 4 5 3 2 5" xfId="25724" xr:uid="{00000000-0005-0000-0000-0000C9070000}"/>
    <cellStyle name="20% - Accent1 4 5 3 3" xfId="4720" xr:uid="{00000000-0005-0000-0000-0000CA070000}"/>
    <cellStyle name="20% - Accent1 4 5 3 3 2" xfId="10370" xr:uid="{00000000-0005-0000-0000-0000CB070000}"/>
    <cellStyle name="20% - Accent1 4 5 3 3 2 2" xfId="21671" xr:uid="{00000000-0005-0000-0000-0000CC070000}"/>
    <cellStyle name="20% - Accent1 4 5 3 3 2 2 2" xfId="44273" xr:uid="{00000000-0005-0000-0000-0000CD070000}"/>
    <cellStyle name="20% - Accent1 4 5 3 3 2 3" xfId="32972" xr:uid="{00000000-0005-0000-0000-0000CE070000}"/>
    <cellStyle name="20% - Accent1 4 5 3 3 3" xfId="16021" xr:uid="{00000000-0005-0000-0000-0000CF070000}"/>
    <cellStyle name="20% - Accent1 4 5 3 3 3 2" xfId="38623" xr:uid="{00000000-0005-0000-0000-0000D0070000}"/>
    <cellStyle name="20% - Accent1 4 5 3 3 4" xfId="27322" xr:uid="{00000000-0005-0000-0000-0000D1070000}"/>
    <cellStyle name="20% - Accent1 4 5 3 4" xfId="6907" xr:uid="{00000000-0005-0000-0000-0000D2070000}"/>
    <cellStyle name="20% - Accent1 4 5 3 4 2" xfId="18208" xr:uid="{00000000-0005-0000-0000-0000D3070000}"/>
    <cellStyle name="20% - Accent1 4 5 3 4 2 2" xfId="40810" xr:uid="{00000000-0005-0000-0000-0000D4070000}"/>
    <cellStyle name="20% - Accent1 4 5 3 4 3" xfId="29509" xr:uid="{00000000-0005-0000-0000-0000D5070000}"/>
    <cellStyle name="20% - Accent1 4 5 3 5" xfId="12558" xr:uid="{00000000-0005-0000-0000-0000D6070000}"/>
    <cellStyle name="20% - Accent1 4 5 3 5 2" xfId="35160" xr:uid="{00000000-0005-0000-0000-0000D7070000}"/>
    <cellStyle name="20% - Accent1 4 5 3 6" xfId="23859" xr:uid="{00000000-0005-0000-0000-0000D8070000}"/>
    <cellStyle name="20% - Accent1 4 5 4" xfId="1507" xr:uid="{00000000-0005-0000-0000-0000D9070000}"/>
    <cellStyle name="20% - Accent1 4 5 4 2" xfId="2120" xr:uid="{00000000-0005-0000-0000-0000DA070000}"/>
    <cellStyle name="20% - Accent1 4 5 4 2 2" xfId="7964" xr:uid="{00000000-0005-0000-0000-0000DB070000}"/>
    <cellStyle name="20% - Accent1 4 5 4 2 2 2" xfId="19265" xr:uid="{00000000-0005-0000-0000-0000DC070000}"/>
    <cellStyle name="20% - Accent1 4 5 4 2 2 2 2" xfId="41867" xr:uid="{00000000-0005-0000-0000-0000DD070000}"/>
    <cellStyle name="20% - Accent1 4 5 4 2 2 3" xfId="30566" xr:uid="{00000000-0005-0000-0000-0000DE070000}"/>
    <cellStyle name="20% - Accent1 4 5 4 2 3" xfId="13615" xr:uid="{00000000-0005-0000-0000-0000DF070000}"/>
    <cellStyle name="20% - Accent1 4 5 4 2 3 2" xfId="36217" xr:uid="{00000000-0005-0000-0000-0000E0070000}"/>
    <cellStyle name="20% - Accent1 4 5 4 2 4" xfId="24916" xr:uid="{00000000-0005-0000-0000-0000E1070000}"/>
    <cellStyle name="20% - Accent1 4 5 4 3" xfId="5330" xr:uid="{00000000-0005-0000-0000-0000E2070000}"/>
    <cellStyle name="20% - Accent1 4 5 4 3 2" xfId="10980" xr:uid="{00000000-0005-0000-0000-0000E3070000}"/>
    <cellStyle name="20% - Accent1 4 5 4 3 2 2" xfId="22281" xr:uid="{00000000-0005-0000-0000-0000E4070000}"/>
    <cellStyle name="20% - Accent1 4 5 4 3 2 2 2" xfId="44883" xr:uid="{00000000-0005-0000-0000-0000E5070000}"/>
    <cellStyle name="20% - Accent1 4 5 4 3 2 3" xfId="33582" xr:uid="{00000000-0005-0000-0000-0000E6070000}"/>
    <cellStyle name="20% - Accent1 4 5 4 3 3" xfId="16631" xr:uid="{00000000-0005-0000-0000-0000E7070000}"/>
    <cellStyle name="20% - Accent1 4 5 4 3 3 2" xfId="39233" xr:uid="{00000000-0005-0000-0000-0000E8070000}"/>
    <cellStyle name="20% - Accent1 4 5 4 3 4" xfId="27932" xr:uid="{00000000-0005-0000-0000-0000E9070000}"/>
    <cellStyle name="20% - Accent1 4 5 4 4" xfId="7363" xr:uid="{00000000-0005-0000-0000-0000EA070000}"/>
    <cellStyle name="20% - Accent1 4 5 4 4 2" xfId="18664" xr:uid="{00000000-0005-0000-0000-0000EB070000}"/>
    <cellStyle name="20% - Accent1 4 5 4 4 2 2" xfId="41266" xr:uid="{00000000-0005-0000-0000-0000EC070000}"/>
    <cellStyle name="20% - Accent1 4 5 4 4 3" xfId="29965" xr:uid="{00000000-0005-0000-0000-0000ED070000}"/>
    <cellStyle name="20% - Accent1 4 5 4 5" xfId="13014" xr:uid="{00000000-0005-0000-0000-0000EE070000}"/>
    <cellStyle name="20% - Accent1 4 5 4 5 2" xfId="35616" xr:uid="{00000000-0005-0000-0000-0000EF070000}"/>
    <cellStyle name="20% - Accent1 4 5 4 6" xfId="24315" xr:uid="{00000000-0005-0000-0000-0000F0070000}"/>
    <cellStyle name="20% - Accent1 4 5 5" xfId="2311" xr:uid="{00000000-0005-0000-0000-0000F1070000}"/>
    <cellStyle name="20% - Accent1 4 5 5 2" xfId="8147" xr:uid="{00000000-0005-0000-0000-0000F2070000}"/>
    <cellStyle name="20% - Accent1 4 5 5 2 2" xfId="19448" xr:uid="{00000000-0005-0000-0000-0000F3070000}"/>
    <cellStyle name="20% - Accent1 4 5 5 2 2 2" xfId="42050" xr:uid="{00000000-0005-0000-0000-0000F4070000}"/>
    <cellStyle name="20% - Accent1 4 5 5 2 3" xfId="30749" xr:uid="{00000000-0005-0000-0000-0000F5070000}"/>
    <cellStyle name="20% - Accent1 4 5 5 3" xfId="13798" xr:uid="{00000000-0005-0000-0000-0000F6070000}"/>
    <cellStyle name="20% - Accent1 4 5 5 3 2" xfId="36400" xr:uid="{00000000-0005-0000-0000-0000F7070000}"/>
    <cellStyle name="20% - Accent1 4 5 5 4" xfId="25099" xr:uid="{00000000-0005-0000-0000-0000F8070000}"/>
    <cellStyle name="20% - Accent1 4 5 6" xfId="4096" xr:uid="{00000000-0005-0000-0000-0000F9070000}"/>
    <cellStyle name="20% - Accent1 4 5 6 2" xfId="9746" xr:uid="{00000000-0005-0000-0000-0000FA070000}"/>
    <cellStyle name="20% - Accent1 4 5 6 2 2" xfId="21047" xr:uid="{00000000-0005-0000-0000-0000FB070000}"/>
    <cellStyle name="20% - Accent1 4 5 6 2 2 2" xfId="43649" xr:uid="{00000000-0005-0000-0000-0000FC070000}"/>
    <cellStyle name="20% - Accent1 4 5 6 2 3" xfId="32348" xr:uid="{00000000-0005-0000-0000-0000FD070000}"/>
    <cellStyle name="20% - Accent1 4 5 6 3" xfId="15397" xr:uid="{00000000-0005-0000-0000-0000FE070000}"/>
    <cellStyle name="20% - Accent1 4 5 6 3 2" xfId="37999" xr:uid="{00000000-0005-0000-0000-0000FF070000}"/>
    <cellStyle name="20% - Accent1 4 5 6 4" xfId="26698" xr:uid="{00000000-0005-0000-0000-000000080000}"/>
    <cellStyle name="20% - Accent1 4 5 7" xfId="6547" xr:uid="{00000000-0005-0000-0000-000001080000}"/>
    <cellStyle name="20% - Accent1 4 5 7 2" xfId="17848" xr:uid="{00000000-0005-0000-0000-000002080000}"/>
    <cellStyle name="20% - Accent1 4 5 7 2 2" xfId="40450" xr:uid="{00000000-0005-0000-0000-000003080000}"/>
    <cellStyle name="20% - Accent1 4 5 7 3" xfId="29149" xr:uid="{00000000-0005-0000-0000-000004080000}"/>
    <cellStyle name="20% - Accent1 4 5 8" xfId="12198" xr:uid="{00000000-0005-0000-0000-000005080000}"/>
    <cellStyle name="20% - Accent1 4 5 8 2" xfId="34800" xr:uid="{00000000-0005-0000-0000-000006080000}"/>
    <cellStyle name="20% - Accent1 4 5 9" xfId="23499" xr:uid="{00000000-0005-0000-0000-000007080000}"/>
    <cellStyle name="20% - Accent1 4 6" xfId="1054" xr:uid="{00000000-0005-0000-0000-000008080000}"/>
    <cellStyle name="20% - Accent1 4 6 2" xfId="1509" xr:uid="{00000000-0005-0000-0000-000009080000}"/>
    <cellStyle name="20% - Accent1 4 6 2 2" xfId="3121" xr:uid="{00000000-0005-0000-0000-00000A080000}"/>
    <cellStyle name="20% - Accent1 4 6 2 2 2" xfId="6093" xr:uid="{00000000-0005-0000-0000-00000B080000}"/>
    <cellStyle name="20% - Accent1 4 6 2 2 2 2" xfId="11743" xr:uid="{00000000-0005-0000-0000-00000C080000}"/>
    <cellStyle name="20% - Accent1 4 6 2 2 2 2 2" xfId="23044" xr:uid="{00000000-0005-0000-0000-00000D080000}"/>
    <cellStyle name="20% - Accent1 4 6 2 2 2 2 2 2" xfId="45646" xr:uid="{00000000-0005-0000-0000-00000E080000}"/>
    <cellStyle name="20% - Accent1 4 6 2 2 2 2 3" xfId="34345" xr:uid="{00000000-0005-0000-0000-00000F080000}"/>
    <cellStyle name="20% - Accent1 4 6 2 2 2 3" xfId="17394" xr:uid="{00000000-0005-0000-0000-000010080000}"/>
    <cellStyle name="20% - Accent1 4 6 2 2 2 3 2" xfId="39996" xr:uid="{00000000-0005-0000-0000-000011080000}"/>
    <cellStyle name="20% - Accent1 4 6 2 2 2 4" xfId="28695" xr:uid="{00000000-0005-0000-0000-000012080000}"/>
    <cellStyle name="20% - Accent1 4 6 2 2 3" xfId="8911" xr:uid="{00000000-0005-0000-0000-000013080000}"/>
    <cellStyle name="20% - Accent1 4 6 2 2 3 2" xfId="20212" xr:uid="{00000000-0005-0000-0000-000014080000}"/>
    <cellStyle name="20% - Accent1 4 6 2 2 3 2 2" xfId="42814" xr:uid="{00000000-0005-0000-0000-000015080000}"/>
    <cellStyle name="20% - Accent1 4 6 2 2 3 3" xfId="31513" xr:uid="{00000000-0005-0000-0000-000016080000}"/>
    <cellStyle name="20% - Accent1 4 6 2 2 4" xfId="14562" xr:uid="{00000000-0005-0000-0000-000017080000}"/>
    <cellStyle name="20% - Accent1 4 6 2 2 4 2" xfId="37164" xr:uid="{00000000-0005-0000-0000-000018080000}"/>
    <cellStyle name="20% - Accent1 4 6 2 2 5" xfId="25863" xr:uid="{00000000-0005-0000-0000-000019080000}"/>
    <cellStyle name="20% - Accent1 4 6 2 3" xfId="4859" xr:uid="{00000000-0005-0000-0000-00001A080000}"/>
    <cellStyle name="20% - Accent1 4 6 2 3 2" xfId="10509" xr:uid="{00000000-0005-0000-0000-00001B080000}"/>
    <cellStyle name="20% - Accent1 4 6 2 3 2 2" xfId="21810" xr:uid="{00000000-0005-0000-0000-00001C080000}"/>
    <cellStyle name="20% - Accent1 4 6 2 3 2 2 2" xfId="44412" xr:uid="{00000000-0005-0000-0000-00001D080000}"/>
    <cellStyle name="20% - Accent1 4 6 2 3 2 3" xfId="33111" xr:uid="{00000000-0005-0000-0000-00001E080000}"/>
    <cellStyle name="20% - Accent1 4 6 2 3 3" xfId="16160" xr:uid="{00000000-0005-0000-0000-00001F080000}"/>
    <cellStyle name="20% - Accent1 4 6 2 3 3 2" xfId="38762" xr:uid="{00000000-0005-0000-0000-000020080000}"/>
    <cellStyle name="20% - Accent1 4 6 2 3 4" xfId="27461" xr:uid="{00000000-0005-0000-0000-000021080000}"/>
    <cellStyle name="20% - Accent1 4 6 2 4" xfId="7365" xr:uid="{00000000-0005-0000-0000-000022080000}"/>
    <cellStyle name="20% - Accent1 4 6 2 4 2" xfId="18666" xr:uid="{00000000-0005-0000-0000-000023080000}"/>
    <cellStyle name="20% - Accent1 4 6 2 4 2 2" xfId="41268" xr:uid="{00000000-0005-0000-0000-000024080000}"/>
    <cellStyle name="20% - Accent1 4 6 2 4 3" xfId="29967" xr:uid="{00000000-0005-0000-0000-000025080000}"/>
    <cellStyle name="20% - Accent1 4 6 2 5" xfId="13016" xr:uid="{00000000-0005-0000-0000-000026080000}"/>
    <cellStyle name="20% - Accent1 4 6 2 5 2" xfId="35618" xr:uid="{00000000-0005-0000-0000-000027080000}"/>
    <cellStyle name="20% - Accent1 4 6 2 6" xfId="24317" xr:uid="{00000000-0005-0000-0000-000028080000}"/>
    <cellStyle name="20% - Accent1 4 6 3" xfId="2450" xr:uid="{00000000-0005-0000-0000-000029080000}"/>
    <cellStyle name="20% - Accent1 4 6 3 2" xfId="5469" xr:uid="{00000000-0005-0000-0000-00002A080000}"/>
    <cellStyle name="20% - Accent1 4 6 3 2 2" xfId="11119" xr:uid="{00000000-0005-0000-0000-00002B080000}"/>
    <cellStyle name="20% - Accent1 4 6 3 2 2 2" xfId="22420" xr:uid="{00000000-0005-0000-0000-00002C080000}"/>
    <cellStyle name="20% - Accent1 4 6 3 2 2 2 2" xfId="45022" xr:uid="{00000000-0005-0000-0000-00002D080000}"/>
    <cellStyle name="20% - Accent1 4 6 3 2 2 3" xfId="33721" xr:uid="{00000000-0005-0000-0000-00002E080000}"/>
    <cellStyle name="20% - Accent1 4 6 3 2 3" xfId="16770" xr:uid="{00000000-0005-0000-0000-00002F080000}"/>
    <cellStyle name="20% - Accent1 4 6 3 2 3 2" xfId="39372" xr:uid="{00000000-0005-0000-0000-000030080000}"/>
    <cellStyle name="20% - Accent1 4 6 3 2 4" xfId="28071" xr:uid="{00000000-0005-0000-0000-000031080000}"/>
    <cellStyle name="20% - Accent1 4 6 3 3" xfId="8286" xr:uid="{00000000-0005-0000-0000-000032080000}"/>
    <cellStyle name="20% - Accent1 4 6 3 3 2" xfId="19587" xr:uid="{00000000-0005-0000-0000-000033080000}"/>
    <cellStyle name="20% - Accent1 4 6 3 3 2 2" xfId="42189" xr:uid="{00000000-0005-0000-0000-000034080000}"/>
    <cellStyle name="20% - Accent1 4 6 3 3 3" xfId="30888" xr:uid="{00000000-0005-0000-0000-000035080000}"/>
    <cellStyle name="20% - Accent1 4 6 3 4" xfId="13937" xr:uid="{00000000-0005-0000-0000-000036080000}"/>
    <cellStyle name="20% - Accent1 4 6 3 4 2" xfId="36539" xr:uid="{00000000-0005-0000-0000-000037080000}"/>
    <cellStyle name="20% - Accent1 4 6 3 5" xfId="25238" xr:uid="{00000000-0005-0000-0000-000038080000}"/>
    <cellStyle name="20% - Accent1 4 6 4" xfId="4235" xr:uid="{00000000-0005-0000-0000-000039080000}"/>
    <cellStyle name="20% - Accent1 4 6 4 2" xfId="9885" xr:uid="{00000000-0005-0000-0000-00003A080000}"/>
    <cellStyle name="20% - Accent1 4 6 4 2 2" xfId="21186" xr:uid="{00000000-0005-0000-0000-00003B080000}"/>
    <cellStyle name="20% - Accent1 4 6 4 2 2 2" xfId="43788" xr:uid="{00000000-0005-0000-0000-00003C080000}"/>
    <cellStyle name="20% - Accent1 4 6 4 2 3" xfId="32487" xr:uid="{00000000-0005-0000-0000-00003D080000}"/>
    <cellStyle name="20% - Accent1 4 6 4 3" xfId="15536" xr:uid="{00000000-0005-0000-0000-00003E080000}"/>
    <cellStyle name="20% - Accent1 4 6 4 3 2" xfId="38138" xr:uid="{00000000-0005-0000-0000-00003F080000}"/>
    <cellStyle name="20% - Accent1 4 6 4 4" xfId="26837" xr:uid="{00000000-0005-0000-0000-000040080000}"/>
    <cellStyle name="20% - Accent1 4 6 5" xfId="7033" xr:uid="{00000000-0005-0000-0000-000041080000}"/>
    <cellStyle name="20% - Accent1 4 6 5 2" xfId="18334" xr:uid="{00000000-0005-0000-0000-000042080000}"/>
    <cellStyle name="20% - Accent1 4 6 5 2 2" xfId="40936" xr:uid="{00000000-0005-0000-0000-000043080000}"/>
    <cellStyle name="20% - Accent1 4 6 5 3" xfId="29635" xr:uid="{00000000-0005-0000-0000-000044080000}"/>
    <cellStyle name="20% - Accent1 4 6 6" xfId="12684" xr:uid="{00000000-0005-0000-0000-000045080000}"/>
    <cellStyle name="20% - Accent1 4 6 6 2" xfId="35286" xr:uid="{00000000-0005-0000-0000-000046080000}"/>
    <cellStyle name="20% - Accent1 4 6 7" xfId="23985" xr:uid="{00000000-0005-0000-0000-000047080000}"/>
    <cellStyle name="20% - Accent1 4 7" xfId="718" xr:uid="{00000000-0005-0000-0000-000048080000}"/>
    <cellStyle name="20% - Accent1 4 7 2" xfId="2815" xr:uid="{00000000-0005-0000-0000-000049080000}"/>
    <cellStyle name="20% - Accent1 4 7 2 2" xfId="5787" xr:uid="{00000000-0005-0000-0000-00004A080000}"/>
    <cellStyle name="20% - Accent1 4 7 2 2 2" xfId="11437" xr:uid="{00000000-0005-0000-0000-00004B080000}"/>
    <cellStyle name="20% - Accent1 4 7 2 2 2 2" xfId="22738" xr:uid="{00000000-0005-0000-0000-00004C080000}"/>
    <cellStyle name="20% - Accent1 4 7 2 2 2 2 2" xfId="45340" xr:uid="{00000000-0005-0000-0000-00004D080000}"/>
    <cellStyle name="20% - Accent1 4 7 2 2 2 3" xfId="34039" xr:uid="{00000000-0005-0000-0000-00004E080000}"/>
    <cellStyle name="20% - Accent1 4 7 2 2 3" xfId="17088" xr:uid="{00000000-0005-0000-0000-00004F080000}"/>
    <cellStyle name="20% - Accent1 4 7 2 2 3 2" xfId="39690" xr:uid="{00000000-0005-0000-0000-000050080000}"/>
    <cellStyle name="20% - Accent1 4 7 2 2 4" xfId="28389" xr:uid="{00000000-0005-0000-0000-000051080000}"/>
    <cellStyle name="20% - Accent1 4 7 2 3" xfId="8605" xr:uid="{00000000-0005-0000-0000-000052080000}"/>
    <cellStyle name="20% - Accent1 4 7 2 3 2" xfId="19906" xr:uid="{00000000-0005-0000-0000-000053080000}"/>
    <cellStyle name="20% - Accent1 4 7 2 3 2 2" xfId="42508" xr:uid="{00000000-0005-0000-0000-000054080000}"/>
    <cellStyle name="20% - Accent1 4 7 2 3 3" xfId="31207" xr:uid="{00000000-0005-0000-0000-000055080000}"/>
    <cellStyle name="20% - Accent1 4 7 2 4" xfId="14256" xr:uid="{00000000-0005-0000-0000-000056080000}"/>
    <cellStyle name="20% - Accent1 4 7 2 4 2" xfId="36858" xr:uid="{00000000-0005-0000-0000-000057080000}"/>
    <cellStyle name="20% - Accent1 4 7 2 5" xfId="25557" xr:uid="{00000000-0005-0000-0000-000058080000}"/>
    <cellStyle name="20% - Accent1 4 7 3" xfId="4553" xr:uid="{00000000-0005-0000-0000-000059080000}"/>
    <cellStyle name="20% - Accent1 4 7 3 2" xfId="10203" xr:uid="{00000000-0005-0000-0000-00005A080000}"/>
    <cellStyle name="20% - Accent1 4 7 3 2 2" xfId="21504" xr:uid="{00000000-0005-0000-0000-00005B080000}"/>
    <cellStyle name="20% - Accent1 4 7 3 2 2 2" xfId="44106" xr:uid="{00000000-0005-0000-0000-00005C080000}"/>
    <cellStyle name="20% - Accent1 4 7 3 2 3" xfId="32805" xr:uid="{00000000-0005-0000-0000-00005D080000}"/>
    <cellStyle name="20% - Accent1 4 7 3 3" xfId="15854" xr:uid="{00000000-0005-0000-0000-00005E080000}"/>
    <cellStyle name="20% - Accent1 4 7 3 3 2" xfId="38456" xr:uid="{00000000-0005-0000-0000-00005F080000}"/>
    <cellStyle name="20% - Accent1 4 7 3 4" xfId="27155" xr:uid="{00000000-0005-0000-0000-000060080000}"/>
    <cellStyle name="20% - Accent1 4 7 4" xfId="6735" xr:uid="{00000000-0005-0000-0000-000061080000}"/>
    <cellStyle name="20% - Accent1 4 7 4 2" xfId="18036" xr:uid="{00000000-0005-0000-0000-000062080000}"/>
    <cellStyle name="20% - Accent1 4 7 4 2 2" xfId="40638" xr:uid="{00000000-0005-0000-0000-000063080000}"/>
    <cellStyle name="20% - Accent1 4 7 4 3" xfId="29337" xr:uid="{00000000-0005-0000-0000-000064080000}"/>
    <cellStyle name="20% - Accent1 4 7 5" xfId="12386" xr:uid="{00000000-0005-0000-0000-000065080000}"/>
    <cellStyle name="20% - Accent1 4 7 5 2" xfId="34988" xr:uid="{00000000-0005-0000-0000-000066080000}"/>
    <cellStyle name="20% - Accent1 4 7 6" xfId="23687" xr:uid="{00000000-0005-0000-0000-000067080000}"/>
    <cellStyle name="20% - Accent1 4 8" xfId="1496" xr:uid="{00000000-0005-0000-0000-000068080000}"/>
    <cellStyle name="20% - Accent1 4 8 2" xfId="3533" xr:uid="{00000000-0005-0000-0000-000069080000}"/>
    <cellStyle name="20% - Accent1 4 8 2 2" xfId="9251" xr:uid="{00000000-0005-0000-0000-00006A080000}"/>
    <cellStyle name="20% - Accent1 4 8 2 2 2" xfId="20552" xr:uid="{00000000-0005-0000-0000-00006B080000}"/>
    <cellStyle name="20% - Accent1 4 8 2 2 2 2" xfId="43154" xr:uid="{00000000-0005-0000-0000-00006C080000}"/>
    <cellStyle name="20% - Accent1 4 8 2 2 3" xfId="31853" xr:uid="{00000000-0005-0000-0000-00006D080000}"/>
    <cellStyle name="20% - Accent1 4 8 2 3" xfId="14902" xr:uid="{00000000-0005-0000-0000-00006E080000}"/>
    <cellStyle name="20% - Accent1 4 8 2 3 2" xfId="37504" xr:uid="{00000000-0005-0000-0000-00006F080000}"/>
    <cellStyle name="20% - Accent1 4 8 2 4" xfId="26203" xr:uid="{00000000-0005-0000-0000-000070080000}"/>
    <cellStyle name="20% - Accent1 4 8 3" xfId="5163" xr:uid="{00000000-0005-0000-0000-000071080000}"/>
    <cellStyle name="20% - Accent1 4 8 3 2" xfId="10813" xr:uid="{00000000-0005-0000-0000-000072080000}"/>
    <cellStyle name="20% - Accent1 4 8 3 2 2" xfId="22114" xr:uid="{00000000-0005-0000-0000-000073080000}"/>
    <cellStyle name="20% - Accent1 4 8 3 2 2 2" xfId="44716" xr:uid="{00000000-0005-0000-0000-000074080000}"/>
    <cellStyle name="20% - Accent1 4 8 3 2 3" xfId="33415" xr:uid="{00000000-0005-0000-0000-000075080000}"/>
    <cellStyle name="20% - Accent1 4 8 3 3" xfId="16464" xr:uid="{00000000-0005-0000-0000-000076080000}"/>
    <cellStyle name="20% - Accent1 4 8 3 3 2" xfId="39066" xr:uid="{00000000-0005-0000-0000-000077080000}"/>
    <cellStyle name="20% - Accent1 4 8 3 4" xfId="27765" xr:uid="{00000000-0005-0000-0000-000078080000}"/>
    <cellStyle name="20% - Accent1 4 8 4" xfId="7352" xr:uid="{00000000-0005-0000-0000-000079080000}"/>
    <cellStyle name="20% - Accent1 4 8 4 2" xfId="18653" xr:uid="{00000000-0005-0000-0000-00007A080000}"/>
    <cellStyle name="20% - Accent1 4 8 4 2 2" xfId="41255" xr:uid="{00000000-0005-0000-0000-00007B080000}"/>
    <cellStyle name="20% - Accent1 4 8 4 3" xfId="29954" xr:uid="{00000000-0005-0000-0000-00007C080000}"/>
    <cellStyle name="20% - Accent1 4 8 5" xfId="13003" xr:uid="{00000000-0005-0000-0000-00007D080000}"/>
    <cellStyle name="20% - Accent1 4 8 5 2" xfId="35605" xr:uid="{00000000-0005-0000-0000-00007E080000}"/>
    <cellStyle name="20% - Accent1 4 8 6" xfId="24304" xr:uid="{00000000-0005-0000-0000-00007F080000}"/>
    <cellStyle name="20% - Accent1 4 9" xfId="2134" xr:uid="{00000000-0005-0000-0000-000080080000}"/>
    <cellStyle name="20% - Accent1 4 9 2" xfId="7977" xr:uid="{00000000-0005-0000-0000-000081080000}"/>
    <cellStyle name="20% - Accent1 4 9 2 2" xfId="19278" xr:uid="{00000000-0005-0000-0000-000082080000}"/>
    <cellStyle name="20% - Accent1 4 9 2 2 2" xfId="41880" xr:uid="{00000000-0005-0000-0000-000083080000}"/>
    <cellStyle name="20% - Accent1 4 9 2 3" xfId="30579" xr:uid="{00000000-0005-0000-0000-000084080000}"/>
    <cellStyle name="20% - Accent1 4 9 3" xfId="13628" xr:uid="{00000000-0005-0000-0000-000085080000}"/>
    <cellStyle name="20% - Accent1 4 9 3 2" xfId="36230" xr:uid="{00000000-0005-0000-0000-000086080000}"/>
    <cellStyle name="20% - Accent1 4 9 4" xfId="24929" xr:uid="{00000000-0005-0000-0000-000087080000}"/>
    <cellStyle name="20% - Accent1 5" xfId="205" xr:uid="{00000000-0005-0000-0000-000088080000}"/>
    <cellStyle name="20% - Accent1 5 10" xfId="12071" xr:uid="{00000000-0005-0000-0000-000089080000}"/>
    <cellStyle name="20% - Accent1 5 10 2" xfId="34673" xr:uid="{00000000-0005-0000-0000-00008A080000}"/>
    <cellStyle name="20% - Accent1 5 11" xfId="23372" xr:uid="{00000000-0005-0000-0000-00008B080000}"/>
    <cellStyle name="20% - Accent1 5 2" xfId="373" xr:uid="{00000000-0005-0000-0000-00008C080000}"/>
    <cellStyle name="20% - Accent1 5 2 10" xfId="23468" xr:uid="{00000000-0005-0000-0000-00008D080000}"/>
    <cellStyle name="20% - Accent1 5 2 2" xfId="618" xr:uid="{00000000-0005-0000-0000-00008E080000}"/>
    <cellStyle name="20% - Accent1 5 2 2 2" xfId="1328" xr:uid="{00000000-0005-0000-0000-00008F080000}"/>
    <cellStyle name="20% - Accent1 5 2 2 2 2" xfId="1513" xr:uid="{00000000-0005-0000-0000-000090080000}"/>
    <cellStyle name="20% - Accent1 5 2 2 2 2 2" xfId="3397" xr:uid="{00000000-0005-0000-0000-000091080000}"/>
    <cellStyle name="20% - Accent1 5 2 2 2 2 2 2" xfId="6369" xr:uid="{00000000-0005-0000-0000-000092080000}"/>
    <cellStyle name="20% - Accent1 5 2 2 2 2 2 2 2" xfId="12019" xr:uid="{00000000-0005-0000-0000-000093080000}"/>
    <cellStyle name="20% - Accent1 5 2 2 2 2 2 2 2 2" xfId="23320" xr:uid="{00000000-0005-0000-0000-000094080000}"/>
    <cellStyle name="20% - Accent1 5 2 2 2 2 2 2 2 2 2" xfId="45922" xr:uid="{00000000-0005-0000-0000-000095080000}"/>
    <cellStyle name="20% - Accent1 5 2 2 2 2 2 2 2 3" xfId="34621" xr:uid="{00000000-0005-0000-0000-000096080000}"/>
    <cellStyle name="20% - Accent1 5 2 2 2 2 2 2 3" xfId="17670" xr:uid="{00000000-0005-0000-0000-000097080000}"/>
    <cellStyle name="20% - Accent1 5 2 2 2 2 2 2 3 2" xfId="40272" xr:uid="{00000000-0005-0000-0000-000098080000}"/>
    <cellStyle name="20% - Accent1 5 2 2 2 2 2 2 4" xfId="28971" xr:uid="{00000000-0005-0000-0000-000099080000}"/>
    <cellStyle name="20% - Accent1 5 2 2 2 2 2 3" xfId="9187" xr:uid="{00000000-0005-0000-0000-00009A080000}"/>
    <cellStyle name="20% - Accent1 5 2 2 2 2 2 3 2" xfId="20488" xr:uid="{00000000-0005-0000-0000-00009B080000}"/>
    <cellStyle name="20% - Accent1 5 2 2 2 2 2 3 2 2" xfId="43090" xr:uid="{00000000-0005-0000-0000-00009C080000}"/>
    <cellStyle name="20% - Accent1 5 2 2 2 2 2 3 3" xfId="31789" xr:uid="{00000000-0005-0000-0000-00009D080000}"/>
    <cellStyle name="20% - Accent1 5 2 2 2 2 2 4" xfId="14838" xr:uid="{00000000-0005-0000-0000-00009E080000}"/>
    <cellStyle name="20% - Accent1 5 2 2 2 2 2 4 2" xfId="37440" xr:uid="{00000000-0005-0000-0000-00009F080000}"/>
    <cellStyle name="20% - Accent1 5 2 2 2 2 2 5" xfId="26139" xr:uid="{00000000-0005-0000-0000-0000A0080000}"/>
    <cellStyle name="20% - Accent1 5 2 2 2 2 3" xfId="5135" xr:uid="{00000000-0005-0000-0000-0000A1080000}"/>
    <cellStyle name="20% - Accent1 5 2 2 2 2 3 2" xfId="10785" xr:uid="{00000000-0005-0000-0000-0000A2080000}"/>
    <cellStyle name="20% - Accent1 5 2 2 2 2 3 2 2" xfId="22086" xr:uid="{00000000-0005-0000-0000-0000A3080000}"/>
    <cellStyle name="20% - Accent1 5 2 2 2 2 3 2 2 2" xfId="44688" xr:uid="{00000000-0005-0000-0000-0000A4080000}"/>
    <cellStyle name="20% - Accent1 5 2 2 2 2 3 2 3" xfId="33387" xr:uid="{00000000-0005-0000-0000-0000A5080000}"/>
    <cellStyle name="20% - Accent1 5 2 2 2 2 3 3" xfId="16436" xr:uid="{00000000-0005-0000-0000-0000A6080000}"/>
    <cellStyle name="20% - Accent1 5 2 2 2 2 3 3 2" xfId="39038" xr:uid="{00000000-0005-0000-0000-0000A7080000}"/>
    <cellStyle name="20% - Accent1 5 2 2 2 2 3 4" xfId="27737" xr:uid="{00000000-0005-0000-0000-0000A8080000}"/>
    <cellStyle name="20% - Accent1 5 2 2 2 2 4" xfId="7369" xr:uid="{00000000-0005-0000-0000-0000A9080000}"/>
    <cellStyle name="20% - Accent1 5 2 2 2 2 4 2" xfId="18670" xr:uid="{00000000-0005-0000-0000-0000AA080000}"/>
    <cellStyle name="20% - Accent1 5 2 2 2 2 4 2 2" xfId="41272" xr:uid="{00000000-0005-0000-0000-0000AB080000}"/>
    <cellStyle name="20% - Accent1 5 2 2 2 2 4 3" xfId="29971" xr:uid="{00000000-0005-0000-0000-0000AC080000}"/>
    <cellStyle name="20% - Accent1 5 2 2 2 2 5" xfId="13020" xr:uid="{00000000-0005-0000-0000-0000AD080000}"/>
    <cellStyle name="20% - Accent1 5 2 2 2 2 5 2" xfId="35622" xr:uid="{00000000-0005-0000-0000-0000AE080000}"/>
    <cellStyle name="20% - Accent1 5 2 2 2 2 6" xfId="24321" xr:uid="{00000000-0005-0000-0000-0000AF080000}"/>
    <cellStyle name="20% - Accent1 5 2 2 2 3" xfId="2726" xr:uid="{00000000-0005-0000-0000-0000B0080000}"/>
    <cellStyle name="20% - Accent1 5 2 2 2 3 2" xfId="5745" xr:uid="{00000000-0005-0000-0000-0000B1080000}"/>
    <cellStyle name="20% - Accent1 5 2 2 2 3 2 2" xfId="11395" xr:uid="{00000000-0005-0000-0000-0000B2080000}"/>
    <cellStyle name="20% - Accent1 5 2 2 2 3 2 2 2" xfId="22696" xr:uid="{00000000-0005-0000-0000-0000B3080000}"/>
    <cellStyle name="20% - Accent1 5 2 2 2 3 2 2 2 2" xfId="45298" xr:uid="{00000000-0005-0000-0000-0000B4080000}"/>
    <cellStyle name="20% - Accent1 5 2 2 2 3 2 2 3" xfId="33997" xr:uid="{00000000-0005-0000-0000-0000B5080000}"/>
    <cellStyle name="20% - Accent1 5 2 2 2 3 2 3" xfId="17046" xr:uid="{00000000-0005-0000-0000-0000B6080000}"/>
    <cellStyle name="20% - Accent1 5 2 2 2 3 2 3 2" xfId="39648" xr:uid="{00000000-0005-0000-0000-0000B7080000}"/>
    <cellStyle name="20% - Accent1 5 2 2 2 3 2 4" xfId="28347" xr:uid="{00000000-0005-0000-0000-0000B8080000}"/>
    <cellStyle name="20% - Accent1 5 2 2 2 3 3" xfId="8562" xr:uid="{00000000-0005-0000-0000-0000B9080000}"/>
    <cellStyle name="20% - Accent1 5 2 2 2 3 3 2" xfId="19863" xr:uid="{00000000-0005-0000-0000-0000BA080000}"/>
    <cellStyle name="20% - Accent1 5 2 2 2 3 3 2 2" xfId="42465" xr:uid="{00000000-0005-0000-0000-0000BB080000}"/>
    <cellStyle name="20% - Accent1 5 2 2 2 3 3 3" xfId="31164" xr:uid="{00000000-0005-0000-0000-0000BC080000}"/>
    <cellStyle name="20% - Accent1 5 2 2 2 3 4" xfId="14213" xr:uid="{00000000-0005-0000-0000-0000BD080000}"/>
    <cellStyle name="20% - Accent1 5 2 2 2 3 4 2" xfId="36815" xr:uid="{00000000-0005-0000-0000-0000BE080000}"/>
    <cellStyle name="20% - Accent1 5 2 2 2 3 5" xfId="25514" xr:uid="{00000000-0005-0000-0000-0000BF080000}"/>
    <cellStyle name="20% - Accent1 5 2 2 2 4" xfId="4511" xr:uid="{00000000-0005-0000-0000-0000C0080000}"/>
    <cellStyle name="20% - Accent1 5 2 2 2 4 2" xfId="10161" xr:uid="{00000000-0005-0000-0000-0000C1080000}"/>
    <cellStyle name="20% - Accent1 5 2 2 2 4 2 2" xfId="21462" xr:uid="{00000000-0005-0000-0000-0000C2080000}"/>
    <cellStyle name="20% - Accent1 5 2 2 2 4 2 2 2" xfId="44064" xr:uid="{00000000-0005-0000-0000-0000C3080000}"/>
    <cellStyle name="20% - Accent1 5 2 2 2 4 2 3" xfId="32763" xr:uid="{00000000-0005-0000-0000-0000C4080000}"/>
    <cellStyle name="20% - Accent1 5 2 2 2 4 3" xfId="15812" xr:uid="{00000000-0005-0000-0000-0000C5080000}"/>
    <cellStyle name="20% - Accent1 5 2 2 2 4 3 2" xfId="38414" xr:uid="{00000000-0005-0000-0000-0000C6080000}"/>
    <cellStyle name="20% - Accent1 5 2 2 2 4 4" xfId="27113" xr:uid="{00000000-0005-0000-0000-0000C7080000}"/>
    <cellStyle name="20% - Accent1 5 2 2 2 5" xfId="7307" xr:uid="{00000000-0005-0000-0000-0000C8080000}"/>
    <cellStyle name="20% - Accent1 5 2 2 2 5 2" xfId="18608" xr:uid="{00000000-0005-0000-0000-0000C9080000}"/>
    <cellStyle name="20% - Accent1 5 2 2 2 5 2 2" xfId="41210" xr:uid="{00000000-0005-0000-0000-0000CA080000}"/>
    <cellStyle name="20% - Accent1 5 2 2 2 5 3" xfId="29909" xr:uid="{00000000-0005-0000-0000-0000CB080000}"/>
    <cellStyle name="20% - Accent1 5 2 2 2 6" xfId="12958" xr:uid="{00000000-0005-0000-0000-0000CC080000}"/>
    <cellStyle name="20% - Accent1 5 2 2 2 6 2" xfId="35560" xr:uid="{00000000-0005-0000-0000-0000CD080000}"/>
    <cellStyle name="20% - Accent1 5 2 2 2 7" xfId="24259" xr:uid="{00000000-0005-0000-0000-0000CE080000}"/>
    <cellStyle name="20% - Accent1 5 2 2 3" xfId="1026" xr:uid="{00000000-0005-0000-0000-0000CF080000}"/>
    <cellStyle name="20% - Accent1 5 2 2 3 2" xfId="3089" xr:uid="{00000000-0005-0000-0000-0000D0080000}"/>
    <cellStyle name="20% - Accent1 5 2 2 3 2 2" xfId="6061" xr:uid="{00000000-0005-0000-0000-0000D1080000}"/>
    <cellStyle name="20% - Accent1 5 2 2 3 2 2 2" xfId="11711" xr:uid="{00000000-0005-0000-0000-0000D2080000}"/>
    <cellStyle name="20% - Accent1 5 2 2 3 2 2 2 2" xfId="23012" xr:uid="{00000000-0005-0000-0000-0000D3080000}"/>
    <cellStyle name="20% - Accent1 5 2 2 3 2 2 2 2 2" xfId="45614" xr:uid="{00000000-0005-0000-0000-0000D4080000}"/>
    <cellStyle name="20% - Accent1 5 2 2 3 2 2 2 3" xfId="34313" xr:uid="{00000000-0005-0000-0000-0000D5080000}"/>
    <cellStyle name="20% - Accent1 5 2 2 3 2 2 3" xfId="17362" xr:uid="{00000000-0005-0000-0000-0000D6080000}"/>
    <cellStyle name="20% - Accent1 5 2 2 3 2 2 3 2" xfId="39964" xr:uid="{00000000-0005-0000-0000-0000D7080000}"/>
    <cellStyle name="20% - Accent1 5 2 2 3 2 2 4" xfId="28663" xr:uid="{00000000-0005-0000-0000-0000D8080000}"/>
    <cellStyle name="20% - Accent1 5 2 2 3 2 3" xfId="8879" xr:uid="{00000000-0005-0000-0000-0000D9080000}"/>
    <cellStyle name="20% - Accent1 5 2 2 3 2 3 2" xfId="20180" xr:uid="{00000000-0005-0000-0000-0000DA080000}"/>
    <cellStyle name="20% - Accent1 5 2 2 3 2 3 2 2" xfId="42782" xr:uid="{00000000-0005-0000-0000-0000DB080000}"/>
    <cellStyle name="20% - Accent1 5 2 2 3 2 3 3" xfId="31481" xr:uid="{00000000-0005-0000-0000-0000DC080000}"/>
    <cellStyle name="20% - Accent1 5 2 2 3 2 4" xfId="14530" xr:uid="{00000000-0005-0000-0000-0000DD080000}"/>
    <cellStyle name="20% - Accent1 5 2 2 3 2 4 2" xfId="37132" xr:uid="{00000000-0005-0000-0000-0000DE080000}"/>
    <cellStyle name="20% - Accent1 5 2 2 3 2 5" xfId="25831" xr:uid="{00000000-0005-0000-0000-0000DF080000}"/>
    <cellStyle name="20% - Accent1 5 2 2 3 3" xfId="4827" xr:uid="{00000000-0005-0000-0000-0000E0080000}"/>
    <cellStyle name="20% - Accent1 5 2 2 3 3 2" xfId="10477" xr:uid="{00000000-0005-0000-0000-0000E1080000}"/>
    <cellStyle name="20% - Accent1 5 2 2 3 3 2 2" xfId="21778" xr:uid="{00000000-0005-0000-0000-0000E2080000}"/>
    <cellStyle name="20% - Accent1 5 2 2 3 3 2 2 2" xfId="44380" xr:uid="{00000000-0005-0000-0000-0000E3080000}"/>
    <cellStyle name="20% - Accent1 5 2 2 3 3 2 3" xfId="33079" xr:uid="{00000000-0005-0000-0000-0000E4080000}"/>
    <cellStyle name="20% - Accent1 5 2 2 3 3 3" xfId="16128" xr:uid="{00000000-0005-0000-0000-0000E5080000}"/>
    <cellStyle name="20% - Accent1 5 2 2 3 3 3 2" xfId="38730" xr:uid="{00000000-0005-0000-0000-0000E6080000}"/>
    <cellStyle name="20% - Accent1 5 2 2 3 3 4" xfId="27429" xr:uid="{00000000-0005-0000-0000-0000E7080000}"/>
    <cellStyle name="20% - Accent1 5 2 2 3 4" xfId="7014" xr:uid="{00000000-0005-0000-0000-0000E8080000}"/>
    <cellStyle name="20% - Accent1 5 2 2 3 4 2" xfId="18315" xr:uid="{00000000-0005-0000-0000-0000E9080000}"/>
    <cellStyle name="20% - Accent1 5 2 2 3 4 2 2" xfId="40917" xr:uid="{00000000-0005-0000-0000-0000EA080000}"/>
    <cellStyle name="20% - Accent1 5 2 2 3 4 3" xfId="29616" xr:uid="{00000000-0005-0000-0000-0000EB080000}"/>
    <cellStyle name="20% - Accent1 5 2 2 3 5" xfId="12665" xr:uid="{00000000-0005-0000-0000-0000EC080000}"/>
    <cellStyle name="20% - Accent1 5 2 2 3 5 2" xfId="35267" xr:uid="{00000000-0005-0000-0000-0000ED080000}"/>
    <cellStyle name="20% - Accent1 5 2 2 3 6" xfId="23966" xr:uid="{00000000-0005-0000-0000-0000EE080000}"/>
    <cellStyle name="20% - Accent1 5 2 2 4" xfId="1512" xr:uid="{00000000-0005-0000-0000-0000EF080000}"/>
    <cellStyle name="20% - Accent1 5 2 2 4 2" xfId="3534" xr:uid="{00000000-0005-0000-0000-0000F0080000}"/>
    <cellStyle name="20% - Accent1 5 2 2 4 2 2" xfId="9252" xr:uid="{00000000-0005-0000-0000-0000F1080000}"/>
    <cellStyle name="20% - Accent1 5 2 2 4 2 2 2" xfId="20553" xr:uid="{00000000-0005-0000-0000-0000F2080000}"/>
    <cellStyle name="20% - Accent1 5 2 2 4 2 2 2 2" xfId="43155" xr:uid="{00000000-0005-0000-0000-0000F3080000}"/>
    <cellStyle name="20% - Accent1 5 2 2 4 2 2 3" xfId="31854" xr:uid="{00000000-0005-0000-0000-0000F4080000}"/>
    <cellStyle name="20% - Accent1 5 2 2 4 2 3" xfId="14903" xr:uid="{00000000-0005-0000-0000-0000F5080000}"/>
    <cellStyle name="20% - Accent1 5 2 2 4 2 3 2" xfId="37505" xr:uid="{00000000-0005-0000-0000-0000F6080000}"/>
    <cellStyle name="20% - Accent1 5 2 2 4 2 4" xfId="26204" xr:uid="{00000000-0005-0000-0000-0000F7080000}"/>
    <cellStyle name="20% - Accent1 5 2 2 4 3" xfId="5437" xr:uid="{00000000-0005-0000-0000-0000F8080000}"/>
    <cellStyle name="20% - Accent1 5 2 2 4 3 2" xfId="11087" xr:uid="{00000000-0005-0000-0000-0000F9080000}"/>
    <cellStyle name="20% - Accent1 5 2 2 4 3 2 2" xfId="22388" xr:uid="{00000000-0005-0000-0000-0000FA080000}"/>
    <cellStyle name="20% - Accent1 5 2 2 4 3 2 2 2" xfId="44990" xr:uid="{00000000-0005-0000-0000-0000FB080000}"/>
    <cellStyle name="20% - Accent1 5 2 2 4 3 2 3" xfId="33689" xr:uid="{00000000-0005-0000-0000-0000FC080000}"/>
    <cellStyle name="20% - Accent1 5 2 2 4 3 3" xfId="16738" xr:uid="{00000000-0005-0000-0000-0000FD080000}"/>
    <cellStyle name="20% - Accent1 5 2 2 4 3 3 2" xfId="39340" xr:uid="{00000000-0005-0000-0000-0000FE080000}"/>
    <cellStyle name="20% - Accent1 5 2 2 4 3 4" xfId="28039" xr:uid="{00000000-0005-0000-0000-0000FF080000}"/>
    <cellStyle name="20% - Accent1 5 2 2 4 4" xfId="7368" xr:uid="{00000000-0005-0000-0000-000000090000}"/>
    <cellStyle name="20% - Accent1 5 2 2 4 4 2" xfId="18669" xr:uid="{00000000-0005-0000-0000-000001090000}"/>
    <cellStyle name="20% - Accent1 5 2 2 4 4 2 2" xfId="41271" xr:uid="{00000000-0005-0000-0000-000002090000}"/>
    <cellStyle name="20% - Accent1 5 2 2 4 4 3" xfId="29970" xr:uid="{00000000-0005-0000-0000-000003090000}"/>
    <cellStyle name="20% - Accent1 5 2 2 4 5" xfId="13019" xr:uid="{00000000-0005-0000-0000-000004090000}"/>
    <cellStyle name="20% - Accent1 5 2 2 4 5 2" xfId="35621" xr:uid="{00000000-0005-0000-0000-000005090000}"/>
    <cellStyle name="20% - Accent1 5 2 2 4 6" xfId="24320" xr:uid="{00000000-0005-0000-0000-000006090000}"/>
    <cellStyle name="20% - Accent1 5 2 2 5" xfId="2418" xr:uid="{00000000-0005-0000-0000-000007090000}"/>
    <cellStyle name="20% - Accent1 5 2 2 5 2" xfId="8254" xr:uid="{00000000-0005-0000-0000-000008090000}"/>
    <cellStyle name="20% - Accent1 5 2 2 5 2 2" xfId="19555" xr:uid="{00000000-0005-0000-0000-000009090000}"/>
    <cellStyle name="20% - Accent1 5 2 2 5 2 2 2" xfId="42157" xr:uid="{00000000-0005-0000-0000-00000A090000}"/>
    <cellStyle name="20% - Accent1 5 2 2 5 2 3" xfId="30856" xr:uid="{00000000-0005-0000-0000-00000B090000}"/>
    <cellStyle name="20% - Accent1 5 2 2 5 3" xfId="13905" xr:uid="{00000000-0005-0000-0000-00000C090000}"/>
    <cellStyle name="20% - Accent1 5 2 2 5 3 2" xfId="36507" xr:uid="{00000000-0005-0000-0000-00000D090000}"/>
    <cellStyle name="20% - Accent1 5 2 2 5 4" xfId="25206" xr:uid="{00000000-0005-0000-0000-00000E090000}"/>
    <cellStyle name="20% - Accent1 5 2 2 6" xfId="4203" xr:uid="{00000000-0005-0000-0000-00000F090000}"/>
    <cellStyle name="20% - Accent1 5 2 2 6 2" xfId="9853" xr:uid="{00000000-0005-0000-0000-000010090000}"/>
    <cellStyle name="20% - Accent1 5 2 2 6 2 2" xfId="21154" xr:uid="{00000000-0005-0000-0000-000011090000}"/>
    <cellStyle name="20% - Accent1 5 2 2 6 2 2 2" xfId="43756" xr:uid="{00000000-0005-0000-0000-000012090000}"/>
    <cellStyle name="20% - Accent1 5 2 2 6 2 3" xfId="32455" xr:uid="{00000000-0005-0000-0000-000013090000}"/>
    <cellStyle name="20% - Accent1 5 2 2 6 3" xfId="15504" xr:uid="{00000000-0005-0000-0000-000014090000}"/>
    <cellStyle name="20% - Accent1 5 2 2 6 3 2" xfId="38106" xr:uid="{00000000-0005-0000-0000-000015090000}"/>
    <cellStyle name="20% - Accent1 5 2 2 6 4" xfId="26805" xr:uid="{00000000-0005-0000-0000-000016090000}"/>
    <cellStyle name="20% - Accent1 5 2 2 7" xfId="6683" xr:uid="{00000000-0005-0000-0000-000017090000}"/>
    <cellStyle name="20% - Accent1 5 2 2 7 2" xfId="17984" xr:uid="{00000000-0005-0000-0000-000018090000}"/>
    <cellStyle name="20% - Accent1 5 2 2 7 2 2" xfId="40586" xr:uid="{00000000-0005-0000-0000-000019090000}"/>
    <cellStyle name="20% - Accent1 5 2 2 7 3" xfId="29285" xr:uid="{00000000-0005-0000-0000-00001A090000}"/>
    <cellStyle name="20% - Accent1 5 2 2 8" xfId="12334" xr:uid="{00000000-0005-0000-0000-00001B090000}"/>
    <cellStyle name="20% - Accent1 5 2 2 8 2" xfId="34936" xr:uid="{00000000-0005-0000-0000-00001C090000}"/>
    <cellStyle name="20% - Accent1 5 2 2 9" xfId="23635" xr:uid="{00000000-0005-0000-0000-00001D090000}"/>
    <cellStyle name="20% - Accent1 5 2 3" xfId="1190" xr:uid="{00000000-0005-0000-0000-00001E090000}"/>
    <cellStyle name="20% - Accent1 5 2 3 2" xfId="1514" xr:uid="{00000000-0005-0000-0000-00001F090000}"/>
    <cellStyle name="20% - Accent1 5 2 3 2 2" xfId="3258" xr:uid="{00000000-0005-0000-0000-000020090000}"/>
    <cellStyle name="20% - Accent1 5 2 3 2 2 2" xfId="6230" xr:uid="{00000000-0005-0000-0000-000021090000}"/>
    <cellStyle name="20% - Accent1 5 2 3 2 2 2 2" xfId="11880" xr:uid="{00000000-0005-0000-0000-000022090000}"/>
    <cellStyle name="20% - Accent1 5 2 3 2 2 2 2 2" xfId="23181" xr:uid="{00000000-0005-0000-0000-000023090000}"/>
    <cellStyle name="20% - Accent1 5 2 3 2 2 2 2 2 2" xfId="45783" xr:uid="{00000000-0005-0000-0000-000024090000}"/>
    <cellStyle name="20% - Accent1 5 2 3 2 2 2 2 3" xfId="34482" xr:uid="{00000000-0005-0000-0000-000025090000}"/>
    <cellStyle name="20% - Accent1 5 2 3 2 2 2 3" xfId="17531" xr:uid="{00000000-0005-0000-0000-000026090000}"/>
    <cellStyle name="20% - Accent1 5 2 3 2 2 2 3 2" xfId="40133" xr:uid="{00000000-0005-0000-0000-000027090000}"/>
    <cellStyle name="20% - Accent1 5 2 3 2 2 2 4" xfId="28832" xr:uid="{00000000-0005-0000-0000-000028090000}"/>
    <cellStyle name="20% - Accent1 5 2 3 2 2 3" xfId="9048" xr:uid="{00000000-0005-0000-0000-000029090000}"/>
    <cellStyle name="20% - Accent1 5 2 3 2 2 3 2" xfId="20349" xr:uid="{00000000-0005-0000-0000-00002A090000}"/>
    <cellStyle name="20% - Accent1 5 2 3 2 2 3 2 2" xfId="42951" xr:uid="{00000000-0005-0000-0000-00002B090000}"/>
    <cellStyle name="20% - Accent1 5 2 3 2 2 3 3" xfId="31650" xr:uid="{00000000-0005-0000-0000-00002C090000}"/>
    <cellStyle name="20% - Accent1 5 2 3 2 2 4" xfId="14699" xr:uid="{00000000-0005-0000-0000-00002D090000}"/>
    <cellStyle name="20% - Accent1 5 2 3 2 2 4 2" xfId="37301" xr:uid="{00000000-0005-0000-0000-00002E090000}"/>
    <cellStyle name="20% - Accent1 5 2 3 2 2 5" xfId="26000" xr:uid="{00000000-0005-0000-0000-00002F090000}"/>
    <cellStyle name="20% - Accent1 5 2 3 2 3" xfId="4996" xr:uid="{00000000-0005-0000-0000-000030090000}"/>
    <cellStyle name="20% - Accent1 5 2 3 2 3 2" xfId="10646" xr:uid="{00000000-0005-0000-0000-000031090000}"/>
    <cellStyle name="20% - Accent1 5 2 3 2 3 2 2" xfId="21947" xr:uid="{00000000-0005-0000-0000-000032090000}"/>
    <cellStyle name="20% - Accent1 5 2 3 2 3 2 2 2" xfId="44549" xr:uid="{00000000-0005-0000-0000-000033090000}"/>
    <cellStyle name="20% - Accent1 5 2 3 2 3 2 3" xfId="33248" xr:uid="{00000000-0005-0000-0000-000034090000}"/>
    <cellStyle name="20% - Accent1 5 2 3 2 3 3" xfId="16297" xr:uid="{00000000-0005-0000-0000-000035090000}"/>
    <cellStyle name="20% - Accent1 5 2 3 2 3 3 2" xfId="38899" xr:uid="{00000000-0005-0000-0000-000036090000}"/>
    <cellStyle name="20% - Accent1 5 2 3 2 3 4" xfId="27598" xr:uid="{00000000-0005-0000-0000-000037090000}"/>
    <cellStyle name="20% - Accent1 5 2 3 2 4" xfId="7370" xr:uid="{00000000-0005-0000-0000-000038090000}"/>
    <cellStyle name="20% - Accent1 5 2 3 2 4 2" xfId="18671" xr:uid="{00000000-0005-0000-0000-000039090000}"/>
    <cellStyle name="20% - Accent1 5 2 3 2 4 2 2" xfId="41273" xr:uid="{00000000-0005-0000-0000-00003A090000}"/>
    <cellStyle name="20% - Accent1 5 2 3 2 4 3" xfId="29972" xr:uid="{00000000-0005-0000-0000-00003B090000}"/>
    <cellStyle name="20% - Accent1 5 2 3 2 5" xfId="13021" xr:uid="{00000000-0005-0000-0000-00003C090000}"/>
    <cellStyle name="20% - Accent1 5 2 3 2 5 2" xfId="35623" xr:uid="{00000000-0005-0000-0000-00003D090000}"/>
    <cellStyle name="20% - Accent1 5 2 3 2 6" xfId="24322" xr:uid="{00000000-0005-0000-0000-00003E090000}"/>
    <cellStyle name="20% - Accent1 5 2 3 3" xfId="2587" xr:uid="{00000000-0005-0000-0000-00003F090000}"/>
    <cellStyle name="20% - Accent1 5 2 3 3 2" xfId="5606" xr:uid="{00000000-0005-0000-0000-000040090000}"/>
    <cellStyle name="20% - Accent1 5 2 3 3 2 2" xfId="11256" xr:uid="{00000000-0005-0000-0000-000041090000}"/>
    <cellStyle name="20% - Accent1 5 2 3 3 2 2 2" xfId="22557" xr:uid="{00000000-0005-0000-0000-000042090000}"/>
    <cellStyle name="20% - Accent1 5 2 3 3 2 2 2 2" xfId="45159" xr:uid="{00000000-0005-0000-0000-000043090000}"/>
    <cellStyle name="20% - Accent1 5 2 3 3 2 2 3" xfId="33858" xr:uid="{00000000-0005-0000-0000-000044090000}"/>
    <cellStyle name="20% - Accent1 5 2 3 3 2 3" xfId="16907" xr:uid="{00000000-0005-0000-0000-000045090000}"/>
    <cellStyle name="20% - Accent1 5 2 3 3 2 3 2" xfId="39509" xr:uid="{00000000-0005-0000-0000-000046090000}"/>
    <cellStyle name="20% - Accent1 5 2 3 3 2 4" xfId="28208" xr:uid="{00000000-0005-0000-0000-000047090000}"/>
    <cellStyle name="20% - Accent1 5 2 3 3 3" xfId="8423" xr:uid="{00000000-0005-0000-0000-000048090000}"/>
    <cellStyle name="20% - Accent1 5 2 3 3 3 2" xfId="19724" xr:uid="{00000000-0005-0000-0000-000049090000}"/>
    <cellStyle name="20% - Accent1 5 2 3 3 3 2 2" xfId="42326" xr:uid="{00000000-0005-0000-0000-00004A090000}"/>
    <cellStyle name="20% - Accent1 5 2 3 3 3 3" xfId="31025" xr:uid="{00000000-0005-0000-0000-00004B090000}"/>
    <cellStyle name="20% - Accent1 5 2 3 3 4" xfId="14074" xr:uid="{00000000-0005-0000-0000-00004C090000}"/>
    <cellStyle name="20% - Accent1 5 2 3 3 4 2" xfId="36676" xr:uid="{00000000-0005-0000-0000-00004D090000}"/>
    <cellStyle name="20% - Accent1 5 2 3 3 5" xfId="25375" xr:uid="{00000000-0005-0000-0000-00004E090000}"/>
    <cellStyle name="20% - Accent1 5 2 3 4" xfId="4372" xr:uid="{00000000-0005-0000-0000-00004F090000}"/>
    <cellStyle name="20% - Accent1 5 2 3 4 2" xfId="10022" xr:uid="{00000000-0005-0000-0000-000050090000}"/>
    <cellStyle name="20% - Accent1 5 2 3 4 2 2" xfId="21323" xr:uid="{00000000-0005-0000-0000-000051090000}"/>
    <cellStyle name="20% - Accent1 5 2 3 4 2 2 2" xfId="43925" xr:uid="{00000000-0005-0000-0000-000052090000}"/>
    <cellStyle name="20% - Accent1 5 2 3 4 2 3" xfId="32624" xr:uid="{00000000-0005-0000-0000-000053090000}"/>
    <cellStyle name="20% - Accent1 5 2 3 4 3" xfId="15673" xr:uid="{00000000-0005-0000-0000-000054090000}"/>
    <cellStyle name="20% - Accent1 5 2 3 4 3 2" xfId="38275" xr:uid="{00000000-0005-0000-0000-000055090000}"/>
    <cellStyle name="20% - Accent1 5 2 3 4 4" xfId="26974" xr:uid="{00000000-0005-0000-0000-000056090000}"/>
    <cellStyle name="20% - Accent1 5 2 3 5" xfId="7169" xr:uid="{00000000-0005-0000-0000-000057090000}"/>
    <cellStyle name="20% - Accent1 5 2 3 5 2" xfId="18470" xr:uid="{00000000-0005-0000-0000-000058090000}"/>
    <cellStyle name="20% - Accent1 5 2 3 5 2 2" xfId="41072" xr:uid="{00000000-0005-0000-0000-000059090000}"/>
    <cellStyle name="20% - Accent1 5 2 3 5 3" xfId="29771" xr:uid="{00000000-0005-0000-0000-00005A090000}"/>
    <cellStyle name="20% - Accent1 5 2 3 6" xfId="12820" xr:uid="{00000000-0005-0000-0000-00005B090000}"/>
    <cellStyle name="20% - Accent1 5 2 3 6 2" xfId="35422" xr:uid="{00000000-0005-0000-0000-00005C090000}"/>
    <cellStyle name="20% - Accent1 5 2 3 7" xfId="24121" xr:uid="{00000000-0005-0000-0000-00005D090000}"/>
    <cellStyle name="20% - Accent1 5 2 4" xfId="881" xr:uid="{00000000-0005-0000-0000-00005E090000}"/>
    <cellStyle name="20% - Accent1 5 2 4 2" xfId="2951" xr:uid="{00000000-0005-0000-0000-00005F090000}"/>
    <cellStyle name="20% - Accent1 5 2 4 2 2" xfId="5923" xr:uid="{00000000-0005-0000-0000-000060090000}"/>
    <cellStyle name="20% - Accent1 5 2 4 2 2 2" xfId="11573" xr:uid="{00000000-0005-0000-0000-000061090000}"/>
    <cellStyle name="20% - Accent1 5 2 4 2 2 2 2" xfId="22874" xr:uid="{00000000-0005-0000-0000-000062090000}"/>
    <cellStyle name="20% - Accent1 5 2 4 2 2 2 2 2" xfId="45476" xr:uid="{00000000-0005-0000-0000-000063090000}"/>
    <cellStyle name="20% - Accent1 5 2 4 2 2 2 3" xfId="34175" xr:uid="{00000000-0005-0000-0000-000064090000}"/>
    <cellStyle name="20% - Accent1 5 2 4 2 2 3" xfId="17224" xr:uid="{00000000-0005-0000-0000-000065090000}"/>
    <cellStyle name="20% - Accent1 5 2 4 2 2 3 2" xfId="39826" xr:uid="{00000000-0005-0000-0000-000066090000}"/>
    <cellStyle name="20% - Accent1 5 2 4 2 2 4" xfId="28525" xr:uid="{00000000-0005-0000-0000-000067090000}"/>
    <cellStyle name="20% - Accent1 5 2 4 2 3" xfId="8741" xr:uid="{00000000-0005-0000-0000-000068090000}"/>
    <cellStyle name="20% - Accent1 5 2 4 2 3 2" xfId="20042" xr:uid="{00000000-0005-0000-0000-000069090000}"/>
    <cellStyle name="20% - Accent1 5 2 4 2 3 2 2" xfId="42644" xr:uid="{00000000-0005-0000-0000-00006A090000}"/>
    <cellStyle name="20% - Accent1 5 2 4 2 3 3" xfId="31343" xr:uid="{00000000-0005-0000-0000-00006B090000}"/>
    <cellStyle name="20% - Accent1 5 2 4 2 4" xfId="14392" xr:uid="{00000000-0005-0000-0000-00006C090000}"/>
    <cellStyle name="20% - Accent1 5 2 4 2 4 2" xfId="36994" xr:uid="{00000000-0005-0000-0000-00006D090000}"/>
    <cellStyle name="20% - Accent1 5 2 4 2 5" xfId="25693" xr:uid="{00000000-0005-0000-0000-00006E090000}"/>
    <cellStyle name="20% - Accent1 5 2 4 3" xfId="4689" xr:uid="{00000000-0005-0000-0000-00006F090000}"/>
    <cellStyle name="20% - Accent1 5 2 4 3 2" xfId="10339" xr:uid="{00000000-0005-0000-0000-000070090000}"/>
    <cellStyle name="20% - Accent1 5 2 4 3 2 2" xfId="21640" xr:uid="{00000000-0005-0000-0000-000071090000}"/>
    <cellStyle name="20% - Accent1 5 2 4 3 2 2 2" xfId="44242" xr:uid="{00000000-0005-0000-0000-000072090000}"/>
    <cellStyle name="20% - Accent1 5 2 4 3 2 3" xfId="32941" xr:uid="{00000000-0005-0000-0000-000073090000}"/>
    <cellStyle name="20% - Accent1 5 2 4 3 3" xfId="15990" xr:uid="{00000000-0005-0000-0000-000074090000}"/>
    <cellStyle name="20% - Accent1 5 2 4 3 3 2" xfId="38592" xr:uid="{00000000-0005-0000-0000-000075090000}"/>
    <cellStyle name="20% - Accent1 5 2 4 3 4" xfId="27291" xr:uid="{00000000-0005-0000-0000-000076090000}"/>
    <cellStyle name="20% - Accent1 5 2 4 4" xfId="6876" xr:uid="{00000000-0005-0000-0000-000077090000}"/>
    <cellStyle name="20% - Accent1 5 2 4 4 2" xfId="18177" xr:uid="{00000000-0005-0000-0000-000078090000}"/>
    <cellStyle name="20% - Accent1 5 2 4 4 2 2" xfId="40779" xr:uid="{00000000-0005-0000-0000-000079090000}"/>
    <cellStyle name="20% - Accent1 5 2 4 4 3" xfId="29478" xr:uid="{00000000-0005-0000-0000-00007A090000}"/>
    <cellStyle name="20% - Accent1 5 2 4 5" xfId="12527" xr:uid="{00000000-0005-0000-0000-00007B090000}"/>
    <cellStyle name="20% - Accent1 5 2 4 5 2" xfId="35129" xr:uid="{00000000-0005-0000-0000-00007C090000}"/>
    <cellStyle name="20% - Accent1 5 2 4 6" xfId="23828" xr:uid="{00000000-0005-0000-0000-00007D090000}"/>
    <cellStyle name="20% - Accent1 5 2 5" xfId="1511" xr:uid="{00000000-0005-0000-0000-00007E090000}"/>
    <cellStyle name="20% - Accent1 5 2 5 2" xfId="3478" xr:uid="{00000000-0005-0000-0000-00007F090000}"/>
    <cellStyle name="20% - Accent1 5 2 5 2 2" xfId="9228" xr:uid="{00000000-0005-0000-0000-000080090000}"/>
    <cellStyle name="20% - Accent1 5 2 5 2 2 2" xfId="20529" xr:uid="{00000000-0005-0000-0000-000081090000}"/>
    <cellStyle name="20% - Accent1 5 2 5 2 2 2 2" xfId="43131" xr:uid="{00000000-0005-0000-0000-000082090000}"/>
    <cellStyle name="20% - Accent1 5 2 5 2 2 3" xfId="31830" xr:uid="{00000000-0005-0000-0000-000083090000}"/>
    <cellStyle name="20% - Accent1 5 2 5 2 3" xfId="14879" xr:uid="{00000000-0005-0000-0000-000084090000}"/>
    <cellStyle name="20% - Accent1 5 2 5 2 3 2" xfId="37481" xr:uid="{00000000-0005-0000-0000-000085090000}"/>
    <cellStyle name="20% - Accent1 5 2 5 2 4" xfId="26180" xr:uid="{00000000-0005-0000-0000-000086090000}"/>
    <cellStyle name="20% - Accent1 5 2 5 3" xfId="5299" xr:uid="{00000000-0005-0000-0000-000087090000}"/>
    <cellStyle name="20% - Accent1 5 2 5 3 2" xfId="10949" xr:uid="{00000000-0005-0000-0000-000088090000}"/>
    <cellStyle name="20% - Accent1 5 2 5 3 2 2" xfId="22250" xr:uid="{00000000-0005-0000-0000-000089090000}"/>
    <cellStyle name="20% - Accent1 5 2 5 3 2 2 2" xfId="44852" xr:uid="{00000000-0005-0000-0000-00008A090000}"/>
    <cellStyle name="20% - Accent1 5 2 5 3 2 3" xfId="33551" xr:uid="{00000000-0005-0000-0000-00008B090000}"/>
    <cellStyle name="20% - Accent1 5 2 5 3 3" xfId="16600" xr:uid="{00000000-0005-0000-0000-00008C090000}"/>
    <cellStyle name="20% - Accent1 5 2 5 3 3 2" xfId="39202" xr:uid="{00000000-0005-0000-0000-00008D090000}"/>
    <cellStyle name="20% - Accent1 5 2 5 3 4" xfId="27901" xr:uid="{00000000-0005-0000-0000-00008E090000}"/>
    <cellStyle name="20% - Accent1 5 2 5 4" xfId="7367" xr:uid="{00000000-0005-0000-0000-00008F090000}"/>
    <cellStyle name="20% - Accent1 5 2 5 4 2" xfId="18668" xr:uid="{00000000-0005-0000-0000-000090090000}"/>
    <cellStyle name="20% - Accent1 5 2 5 4 2 2" xfId="41270" xr:uid="{00000000-0005-0000-0000-000091090000}"/>
    <cellStyle name="20% - Accent1 5 2 5 4 3" xfId="29969" xr:uid="{00000000-0005-0000-0000-000092090000}"/>
    <cellStyle name="20% - Accent1 5 2 5 5" xfId="13018" xr:uid="{00000000-0005-0000-0000-000093090000}"/>
    <cellStyle name="20% - Accent1 5 2 5 5 2" xfId="35620" xr:uid="{00000000-0005-0000-0000-000094090000}"/>
    <cellStyle name="20% - Accent1 5 2 5 6" xfId="24319" xr:uid="{00000000-0005-0000-0000-000095090000}"/>
    <cellStyle name="20% - Accent1 5 2 6" xfId="2278" xr:uid="{00000000-0005-0000-0000-000096090000}"/>
    <cellStyle name="20% - Accent1 5 2 6 2" xfId="8114" xr:uid="{00000000-0005-0000-0000-000097090000}"/>
    <cellStyle name="20% - Accent1 5 2 6 2 2" xfId="19415" xr:uid="{00000000-0005-0000-0000-000098090000}"/>
    <cellStyle name="20% - Accent1 5 2 6 2 2 2" xfId="42017" xr:uid="{00000000-0005-0000-0000-000099090000}"/>
    <cellStyle name="20% - Accent1 5 2 6 2 3" xfId="30716" xr:uid="{00000000-0005-0000-0000-00009A090000}"/>
    <cellStyle name="20% - Accent1 5 2 6 3" xfId="13765" xr:uid="{00000000-0005-0000-0000-00009B090000}"/>
    <cellStyle name="20% - Accent1 5 2 6 3 2" xfId="36367" xr:uid="{00000000-0005-0000-0000-00009C090000}"/>
    <cellStyle name="20% - Accent1 5 2 6 4" xfId="25066" xr:uid="{00000000-0005-0000-0000-00009D090000}"/>
    <cellStyle name="20% - Accent1 5 2 7" xfId="4065" xr:uid="{00000000-0005-0000-0000-00009E090000}"/>
    <cellStyle name="20% - Accent1 5 2 7 2" xfId="9715" xr:uid="{00000000-0005-0000-0000-00009F090000}"/>
    <cellStyle name="20% - Accent1 5 2 7 2 2" xfId="21016" xr:uid="{00000000-0005-0000-0000-0000A0090000}"/>
    <cellStyle name="20% - Accent1 5 2 7 2 2 2" xfId="43618" xr:uid="{00000000-0005-0000-0000-0000A1090000}"/>
    <cellStyle name="20% - Accent1 5 2 7 2 3" xfId="32317" xr:uid="{00000000-0005-0000-0000-0000A2090000}"/>
    <cellStyle name="20% - Accent1 5 2 7 3" xfId="15366" xr:uid="{00000000-0005-0000-0000-0000A3090000}"/>
    <cellStyle name="20% - Accent1 5 2 7 3 2" xfId="37968" xr:uid="{00000000-0005-0000-0000-0000A4090000}"/>
    <cellStyle name="20% - Accent1 5 2 7 4" xfId="26667" xr:uid="{00000000-0005-0000-0000-0000A5090000}"/>
    <cellStyle name="20% - Accent1 5 2 8" xfId="6516" xr:uid="{00000000-0005-0000-0000-0000A6090000}"/>
    <cellStyle name="20% - Accent1 5 2 8 2" xfId="17817" xr:uid="{00000000-0005-0000-0000-0000A7090000}"/>
    <cellStyle name="20% - Accent1 5 2 8 2 2" xfId="40419" xr:uid="{00000000-0005-0000-0000-0000A8090000}"/>
    <cellStyle name="20% - Accent1 5 2 8 3" xfId="29118" xr:uid="{00000000-0005-0000-0000-0000A9090000}"/>
    <cellStyle name="20% - Accent1 5 2 9" xfId="12167" xr:uid="{00000000-0005-0000-0000-0000AA090000}"/>
    <cellStyle name="20% - Accent1 5 2 9 2" xfId="34769" xr:uid="{00000000-0005-0000-0000-0000AB090000}"/>
    <cellStyle name="20% - Accent1 5 3" xfId="521" xr:uid="{00000000-0005-0000-0000-0000AC090000}"/>
    <cellStyle name="20% - Accent1 5 3 2" xfId="1234" xr:uid="{00000000-0005-0000-0000-0000AD090000}"/>
    <cellStyle name="20% - Accent1 5 3 2 2" xfId="1516" xr:uid="{00000000-0005-0000-0000-0000AE090000}"/>
    <cellStyle name="20% - Accent1 5 3 2 2 2" xfId="3303" xr:uid="{00000000-0005-0000-0000-0000AF090000}"/>
    <cellStyle name="20% - Accent1 5 3 2 2 2 2" xfId="6275" xr:uid="{00000000-0005-0000-0000-0000B0090000}"/>
    <cellStyle name="20% - Accent1 5 3 2 2 2 2 2" xfId="11925" xr:uid="{00000000-0005-0000-0000-0000B1090000}"/>
    <cellStyle name="20% - Accent1 5 3 2 2 2 2 2 2" xfId="23226" xr:uid="{00000000-0005-0000-0000-0000B2090000}"/>
    <cellStyle name="20% - Accent1 5 3 2 2 2 2 2 2 2" xfId="45828" xr:uid="{00000000-0005-0000-0000-0000B3090000}"/>
    <cellStyle name="20% - Accent1 5 3 2 2 2 2 2 3" xfId="34527" xr:uid="{00000000-0005-0000-0000-0000B4090000}"/>
    <cellStyle name="20% - Accent1 5 3 2 2 2 2 3" xfId="17576" xr:uid="{00000000-0005-0000-0000-0000B5090000}"/>
    <cellStyle name="20% - Accent1 5 3 2 2 2 2 3 2" xfId="40178" xr:uid="{00000000-0005-0000-0000-0000B6090000}"/>
    <cellStyle name="20% - Accent1 5 3 2 2 2 2 4" xfId="28877" xr:uid="{00000000-0005-0000-0000-0000B7090000}"/>
    <cellStyle name="20% - Accent1 5 3 2 2 2 3" xfId="9093" xr:uid="{00000000-0005-0000-0000-0000B8090000}"/>
    <cellStyle name="20% - Accent1 5 3 2 2 2 3 2" xfId="20394" xr:uid="{00000000-0005-0000-0000-0000B9090000}"/>
    <cellStyle name="20% - Accent1 5 3 2 2 2 3 2 2" xfId="42996" xr:uid="{00000000-0005-0000-0000-0000BA090000}"/>
    <cellStyle name="20% - Accent1 5 3 2 2 2 3 3" xfId="31695" xr:uid="{00000000-0005-0000-0000-0000BB090000}"/>
    <cellStyle name="20% - Accent1 5 3 2 2 2 4" xfId="14744" xr:uid="{00000000-0005-0000-0000-0000BC090000}"/>
    <cellStyle name="20% - Accent1 5 3 2 2 2 4 2" xfId="37346" xr:uid="{00000000-0005-0000-0000-0000BD090000}"/>
    <cellStyle name="20% - Accent1 5 3 2 2 2 5" xfId="26045" xr:uid="{00000000-0005-0000-0000-0000BE090000}"/>
    <cellStyle name="20% - Accent1 5 3 2 2 3" xfId="5041" xr:uid="{00000000-0005-0000-0000-0000BF090000}"/>
    <cellStyle name="20% - Accent1 5 3 2 2 3 2" xfId="10691" xr:uid="{00000000-0005-0000-0000-0000C0090000}"/>
    <cellStyle name="20% - Accent1 5 3 2 2 3 2 2" xfId="21992" xr:uid="{00000000-0005-0000-0000-0000C1090000}"/>
    <cellStyle name="20% - Accent1 5 3 2 2 3 2 2 2" xfId="44594" xr:uid="{00000000-0005-0000-0000-0000C2090000}"/>
    <cellStyle name="20% - Accent1 5 3 2 2 3 2 3" xfId="33293" xr:uid="{00000000-0005-0000-0000-0000C3090000}"/>
    <cellStyle name="20% - Accent1 5 3 2 2 3 3" xfId="16342" xr:uid="{00000000-0005-0000-0000-0000C4090000}"/>
    <cellStyle name="20% - Accent1 5 3 2 2 3 3 2" xfId="38944" xr:uid="{00000000-0005-0000-0000-0000C5090000}"/>
    <cellStyle name="20% - Accent1 5 3 2 2 3 4" xfId="27643" xr:uid="{00000000-0005-0000-0000-0000C6090000}"/>
    <cellStyle name="20% - Accent1 5 3 2 2 4" xfId="7372" xr:uid="{00000000-0005-0000-0000-0000C7090000}"/>
    <cellStyle name="20% - Accent1 5 3 2 2 4 2" xfId="18673" xr:uid="{00000000-0005-0000-0000-0000C8090000}"/>
    <cellStyle name="20% - Accent1 5 3 2 2 4 2 2" xfId="41275" xr:uid="{00000000-0005-0000-0000-0000C9090000}"/>
    <cellStyle name="20% - Accent1 5 3 2 2 4 3" xfId="29974" xr:uid="{00000000-0005-0000-0000-0000CA090000}"/>
    <cellStyle name="20% - Accent1 5 3 2 2 5" xfId="13023" xr:uid="{00000000-0005-0000-0000-0000CB090000}"/>
    <cellStyle name="20% - Accent1 5 3 2 2 5 2" xfId="35625" xr:uid="{00000000-0005-0000-0000-0000CC090000}"/>
    <cellStyle name="20% - Accent1 5 3 2 2 6" xfId="24324" xr:uid="{00000000-0005-0000-0000-0000CD090000}"/>
    <cellStyle name="20% - Accent1 5 3 2 3" xfId="2632" xr:uid="{00000000-0005-0000-0000-0000CE090000}"/>
    <cellStyle name="20% - Accent1 5 3 2 3 2" xfId="5651" xr:uid="{00000000-0005-0000-0000-0000CF090000}"/>
    <cellStyle name="20% - Accent1 5 3 2 3 2 2" xfId="11301" xr:uid="{00000000-0005-0000-0000-0000D0090000}"/>
    <cellStyle name="20% - Accent1 5 3 2 3 2 2 2" xfId="22602" xr:uid="{00000000-0005-0000-0000-0000D1090000}"/>
    <cellStyle name="20% - Accent1 5 3 2 3 2 2 2 2" xfId="45204" xr:uid="{00000000-0005-0000-0000-0000D2090000}"/>
    <cellStyle name="20% - Accent1 5 3 2 3 2 2 3" xfId="33903" xr:uid="{00000000-0005-0000-0000-0000D3090000}"/>
    <cellStyle name="20% - Accent1 5 3 2 3 2 3" xfId="16952" xr:uid="{00000000-0005-0000-0000-0000D4090000}"/>
    <cellStyle name="20% - Accent1 5 3 2 3 2 3 2" xfId="39554" xr:uid="{00000000-0005-0000-0000-0000D5090000}"/>
    <cellStyle name="20% - Accent1 5 3 2 3 2 4" xfId="28253" xr:uid="{00000000-0005-0000-0000-0000D6090000}"/>
    <cellStyle name="20% - Accent1 5 3 2 3 3" xfId="8468" xr:uid="{00000000-0005-0000-0000-0000D7090000}"/>
    <cellStyle name="20% - Accent1 5 3 2 3 3 2" xfId="19769" xr:uid="{00000000-0005-0000-0000-0000D8090000}"/>
    <cellStyle name="20% - Accent1 5 3 2 3 3 2 2" xfId="42371" xr:uid="{00000000-0005-0000-0000-0000D9090000}"/>
    <cellStyle name="20% - Accent1 5 3 2 3 3 3" xfId="31070" xr:uid="{00000000-0005-0000-0000-0000DA090000}"/>
    <cellStyle name="20% - Accent1 5 3 2 3 4" xfId="14119" xr:uid="{00000000-0005-0000-0000-0000DB090000}"/>
    <cellStyle name="20% - Accent1 5 3 2 3 4 2" xfId="36721" xr:uid="{00000000-0005-0000-0000-0000DC090000}"/>
    <cellStyle name="20% - Accent1 5 3 2 3 5" xfId="25420" xr:uid="{00000000-0005-0000-0000-0000DD090000}"/>
    <cellStyle name="20% - Accent1 5 3 2 4" xfId="4417" xr:uid="{00000000-0005-0000-0000-0000DE090000}"/>
    <cellStyle name="20% - Accent1 5 3 2 4 2" xfId="10067" xr:uid="{00000000-0005-0000-0000-0000DF090000}"/>
    <cellStyle name="20% - Accent1 5 3 2 4 2 2" xfId="21368" xr:uid="{00000000-0005-0000-0000-0000E0090000}"/>
    <cellStyle name="20% - Accent1 5 3 2 4 2 2 2" xfId="43970" xr:uid="{00000000-0005-0000-0000-0000E1090000}"/>
    <cellStyle name="20% - Accent1 5 3 2 4 2 3" xfId="32669" xr:uid="{00000000-0005-0000-0000-0000E2090000}"/>
    <cellStyle name="20% - Accent1 5 3 2 4 3" xfId="15718" xr:uid="{00000000-0005-0000-0000-0000E3090000}"/>
    <cellStyle name="20% - Accent1 5 3 2 4 3 2" xfId="38320" xr:uid="{00000000-0005-0000-0000-0000E4090000}"/>
    <cellStyle name="20% - Accent1 5 3 2 4 4" xfId="27019" xr:uid="{00000000-0005-0000-0000-0000E5090000}"/>
    <cellStyle name="20% - Accent1 5 3 2 5" xfId="7213" xr:uid="{00000000-0005-0000-0000-0000E6090000}"/>
    <cellStyle name="20% - Accent1 5 3 2 5 2" xfId="18514" xr:uid="{00000000-0005-0000-0000-0000E7090000}"/>
    <cellStyle name="20% - Accent1 5 3 2 5 2 2" xfId="41116" xr:uid="{00000000-0005-0000-0000-0000E8090000}"/>
    <cellStyle name="20% - Accent1 5 3 2 5 3" xfId="29815" xr:uid="{00000000-0005-0000-0000-0000E9090000}"/>
    <cellStyle name="20% - Accent1 5 3 2 6" xfId="12864" xr:uid="{00000000-0005-0000-0000-0000EA090000}"/>
    <cellStyle name="20% - Accent1 5 3 2 6 2" xfId="35466" xr:uid="{00000000-0005-0000-0000-0000EB090000}"/>
    <cellStyle name="20% - Accent1 5 3 2 7" xfId="24165" xr:uid="{00000000-0005-0000-0000-0000EC090000}"/>
    <cellStyle name="20% - Accent1 5 3 3" xfId="932" xr:uid="{00000000-0005-0000-0000-0000ED090000}"/>
    <cellStyle name="20% - Accent1 5 3 3 2" xfId="2995" xr:uid="{00000000-0005-0000-0000-0000EE090000}"/>
    <cellStyle name="20% - Accent1 5 3 3 2 2" xfId="5967" xr:uid="{00000000-0005-0000-0000-0000EF090000}"/>
    <cellStyle name="20% - Accent1 5 3 3 2 2 2" xfId="11617" xr:uid="{00000000-0005-0000-0000-0000F0090000}"/>
    <cellStyle name="20% - Accent1 5 3 3 2 2 2 2" xfId="22918" xr:uid="{00000000-0005-0000-0000-0000F1090000}"/>
    <cellStyle name="20% - Accent1 5 3 3 2 2 2 2 2" xfId="45520" xr:uid="{00000000-0005-0000-0000-0000F2090000}"/>
    <cellStyle name="20% - Accent1 5 3 3 2 2 2 3" xfId="34219" xr:uid="{00000000-0005-0000-0000-0000F3090000}"/>
    <cellStyle name="20% - Accent1 5 3 3 2 2 3" xfId="17268" xr:uid="{00000000-0005-0000-0000-0000F4090000}"/>
    <cellStyle name="20% - Accent1 5 3 3 2 2 3 2" xfId="39870" xr:uid="{00000000-0005-0000-0000-0000F5090000}"/>
    <cellStyle name="20% - Accent1 5 3 3 2 2 4" xfId="28569" xr:uid="{00000000-0005-0000-0000-0000F6090000}"/>
    <cellStyle name="20% - Accent1 5 3 3 2 3" xfId="8785" xr:uid="{00000000-0005-0000-0000-0000F7090000}"/>
    <cellStyle name="20% - Accent1 5 3 3 2 3 2" xfId="20086" xr:uid="{00000000-0005-0000-0000-0000F8090000}"/>
    <cellStyle name="20% - Accent1 5 3 3 2 3 2 2" xfId="42688" xr:uid="{00000000-0005-0000-0000-0000F9090000}"/>
    <cellStyle name="20% - Accent1 5 3 3 2 3 3" xfId="31387" xr:uid="{00000000-0005-0000-0000-0000FA090000}"/>
    <cellStyle name="20% - Accent1 5 3 3 2 4" xfId="14436" xr:uid="{00000000-0005-0000-0000-0000FB090000}"/>
    <cellStyle name="20% - Accent1 5 3 3 2 4 2" xfId="37038" xr:uid="{00000000-0005-0000-0000-0000FC090000}"/>
    <cellStyle name="20% - Accent1 5 3 3 2 5" xfId="25737" xr:uid="{00000000-0005-0000-0000-0000FD090000}"/>
    <cellStyle name="20% - Accent1 5 3 3 3" xfId="4733" xr:uid="{00000000-0005-0000-0000-0000FE090000}"/>
    <cellStyle name="20% - Accent1 5 3 3 3 2" xfId="10383" xr:uid="{00000000-0005-0000-0000-0000FF090000}"/>
    <cellStyle name="20% - Accent1 5 3 3 3 2 2" xfId="21684" xr:uid="{00000000-0005-0000-0000-0000000A0000}"/>
    <cellStyle name="20% - Accent1 5 3 3 3 2 2 2" xfId="44286" xr:uid="{00000000-0005-0000-0000-0000010A0000}"/>
    <cellStyle name="20% - Accent1 5 3 3 3 2 3" xfId="32985" xr:uid="{00000000-0005-0000-0000-0000020A0000}"/>
    <cellStyle name="20% - Accent1 5 3 3 3 3" xfId="16034" xr:uid="{00000000-0005-0000-0000-0000030A0000}"/>
    <cellStyle name="20% - Accent1 5 3 3 3 3 2" xfId="38636" xr:uid="{00000000-0005-0000-0000-0000040A0000}"/>
    <cellStyle name="20% - Accent1 5 3 3 3 4" xfId="27335" xr:uid="{00000000-0005-0000-0000-0000050A0000}"/>
    <cellStyle name="20% - Accent1 5 3 3 4" xfId="6920" xr:uid="{00000000-0005-0000-0000-0000060A0000}"/>
    <cellStyle name="20% - Accent1 5 3 3 4 2" xfId="18221" xr:uid="{00000000-0005-0000-0000-0000070A0000}"/>
    <cellStyle name="20% - Accent1 5 3 3 4 2 2" xfId="40823" xr:uid="{00000000-0005-0000-0000-0000080A0000}"/>
    <cellStyle name="20% - Accent1 5 3 3 4 3" xfId="29522" xr:uid="{00000000-0005-0000-0000-0000090A0000}"/>
    <cellStyle name="20% - Accent1 5 3 3 5" xfId="12571" xr:uid="{00000000-0005-0000-0000-00000A0A0000}"/>
    <cellStyle name="20% - Accent1 5 3 3 5 2" xfId="35173" xr:uid="{00000000-0005-0000-0000-00000B0A0000}"/>
    <cellStyle name="20% - Accent1 5 3 3 6" xfId="23872" xr:uid="{00000000-0005-0000-0000-00000C0A0000}"/>
    <cellStyle name="20% - Accent1 5 3 4" xfId="1515" xr:uid="{00000000-0005-0000-0000-00000D0A0000}"/>
    <cellStyle name="20% - Accent1 5 3 4 2" xfId="3430" xr:uid="{00000000-0005-0000-0000-00000E0A0000}"/>
    <cellStyle name="20% - Accent1 5 3 4 2 2" xfId="9212" xr:uid="{00000000-0005-0000-0000-00000F0A0000}"/>
    <cellStyle name="20% - Accent1 5 3 4 2 2 2" xfId="20513" xr:uid="{00000000-0005-0000-0000-0000100A0000}"/>
    <cellStyle name="20% - Accent1 5 3 4 2 2 2 2" xfId="43115" xr:uid="{00000000-0005-0000-0000-0000110A0000}"/>
    <cellStyle name="20% - Accent1 5 3 4 2 2 3" xfId="31814" xr:uid="{00000000-0005-0000-0000-0000120A0000}"/>
    <cellStyle name="20% - Accent1 5 3 4 2 3" xfId="14863" xr:uid="{00000000-0005-0000-0000-0000130A0000}"/>
    <cellStyle name="20% - Accent1 5 3 4 2 3 2" xfId="37465" xr:uid="{00000000-0005-0000-0000-0000140A0000}"/>
    <cellStyle name="20% - Accent1 5 3 4 2 4" xfId="26164" xr:uid="{00000000-0005-0000-0000-0000150A0000}"/>
    <cellStyle name="20% - Accent1 5 3 4 3" xfId="5343" xr:uid="{00000000-0005-0000-0000-0000160A0000}"/>
    <cellStyle name="20% - Accent1 5 3 4 3 2" xfId="10993" xr:uid="{00000000-0005-0000-0000-0000170A0000}"/>
    <cellStyle name="20% - Accent1 5 3 4 3 2 2" xfId="22294" xr:uid="{00000000-0005-0000-0000-0000180A0000}"/>
    <cellStyle name="20% - Accent1 5 3 4 3 2 2 2" xfId="44896" xr:uid="{00000000-0005-0000-0000-0000190A0000}"/>
    <cellStyle name="20% - Accent1 5 3 4 3 2 3" xfId="33595" xr:uid="{00000000-0005-0000-0000-00001A0A0000}"/>
    <cellStyle name="20% - Accent1 5 3 4 3 3" xfId="16644" xr:uid="{00000000-0005-0000-0000-00001B0A0000}"/>
    <cellStyle name="20% - Accent1 5 3 4 3 3 2" xfId="39246" xr:uid="{00000000-0005-0000-0000-00001C0A0000}"/>
    <cellStyle name="20% - Accent1 5 3 4 3 4" xfId="27945" xr:uid="{00000000-0005-0000-0000-00001D0A0000}"/>
    <cellStyle name="20% - Accent1 5 3 4 4" xfId="7371" xr:uid="{00000000-0005-0000-0000-00001E0A0000}"/>
    <cellStyle name="20% - Accent1 5 3 4 4 2" xfId="18672" xr:uid="{00000000-0005-0000-0000-00001F0A0000}"/>
    <cellStyle name="20% - Accent1 5 3 4 4 2 2" xfId="41274" xr:uid="{00000000-0005-0000-0000-0000200A0000}"/>
    <cellStyle name="20% - Accent1 5 3 4 4 3" xfId="29973" xr:uid="{00000000-0005-0000-0000-0000210A0000}"/>
    <cellStyle name="20% - Accent1 5 3 4 5" xfId="13022" xr:uid="{00000000-0005-0000-0000-0000220A0000}"/>
    <cellStyle name="20% - Accent1 5 3 4 5 2" xfId="35624" xr:uid="{00000000-0005-0000-0000-0000230A0000}"/>
    <cellStyle name="20% - Accent1 5 3 4 6" xfId="24323" xr:uid="{00000000-0005-0000-0000-0000240A0000}"/>
    <cellStyle name="20% - Accent1 5 3 5" xfId="2324" xr:uid="{00000000-0005-0000-0000-0000250A0000}"/>
    <cellStyle name="20% - Accent1 5 3 5 2" xfId="8160" xr:uid="{00000000-0005-0000-0000-0000260A0000}"/>
    <cellStyle name="20% - Accent1 5 3 5 2 2" xfId="19461" xr:uid="{00000000-0005-0000-0000-0000270A0000}"/>
    <cellStyle name="20% - Accent1 5 3 5 2 2 2" xfId="42063" xr:uid="{00000000-0005-0000-0000-0000280A0000}"/>
    <cellStyle name="20% - Accent1 5 3 5 2 3" xfId="30762" xr:uid="{00000000-0005-0000-0000-0000290A0000}"/>
    <cellStyle name="20% - Accent1 5 3 5 3" xfId="13811" xr:uid="{00000000-0005-0000-0000-00002A0A0000}"/>
    <cellStyle name="20% - Accent1 5 3 5 3 2" xfId="36413" xr:uid="{00000000-0005-0000-0000-00002B0A0000}"/>
    <cellStyle name="20% - Accent1 5 3 5 4" xfId="25112" xr:uid="{00000000-0005-0000-0000-00002C0A0000}"/>
    <cellStyle name="20% - Accent1 5 3 6" xfId="4109" xr:uid="{00000000-0005-0000-0000-00002D0A0000}"/>
    <cellStyle name="20% - Accent1 5 3 6 2" xfId="9759" xr:uid="{00000000-0005-0000-0000-00002E0A0000}"/>
    <cellStyle name="20% - Accent1 5 3 6 2 2" xfId="21060" xr:uid="{00000000-0005-0000-0000-00002F0A0000}"/>
    <cellStyle name="20% - Accent1 5 3 6 2 2 2" xfId="43662" xr:uid="{00000000-0005-0000-0000-0000300A0000}"/>
    <cellStyle name="20% - Accent1 5 3 6 2 3" xfId="32361" xr:uid="{00000000-0005-0000-0000-0000310A0000}"/>
    <cellStyle name="20% - Accent1 5 3 6 3" xfId="15410" xr:uid="{00000000-0005-0000-0000-0000320A0000}"/>
    <cellStyle name="20% - Accent1 5 3 6 3 2" xfId="38012" xr:uid="{00000000-0005-0000-0000-0000330A0000}"/>
    <cellStyle name="20% - Accent1 5 3 6 4" xfId="26711" xr:uid="{00000000-0005-0000-0000-0000340A0000}"/>
    <cellStyle name="20% - Accent1 5 3 7" xfId="6587" xr:uid="{00000000-0005-0000-0000-0000350A0000}"/>
    <cellStyle name="20% - Accent1 5 3 7 2" xfId="17888" xr:uid="{00000000-0005-0000-0000-0000360A0000}"/>
    <cellStyle name="20% - Accent1 5 3 7 2 2" xfId="40490" xr:uid="{00000000-0005-0000-0000-0000370A0000}"/>
    <cellStyle name="20% - Accent1 5 3 7 3" xfId="29189" xr:uid="{00000000-0005-0000-0000-0000380A0000}"/>
    <cellStyle name="20% - Accent1 5 3 8" xfId="12238" xr:uid="{00000000-0005-0000-0000-0000390A0000}"/>
    <cellStyle name="20% - Accent1 5 3 8 2" xfId="34840" xr:uid="{00000000-0005-0000-0000-00003A0A0000}"/>
    <cellStyle name="20% - Accent1 5 3 9" xfId="23539" xr:uid="{00000000-0005-0000-0000-00003B0A0000}"/>
    <cellStyle name="20% - Accent1 5 4" xfId="1094" xr:uid="{00000000-0005-0000-0000-00003C0A0000}"/>
    <cellStyle name="20% - Accent1 5 4 2" xfId="1517" xr:uid="{00000000-0005-0000-0000-00003D0A0000}"/>
    <cellStyle name="20% - Accent1 5 4 2 2" xfId="3162" xr:uid="{00000000-0005-0000-0000-00003E0A0000}"/>
    <cellStyle name="20% - Accent1 5 4 2 2 2" xfId="6134" xr:uid="{00000000-0005-0000-0000-00003F0A0000}"/>
    <cellStyle name="20% - Accent1 5 4 2 2 2 2" xfId="11784" xr:uid="{00000000-0005-0000-0000-0000400A0000}"/>
    <cellStyle name="20% - Accent1 5 4 2 2 2 2 2" xfId="23085" xr:uid="{00000000-0005-0000-0000-0000410A0000}"/>
    <cellStyle name="20% - Accent1 5 4 2 2 2 2 2 2" xfId="45687" xr:uid="{00000000-0005-0000-0000-0000420A0000}"/>
    <cellStyle name="20% - Accent1 5 4 2 2 2 2 3" xfId="34386" xr:uid="{00000000-0005-0000-0000-0000430A0000}"/>
    <cellStyle name="20% - Accent1 5 4 2 2 2 3" xfId="17435" xr:uid="{00000000-0005-0000-0000-0000440A0000}"/>
    <cellStyle name="20% - Accent1 5 4 2 2 2 3 2" xfId="40037" xr:uid="{00000000-0005-0000-0000-0000450A0000}"/>
    <cellStyle name="20% - Accent1 5 4 2 2 2 4" xfId="28736" xr:uid="{00000000-0005-0000-0000-0000460A0000}"/>
    <cellStyle name="20% - Accent1 5 4 2 2 3" xfId="8952" xr:uid="{00000000-0005-0000-0000-0000470A0000}"/>
    <cellStyle name="20% - Accent1 5 4 2 2 3 2" xfId="20253" xr:uid="{00000000-0005-0000-0000-0000480A0000}"/>
    <cellStyle name="20% - Accent1 5 4 2 2 3 2 2" xfId="42855" xr:uid="{00000000-0005-0000-0000-0000490A0000}"/>
    <cellStyle name="20% - Accent1 5 4 2 2 3 3" xfId="31554" xr:uid="{00000000-0005-0000-0000-00004A0A0000}"/>
    <cellStyle name="20% - Accent1 5 4 2 2 4" xfId="14603" xr:uid="{00000000-0005-0000-0000-00004B0A0000}"/>
    <cellStyle name="20% - Accent1 5 4 2 2 4 2" xfId="37205" xr:uid="{00000000-0005-0000-0000-00004C0A0000}"/>
    <cellStyle name="20% - Accent1 5 4 2 2 5" xfId="25904" xr:uid="{00000000-0005-0000-0000-00004D0A0000}"/>
    <cellStyle name="20% - Accent1 5 4 2 3" xfId="4900" xr:uid="{00000000-0005-0000-0000-00004E0A0000}"/>
    <cellStyle name="20% - Accent1 5 4 2 3 2" xfId="10550" xr:uid="{00000000-0005-0000-0000-00004F0A0000}"/>
    <cellStyle name="20% - Accent1 5 4 2 3 2 2" xfId="21851" xr:uid="{00000000-0005-0000-0000-0000500A0000}"/>
    <cellStyle name="20% - Accent1 5 4 2 3 2 2 2" xfId="44453" xr:uid="{00000000-0005-0000-0000-0000510A0000}"/>
    <cellStyle name="20% - Accent1 5 4 2 3 2 3" xfId="33152" xr:uid="{00000000-0005-0000-0000-0000520A0000}"/>
    <cellStyle name="20% - Accent1 5 4 2 3 3" xfId="16201" xr:uid="{00000000-0005-0000-0000-0000530A0000}"/>
    <cellStyle name="20% - Accent1 5 4 2 3 3 2" xfId="38803" xr:uid="{00000000-0005-0000-0000-0000540A0000}"/>
    <cellStyle name="20% - Accent1 5 4 2 3 4" xfId="27502" xr:uid="{00000000-0005-0000-0000-0000550A0000}"/>
    <cellStyle name="20% - Accent1 5 4 2 4" xfId="7373" xr:uid="{00000000-0005-0000-0000-0000560A0000}"/>
    <cellStyle name="20% - Accent1 5 4 2 4 2" xfId="18674" xr:uid="{00000000-0005-0000-0000-0000570A0000}"/>
    <cellStyle name="20% - Accent1 5 4 2 4 2 2" xfId="41276" xr:uid="{00000000-0005-0000-0000-0000580A0000}"/>
    <cellStyle name="20% - Accent1 5 4 2 4 3" xfId="29975" xr:uid="{00000000-0005-0000-0000-0000590A0000}"/>
    <cellStyle name="20% - Accent1 5 4 2 5" xfId="13024" xr:uid="{00000000-0005-0000-0000-00005A0A0000}"/>
    <cellStyle name="20% - Accent1 5 4 2 5 2" xfId="35626" xr:uid="{00000000-0005-0000-0000-00005B0A0000}"/>
    <cellStyle name="20% - Accent1 5 4 2 6" xfId="24325" xr:uid="{00000000-0005-0000-0000-00005C0A0000}"/>
    <cellStyle name="20% - Accent1 5 4 3" xfId="2491" xr:uid="{00000000-0005-0000-0000-00005D0A0000}"/>
    <cellStyle name="20% - Accent1 5 4 3 2" xfId="5510" xr:uid="{00000000-0005-0000-0000-00005E0A0000}"/>
    <cellStyle name="20% - Accent1 5 4 3 2 2" xfId="11160" xr:uid="{00000000-0005-0000-0000-00005F0A0000}"/>
    <cellStyle name="20% - Accent1 5 4 3 2 2 2" xfId="22461" xr:uid="{00000000-0005-0000-0000-0000600A0000}"/>
    <cellStyle name="20% - Accent1 5 4 3 2 2 2 2" xfId="45063" xr:uid="{00000000-0005-0000-0000-0000610A0000}"/>
    <cellStyle name="20% - Accent1 5 4 3 2 2 3" xfId="33762" xr:uid="{00000000-0005-0000-0000-0000620A0000}"/>
    <cellStyle name="20% - Accent1 5 4 3 2 3" xfId="16811" xr:uid="{00000000-0005-0000-0000-0000630A0000}"/>
    <cellStyle name="20% - Accent1 5 4 3 2 3 2" xfId="39413" xr:uid="{00000000-0005-0000-0000-0000640A0000}"/>
    <cellStyle name="20% - Accent1 5 4 3 2 4" xfId="28112" xr:uid="{00000000-0005-0000-0000-0000650A0000}"/>
    <cellStyle name="20% - Accent1 5 4 3 3" xfId="8327" xr:uid="{00000000-0005-0000-0000-0000660A0000}"/>
    <cellStyle name="20% - Accent1 5 4 3 3 2" xfId="19628" xr:uid="{00000000-0005-0000-0000-0000670A0000}"/>
    <cellStyle name="20% - Accent1 5 4 3 3 2 2" xfId="42230" xr:uid="{00000000-0005-0000-0000-0000680A0000}"/>
    <cellStyle name="20% - Accent1 5 4 3 3 3" xfId="30929" xr:uid="{00000000-0005-0000-0000-0000690A0000}"/>
    <cellStyle name="20% - Accent1 5 4 3 4" xfId="13978" xr:uid="{00000000-0005-0000-0000-00006A0A0000}"/>
    <cellStyle name="20% - Accent1 5 4 3 4 2" xfId="36580" xr:uid="{00000000-0005-0000-0000-00006B0A0000}"/>
    <cellStyle name="20% - Accent1 5 4 3 5" xfId="25279" xr:uid="{00000000-0005-0000-0000-00006C0A0000}"/>
    <cellStyle name="20% - Accent1 5 4 4" xfId="4276" xr:uid="{00000000-0005-0000-0000-00006D0A0000}"/>
    <cellStyle name="20% - Accent1 5 4 4 2" xfId="9926" xr:uid="{00000000-0005-0000-0000-00006E0A0000}"/>
    <cellStyle name="20% - Accent1 5 4 4 2 2" xfId="21227" xr:uid="{00000000-0005-0000-0000-00006F0A0000}"/>
    <cellStyle name="20% - Accent1 5 4 4 2 2 2" xfId="43829" xr:uid="{00000000-0005-0000-0000-0000700A0000}"/>
    <cellStyle name="20% - Accent1 5 4 4 2 3" xfId="32528" xr:uid="{00000000-0005-0000-0000-0000710A0000}"/>
    <cellStyle name="20% - Accent1 5 4 4 3" xfId="15577" xr:uid="{00000000-0005-0000-0000-0000720A0000}"/>
    <cellStyle name="20% - Accent1 5 4 4 3 2" xfId="38179" xr:uid="{00000000-0005-0000-0000-0000730A0000}"/>
    <cellStyle name="20% - Accent1 5 4 4 4" xfId="26878" xr:uid="{00000000-0005-0000-0000-0000740A0000}"/>
    <cellStyle name="20% - Accent1 5 4 5" xfId="7073" xr:uid="{00000000-0005-0000-0000-0000750A0000}"/>
    <cellStyle name="20% - Accent1 5 4 5 2" xfId="18374" xr:uid="{00000000-0005-0000-0000-0000760A0000}"/>
    <cellStyle name="20% - Accent1 5 4 5 2 2" xfId="40976" xr:uid="{00000000-0005-0000-0000-0000770A0000}"/>
    <cellStyle name="20% - Accent1 5 4 5 3" xfId="29675" xr:uid="{00000000-0005-0000-0000-0000780A0000}"/>
    <cellStyle name="20% - Accent1 5 4 6" xfId="12724" xr:uid="{00000000-0005-0000-0000-0000790A0000}"/>
    <cellStyle name="20% - Accent1 5 4 6 2" xfId="35326" xr:uid="{00000000-0005-0000-0000-00007A0A0000}"/>
    <cellStyle name="20% - Accent1 5 4 7" xfId="24025" xr:uid="{00000000-0005-0000-0000-00007B0A0000}"/>
    <cellStyle name="20% - Accent1 5 5" xfId="773" xr:uid="{00000000-0005-0000-0000-00007C0A0000}"/>
    <cellStyle name="20% - Accent1 5 5 2" xfId="2855" xr:uid="{00000000-0005-0000-0000-00007D0A0000}"/>
    <cellStyle name="20% - Accent1 5 5 2 2" xfId="5827" xr:uid="{00000000-0005-0000-0000-00007E0A0000}"/>
    <cellStyle name="20% - Accent1 5 5 2 2 2" xfId="11477" xr:uid="{00000000-0005-0000-0000-00007F0A0000}"/>
    <cellStyle name="20% - Accent1 5 5 2 2 2 2" xfId="22778" xr:uid="{00000000-0005-0000-0000-0000800A0000}"/>
    <cellStyle name="20% - Accent1 5 5 2 2 2 2 2" xfId="45380" xr:uid="{00000000-0005-0000-0000-0000810A0000}"/>
    <cellStyle name="20% - Accent1 5 5 2 2 2 3" xfId="34079" xr:uid="{00000000-0005-0000-0000-0000820A0000}"/>
    <cellStyle name="20% - Accent1 5 5 2 2 3" xfId="17128" xr:uid="{00000000-0005-0000-0000-0000830A0000}"/>
    <cellStyle name="20% - Accent1 5 5 2 2 3 2" xfId="39730" xr:uid="{00000000-0005-0000-0000-0000840A0000}"/>
    <cellStyle name="20% - Accent1 5 5 2 2 4" xfId="28429" xr:uid="{00000000-0005-0000-0000-0000850A0000}"/>
    <cellStyle name="20% - Accent1 5 5 2 3" xfId="8645" xr:uid="{00000000-0005-0000-0000-0000860A0000}"/>
    <cellStyle name="20% - Accent1 5 5 2 3 2" xfId="19946" xr:uid="{00000000-0005-0000-0000-0000870A0000}"/>
    <cellStyle name="20% - Accent1 5 5 2 3 2 2" xfId="42548" xr:uid="{00000000-0005-0000-0000-0000880A0000}"/>
    <cellStyle name="20% - Accent1 5 5 2 3 3" xfId="31247" xr:uid="{00000000-0005-0000-0000-0000890A0000}"/>
    <cellStyle name="20% - Accent1 5 5 2 4" xfId="14296" xr:uid="{00000000-0005-0000-0000-00008A0A0000}"/>
    <cellStyle name="20% - Accent1 5 5 2 4 2" xfId="36898" xr:uid="{00000000-0005-0000-0000-00008B0A0000}"/>
    <cellStyle name="20% - Accent1 5 5 2 5" xfId="25597" xr:uid="{00000000-0005-0000-0000-00008C0A0000}"/>
    <cellStyle name="20% - Accent1 5 5 3" xfId="4593" xr:uid="{00000000-0005-0000-0000-00008D0A0000}"/>
    <cellStyle name="20% - Accent1 5 5 3 2" xfId="10243" xr:uid="{00000000-0005-0000-0000-00008E0A0000}"/>
    <cellStyle name="20% - Accent1 5 5 3 2 2" xfId="21544" xr:uid="{00000000-0005-0000-0000-00008F0A0000}"/>
    <cellStyle name="20% - Accent1 5 5 3 2 2 2" xfId="44146" xr:uid="{00000000-0005-0000-0000-0000900A0000}"/>
    <cellStyle name="20% - Accent1 5 5 3 2 3" xfId="32845" xr:uid="{00000000-0005-0000-0000-0000910A0000}"/>
    <cellStyle name="20% - Accent1 5 5 3 3" xfId="15894" xr:uid="{00000000-0005-0000-0000-0000920A0000}"/>
    <cellStyle name="20% - Accent1 5 5 3 3 2" xfId="38496" xr:uid="{00000000-0005-0000-0000-0000930A0000}"/>
    <cellStyle name="20% - Accent1 5 5 3 4" xfId="27195" xr:uid="{00000000-0005-0000-0000-0000940A0000}"/>
    <cellStyle name="20% - Accent1 5 5 4" xfId="6778" xr:uid="{00000000-0005-0000-0000-0000950A0000}"/>
    <cellStyle name="20% - Accent1 5 5 4 2" xfId="18079" xr:uid="{00000000-0005-0000-0000-0000960A0000}"/>
    <cellStyle name="20% - Accent1 5 5 4 2 2" xfId="40681" xr:uid="{00000000-0005-0000-0000-0000970A0000}"/>
    <cellStyle name="20% - Accent1 5 5 4 3" xfId="29380" xr:uid="{00000000-0005-0000-0000-0000980A0000}"/>
    <cellStyle name="20% - Accent1 5 5 5" xfId="12429" xr:uid="{00000000-0005-0000-0000-0000990A0000}"/>
    <cellStyle name="20% - Accent1 5 5 5 2" xfId="35031" xr:uid="{00000000-0005-0000-0000-00009A0A0000}"/>
    <cellStyle name="20% - Accent1 5 5 6" xfId="23730" xr:uid="{00000000-0005-0000-0000-00009B0A0000}"/>
    <cellStyle name="20% - Accent1 5 6" xfId="1510" xr:uid="{00000000-0005-0000-0000-00009C0A0000}"/>
    <cellStyle name="20% - Accent1 5 6 2" xfId="3525" xr:uid="{00000000-0005-0000-0000-00009D0A0000}"/>
    <cellStyle name="20% - Accent1 5 6 2 2" xfId="9248" xr:uid="{00000000-0005-0000-0000-00009E0A0000}"/>
    <cellStyle name="20% - Accent1 5 6 2 2 2" xfId="20549" xr:uid="{00000000-0005-0000-0000-00009F0A0000}"/>
    <cellStyle name="20% - Accent1 5 6 2 2 2 2" xfId="43151" xr:uid="{00000000-0005-0000-0000-0000A00A0000}"/>
    <cellStyle name="20% - Accent1 5 6 2 2 3" xfId="31850" xr:uid="{00000000-0005-0000-0000-0000A10A0000}"/>
    <cellStyle name="20% - Accent1 5 6 2 3" xfId="14899" xr:uid="{00000000-0005-0000-0000-0000A20A0000}"/>
    <cellStyle name="20% - Accent1 5 6 2 3 2" xfId="37501" xr:uid="{00000000-0005-0000-0000-0000A30A0000}"/>
    <cellStyle name="20% - Accent1 5 6 2 4" xfId="26200" xr:uid="{00000000-0005-0000-0000-0000A40A0000}"/>
    <cellStyle name="20% - Accent1 5 6 3" xfId="5203" xr:uid="{00000000-0005-0000-0000-0000A50A0000}"/>
    <cellStyle name="20% - Accent1 5 6 3 2" xfId="10853" xr:uid="{00000000-0005-0000-0000-0000A60A0000}"/>
    <cellStyle name="20% - Accent1 5 6 3 2 2" xfId="22154" xr:uid="{00000000-0005-0000-0000-0000A70A0000}"/>
    <cellStyle name="20% - Accent1 5 6 3 2 2 2" xfId="44756" xr:uid="{00000000-0005-0000-0000-0000A80A0000}"/>
    <cellStyle name="20% - Accent1 5 6 3 2 3" xfId="33455" xr:uid="{00000000-0005-0000-0000-0000A90A0000}"/>
    <cellStyle name="20% - Accent1 5 6 3 3" xfId="16504" xr:uid="{00000000-0005-0000-0000-0000AA0A0000}"/>
    <cellStyle name="20% - Accent1 5 6 3 3 2" xfId="39106" xr:uid="{00000000-0005-0000-0000-0000AB0A0000}"/>
    <cellStyle name="20% - Accent1 5 6 3 4" xfId="27805" xr:uid="{00000000-0005-0000-0000-0000AC0A0000}"/>
    <cellStyle name="20% - Accent1 5 6 4" xfId="7366" xr:uid="{00000000-0005-0000-0000-0000AD0A0000}"/>
    <cellStyle name="20% - Accent1 5 6 4 2" xfId="18667" xr:uid="{00000000-0005-0000-0000-0000AE0A0000}"/>
    <cellStyle name="20% - Accent1 5 6 4 2 2" xfId="41269" xr:uid="{00000000-0005-0000-0000-0000AF0A0000}"/>
    <cellStyle name="20% - Accent1 5 6 4 3" xfId="29968" xr:uid="{00000000-0005-0000-0000-0000B00A0000}"/>
    <cellStyle name="20% - Accent1 5 6 5" xfId="13017" xr:uid="{00000000-0005-0000-0000-0000B10A0000}"/>
    <cellStyle name="20% - Accent1 5 6 5 2" xfId="35619" xr:uid="{00000000-0005-0000-0000-0000B20A0000}"/>
    <cellStyle name="20% - Accent1 5 6 6" xfId="24318" xr:uid="{00000000-0005-0000-0000-0000B30A0000}"/>
    <cellStyle name="20% - Accent1 5 7" xfId="2176" xr:uid="{00000000-0005-0000-0000-0000B40A0000}"/>
    <cellStyle name="20% - Accent1 5 7 2" xfId="8017" xr:uid="{00000000-0005-0000-0000-0000B50A0000}"/>
    <cellStyle name="20% - Accent1 5 7 2 2" xfId="19318" xr:uid="{00000000-0005-0000-0000-0000B60A0000}"/>
    <cellStyle name="20% - Accent1 5 7 2 2 2" xfId="41920" xr:uid="{00000000-0005-0000-0000-0000B70A0000}"/>
    <cellStyle name="20% - Accent1 5 7 2 3" xfId="30619" xr:uid="{00000000-0005-0000-0000-0000B80A0000}"/>
    <cellStyle name="20% - Accent1 5 7 3" xfId="13668" xr:uid="{00000000-0005-0000-0000-0000B90A0000}"/>
    <cellStyle name="20% - Accent1 5 7 3 2" xfId="36270" xr:uid="{00000000-0005-0000-0000-0000BA0A0000}"/>
    <cellStyle name="20% - Accent1 5 7 4" xfId="24969" xr:uid="{00000000-0005-0000-0000-0000BB0A0000}"/>
    <cellStyle name="20% - Accent1 5 8" xfId="3969" xr:uid="{00000000-0005-0000-0000-0000BC0A0000}"/>
    <cellStyle name="20% - Accent1 5 8 2" xfId="9619" xr:uid="{00000000-0005-0000-0000-0000BD0A0000}"/>
    <cellStyle name="20% - Accent1 5 8 2 2" xfId="20920" xr:uid="{00000000-0005-0000-0000-0000BE0A0000}"/>
    <cellStyle name="20% - Accent1 5 8 2 2 2" xfId="43522" xr:uid="{00000000-0005-0000-0000-0000BF0A0000}"/>
    <cellStyle name="20% - Accent1 5 8 2 3" xfId="32221" xr:uid="{00000000-0005-0000-0000-0000C00A0000}"/>
    <cellStyle name="20% - Accent1 5 8 3" xfId="15270" xr:uid="{00000000-0005-0000-0000-0000C10A0000}"/>
    <cellStyle name="20% - Accent1 5 8 3 2" xfId="37872" xr:uid="{00000000-0005-0000-0000-0000C20A0000}"/>
    <cellStyle name="20% - Accent1 5 8 4" xfId="26571" xr:uid="{00000000-0005-0000-0000-0000C30A0000}"/>
    <cellStyle name="20% - Accent1 5 9" xfId="6420" xr:uid="{00000000-0005-0000-0000-0000C40A0000}"/>
    <cellStyle name="20% - Accent1 5 9 2" xfId="17721" xr:uid="{00000000-0005-0000-0000-0000C50A0000}"/>
    <cellStyle name="20% - Accent1 5 9 2 2" xfId="40323" xr:uid="{00000000-0005-0000-0000-0000C60A0000}"/>
    <cellStyle name="20% - Accent1 5 9 3" xfId="29022" xr:uid="{00000000-0005-0000-0000-0000C70A0000}"/>
    <cellStyle name="20% - Accent1 6" xfId="228" xr:uid="{00000000-0005-0000-0000-0000C80A0000}"/>
    <cellStyle name="20% - Accent1 7" xfId="331" xr:uid="{00000000-0005-0000-0000-0000C90A0000}"/>
    <cellStyle name="20% - Accent1 7 10" xfId="23426" xr:uid="{00000000-0005-0000-0000-0000CA0A0000}"/>
    <cellStyle name="20% - Accent1 7 2" xfId="576" xr:uid="{00000000-0005-0000-0000-0000CB0A0000}"/>
    <cellStyle name="20% - Accent1 7 2 2" xfId="1286" xr:uid="{00000000-0005-0000-0000-0000CC0A0000}"/>
    <cellStyle name="20% - Accent1 7 2 2 2" xfId="1520" xr:uid="{00000000-0005-0000-0000-0000CD0A0000}"/>
    <cellStyle name="20% - Accent1 7 2 2 2 2" xfId="3355" xr:uid="{00000000-0005-0000-0000-0000CE0A0000}"/>
    <cellStyle name="20% - Accent1 7 2 2 2 2 2" xfId="6327" xr:uid="{00000000-0005-0000-0000-0000CF0A0000}"/>
    <cellStyle name="20% - Accent1 7 2 2 2 2 2 2" xfId="11977" xr:uid="{00000000-0005-0000-0000-0000D00A0000}"/>
    <cellStyle name="20% - Accent1 7 2 2 2 2 2 2 2" xfId="23278" xr:uid="{00000000-0005-0000-0000-0000D10A0000}"/>
    <cellStyle name="20% - Accent1 7 2 2 2 2 2 2 2 2" xfId="45880" xr:uid="{00000000-0005-0000-0000-0000D20A0000}"/>
    <cellStyle name="20% - Accent1 7 2 2 2 2 2 2 3" xfId="34579" xr:uid="{00000000-0005-0000-0000-0000D30A0000}"/>
    <cellStyle name="20% - Accent1 7 2 2 2 2 2 3" xfId="17628" xr:uid="{00000000-0005-0000-0000-0000D40A0000}"/>
    <cellStyle name="20% - Accent1 7 2 2 2 2 2 3 2" xfId="40230" xr:uid="{00000000-0005-0000-0000-0000D50A0000}"/>
    <cellStyle name="20% - Accent1 7 2 2 2 2 2 4" xfId="28929" xr:uid="{00000000-0005-0000-0000-0000D60A0000}"/>
    <cellStyle name="20% - Accent1 7 2 2 2 2 3" xfId="9145" xr:uid="{00000000-0005-0000-0000-0000D70A0000}"/>
    <cellStyle name="20% - Accent1 7 2 2 2 2 3 2" xfId="20446" xr:uid="{00000000-0005-0000-0000-0000D80A0000}"/>
    <cellStyle name="20% - Accent1 7 2 2 2 2 3 2 2" xfId="43048" xr:uid="{00000000-0005-0000-0000-0000D90A0000}"/>
    <cellStyle name="20% - Accent1 7 2 2 2 2 3 3" xfId="31747" xr:uid="{00000000-0005-0000-0000-0000DA0A0000}"/>
    <cellStyle name="20% - Accent1 7 2 2 2 2 4" xfId="14796" xr:uid="{00000000-0005-0000-0000-0000DB0A0000}"/>
    <cellStyle name="20% - Accent1 7 2 2 2 2 4 2" xfId="37398" xr:uid="{00000000-0005-0000-0000-0000DC0A0000}"/>
    <cellStyle name="20% - Accent1 7 2 2 2 2 5" xfId="26097" xr:uid="{00000000-0005-0000-0000-0000DD0A0000}"/>
    <cellStyle name="20% - Accent1 7 2 2 2 3" xfId="5093" xr:uid="{00000000-0005-0000-0000-0000DE0A0000}"/>
    <cellStyle name="20% - Accent1 7 2 2 2 3 2" xfId="10743" xr:uid="{00000000-0005-0000-0000-0000DF0A0000}"/>
    <cellStyle name="20% - Accent1 7 2 2 2 3 2 2" xfId="22044" xr:uid="{00000000-0005-0000-0000-0000E00A0000}"/>
    <cellStyle name="20% - Accent1 7 2 2 2 3 2 2 2" xfId="44646" xr:uid="{00000000-0005-0000-0000-0000E10A0000}"/>
    <cellStyle name="20% - Accent1 7 2 2 2 3 2 3" xfId="33345" xr:uid="{00000000-0005-0000-0000-0000E20A0000}"/>
    <cellStyle name="20% - Accent1 7 2 2 2 3 3" xfId="16394" xr:uid="{00000000-0005-0000-0000-0000E30A0000}"/>
    <cellStyle name="20% - Accent1 7 2 2 2 3 3 2" xfId="38996" xr:uid="{00000000-0005-0000-0000-0000E40A0000}"/>
    <cellStyle name="20% - Accent1 7 2 2 2 3 4" xfId="27695" xr:uid="{00000000-0005-0000-0000-0000E50A0000}"/>
    <cellStyle name="20% - Accent1 7 2 2 2 4" xfId="7376" xr:uid="{00000000-0005-0000-0000-0000E60A0000}"/>
    <cellStyle name="20% - Accent1 7 2 2 2 4 2" xfId="18677" xr:uid="{00000000-0005-0000-0000-0000E70A0000}"/>
    <cellStyle name="20% - Accent1 7 2 2 2 4 2 2" xfId="41279" xr:uid="{00000000-0005-0000-0000-0000E80A0000}"/>
    <cellStyle name="20% - Accent1 7 2 2 2 4 3" xfId="29978" xr:uid="{00000000-0005-0000-0000-0000E90A0000}"/>
    <cellStyle name="20% - Accent1 7 2 2 2 5" xfId="13027" xr:uid="{00000000-0005-0000-0000-0000EA0A0000}"/>
    <cellStyle name="20% - Accent1 7 2 2 2 5 2" xfId="35629" xr:uid="{00000000-0005-0000-0000-0000EB0A0000}"/>
    <cellStyle name="20% - Accent1 7 2 2 2 6" xfId="24328" xr:uid="{00000000-0005-0000-0000-0000EC0A0000}"/>
    <cellStyle name="20% - Accent1 7 2 2 3" xfId="2684" xr:uid="{00000000-0005-0000-0000-0000ED0A0000}"/>
    <cellStyle name="20% - Accent1 7 2 2 3 2" xfId="5703" xr:uid="{00000000-0005-0000-0000-0000EE0A0000}"/>
    <cellStyle name="20% - Accent1 7 2 2 3 2 2" xfId="11353" xr:uid="{00000000-0005-0000-0000-0000EF0A0000}"/>
    <cellStyle name="20% - Accent1 7 2 2 3 2 2 2" xfId="22654" xr:uid="{00000000-0005-0000-0000-0000F00A0000}"/>
    <cellStyle name="20% - Accent1 7 2 2 3 2 2 2 2" xfId="45256" xr:uid="{00000000-0005-0000-0000-0000F10A0000}"/>
    <cellStyle name="20% - Accent1 7 2 2 3 2 2 3" xfId="33955" xr:uid="{00000000-0005-0000-0000-0000F20A0000}"/>
    <cellStyle name="20% - Accent1 7 2 2 3 2 3" xfId="17004" xr:uid="{00000000-0005-0000-0000-0000F30A0000}"/>
    <cellStyle name="20% - Accent1 7 2 2 3 2 3 2" xfId="39606" xr:uid="{00000000-0005-0000-0000-0000F40A0000}"/>
    <cellStyle name="20% - Accent1 7 2 2 3 2 4" xfId="28305" xr:uid="{00000000-0005-0000-0000-0000F50A0000}"/>
    <cellStyle name="20% - Accent1 7 2 2 3 3" xfId="8520" xr:uid="{00000000-0005-0000-0000-0000F60A0000}"/>
    <cellStyle name="20% - Accent1 7 2 2 3 3 2" xfId="19821" xr:uid="{00000000-0005-0000-0000-0000F70A0000}"/>
    <cellStyle name="20% - Accent1 7 2 2 3 3 2 2" xfId="42423" xr:uid="{00000000-0005-0000-0000-0000F80A0000}"/>
    <cellStyle name="20% - Accent1 7 2 2 3 3 3" xfId="31122" xr:uid="{00000000-0005-0000-0000-0000F90A0000}"/>
    <cellStyle name="20% - Accent1 7 2 2 3 4" xfId="14171" xr:uid="{00000000-0005-0000-0000-0000FA0A0000}"/>
    <cellStyle name="20% - Accent1 7 2 2 3 4 2" xfId="36773" xr:uid="{00000000-0005-0000-0000-0000FB0A0000}"/>
    <cellStyle name="20% - Accent1 7 2 2 3 5" xfId="25472" xr:uid="{00000000-0005-0000-0000-0000FC0A0000}"/>
    <cellStyle name="20% - Accent1 7 2 2 4" xfId="4469" xr:uid="{00000000-0005-0000-0000-0000FD0A0000}"/>
    <cellStyle name="20% - Accent1 7 2 2 4 2" xfId="10119" xr:uid="{00000000-0005-0000-0000-0000FE0A0000}"/>
    <cellStyle name="20% - Accent1 7 2 2 4 2 2" xfId="21420" xr:uid="{00000000-0005-0000-0000-0000FF0A0000}"/>
    <cellStyle name="20% - Accent1 7 2 2 4 2 2 2" xfId="44022" xr:uid="{00000000-0005-0000-0000-0000000B0000}"/>
    <cellStyle name="20% - Accent1 7 2 2 4 2 3" xfId="32721" xr:uid="{00000000-0005-0000-0000-0000010B0000}"/>
    <cellStyle name="20% - Accent1 7 2 2 4 3" xfId="15770" xr:uid="{00000000-0005-0000-0000-0000020B0000}"/>
    <cellStyle name="20% - Accent1 7 2 2 4 3 2" xfId="38372" xr:uid="{00000000-0005-0000-0000-0000030B0000}"/>
    <cellStyle name="20% - Accent1 7 2 2 4 4" xfId="27071" xr:uid="{00000000-0005-0000-0000-0000040B0000}"/>
    <cellStyle name="20% - Accent1 7 2 2 5" xfId="7265" xr:uid="{00000000-0005-0000-0000-0000050B0000}"/>
    <cellStyle name="20% - Accent1 7 2 2 5 2" xfId="18566" xr:uid="{00000000-0005-0000-0000-0000060B0000}"/>
    <cellStyle name="20% - Accent1 7 2 2 5 2 2" xfId="41168" xr:uid="{00000000-0005-0000-0000-0000070B0000}"/>
    <cellStyle name="20% - Accent1 7 2 2 5 3" xfId="29867" xr:uid="{00000000-0005-0000-0000-0000080B0000}"/>
    <cellStyle name="20% - Accent1 7 2 2 6" xfId="12916" xr:uid="{00000000-0005-0000-0000-0000090B0000}"/>
    <cellStyle name="20% - Accent1 7 2 2 6 2" xfId="35518" xr:uid="{00000000-0005-0000-0000-00000A0B0000}"/>
    <cellStyle name="20% - Accent1 7 2 2 7" xfId="24217" xr:uid="{00000000-0005-0000-0000-00000B0B0000}"/>
    <cellStyle name="20% - Accent1 7 2 3" xfId="984" xr:uid="{00000000-0005-0000-0000-00000C0B0000}"/>
    <cellStyle name="20% - Accent1 7 2 3 2" xfId="3047" xr:uid="{00000000-0005-0000-0000-00000D0B0000}"/>
    <cellStyle name="20% - Accent1 7 2 3 2 2" xfId="6019" xr:uid="{00000000-0005-0000-0000-00000E0B0000}"/>
    <cellStyle name="20% - Accent1 7 2 3 2 2 2" xfId="11669" xr:uid="{00000000-0005-0000-0000-00000F0B0000}"/>
    <cellStyle name="20% - Accent1 7 2 3 2 2 2 2" xfId="22970" xr:uid="{00000000-0005-0000-0000-0000100B0000}"/>
    <cellStyle name="20% - Accent1 7 2 3 2 2 2 2 2" xfId="45572" xr:uid="{00000000-0005-0000-0000-0000110B0000}"/>
    <cellStyle name="20% - Accent1 7 2 3 2 2 2 3" xfId="34271" xr:uid="{00000000-0005-0000-0000-0000120B0000}"/>
    <cellStyle name="20% - Accent1 7 2 3 2 2 3" xfId="17320" xr:uid="{00000000-0005-0000-0000-0000130B0000}"/>
    <cellStyle name="20% - Accent1 7 2 3 2 2 3 2" xfId="39922" xr:uid="{00000000-0005-0000-0000-0000140B0000}"/>
    <cellStyle name="20% - Accent1 7 2 3 2 2 4" xfId="28621" xr:uid="{00000000-0005-0000-0000-0000150B0000}"/>
    <cellStyle name="20% - Accent1 7 2 3 2 3" xfId="8837" xr:uid="{00000000-0005-0000-0000-0000160B0000}"/>
    <cellStyle name="20% - Accent1 7 2 3 2 3 2" xfId="20138" xr:uid="{00000000-0005-0000-0000-0000170B0000}"/>
    <cellStyle name="20% - Accent1 7 2 3 2 3 2 2" xfId="42740" xr:uid="{00000000-0005-0000-0000-0000180B0000}"/>
    <cellStyle name="20% - Accent1 7 2 3 2 3 3" xfId="31439" xr:uid="{00000000-0005-0000-0000-0000190B0000}"/>
    <cellStyle name="20% - Accent1 7 2 3 2 4" xfId="14488" xr:uid="{00000000-0005-0000-0000-00001A0B0000}"/>
    <cellStyle name="20% - Accent1 7 2 3 2 4 2" xfId="37090" xr:uid="{00000000-0005-0000-0000-00001B0B0000}"/>
    <cellStyle name="20% - Accent1 7 2 3 2 5" xfId="25789" xr:uid="{00000000-0005-0000-0000-00001C0B0000}"/>
    <cellStyle name="20% - Accent1 7 2 3 3" xfId="4785" xr:uid="{00000000-0005-0000-0000-00001D0B0000}"/>
    <cellStyle name="20% - Accent1 7 2 3 3 2" xfId="10435" xr:uid="{00000000-0005-0000-0000-00001E0B0000}"/>
    <cellStyle name="20% - Accent1 7 2 3 3 2 2" xfId="21736" xr:uid="{00000000-0005-0000-0000-00001F0B0000}"/>
    <cellStyle name="20% - Accent1 7 2 3 3 2 2 2" xfId="44338" xr:uid="{00000000-0005-0000-0000-0000200B0000}"/>
    <cellStyle name="20% - Accent1 7 2 3 3 2 3" xfId="33037" xr:uid="{00000000-0005-0000-0000-0000210B0000}"/>
    <cellStyle name="20% - Accent1 7 2 3 3 3" xfId="16086" xr:uid="{00000000-0005-0000-0000-0000220B0000}"/>
    <cellStyle name="20% - Accent1 7 2 3 3 3 2" xfId="38688" xr:uid="{00000000-0005-0000-0000-0000230B0000}"/>
    <cellStyle name="20% - Accent1 7 2 3 3 4" xfId="27387" xr:uid="{00000000-0005-0000-0000-0000240B0000}"/>
    <cellStyle name="20% - Accent1 7 2 3 4" xfId="6972" xr:uid="{00000000-0005-0000-0000-0000250B0000}"/>
    <cellStyle name="20% - Accent1 7 2 3 4 2" xfId="18273" xr:uid="{00000000-0005-0000-0000-0000260B0000}"/>
    <cellStyle name="20% - Accent1 7 2 3 4 2 2" xfId="40875" xr:uid="{00000000-0005-0000-0000-0000270B0000}"/>
    <cellStyle name="20% - Accent1 7 2 3 4 3" xfId="29574" xr:uid="{00000000-0005-0000-0000-0000280B0000}"/>
    <cellStyle name="20% - Accent1 7 2 3 5" xfId="12623" xr:uid="{00000000-0005-0000-0000-0000290B0000}"/>
    <cellStyle name="20% - Accent1 7 2 3 5 2" xfId="35225" xr:uid="{00000000-0005-0000-0000-00002A0B0000}"/>
    <cellStyle name="20% - Accent1 7 2 3 6" xfId="23924" xr:uid="{00000000-0005-0000-0000-00002B0B0000}"/>
    <cellStyle name="20% - Accent1 7 2 4" xfId="1519" xr:uid="{00000000-0005-0000-0000-00002C0B0000}"/>
    <cellStyle name="20% - Accent1 7 2 4 2" xfId="3458" xr:uid="{00000000-0005-0000-0000-00002D0B0000}"/>
    <cellStyle name="20% - Accent1 7 2 4 2 2" xfId="9221" xr:uid="{00000000-0005-0000-0000-00002E0B0000}"/>
    <cellStyle name="20% - Accent1 7 2 4 2 2 2" xfId="20522" xr:uid="{00000000-0005-0000-0000-00002F0B0000}"/>
    <cellStyle name="20% - Accent1 7 2 4 2 2 2 2" xfId="43124" xr:uid="{00000000-0005-0000-0000-0000300B0000}"/>
    <cellStyle name="20% - Accent1 7 2 4 2 2 3" xfId="31823" xr:uid="{00000000-0005-0000-0000-0000310B0000}"/>
    <cellStyle name="20% - Accent1 7 2 4 2 3" xfId="14872" xr:uid="{00000000-0005-0000-0000-0000320B0000}"/>
    <cellStyle name="20% - Accent1 7 2 4 2 3 2" xfId="37474" xr:uid="{00000000-0005-0000-0000-0000330B0000}"/>
    <cellStyle name="20% - Accent1 7 2 4 2 4" xfId="26173" xr:uid="{00000000-0005-0000-0000-0000340B0000}"/>
    <cellStyle name="20% - Accent1 7 2 4 3" xfId="5395" xr:uid="{00000000-0005-0000-0000-0000350B0000}"/>
    <cellStyle name="20% - Accent1 7 2 4 3 2" xfId="11045" xr:uid="{00000000-0005-0000-0000-0000360B0000}"/>
    <cellStyle name="20% - Accent1 7 2 4 3 2 2" xfId="22346" xr:uid="{00000000-0005-0000-0000-0000370B0000}"/>
    <cellStyle name="20% - Accent1 7 2 4 3 2 2 2" xfId="44948" xr:uid="{00000000-0005-0000-0000-0000380B0000}"/>
    <cellStyle name="20% - Accent1 7 2 4 3 2 3" xfId="33647" xr:uid="{00000000-0005-0000-0000-0000390B0000}"/>
    <cellStyle name="20% - Accent1 7 2 4 3 3" xfId="16696" xr:uid="{00000000-0005-0000-0000-00003A0B0000}"/>
    <cellStyle name="20% - Accent1 7 2 4 3 3 2" xfId="39298" xr:uid="{00000000-0005-0000-0000-00003B0B0000}"/>
    <cellStyle name="20% - Accent1 7 2 4 3 4" xfId="27997" xr:uid="{00000000-0005-0000-0000-00003C0B0000}"/>
    <cellStyle name="20% - Accent1 7 2 4 4" xfId="7375" xr:uid="{00000000-0005-0000-0000-00003D0B0000}"/>
    <cellStyle name="20% - Accent1 7 2 4 4 2" xfId="18676" xr:uid="{00000000-0005-0000-0000-00003E0B0000}"/>
    <cellStyle name="20% - Accent1 7 2 4 4 2 2" xfId="41278" xr:uid="{00000000-0005-0000-0000-00003F0B0000}"/>
    <cellStyle name="20% - Accent1 7 2 4 4 3" xfId="29977" xr:uid="{00000000-0005-0000-0000-0000400B0000}"/>
    <cellStyle name="20% - Accent1 7 2 4 5" xfId="13026" xr:uid="{00000000-0005-0000-0000-0000410B0000}"/>
    <cellStyle name="20% - Accent1 7 2 4 5 2" xfId="35628" xr:uid="{00000000-0005-0000-0000-0000420B0000}"/>
    <cellStyle name="20% - Accent1 7 2 4 6" xfId="24327" xr:uid="{00000000-0005-0000-0000-0000430B0000}"/>
    <cellStyle name="20% - Accent1 7 2 5" xfId="2376" xr:uid="{00000000-0005-0000-0000-0000440B0000}"/>
    <cellStyle name="20% - Accent1 7 2 5 2" xfId="8212" xr:uid="{00000000-0005-0000-0000-0000450B0000}"/>
    <cellStyle name="20% - Accent1 7 2 5 2 2" xfId="19513" xr:uid="{00000000-0005-0000-0000-0000460B0000}"/>
    <cellStyle name="20% - Accent1 7 2 5 2 2 2" xfId="42115" xr:uid="{00000000-0005-0000-0000-0000470B0000}"/>
    <cellStyle name="20% - Accent1 7 2 5 2 3" xfId="30814" xr:uid="{00000000-0005-0000-0000-0000480B0000}"/>
    <cellStyle name="20% - Accent1 7 2 5 3" xfId="13863" xr:uid="{00000000-0005-0000-0000-0000490B0000}"/>
    <cellStyle name="20% - Accent1 7 2 5 3 2" xfId="36465" xr:uid="{00000000-0005-0000-0000-00004A0B0000}"/>
    <cellStyle name="20% - Accent1 7 2 5 4" xfId="25164" xr:uid="{00000000-0005-0000-0000-00004B0B0000}"/>
    <cellStyle name="20% - Accent1 7 2 6" xfId="4161" xr:uid="{00000000-0005-0000-0000-00004C0B0000}"/>
    <cellStyle name="20% - Accent1 7 2 6 2" xfId="9811" xr:uid="{00000000-0005-0000-0000-00004D0B0000}"/>
    <cellStyle name="20% - Accent1 7 2 6 2 2" xfId="21112" xr:uid="{00000000-0005-0000-0000-00004E0B0000}"/>
    <cellStyle name="20% - Accent1 7 2 6 2 2 2" xfId="43714" xr:uid="{00000000-0005-0000-0000-00004F0B0000}"/>
    <cellStyle name="20% - Accent1 7 2 6 2 3" xfId="32413" xr:uid="{00000000-0005-0000-0000-0000500B0000}"/>
    <cellStyle name="20% - Accent1 7 2 6 3" xfId="15462" xr:uid="{00000000-0005-0000-0000-0000510B0000}"/>
    <cellStyle name="20% - Accent1 7 2 6 3 2" xfId="38064" xr:uid="{00000000-0005-0000-0000-0000520B0000}"/>
    <cellStyle name="20% - Accent1 7 2 6 4" xfId="26763" xr:uid="{00000000-0005-0000-0000-0000530B0000}"/>
    <cellStyle name="20% - Accent1 7 2 7" xfId="6641" xr:uid="{00000000-0005-0000-0000-0000540B0000}"/>
    <cellStyle name="20% - Accent1 7 2 7 2" xfId="17942" xr:uid="{00000000-0005-0000-0000-0000550B0000}"/>
    <cellStyle name="20% - Accent1 7 2 7 2 2" xfId="40544" xr:uid="{00000000-0005-0000-0000-0000560B0000}"/>
    <cellStyle name="20% - Accent1 7 2 7 3" xfId="29243" xr:uid="{00000000-0005-0000-0000-0000570B0000}"/>
    <cellStyle name="20% - Accent1 7 2 8" xfId="12292" xr:uid="{00000000-0005-0000-0000-0000580B0000}"/>
    <cellStyle name="20% - Accent1 7 2 8 2" xfId="34894" xr:uid="{00000000-0005-0000-0000-0000590B0000}"/>
    <cellStyle name="20% - Accent1 7 2 9" xfId="23593" xr:uid="{00000000-0005-0000-0000-00005A0B0000}"/>
    <cellStyle name="20% - Accent1 7 3" xfId="1148" xr:uid="{00000000-0005-0000-0000-00005B0B0000}"/>
    <cellStyle name="20% - Accent1 7 3 2" xfId="1521" xr:uid="{00000000-0005-0000-0000-00005C0B0000}"/>
    <cellStyle name="20% - Accent1 7 3 2 2" xfId="3216" xr:uid="{00000000-0005-0000-0000-00005D0B0000}"/>
    <cellStyle name="20% - Accent1 7 3 2 2 2" xfId="6188" xr:uid="{00000000-0005-0000-0000-00005E0B0000}"/>
    <cellStyle name="20% - Accent1 7 3 2 2 2 2" xfId="11838" xr:uid="{00000000-0005-0000-0000-00005F0B0000}"/>
    <cellStyle name="20% - Accent1 7 3 2 2 2 2 2" xfId="23139" xr:uid="{00000000-0005-0000-0000-0000600B0000}"/>
    <cellStyle name="20% - Accent1 7 3 2 2 2 2 2 2" xfId="45741" xr:uid="{00000000-0005-0000-0000-0000610B0000}"/>
    <cellStyle name="20% - Accent1 7 3 2 2 2 2 3" xfId="34440" xr:uid="{00000000-0005-0000-0000-0000620B0000}"/>
    <cellStyle name="20% - Accent1 7 3 2 2 2 3" xfId="17489" xr:uid="{00000000-0005-0000-0000-0000630B0000}"/>
    <cellStyle name="20% - Accent1 7 3 2 2 2 3 2" xfId="40091" xr:uid="{00000000-0005-0000-0000-0000640B0000}"/>
    <cellStyle name="20% - Accent1 7 3 2 2 2 4" xfId="28790" xr:uid="{00000000-0005-0000-0000-0000650B0000}"/>
    <cellStyle name="20% - Accent1 7 3 2 2 3" xfId="9006" xr:uid="{00000000-0005-0000-0000-0000660B0000}"/>
    <cellStyle name="20% - Accent1 7 3 2 2 3 2" xfId="20307" xr:uid="{00000000-0005-0000-0000-0000670B0000}"/>
    <cellStyle name="20% - Accent1 7 3 2 2 3 2 2" xfId="42909" xr:uid="{00000000-0005-0000-0000-0000680B0000}"/>
    <cellStyle name="20% - Accent1 7 3 2 2 3 3" xfId="31608" xr:uid="{00000000-0005-0000-0000-0000690B0000}"/>
    <cellStyle name="20% - Accent1 7 3 2 2 4" xfId="14657" xr:uid="{00000000-0005-0000-0000-00006A0B0000}"/>
    <cellStyle name="20% - Accent1 7 3 2 2 4 2" xfId="37259" xr:uid="{00000000-0005-0000-0000-00006B0B0000}"/>
    <cellStyle name="20% - Accent1 7 3 2 2 5" xfId="25958" xr:uid="{00000000-0005-0000-0000-00006C0B0000}"/>
    <cellStyle name="20% - Accent1 7 3 2 3" xfId="4954" xr:uid="{00000000-0005-0000-0000-00006D0B0000}"/>
    <cellStyle name="20% - Accent1 7 3 2 3 2" xfId="10604" xr:uid="{00000000-0005-0000-0000-00006E0B0000}"/>
    <cellStyle name="20% - Accent1 7 3 2 3 2 2" xfId="21905" xr:uid="{00000000-0005-0000-0000-00006F0B0000}"/>
    <cellStyle name="20% - Accent1 7 3 2 3 2 2 2" xfId="44507" xr:uid="{00000000-0005-0000-0000-0000700B0000}"/>
    <cellStyle name="20% - Accent1 7 3 2 3 2 3" xfId="33206" xr:uid="{00000000-0005-0000-0000-0000710B0000}"/>
    <cellStyle name="20% - Accent1 7 3 2 3 3" xfId="16255" xr:uid="{00000000-0005-0000-0000-0000720B0000}"/>
    <cellStyle name="20% - Accent1 7 3 2 3 3 2" xfId="38857" xr:uid="{00000000-0005-0000-0000-0000730B0000}"/>
    <cellStyle name="20% - Accent1 7 3 2 3 4" xfId="27556" xr:uid="{00000000-0005-0000-0000-0000740B0000}"/>
    <cellStyle name="20% - Accent1 7 3 2 4" xfId="7377" xr:uid="{00000000-0005-0000-0000-0000750B0000}"/>
    <cellStyle name="20% - Accent1 7 3 2 4 2" xfId="18678" xr:uid="{00000000-0005-0000-0000-0000760B0000}"/>
    <cellStyle name="20% - Accent1 7 3 2 4 2 2" xfId="41280" xr:uid="{00000000-0005-0000-0000-0000770B0000}"/>
    <cellStyle name="20% - Accent1 7 3 2 4 3" xfId="29979" xr:uid="{00000000-0005-0000-0000-0000780B0000}"/>
    <cellStyle name="20% - Accent1 7 3 2 5" xfId="13028" xr:uid="{00000000-0005-0000-0000-0000790B0000}"/>
    <cellStyle name="20% - Accent1 7 3 2 5 2" xfId="35630" xr:uid="{00000000-0005-0000-0000-00007A0B0000}"/>
    <cellStyle name="20% - Accent1 7 3 2 6" xfId="24329" xr:uid="{00000000-0005-0000-0000-00007B0B0000}"/>
    <cellStyle name="20% - Accent1 7 3 3" xfId="2545" xr:uid="{00000000-0005-0000-0000-00007C0B0000}"/>
    <cellStyle name="20% - Accent1 7 3 3 2" xfId="5564" xr:uid="{00000000-0005-0000-0000-00007D0B0000}"/>
    <cellStyle name="20% - Accent1 7 3 3 2 2" xfId="11214" xr:uid="{00000000-0005-0000-0000-00007E0B0000}"/>
    <cellStyle name="20% - Accent1 7 3 3 2 2 2" xfId="22515" xr:uid="{00000000-0005-0000-0000-00007F0B0000}"/>
    <cellStyle name="20% - Accent1 7 3 3 2 2 2 2" xfId="45117" xr:uid="{00000000-0005-0000-0000-0000800B0000}"/>
    <cellStyle name="20% - Accent1 7 3 3 2 2 3" xfId="33816" xr:uid="{00000000-0005-0000-0000-0000810B0000}"/>
    <cellStyle name="20% - Accent1 7 3 3 2 3" xfId="16865" xr:uid="{00000000-0005-0000-0000-0000820B0000}"/>
    <cellStyle name="20% - Accent1 7 3 3 2 3 2" xfId="39467" xr:uid="{00000000-0005-0000-0000-0000830B0000}"/>
    <cellStyle name="20% - Accent1 7 3 3 2 4" xfId="28166" xr:uid="{00000000-0005-0000-0000-0000840B0000}"/>
    <cellStyle name="20% - Accent1 7 3 3 3" xfId="8381" xr:uid="{00000000-0005-0000-0000-0000850B0000}"/>
    <cellStyle name="20% - Accent1 7 3 3 3 2" xfId="19682" xr:uid="{00000000-0005-0000-0000-0000860B0000}"/>
    <cellStyle name="20% - Accent1 7 3 3 3 2 2" xfId="42284" xr:uid="{00000000-0005-0000-0000-0000870B0000}"/>
    <cellStyle name="20% - Accent1 7 3 3 3 3" xfId="30983" xr:uid="{00000000-0005-0000-0000-0000880B0000}"/>
    <cellStyle name="20% - Accent1 7 3 3 4" xfId="14032" xr:uid="{00000000-0005-0000-0000-0000890B0000}"/>
    <cellStyle name="20% - Accent1 7 3 3 4 2" xfId="36634" xr:uid="{00000000-0005-0000-0000-00008A0B0000}"/>
    <cellStyle name="20% - Accent1 7 3 3 5" xfId="25333" xr:uid="{00000000-0005-0000-0000-00008B0B0000}"/>
    <cellStyle name="20% - Accent1 7 3 4" xfId="4330" xr:uid="{00000000-0005-0000-0000-00008C0B0000}"/>
    <cellStyle name="20% - Accent1 7 3 4 2" xfId="9980" xr:uid="{00000000-0005-0000-0000-00008D0B0000}"/>
    <cellStyle name="20% - Accent1 7 3 4 2 2" xfId="21281" xr:uid="{00000000-0005-0000-0000-00008E0B0000}"/>
    <cellStyle name="20% - Accent1 7 3 4 2 2 2" xfId="43883" xr:uid="{00000000-0005-0000-0000-00008F0B0000}"/>
    <cellStyle name="20% - Accent1 7 3 4 2 3" xfId="32582" xr:uid="{00000000-0005-0000-0000-0000900B0000}"/>
    <cellStyle name="20% - Accent1 7 3 4 3" xfId="15631" xr:uid="{00000000-0005-0000-0000-0000910B0000}"/>
    <cellStyle name="20% - Accent1 7 3 4 3 2" xfId="38233" xr:uid="{00000000-0005-0000-0000-0000920B0000}"/>
    <cellStyle name="20% - Accent1 7 3 4 4" xfId="26932" xr:uid="{00000000-0005-0000-0000-0000930B0000}"/>
    <cellStyle name="20% - Accent1 7 3 5" xfId="7127" xr:uid="{00000000-0005-0000-0000-0000940B0000}"/>
    <cellStyle name="20% - Accent1 7 3 5 2" xfId="18428" xr:uid="{00000000-0005-0000-0000-0000950B0000}"/>
    <cellStyle name="20% - Accent1 7 3 5 2 2" xfId="41030" xr:uid="{00000000-0005-0000-0000-0000960B0000}"/>
    <cellStyle name="20% - Accent1 7 3 5 3" xfId="29729" xr:uid="{00000000-0005-0000-0000-0000970B0000}"/>
    <cellStyle name="20% - Accent1 7 3 6" xfId="12778" xr:uid="{00000000-0005-0000-0000-0000980B0000}"/>
    <cellStyle name="20% - Accent1 7 3 6 2" xfId="35380" xr:uid="{00000000-0005-0000-0000-0000990B0000}"/>
    <cellStyle name="20% - Accent1 7 3 7" xfId="24079" xr:uid="{00000000-0005-0000-0000-00009A0B0000}"/>
    <cellStyle name="20% - Accent1 7 4" xfId="839" xr:uid="{00000000-0005-0000-0000-00009B0B0000}"/>
    <cellStyle name="20% - Accent1 7 4 2" xfId="2909" xr:uid="{00000000-0005-0000-0000-00009C0B0000}"/>
    <cellStyle name="20% - Accent1 7 4 2 2" xfId="5881" xr:uid="{00000000-0005-0000-0000-00009D0B0000}"/>
    <cellStyle name="20% - Accent1 7 4 2 2 2" xfId="11531" xr:uid="{00000000-0005-0000-0000-00009E0B0000}"/>
    <cellStyle name="20% - Accent1 7 4 2 2 2 2" xfId="22832" xr:uid="{00000000-0005-0000-0000-00009F0B0000}"/>
    <cellStyle name="20% - Accent1 7 4 2 2 2 2 2" xfId="45434" xr:uid="{00000000-0005-0000-0000-0000A00B0000}"/>
    <cellStyle name="20% - Accent1 7 4 2 2 2 3" xfId="34133" xr:uid="{00000000-0005-0000-0000-0000A10B0000}"/>
    <cellStyle name="20% - Accent1 7 4 2 2 3" xfId="17182" xr:uid="{00000000-0005-0000-0000-0000A20B0000}"/>
    <cellStyle name="20% - Accent1 7 4 2 2 3 2" xfId="39784" xr:uid="{00000000-0005-0000-0000-0000A30B0000}"/>
    <cellStyle name="20% - Accent1 7 4 2 2 4" xfId="28483" xr:uid="{00000000-0005-0000-0000-0000A40B0000}"/>
    <cellStyle name="20% - Accent1 7 4 2 3" xfId="8699" xr:uid="{00000000-0005-0000-0000-0000A50B0000}"/>
    <cellStyle name="20% - Accent1 7 4 2 3 2" xfId="20000" xr:uid="{00000000-0005-0000-0000-0000A60B0000}"/>
    <cellStyle name="20% - Accent1 7 4 2 3 2 2" xfId="42602" xr:uid="{00000000-0005-0000-0000-0000A70B0000}"/>
    <cellStyle name="20% - Accent1 7 4 2 3 3" xfId="31301" xr:uid="{00000000-0005-0000-0000-0000A80B0000}"/>
    <cellStyle name="20% - Accent1 7 4 2 4" xfId="14350" xr:uid="{00000000-0005-0000-0000-0000A90B0000}"/>
    <cellStyle name="20% - Accent1 7 4 2 4 2" xfId="36952" xr:uid="{00000000-0005-0000-0000-0000AA0B0000}"/>
    <cellStyle name="20% - Accent1 7 4 2 5" xfId="25651" xr:uid="{00000000-0005-0000-0000-0000AB0B0000}"/>
    <cellStyle name="20% - Accent1 7 4 3" xfId="4647" xr:uid="{00000000-0005-0000-0000-0000AC0B0000}"/>
    <cellStyle name="20% - Accent1 7 4 3 2" xfId="10297" xr:uid="{00000000-0005-0000-0000-0000AD0B0000}"/>
    <cellStyle name="20% - Accent1 7 4 3 2 2" xfId="21598" xr:uid="{00000000-0005-0000-0000-0000AE0B0000}"/>
    <cellStyle name="20% - Accent1 7 4 3 2 2 2" xfId="44200" xr:uid="{00000000-0005-0000-0000-0000AF0B0000}"/>
    <cellStyle name="20% - Accent1 7 4 3 2 3" xfId="32899" xr:uid="{00000000-0005-0000-0000-0000B00B0000}"/>
    <cellStyle name="20% - Accent1 7 4 3 3" xfId="15948" xr:uid="{00000000-0005-0000-0000-0000B10B0000}"/>
    <cellStyle name="20% - Accent1 7 4 3 3 2" xfId="38550" xr:uid="{00000000-0005-0000-0000-0000B20B0000}"/>
    <cellStyle name="20% - Accent1 7 4 3 4" xfId="27249" xr:uid="{00000000-0005-0000-0000-0000B30B0000}"/>
    <cellStyle name="20% - Accent1 7 4 4" xfId="6834" xr:uid="{00000000-0005-0000-0000-0000B40B0000}"/>
    <cellStyle name="20% - Accent1 7 4 4 2" xfId="18135" xr:uid="{00000000-0005-0000-0000-0000B50B0000}"/>
    <cellStyle name="20% - Accent1 7 4 4 2 2" xfId="40737" xr:uid="{00000000-0005-0000-0000-0000B60B0000}"/>
    <cellStyle name="20% - Accent1 7 4 4 3" xfId="29436" xr:uid="{00000000-0005-0000-0000-0000B70B0000}"/>
    <cellStyle name="20% - Accent1 7 4 5" xfId="12485" xr:uid="{00000000-0005-0000-0000-0000B80B0000}"/>
    <cellStyle name="20% - Accent1 7 4 5 2" xfId="35087" xr:uid="{00000000-0005-0000-0000-0000B90B0000}"/>
    <cellStyle name="20% - Accent1 7 4 6" xfId="23786" xr:uid="{00000000-0005-0000-0000-0000BA0B0000}"/>
    <cellStyle name="20% - Accent1 7 5" xfId="1518" xr:uid="{00000000-0005-0000-0000-0000BB0B0000}"/>
    <cellStyle name="20% - Accent1 7 5 2" xfId="3517" xr:uid="{00000000-0005-0000-0000-0000BC0B0000}"/>
    <cellStyle name="20% - Accent1 7 5 2 2" xfId="9244" xr:uid="{00000000-0005-0000-0000-0000BD0B0000}"/>
    <cellStyle name="20% - Accent1 7 5 2 2 2" xfId="20545" xr:uid="{00000000-0005-0000-0000-0000BE0B0000}"/>
    <cellStyle name="20% - Accent1 7 5 2 2 2 2" xfId="43147" xr:uid="{00000000-0005-0000-0000-0000BF0B0000}"/>
    <cellStyle name="20% - Accent1 7 5 2 2 3" xfId="31846" xr:uid="{00000000-0005-0000-0000-0000C00B0000}"/>
    <cellStyle name="20% - Accent1 7 5 2 3" xfId="14895" xr:uid="{00000000-0005-0000-0000-0000C10B0000}"/>
    <cellStyle name="20% - Accent1 7 5 2 3 2" xfId="37497" xr:uid="{00000000-0005-0000-0000-0000C20B0000}"/>
    <cellStyle name="20% - Accent1 7 5 2 4" xfId="26196" xr:uid="{00000000-0005-0000-0000-0000C30B0000}"/>
    <cellStyle name="20% - Accent1 7 5 3" xfId="5257" xr:uid="{00000000-0005-0000-0000-0000C40B0000}"/>
    <cellStyle name="20% - Accent1 7 5 3 2" xfId="10907" xr:uid="{00000000-0005-0000-0000-0000C50B0000}"/>
    <cellStyle name="20% - Accent1 7 5 3 2 2" xfId="22208" xr:uid="{00000000-0005-0000-0000-0000C60B0000}"/>
    <cellStyle name="20% - Accent1 7 5 3 2 2 2" xfId="44810" xr:uid="{00000000-0005-0000-0000-0000C70B0000}"/>
    <cellStyle name="20% - Accent1 7 5 3 2 3" xfId="33509" xr:uid="{00000000-0005-0000-0000-0000C80B0000}"/>
    <cellStyle name="20% - Accent1 7 5 3 3" xfId="16558" xr:uid="{00000000-0005-0000-0000-0000C90B0000}"/>
    <cellStyle name="20% - Accent1 7 5 3 3 2" xfId="39160" xr:uid="{00000000-0005-0000-0000-0000CA0B0000}"/>
    <cellStyle name="20% - Accent1 7 5 3 4" xfId="27859" xr:uid="{00000000-0005-0000-0000-0000CB0B0000}"/>
    <cellStyle name="20% - Accent1 7 5 4" xfId="7374" xr:uid="{00000000-0005-0000-0000-0000CC0B0000}"/>
    <cellStyle name="20% - Accent1 7 5 4 2" xfId="18675" xr:uid="{00000000-0005-0000-0000-0000CD0B0000}"/>
    <cellStyle name="20% - Accent1 7 5 4 2 2" xfId="41277" xr:uid="{00000000-0005-0000-0000-0000CE0B0000}"/>
    <cellStyle name="20% - Accent1 7 5 4 3" xfId="29976" xr:uid="{00000000-0005-0000-0000-0000CF0B0000}"/>
    <cellStyle name="20% - Accent1 7 5 5" xfId="13025" xr:uid="{00000000-0005-0000-0000-0000D00B0000}"/>
    <cellStyle name="20% - Accent1 7 5 5 2" xfId="35627" xr:uid="{00000000-0005-0000-0000-0000D10B0000}"/>
    <cellStyle name="20% - Accent1 7 5 6" xfId="24326" xr:uid="{00000000-0005-0000-0000-0000D20B0000}"/>
    <cellStyle name="20% - Accent1 7 6" xfId="2236" xr:uid="{00000000-0005-0000-0000-0000D30B0000}"/>
    <cellStyle name="20% - Accent1 7 6 2" xfId="8072" xr:uid="{00000000-0005-0000-0000-0000D40B0000}"/>
    <cellStyle name="20% - Accent1 7 6 2 2" xfId="19373" xr:uid="{00000000-0005-0000-0000-0000D50B0000}"/>
    <cellStyle name="20% - Accent1 7 6 2 2 2" xfId="41975" xr:uid="{00000000-0005-0000-0000-0000D60B0000}"/>
    <cellStyle name="20% - Accent1 7 6 2 3" xfId="30674" xr:uid="{00000000-0005-0000-0000-0000D70B0000}"/>
    <cellStyle name="20% - Accent1 7 6 3" xfId="13723" xr:uid="{00000000-0005-0000-0000-0000D80B0000}"/>
    <cellStyle name="20% - Accent1 7 6 3 2" xfId="36325" xr:uid="{00000000-0005-0000-0000-0000D90B0000}"/>
    <cellStyle name="20% - Accent1 7 6 4" xfId="25024" xr:uid="{00000000-0005-0000-0000-0000DA0B0000}"/>
    <cellStyle name="20% - Accent1 7 7" xfId="4023" xr:uid="{00000000-0005-0000-0000-0000DB0B0000}"/>
    <cellStyle name="20% - Accent1 7 7 2" xfId="9673" xr:uid="{00000000-0005-0000-0000-0000DC0B0000}"/>
    <cellStyle name="20% - Accent1 7 7 2 2" xfId="20974" xr:uid="{00000000-0005-0000-0000-0000DD0B0000}"/>
    <cellStyle name="20% - Accent1 7 7 2 2 2" xfId="43576" xr:uid="{00000000-0005-0000-0000-0000DE0B0000}"/>
    <cellStyle name="20% - Accent1 7 7 2 3" xfId="32275" xr:uid="{00000000-0005-0000-0000-0000DF0B0000}"/>
    <cellStyle name="20% - Accent1 7 7 3" xfId="15324" xr:uid="{00000000-0005-0000-0000-0000E00B0000}"/>
    <cellStyle name="20% - Accent1 7 7 3 2" xfId="37926" xr:uid="{00000000-0005-0000-0000-0000E10B0000}"/>
    <cellStyle name="20% - Accent1 7 7 4" xfId="26625" xr:uid="{00000000-0005-0000-0000-0000E20B0000}"/>
    <cellStyle name="20% - Accent1 7 8" xfId="6474" xr:uid="{00000000-0005-0000-0000-0000E30B0000}"/>
    <cellStyle name="20% - Accent1 7 8 2" xfId="17775" xr:uid="{00000000-0005-0000-0000-0000E40B0000}"/>
    <cellStyle name="20% - Accent1 7 8 2 2" xfId="40377" xr:uid="{00000000-0005-0000-0000-0000E50B0000}"/>
    <cellStyle name="20% - Accent1 7 8 3" xfId="29076" xr:uid="{00000000-0005-0000-0000-0000E60B0000}"/>
    <cellStyle name="20% - Accent1 7 9" xfId="12125" xr:uid="{00000000-0005-0000-0000-0000E70B0000}"/>
    <cellStyle name="20% - Accent1 7 9 2" xfId="34727" xr:uid="{00000000-0005-0000-0000-0000E80B0000}"/>
    <cellStyle name="20% - Accent1 8" xfId="434" xr:uid="{00000000-0005-0000-0000-0000E90B0000}"/>
    <cellStyle name="20% - Accent1 8 2" xfId="1205" xr:uid="{00000000-0005-0000-0000-0000EA0B0000}"/>
    <cellStyle name="20% - Accent1 8 2 2" xfId="1523" xr:uid="{00000000-0005-0000-0000-0000EB0B0000}"/>
    <cellStyle name="20% - Accent1 8 2 2 2" xfId="3274" xr:uid="{00000000-0005-0000-0000-0000EC0B0000}"/>
    <cellStyle name="20% - Accent1 8 2 2 2 2" xfId="6246" xr:uid="{00000000-0005-0000-0000-0000ED0B0000}"/>
    <cellStyle name="20% - Accent1 8 2 2 2 2 2" xfId="11896" xr:uid="{00000000-0005-0000-0000-0000EE0B0000}"/>
    <cellStyle name="20% - Accent1 8 2 2 2 2 2 2" xfId="23197" xr:uid="{00000000-0005-0000-0000-0000EF0B0000}"/>
    <cellStyle name="20% - Accent1 8 2 2 2 2 2 2 2" xfId="45799" xr:uid="{00000000-0005-0000-0000-0000F00B0000}"/>
    <cellStyle name="20% - Accent1 8 2 2 2 2 2 3" xfId="34498" xr:uid="{00000000-0005-0000-0000-0000F10B0000}"/>
    <cellStyle name="20% - Accent1 8 2 2 2 2 3" xfId="17547" xr:uid="{00000000-0005-0000-0000-0000F20B0000}"/>
    <cellStyle name="20% - Accent1 8 2 2 2 2 3 2" xfId="40149" xr:uid="{00000000-0005-0000-0000-0000F30B0000}"/>
    <cellStyle name="20% - Accent1 8 2 2 2 2 4" xfId="28848" xr:uid="{00000000-0005-0000-0000-0000F40B0000}"/>
    <cellStyle name="20% - Accent1 8 2 2 2 3" xfId="9064" xr:uid="{00000000-0005-0000-0000-0000F50B0000}"/>
    <cellStyle name="20% - Accent1 8 2 2 2 3 2" xfId="20365" xr:uid="{00000000-0005-0000-0000-0000F60B0000}"/>
    <cellStyle name="20% - Accent1 8 2 2 2 3 2 2" xfId="42967" xr:uid="{00000000-0005-0000-0000-0000F70B0000}"/>
    <cellStyle name="20% - Accent1 8 2 2 2 3 3" xfId="31666" xr:uid="{00000000-0005-0000-0000-0000F80B0000}"/>
    <cellStyle name="20% - Accent1 8 2 2 2 4" xfId="14715" xr:uid="{00000000-0005-0000-0000-0000F90B0000}"/>
    <cellStyle name="20% - Accent1 8 2 2 2 4 2" xfId="37317" xr:uid="{00000000-0005-0000-0000-0000FA0B0000}"/>
    <cellStyle name="20% - Accent1 8 2 2 2 5" xfId="26016" xr:uid="{00000000-0005-0000-0000-0000FB0B0000}"/>
    <cellStyle name="20% - Accent1 8 2 2 3" xfId="5012" xr:uid="{00000000-0005-0000-0000-0000FC0B0000}"/>
    <cellStyle name="20% - Accent1 8 2 2 3 2" xfId="10662" xr:uid="{00000000-0005-0000-0000-0000FD0B0000}"/>
    <cellStyle name="20% - Accent1 8 2 2 3 2 2" xfId="21963" xr:uid="{00000000-0005-0000-0000-0000FE0B0000}"/>
    <cellStyle name="20% - Accent1 8 2 2 3 2 2 2" xfId="44565" xr:uid="{00000000-0005-0000-0000-0000FF0B0000}"/>
    <cellStyle name="20% - Accent1 8 2 2 3 2 3" xfId="33264" xr:uid="{00000000-0005-0000-0000-0000000C0000}"/>
    <cellStyle name="20% - Accent1 8 2 2 3 3" xfId="16313" xr:uid="{00000000-0005-0000-0000-0000010C0000}"/>
    <cellStyle name="20% - Accent1 8 2 2 3 3 2" xfId="38915" xr:uid="{00000000-0005-0000-0000-0000020C0000}"/>
    <cellStyle name="20% - Accent1 8 2 2 3 4" xfId="27614" xr:uid="{00000000-0005-0000-0000-0000030C0000}"/>
    <cellStyle name="20% - Accent1 8 2 2 4" xfId="7379" xr:uid="{00000000-0005-0000-0000-0000040C0000}"/>
    <cellStyle name="20% - Accent1 8 2 2 4 2" xfId="18680" xr:uid="{00000000-0005-0000-0000-0000050C0000}"/>
    <cellStyle name="20% - Accent1 8 2 2 4 2 2" xfId="41282" xr:uid="{00000000-0005-0000-0000-0000060C0000}"/>
    <cellStyle name="20% - Accent1 8 2 2 4 3" xfId="29981" xr:uid="{00000000-0005-0000-0000-0000070C0000}"/>
    <cellStyle name="20% - Accent1 8 2 2 5" xfId="13030" xr:uid="{00000000-0005-0000-0000-0000080C0000}"/>
    <cellStyle name="20% - Accent1 8 2 2 5 2" xfId="35632" xr:uid="{00000000-0005-0000-0000-0000090C0000}"/>
    <cellStyle name="20% - Accent1 8 2 2 6" xfId="24331" xr:uid="{00000000-0005-0000-0000-00000A0C0000}"/>
    <cellStyle name="20% - Accent1 8 2 3" xfId="2603" xr:uid="{00000000-0005-0000-0000-00000B0C0000}"/>
    <cellStyle name="20% - Accent1 8 2 3 2" xfId="5622" xr:uid="{00000000-0005-0000-0000-00000C0C0000}"/>
    <cellStyle name="20% - Accent1 8 2 3 2 2" xfId="11272" xr:uid="{00000000-0005-0000-0000-00000D0C0000}"/>
    <cellStyle name="20% - Accent1 8 2 3 2 2 2" xfId="22573" xr:uid="{00000000-0005-0000-0000-00000E0C0000}"/>
    <cellStyle name="20% - Accent1 8 2 3 2 2 2 2" xfId="45175" xr:uid="{00000000-0005-0000-0000-00000F0C0000}"/>
    <cellStyle name="20% - Accent1 8 2 3 2 2 3" xfId="33874" xr:uid="{00000000-0005-0000-0000-0000100C0000}"/>
    <cellStyle name="20% - Accent1 8 2 3 2 3" xfId="16923" xr:uid="{00000000-0005-0000-0000-0000110C0000}"/>
    <cellStyle name="20% - Accent1 8 2 3 2 3 2" xfId="39525" xr:uid="{00000000-0005-0000-0000-0000120C0000}"/>
    <cellStyle name="20% - Accent1 8 2 3 2 4" xfId="28224" xr:uid="{00000000-0005-0000-0000-0000130C0000}"/>
    <cellStyle name="20% - Accent1 8 2 3 3" xfId="8439" xr:uid="{00000000-0005-0000-0000-0000140C0000}"/>
    <cellStyle name="20% - Accent1 8 2 3 3 2" xfId="19740" xr:uid="{00000000-0005-0000-0000-0000150C0000}"/>
    <cellStyle name="20% - Accent1 8 2 3 3 2 2" xfId="42342" xr:uid="{00000000-0005-0000-0000-0000160C0000}"/>
    <cellStyle name="20% - Accent1 8 2 3 3 3" xfId="31041" xr:uid="{00000000-0005-0000-0000-0000170C0000}"/>
    <cellStyle name="20% - Accent1 8 2 3 4" xfId="14090" xr:uid="{00000000-0005-0000-0000-0000180C0000}"/>
    <cellStyle name="20% - Accent1 8 2 3 4 2" xfId="36692" xr:uid="{00000000-0005-0000-0000-0000190C0000}"/>
    <cellStyle name="20% - Accent1 8 2 3 5" xfId="25391" xr:uid="{00000000-0005-0000-0000-00001A0C0000}"/>
    <cellStyle name="20% - Accent1 8 2 4" xfId="4388" xr:uid="{00000000-0005-0000-0000-00001B0C0000}"/>
    <cellStyle name="20% - Accent1 8 2 4 2" xfId="10038" xr:uid="{00000000-0005-0000-0000-00001C0C0000}"/>
    <cellStyle name="20% - Accent1 8 2 4 2 2" xfId="21339" xr:uid="{00000000-0005-0000-0000-00001D0C0000}"/>
    <cellStyle name="20% - Accent1 8 2 4 2 2 2" xfId="43941" xr:uid="{00000000-0005-0000-0000-00001E0C0000}"/>
    <cellStyle name="20% - Accent1 8 2 4 2 3" xfId="32640" xr:uid="{00000000-0005-0000-0000-00001F0C0000}"/>
    <cellStyle name="20% - Accent1 8 2 4 3" xfId="15689" xr:uid="{00000000-0005-0000-0000-0000200C0000}"/>
    <cellStyle name="20% - Accent1 8 2 4 3 2" xfId="38291" xr:uid="{00000000-0005-0000-0000-0000210C0000}"/>
    <cellStyle name="20% - Accent1 8 2 4 4" xfId="26990" xr:uid="{00000000-0005-0000-0000-0000220C0000}"/>
    <cellStyle name="20% - Accent1 8 2 5" xfId="7184" xr:uid="{00000000-0005-0000-0000-0000230C0000}"/>
    <cellStyle name="20% - Accent1 8 2 5 2" xfId="18485" xr:uid="{00000000-0005-0000-0000-0000240C0000}"/>
    <cellStyle name="20% - Accent1 8 2 5 2 2" xfId="41087" xr:uid="{00000000-0005-0000-0000-0000250C0000}"/>
    <cellStyle name="20% - Accent1 8 2 5 3" xfId="29786" xr:uid="{00000000-0005-0000-0000-0000260C0000}"/>
    <cellStyle name="20% - Accent1 8 2 6" xfId="12835" xr:uid="{00000000-0005-0000-0000-0000270C0000}"/>
    <cellStyle name="20% - Accent1 8 2 6 2" xfId="35437" xr:uid="{00000000-0005-0000-0000-0000280C0000}"/>
    <cellStyle name="20% - Accent1 8 2 7" xfId="24136" xr:uid="{00000000-0005-0000-0000-0000290C0000}"/>
    <cellStyle name="20% - Accent1 8 3" xfId="902" xr:uid="{00000000-0005-0000-0000-00002A0C0000}"/>
    <cellStyle name="20% - Accent1 8 3 2" xfId="2966" xr:uid="{00000000-0005-0000-0000-00002B0C0000}"/>
    <cellStyle name="20% - Accent1 8 3 2 2" xfId="5938" xr:uid="{00000000-0005-0000-0000-00002C0C0000}"/>
    <cellStyle name="20% - Accent1 8 3 2 2 2" xfId="11588" xr:uid="{00000000-0005-0000-0000-00002D0C0000}"/>
    <cellStyle name="20% - Accent1 8 3 2 2 2 2" xfId="22889" xr:uid="{00000000-0005-0000-0000-00002E0C0000}"/>
    <cellStyle name="20% - Accent1 8 3 2 2 2 2 2" xfId="45491" xr:uid="{00000000-0005-0000-0000-00002F0C0000}"/>
    <cellStyle name="20% - Accent1 8 3 2 2 2 3" xfId="34190" xr:uid="{00000000-0005-0000-0000-0000300C0000}"/>
    <cellStyle name="20% - Accent1 8 3 2 2 3" xfId="17239" xr:uid="{00000000-0005-0000-0000-0000310C0000}"/>
    <cellStyle name="20% - Accent1 8 3 2 2 3 2" xfId="39841" xr:uid="{00000000-0005-0000-0000-0000320C0000}"/>
    <cellStyle name="20% - Accent1 8 3 2 2 4" xfId="28540" xr:uid="{00000000-0005-0000-0000-0000330C0000}"/>
    <cellStyle name="20% - Accent1 8 3 2 3" xfId="8756" xr:uid="{00000000-0005-0000-0000-0000340C0000}"/>
    <cellStyle name="20% - Accent1 8 3 2 3 2" xfId="20057" xr:uid="{00000000-0005-0000-0000-0000350C0000}"/>
    <cellStyle name="20% - Accent1 8 3 2 3 2 2" xfId="42659" xr:uid="{00000000-0005-0000-0000-0000360C0000}"/>
    <cellStyle name="20% - Accent1 8 3 2 3 3" xfId="31358" xr:uid="{00000000-0005-0000-0000-0000370C0000}"/>
    <cellStyle name="20% - Accent1 8 3 2 4" xfId="14407" xr:uid="{00000000-0005-0000-0000-0000380C0000}"/>
    <cellStyle name="20% - Accent1 8 3 2 4 2" xfId="37009" xr:uid="{00000000-0005-0000-0000-0000390C0000}"/>
    <cellStyle name="20% - Accent1 8 3 2 5" xfId="25708" xr:uid="{00000000-0005-0000-0000-00003A0C0000}"/>
    <cellStyle name="20% - Accent1 8 3 3" xfId="4704" xr:uid="{00000000-0005-0000-0000-00003B0C0000}"/>
    <cellStyle name="20% - Accent1 8 3 3 2" xfId="10354" xr:uid="{00000000-0005-0000-0000-00003C0C0000}"/>
    <cellStyle name="20% - Accent1 8 3 3 2 2" xfId="21655" xr:uid="{00000000-0005-0000-0000-00003D0C0000}"/>
    <cellStyle name="20% - Accent1 8 3 3 2 2 2" xfId="44257" xr:uid="{00000000-0005-0000-0000-00003E0C0000}"/>
    <cellStyle name="20% - Accent1 8 3 3 2 3" xfId="32956" xr:uid="{00000000-0005-0000-0000-00003F0C0000}"/>
    <cellStyle name="20% - Accent1 8 3 3 3" xfId="16005" xr:uid="{00000000-0005-0000-0000-0000400C0000}"/>
    <cellStyle name="20% - Accent1 8 3 3 3 2" xfId="38607" xr:uid="{00000000-0005-0000-0000-0000410C0000}"/>
    <cellStyle name="20% - Accent1 8 3 3 4" xfId="27306" xr:uid="{00000000-0005-0000-0000-0000420C0000}"/>
    <cellStyle name="20% - Accent1 8 3 4" xfId="6891" xr:uid="{00000000-0005-0000-0000-0000430C0000}"/>
    <cellStyle name="20% - Accent1 8 3 4 2" xfId="18192" xr:uid="{00000000-0005-0000-0000-0000440C0000}"/>
    <cellStyle name="20% - Accent1 8 3 4 2 2" xfId="40794" xr:uid="{00000000-0005-0000-0000-0000450C0000}"/>
    <cellStyle name="20% - Accent1 8 3 4 3" xfId="29493" xr:uid="{00000000-0005-0000-0000-0000460C0000}"/>
    <cellStyle name="20% - Accent1 8 3 5" xfId="12542" xr:uid="{00000000-0005-0000-0000-0000470C0000}"/>
    <cellStyle name="20% - Accent1 8 3 5 2" xfId="35144" xr:uid="{00000000-0005-0000-0000-0000480C0000}"/>
    <cellStyle name="20% - Accent1 8 3 6" xfId="23843" xr:uid="{00000000-0005-0000-0000-0000490C0000}"/>
    <cellStyle name="20% - Accent1 8 4" xfId="1522" xr:uid="{00000000-0005-0000-0000-00004A0C0000}"/>
    <cellStyle name="20% - Accent1 8 4 2" xfId="3451" xr:uid="{00000000-0005-0000-0000-00004B0C0000}"/>
    <cellStyle name="20% - Accent1 8 4 2 2" xfId="9217" xr:uid="{00000000-0005-0000-0000-00004C0C0000}"/>
    <cellStyle name="20% - Accent1 8 4 2 2 2" xfId="20518" xr:uid="{00000000-0005-0000-0000-00004D0C0000}"/>
    <cellStyle name="20% - Accent1 8 4 2 2 2 2" xfId="43120" xr:uid="{00000000-0005-0000-0000-00004E0C0000}"/>
    <cellStyle name="20% - Accent1 8 4 2 2 3" xfId="31819" xr:uid="{00000000-0005-0000-0000-00004F0C0000}"/>
    <cellStyle name="20% - Accent1 8 4 2 3" xfId="14868" xr:uid="{00000000-0005-0000-0000-0000500C0000}"/>
    <cellStyle name="20% - Accent1 8 4 2 3 2" xfId="37470" xr:uid="{00000000-0005-0000-0000-0000510C0000}"/>
    <cellStyle name="20% - Accent1 8 4 2 4" xfId="26169" xr:uid="{00000000-0005-0000-0000-0000520C0000}"/>
    <cellStyle name="20% - Accent1 8 4 3" xfId="5314" xr:uid="{00000000-0005-0000-0000-0000530C0000}"/>
    <cellStyle name="20% - Accent1 8 4 3 2" xfId="10964" xr:uid="{00000000-0005-0000-0000-0000540C0000}"/>
    <cellStyle name="20% - Accent1 8 4 3 2 2" xfId="22265" xr:uid="{00000000-0005-0000-0000-0000550C0000}"/>
    <cellStyle name="20% - Accent1 8 4 3 2 2 2" xfId="44867" xr:uid="{00000000-0005-0000-0000-0000560C0000}"/>
    <cellStyle name="20% - Accent1 8 4 3 2 3" xfId="33566" xr:uid="{00000000-0005-0000-0000-0000570C0000}"/>
    <cellStyle name="20% - Accent1 8 4 3 3" xfId="16615" xr:uid="{00000000-0005-0000-0000-0000580C0000}"/>
    <cellStyle name="20% - Accent1 8 4 3 3 2" xfId="39217" xr:uid="{00000000-0005-0000-0000-0000590C0000}"/>
    <cellStyle name="20% - Accent1 8 4 3 4" xfId="27916" xr:uid="{00000000-0005-0000-0000-00005A0C0000}"/>
    <cellStyle name="20% - Accent1 8 4 4" xfId="7378" xr:uid="{00000000-0005-0000-0000-00005B0C0000}"/>
    <cellStyle name="20% - Accent1 8 4 4 2" xfId="18679" xr:uid="{00000000-0005-0000-0000-00005C0C0000}"/>
    <cellStyle name="20% - Accent1 8 4 4 2 2" xfId="41281" xr:uid="{00000000-0005-0000-0000-00005D0C0000}"/>
    <cellStyle name="20% - Accent1 8 4 4 3" xfId="29980" xr:uid="{00000000-0005-0000-0000-00005E0C0000}"/>
    <cellStyle name="20% - Accent1 8 4 5" xfId="13029" xr:uid="{00000000-0005-0000-0000-00005F0C0000}"/>
    <cellStyle name="20% - Accent1 8 4 5 2" xfId="35631" xr:uid="{00000000-0005-0000-0000-0000600C0000}"/>
    <cellStyle name="20% - Accent1 8 4 6" xfId="24330" xr:uid="{00000000-0005-0000-0000-0000610C0000}"/>
    <cellStyle name="20% - Accent1 8 5" xfId="2295" xr:uid="{00000000-0005-0000-0000-0000620C0000}"/>
    <cellStyle name="20% - Accent1 8 5 2" xfId="8131" xr:uid="{00000000-0005-0000-0000-0000630C0000}"/>
    <cellStyle name="20% - Accent1 8 5 2 2" xfId="19432" xr:uid="{00000000-0005-0000-0000-0000640C0000}"/>
    <cellStyle name="20% - Accent1 8 5 2 2 2" xfId="42034" xr:uid="{00000000-0005-0000-0000-0000650C0000}"/>
    <cellStyle name="20% - Accent1 8 5 2 3" xfId="30733" xr:uid="{00000000-0005-0000-0000-0000660C0000}"/>
    <cellStyle name="20% - Accent1 8 5 3" xfId="13782" xr:uid="{00000000-0005-0000-0000-0000670C0000}"/>
    <cellStyle name="20% - Accent1 8 5 3 2" xfId="36384" xr:uid="{00000000-0005-0000-0000-0000680C0000}"/>
    <cellStyle name="20% - Accent1 8 5 4" xfId="25083" xr:uid="{00000000-0005-0000-0000-0000690C0000}"/>
    <cellStyle name="20% - Accent1 8 6" xfId="4080" xr:uid="{00000000-0005-0000-0000-00006A0C0000}"/>
    <cellStyle name="20% - Accent1 8 6 2" xfId="9730" xr:uid="{00000000-0005-0000-0000-00006B0C0000}"/>
    <cellStyle name="20% - Accent1 8 6 2 2" xfId="21031" xr:uid="{00000000-0005-0000-0000-00006C0C0000}"/>
    <cellStyle name="20% - Accent1 8 6 2 2 2" xfId="43633" xr:uid="{00000000-0005-0000-0000-00006D0C0000}"/>
    <cellStyle name="20% - Accent1 8 6 2 3" xfId="32332" xr:uid="{00000000-0005-0000-0000-00006E0C0000}"/>
    <cellStyle name="20% - Accent1 8 6 3" xfId="15381" xr:uid="{00000000-0005-0000-0000-00006F0C0000}"/>
    <cellStyle name="20% - Accent1 8 6 3 2" xfId="37983" xr:uid="{00000000-0005-0000-0000-0000700C0000}"/>
    <cellStyle name="20% - Accent1 8 6 4" xfId="26682" xr:uid="{00000000-0005-0000-0000-0000710C0000}"/>
    <cellStyle name="20% - Accent1 8 7" xfId="6531" xr:uid="{00000000-0005-0000-0000-0000720C0000}"/>
    <cellStyle name="20% - Accent1 8 7 2" xfId="17832" xr:uid="{00000000-0005-0000-0000-0000730C0000}"/>
    <cellStyle name="20% - Accent1 8 7 2 2" xfId="40434" xr:uid="{00000000-0005-0000-0000-0000740C0000}"/>
    <cellStyle name="20% - Accent1 8 7 3" xfId="29133" xr:uid="{00000000-0005-0000-0000-0000750C0000}"/>
    <cellStyle name="20% - Accent1 8 8" xfId="12182" xr:uid="{00000000-0005-0000-0000-0000760C0000}"/>
    <cellStyle name="20% - Accent1 8 8 2" xfId="34784" xr:uid="{00000000-0005-0000-0000-0000770C0000}"/>
    <cellStyle name="20% - Accent1 8 9" xfId="23483" xr:uid="{00000000-0005-0000-0000-0000780C0000}"/>
    <cellStyle name="20% - Accent1 9" xfId="636" xr:uid="{00000000-0005-0000-0000-0000790C0000}"/>
    <cellStyle name="20% - Accent1 9 2" xfId="691" xr:uid="{00000000-0005-0000-0000-00007A0C0000}"/>
    <cellStyle name="20% - Accent1 9 2 2" xfId="3106" xr:uid="{00000000-0005-0000-0000-00007B0C0000}"/>
    <cellStyle name="20% - Accent1 9 2 2 2" xfId="6078" xr:uid="{00000000-0005-0000-0000-00007C0C0000}"/>
    <cellStyle name="20% - Accent1 9 2 2 2 2" xfId="11728" xr:uid="{00000000-0005-0000-0000-00007D0C0000}"/>
    <cellStyle name="20% - Accent1 9 2 2 2 2 2" xfId="23029" xr:uid="{00000000-0005-0000-0000-00007E0C0000}"/>
    <cellStyle name="20% - Accent1 9 2 2 2 2 2 2" xfId="45631" xr:uid="{00000000-0005-0000-0000-00007F0C0000}"/>
    <cellStyle name="20% - Accent1 9 2 2 2 2 3" xfId="34330" xr:uid="{00000000-0005-0000-0000-0000800C0000}"/>
    <cellStyle name="20% - Accent1 9 2 2 2 3" xfId="17379" xr:uid="{00000000-0005-0000-0000-0000810C0000}"/>
    <cellStyle name="20% - Accent1 9 2 2 2 3 2" xfId="39981" xr:uid="{00000000-0005-0000-0000-0000820C0000}"/>
    <cellStyle name="20% - Accent1 9 2 2 2 4" xfId="28680" xr:uid="{00000000-0005-0000-0000-0000830C0000}"/>
    <cellStyle name="20% - Accent1 9 2 2 3" xfId="8896" xr:uid="{00000000-0005-0000-0000-0000840C0000}"/>
    <cellStyle name="20% - Accent1 9 2 2 3 2" xfId="20197" xr:uid="{00000000-0005-0000-0000-0000850C0000}"/>
    <cellStyle name="20% - Accent1 9 2 2 3 2 2" xfId="42799" xr:uid="{00000000-0005-0000-0000-0000860C0000}"/>
    <cellStyle name="20% - Accent1 9 2 2 3 3" xfId="31498" xr:uid="{00000000-0005-0000-0000-0000870C0000}"/>
    <cellStyle name="20% - Accent1 9 2 2 4" xfId="14547" xr:uid="{00000000-0005-0000-0000-0000880C0000}"/>
    <cellStyle name="20% - Accent1 9 2 2 4 2" xfId="37149" xr:uid="{00000000-0005-0000-0000-0000890C0000}"/>
    <cellStyle name="20% - Accent1 9 2 2 5" xfId="25848" xr:uid="{00000000-0005-0000-0000-00008A0C0000}"/>
    <cellStyle name="20% - Accent1 9 2 3" xfId="4844" xr:uid="{00000000-0005-0000-0000-00008B0C0000}"/>
    <cellStyle name="20% - Accent1 9 2 3 2" xfId="10494" xr:uid="{00000000-0005-0000-0000-00008C0C0000}"/>
    <cellStyle name="20% - Accent1 9 2 3 2 2" xfId="21795" xr:uid="{00000000-0005-0000-0000-00008D0C0000}"/>
    <cellStyle name="20% - Accent1 9 2 3 2 2 2" xfId="44397" xr:uid="{00000000-0005-0000-0000-00008E0C0000}"/>
    <cellStyle name="20% - Accent1 9 2 3 2 3" xfId="33096" xr:uid="{00000000-0005-0000-0000-00008F0C0000}"/>
    <cellStyle name="20% - Accent1 9 2 3 3" xfId="16145" xr:uid="{00000000-0005-0000-0000-0000900C0000}"/>
    <cellStyle name="20% - Accent1 9 2 3 3 2" xfId="38747" xr:uid="{00000000-0005-0000-0000-0000910C0000}"/>
    <cellStyle name="20% - Accent1 9 2 3 4" xfId="27446" xr:uid="{00000000-0005-0000-0000-0000920C0000}"/>
    <cellStyle name="20% - Accent1 9 2 4" xfId="6720" xr:uid="{00000000-0005-0000-0000-0000930C0000}"/>
    <cellStyle name="20% - Accent1 9 2 4 2" xfId="18021" xr:uid="{00000000-0005-0000-0000-0000940C0000}"/>
    <cellStyle name="20% - Accent1 9 2 4 2 2" xfId="40623" xr:uid="{00000000-0005-0000-0000-0000950C0000}"/>
    <cellStyle name="20% - Accent1 9 2 4 3" xfId="29322" xr:uid="{00000000-0005-0000-0000-0000960C0000}"/>
    <cellStyle name="20% - Accent1 9 2 5" xfId="12371" xr:uid="{00000000-0005-0000-0000-0000970C0000}"/>
    <cellStyle name="20% - Accent1 9 2 5 2" xfId="34973" xr:uid="{00000000-0005-0000-0000-0000980C0000}"/>
    <cellStyle name="20% - Accent1 9 2 6" xfId="23672" xr:uid="{00000000-0005-0000-0000-0000990C0000}"/>
    <cellStyle name="20% - Accent1 9 3" xfId="1524" xr:uid="{00000000-0005-0000-0000-00009A0C0000}"/>
    <cellStyle name="20% - Accent1 9 3 2" xfId="3427" xr:uid="{00000000-0005-0000-0000-00009B0C0000}"/>
    <cellStyle name="20% - Accent1 9 3 2 2" xfId="9210" xr:uid="{00000000-0005-0000-0000-00009C0C0000}"/>
    <cellStyle name="20% - Accent1 9 3 2 2 2" xfId="20511" xr:uid="{00000000-0005-0000-0000-00009D0C0000}"/>
    <cellStyle name="20% - Accent1 9 3 2 2 2 2" xfId="43113" xr:uid="{00000000-0005-0000-0000-00009E0C0000}"/>
    <cellStyle name="20% - Accent1 9 3 2 2 3" xfId="31812" xr:uid="{00000000-0005-0000-0000-00009F0C0000}"/>
    <cellStyle name="20% - Accent1 9 3 2 3" xfId="14861" xr:uid="{00000000-0005-0000-0000-0000A00C0000}"/>
    <cellStyle name="20% - Accent1 9 3 2 3 2" xfId="37463" xr:uid="{00000000-0005-0000-0000-0000A10C0000}"/>
    <cellStyle name="20% - Accent1 9 3 2 4" xfId="26162" xr:uid="{00000000-0005-0000-0000-0000A20C0000}"/>
    <cellStyle name="20% - Accent1 9 3 3" xfId="5454" xr:uid="{00000000-0005-0000-0000-0000A30C0000}"/>
    <cellStyle name="20% - Accent1 9 3 3 2" xfId="11104" xr:uid="{00000000-0005-0000-0000-0000A40C0000}"/>
    <cellStyle name="20% - Accent1 9 3 3 2 2" xfId="22405" xr:uid="{00000000-0005-0000-0000-0000A50C0000}"/>
    <cellStyle name="20% - Accent1 9 3 3 2 2 2" xfId="45007" xr:uid="{00000000-0005-0000-0000-0000A60C0000}"/>
    <cellStyle name="20% - Accent1 9 3 3 2 3" xfId="33706" xr:uid="{00000000-0005-0000-0000-0000A70C0000}"/>
    <cellStyle name="20% - Accent1 9 3 3 3" xfId="16755" xr:uid="{00000000-0005-0000-0000-0000A80C0000}"/>
    <cellStyle name="20% - Accent1 9 3 3 3 2" xfId="39357" xr:uid="{00000000-0005-0000-0000-0000A90C0000}"/>
    <cellStyle name="20% - Accent1 9 3 3 4" xfId="28056" xr:uid="{00000000-0005-0000-0000-0000AA0C0000}"/>
    <cellStyle name="20% - Accent1 9 3 4" xfId="7380" xr:uid="{00000000-0005-0000-0000-0000AB0C0000}"/>
    <cellStyle name="20% - Accent1 9 3 4 2" xfId="18681" xr:uid="{00000000-0005-0000-0000-0000AC0C0000}"/>
    <cellStyle name="20% - Accent1 9 3 4 2 2" xfId="41283" xr:uid="{00000000-0005-0000-0000-0000AD0C0000}"/>
    <cellStyle name="20% - Accent1 9 3 4 3" xfId="29982" xr:uid="{00000000-0005-0000-0000-0000AE0C0000}"/>
    <cellStyle name="20% - Accent1 9 3 5" xfId="13031" xr:uid="{00000000-0005-0000-0000-0000AF0C0000}"/>
    <cellStyle name="20% - Accent1 9 3 5 2" xfId="35633" xr:uid="{00000000-0005-0000-0000-0000B00C0000}"/>
    <cellStyle name="20% - Accent1 9 3 6" xfId="24332" xr:uid="{00000000-0005-0000-0000-0000B10C0000}"/>
    <cellStyle name="20% - Accent1 9 4" xfId="2435" xr:uid="{00000000-0005-0000-0000-0000B20C0000}"/>
    <cellStyle name="20% - Accent1 9 4 2" xfId="8271" xr:uid="{00000000-0005-0000-0000-0000B30C0000}"/>
    <cellStyle name="20% - Accent1 9 4 2 2" xfId="19572" xr:uid="{00000000-0005-0000-0000-0000B40C0000}"/>
    <cellStyle name="20% - Accent1 9 4 2 2 2" xfId="42174" xr:uid="{00000000-0005-0000-0000-0000B50C0000}"/>
    <cellStyle name="20% - Accent1 9 4 2 3" xfId="30873" xr:uid="{00000000-0005-0000-0000-0000B60C0000}"/>
    <cellStyle name="20% - Accent1 9 4 3" xfId="13922" xr:uid="{00000000-0005-0000-0000-0000B70C0000}"/>
    <cellStyle name="20% - Accent1 9 4 3 2" xfId="36524" xr:uid="{00000000-0005-0000-0000-0000B80C0000}"/>
    <cellStyle name="20% - Accent1 9 4 4" xfId="25223" xr:uid="{00000000-0005-0000-0000-0000B90C0000}"/>
    <cellStyle name="20% - Accent1 9 5" xfId="4220" xr:uid="{00000000-0005-0000-0000-0000BA0C0000}"/>
    <cellStyle name="20% - Accent1 9 5 2" xfId="9870" xr:uid="{00000000-0005-0000-0000-0000BB0C0000}"/>
    <cellStyle name="20% - Accent1 9 5 2 2" xfId="21171" xr:uid="{00000000-0005-0000-0000-0000BC0C0000}"/>
    <cellStyle name="20% - Accent1 9 5 2 2 2" xfId="43773" xr:uid="{00000000-0005-0000-0000-0000BD0C0000}"/>
    <cellStyle name="20% - Accent1 9 5 2 3" xfId="32472" xr:uid="{00000000-0005-0000-0000-0000BE0C0000}"/>
    <cellStyle name="20% - Accent1 9 5 3" xfId="15521" xr:uid="{00000000-0005-0000-0000-0000BF0C0000}"/>
    <cellStyle name="20% - Accent1 9 5 3 2" xfId="38123" xr:uid="{00000000-0005-0000-0000-0000C00C0000}"/>
    <cellStyle name="20% - Accent1 9 5 4" xfId="26822" xr:uid="{00000000-0005-0000-0000-0000C10C0000}"/>
    <cellStyle name="20% - Accent1 9 6" xfId="6699" xr:uid="{00000000-0005-0000-0000-0000C20C0000}"/>
    <cellStyle name="20% - Accent1 9 6 2" xfId="18000" xr:uid="{00000000-0005-0000-0000-0000C30C0000}"/>
    <cellStyle name="20% - Accent1 9 6 2 2" xfId="40602" xr:uid="{00000000-0005-0000-0000-0000C40C0000}"/>
    <cellStyle name="20% - Accent1 9 6 3" xfId="29301" xr:uid="{00000000-0005-0000-0000-0000C50C0000}"/>
    <cellStyle name="20% - Accent1 9 7" xfId="12350" xr:uid="{00000000-0005-0000-0000-0000C60C0000}"/>
    <cellStyle name="20% - Accent1 9 7 2" xfId="34952" xr:uid="{00000000-0005-0000-0000-0000C70C0000}"/>
    <cellStyle name="20% - Accent1 9 8" xfId="23651" xr:uid="{00000000-0005-0000-0000-0000C80C0000}"/>
    <cellStyle name="20% - Accent2 10" xfId="738" xr:uid="{00000000-0005-0000-0000-0000C90C0000}"/>
    <cellStyle name="20% - Accent2 10 2" xfId="1525" xr:uid="{00000000-0005-0000-0000-0000CA0C0000}"/>
    <cellStyle name="20% - Accent2 10 2 2" xfId="3145" xr:uid="{00000000-0005-0000-0000-0000CB0C0000}"/>
    <cellStyle name="20% - Accent2 10 2 2 2" xfId="6117" xr:uid="{00000000-0005-0000-0000-0000CC0C0000}"/>
    <cellStyle name="20% - Accent2 10 2 2 2 2" xfId="11767" xr:uid="{00000000-0005-0000-0000-0000CD0C0000}"/>
    <cellStyle name="20% - Accent2 10 2 2 2 2 2" xfId="23068" xr:uid="{00000000-0005-0000-0000-0000CE0C0000}"/>
    <cellStyle name="20% - Accent2 10 2 2 2 2 2 2" xfId="45670" xr:uid="{00000000-0005-0000-0000-0000CF0C0000}"/>
    <cellStyle name="20% - Accent2 10 2 2 2 2 3" xfId="34369" xr:uid="{00000000-0005-0000-0000-0000D00C0000}"/>
    <cellStyle name="20% - Accent2 10 2 2 2 3" xfId="17418" xr:uid="{00000000-0005-0000-0000-0000D10C0000}"/>
    <cellStyle name="20% - Accent2 10 2 2 2 3 2" xfId="40020" xr:uid="{00000000-0005-0000-0000-0000D20C0000}"/>
    <cellStyle name="20% - Accent2 10 2 2 2 4" xfId="28719" xr:uid="{00000000-0005-0000-0000-0000D30C0000}"/>
    <cellStyle name="20% - Accent2 10 2 2 3" xfId="8935" xr:uid="{00000000-0005-0000-0000-0000D40C0000}"/>
    <cellStyle name="20% - Accent2 10 2 2 3 2" xfId="20236" xr:uid="{00000000-0005-0000-0000-0000D50C0000}"/>
    <cellStyle name="20% - Accent2 10 2 2 3 2 2" xfId="42838" xr:uid="{00000000-0005-0000-0000-0000D60C0000}"/>
    <cellStyle name="20% - Accent2 10 2 2 3 3" xfId="31537" xr:uid="{00000000-0005-0000-0000-0000D70C0000}"/>
    <cellStyle name="20% - Accent2 10 2 2 4" xfId="14586" xr:uid="{00000000-0005-0000-0000-0000D80C0000}"/>
    <cellStyle name="20% - Accent2 10 2 2 4 2" xfId="37188" xr:uid="{00000000-0005-0000-0000-0000D90C0000}"/>
    <cellStyle name="20% - Accent2 10 2 2 5" xfId="25887" xr:uid="{00000000-0005-0000-0000-0000DA0C0000}"/>
    <cellStyle name="20% - Accent2 10 2 3" xfId="4883" xr:uid="{00000000-0005-0000-0000-0000DB0C0000}"/>
    <cellStyle name="20% - Accent2 10 2 3 2" xfId="10533" xr:uid="{00000000-0005-0000-0000-0000DC0C0000}"/>
    <cellStyle name="20% - Accent2 10 2 3 2 2" xfId="21834" xr:uid="{00000000-0005-0000-0000-0000DD0C0000}"/>
    <cellStyle name="20% - Accent2 10 2 3 2 2 2" xfId="44436" xr:uid="{00000000-0005-0000-0000-0000DE0C0000}"/>
    <cellStyle name="20% - Accent2 10 2 3 2 3" xfId="33135" xr:uid="{00000000-0005-0000-0000-0000DF0C0000}"/>
    <cellStyle name="20% - Accent2 10 2 3 3" xfId="16184" xr:uid="{00000000-0005-0000-0000-0000E00C0000}"/>
    <cellStyle name="20% - Accent2 10 2 3 3 2" xfId="38786" xr:uid="{00000000-0005-0000-0000-0000E10C0000}"/>
    <cellStyle name="20% - Accent2 10 2 3 4" xfId="27485" xr:uid="{00000000-0005-0000-0000-0000E20C0000}"/>
    <cellStyle name="20% - Accent2 10 2 4" xfId="7381" xr:uid="{00000000-0005-0000-0000-0000E30C0000}"/>
    <cellStyle name="20% - Accent2 10 2 4 2" xfId="18682" xr:uid="{00000000-0005-0000-0000-0000E40C0000}"/>
    <cellStyle name="20% - Accent2 10 2 4 2 2" xfId="41284" xr:uid="{00000000-0005-0000-0000-0000E50C0000}"/>
    <cellStyle name="20% - Accent2 10 2 4 3" xfId="29983" xr:uid="{00000000-0005-0000-0000-0000E60C0000}"/>
    <cellStyle name="20% - Accent2 10 2 5" xfId="13032" xr:uid="{00000000-0005-0000-0000-0000E70C0000}"/>
    <cellStyle name="20% - Accent2 10 2 5 2" xfId="35634" xr:uid="{00000000-0005-0000-0000-0000E80C0000}"/>
    <cellStyle name="20% - Accent2 10 2 6" xfId="24333" xr:uid="{00000000-0005-0000-0000-0000E90C0000}"/>
    <cellStyle name="20% - Accent2 10 3" xfId="2474" xr:uid="{00000000-0005-0000-0000-0000EA0C0000}"/>
    <cellStyle name="20% - Accent2 10 3 2" xfId="5493" xr:uid="{00000000-0005-0000-0000-0000EB0C0000}"/>
    <cellStyle name="20% - Accent2 10 3 2 2" xfId="11143" xr:uid="{00000000-0005-0000-0000-0000EC0C0000}"/>
    <cellStyle name="20% - Accent2 10 3 2 2 2" xfId="22444" xr:uid="{00000000-0005-0000-0000-0000ED0C0000}"/>
    <cellStyle name="20% - Accent2 10 3 2 2 2 2" xfId="45046" xr:uid="{00000000-0005-0000-0000-0000EE0C0000}"/>
    <cellStyle name="20% - Accent2 10 3 2 2 3" xfId="33745" xr:uid="{00000000-0005-0000-0000-0000EF0C0000}"/>
    <cellStyle name="20% - Accent2 10 3 2 3" xfId="16794" xr:uid="{00000000-0005-0000-0000-0000F00C0000}"/>
    <cellStyle name="20% - Accent2 10 3 2 3 2" xfId="39396" xr:uid="{00000000-0005-0000-0000-0000F10C0000}"/>
    <cellStyle name="20% - Accent2 10 3 2 4" xfId="28095" xr:uid="{00000000-0005-0000-0000-0000F20C0000}"/>
    <cellStyle name="20% - Accent2 10 3 3" xfId="8310" xr:uid="{00000000-0005-0000-0000-0000F30C0000}"/>
    <cellStyle name="20% - Accent2 10 3 3 2" xfId="19611" xr:uid="{00000000-0005-0000-0000-0000F40C0000}"/>
    <cellStyle name="20% - Accent2 10 3 3 2 2" xfId="42213" xr:uid="{00000000-0005-0000-0000-0000F50C0000}"/>
    <cellStyle name="20% - Accent2 10 3 3 3" xfId="30912" xr:uid="{00000000-0005-0000-0000-0000F60C0000}"/>
    <cellStyle name="20% - Accent2 10 3 4" xfId="13961" xr:uid="{00000000-0005-0000-0000-0000F70C0000}"/>
    <cellStyle name="20% - Accent2 10 3 4 2" xfId="36563" xr:uid="{00000000-0005-0000-0000-0000F80C0000}"/>
    <cellStyle name="20% - Accent2 10 3 5" xfId="25262" xr:uid="{00000000-0005-0000-0000-0000F90C0000}"/>
    <cellStyle name="20% - Accent2 10 4" xfId="4259" xr:uid="{00000000-0005-0000-0000-0000FA0C0000}"/>
    <cellStyle name="20% - Accent2 10 4 2" xfId="9909" xr:uid="{00000000-0005-0000-0000-0000FB0C0000}"/>
    <cellStyle name="20% - Accent2 10 4 2 2" xfId="21210" xr:uid="{00000000-0005-0000-0000-0000FC0C0000}"/>
    <cellStyle name="20% - Accent2 10 4 2 2 2" xfId="43812" xr:uid="{00000000-0005-0000-0000-0000FD0C0000}"/>
    <cellStyle name="20% - Accent2 10 4 2 3" xfId="32511" xr:uid="{00000000-0005-0000-0000-0000FE0C0000}"/>
    <cellStyle name="20% - Accent2 10 4 3" xfId="15560" xr:uid="{00000000-0005-0000-0000-0000FF0C0000}"/>
    <cellStyle name="20% - Accent2 10 4 3 2" xfId="38162" xr:uid="{00000000-0005-0000-0000-0000000D0000}"/>
    <cellStyle name="20% - Accent2 10 4 4" xfId="26861" xr:uid="{00000000-0005-0000-0000-0000010D0000}"/>
    <cellStyle name="20% - Accent2 10 5" xfId="6749" xr:uid="{00000000-0005-0000-0000-0000020D0000}"/>
    <cellStyle name="20% - Accent2 10 5 2" xfId="18050" xr:uid="{00000000-0005-0000-0000-0000030D0000}"/>
    <cellStyle name="20% - Accent2 10 5 2 2" xfId="40652" xr:uid="{00000000-0005-0000-0000-0000040D0000}"/>
    <cellStyle name="20% - Accent2 10 5 3" xfId="29351" xr:uid="{00000000-0005-0000-0000-0000050D0000}"/>
    <cellStyle name="20% - Accent2 10 6" xfId="12400" xr:uid="{00000000-0005-0000-0000-0000060D0000}"/>
    <cellStyle name="20% - Accent2 10 6 2" xfId="35002" xr:uid="{00000000-0005-0000-0000-0000070D0000}"/>
    <cellStyle name="20% - Accent2 10 7" xfId="23701" xr:uid="{00000000-0005-0000-0000-0000080D0000}"/>
    <cellStyle name="20% - Accent2 11" xfId="1371" xr:uid="{00000000-0005-0000-0000-0000090D0000}"/>
    <cellStyle name="20% - Accent2 11 2" xfId="1526" xr:uid="{00000000-0005-0000-0000-00000A0D0000}"/>
    <cellStyle name="20% - Accent2 11 2 2" xfId="3509" xr:uid="{00000000-0005-0000-0000-00000B0D0000}"/>
    <cellStyle name="20% - Accent2 11 2 2 2" xfId="9241" xr:uid="{00000000-0005-0000-0000-00000C0D0000}"/>
    <cellStyle name="20% - Accent2 11 2 2 2 2" xfId="20542" xr:uid="{00000000-0005-0000-0000-00000D0D0000}"/>
    <cellStyle name="20% - Accent2 11 2 2 2 2 2" xfId="43144" xr:uid="{00000000-0005-0000-0000-00000E0D0000}"/>
    <cellStyle name="20% - Accent2 11 2 2 2 3" xfId="31843" xr:uid="{00000000-0005-0000-0000-00000F0D0000}"/>
    <cellStyle name="20% - Accent2 11 2 2 3" xfId="14892" xr:uid="{00000000-0005-0000-0000-0000100D0000}"/>
    <cellStyle name="20% - Accent2 11 2 2 3 2" xfId="37494" xr:uid="{00000000-0005-0000-0000-0000110D0000}"/>
    <cellStyle name="20% - Accent2 11 2 2 4" xfId="26193" xr:uid="{00000000-0005-0000-0000-0000120D0000}"/>
    <cellStyle name="20% - Accent2 11 2 3" xfId="7382" xr:uid="{00000000-0005-0000-0000-0000130D0000}"/>
    <cellStyle name="20% - Accent2 11 2 3 2" xfId="18683" xr:uid="{00000000-0005-0000-0000-0000140D0000}"/>
    <cellStyle name="20% - Accent2 11 2 3 2 2" xfId="41285" xr:uid="{00000000-0005-0000-0000-0000150D0000}"/>
    <cellStyle name="20% - Accent2 11 2 3 3" xfId="29984" xr:uid="{00000000-0005-0000-0000-0000160D0000}"/>
    <cellStyle name="20% - Accent2 11 2 4" xfId="13033" xr:uid="{00000000-0005-0000-0000-0000170D0000}"/>
    <cellStyle name="20% - Accent2 11 2 4 2" xfId="35635" xr:uid="{00000000-0005-0000-0000-0000180D0000}"/>
    <cellStyle name="20% - Accent2 11 2 5" xfId="24334" xr:uid="{00000000-0005-0000-0000-0000190D0000}"/>
    <cellStyle name="20% - Accent2 11 3" xfId="2118" xr:uid="{00000000-0005-0000-0000-00001A0D0000}"/>
    <cellStyle name="20% - Accent2 11 3 2" xfId="7962" xr:uid="{00000000-0005-0000-0000-00001B0D0000}"/>
    <cellStyle name="20% - Accent2 11 3 2 2" xfId="19263" xr:uid="{00000000-0005-0000-0000-00001C0D0000}"/>
    <cellStyle name="20% - Accent2 11 3 2 2 2" xfId="41865" xr:uid="{00000000-0005-0000-0000-00001D0D0000}"/>
    <cellStyle name="20% - Accent2 11 3 2 3" xfId="30564" xr:uid="{00000000-0005-0000-0000-00001E0D0000}"/>
    <cellStyle name="20% - Accent2 11 3 3" xfId="13613" xr:uid="{00000000-0005-0000-0000-00001F0D0000}"/>
    <cellStyle name="20% - Accent2 11 3 3 2" xfId="36215" xr:uid="{00000000-0005-0000-0000-0000200D0000}"/>
    <cellStyle name="20% - Accent2 11 3 4" xfId="24914" xr:uid="{00000000-0005-0000-0000-0000210D0000}"/>
    <cellStyle name="20% - Accent2 11 4" xfId="3915" xr:uid="{00000000-0005-0000-0000-0000220D0000}"/>
    <cellStyle name="20% - Accent2 11 4 2" xfId="9565" xr:uid="{00000000-0005-0000-0000-0000230D0000}"/>
    <cellStyle name="20% - Accent2 11 4 2 2" xfId="20866" xr:uid="{00000000-0005-0000-0000-0000240D0000}"/>
    <cellStyle name="20% - Accent2 11 4 2 2 2" xfId="43468" xr:uid="{00000000-0005-0000-0000-0000250D0000}"/>
    <cellStyle name="20% - Accent2 11 4 2 3" xfId="32167" xr:uid="{00000000-0005-0000-0000-0000260D0000}"/>
    <cellStyle name="20% - Accent2 11 4 3" xfId="15216" xr:uid="{00000000-0005-0000-0000-0000270D0000}"/>
    <cellStyle name="20% - Accent2 11 4 3 2" xfId="37818" xr:uid="{00000000-0005-0000-0000-0000280D0000}"/>
    <cellStyle name="20% - Accent2 11 4 4" xfId="26517" xr:uid="{00000000-0005-0000-0000-0000290D0000}"/>
    <cellStyle name="20% - Accent2 11 5" xfId="7323" xr:uid="{00000000-0005-0000-0000-00002A0D0000}"/>
    <cellStyle name="20% - Accent2 11 5 2" xfId="18624" xr:uid="{00000000-0005-0000-0000-00002B0D0000}"/>
    <cellStyle name="20% - Accent2 11 5 2 2" xfId="41226" xr:uid="{00000000-0005-0000-0000-00002C0D0000}"/>
    <cellStyle name="20% - Accent2 11 5 3" xfId="29925" xr:uid="{00000000-0005-0000-0000-00002D0D0000}"/>
    <cellStyle name="20% - Accent2 11 6" xfId="12974" xr:uid="{00000000-0005-0000-0000-00002E0D0000}"/>
    <cellStyle name="20% - Accent2 11 6 2" xfId="35576" xr:uid="{00000000-0005-0000-0000-00002F0D0000}"/>
    <cellStyle name="20% - Accent2 11 7" xfId="24275" xr:uid="{00000000-0005-0000-0000-0000300D0000}"/>
    <cellStyle name="20% - Accent2 12" xfId="1469" xr:uid="{00000000-0005-0000-0000-0000310D0000}"/>
    <cellStyle name="20% - Accent2 12 2" xfId="3840" xr:uid="{00000000-0005-0000-0000-0000320D0000}"/>
    <cellStyle name="20% - Accent2 12 2 2" xfId="9540" xr:uid="{00000000-0005-0000-0000-0000330D0000}"/>
    <cellStyle name="20% - Accent2 12 2 2 2" xfId="20841" xr:uid="{00000000-0005-0000-0000-0000340D0000}"/>
    <cellStyle name="20% - Accent2 12 2 2 2 2" xfId="43443" xr:uid="{00000000-0005-0000-0000-0000350D0000}"/>
    <cellStyle name="20% - Accent2 12 2 2 3" xfId="32142" xr:uid="{00000000-0005-0000-0000-0000360D0000}"/>
    <cellStyle name="20% - Accent2 12 2 3" xfId="15191" xr:uid="{00000000-0005-0000-0000-0000370D0000}"/>
    <cellStyle name="20% - Accent2 12 2 3 2" xfId="37793" xr:uid="{00000000-0005-0000-0000-0000380D0000}"/>
    <cellStyle name="20% - Accent2 12 2 4" xfId="26492" xr:uid="{00000000-0005-0000-0000-0000390D0000}"/>
    <cellStyle name="20% - Accent2 13" xfId="2148" xr:uid="{00000000-0005-0000-0000-00003A0D0000}"/>
    <cellStyle name="20% - Accent2 14" xfId="47" xr:uid="{00000000-0005-0000-0000-00003B0D0000}"/>
    <cellStyle name="20% - Accent2 2" xfId="98" xr:uid="{00000000-0005-0000-0000-00003C0D0000}"/>
    <cellStyle name="20% - Accent2 2 2" xfId="324" xr:uid="{00000000-0005-0000-0000-00003D0D0000}"/>
    <cellStyle name="20% - Accent2 2 2 10" xfId="23425" xr:uid="{00000000-0005-0000-0000-00003E0D0000}"/>
    <cellStyle name="20% - Accent2 2 2 2" xfId="575" xr:uid="{00000000-0005-0000-0000-00003F0D0000}"/>
    <cellStyle name="20% - Accent2 2 2 2 2" xfId="1285" xr:uid="{00000000-0005-0000-0000-0000400D0000}"/>
    <cellStyle name="20% - Accent2 2 2 2 2 2" xfId="1529" xr:uid="{00000000-0005-0000-0000-0000410D0000}"/>
    <cellStyle name="20% - Accent2 2 2 2 2 2 2" xfId="3354" xr:uid="{00000000-0005-0000-0000-0000420D0000}"/>
    <cellStyle name="20% - Accent2 2 2 2 2 2 2 2" xfId="6326" xr:uid="{00000000-0005-0000-0000-0000430D0000}"/>
    <cellStyle name="20% - Accent2 2 2 2 2 2 2 2 2" xfId="11976" xr:uid="{00000000-0005-0000-0000-0000440D0000}"/>
    <cellStyle name="20% - Accent2 2 2 2 2 2 2 2 2 2" xfId="23277" xr:uid="{00000000-0005-0000-0000-0000450D0000}"/>
    <cellStyle name="20% - Accent2 2 2 2 2 2 2 2 2 2 2" xfId="45879" xr:uid="{00000000-0005-0000-0000-0000460D0000}"/>
    <cellStyle name="20% - Accent2 2 2 2 2 2 2 2 2 3" xfId="34578" xr:uid="{00000000-0005-0000-0000-0000470D0000}"/>
    <cellStyle name="20% - Accent2 2 2 2 2 2 2 2 3" xfId="17627" xr:uid="{00000000-0005-0000-0000-0000480D0000}"/>
    <cellStyle name="20% - Accent2 2 2 2 2 2 2 2 3 2" xfId="40229" xr:uid="{00000000-0005-0000-0000-0000490D0000}"/>
    <cellStyle name="20% - Accent2 2 2 2 2 2 2 2 4" xfId="28928" xr:uid="{00000000-0005-0000-0000-00004A0D0000}"/>
    <cellStyle name="20% - Accent2 2 2 2 2 2 2 3" xfId="9144" xr:uid="{00000000-0005-0000-0000-00004B0D0000}"/>
    <cellStyle name="20% - Accent2 2 2 2 2 2 2 3 2" xfId="20445" xr:uid="{00000000-0005-0000-0000-00004C0D0000}"/>
    <cellStyle name="20% - Accent2 2 2 2 2 2 2 3 2 2" xfId="43047" xr:uid="{00000000-0005-0000-0000-00004D0D0000}"/>
    <cellStyle name="20% - Accent2 2 2 2 2 2 2 3 3" xfId="31746" xr:uid="{00000000-0005-0000-0000-00004E0D0000}"/>
    <cellStyle name="20% - Accent2 2 2 2 2 2 2 4" xfId="14795" xr:uid="{00000000-0005-0000-0000-00004F0D0000}"/>
    <cellStyle name="20% - Accent2 2 2 2 2 2 2 4 2" xfId="37397" xr:uid="{00000000-0005-0000-0000-0000500D0000}"/>
    <cellStyle name="20% - Accent2 2 2 2 2 2 2 5" xfId="26096" xr:uid="{00000000-0005-0000-0000-0000510D0000}"/>
    <cellStyle name="20% - Accent2 2 2 2 2 2 3" xfId="5092" xr:uid="{00000000-0005-0000-0000-0000520D0000}"/>
    <cellStyle name="20% - Accent2 2 2 2 2 2 3 2" xfId="10742" xr:uid="{00000000-0005-0000-0000-0000530D0000}"/>
    <cellStyle name="20% - Accent2 2 2 2 2 2 3 2 2" xfId="22043" xr:uid="{00000000-0005-0000-0000-0000540D0000}"/>
    <cellStyle name="20% - Accent2 2 2 2 2 2 3 2 2 2" xfId="44645" xr:uid="{00000000-0005-0000-0000-0000550D0000}"/>
    <cellStyle name="20% - Accent2 2 2 2 2 2 3 2 3" xfId="33344" xr:uid="{00000000-0005-0000-0000-0000560D0000}"/>
    <cellStyle name="20% - Accent2 2 2 2 2 2 3 3" xfId="16393" xr:uid="{00000000-0005-0000-0000-0000570D0000}"/>
    <cellStyle name="20% - Accent2 2 2 2 2 2 3 3 2" xfId="38995" xr:uid="{00000000-0005-0000-0000-0000580D0000}"/>
    <cellStyle name="20% - Accent2 2 2 2 2 2 3 4" xfId="27694" xr:uid="{00000000-0005-0000-0000-0000590D0000}"/>
    <cellStyle name="20% - Accent2 2 2 2 2 2 4" xfId="7385" xr:uid="{00000000-0005-0000-0000-00005A0D0000}"/>
    <cellStyle name="20% - Accent2 2 2 2 2 2 4 2" xfId="18686" xr:uid="{00000000-0005-0000-0000-00005B0D0000}"/>
    <cellStyle name="20% - Accent2 2 2 2 2 2 4 2 2" xfId="41288" xr:uid="{00000000-0005-0000-0000-00005C0D0000}"/>
    <cellStyle name="20% - Accent2 2 2 2 2 2 4 3" xfId="29987" xr:uid="{00000000-0005-0000-0000-00005D0D0000}"/>
    <cellStyle name="20% - Accent2 2 2 2 2 2 5" xfId="13036" xr:uid="{00000000-0005-0000-0000-00005E0D0000}"/>
    <cellStyle name="20% - Accent2 2 2 2 2 2 5 2" xfId="35638" xr:uid="{00000000-0005-0000-0000-00005F0D0000}"/>
    <cellStyle name="20% - Accent2 2 2 2 2 2 6" xfId="24337" xr:uid="{00000000-0005-0000-0000-0000600D0000}"/>
    <cellStyle name="20% - Accent2 2 2 2 2 3" xfId="2683" xr:uid="{00000000-0005-0000-0000-0000610D0000}"/>
    <cellStyle name="20% - Accent2 2 2 2 2 3 2" xfId="5702" xr:uid="{00000000-0005-0000-0000-0000620D0000}"/>
    <cellStyle name="20% - Accent2 2 2 2 2 3 2 2" xfId="11352" xr:uid="{00000000-0005-0000-0000-0000630D0000}"/>
    <cellStyle name="20% - Accent2 2 2 2 2 3 2 2 2" xfId="22653" xr:uid="{00000000-0005-0000-0000-0000640D0000}"/>
    <cellStyle name="20% - Accent2 2 2 2 2 3 2 2 2 2" xfId="45255" xr:uid="{00000000-0005-0000-0000-0000650D0000}"/>
    <cellStyle name="20% - Accent2 2 2 2 2 3 2 2 3" xfId="33954" xr:uid="{00000000-0005-0000-0000-0000660D0000}"/>
    <cellStyle name="20% - Accent2 2 2 2 2 3 2 3" xfId="17003" xr:uid="{00000000-0005-0000-0000-0000670D0000}"/>
    <cellStyle name="20% - Accent2 2 2 2 2 3 2 3 2" xfId="39605" xr:uid="{00000000-0005-0000-0000-0000680D0000}"/>
    <cellStyle name="20% - Accent2 2 2 2 2 3 2 4" xfId="28304" xr:uid="{00000000-0005-0000-0000-0000690D0000}"/>
    <cellStyle name="20% - Accent2 2 2 2 2 3 3" xfId="8519" xr:uid="{00000000-0005-0000-0000-00006A0D0000}"/>
    <cellStyle name="20% - Accent2 2 2 2 2 3 3 2" xfId="19820" xr:uid="{00000000-0005-0000-0000-00006B0D0000}"/>
    <cellStyle name="20% - Accent2 2 2 2 2 3 3 2 2" xfId="42422" xr:uid="{00000000-0005-0000-0000-00006C0D0000}"/>
    <cellStyle name="20% - Accent2 2 2 2 2 3 3 3" xfId="31121" xr:uid="{00000000-0005-0000-0000-00006D0D0000}"/>
    <cellStyle name="20% - Accent2 2 2 2 2 3 4" xfId="14170" xr:uid="{00000000-0005-0000-0000-00006E0D0000}"/>
    <cellStyle name="20% - Accent2 2 2 2 2 3 4 2" xfId="36772" xr:uid="{00000000-0005-0000-0000-00006F0D0000}"/>
    <cellStyle name="20% - Accent2 2 2 2 2 3 5" xfId="25471" xr:uid="{00000000-0005-0000-0000-0000700D0000}"/>
    <cellStyle name="20% - Accent2 2 2 2 2 4" xfId="4468" xr:uid="{00000000-0005-0000-0000-0000710D0000}"/>
    <cellStyle name="20% - Accent2 2 2 2 2 4 2" xfId="10118" xr:uid="{00000000-0005-0000-0000-0000720D0000}"/>
    <cellStyle name="20% - Accent2 2 2 2 2 4 2 2" xfId="21419" xr:uid="{00000000-0005-0000-0000-0000730D0000}"/>
    <cellStyle name="20% - Accent2 2 2 2 2 4 2 2 2" xfId="44021" xr:uid="{00000000-0005-0000-0000-0000740D0000}"/>
    <cellStyle name="20% - Accent2 2 2 2 2 4 2 3" xfId="32720" xr:uid="{00000000-0005-0000-0000-0000750D0000}"/>
    <cellStyle name="20% - Accent2 2 2 2 2 4 3" xfId="15769" xr:uid="{00000000-0005-0000-0000-0000760D0000}"/>
    <cellStyle name="20% - Accent2 2 2 2 2 4 3 2" xfId="38371" xr:uid="{00000000-0005-0000-0000-0000770D0000}"/>
    <cellStyle name="20% - Accent2 2 2 2 2 4 4" xfId="27070" xr:uid="{00000000-0005-0000-0000-0000780D0000}"/>
    <cellStyle name="20% - Accent2 2 2 2 2 5" xfId="7264" xr:uid="{00000000-0005-0000-0000-0000790D0000}"/>
    <cellStyle name="20% - Accent2 2 2 2 2 5 2" xfId="18565" xr:uid="{00000000-0005-0000-0000-00007A0D0000}"/>
    <cellStyle name="20% - Accent2 2 2 2 2 5 2 2" xfId="41167" xr:uid="{00000000-0005-0000-0000-00007B0D0000}"/>
    <cellStyle name="20% - Accent2 2 2 2 2 5 3" xfId="29866" xr:uid="{00000000-0005-0000-0000-00007C0D0000}"/>
    <cellStyle name="20% - Accent2 2 2 2 2 6" xfId="12915" xr:uid="{00000000-0005-0000-0000-00007D0D0000}"/>
    <cellStyle name="20% - Accent2 2 2 2 2 6 2" xfId="35517" xr:uid="{00000000-0005-0000-0000-00007E0D0000}"/>
    <cellStyle name="20% - Accent2 2 2 2 2 7" xfId="24216" xr:uid="{00000000-0005-0000-0000-00007F0D0000}"/>
    <cellStyle name="20% - Accent2 2 2 2 3" xfId="983" xr:uid="{00000000-0005-0000-0000-0000800D0000}"/>
    <cellStyle name="20% - Accent2 2 2 2 3 2" xfId="3046" xr:uid="{00000000-0005-0000-0000-0000810D0000}"/>
    <cellStyle name="20% - Accent2 2 2 2 3 2 2" xfId="6018" xr:uid="{00000000-0005-0000-0000-0000820D0000}"/>
    <cellStyle name="20% - Accent2 2 2 2 3 2 2 2" xfId="11668" xr:uid="{00000000-0005-0000-0000-0000830D0000}"/>
    <cellStyle name="20% - Accent2 2 2 2 3 2 2 2 2" xfId="22969" xr:uid="{00000000-0005-0000-0000-0000840D0000}"/>
    <cellStyle name="20% - Accent2 2 2 2 3 2 2 2 2 2" xfId="45571" xr:uid="{00000000-0005-0000-0000-0000850D0000}"/>
    <cellStyle name="20% - Accent2 2 2 2 3 2 2 2 3" xfId="34270" xr:uid="{00000000-0005-0000-0000-0000860D0000}"/>
    <cellStyle name="20% - Accent2 2 2 2 3 2 2 3" xfId="17319" xr:uid="{00000000-0005-0000-0000-0000870D0000}"/>
    <cellStyle name="20% - Accent2 2 2 2 3 2 2 3 2" xfId="39921" xr:uid="{00000000-0005-0000-0000-0000880D0000}"/>
    <cellStyle name="20% - Accent2 2 2 2 3 2 2 4" xfId="28620" xr:uid="{00000000-0005-0000-0000-0000890D0000}"/>
    <cellStyle name="20% - Accent2 2 2 2 3 2 3" xfId="8836" xr:uid="{00000000-0005-0000-0000-00008A0D0000}"/>
    <cellStyle name="20% - Accent2 2 2 2 3 2 3 2" xfId="20137" xr:uid="{00000000-0005-0000-0000-00008B0D0000}"/>
    <cellStyle name="20% - Accent2 2 2 2 3 2 3 2 2" xfId="42739" xr:uid="{00000000-0005-0000-0000-00008C0D0000}"/>
    <cellStyle name="20% - Accent2 2 2 2 3 2 3 3" xfId="31438" xr:uid="{00000000-0005-0000-0000-00008D0D0000}"/>
    <cellStyle name="20% - Accent2 2 2 2 3 2 4" xfId="14487" xr:uid="{00000000-0005-0000-0000-00008E0D0000}"/>
    <cellStyle name="20% - Accent2 2 2 2 3 2 4 2" xfId="37089" xr:uid="{00000000-0005-0000-0000-00008F0D0000}"/>
    <cellStyle name="20% - Accent2 2 2 2 3 2 5" xfId="25788" xr:uid="{00000000-0005-0000-0000-0000900D0000}"/>
    <cellStyle name="20% - Accent2 2 2 2 3 3" xfId="4784" xr:uid="{00000000-0005-0000-0000-0000910D0000}"/>
    <cellStyle name="20% - Accent2 2 2 2 3 3 2" xfId="10434" xr:uid="{00000000-0005-0000-0000-0000920D0000}"/>
    <cellStyle name="20% - Accent2 2 2 2 3 3 2 2" xfId="21735" xr:uid="{00000000-0005-0000-0000-0000930D0000}"/>
    <cellStyle name="20% - Accent2 2 2 2 3 3 2 2 2" xfId="44337" xr:uid="{00000000-0005-0000-0000-0000940D0000}"/>
    <cellStyle name="20% - Accent2 2 2 2 3 3 2 3" xfId="33036" xr:uid="{00000000-0005-0000-0000-0000950D0000}"/>
    <cellStyle name="20% - Accent2 2 2 2 3 3 3" xfId="16085" xr:uid="{00000000-0005-0000-0000-0000960D0000}"/>
    <cellStyle name="20% - Accent2 2 2 2 3 3 3 2" xfId="38687" xr:uid="{00000000-0005-0000-0000-0000970D0000}"/>
    <cellStyle name="20% - Accent2 2 2 2 3 3 4" xfId="27386" xr:uid="{00000000-0005-0000-0000-0000980D0000}"/>
    <cellStyle name="20% - Accent2 2 2 2 3 4" xfId="6971" xr:uid="{00000000-0005-0000-0000-0000990D0000}"/>
    <cellStyle name="20% - Accent2 2 2 2 3 4 2" xfId="18272" xr:uid="{00000000-0005-0000-0000-00009A0D0000}"/>
    <cellStyle name="20% - Accent2 2 2 2 3 4 2 2" xfId="40874" xr:uid="{00000000-0005-0000-0000-00009B0D0000}"/>
    <cellStyle name="20% - Accent2 2 2 2 3 4 3" xfId="29573" xr:uid="{00000000-0005-0000-0000-00009C0D0000}"/>
    <cellStyle name="20% - Accent2 2 2 2 3 5" xfId="12622" xr:uid="{00000000-0005-0000-0000-00009D0D0000}"/>
    <cellStyle name="20% - Accent2 2 2 2 3 5 2" xfId="35224" xr:uid="{00000000-0005-0000-0000-00009E0D0000}"/>
    <cellStyle name="20% - Accent2 2 2 2 3 6" xfId="23923" xr:uid="{00000000-0005-0000-0000-00009F0D0000}"/>
    <cellStyle name="20% - Accent2 2 2 2 4" xfId="1528" xr:uid="{00000000-0005-0000-0000-0000A00D0000}"/>
    <cellStyle name="20% - Accent2 2 2 2 4 2" xfId="3461" xr:uid="{00000000-0005-0000-0000-0000A10D0000}"/>
    <cellStyle name="20% - Accent2 2 2 2 4 2 2" xfId="9222" xr:uid="{00000000-0005-0000-0000-0000A20D0000}"/>
    <cellStyle name="20% - Accent2 2 2 2 4 2 2 2" xfId="20523" xr:uid="{00000000-0005-0000-0000-0000A30D0000}"/>
    <cellStyle name="20% - Accent2 2 2 2 4 2 2 2 2" xfId="43125" xr:uid="{00000000-0005-0000-0000-0000A40D0000}"/>
    <cellStyle name="20% - Accent2 2 2 2 4 2 2 3" xfId="31824" xr:uid="{00000000-0005-0000-0000-0000A50D0000}"/>
    <cellStyle name="20% - Accent2 2 2 2 4 2 3" xfId="14873" xr:uid="{00000000-0005-0000-0000-0000A60D0000}"/>
    <cellStyle name="20% - Accent2 2 2 2 4 2 3 2" xfId="37475" xr:uid="{00000000-0005-0000-0000-0000A70D0000}"/>
    <cellStyle name="20% - Accent2 2 2 2 4 2 4" xfId="26174" xr:uid="{00000000-0005-0000-0000-0000A80D0000}"/>
    <cellStyle name="20% - Accent2 2 2 2 4 3" xfId="5394" xr:uid="{00000000-0005-0000-0000-0000A90D0000}"/>
    <cellStyle name="20% - Accent2 2 2 2 4 3 2" xfId="11044" xr:uid="{00000000-0005-0000-0000-0000AA0D0000}"/>
    <cellStyle name="20% - Accent2 2 2 2 4 3 2 2" xfId="22345" xr:uid="{00000000-0005-0000-0000-0000AB0D0000}"/>
    <cellStyle name="20% - Accent2 2 2 2 4 3 2 2 2" xfId="44947" xr:uid="{00000000-0005-0000-0000-0000AC0D0000}"/>
    <cellStyle name="20% - Accent2 2 2 2 4 3 2 3" xfId="33646" xr:uid="{00000000-0005-0000-0000-0000AD0D0000}"/>
    <cellStyle name="20% - Accent2 2 2 2 4 3 3" xfId="16695" xr:uid="{00000000-0005-0000-0000-0000AE0D0000}"/>
    <cellStyle name="20% - Accent2 2 2 2 4 3 3 2" xfId="39297" xr:uid="{00000000-0005-0000-0000-0000AF0D0000}"/>
    <cellStyle name="20% - Accent2 2 2 2 4 3 4" xfId="27996" xr:uid="{00000000-0005-0000-0000-0000B00D0000}"/>
    <cellStyle name="20% - Accent2 2 2 2 4 4" xfId="7384" xr:uid="{00000000-0005-0000-0000-0000B10D0000}"/>
    <cellStyle name="20% - Accent2 2 2 2 4 4 2" xfId="18685" xr:uid="{00000000-0005-0000-0000-0000B20D0000}"/>
    <cellStyle name="20% - Accent2 2 2 2 4 4 2 2" xfId="41287" xr:uid="{00000000-0005-0000-0000-0000B30D0000}"/>
    <cellStyle name="20% - Accent2 2 2 2 4 4 3" xfId="29986" xr:uid="{00000000-0005-0000-0000-0000B40D0000}"/>
    <cellStyle name="20% - Accent2 2 2 2 4 5" xfId="13035" xr:uid="{00000000-0005-0000-0000-0000B50D0000}"/>
    <cellStyle name="20% - Accent2 2 2 2 4 5 2" xfId="35637" xr:uid="{00000000-0005-0000-0000-0000B60D0000}"/>
    <cellStyle name="20% - Accent2 2 2 2 4 6" xfId="24336" xr:uid="{00000000-0005-0000-0000-0000B70D0000}"/>
    <cellStyle name="20% - Accent2 2 2 2 5" xfId="2375" xr:uid="{00000000-0005-0000-0000-0000B80D0000}"/>
    <cellStyle name="20% - Accent2 2 2 2 5 2" xfId="8211" xr:uid="{00000000-0005-0000-0000-0000B90D0000}"/>
    <cellStyle name="20% - Accent2 2 2 2 5 2 2" xfId="19512" xr:uid="{00000000-0005-0000-0000-0000BA0D0000}"/>
    <cellStyle name="20% - Accent2 2 2 2 5 2 2 2" xfId="42114" xr:uid="{00000000-0005-0000-0000-0000BB0D0000}"/>
    <cellStyle name="20% - Accent2 2 2 2 5 2 3" xfId="30813" xr:uid="{00000000-0005-0000-0000-0000BC0D0000}"/>
    <cellStyle name="20% - Accent2 2 2 2 5 3" xfId="13862" xr:uid="{00000000-0005-0000-0000-0000BD0D0000}"/>
    <cellStyle name="20% - Accent2 2 2 2 5 3 2" xfId="36464" xr:uid="{00000000-0005-0000-0000-0000BE0D0000}"/>
    <cellStyle name="20% - Accent2 2 2 2 5 4" xfId="25163" xr:uid="{00000000-0005-0000-0000-0000BF0D0000}"/>
    <cellStyle name="20% - Accent2 2 2 2 6" xfId="4160" xr:uid="{00000000-0005-0000-0000-0000C00D0000}"/>
    <cellStyle name="20% - Accent2 2 2 2 6 2" xfId="9810" xr:uid="{00000000-0005-0000-0000-0000C10D0000}"/>
    <cellStyle name="20% - Accent2 2 2 2 6 2 2" xfId="21111" xr:uid="{00000000-0005-0000-0000-0000C20D0000}"/>
    <cellStyle name="20% - Accent2 2 2 2 6 2 2 2" xfId="43713" xr:uid="{00000000-0005-0000-0000-0000C30D0000}"/>
    <cellStyle name="20% - Accent2 2 2 2 6 2 3" xfId="32412" xr:uid="{00000000-0005-0000-0000-0000C40D0000}"/>
    <cellStyle name="20% - Accent2 2 2 2 6 3" xfId="15461" xr:uid="{00000000-0005-0000-0000-0000C50D0000}"/>
    <cellStyle name="20% - Accent2 2 2 2 6 3 2" xfId="38063" xr:uid="{00000000-0005-0000-0000-0000C60D0000}"/>
    <cellStyle name="20% - Accent2 2 2 2 6 4" xfId="26762" xr:uid="{00000000-0005-0000-0000-0000C70D0000}"/>
    <cellStyle name="20% - Accent2 2 2 2 7" xfId="6640" xr:uid="{00000000-0005-0000-0000-0000C80D0000}"/>
    <cellStyle name="20% - Accent2 2 2 2 7 2" xfId="17941" xr:uid="{00000000-0005-0000-0000-0000C90D0000}"/>
    <cellStyle name="20% - Accent2 2 2 2 7 2 2" xfId="40543" xr:uid="{00000000-0005-0000-0000-0000CA0D0000}"/>
    <cellStyle name="20% - Accent2 2 2 2 7 3" xfId="29242" xr:uid="{00000000-0005-0000-0000-0000CB0D0000}"/>
    <cellStyle name="20% - Accent2 2 2 2 8" xfId="12291" xr:uid="{00000000-0005-0000-0000-0000CC0D0000}"/>
    <cellStyle name="20% - Accent2 2 2 2 8 2" xfId="34893" xr:uid="{00000000-0005-0000-0000-0000CD0D0000}"/>
    <cellStyle name="20% - Accent2 2 2 2 9" xfId="23592" xr:uid="{00000000-0005-0000-0000-0000CE0D0000}"/>
    <cellStyle name="20% - Accent2 2 2 3" xfId="1147" xr:uid="{00000000-0005-0000-0000-0000CF0D0000}"/>
    <cellStyle name="20% - Accent2 2 2 3 2" xfId="1530" xr:uid="{00000000-0005-0000-0000-0000D00D0000}"/>
    <cellStyle name="20% - Accent2 2 2 3 2 2" xfId="3215" xr:uid="{00000000-0005-0000-0000-0000D10D0000}"/>
    <cellStyle name="20% - Accent2 2 2 3 2 2 2" xfId="6187" xr:uid="{00000000-0005-0000-0000-0000D20D0000}"/>
    <cellStyle name="20% - Accent2 2 2 3 2 2 2 2" xfId="11837" xr:uid="{00000000-0005-0000-0000-0000D30D0000}"/>
    <cellStyle name="20% - Accent2 2 2 3 2 2 2 2 2" xfId="23138" xr:uid="{00000000-0005-0000-0000-0000D40D0000}"/>
    <cellStyle name="20% - Accent2 2 2 3 2 2 2 2 2 2" xfId="45740" xr:uid="{00000000-0005-0000-0000-0000D50D0000}"/>
    <cellStyle name="20% - Accent2 2 2 3 2 2 2 2 3" xfId="34439" xr:uid="{00000000-0005-0000-0000-0000D60D0000}"/>
    <cellStyle name="20% - Accent2 2 2 3 2 2 2 3" xfId="17488" xr:uid="{00000000-0005-0000-0000-0000D70D0000}"/>
    <cellStyle name="20% - Accent2 2 2 3 2 2 2 3 2" xfId="40090" xr:uid="{00000000-0005-0000-0000-0000D80D0000}"/>
    <cellStyle name="20% - Accent2 2 2 3 2 2 2 4" xfId="28789" xr:uid="{00000000-0005-0000-0000-0000D90D0000}"/>
    <cellStyle name="20% - Accent2 2 2 3 2 2 3" xfId="9005" xr:uid="{00000000-0005-0000-0000-0000DA0D0000}"/>
    <cellStyle name="20% - Accent2 2 2 3 2 2 3 2" xfId="20306" xr:uid="{00000000-0005-0000-0000-0000DB0D0000}"/>
    <cellStyle name="20% - Accent2 2 2 3 2 2 3 2 2" xfId="42908" xr:uid="{00000000-0005-0000-0000-0000DC0D0000}"/>
    <cellStyle name="20% - Accent2 2 2 3 2 2 3 3" xfId="31607" xr:uid="{00000000-0005-0000-0000-0000DD0D0000}"/>
    <cellStyle name="20% - Accent2 2 2 3 2 2 4" xfId="14656" xr:uid="{00000000-0005-0000-0000-0000DE0D0000}"/>
    <cellStyle name="20% - Accent2 2 2 3 2 2 4 2" xfId="37258" xr:uid="{00000000-0005-0000-0000-0000DF0D0000}"/>
    <cellStyle name="20% - Accent2 2 2 3 2 2 5" xfId="25957" xr:uid="{00000000-0005-0000-0000-0000E00D0000}"/>
    <cellStyle name="20% - Accent2 2 2 3 2 3" xfId="4953" xr:uid="{00000000-0005-0000-0000-0000E10D0000}"/>
    <cellStyle name="20% - Accent2 2 2 3 2 3 2" xfId="10603" xr:uid="{00000000-0005-0000-0000-0000E20D0000}"/>
    <cellStyle name="20% - Accent2 2 2 3 2 3 2 2" xfId="21904" xr:uid="{00000000-0005-0000-0000-0000E30D0000}"/>
    <cellStyle name="20% - Accent2 2 2 3 2 3 2 2 2" xfId="44506" xr:uid="{00000000-0005-0000-0000-0000E40D0000}"/>
    <cellStyle name="20% - Accent2 2 2 3 2 3 2 3" xfId="33205" xr:uid="{00000000-0005-0000-0000-0000E50D0000}"/>
    <cellStyle name="20% - Accent2 2 2 3 2 3 3" xfId="16254" xr:uid="{00000000-0005-0000-0000-0000E60D0000}"/>
    <cellStyle name="20% - Accent2 2 2 3 2 3 3 2" xfId="38856" xr:uid="{00000000-0005-0000-0000-0000E70D0000}"/>
    <cellStyle name="20% - Accent2 2 2 3 2 3 4" xfId="27555" xr:uid="{00000000-0005-0000-0000-0000E80D0000}"/>
    <cellStyle name="20% - Accent2 2 2 3 2 4" xfId="7386" xr:uid="{00000000-0005-0000-0000-0000E90D0000}"/>
    <cellStyle name="20% - Accent2 2 2 3 2 4 2" xfId="18687" xr:uid="{00000000-0005-0000-0000-0000EA0D0000}"/>
    <cellStyle name="20% - Accent2 2 2 3 2 4 2 2" xfId="41289" xr:uid="{00000000-0005-0000-0000-0000EB0D0000}"/>
    <cellStyle name="20% - Accent2 2 2 3 2 4 3" xfId="29988" xr:uid="{00000000-0005-0000-0000-0000EC0D0000}"/>
    <cellStyle name="20% - Accent2 2 2 3 2 5" xfId="13037" xr:uid="{00000000-0005-0000-0000-0000ED0D0000}"/>
    <cellStyle name="20% - Accent2 2 2 3 2 5 2" xfId="35639" xr:uid="{00000000-0005-0000-0000-0000EE0D0000}"/>
    <cellStyle name="20% - Accent2 2 2 3 2 6" xfId="24338" xr:uid="{00000000-0005-0000-0000-0000EF0D0000}"/>
    <cellStyle name="20% - Accent2 2 2 3 3" xfId="2544" xr:uid="{00000000-0005-0000-0000-0000F00D0000}"/>
    <cellStyle name="20% - Accent2 2 2 3 3 2" xfId="5563" xr:uid="{00000000-0005-0000-0000-0000F10D0000}"/>
    <cellStyle name="20% - Accent2 2 2 3 3 2 2" xfId="11213" xr:uid="{00000000-0005-0000-0000-0000F20D0000}"/>
    <cellStyle name="20% - Accent2 2 2 3 3 2 2 2" xfId="22514" xr:uid="{00000000-0005-0000-0000-0000F30D0000}"/>
    <cellStyle name="20% - Accent2 2 2 3 3 2 2 2 2" xfId="45116" xr:uid="{00000000-0005-0000-0000-0000F40D0000}"/>
    <cellStyle name="20% - Accent2 2 2 3 3 2 2 3" xfId="33815" xr:uid="{00000000-0005-0000-0000-0000F50D0000}"/>
    <cellStyle name="20% - Accent2 2 2 3 3 2 3" xfId="16864" xr:uid="{00000000-0005-0000-0000-0000F60D0000}"/>
    <cellStyle name="20% - Accent2 2 2 3 3 2 3 2" xfId="39466" xr:uid="{00000000-0005-0000-0000-0000F70D0000}"/>
    <cellStyle name="20% - Accent2 2 2 3 3 2 4" xfId="28165" xr:uid="{00000000-0005-0000-0000-0000F80D0000}"/>
    <cellStyle name="20% - Accent2 2 2 3 3 3" xfId="8380" xr:uid="{00000000-0005-0000-0000-0000F90D0000}"/>
    <cellStyle name="20% - Accent2 2 2 3 3 3 2" xfId="19681" xr:uid="{00000000-0005-0000-0000-0000FA0D0000}"/>
    <cellStyle name="20% - Accent2 2 2 3 3 3 2 2" xfId="42283" xr:uid="{00000000-0005-0000-0000-0000FB0D0000}"/>
    <cellStyle name="20% - Accent2 2 2 3 3 3 3" xfId="30982" xr:uid="{00000000-0005-0000-0000-0000FC0D0000}"/>
    <cellStyle name="20% - Accent2 2 2 3 3 4" xfId="14031" xr:uid="{00000000-0005-0000-0000-0000FD0D0000}"/>
    <cellStyle name="20% - Accent2 2 2 3 3 4 2" xfId="36633" xr:uid="{00000000-0005-0000-0000-0000FE0D0000}"/>
    <cellStyle name="20% - Accent2 2 2 3 3 5" xfId="25332" xr:uid="{00000000-0005-0000-0000-0000FF0D0000}"/>
    <cellStyle name="20% - Accent2 2 2 3 4" xfId="4329" xr:uid="{00000000-0005-0000-0000-0000000E0000}"/>
    <cellStyle name="20% - Accent2 2 2 3 4 2" xfId="9979" xr:uid="{00000000-0005-0000-0000-0000010E0000}"/>
    <cellStyle name="20% - Accent2 2 2 3 4 2 2" xfId="21280" xr:uid="{00000000-0005-0000-0000-0000020E0000}"/>
    <cellStyle name="20% - Accent2 2 2 3 4 2 2 2" xfId="43882" xr:uid="{00000000-0005-0000-0000-0000030E0000}"/>
    <cellStyle name="20% - Accent2 2 2 3 4 2 3" xfId="32581" xr:uid="{00000000-0005-0000-0000-0000040E0000}"/>
    <cellStyle name="20% - Accent2 2 2 3 4 3" xfId="15630" xr:uid="{00000000-0005-0000-0000-0000050E0000}"/>
    <cellStyle name="20% - Accent2 2 2 3 4 3 2" xfId="38232" xr:uid="{00000000-0005-0000-0000-0000060E0000}"/>
    <cellStyle name="20% - Accent2 2 2 3 4 4" xfId="26931" xr:uid="{00000000-0005-0000-0000-0000070E0000}"/>
    <cellStyle name="20% - Accent2 2 2 3 5" xfId="7126" xr:uid="{00000000-0005-0000-0000-0000080E0000}"/>
    <cellStyle name="20% - Accent2 2 2 3 5 2" xfId="18427" xr:uid="{00000000-0005-0000-0000-0000090E0000}"/>
    <cellStyle name="20% - Accent2 2 2 3 5 2 2" xfId="41029" xr:uid="{00000000-0005-0000-0000-00000A0E0000}"/>
    <cellStyle name="20% - Accent2 2 2 3 5 3" xfId="29728" xr:uid="{00000000-0005-0000-0000-00000B0E0000}"/>
    <cellStyle name="20% - Accent2 2 2 3 6" xfId="12777" xr:uid="{00000000-0005-0000-0000-00000C0E0000}"/>
    <cellStyle name="20% - Accent2 2 2 3 6 2" xfId="35379" xr:uid="{00000000-0005-0000-0000-00000D0E0000}"/>
    <cellStyle name="20% - Accent2 2 2 3 7" xfId="24078" xr:uid="{00000000-0005-0000-0000-00000E0E0000}"/>
    <cellStyle name="20% - Accent2 2 2 4" xfId="837" xr:uid="{00000000-0005-0000-0000-00000F0E0000}"/>
    <cellStyle name="20% - Accent2 2 2 4 2" xfId="2908" xr:uid="{00000000-0005-0000-0000-0000100E0000}"/>
    <cellStyle name="20% - Accent2 2 2 4 2 2" xfId="5880" xr:uid="{00000000-0005-0000-0000-0000110E0000}"/>
    <cellStyle name="20% - Accent2 2 2 4 2 2 2" xfId="11530" xr:uid="{00000000-0005-0000-0000-0000120E0000}"/>
    <cellStyle name="20% - Accent2 2 2 4 2 2 2 2" xfId="22831" xr:uid="{00000000-0005-0000-0000-0000130E0000}"/>
    <cellStyle name="20% - Accent2 2 2 4 2 2 2 2 2" xfId="45433" xr:uid="{00000000-0005-0000-0000-0000140E0000}"/>
    <cellStyle name="20% - Accent2 2 2 4 2 2 2 3" xfId="34132" xr:uid="{00000000-0005-0000-0000-0000150E0000}"/>
    <cellStyle name="20% - Accent2 2 2 4 2 2 3" xfId="17181" xr:uid="{00000000-0005-0000-0000-0000160E0000}"/>
    <cellStyle name="20% - Accent2 2 2 4 2 2 3 2" xfId="39783" xr:uid="{00000000-0005-0000-0000-0000170E0000}"/>
    <cellStyle name="20% - Accent2 2 2 4 2 2 4" xfId="28482" xr:uid="{00000000-0005-0000-0000-0000180E0000}"/>
    <cellStyle name="20% - Accent2 2 2 4 2 3" xfId="8698" xr:uid="{00000000-0005-0000-0000-0000190E0000}"/>
    <cellStyle name="20% - Accent2 2 2 4 2 3 2" xfId="19999" xr:uid="{00000000-0005-0000-0000-00001A0E0000}"/>
    <cellStyle name="20% - Accent2 2 2 4 2 3 2 2" xfId="42601" xr:uid="{00000000-0005-0000-0000-00001B0E0000}"/>
    <cellStyle name="20% - Accent2 2 2 4 2 3 3" xfId="31300" xr:uid="{00000000-0005-0000-0000-00001C0E0000}"/>
    <cellStyle name="20% - Accent2 2 2 4 2 4" xfId="14349" xr:uid="{00000000-0005-0000-0000-00001D0E0000}"/>
    <cellStyle name="20% - Accent2 2 2 4 2 4 2" xfId="36951" xr:uid="{00000000-0005-0000-0000-00001E0E0000}"/>
    <cellStyle name="20% - Accent2 2 2 4 2 5" xfId="25650" xr:uid="{00000000-0005-0000-0000-00001F0E0000}"/>
    <cellStyle name="20% - Accent2 2 2 4 3" xfId="4646" xr:uid="{00000000-0005-0000-0000-0000200E0000}"/>
    <cellStyle name="20% - Accent2 2 2 4 3 2" xfId="10296" xr:uid="{00000000-0005-0000-0000-0000210E0000}"/>
    <cellStyle name="20% - Accent2 2 2 4 3 2 2" xfId="21597" xr:uid="{00000000-0005-0000-0000-0000220E0000}"/>
    <cellStyle name="20% - Accent2 2 2 4 3 2 2 2" xfId="44199" xr:uid="{00000000-0005-0000-0000-0000230E0000}"/>
    <cellStyle name="20% - Accent2 2 2 4 3 2 3" xfId="32898" xr:uid="{00000000-0005-0000-0000-0000240E0000}"/>
    <cellStyle name="20% - Accent2 2 2 4 3 3" xfId="15947" xr:uid="{00000000-0005-0000-0000-0000250E0000}"/>
    <cellStyle name="20% - Accent2 2 2 4 3 3 2" xfId="38549" xr:uid="{00000000-0005-0000-0000-0000260E0000}"/>
    <cellStyle name="20% - Accent2 2 2 4 3 4" xfId="27248" xr:uid="{00000000-0005-0000-0000-0000270E0000}"/>
    <cellStyle name="20% - Accent2 2 2 4 4" xfId="6833" xr:uid="{00000000-0005-0000-0000-0000280E0000}"/>
    <cellStyle name="20% - Accent2 2 2 4 4 2" xfId="18134" xr:uid="{00000000-0005-0000-0000-0000290E0000}"/>
    <cellStyle name="20% - Accent2 2 2 4 4 2 2" xfId="40736" xr:uid="{00000000-0005-0000-0000-00002A0E0000}"/>
    <cellStyle name="20% - Accent2 2 2 4 4 3" xfId="29435" xr:uid="{00000000-0005-0000-0000-00002B0E0000}"/>
    <cellStyle name="20% - Accent2 2 2 4 5" xfId="12484" xr:uid="{00000000-0005-0000-0000-00002C0E0000}"/>
    <cellStyle name="20% - Accent2 2 2 4 5 2" xfId="35086" xr:uid="{00000000-0005-0000-0000-00002D0E0000}"/>
    <cellStyle name="20% - Accent2 2 2 4 6" xfId="23785" xr:uid="{00000000-0005-0000-0000-00002E0E0000}"/>
    <cellStyle name="20% - Accent2 2 2 5" xfId="1527" xr:uid="{00000000-0005-0000-0000-00002F0E0000}"/>
    <cellStyle name="20% - Accent2 2 2 5 2" xfId="3454" xr:uid="{00000000-0005-0000-0000-0000300E0000}"/>
    <cellStyle name="20% - Accent2 2 2 5 2 2" xfId="9219" xr:uid="{00000000-0005-0000-0000-0000310E0000}"/>
    <cellStyle name="20% - Accent2 2 2 5 2 2 2" xfId="20520" xr:uid="{00000000-0005-0000-0000-0000320E0000}"/>
    <cellStyle name="20% - Accent2 2 2 5 2 2 2 2" xfId="43122" xr:uid="{00000000-0005-0000-0000-0000330E0000}"/>
    <cellStyle name="20% - Accent2 2 2 5 2 2 3" xfId="31821" xr:uid="{00000000-0005-0000-0000-0000340E0000}"/>
    <cellStyle name="20% - Accent2 2 2 5 2 3" xfId="14870" xr:uid="{00000000-0005-0000-0000-0000350E0000}"/>
    <cellStyle name="20% - Accent2 2 2 5 2 3 2" xfId="37472" xr:uid="{00000000-0005-0000-0000-0000360E0000}"/>
    <cellStyle name="20% - Accent2 2 2 5 2 4" xfId="26171" xr:uid="{00000000-0005-0000-0000-0000370E0000}"/>
    <cellStyle name="20% - Accent2 2 2 5 3" xfId="5256" xr:uid="{00000000-0005-0000-0000-0000380E0000}"/>
    <cellStyle name="20% - Accent2 2 2 5 3 2" xfId="10906" xr:uid="{00000000-0005-0000-0000-0000390E0000}"/>
    <cellStyle name="20% - Accent2 2 2 5 3 2 2" xfId="22207" xr:uid="{00000000-0005-0000-0000-00003A0E0000}"/>
    <cellStyle name="20% - Accent2 2 2 5 3 2 2 2" xfId="44809" xr:uid="{00000000-0005-0000-0000-00003B0E0000}"/>
    <cellStyle name="20% - Accent2 2 2 5 3 2 3" xfId="33508" xr:uid="{00000000-0005-0000-0000-00003C0E0000}"/>
    <cellStyle name="20% - Accent2 2 2 5 3 3" xfId="16557" xr:uid="{00000000-0005-0000-0000-00003D0E0000}"/>
    <cellStyle name="20% - Accent2 2 2 5 3 3 2" xfId="39159" xr:uid="{00000000-0005-0000-0000-00003E0E0000}"/>
    <cellStyle name="20% - Accent2 2 2 5 3 4" xfId="27858" xr:uid="{00000000-0005-0000-0000-00003F0E0000}"/>
    <cellStyle name="20% - Accent2 2 2 5 4" xfId="7383" xr:uid="{00000000-0005-0000-0000-0000400E0000}"/>
    <cellStyle name="20% - Accent2 2 2 5 4 2" xfId="18684" xr:uid="{00000000-0005-0000-0000-0000410E0000}"/>
    <cellStyle name="20% - Accent2 2 2 5 4 2 2" xfId="41286" xr:uid="{00000000-0005-0000-0000-0000420E0000}"/>
    <cellStyle name="20% - Accent2 2 2 5 4 3" xfId="29985" xr:uid="{00000000-0005-0000-0000-0000430E0000}"/>
    <cellStyle name="20% - Accent2 2 2 5 5" xfId="13034" xr:uid="{00000000-0005-0000-0000-0000440E0000}"/>
    <cellStyle name="20% - Accent2 2 2 5 5 2" xfId="35636" xr:uid="{00000000-0005-0000-0000-0000450E0000}"/>
    <cellStyle name="20% - Accent2 2 2 5 6" xfId="24335" xr:uid="{00000000-0005-0000-0000-0000460E0000}"/>
    <cellStyle name="20% - Accent2 2 2 6" xfId="2235" xr:uid="{00000000-0005-0000-0000-0000470E0000}"/>
    <cellStyle name="20% - Accent2 2 2 6 2" xfId="8071" xr:uid="{00000000-0005-0000-0000-0000480E0000}"/>
    <cellStyle name="20% - Accent2 2 2 6 2 2" xfId="19372" xr:uid="{00000000-0005-0000-0000-0000490E0000}"/>
    <cellStyle name="20% - Accent2 2 2 6 2 2 2" xfId="41974" xr:uid="{00000000-0005-0000-0000-00004A0E0000}"/>
    <cellStyle name="20% - Accent2 2 2 6 2 3" xfId="30673" xr:uid="{00000000-0005-0000-0000-00004B0E0000}"/>
    <cellStyle name="20% - Accent2 2 2 6 3" xfId="13722" xr:uid="{00000000-0005-0000-0000-00004C0E0000}"/>
    <cellStyle name="20% - Accent2 2 2 6 3 2" xfId="36324" xr:uid="{00000000-0005-0000-0000-00004D0E0000}"/>
    <cellStyle name="20% - Accent2 2 2 6 4" xfId="25023" xr:uid="{00000000-0005-0000-0000-00004E0E0000}"/>
    <cellStyle name="20% - Accent2 2 2 7" xfId="4022" xr:uid="{00000000-0005-0000-0000-00004F0E0000}"/>
    <cellStyle name="20% - Accent2 2 2 7 2" xfId="9672" xr:uid="{00000000-0005-0000-0000-0000500E0000}"/>
    <cellStyle name="20% - Accent2 2 2 7 2 2" xfId="20973" xr:uid="{00000000-0005-0000-0000-0000510E0000}"/>
    <cellStyle name="20% - Accent2 2 2 7 2 2 2" xfId="43575" xr:uid="{00000000-0005-0000-0000-0000520E0000}"/>
    <cellStyle name="20% - Accent2 2 2 7 2 3" xfId="32274" xr:uid="{00000000-0005-0000-0000-0000530E0000}"/>
    <cellStyle name="20% - Accent2 2 2 7 3" xfId="15323" xr:uid="{00000000-0005-0000-0000-0000540E0000}"/>
    <cellStyle name="20% - Accent2 2 2 7 3 2" xfId="37925" xr:uid="{00000000-0005-0000-0000-0000550E0000}"/>
    <cellStyle name="20% - Accent2 2 2 7 4" xfId="26624" xr:uid="{00000000-0005-0000-0000-0000560E0000}"/>
    <cellStyle name="20% - Accent2 2 2 8" xfId="6473" xr:uid="{00000000-0005-0000-0000-0000570E0000}"/>
    <cellStyle name="20% - Accent2 2 2 8 2" xfId="17774" xr:uid="{00000000-0005-0000-0000-0000580E0000}"/>
    <cellStyle name="20% - Accent2 2 2 8 2 2" xfId="40376" xr:uid="{00000000-0005-0000-0000-0000590E0000}"/>
    <cellStyle name="20% - Accent2 2 2 8 3" xfId="29075" xr:uid="{00000000-0005-0000-0000-00005A0E0000}"/>
    <cellStyle name="20% - Accent2 2 2 9" xfId="12124" xr:uid="{00000000-0005-0000-0000-00005B0E0000}"/>
    <cellStyle name="20% - Accent2 2 2 9 2" xfId="34726" xr:uid="{00000000-0005-0000-0000-00005C0E0000}"/>
    <cellStyle name="20% - Accent2 2 3" xfId="2753" xr:uid="{00000000-0005-0000-0000-00005D0E0000}"/>
    <cellStyle name="20% - Accent2 2 3 2" xfId="3479" xr:uid="{00000000-0005-0000-0000-00005E0E0000}"/>
    <cellStyle name="20% - Accent2 2 3 2 2" xfId="5768" xr:uid="{00000000-0005-0000-0000-00005F0E0000}"/>
    <cellStyle name="20% - Accent2 2 3 2 2 2" xfId="11418" xr:uid="{00000000-0005-0000-0000-0000600E0000}"/>
    <cellStyle name="20% - Accent2 2 3 2 2 2 2" xfId="22719" xr:uid="{00000000-0005-0000-0000-0000610E0000}"/>
    <cellStyle name="20% - Accent2 2 3 2 2 2 2 2" xfId="45321" xr:uid="{00000000-0005-0000-0000-0000620E0000}"/>
    <cellStyle name="20% - Accent2 2 3 2 2 2 3" xfId="34020" xr:uid="{00000000-0005-0000-0000-0000630E0000}"/>
    <cellStyle name="20% - Accent2 2 3 2 2 3" xfId="17069" xr:uid="{00000000-0005-0000-0000-0000640E0000}"/>
    <cellStyle name="20% - Accent2 2 3 2 2 3 2" xfId="39671" xr:uid="{00000000-0005-0000-0000-0000650E0000}"/>
    <cellStyle name="20% - Accent2 2 3 2 2 4" xfId="28370" xr:uid="{00000000-0005-0000-0000-0000660E0000}"/>
    <cellStyle name="20% - Accent2 2 3 2 3" xfId="9229" xr:uid="{00000000-0005-0000-0000-0000670E0000}"/>
    <cellStyle name="20% - Accent2 2 3 2 3 2" xfId="20530" xr:uid="{00000000-0005-0000-0000-0000680E0000}"/>
    <cellStyle name="20% - Accent2 2 3 2 3 2 2" xfId="43132" xr:uid="{00000000-0005-0000-0000-0000690E0000}"/>
    <cellStyle name="20% - Accent2 2 3 2 3 3" xfId="31831" xr:uid="{00000000-0005-0000-0000-00006A0E0000}"/>
    <cellStyle name="20% - Accent2 2 3 2 4" xfId="14880" xr:uid="{00000000-0005-0000-0000-00006B0E0000}"/>
    <cellStyle name="20% - Accent2 2 3 2 4 2" xfId="37482" xr:uid="{00000000-0005-0000-0000-00006C0E0000}"/>
    <cellStyle name="20% - Accent2 2 3 2 5" xfId="26181" xr:uid="{00000000-0005-0000-0000-00006D0E0000}"/>
    <cellStyle name="20% - Accent2 2 3 3" xfId="4534" xr:uid="{00000000-0005-0000-0000-00006E0E0000}"/>
    <cellStyle name="20% - Accent2 2 3 3 2" xfId="10184" xr:uid="{00000000-0005-0000-0000-00006F0E0000}"/>
    <cellStyle name="20% - Accent2 2 3 3 2 2" xfId="21485" xr:uid="{00000000-0005-0000-0000-0000700E0000}"/>
    <cellStyle name="20% - Accent2 2 3 3 2 2 2" xfId="44087" xr:uid="{00000000-0005-0000-0000-0000710E0000}"/>
    <cellStyle name="20% - Accent2 2 3 3 2 3" xfId="32786" xr:uid="{00000000-0005-0000-0000-0000720E0000}"/>
    <cellStyle name="20% - Accent2 2 3 3 3" xfId="15835" xr:uid="{00000000-0005-0000-0000-0000730E0000}"/>
    <cellStyle name="20% - Accent2 2 3 3 3 2" xfId="38437" xr:uid="{00000000-0005-0000-0000-0000740E0000}"/>
    <cellStyle name="20% - Accent2 2 3 3 4" xfId="27136" xr:uid="{00000000-0005-0000-0000-0000750E0000}"/>
    <cellStyle name="20% - Accent2 2 3 4" xfId="8586" xr:uid="{00000000-0005-0000-0000-0000760E0000}"/>
    <cellStyle name="20% - Accent2 2 3 4 2" xfId="19887" xr:uid="{00000000-0005-0000-0000-0000770E0000}"/>
    <cellStyle name="20% - Accent2 2 3 4 2 2" xfId="42489" xr:uid="{00000000-0005-0000-0000-0000780E0000}"/>
    <cellStyle name="20% - Accent2 2 3 4 3" xfId="31188" xr:uid="{00000000-0005-0000-0000-0000790E0000}"/>
    <cellStyle name="20% - Accent2 2 3 5" xfId="14237" xr:uid="{00000000-0005-0000-0000-00007A0E0000}"/>
    <cellStyle name="20% - Accent2 2 3 5 2" xfId="36839" xr:uid="{00000000-0005-0000-0000-00007B0E0000}"/>
    <cellStyle name="20% - Accent2 2 3 6" xfId="25538" xr:uid="{00000000-0005-0000-0000-00007C0E0000}"/>
    <cellStyle name="20% - Accent2 2 4" xfId="2778" xr:uid="{00000000-0005-0000-0000-00007D0E0000}"/>
    <cellStyle name="20% - Accent2 2 5" xfId="3845" xr:uid="{00000000-0005-0000-0000-00007E0E0000}"/>
    <cellStyle name="20% - Accent2 2 5 2" xfId="9544" xr:uid="{00000000-0005-0000-0000-00007F0E0000}"/>
    <cellStyle name="20% - Accent2 2 5 2 2" xfId="20845" xr:uid="{00000000-0005-0000-0000-0000800E0000}"/>
    <cellStyle name="20% - Accent2 2 5 2 2 2" xfId="43447" xr:uid="{00000000-0005-0000-0000-0000810E0000}"/>
    <cellStyle name="20% - Accent2 2 5 2 3" xfId="32146" xr:uid="{00000000-0005-0000-0000-0000820E0000}"/>
    <cellStyle name="20% - Accent2 2 5 3" xfId="15195" xr:uid="{00000000-0005-0000-0000-0000830E0000}"/>
    <cellStyle name="20% - Accent2 2 5 3 2" xfId="37797" xr:uid="{00000000-0005-0000-0000-0000840E0000}"/>
    <cellStyle name="20% - Accent2 2 5 4" xfId="26496" xr:uid="{00000000-0005-0000-0000-0000850E0000}"/>
    <cellStyle name="20% - Accent2 2 6" xfId="3659" xr:uid="{00000000-0005-0000-0000-0000860E0000}"/>
    <cellStyle name="20% - Accent2 3" xfId="154" xr:uid="{00000000-0005-0000-0000-0000870E0000}"/>
    <cellStyle name="20% - Accent2 3 2" xfId="284" xr:uid="{00000000-0005-0000-0000-0000880E0000}"/>
    <cellStyle name="20% - Accent2 3 2 10" xfId="23395" xr:uid="{00000000-0005-0000-0000-0000890E0000}"/>
    <cellStyle name="20% - Accent2 3 2 2" xfId="545" xr:uid="{00000000-0005-0000-0000-00008A0E0000}"/>
    <cellStyle name="20% - Accent2 3 2 2 2" xfId="1255" xr:uid="{00000000-0005-0000-0000-00008B0E0000}"/>
    <cellStyle name="20% - Accent2 3 2 2 2 2" xfId="1533" xr:uid="{00000000-0005-0000-0000-00008C0E0000}"/>
    <cellStyle name="20% - Accent2 3 2 2 2 2 2" xfId="3324" xr:uid="{00000000-0005-0000-0000-00008D0E0000}"/>
    <cellStyle name="20% - Accent2 3 2 2 2 2 2 2" xfId="6296" xr:uid="{00000000-0005-0000-0000-00008E0E0000}"/>
    <cellStyle name="20% - Accent2 3 2 2 2 2 2 2 2" xfId="11946" xr:uid="{00000000-0005-0000-0000-00008F0E0000}"/>
    <cellStyle name="20% - Accent2 3 2 2 2 2 2 2 2 2" xfId="23247" xr:uid="{00000000-0005-0000-0000-0000900E0000}"/>
    <cellStyle name="20% - Accent2 3 2 2 2 2 2 2 2 2 2" xfId="45849" xr:uid="{00000000-0005-0000-0000-0000910E0000}"/>
    <cellStyle name="20% - Accent2 3 2 2 2 2 2 2 2 3" xfId="34548" xr:uid="{00000000-0005-0000-0000-0000920E0000}"/>
    <cellStyle name="20% - Accent2 3 2 2 2 2 2 2 3" xfId="17597" xr:uid="{00000000-0005-0000-0000-0000930E0000}"/>
    <cellStyle name="20% - Accent2 3 2 2 2 2 2 2 3 2" xfId="40199" xr:uid="{00000000-0005-0000-0000-0000940E0000}"/>
    <cellStyle name="20% - Accent2 3 2 2 2 2 2 2 4" xfId="28898" xr:uid="{00000000-0005-0000-0000-0000950E0000}"/>
    <cellStyle name="20% - Accent2 3 2 2 2 2 2 3" xfId="9114" xr:uid="{00000000-0005-0000-0000-0000960E0000}"/>
    <cellStyle name="20% - Accent2 3 2 2 2 2 2 3 2" xfId="20415" xr:uid="{00000000-0005-0000-0000-0000970E0000}"/>
    <cellStyle name="20% - Accent2 3 2 2 2 2 2 3 2 2" xfId="43017" xr:uid="{00000000-0005-0000-0000-0000980E0000}"/>
    <cellStyle name="20% - Accent2 3 2 2 2 2 2 3 3" xfId="31716" xr:uid="{00000000-0005-0000-0000-0000990E0000}"/>
    <cellStyle name="20% - Accent2 3 2 2 2 2 2 4" xfId="14765" xr:uid="{00000000-0005-0000-0000-00009A0E0000}"/>
    <cellStyle name="20% - Accent2 3 2 2 2 2 2 4 2" xfId="37367" xr:uid="{00000000-0005-0000-0000-00009B0E0000}"/>
    <cellStyle name="20% - Accent2 3 2 2 2 2 2 5" xfId="26066" xr:uid="{00000000-0005-0000-0000-00009C0E0000}"/>
    <cellStyle name="20% - Accent2 3 2 2 2 2 3" xfId="5062" xr:uid="{00000000-0005-0000-0000-00009D0E0000}"/>
    <cellStyle name="20% - Accent2 3 2 2 2 2 3 2" xfId="10712" xr:uid="{00000000-0005-0000-0000-00009E0E0000}"/>
    <cellStyle name="20% - Accent2 3 2 2 2 2 3 2 2" xfId="22013" xr:uid="{00000000-0005-0000-0000-00009F0E0000}"/>
    <cellStyle name="20% - Accent2 3 2 2 2 2 3 2 2 2" xfId="44615" xr:uid="{00000000-0005-0000-0000-0000A00E0000}"/>
    <cellStyle name="20% - Accent2 3 2 2 2 2 3 2 3" xfId="33314" xr:uid="{00000000-0005-0000-0000-0000A10E0000}"/>
    <cellStyle name="20% - Accent2 3 2 2 2 2 3 3" xfId="16363" xr:uid="{00000000-0005-0000-0000-0000A20E0000}"/>
    <cellStyle name="20% - Accent2 3 2 2 2 2 3 3 2" xfId="38965" xr:uid="{00000000-0005-0000-0000-0000A30E0000}"/>
    <cellStyle name="20% - Accent2 3 2 2 2 2 3 4" xfId="27664" xr:uid="{00000000-0005-0000-0000-0000A40E0000}"/>
    <cellStyle name="20% - Accent2 3 2 2 2 2 4" xfId="7389" xr:uid="{00000000-0005-0000-0000-0000A50E0000}"/>
    <cellStyle name="20% - Accent2 3 2 2 2 2 4 2" xfId="18690" xr:uid="{00000000-0005-0000-0000-0000A60E0000}"/>
    <cellStyle name="20% - Accent2 3 2 2 2 2 4 2 2" xfId="41292" xr:uid="{00000000-0005-0000-0000-0000A70E0000}"/>
    <cellStyle name="20% - Accent2 3 2 2 2 2 4 3" xfId="29991" xr:uid="{00000000-0005-0000-0000-0000A80E0000}"/>
    <cellStyle name="20% - Accent2 3 2 2 2 2 5" xfId="13040" xr:uid="{00000000-0005-0000-0000-0000A90E0000}"/>
    <cellStyle name="20% - Accent2 3 2 2 2 2 5 2" xfId="35642" xr:uid="{00000000-0005-0000-0000-0000AA0E0000}"/>
    <cellStyle name="20% - Accent2 3 2 2 2 2 6" xfId="24341" xr:uid="{00000000-0005-0000-0000-0000AB0E0000}"/>
    <cellStyle name="20% - Accent2 3 2 2 2 3" xfId="2653" xr:uid="{00000000-0005-0000-0000-0000AC0E0000}"/>
    <cellStyle name="20% - Accent2 3 2 2 2 3 2" xfId="5672" xr:uid="{00000000-0005-0000-0000-0000AD0E0000}"/>
    <cellStyle name="20% - Accent2 3 2 2 2 3 2 2" xfId="11322" xr:uid="{00000000-0005-0000-0000-0000AE0E0000}"/>
    <cellStyle name="20% - Accent2 3 2 2 2 3 2 2 2" xfId="22623" xr:uid="{00000000-0005-0000-0000-0000AF0E0000}"/>
    <cellStyle name="20% - Accent2 3 2 2 2 3 2 2 2 2" xfId="45225" xr:uid="{00000000-0005-0000-0000-0000B00E0000}"/>
    <cellStyle name="20% - Accent2 3 2 2 2 3 2 2 3" xfId="33924" xr:uid="{00000000-0005-0000-0000-0000B10E0000}"/>
    <cellStyle name="20% - Accent2 3 2 2 2 3 2 3" xfId="16973" xr:uid="{00000000-0005-0000-0000-0000B20E0000}"/>
    <cellStyle name="20% - Accent2 3 2 2 2 3 2 3 2" xfId="39575" xr:uid="{00000000-0005-0000-0000-0000B30E0000}"/>
    <cellStyle name="20% - Accent2 3 2 2 2 3 2 4" xfId="28274" xr:uid="{00000000-0005-0000-0000-0000B40E0000}"/>
    <cellStyle name="20% - Accent2 3 2 2 2 3 3" xfId="8489" xr:uid="{00000000-0005-0000-0000-0000B50E0000}"/>
    <cellStyle name="20% - Accent2 3 2 2 2 3 3 2" xfId="19790" xr:uid="{00000000-0005-0000-0000-0000B60E0000}"/>
    <cellStyle name="20% - Accent2 3 2 2 2 3 3 2 2" xfId="42392" xr:uid="{00000000-0005-0000-0000-0000B70E0000}"/>
    <cellStyle name="20% - Accent2 3 2 2 2 3 3 3" xfId="31091" xr:uid="{00000000-0005-0000-0000-0000B80E0000}"/>
    <cellStyle name="20% - Accent2 3 2 2 2 3 4" xfId="14140" xr:uid="{00000000-0005-0000-0000-0000B90E0000}"/>
    <cellStyle name="20% - Accent2 3 2 2 2 3 4 2" xfId="36742" xr:uid="{00000000-0005-0000-0000-0000BA0E0000}"/>
    <cellStyle name="20% - Accent2 3 2 2 2 3 5" xfId="25441" xr:uid="{00000000-0005-0000-0000-0000BB0E0000}"/>
    <cellStyle name="20% - Accent2 3 2 2 2 4" xfId="4438" xr:uid="{00000000-0005-0000-0000-0000BC0E0000}"/>
    <cellStyle name="20% - Accent2 3 2 2 2 4 2" xfId="10088" xr:uid="{00000000-0005-0000-0000-0000BD0E0000}"/>
    <cellStyle name="20% - Accent2 3 2 2 2 4 2 2" xfId="21389" xr:uid="{00000000-0005-0000-0000-0000BE0E0000}"/>
    <cellStyle name="20% - Accent2 3 2 2 2 4 2 2 2" xfId="43991" xr:uid="{00000000-0005-0000-0000-0000BF0E0000}"/>
    <cellStyle name="20% - Accent2 3 2 2 2 4 2 3" xfId="32690" xr:uid="{00000000-0005-0000-0000-0000C00E0000}"/>
    <cellStyle name="20% - Accent2 3 2 2 2 4 3" xfId="15739" xr:uid="{00000000-0005-0000-0000-0000C10E0000}"/>
    <cellStyle name="20% - Accent2 3 2 2 2 4 3 2" xfId="38341" xr:uid="{00000000-0005-0000-0000-0000C20E0000}"/>
    <cellStyle name="20% - Accent2 3 2 2 2 4 4" xfId="27040" xr:uid="{00000000-0005-0000-0000-0000C30E0000}"/>
    <cellStyle name="20% - Accent2 3 2 2 2 5" xfId="7234" xr:uid="{00000000-0005-0000-0000-0000C40E0000}"/>
    <cellStyle name="20% - Accent2 3 2 2 2 5 2" xfId="18535" xr:uid="{00000000-0005-0000-0000-0000C50E0000}"/>
    <cellStyle name="20% - Accent2 3 2 2 2 5 2 2" xfId="41137" xr:uid="{00000000-0005-0000-0000-0000C60E0000}"/>
    <cellStyle name="20% - Accent2 3 2 2 2 5 3" xfId="29836" xr:uid="{00000000-0005-0000-0000-0000C70E0000}"/>
    <cellStyle name="20% - Accent2 3 2 2 2 6" xfId="12885" xr:uid="{00000000-0005-0000-0000-0000C80E0000}"/>
    <cellStyle name="20% - Accent2 3 2 2 2 6 2" xfId="35487" xr:uid="{00000000-0005-0000-0000-0000C90E0000}"/>
    <cellStyle name="20% - Accent2 3 2 2 2 7" xfId="24186" xr:uid="{00000000-0005-0000-0000-0000CA0E0000}"/>
    <cellStyle name="20% - Accent2 3 2 2 3" xfId="953" xr:uid="{00000000-0005-0000-0000-0000CB0E0000}"/>
    <cellStyle name="20% - Accent2 3 2 2 3 2" xfId="3016" xr:uid="{00000000-0005-0000-0000-0000CC0E0000}"/>
    <cellStyle name="20% - Accent2 3 2 2 3 2 2" xfId="5988" xr:uid="{00000000-0005-0000-0000-0000CD0E0000}"/>
    <cellStyle name="20% - Accent2 3 2 2 3 2 2 2" xfId="11638" xr:uid="{00000000-0005-0000-0000-0000CE0E0000}"/>
    <cellStyle name="20% - Accent2 3 2 2 3 2 2 2 2" xfId="22939" xr:uid="{00000000-0005-0000-0000-0000CF0E0000}"/>
    <cellStyle name="20% - Accent2 3 2 2 3 2 2 2 2 2" xfId="45541" xr:uid="{00000000-0005-0000-0000-0000D00E0000}"/>
    <cellStyle name="20% - Accent2 3 2 2 3 2 2 2 3" xfId="34240" xr:uid="{00000000-0005-0000-0000-0000D10E0000}"/>
    <cellStyle name="20% - Accent2 3 2 2 3 2 2 3" xfId="17289" xr:uid="{00000000-0005-0000-0000-0000D20E0000}"/>
    <cellStyle name="20% - Accent2 3 2 2 3 2 2 3 2" xfId="39891" xr:uid="{00000000-0005-0000-0000-0000D30E0000}"/>
    <cellStyle name="20% - Accent2 3 2 2 3 2 2 4" xfId="28590" xr:uid="{00000000-0005-0000-0000-0000D40E0000}"/>
    <cellStyle name="20% - Accent2 3 2 2 3 2 3" xfId="8806" xr:uid="{00000000-0005-0000-0000-0000D50E0000}"/>
    <cellStyle name="20% - Accent2 3 2 2 3 2 3 2" xfId="20107" xr:uid="{00000000-0005-0000-0000-0000D60E0000}"/>
    <cellStyle name="20% - Accent2 3 2 2 3 2 3 2 2" xfId="42709" xr:uid="{00000000-0005-0000-0000-0000D70E0000}"/>
    <cellStyle name="20% - Accent2 3 2 2 3 2 3 3" xfId="31408" xr:uid="{00000000-0005-0000-0000-0000D80E0000}"/>
    <cellStyle name="20% - Accent2 3 2 2 3 2 4" xfId="14457" xr:uid="{00000000-0005-0000-0000-0000D90E0000}"/>
    <cellStyle name="20% - Accent2 3 2 2 3 2 4 2" xfId="37059" xr:uid="{00000000-0005-0000-0000-0000DA0E0000}"/>
    <cellStyle name="20% - Accent2 3 2 2 3 2 5" xfId="25758" xr:uid="{00000000-0005-0000-0000-0000DB0E0000}"/>
    <cellStyle name="20% - Accent2 3 2 2 3 3" xfId="4754" xr:uid="{00000000-0005-0000-0000-0000DC0E0000}"/>
    <cellStyle name="20% - Accent2 3 2 2 3 3 2" xfId="10404" xr:uid="{00000000-0005-0000-0000-0000DD0E0000}"/>
    <cellStyle name="20% - Accent2 3 2 2 3 3 2 2" xfId="21705" xr:uid="{00000000-0005-0000-0000-0000DE0E0000}"/>
    <cellStyle name="20% - Accent2 3 2 2 3 3 2 2 2" xfId="44307" xr:uid="{00000000-0005-0000-0000-0000DF0E0000}"/>
    <cellStyle name="20% - Accent2 3 2 2 3 3 2 3" xfId="33006" xr:uid="{00000000-0005-0000-0000-0000E00E0000}"/>
    <cellStyle name="20% - Accent2 3 2 2 3 3 3" xfId="16055" xr:uid="{00000000-0005-0000-0000-0000E10E0000}"/>
    <cellStyle name="20% - Accent2 3 2 2 3 3 3 2" xfId="38657" xr:uid="{00000000-0005-0000-0000-0000E20E0000}"/>
    <cellStyle name="20% - Accent2 3 2 2 3 3 4" xfId="27356" xr:uid="{00000000-0005-0000-0000-0000E30E0000}"/>
    <cellStyle name="20% - Accent2 3 2 2 3 4" xfId="6941" xr:uid="{00000000-0005-0000-0000-0000E40E0000}"/>
    <cellStyle name="20% - Accent2 3 2 2 3 4 2" xfId="18242" xr:uid="{00000000-0005-0000-0000-0000E50E0000}"/>
    <cellStyle name="20% - Accent2 3 2 2 3 4 2 2" xfId="40844" xr:uid="{00000000-0005-0000-0000-0000E60E0000}"/>
    <cellStyle name="20% - Accent2 3 2 2 3 4 3" xfId="29543" xr:uid="{00000000-0005-0000-0000-0000E70E0000}"/>
    <cellStyle name="20% - Accent2 3 2 2 3 5" xfId="12592" xr:uid="{00000000-0005-0000-0000-0000E80E0000}"/>
    <cellStyle name="20% - Accent2 3 2 2 3 5 2" xfId="35194" xr:uid="{00000000-0005-0000-0000-0000E90E0000}"/>
    <cellStyle name="20% - Accent2 3 2 2 3 6" xfId="23893" xr:uid="{00000000-0005-0000-0000-0000EA0E0000}"/>
    <cellStyle name="20% - Accent2 3 2 2 4" xfId="1532" xr:uid="{00000000-0005-0000-0000-0000EB0E0000}"/>
    <cellStyle name="20% - Accent2 3 2 2 4 2" xfId="3505" xr:uid="{00000000-0005-0000-0000-0000EC0E0000}"/>
    <cellStyle name="20% - Accent2 3 2 2 4 2 2" xfId="9239" xr:uid="{00000000-0005-0000-0000-0000ED0E0000}"/>
    <cellStyle name="20% - Accent2 3 2 2 4 2 2 2" xfId="20540" xr:uid="{00000000-0005-0000-0000-0000EE0E0000}"/>
    <cellStyle name="20% - Accent2 3 2 2 4 2 2 2 2" xfId="43142" xr:uid="{00000000-0005-0000-0000-0000EF0E0000}"/>
    <cellStyle name="20% - Accent2 3 2 2 4 2 2 3" xfId="31841" xr:uid="{00000000-0005-0000-0000-0000F00E0000}"/>
    <cellStyle name="20% - Accent2 3 2 2 4 2 3" xfId="14890" xr:uid="{00000000-0005-0000-0000-0000F10E0000}"/>
    <cellStyle name="20% - Accent2 3 2 2 4 2 3 2" xfId="37492" xr:uid="{00000000-0005-0000-0000-0000F20E0000}"/>
    <cellStyle name="20% - Accent2 3 2 2 4 2 4" xfId="26191" xr:uid="{00000000-0005-0000-0000-0000F30E0000}"/>
    <cellStyle name="20% - Accent2 3 2 2 4 3" xfId="5364" xr:uid="{00000000-0005-0000-0000-0000F40E0000}"/>
    <cellStyle name="20% - Accent2 3 2 2 4 3 2" xfId="11014" xr:uid="{00000000-0005-0000-0000-0000F50E0000}"/>
    <cellStyle name="20% - Accent2 3 2 2 4 3 2 2" xfId="22315" xr:uid="{00000000-0005-0000-0000-0000F60E0000}"/>
    <cellStyle name="20% - Accent2 3 2 2 4 3 2 2 2" xfId="44917" xr:uid="{00000000-0005-0000-0000-0000F70E0000}"/>
    <cellStyle name="20% - Accent2 3 2 2 4 3 2 3" xfId="33616" xr:uid="{00000000-0005-0000-0000-0000F80E0000}"/>
    <cellStyle name="20% - Accent2 3 2 2 4 3 3" xfId="16665" xr:uid="{00000000-0005-0000-0000-0000F90E0000}"/>
    <cellStyle name="20% - Accent2 3 2 2 4 3 3 2" xfId="39267" xr:uid="{00000000-0005-0000-0000-0000FA0E0000}"/>
    <cellStyle name="20% - Accent2 3 2 2 4 3 4" xfId="27966" xr:uid="{00000000-0005-0000-0000-0000FB0E0000}"/>
    <cellStyle name="20% - Accent2 3 2 2 4 4" xfId="7388" xr:uid="{00000000-0005-0000-0000-0000FC0E0000}"/>
    <cellStyle name="20% - Accent2 3 2 2 4 4 2" xfId="18689" xr:uid="{00000000-0005-0000-0000-0000FD0E0000}"/>
    <cellStyle name="20% - Accent2 3 2 2 4 4 2 2" xfId="41291" xr:uid="{00000000-0005-0000-0000-0000FE0E0000}"/>
    <cellStyle name="20% - Accent2 3 2 2 4 4 3" xfId="29990" xr:uid="{00000000-0005-0000-0000-0000FF0E0000}"/>
    <cellStyle name="20% - Accent2 3 2 2 4 5" xfId="13039" xr:uid="{00000000-0005-0000-0000-0000000F0000}"/>
    <cellStyle name="20% - Accent2 3 2 2 4 5 2" xfId="35641" xr:uid="{00000000-0005-0000-0000-0000010F0000}"/>
    <cellStyle name="20% - Accent2 3 2 2 4 6" xfId="24340" xr:uid="{00000000-0005-0000-0000-0000020F0000}"/>
    <cellStyle name="20% - Accent2 3 2 2 5" xfId="2345" xr:uid="{00000000-0005-0000-0000-0000030F0000}"/>
    <cellStyle name="20% - Accent2 3 2 2 5 2" xfId="8181" xr:uid="{00000000-0005-0000-0000-0000040F0000}"/>
    <cellStyle name="20% - Accent2 3 2 2 5 2 2" xfId="19482" xr:uid="{00000000-0005-0000-0000-0000050F0000}"/>
    <cellStyle name="20% - Accent2 3 2 2 5 2 2 2" xfId="42084" xr:uid="{00000000-0005-0000-0000-0000060F0000}"/>
    <cellStyle name="20% - Accent2 3 2 2 5 2 3" xfId="30783" xr:uid="{00000000-0005-0000-0000-0000070F0000}"/>
    <cellStyle name="20% - Accent2 3 2 2 5 3" xfId="13832" xr:uid="{00000000-0005-0000-0000-0000080F0000}"/>
    <cellStyle name="20% - Accent2 3 2 2 5 3 2" xfId="36434" xr:uid="{00000000-0005-0000-0000-0000090F0000}"/>
    <cellStyle name="20% - Accent2 3 2 2 5 4" xfId="25133" xr:uid="{00000000-0005-0000-0000-00000A0F0000}"/>
    <cellStyle name="20% - Accent2 3 2 2 6" xfId="4130" xr:uid="{00000000-0005-0000-0000-00000B0F0000}"/>
    <cellStyle name="20% - Accent2 3 2 2 6 2" xfId="9780" xr:uid="{00000000-0005-0000-0000-00000C0F0000}"/>
    <cellStyle name="20% - Accent2 3 2 2 6 2 2" xfId="21081" xr:uid="{00000000-0005-0000-0000-00000D0F0000}"/>
    <cellStyle name="20% - Accent2 3 2 2 6 2 2 2" xfId="43683" xr:uid="{00000000-0005-0000-0000-00000E0F0000}"/>
    <cellStyle name="20% - Accent2 3 2 2 6 2 3" xfId="32382" xr:uid="{00000000-0005-0000-0000-00000F0F0000}"/>
    <cellStyle name="20% - Accent2 3 2 2 6 3" xfId="15431" xr:uid="{00000000-0005-0000-0000-0000100F0000}"/>
    <cellStyle name="20% - Accent2 3 2 2 6 3 2" xfId="38033" xr:uid="{00000000-0005-0000-0000-0000110F0000}"/>
    <cellStyle name="20% - Accent2 3 2 2 6 4" xfId="26732" xr:uid="{00000000-0005-0000-0000-0000120F0000}"/>
    <cellStyle name="20% - Accent2 3 2 2 7" xfId="6610" xr:uid="{00000000-0005-0000-0000-0000130F0000}"/>
    <cellStyle name="20% - Accent2 3 2 2 7 2" xfId="17911" xr:uid="{00000000-0005-0000-0000-0000140F0000}"/>
    <cellStyle name="20% - Accent2 3 2 2 7 2 2" xfId="40513" xr:uid="{00000000-0005-0000-0000-0000150F0000}"/>
    <cellStyle name="20% - Accent2 3 2 2 7 3" xfId="29212" xr:uid="{00000000-0005-0000-0000-0000160F0000}"/>
    <cellStyle name="20% - Accent2 3 2 2 8" xfId="12261" xr:uid="{00000000-0005-0000-0000-0000170F0000}"/>
    <cellStyle name="20% - Accent2 3 2 2 8 2" xfId="34863" xr:uid="{00000000-0005-0000-0000-0000180F0000}"/>
    <cellStyle name="20% - Accent2 3 2 2 9" xfId="23562" xr:uid="{00000000-0005-0000-0000-0000190F0000}"/>
    <cellStyle name="20% - Accent2 3 2 3" xfId="1117" xr:uid="{00000000-0005-0000-0000-00001A0F0000}"/>
    <cellStyle name="20% - Accent2 3 2 3 2" xfId="1534" xr:uid="{00000000-0005-0000-0000-00001B0F0000}"/>
    <cellStyle name="20% - Accent2 3 2 3 2 2" xfId="3185" xr:uid="{00000000-0005-0000-0000-00001C0F0000}"/>
    <cellStyle name="20% - Accent2 3 2 3 2 2 2" xfId="6157" xr:uid="{00000000-0005-0000-0000-00001D0F0000}"/>
    <cellStyle name="20% - Accent2 3 2 3 2 2 2 2" xfId="11807" xr:uid="{00000000-0005-0000-0000-00001E0F0000}"/>
    <cellStyle name="20% - Accent2 3 2 3 2 2 2 2 2" xfId="23108" xr:uid="{00000000-0005-0000-0000-00001F0F0000}"/>
    <cellStyle name="20% - Accent2 3 2 3 2 2 2 2 2 2" xfId="45710" xr:uid="{00000000-0005-0000-0000-0000200F0000}"/>
    <cellStyle name="20% - Accent2 3 2 3 2 2 2 2 3" xfId="34409" xr:uid="{00000000-0005-0000-0000-0000210F0000}"/>
    <cellStyle name="20% - Accent2 3 2 3 2 2 2 3" xfId="17458" xr:uid="{00000000-0005-0000-0000-0000220F0000}"/>
    <cellStyle name="20% - Accent2 3 2 3 2 2 2 3 2" xfId="40060" xr:uid="{00000000-0005-0000-0000-0000230F0000}"/>
    <cellStyle name="20% - Accent2 3 2 3 2 2 2 4" xfId="28759" xr:uid="{00000000-0005-0000-0000-0000240F0000}"/>
    <cellStyle name="20% - Accent2 3 2 3 2 2 3" xfId="8975" xr:uid="{00000000-0005-0000-0000-0000250F0000}"/>
    <cellStyle name="20% - Accent2 3 2 3 2 2 3 2" xfId="20276" xr:uid="{00000000-0005-0000-0000-0000260F0000}"/>
    <cellStyle name="20% - Accent2 3 2 3 2 2 3 2 2" xfId="42878" xr:uid="{00000000-0005-0000-0000-0000270F0000}"/>
    <cellStyle name="20% - Accent2 3 2 3 2 2 3 3" xfId="31577" xr:uid="{00000000-0005-0000-0000-0000280F0000}"/>
    <cellStyle name="20% - Accent2 3 2 3 2 2 4" xfId="14626" xr:uid="{00000000-0005-0000-0000-0000290F0000}"/>
    <cellStyle name="20% - Accent2 3 2 3 2 2 4 2" xfId="37228" xr:uid="{00000000-0005-0000-0000-00002A0F0000}"/>
    <cellStyle name="20% - Accent2 3 2 3 2 2 5" xfId="25927" xr:uid="{00000000-0005-0000-0000-00002B0F0000}"/>
    <cellStyle name="20% - Accent2 3 2 3 2 3" xfId="4923" xr:uid="{00000000-0005-0000-0000-00002C0F0000}"/>
    <cellStyle name="20% - Accent2 3 2 3 2 3 2" xfId="10573" xr:uid="{00000000-0005-0000-0000-00002D0F0000}"/>
    <cellStyle name="20% - Accent2 3 2 3 2 3 2 2" xfId="21874" xr:uid="{00000000-0005-0000-0000-00002E0F0000}"/>
    <cellStyle name="20% - Accent2 3 2 3 2 3 2 2 2" xfId="44476" xr:uid="{00000000-0005-0000-0000-00002F0F0000}"/>
    <cellStyle name="20% - Accent2 3 2 3 2 3 2 3" xfId="33175" xr:uid="{00000000-0005-0000-0000-0000300F0000}"/>
    <cellStyle name="20% - Accent2 3 2 3 2 3 3" xfId="16224" xr:uid="{00000000-0005-0000-0000-0000310F0000}"/>
    <cellStyle name="20% - Accent2 3 2 3 2 3 3 2" xfId="38826" xr:uid="{00000000-0005-0000-0000-0000320F0000}"/>
    <cellStyle name="20% - Accent2 3 2 3 2 3 4" xfId="27525" xr:uid="{00000000-0005-0000-0000-0000330F0000}"/>
    <cellStyle name="20% - Accent2 3 2 3 2 4" xfId="7390" xr:uid="{00000000-0005-0000-0000-0000340F0000}"/>
    <cellStyle name="20% - Accent2 3 2 3 2 4 2" xfId="18691" xr:uid="{00000000-0005-0000-0000-0000350F0000}"/>
    <cellStyle name="20% - Accent2 3 2 3 2 4 2 2" xfId="41293" xr:uid="{00000000-0005-0000-0000-0000360F0000}"/>
    <cellStyle name="20% - Accent2 3 2 3 2 4 3" xfId="29992" xr:uid="{00000000-0005-0000-0000-0000370F0000}"/>
    <cellStyle name="20% - Accent2 3 2 3 2 5" xfId="13041" xr:uid="{00000000-0005-0000-0000-0000380F0000}"/>
    <cellStyle name="20% - Accent2 3 2 3 2 5 2" xfId="35643" xr:uid="{00000000-0005-0000-0000-0000390F0000}"/>
    <cellStyle name="20% - Accent2 3 2 3 2 6" xfId="24342" xr:uid="{00000000-0005-0000-0000-00003A0F0000}"/>
    <cellStyle name="20% - Accent2 3 2 3 3" xfId="2514" xr:uid="{00000000-0005-0000-0000-00003B0F0000}"/>
    <cellStyle name="20% - Accent2 3 2 3 3 2" xfId="5533" xr:uid="{00000000-0005-0000-0000-00003C0F0000}"/>
    <cellStyle name="20% - Accent2 3 2 3 3 2 2" xfId="11183" xr:uid="{00000000-0005-0000-0000-00003D0F0000}"/>
    <cellStyle name="20% - Accent2 3 2 3 3 2 2 2" xfId="22484" xr:uid="{00000000-0005-0000-0000-00003E0F0000}"/>
    <cellStyle name="20% - Accent2 3 2 3 3 2 2 2 2" xfId="45086" xr:uid="{00000000-0005-0000-0000-00003F0F0000}"/>
    <cellStyle name="20% - Accent2 3 2 3 3 2 2 3" xfId="33785" xr:uid="{00000000-0005-0000-0000-0000400F0000}"/>
    <cellStyle name="20% - Accent2 3 2 3 3 2 3" xfId="16834" xr:uid="{00000000-0005-0000-0000-0000410F0000}"/>
    <cellStyle name="20% - Accent2 3 2 3 3 2 3 2" xfId="39436" xr:uid="{00000000-0005-0000-0000-0000420F0000}"/>
    <cellStyle name="20% - Accent2 3 2 3 3 2 4" xfId="28135" xr:uid="{00000000-0005-0000-0000-0000430F0000}"/>
    <cellStyle name="20% - Accent2 3 2 3 3 3" xfId="8350" xr:uid="{00000000-0005-0000-0000-0000440F0000}"/>
    <cellStyle name="20% - Accent2 3 2 3 3 3 2" xfId="19651" xr:uid="{00000000-0005-0000-0000-0000450F0000}"/>
    <cellStyle name="20% - Accent2 3 2 3 3 3 2 2" xfId="42253" xr:uid="{00000000-0005-0000-0000-0000460F0000}"/>
    <cellStyle name="20% - Accent2 3 2 3 3 3 3" xfId="30952" xr:uid="{00000000-0005-0000-0000-0000470F0000}"/>
    <cellStyle name="20% - Accent2 3 2 3 3 4" xfId="14001" xr:uid="{00000000-0005-0000-0000-0000480F0000}"/>
    <cellStyle name="20% - Accent2 3 2 3 3 4 2" xfId="36603" xr:uid="{00000000-0005-0000-0000-0000490F0000}"/>
    <cellStyle name="20% - Accent2 3 2 3 3 5" xfId="25302" xr:uid="{00000000-0005-0000-0000-00004A0F0000}"/>
    <cellStyle name="20% - Accent2 3 2 3 4" xfId="4299" xr:uid="{00000000-0005-0000-0000-00004B0F0000}"/>
    <cellStyle name="20% - Accent2 3 2 3 4 2" xfId="9949" xr:uid="{00000000-0005-0000-0000-00004C0F0000}"/>
    <cellStyle name="20% - Accent2 3 2 3 4 2 2" xfId="21250" xr:uid="{00000000-0005-0000-0000-00004D0F0000}"/>
    <cellStyle name="20% - Accent2 3 2 3 4 2 2 2" xfId="43852" xr:uid="{00000000-0005-0000-0000-00004E0F0000}"/>
    <cellStyle name="20% - Accent2 3 2 3 4 2 3" xfId="32551" xr:uid="{00000000-0005-0000-0000-00004F0F0000}"/>
    <cellStyle name="20% - Accent2 3 2 3 4 3" xfId="15600" xr:uid="{00000000-0005-0000-0000-0000500F0000}"/>
    <cellStyle name="20% - Accent2 3 2 3 4 3 2" xfId="38202" xr:uid="{00000000-0005-0000-0000-0000510F0000}"/>
    <cellStyle name="20% - Accent2 3 2 3 4 4" xfId="26901" xr:uid="{00000000-0005-0000-0000-0000520F0000}"/>
    <cellStyle name="20% - Accent2 3 2 3 5" xfId="7096" xr:uid="{00000000-0005-0000-0000-0000530F0000}"/>
    <cellStyle name="20% - Accent2 3 2 3 5 2" xfId="18397" xr:uid="{00000000-0005-0000-0000-0000540F0000}"/>
    <cellStyle name="20% - Accent2 3 2 3 5 2 2" xfId="40999" xr:uid="{00000000-0005-0000-0000-0000550F0000}"/>
    <cellStyle name="20% - Accent2 3 2 3 5 3" xfId="29698" xr:uid="{00000000-0005-0000-0000-0000560F0000}"/>
    <cellStyle name="20% - Accent2 3 2 3 6" xfId="12747" xr:uid="{00000000-0005-0000-0000-0000570F0000}"/>
    <cellStyle name="20% - Accent2 3 2 3 6 2" xfId="35349" xr:uid="{00000000-0005-0000-0000-0000580F0000}"/>
    <cellStyle name="20% - Accent2 3 2 3 7" xfId="24048" xr:uid="{00000000-0005-0000-0000-0000590F0000}"/>
    <cellStyle name="20% - Accent2 3 2 4" xfId="806" xr:uid="{00000000-0005-0000-0000-00005A0F0000}"/>
    <cellStyle name="20% - Accent2 3 2 4 2" xfId="2878" xr:uid="{00000000-0005-0000-0000-00005B0F0000}"/>
    <cellStyle name="20% - Accent2 3 2 4 2 2" xfId="5850" xr:uid="{00000000-0005-0000-0000-00005C0F0000}"/>
    <cellStyle name="20% - Accent2 3 2 4 2 2 2" xfId="11500" xr:uid="{00000000-0005-0000-0000-00005D0F0000}"/>
    <cellStyle name="20% - Accent2 3 2 4 2 2 2 2" xfId="22801" xr:uid="{00000000-0005-0000-0000-00005E0F0000}"/>
    <cellStyle name="20% - Accent2 3 2 4 2 2 2 2 2" xfId="45403" xr:uid="{00000000-0005-0000-0000-00005F0F0000}"/>
    <cellStyle name="20% - Accent2 3 2 4 2 2 2 3" xfId="34102" xr:uid="{00000000-0005-0000-0000-0000600F0000}"/>
    <cellStyle name="20% - Accent2 3 2 4 2 2 3" xfId="17151" xr:uid="{00000000-0005-0000-0000-0000610F0000}"/>
    <cellStyle name="20% - Accent2 3 2 4 2 2 3 2" xfId="39753" xr:uid="{00000000-0005-0000-0000-0000620F0000}"/>
    <cellStyle name="20% - Accent2 3 2 4 2 2 4" xfId="28452" xr:uid="{00000000-0005-0000-0000-0000630F0000}"/>
    <cellStyle name="20% - Accent2 3 2 4 2 3" xfId="8668" xr:uid="{00000000-0005-0000-0000-0000640F0000}"/>
    <cellStyle name="20% - Accent2 3 2 4 2 3 2" xfId="19969" xr:uid="{00000000-0005-0000-0000-0000650F0000}"/>
    <cellStyle name="20% - Accent2 3 2 4 2 3 2 2" xfId="42571" xr:uid="{00000000-0005-0000-0000-0000660F0000}"/>
    <cellStyle name="20% - Accent2 3 2 4 2 3 3" xfId="31270" xr:uid="{00000000-0005-0000-0000-0000670F0000}"/>
    <cellStyle name="20% - Accent2 3 2 4 2 4" xfId="14319" xr:uid="{00000000-0005-0000-0000-0000680F0000}"/>
    <cellStyle name="20% - Accent2 3 2 4 2 4 2" xfId="36921" xr:uid="{00000000-0005-0000-0000-0000690F0000}"/>
    <cellStyle name="20% - Accent2 3 2 4 2 5" xfId="25620" xr:uid="{00000000-0005-0000-0000-00006A0F0000}"/>
    <cellStyle name="20% - Accent2 3 2 4 3" xfId="4616" xr:uid="{00000000-0005-0000-0000-00006B0F0000}"/>
    <cellStyle name="20% - Accent2 3 2 4 3 2" xfId="10266" xr:uid="{00000000-0005-0000-0000-00006C0F0000}"/>
    <cellStyle name="20% - Accent2 3 2 4 3 2 2" xfId="21567" xr:uid="{00000000-0005-0000-0000-00006D0F0000}"/>
    <cellStyle name="20% - Accent2 3 2 4 3 2 2 2" xfId="44169" xr:uid="{00000000-0005-0000-0000-00006E0F0000}"/>
    <cellStyle name="20% - Accent2 3 2 4 3 2 3" xfId="32868" xr:uid="{00000000-0005-0000-0000-00006F0F0000}"/>
    <cellStyle name="20% - Accent2 3 2 4 3 3" xfId="15917" xr:uid="{00000000-0005-0000-0000-0000700F0000}"/>
    <cellStyle name="20% - Accent2 3 2 4 3 3 2" xfId="38519" xr:uid="{00000000-0005-0000-0000-0000710F0000}"/>
    <cellStyle name="20% - Accent2 3 2 4 3 4" xfId="27218" xr:uid="{00000000-0005-0000-0000-0000720F0000}"/>
    <cellStyle name="20% - Accent2 3 2 4 4" xfId="6803" xr:uid="{00000000-0005-0000-0000-0000730F0000}"/>
    <cellStyle name="20% - Accent2 3 2 4 4 2" xfId="18104" xr:uid="{00000000-0005-0000-0000-0000740F0000}"/>
    <cellStyle name="20% - Accent2 3 2 4 4 2 2" xfId="40706" xr:uid="{00000000-0005-0000-0000-0000750F0000}"/>
    <cellStyle name="20% - Accent2 3 2 4 4 3" xfId="29405" xr:uid="{00000000-0005-0000-0000-0000760F0000}"/>
    <cellStyle name="20% - Accent2 3 2 4 5" xfId="12454" xr:uid="{00000000-0005-0000-0000-0000770F0000}"/>
    <cellStyle name="20% - Accent2 3 2 4 5 2" xfId="35056" xr:uid="{00000000-0005-0000-0000-0000780F0000}"/>
    <cellStyle name="20% - Accent2 3 2 4 6" xfId="23755" xr:uid="{00000000-0005-0000-0000-0000790F0000}"/>
    <cellStyle name="20% - Accent2 3 2 5" xfId="1531" xr:uid="{00000000-0005-0000-0000-00007A0F0000}"/>
    <cellStyle name="20% - Accent2 3 2 5 2" xfId="3473" xr:uid="{00000000-0005-0000-0000-00007B0F0000}"/>
    <cellStyle name="20% - Accent2 3 2 5 2 2" xfId="9226" xr:uid="{00000000-0005-0000-0000-00007C0F0000}"/>
    <cellStyle name="20% - Accent2 3 2 5 2 2 2" xfId="20527" xr:uid="{00000000-0005-0000-0000-00007D0F0000}"/>
    <cellStyle name="20% - Accent2 3 2 5 2 2 2 2" xfId="43129" xr:uid="{00000000-0005-0000-0000-00007E0F0000}"/>
    <cellStyle name="20% - Accent2 3 2 5 2 2 3" xfId="31828" xr:uid="{00000000-0005-0000-0000-00007F0F0000}"/>
    <cellStyle name="20% - Accent2 3 2 5 2 3" xfId="14877" xr:uid="{00000000-0005-0000-0000-0000800F0000}"/>
    <cellStyle name="20% - Accent2 3 2 5 2 3 2" xfId="37479" xr:uid="{00000000-0005-0000-0000-0000810F0000}"/>
    <cellStyle name="20% - Accent2 3 2 5 2 4" xfId="26178" xr:uid="{00000000-0005-0000-0000-0000820F0000}"/>
    <cellStyle name="20% - Accent2 3 2 5 3" xfId="5226" xr:uid="{00000000-0005-0000-0000-0000830F0000}"/>
    <cellStyle name="20% - Accent2 3 2 5 3 2" xfId="10876" xr:uid="{00000000-0005-0000-0000-0000840F0000}"/>
    <cellStyle name="20% - Accent2 3 2 5 3 2 2" xfId="22177" xr:uid="{00000000-0005-0000-0000-0000850F0000}"/>
    <cellStyle name="20% - Accent2 3 2 5 3 2 2 2" xfId="44779" xr:uid="{00000000-0005-0000-0000-0000860F0000}"/>
    <cellStyle name="20% - Accent2 3 2 5 3 2 3" xfId="33478" xr:uid="{00000000-0005-0000-0000-0000870F0000}"/>
    <cellStyle name="20% - Accent2 3 2 5 3 3" xfId="16527" xr:uid="{00000000-0005-0000-0000-0000880F0000}"/>
    <cellStyle name="20% - Accent2 3 2 5 3 3 2" xfId="39129" xr:uid="{00000000-0005-0000-0000-0000890F0000}"/>
    <cellStyle name="20% - Accent2 3 2 5 3 4" xfId="27828" xr:uid="{00000000-0005-0000-0000-00008A0F0000}"/>
    <cellStyle name="20% - Accent2 3 2 5 4" xfId="7387" xr:uid="{00000000-0005-0000-0000-00008B0F0000}"/>
    <cellStyle name="20% - Accent2 3 2 5 4 2" xfId="18688" xr:uid="{00000000-0005-0000-0000-00008C0F0000}"/>
    <cellStyle name="20% - Accent2 3 2 5 4 2 2" xfId="41290" xr:uid="{00000000-0005-0000-0000-00008D0F0000}"/>
    <cellStyle name="20% - Accent2 3 2 5 4 3" xfId="29989" xr:uid="{00000000-0005-0000-0000-00008E0F0000}"/>
    <cellStyle name="20% - Accent2 3 2 5 5" xfId="13038" xr:uid="{00000000-0005-0000-0000-00008F0F0000}"/>
    <cellStyle name="20% - Accent2 3 2 5 5 2" xfId="35640" xr:uid="{00000000-0005-0000-0000-0000900F0000}"/>
    <cellStyle name="20% - Accent2 3 2 5 6" xfId="24339" xr:uid="{00000000-0005-0000-0000-0000910F0000}"/>
    <cellStyle name="20% - Accent2 3 2 6" xfId="2204" xr:uid="{00000000-0005-0000-0000-0000920F0000}"/>
    <cellStyle name="20% - Accent2 3 2 6 2" xfId="8040" xr:uid="{00000000-0005-0000-0000-0000930F0000}"/>
    <cellStyle name="20% - Accent2 3 2 6 2 2" xfId="19341" xr:uid="{00000000-0005-0000-0000-0000940F0000}"/>
    <cellStyle name="20% - Accent2 3 2 6 2 2 2" xfId="41943" xr:uid="{00000000-0005-0000-0000-0000950F0000}"/>
    <cellStyle name="20% - Accent2 3 2 6 2 3" xfId="30642" xr:uid="{00000000-0005-0000-0000-0000960F0000}"/>
    <cellStyle name="20% - Accent2 3 2 6 3" xfId="13691" xr:uid="{00000000-0005-0000-0000-0000970F0000}"/>
    <cellStyle name="20% - Accent2 3 2 6 3 2" xfId="36293" xr:uid="{00000000-0005-0000-0000-0000980F0000}"/>
    <cellStyle name="20% - Accent2 3 2 6 4" xfId="24992" xr:uid="{00000000-0005-0000-0000-0000990F0000}"/>
    <cellStyle name="20% - Accent2 3 2 7" xfId="3992" xr:uid="{00000000-0005-0000-0000-00009A0F0000}"/>
    <cellStyle name="20% - Accent2 3 2 7 2" xfId="9642" xr:uid="{00000000-0005-0000-0000-00009B0F0000}"/>
    <cellStyle name="20% - Accent2 3 2 7 2 2" xfId="20943" xr:uid="{00000000-0005-0000-0000-00009C0F0000}"/>
    <cellStyle name="20% - Accent2 3 2 7 2 2 2" xfId="43545" xr:uid="{00000000-0005-0000-0000-00009D0F0000}"/>
    <cellStyle name="20% - Accent2 3 2 7 2 3" xfId="32244" xr:uid="{00000000-0005-0000-0000-00009E0F0000}"/>
    <cellStyle name="20% - Accent2 3 2 7 3" xfId="15293" xr:uid="{00000000-0005-0000-0000-00009F0F0000}"/>
    <cellStyle name="20% - Accent2 3 2 7 3 2" xfId="37895" xr:uid="{00000000-0005-0000-0000-0000A00F0000}"/>
    <cellStyle name="20% - Accent2 3 2 7 4" xfId="26594" xr:uid="{00000000-0005-0000-0000-0000A10F0000}"/>
    <cellStyle name="20% - Accent2 3 2 8" xfId="6443" xr:uid="{00000000-0005-0000-0000-0000A20F0000}"/>
    <cellStyle name="20% - Accent2 3 2 8 2" xfId="17744" xr:uid="{00000000-0005-0000-0000-0000A30F0000}"/>
    <cellStyle name="20% - Accent2 3 2 8 2 2" xfId="40346" xr:uid="{00000000-0005-0000-0000-0000A40F0000}"/>
    <cellStyle name="20% - Accent2 3 2 8 3" xfId="29045" xr:uid="{00000000-0005-0000-0000-0000A50F0000}"/>
    <cellStyle name="20% - Accent2 3 2 9" xfId="12094" xr:uid="{00000000-0005-0000-0000-0000A60F0000}"/>
    <cellStyle name="20% - Accent2 3 2 9 2" xfId="34696" xr:uid="{00000000-0005-0000-0000-0000A70F0000}"/>
    <cellStyle name="20% - Accent2 3 3" xfId="349" xr:uid="{00000000-0005-0000-0000-0000A80F0000}"/>
    <cellStyle name="20% - Accent2 3 3 10" xfId="23444" xr:uid="{00000000-0005-0000-0000-0000A90F0000}"/>
    <cellStyle name="20% - Accent2 3 3 2" xfId="594" xr:uid="{00000000-0005-0000-0000-0000AA0F0000}"/>
    <cellStyle name="20% - Accent2 3 3 2 2" xfId="1304" xr:uid="{00000000-0005-0000-0000-0000AB0F0000}"/>
    <cellStyle name="20% - Accent2 3 3 2 2 2" xfId="1537" xr:uid="{00000000-0005-0000-0000-0000AC0F0000}"/>
    <cellStyle name="20% - Accent2 3 3 2 2 2 2" xfId="3373" xr:uid="{00000000-0005-0000-0000-0000AD0F0000}"/>
    <cellStyle name="20% - Accent2 3 3 2 2 2 2 2" xfId="6345" xr:uid="{00000000-0005-0000-0000-0000AE0F0000}"/>
    <cellStyle name="20% - Accent2 3 3 2 2 2 2 2 2" xfId="11995" xr:uid="{00000000-0005-0000-0000-0000AF0F0000}"/>
    <cellStyle name="20% - Accent2 3 3 2 2 2 2 2 2 2" xfId="23296" xr:uid="{00000000-0005-0000-0000-0000B00F0000}"/>
    <cellStyle name="20% - Accent2 3 3 2 2 2 2 2 2 2 2" xfId="45898" xr:uid="{00000000-0005-0000-0000-0000B10F0000}"/>
    <cellStyle name="20% - Accent2 3 3 2 2 2 2 2 2 3" xfId="34597" xr:uid="{00000000-0005-0000-0000-0000B20F0000}"/>
    <cellStyle name="20% - Accent2 3 3 2 2 2 2 2 3" xfId="17646" xr:uid="{00000000-0005-0000-0000-0000B30F0000}"/>
    <cellStyle name="20% - Accent2 3 3 2 2 2 2 2 3 2" xfId="40248" xr:uid="{00000000-0005-0000-0000-0000B40F0000}"/>
    <cellStyle name="20% - Accent2 3 3 2 2 2 2 2 4" xfId="28947" xr:uid="{00000000-0005-0000-0000-0000B50F0000}"/>
    <cellStyle name="20% - Accent2 3 3 2 2 2 2 3" xfId="9163" xr:uid="{00000000-0005-0000-0000-0000B60F0000}"/>
    <cellStyle name="20% - Accent2 3 3 2 2 2 2 3 2" xfId="20464" xr:uid="{00000000-0005-0000-0000-0000B70F0000}"/>
    <cellStyle name="20% - Accent2 3 3 2 2 2 2 3 2 2" xfId="43066" xr:uid="{00000000-0005-0000-0000-0000B80F0000}"/>
    <cellStyle name="20% - Accent2 3 3 2 2 2 2 3 3" xfId="31765" xr:uid="{00000000-0005-0000-0000-0000B90F0000}"/>
    <cellStyle name="20% - Accent2 3 3 2 2 2 2 4" xfId="14814" xr:uid="{00000000-0005-0000-0000-0000BA0F0000}"/>
    <cellStyle name="20% - Accent2 3 3 2 2 2 2 4 2" xfId="37416" xr:uid="{00000000-0005-0000-0000-0000BB0F0000}"/>
    <cellStyle name="20% - Accent2 3 3 2 2 2 2 5" xfId="26115" xr:uid="{00000000-0005-0000-0000-0000BC0F0000}"/>
    <cellStyle name="20% - Accent2 3 3 2 2 2 3" xfId="5111" xr:uid="{00000000-0005-0000-0000-0000BD0F0000}"/>
    <cellStyle name="20% - Accent2 3 3 2 2 2 3 2" xfId="10761" xr:uid="{00000000-0005-0000-0000-0000BE0F0000}"/>
    <cellStyle name="20% - Accent2 3 3 2 2 2 3 2 2" xfId="22062" xr:uid="{00000000-0005-0000-0000-0000BF0F0000}"/>
    <cellStyle name="20% - Accent2 3 3 2 2 2 3 2 2 2" xfId="44664" xr:uid="{00000000-0005-0000-0000-0000C00F0000}"/>
    <cellStyle name="20% - Accent2 3 3 2 2 2 3 2 3" xfId="33363" xr:uid="{00000000-0005-0000-0000-0000C10F0000}"/>
    <cellStyle name="20% - Accent2 3 3 2 2 2 3 3" xfId="16412" xr:uid="{00000000-0005-0000-0000-0000C20F0000}"/>
    <cellStyle name="20% - Accent2 3 3 2 2 2 3 3 2" xfId="39014" xr:uid="{00000000-0005-0000-0000-0000C30F0000}"/>
    <cellStyle name="20% - Accent2 3 3 2 2 2 3 4" xfId="27713" xr:uid="{00000000-0005-0000-0000-0000C40F0000}"/>
    <cellStyle name="20% - Accent2 3 3 2 2 2 4" xfId="7393" xr:uid="{00000000-0005-0000-0000-0000C50F0000}"/>
    <cellStyle name="20% - Accent2 3 3 2 2 2 4 2" xfId="18694" xr:uid="{00000000-0005-0000-0000-0000C60F0000}"/>
    <cellStyle name="20% - Accent2 3 3 2 2 2 4 2 2" xfId="41296" xr:uid="{00000000-0005-0000-0000-0000C70F0000}"/>
    <cellStyle name="20% - Accent2 3 3 2 2 2 4 3" xfId="29995" xr:uid="{00000000-0005-0000-0000-0000C80F0000}"/>
    <cellStyle name="20% - Accent2 3 3 2 2 2 5" xfId="13044" xr:uid="{00000000-0005-0000-0000-0000C90F0000}"/>
    <cellStyle name="20% - Accent2 3 3 2 2 2 5 2" xfId="35646" xr:uid="{00000000-0005-0000-0000-0000CA0F0000}"/>
    <cellStyle name="20% - Accent2 3 3 2 2 2 6" xfId="24345" xr:uid="{00000000-0005-0000-0000-0000CB0F0000}"/>
    <cellStyle name="20% - Accent2 3 3 2 2 3" xfId="2702" xr:uid="{00000000-0005-0000-0000-0000CC0F0000}"/>
    <cellStyle name="20% - Accent2 3 3 2 2 3 2" xfId="5721" xr:uid="{00000000-0005-0000-0000-0000CD0F0000}"/>
    <cellStyle name="20% - Accent2 3 3 2 2 3 2 2" xfId="11371" xr:uid="{00000000-0005-0000-0000-0000CE0F0000}"/>
    <cellStyle name="20% - Accent2 3 3 2 2 3 2 2 2" xfId="22672" xr:uid="{00000000-0005-0000-0000-0000CF0F0000}"/>
    <cellStyle name="20% - Accent2 3 3 2 2 3 2 2 2 2" xfId="45274" xr:uid="{00000000-0005-0000-0000-0000D00F0000}"/>
    <cellStyle name="20% - Accent2 3 3 2 2 3 2 2 3" xfId="33973" xr:uid="{00000000-0005-0000-0000-0000D10F0000}"/>
    <cellStyle name="20% - Accent2 3 3 2 2 3 2 3" xfId="17022" xr:uid="{00000000-0005-0000-0000-0000D20F0000}"/>
    <cellStyle name="20% - Accent2 3 3 2 2 3 2 3 2" xfId="39624" xr:uid="{00000000-0005-0000-0000-0000D30F0000}"/>
    <cellStyle name="20% - Accent2 3 3 2 2 3 2 4" xfId="28323" xr:uid="{00000000-0005-0000-0000-0000D40F0000}"/>
    <cellStyle name="20% - Accent2 3 3 2 2 3 3" xfId="8538" xr:uid="{00000000-0005-0000-0000-0000D50F0000}"/>
    <cellStyle name="20% - Accent2 3 3 2 2 3 3 2" xfId="19839" xr:uid="{00000000-0005-0000-0000-0000D60F0000}"/>
    <cellStyle name="20% - Accent2 3 3 2 2 3 3 2 2" xfId="42441" xr:uid="{00000000-0005-0000-0000-0000D70F0000}"/>
    <cellStyle name="20% - Accent2 3 3 2 2 3 3 3" xfId="31140" xr:uid="{00000000-0005-0000-0000-0000D80F0000}"/>
    <cellStyle name="20% - Accent2 3 3 2 2 3 4" xfId="14189" xr:uid="{00000000-0005-0000-0000-0000D90F0000}"/>
    <cellStyle name="20% - Accent2 3 3 2 2 3 4 2" xfId="36791" xr:uid="{00000000-0005-0000-0000-0000DA0F0000}"/>
    <cellStyle name="20% - Accent2 3 3 2 2 3 5" xfId="25490" xr:uid="{00000000-0005-0000-0000-0000DB0F0000}"/>
    <cellStyle name="20% - Accent2 3 3 2 2 4" xfId="4487" xr:uid="{00000000-0005-0000-0000-0000DC0F0000}"/>
    <cellStyle name="20% - Accent2 3 3 2 2 4 2" xfId="10137" xr:uid="{00000000-0005-0000-0000-0000DD0F0000}"/>
    <cellStyle name="20% - Accent2 3 3 2 2 4 2 2" xfId="21438" xr:uid="{00000000-0005-0000-0000-0000DE0F0000}"/>
    <cellStyle name="20% - Accent2 3 3 2 2 4 2 2 2" xfId="44040" xr:uid="{00000000-0005-0000-0000-0000DF0F0000}"/>
    <cellStyle name="20% - Accent2 3 3 2 2 4 2 3" xfId="32739" xr:uid="{00000000-0005-0000-0000-0000E00F0000}"/>
    <cellStyle name="20% - Accent2 3 3 2 2 4 3" xfId="15788" xr:uid="{00000000-0005-0000-0000-0000E10F0000}"/>
    <cellStyle name="20% - Accent2 3 3 2 2 4 3 2" xfId="38390" xr:uid="{00000000-0005-0000-0000-0000E20F0000}"/>
    <cellStyle name="20% - Accent2 3 3 2 2 4 4" xfId="27089" xr:uid="{00000000-0005-0000-0000-0000E30F0000}"/>
    <cellStyle name="20% - Accent2 3 3 2 2 5" xfId="7283" xr:uid="{00000000-0005-0000-0000-0000E40F0000}"/>
    <cellStyle name="20% - Accent2 3 3 2 2 5 2" xfId="18584" xr:uid="{00000000-0005-0000-0000-0000E50F0000}"/>
    <cellStyle name="20% - Accent2 3 3 2 2 5 2 2" xfId="41186" xr:uid="{00000000-0005-0000-0000-0000E60F0000}"/>
    <cellStyle name="20% - Accent2 3 3 2 2 5 3" xfId="29885" xr:uid="{00000000-0005-0000-0000-0000E70F0000}"/>
    <cellStyle name="20% - Accent2 3 3 2 2 6" xfId="12934" xr:uid="{00000000-0005-0000-0000-0000E80F0000}"/>
    <cellStyle name="20% - Accent2 3 3 2 2 6 2" xfId="35536" xr:uid="{00000000-0005-0000-0000-0000E90F0000}"/>
    <cellStyle name="20% - Accent2 3 3 2 2 7" xfId="24235" xr:uid="{00000000-0005-0000-0000-0000EA0F0000}"/>
    <cellStyle name="20% - Accent2 3 3 2 3" xfId="1002" xr:uid="{00000000-0005-0000-0000-0000EB0F0000}"/>
    <cellStyle name="20% - Accent2 3 3 2 3 2" xfId="3065" xr:uid="{00000000-0005-0000-0000-0000EC0F0000}"/>
    <cellStyle name="20% - Accent2 3 3 2 3 2 2" xfId="6037" xr:uid="{00000000-0005-0000-0000-0000ED0F0000}"/>
    <cellStyle name="20% - Accent2 3 3 2 3 2 2 2" xfId="11687" xr:uid="{00000000-0005-0000-0000-0000EE0F0000}"/>
    <cellStyle name="20% - Accent2 3 3 2 3 2 2 2 2" xfId="22988" xr:uid="{00000000-0005-0000-0000-0000EF0F0000}"/>
    <cellStyle name="20% - Accent2 3 3 2 3 2 2 2 2 2" xfId="45590" xr:uid="{00000000-0005-0000-0000-0000F00F0000}"/>
    <cellStyle name="20% - Accent2 3 3 2 3 2 2 2 3" xfId="34289" xr:uid="{00000000-0005-0000-0000-0000F10F0000}"/>
    <cellStyle name="20% - Accent2 3 3 2 3 2 2 3" xfId="17338" xr:uid="{00000000-0005-0000-0000-0000F20F0000}"/>
    <cellStyle name="20% - Accent2 3 3 2 3 2 2 3 2" xfId="39940" xr:uid="{00000000-0005-0000-0000-0000F30F0000}"/>
    <cellStyle name="20% - Accent2 3 3 2 3 2 2 4" xfId="28639" xr:uid="{00000000-0005-0000-0000-0000F40F0000}"/>
    <cellStyle name="20% - Accent2 3 3 2 3 2 3" xfId="8855" xr:uid="{00000000-0005-0000-0000-0000F50F0000}"/>
    <cellStyle name="20% - Accent2 3 3 2 3 2 3 2" xfId="20156" xr:uid="{00000000-0005-0000-0000-0000F60F0000}"/>
    <cellStyle name="20% - Accent2 3 3 2 3 2 3 2 2" xfId="42758" xr:uid="{00000000-0005-0000-0000-0000F70F0000}"/>
    <cellStyle name="20% - Accent2 3 3 2 3 2 3 3" xfId="31457" xr:uid="{00000000-0005-0000-0000-0000F80F0000}"/>
    <cellStyle name="20% - Accent2 3 3 2 3 2 4" xfId="14506" xr:uid="{00000000-0005-0000-0000-0000F90F0000}"/>
    <cellStyle name="20% - Accent2 3 3 2 3 2 4 2" xfId="37108" xr:uid="{00000000-0005-0000-0000-0000FA0F0000}"/>
    <cellStyle name="20% - Accent2 3 3 2 3 2 5" xfId="25807" xr:uid="{00000000-0005-0000-0000-0000FB0F0000}"/>
    <cellStyle name="20% - Accent2 3 3 2 3 3" xfId="4803" xr:uid="{00000000-0005-0000-0000-0000FC0F0000}"/>
    <cellStyle name="20% - Accent2 3 3 2 3 3 2" xfId="10453" xr:uid="{00000000-0005-0000-0000-0000FD0F0000}"/>
    <cellStyle name="20% - Accent2 3 3 2 3 3 2 2" xfId="21754" xr:uid="{00000000-0005-0000-0000-0000FE0F0000}"/>
    <cellStyle name="20% - Accent2 3 3 2 3 3 2 2 2" xfId="44356" xr:uid="{00000000-0005-0000-0000-0000FF0F0000}"/>
    <cellStyle name="20% - Accent2 3 3 2 3 3 2 3" xfId="33055" xr:uid="{00000000-0005-0000-0000-000000100000}"/>
    <cellStyle name="20% - Accent2 3 3 2 3 3 3" xfId="16104" xr:uid="{00000000-0005-0000-0000-000001100000}"/>
    <cellStyle name="20% - Accent2 3 3 2 3 3 3 2" xfId="38706" xr:uid="{00000000-0005-0000-0000-000002100000}"/>
    <cellStyle name="20% - Accent2 3 3 2 3 3 4" xfId="27405" xr:uid="{00000000-0005-0000-0000-000003100000}"/>
    <cellStyle name="20% - Accent2 3 3 2 3 4" xfId="6990" xr:uid="{00000000-0005-0000-0000-000004100000}"/>
    <cellStyle name="20% - Accent2 3 3 2 3 4 2" xfId="18291" xr:uid="{00000000-0005-0000-0000-000005100000}"/>
    <cellStyle name="20% - Accent2 3 3 2 3 4 2 2" xfId="40893" xr:uid="{00000000-0005-0000-0000-000006100000}"/>
    <cellStyle name="20% - Accent2 3 3 2 3 4 3" xfId="29592" xr:uid="{00000000-0005-0000-0000-000007100000}"/>
    <cellStyle name="20% - Accent2 3 3 2 3 5" xfId="12641" xr:uid="{00000000-0005-0000-0000-000008100000}"/>
    <cellStyle name="20% - Accent2 3 3 2 3 5 2" xfId="35243" xr:uid="{00000000-0005-0000-0000-000009100000}"/>
    <cellStyle name="20% - Accent2 3 3 2 3 6" xfId="23942" xr:uid="{00000000-0005-0000-0000-00000A100000}"/>
    <cellStyle name="20% - Accent2 3 3 2 4" xfId="1536" xr:uid="{00000000-0005-0000-0000-00000B100000}"/>
    <cellStyle name="20% - Accent2 3 3 2 4 2" xfId="3481" xr:uid="{00000000-0005-0000-0000-00000C100000}"/>
    <cellStyle name="20% - Accent2 3 3 2 4 2 2" xfId="9230" xr:uid="{00000000-0005-0000-0000-00000D100000}"/>
    <cellStyle name="20% - Accent2 3 3 2 4 2 2 2" xfId="20531" xr:uid="{00000000-0005-0000-0000-00000E100000}"/>
    <cellStyle name="20% - Accent2 3 3 2 4 2 2 2 2" xfId="43133" xr:uid="{00000000-0005-0000-0000-00000F100000}"/>
    <cellStyle name="20% - Accent2 3 3 2 4 2 2 3" xfId="31832" xr:uid="{00000000-0005-0000-0000-000010100000}"/>
    <cellStyle name="20% - Accent2 3 3 2 4 2 3" xfId="14881" xr:uid="{00000000-0005-0000-0000-000011100000}"/>
    <cellStyle name="20% - Accent2 3 3 2 4 2 3 2" xfId="37483" xr:uid="{00000000-0005-0000-0000-000012100000}"/>
    <cellStyle name="20% - Accent2 3 3 2 4 2 4" xfId="26182" xr:uid="{00000000-0005-0000-0000-000013100000}"/>
    <cellStyle name="20% - Accent2 3 3 2 4 3" xfId="5413" xr:uid="{00000000-0005-0000-0000-000014100000}"/>
    <cellStyle name="20% - Accent2 3 3 2 4 3 2" xfId="11063" xr:uid="{00000000-0005-0000-0000-000015100000}"/>
    <cellStyle name="20% - Accent2 3 3 2 4 3 2 2" xfId="22364" xr:uid="{00000000-0005-0000-0000-000016100000}"/>
    <cellStyle name="20% - Accent2 3 3 2 4 3 2 2 2" xfId="44966" xr:uid="{00000000-0005-0000-0000-000017100000}"/>
    <cellStyle name="20% - Accent2 3 3 2 4 3 2 3" xfId="33665" xr:uid="{00000000-0005-0000-0000-000018100000}"/>
    <cellStyle name="20% - Accent2 3 3 2 4 3 3" xfId="16714" xr:uid="{00000000-0005-0000-0000-000019100000}"/>
    <cellStyle name="20% - Accent2 3 3 2 4 3 3 2" xfId="39316" xr:uid="{00000000-0005-0000-0000-00001A100000}"/>
    <cellStyle name="20% - Accent2 3 3 2 4 3 4" xfId="28015" xr:uid="{00000000-0005-0000-0000-00001B100000}"/>
    <cellStyle name="20% - Accent2 3 3 2 4 4" xfId="7392" xr:uid="{00000000-0005-0000-0000-00001C100000}"/>
    <cellStyle name="20% - Accent2 3 3 2 4 4 2" xfId="18693" xr:uid="{00000000-0005-0000-0000-00001D100000}"/>
    <cellStyle name="20% - Accent2 3 3 2 4 4 2 2" xfId="41295" xr:uid="{00000000-0005-0000-0000-00001E100000}"/>
    <cellStyle name="20% - Accent2 3 3 2 4 4 3" xfId="29994" xr:uid="{00000000-0005-0000-0000-00001F100000}"/>
    <cellStyle name="20% - Accent2 3 3 2 4 5" xfId="13043" xr:uid="{00000000-0005-0000-0000-000020100000}"/>
    <cellStyle name="20% - Accent2 3 3 2 4 5 2" xfId="35645" xr:uid="{00000000-0005-0000-0000-000021100000}"/>
    <cellStyle name="20% - Accent2 3 3 2 4 6" xfId="24344" xr:uid="{00000000-0005-0000-0000-000022100000}"/>
    <cellStyle name="20% - Accent2 3 3 2 5" xfId="2394" xr:uid="{00000000-0005-0000-0000-000023100000}"/>
    <cellStyle name="20% - Accent2 3 3 2 5 2" xfId="8230" xr:uid="{00000000-0005-0000-0000-000024100000}"/>
    <cellStyle name="20% - Accent2 3 3 2 5 2 2" xfId="19531" xr:uid="{00000000-0005-0000-0000-000025100000}"/>
    <cellStyle name="20% - Accent2 3 3 2 5 2 2 2" xfId="42133" xr:uid="{00000000-0005-0000-0000-000026100000}"/>
    <cellStyle name="20% - Accent2 3 3 2 5 2 3" xfId="30832" xr:uid="{00000000-0005-0000-0000-000027100000}"/>
    <cellStyle name="20% - Accent2 3 3 2 5 3" xfId="13881" xr:uid="{00000000-0005-0000-0000-000028100000}"/>
    <cellStyle name="20% - Accent2 3 3 2 5 3 2" xfId="36483" xr:uid="{00000000-0005-0000-0000-000029100000}"/>
    <cellStyle name="20% - Accent2 3 3 2 5 4" xfId="25182" xr:uid="{00000000-0005-0000-0000-00002A100000}"/>
    <cellStyle name="20% - Accent2 3 3 2 6" xfId="4179" xr:uid="{00000000-0005-0000-0000-00002B100000}"/>
    <cellStyle name="20% - Accent2 3 3 2 6 2" xfId="9829" xr:uid="{00000000-0005-0000-0000-00002C100000}"/>
    <cellStyle name="20% - Accent2 3 3 2 6 2 2" xfId="21130" xr:uid="{00000000-0005-0000-0000-00002D100000}"/>
    <cellStyle name="20% - Accent2 3 3 2 6 2 2 2" xfId="43732" xr:uid="{00000000-0005-0000-0000-00002E100000}"/>
    <cellStyle name="20% - Accent2 3 3 2 6 2 3" xfId="32431" xr:uid="{00000000-0005-0000-0000-00002F100000}"/>
    <cellStyle name="20% - Accent2 3 3 2 6 3" xfId="15480" xr:uid="{00000000-0005-0000-0000-000030100000}"/>
    <cellStyle name="20% - Accent2 3 3 2 6 3 2" xfId="38082" xr:uid="{00000000-0005-0000-0000-000031100000}"/>
    <cellStyle name="20% - Accent2 3 3 2 6 4" xfId="26781" xr:uid="{00000000-0005-0000-0000-000032100000}"/>
    <cellStyle name="20% - Accent2 3 3 2 7" xfId="6659" xr:uid="{00000000-0005-0000-0000-000033100000}"/>
    <cellStyle name="20% - Accent2 3 3 2 7 2" xfId="17960" xr:uid="{00000000-0005-0000-0000-000034100000}"/>
    <cellStyle name="20% - Accent2 3 3 2 7 2 2" xfId="40562" xr:uid="{00000000-0005-0000-0000-000035100000}"/>
    <cellStyle name="20% - Accent2 3 3 2 7 3" xfId="29261" xr:uid="{00000000-0005-0000-0000-000036100000}"/>
    <cellStyle name="20% - Accent2 3 3 2 8" xfId="12310" xr:uid="{00000000-0005-0000-0000-000037100000}"/>
    <cellStyle name="20% - Accent2 3 3 2 8 2" xfId="34912" xr:uid="{00000000-0005-0000-0000-000038100000}"/>
    <cellStyle name="20% - Accent2 3 3 2 9" xfId="23611" xr:uid="{00000000-0005-0000-0000-000039100000}"/>
    <cellStyle name="20% - Accent2 3 3 3" xfId="1166" xr:uid="{00000000-0005-0000-0000-00003A100000}"/>
    <cellStyle name="20% - Accent2 3 3 3 2" xfId="1538" xr:uid="{00000000-0005-0000-0000-00003B100000}"/>
    <cellStyle name="20% - Accent2 3 3 3 2 2" xfId="3234" xr:uid="{00000000-0005-0000-0000-00003C100000}"/>
    <cellStyle name="20% - Accent2 3 3 3 2 2 2" xfId="6206" xr:uid="{00000000-0005-0000-0000-00003D100000}"/>
    <cellStyle name="20% - Accent2 3 3 3 2 2 2 2" xfId="11856" xr:uid="{00000000-0005-0000-0000-00003E100000}"/>
    <cellStyle name="20% - Accent2 3 3 3 2 2 2 2 2" xfId="23157" xr:uid="{00000000-0005-0000-0000-00003F100000}"/>
    <cellStyle name="20% - Accent2 3 3 3 2 2 2 2 2 2" xfId="45759" xr:uid="{00000000-0005-0000-0000-000040100000}"/>
    <cellStyle name="20% - Accent2 3 3 3 2 2 2 2 3" xfId="34458" xr:uid="{00000000-0005-0000-0000-000041100000}"/>
    <cellStyle name="20% - Accent2 3 3 3 2 2 2 3" xfId="17507" xr:uid="{00000000-0005-0000-0000-000042100000}"/>
    <cellStyle name="20% - Accent2 3 3 3 2 2 2 3 2" xfId="40109" xr:uid="{00000000-0005-0000-0000-000043100000}"/>
    <cellStyle name="20% - Accent2 3 3 3 2 2 2 4" xfId="28808" xr:uid="{00000000-0005-0000-0000-000044100000}"/>
    <cellStyle name="20% - Accent2 3 3 3 2 2 3" xfId="9024" xr:uid="{00000000-0005-0000-0000-000045100000}"/>
    <cellStyle name="20% - Accent2 3 3 3 2 2 3 2" xfId="20325" xr:uid="{00000000-0005-0000-0000-000046100000}"/>
    <cellStyle name="20% - Accent2 3 3 3 2 2 3 2 2" xfId="42927" xr:uid="{00000000-0005-0000-0000-000047100000}"/>
    <cellStyle name="20% - Accent2 3 3 3 2 2 3 3" xfId="31626" xr:uid="{00000000-0005-0000-0000-000048100000}"/>
    <cellStyle name="20% - Accent2 3 3 3 2 2 4" xfId="14675" xr:uid="{00000000-0005-0000-0000-000049100000}"/>
    <cellStyle name="20% - Accent2 3 3 3 2 2 4 2" xfId="37277" xr:uid="{00000000-0005-0000-0000-00004A100000}"/>
    <cellStyle name="20% - Accent2 3 3 3 2 2 5" xfId="25976" xr:uid="{00000000-0005-0000-0000-00004B100000}"/>
    <cellStyle name="20% - Accent2 3 3 3 2 3" xfId="4972" xr:uid="{00000000-0005-0000-0000-00004C100000}"/>
    <cellStyle name="20% - Accent2 3 3 3 2 3 2" xfId="10622" xr:uid="{00000000-0005-0000-0000-00004D100000}"/>
    <cellStyle name="20% - Accent2 3 3 3 2 3 2 2" xfId="21923" xr:uid="{00000000-0005-0000-0000-00004E100000}"/>
    <cellStyle name="20% - Accent2 3 3 3 2 3 2 2 2" xfId="44525" xr:uid="{00000000-0005-0000-0000-00004F100000}"/>
    <cellStyle name="20% - Accent2 3 3 3 2 3 2 3" xfId="33224" xr:uid="{00000000-0005-0000-0000-000050100000}"/>
    <cellStyle name="20% - Accent2 3 3 3 2 3 3" xfId="16273" xr:uid="{00000000-0005-0000-0000-000051100000}"/>
    <cellStyle name="20% - Accent2 3 3 3 2 3 3 2" xfId="38875" xr:uid="{00000000-0005-0000-0000-000052100000}"/>
    <cellStyle name="20% - Accent2 3 3 3 2 3 4" xfId="27574" xr:uid="{00000000-0005-0000-0000-000053100000}"/>
    <cellStyle name="20% - Accent2 3 3 3 2 4" xfId="7394" xr:uid="{00000000-0005-0000-0000-000054100000}"/>
    <cellStyle name="20% - Accent2 3 3 3 2 4 2" xfId="18695" xr:uid="{00000000-0005-0000-0000-000055100000}"/>
    <cellStyle name="20% - Accent2 3 3 3 2 4 2 2" xfId="41297" xr:uid="{00000000-0005-0000-0000-000056100000}"/>
    <cellStyle name="20% - Accent2 3 3 3 2 4 3" xfId="29996" xr:uid="{00000000-0005-0000-0000-000057100000}"/>
    <cellStyle name="20% - Accent2 3 3 3 2 5" xfId="13045" xr:uid="{00000000-0005-0000-0000-000058100000}"/>
    <cellStyle name="20% - Accent2 3 3 3 2 5 2" xfId="35647" xr:uid="{00000000-0005-0000-0000-000059100000}"/>
    <cellStyle name="20% - Accent2 3 3 3 2 6" xfId="24346" xr:uid="{00000000-0005-0000-0000-00005A100000}"/>
    <cellStyle name="20% - Accent2 3 3 3 3" xfId="2563" xr:uid="{00000000-0005-0000-0000-00005B100000}"/>
    <cellStyle name="20% - Accent2 3 3 3 3 2" xfId="5582" xr:uid="{00000000-0005-0000-0000-00005C100000}"/>
    <cellStyle name="20% - Accent2 3 3 3 3 2 2" xfId="11232" xr:uid="{00000000-0005-0000-0000-00005D100000}"/>
    <cellStyle name="20% - Accent2 3 3 3 3 2 2 2" xfId="22533" xr:uid="{00000000-0005-0000-0000-00005E100000}"/>
    <cellStyle name="20% - Accent2 3 3 3 3 2 2 2 2" xfId="45135" xr:uid="{00000000-0005-0000-0000-00005F100000}"/>
    <cellStyle name="20% - Accent2 3 3 3 3 2 2 3" xfId="33834" xr:uid="{00000000-0005-0000-0000-000060100000}"/>
    <cellStyle name="20% - Accent2 3 3 3 3 2 3" xfId="16883" xr:uid="{00000000-0005-0000-0000-000061100000}"/>
    <cellStyle name="20% - Accent2 3 3 3 3 2 3 2" xfId="39485" xr:uid="{00000000-0005-0000-0000-000062100000}"/>
    <cellStyle name="20% - Accent2 3 3 3 3 2 4" xfId="28184" xr:uid="{00000000-0005-0000-0000-000063100000}"/>
    <cellStyle name="20% - Accent2 3 3 3 3 3" xfId="8399" xr:uid="{00000000-0005-0000-0000-000064100000}"/>
    <cellStyle name="20% - Accent2 3 3 3 3 3 2" xfId="19700" xr:uid="{00000000-0005-0000-0000-000065100000}"/>
    <cellStyle name="20% - Accent2 3 3 3 3 3 2 2" xfId="42302" xr:uid="{00000000-0005-0000-0000-000066100000}"/>
    <cellStyle name="20% - Accent2 3 3 3 3 3 3" xfId="31001" xr:uid="{00000000-0005-0000-0000-000067100000}"/>
    <cellStyle name="20% - Accent2 3 3 3 3 4" xfId="14050" xr:uid="{00000000-0005-0000-0000-000068100000}"/>
    <cellStyle name="20% - Accent2 3 3 3 3 4 2" xfId="36652" xr:uid="{00000000-0005-0000-0000-000069100000}"/>
    <cellStyle name="20% - Accent2 3 3 3 3 5" xfId="25351" xr:uid="{00000000-0005-0000-0000-00006A100000}"/>
    <cellStyle name="20% - Accent2 3 3 3 4" xfId="4348" xr:uid="{00000000-0005-0000-0000-00006B100000}"/>
    <cellStyle name="20% - Accent2 3 3 3 4 2" xfId="9998" xr:uid="{00000000-0005-0000-0000-00006C100000}"/>
    <cellStyle name="20% - Accent2 3 3 3 4 2 2" xfId="21299" xr:uid="{00000000-0005-0000-0000-00006D100000}"/>
    <cellStyle name="20% - Accent2 3 3 3 4 2 2 2" xfId="43901" xr:uid="{00000000-0005-0000-0000-00006E100000}"/>
    <cellStyle name="20% - Accent2 3 3 3 4 2 3" xfId="32600" xr:uid="{00000000-0005-0000-0000-00006F100000}"/>
    <cellStyle name="20% - Accent2 3 3 3 4 3" xfId="15649" xr:uid="{00000000-0005-0000-0000-000070100000}"/>
    <cellStyle name="20% - Accent2 3 3 3 4 3 2" xfId="38251" xr:uid="{00000000-0005-0000-0000-000071100000}"/>
    <cellStyle name="20% - Accent2 3 3 3 4 4" xfId="26950" xr:uid="{00000000-0005-0000-0000-000072100000}"/>
    <cellStyle name="20% - Accent2 3 3 3 5" xfId="7145" xr:uid="{00000000-0005-0000-0000-000073100000}"/>
    <cellStyle name="20% - Accent2 3 3 3 5 2" xfId="18446" xr:uid="{00000000-0005-0000-0000-000074100000}"/>
    <cellStyle name="20% - Accent2 3 3 3 5 2 2" xfId="41048" xr:uid="{00000000-0005-0000-0000-000075100000}"/>
    <cellStyle name="20% - Accent2 3 3 3 5 3" xfId="29747" xr:uid="{00000000-0005-0000-0000-000076100000}"/>
    <cellStyle name="20% - Accent2 3 3 3 6" xfId="12796" xr:uid="{00000000-0005-0000-0000-000077100000}"/>
    <cellStyle name="20% - Accent2 3 3 3 6 2" xfId="35398" xr:uid="{00000000-0005-0000-0000-000078100000}"/>
    <cellStyle name="20% - Accent2 3 3 3 7" xfId="24097" xr:uid="{00000000-0005-0000-0000-000079100000}"/>
    <cellStyle name="20% - Accent2 3 3 4" xfId="857" xr:uid="{00000000-0005-0000-0000-00007A100000}"/>
    <cellStyle name="20% - Accent2 3 3 4 2" xfId="2927" xr:uid="{00000000-0005-0000-0000-00007B100000}"/>
    <cellStyle name="20% - Accent2 3 3 4 2 2" xfId="5899" xr:uid="{00000000-0005-0000-0000-00007C100000}"/>
    <cellStyle name="20% - Accent2 3 3 4 2 2 2" xfId="11549" xr:uid="{00000000-0005-0000-0000-00007D100000}"/>
    <cellStyle name="20% - Accent2 3 3 4 2 2 2 2" xfId="22850" xr:uid="{00000000-0005-0000-0000-00007E100000}"/>
    <cellStyle name="20% - Accent2 3 3 4 2 2 2 2 2" xfId="45452" xr:uid="{00000000-0005-0000-0000-00007F100000}"/>
    <cellStyle name="20% - Accent2 3 3 4 2 2 2 3" xfId="34151" xr:uid="{00000000-0005-0000-0000-000080100000}"/>
    <cellStyle name="20% - Accent2 3 3 4 2 2 3" xfId="17200" xr:uid="{00000000-0005-0000-0000-000081100000}"/>
    <cellStyle name="20% - Accent2 3 3 4 2 2 3 2" xfId="39802" xr:uid="{00000000-0005-0000-0000-000082100000}"/>
    <cellStyle name="20% - Accent2 3 3 4 2 2 4" xfId="28501" xr:uid="{00000000-0005-0000-0000-000083100000}"/>
    <cellStyle name="20% - Accent2 3 3 4 2 3" xfId="8717" xr:uid="{00000000-0005-0000-0000-000084100000}"/>
    <cellStyle name="20% - Accent2 3 3 4 2 3 2" xfId="20018" xr:uid="{00000000-0005-0000-0000-000085100000}"/>
    <cellStyle name="20% - Accent2 3 3 4 2 3 2 2" xfId="42620" xr:uid="{00000000-0005-0000-0000-000086100000}"/>
    <cellStyle name="20% - Accent2 3 3 4 2 3 3" xfId="31319" xr:uid="{00000000-0005-0000-0000-000087100000}"/>
    <cellStyle name="20% - Accent2 3 3 4 2 4" xfId="14368" xr:uid="{00000000-0005-0000-0000-000088100000}"/>
    <cellStyle name="20% - Accent2 3 3 4 2 4 2" xfId="36970" xr:uid="{00000000-0005-0000-0000-000089100000}"/>
    <cellStyle name="20% - Accent2 3 3 4 2 5" xfId="25669" xr:uid="{00000000-0005-0000-0000-00008A100000}"/>
    <cellStyle name="20% - Accent2 3 3 4 3" xfId="4665" xr:uid="{00000000-0005-0000-0000-00008B100000}"/>
    <cellStyle name="20% - Accent2 3 3 4 3 2" xfId="10315" xr:uid="{00000000-0005-0000-0000-00008C100000}"/>
    <cellStyle name="20% - Accent2 3 3 4 3 2 2" xfId="21616" xr:uid="{00000000-0005-0000-0000-00008D100000}"/>
    <cellStyle name="20% - Accent2 3 3 4 3 2 2 2" xfId="44218" xr:uid="{00000000-0005-0000-0000-00008E100000}"/>
    <cellStyle name="20% - Accent2 3 3 4 3 2 3" xfId="32917" xr:uid="{00000000-0005-0000-0000-00008F100000}"/>
    <cellStyle name="20% - Accent2 3 3 4 3 3" xfId="15966" xr:uid="{00000000-0005-0000-0000-000090100000}"/>
    <cellStyle name="20% - Accent2 3 3 4 3 3 2" xfId="38568" xr:uid="{00000000-0005-0000-0000-000091100000}"/>
    <cellStyle name="20% - Accent2 3 3 4 3 4" xfId="27267" xr:uid="{00000000-0005-0000-0000-000092100000}"/>
    <cellStyle name="20% - Accent2 3 3 4 4" xfId="6852" xr:uid="{00000000-0005-0000-0000-000093100000}"/>
    <cellStyle name="20% - Accent2 3 3 4 4 2" xfId="18153" xr:uid="{00000000-0005-0000-0000-000094100000}"/>
    <cellStyle name="20% - Accent2 3 3 4 4 2 2" xfId="40755" xr:uid="{00000000-0005-0000-0000-000095100000}"/>
    <cellStyle name="20% - Accent2 3 3 4 4 3" xfId="29454" xr:uid="{00000000-0005-0000-0000-000096100000}"/>
    <cellStyle name="20% - Accent2 3 3 4 5" xfId="12503" xr:uid="{00000000-0005-0000-0000-000097100000}"/>
    <cellStyle name="20% - Accent2 3 3 4 5 2" xfId="35105" xr:uid="{00000000-0005-0000-0000-000098100000}"/>
    <cellStyle name="20% - Accent2 3 3 4 6" xfId="23804" xr:uid="{00000000-0005-0000-0000-000099100000}"/>
    <cellStyle name="20% - Accent2 3 3 5" xfId="1535" xr:uid="{00000000-0005-0000-0000-00009A100000}"/>
    <cellStyle name="20% - Accent2 3 3 5 2" xfId="3531" xr:uid="{00000000-0005-0000-0000-00009B100000}"/>
    <cellStyle name="20% - Accent2 3 3 5 2 2" xfId="9250" xr:uid="{00000000-0005-0000-0000-00009C100000}"/>
    <cellStyle name="20% - Accent2 3 3 5 2 2 2" xfId="20551" xr:uid="{00000000-0005-0000-0000-00009D100000}"/>
    <cellStyle name="20% - Accent2 3 3 5 2 2 2 2" xfId="43153" xr:uid="{00000000-0005-0000-0000-00009E100000}"/>
    <cellStyle name="20% - Accent2 3 3 5 2 2 3" xfId="31852" xr:uid="{00000000-0005-0000-0000-00009F100000}"/>
    <cellStyle name="20% - Accent2 3 3 5 2 3" xfId="14901" xr:uid="{00000000-0005-0000-0000-0000A0100000}"/>
    <cellStyle name="20% - Accent2 3 3 5 2 3 2" xfId="37503" xr:uid="{00000000-0005-0000-0000-0000A1100000}"/>
    <cellStyle name="20% - Accent2 3 3 5 2 4" xfId="26202" xr:uid="{00000000-0005-0000-0000-0000A2100000}"/>
    <cellStyle name="20% - Accent2 3 3 5 3" xfId="5275" xr:uid="{00000000-0005-0000-0000-0000A3100000}"/>
    <cellStyle name="20% - Accent2 3 3 5 3 2" xfId="10925" xr:uid="{00000000-0005-0000-0000-0000A4100000}"/>
    <cellStyle name="20% - Accent2 3 3 5 3 2 2" xfId="22226" xr:uid="{00000000-0005-0000-0000-0000A5100000}"/>
    <cellStyle name="20% - Accent2 3 3 5 3 2 2 2" xfId="44828" xr:uid="{00000000-0005-0000-0000-0000A6100000}"/>
    <cellStyle name="20% - Accent2 3 3 5 3 2 3" xfId="33527" xr:uid="{00000000-0005-0000-0000-0000A7100000}"/>
    <cellStyle name="20% - Accent2 3 3 5 3 3" xfId="16576" xr:uid="{00000000-0005-0000-0000-0000A8100000}"/>
    <cellStyle name="20% - Accent2 3 3 5 3 3 2" xfId="39178" xr:uid="{00000000-0005-0000-0000-0000A9100000}"/>
    <cellStyle name="20% - Accent2 3 3 5 3 4" xfId="27877" xr:uid="{00000000-0005-0000-0000-0000AA100000}"/>
    <cellStyle name="20% - Accent2 3 3 5 4" xfId="7391" xr:uid="{00000000-0005-0000-0000-0000AB100000}"/>
    <cellStyle name="20% - Accent2 3 3 5 4 2" xfId="18692" xr:uid="{00000000-0005-0000-0000-0000AC100000}"/>
    <cellStyle name="20% - Accent2 3 3 5 4 2 2" xfId="41294" xr:uid="{00000000-0005-0000-0000-0000AD100000}"/>
    <cellStyle name="20% - Accent2 3 3 5 4 3" xfId="29993" xr:uid="{00000000-0005-0000-0000-0000AE100000}"/>
    <cellStyle name="20% - Accent2 3 3 5 5" xfId="13042" xr:uid="{00000000-0005-0000-0000-0000AF100000}"/>
    <cellStyle name="20% - Accent2 3 3 5 5 2" xfId="35644" xr:uid="{00000000-0005-0000-0000-0000B0100000}"/>
    <cellStyle name="20% - Accent2 3 3 5 6" xfId="24343" xr:uid="{00000000-0005-0000-0000-0000B1100000}"/>
    <cellStyle name="20% - Accent2 3 3 6" xfId="2254" xr:uid="{00000000-0005-0000-0000-0000B2100000}"/>
    <cellStyle name="20% - Accent2 3 3 6 2" xfId="8090" xr:uid="{00000000-0005-0000-0000-0000B3100000}"/>
    <cellStyle name="20% - Accent2 3 3 6 2 2" xfId="19391" xr:uid="{00000000-0005-0000-0000-0000B4100000}"/>
    <cellStyle name="20% - Accent2 3 3 6 2 2 2" xfId="41993" xr:uid="{00000000-0005-0000-0000-0000B5100000}"/>
    <cellStyle name="20% - Accent2 3 3 6 2 3" xfId="30692" xr:uid="{00000000-0005-0000-0000-0000B6100000}"/>
    <cellStyle name="20% - Accent2 3 3 6 3" xfId="13741" xr:uid="{00000000-0005-0000-0000-0000B7100000}"/>
    <cellStyle name="20% - Accent2 3 3 6 3 2" xfId="36343" xr:uid="{00000000-0005-0000-0000-0000B8100000}"/>
    <cellStyle name="20% - Accent2 3 3 6 4" xfId="25042" xr:uid="{00000000-0005-0000-0000-0000B9100000}"/>
    <cellStyle name="20% - Accent2 3 3 7" xfId="4041" xr:uid="{00000000-0005-0000-0000-0000BA100000}"/>
    <cellStyle name="20% - Accent2 3 3 7 2" xfId="9691" xr:uid="{00000000-0005-0000-0000-0000BB100000}"/>
    <cellStyle name="20% - Accent2 3 3 7 2 2" xfId="20992" xr:uid="{00000000-0005-0000-0000-0000BC100000}"/>
    <cellStyle name="20% - Accent2 3 3 7 2 2 2" xfId="43594" xr:uid="{00000000-0005-0000-0000-0000BD100000}"/>
    <cellStyle name="20% - Accent2 3 3 7 2 3" xfId="32293" xr:uid="{00000000-0005-0000-0000-0000BE100000}"/>
    <cellStyle name="20% - Accent2 3 3 7 3" xfId="15342" xr:uid="{00000000-0005-0000-0000-0000BF100000}"/>
    <cellStyle name="20% - Accent2 3 3 7 3 2" xfId="37944" xr:uid="{00000000-0005-0000-0000-0000C0100000}"/>
    <cellStyle name="20% - Accent2 3 3 7 4" xfId="26643" xr:uid="{00000000-0005-0000-0000-0000C1100000}"/>
    <cellStyle name="20% - Accent2 3 3 8" xfId="6492" xr:uid="{00000000-0005-0000-0000-0000C2100000}"/>
    <cellStyle name="20% - Accent2 3 3 8 2" xfId="17793" xr:uid="{00000000-0005-0000-0000-0000C3100000}"/>
    <cellStyle name="20% - Accent2 3 3 8 2 2" xfId="40395" xr:uid="{00000000-0005-0000-0000-0000C4100000}"/>
    <cellStyle name="20% - Accent2 3 3 8 3" xfId="29094" xr:uid="{00000000-0005-0000-0000-0000C5100000}"/>
    <cellStyle name="20% - Accent2 3 3 9" xfId="12143" xr:uid="{00000000-0005-0000-0000-0000C6100000}"/>
    <cellStyle name="20% - Accent2 3 3 9 2" xfId="34745" xr:uid="{00000000-0005-0000-0000-0000C7100000}"/>
    <cellStyle name="20% - Accent2 3 4" xfId="487" xr:uid="{00000000-0005-0000-0000-0000C8100000}"/>
    <cellStyle name="20% - Accent2 3 4 2" xfId="1070" xr:uid="{00000000-0005-0000-0000-0000C9100000}"/>
    <cellStyle name="20% - Accent2 3 4 2 2" xfId="1540" xr:uid="{00000000-0005-0000-0000-0000CA100000}"/>
    <cellStyle name="20% - Accent2 3 4 2 2 2" xfId="3137" xr:uid="{00000000-0005-0000-0000-0000CB100000}"/>
    <cellStyle name="20% - Accent2 3 4 2 2 2 2" xfId="6109" xr:uid="{00000000-0005-0000-0000-0000CC100000}"/>
    <cellStyle name="20% - Accent2 3 4 2 2 2 2 2" xfId="11759" xr:uid="{00000000-0005-0000-0000-0000CD100000}"/>
    <cellStyle name="20% - Accent2 3 4 2 2 2 2 2 2" xfId="23060" xr:uid="{00000000-0005-0000-0000-0000CE100000}"/>
    <cellStyle name="20% - Accent2 3 4 2 2 2 2 2 2 2" xfId="45662" xr:uid="{00000000-0005-0000-0000-0000CF100000}"/>
    <cellStyle name="20% - Accent2 3 4 2 2 2 2 2 3" xfId="34361" xr:uid="{00000000-0005-0000-0000-0000D0100000}"/>
    <cellStyle name="20% - Accent2 3 4 2 2 2 2 3" xfId="17410" xr:uid="{00000000-0005-0000-0000-0000D1100000}"/>
    <cellStyle name="20% - Accent2 3 4 2 2 2 2 3 2" xfId="40012" xr:uid="{00000000-0005-0000-0000-0000D2100000}"/>
    <cellStyle name="20% - Accent2 3 4 2 2 2 2 4" xfId="28711" xr:uid="{00000000-0005-0000-0000-0000D3100000}"/>
    <cellStyle name="20% - Accent2 3 4 2 2 2 3" xfId="8927" xr:uid="{00000000-0005-0000-0000-0000D4100000}"/>
    <cellStyle name="20% - Accent2 3 4 2 2 2 3 2" xfId="20228" xr:uid="{00000000-0005-0000-0000-0000D5100000}"/>
    <cellStyle name="20% - Accent2 3 4 2 2 2 3 2 2" xfId="42830" xr:uid="{00000000-0005-0000-0000-0000D6100000}"/>
    <cellStyle name="20% - Accent2 3 4 2 2 2 3 3" xfId="31529" xr:uid="{00000000-0005-0000-0000-0000D7100000}"/>
    <cellStyle name="20% - Accent2 3 4 2 2 2 4" xfId="14578" xr:uid="{00000000-0005-0000-0000-0000D8100000}"/>
    <cellStyle name="20% - Accent2 3 4 2 2 2 4 2" xfId="37180" xr:uid="{00000000-0005-0000-0000-0000D9100000}"/>
    <cellStyle name="20% - Accent2 3 4 2 2 2 5" xfId="25879" xr:uid="{00000000-0005-0000-0000-0000DA100000}"/>
    <cellStyle name="20% - Accent2 3 4 2 2 3" xfId="4875" xr:uid="{00000000-0005-0000-0000-0000DB100000}"/>
    <cellStyle name="20% - Accent2 3 4 2 2 3 2" xfId="10525" xr:uid="{00000000-0005-0000-0000-0000DC100000}"/>
    <cellStyle name="20% - Accent2 3 4 2 2 3 2 2" xfId="21826" xr:uid="{00000000-0005-0000-0000-0000DD100000}"/>
    <cellStyle name="20% - Accent2 3 4 2 2 3 2 2 2" xfId="44428" xr:uid="{00000000-0005-0000-0000-0000DE100000}"/>
    <cellStyle name="20% - Accent2 3 4 2 2 3 2 3" xfId="33127" xr:uid="{00000000-0005-0000-0000-0000DF100000}"/>
    <cellStyle name="20% - Accent2 3 4 2 2 3 3" xfId="16176" xr:uid="{00000000-0005-0000-0000-0000E0100000}"/>
    <cellStyle name="20% - Accent2 3 4 2 2 3 3 2" xfId="38778" xr:uid="{00000000-0005-0000-0000-0000E1100000}"/>
    <cellStyle name="20% - Accent2 3 4 2 2 3 4" xfId="27477" xr:uid="{00000000-0005-0000-0000-0000E2100000}"/>
    <cellStyle name="20% - Accent2 3 4 2 2 4" xfId="7396" xr:uid="{00000000-0005-0000-0000-0000E3100000}"/>
    <cellStyle name="20% - Accent2 3 4 2 2 4 2" xfId="18697" xr:uid="{00000000-0005-0000-0000-0000E4100000}"/>
    <cellStyle name="20% - Accent2 3 4 2 2 4 2 2" xfId="41299" xr:uid="{00000000-0005-0000-0000-0000E5100000}"/>
    <cellStyle name="20% - Accent2 3 4 2 2 4 3" xfId="29998" xr:uid="{00000000-0005-0000-0000-0000E6100000}"/>
    <cellStyle name="20% - Accent2 3 4 2 2 5" xfId="13047" xr:uid="{00000000-0005-0000-0000-0000E7100000}"/>
    <cellStyle name="20% - Accent2 3 4 2 2 5 2" xfId="35649" xr:uid="{00000000-0005-0000-0000-0000E8100000}"/>
    <cellStyle name="20% - Accent2 3 4 2 2 6" xfId="24348" xr:uid="{00000000-0005-0000-0000-0000E9100000}"/>
    <cellStyle name="20% - Accent2 3 4 2 3" xfId="2466" xr:uid="{00000000-0005-0000-0000-0000EA100000}"/>
    <cellStyle name="20% - Accent2 3 4 2 3 2" xfId="5485" xr:uid="{00000000-0005-0000-0000-0000EB100000}"/>
    <cellStyle name="20% - Accent2 3 4 2 3 2 2" xfId="11135" xr:uid="{00000000-0005-0000-0000-0000EC100000}"/>
    <cellStyle name="20% - Accent2 3 4 2 3 2 2 2" xfId="22436" xr:uid="{00000000-0005-0000-0000-0000ED100000}"/>
    <cellStyle name="20% - Accent2 3 4 2 3 2 2 2 2" xfId="45038" xr:uid="{00000000-0005-0000-0000-0000EE100000}"/>
    <cellStyle name="20% - Accent2 3 4 2 3 2 2 3" xfId="33737" xr:uid="{00000000-0005-0000-0000-0000EF100000}"/>
    <cellStyle name="20% - Accent2 3 4 2 3 2 3" xfId="16786" xr:uid="{00000000-0005-0000-0000-0000F0100000}"/>
    <cellStyle name="20% - Accent2 3 4 2 3 2 3 2" xfId="39388" xr:uid="{00000000-0005-0000-0000-0000F1100000}"/>
    <cellStyle name="20% - Accent2 3 4 2 3 2 4" xfId="28087" xr:uid="{00000000-0005-0000-0000-0000F2100000}"/>
    <cellStyle name="20% - Accent2 3 4 2 3 3" xfId="8302" xr:uid="{00000000-0005-0000-0000-0000F3100000}"/>
    <cellStyle name="20% - Accent2 3 4 2 3 3 2" xfId="19603" xr:uid="{00000000-0005-0000-0000-0000F4100000}"/>
    <cellStyle name="20% - Accent2 3 4 2 3 3 2 2" xfId="42205" xr:uid="{00000000-0005-0000-0000-0000F5100000}"/>
    <cellStyle name="20% - Accent2 3 4 2 3 3 3" xfId="30904" xr:uid="{00000000-0005-0000-0000-0000F6100000}"/>
    <cellStyle name="20% - Accent2 3 4 2 3 4" xfId="13953" xr:uid="{00000000-0005-0000-0000-0000F7100000}"/>
    <cellStyle name="20% - Accent2 3 4 2 3 4 2" xfId="36555" xr:uid="{00000000-0005-0000-0000-0000F8100000}"/>
    <cellStyle name="20% - Accent2 3 4 2 3 5" xfId="25254" xr:uid="{00000000-0005-0000-0000-0000F9100000}"/>
    <cellStyle name="20% - Accent2 3 4 2 4" xfId="4251" xr:uid="{00000000-0005-0000-0000-0000FA100000}"/>
    <cellStyle name="20% - Accent2 3 4 2 4 2" xfId="9901" xr:uid="{00000000-0005-0000-0000-0000FB100000}"/>
    <cellStyle name="20% - Accent2 3 4 2 4 2 2" xfId="21202" xr:uid="{00000000-0005-0000-0000-0000FC100000}"/>
    <cellStyle name="20% - Accent2 3 4 2 4 2 2 2" xfId="43804" xr:uid="{00000000-0005-0000-0000-0000FD100000}"/>
    <cellStyle name="20% - Accent2 3 4 2 4 2 3" xfId="32503" xr:uid="{00000000-0005-0000-0000-0000FE100000}"/>
    <cellStyle name="20% - Accent2 3 4 2 4 3" xfId="15552" xr:uid="{00000000-0005-0000-0000-0000FF100000}"/>
    <cellStyle name="20% - Accent2 3 4 2 4 3 2" xfId="38154" xr:uid="{00000000-0005-0000-0000-000000110000}"/>
    <cellStyle name="20% - Accent2 3 4 2 4 4" xfId="26853" xr:uid="{00000000-0005-0000-0000-000001110000}"/>
    <cellStyle name="20% - Accent2 3 4 2 5" xfId="7049" xr:uid="{00000000-0005-0000-0000-000002110000}"/>
    <cellStyle name="20% - Accent2 3 4 2 5 2" xfId="18350" xr:uid="{00000000-0005-0000-0000-000003110000}"/>
    <cellStyle name="20% - Accent2 3 4 2 5 2 2" xfId="40952" xr:uid="{00000000-0005-0000-0000-000004110000}"/>
    <cellStyle name="20% - Accent2 3 4 2 5 3" xfId="29651" xr:uid="{00000000-0005-0000-0000-000005110000}"/>
    <cellStyle name="20% - Accent2 3 4 2 6" xfId="12700" xr:uid="{00000000-0005-0000-0000-000006110000}"/>
    <cellStyle name="20% - Accent2 3 4 2 6 2" xfId="35302" xr:uid="{00000000-0005-0000-0000-000007110000}"/>
    <cellStyle name="20% - Accent2 3 4 2 7" xfId="24001" xr:uid="{00000000-0005-0000-0000-000008110000}"/>
    <cellStyle name="20% - Accent2 3 4 3" xfId="741" xr:uid="{00000000-0005-0000-0000-000009110000}"/>
    <cellStyle name="20% - Accent2 3 4 3 2" xfId="2831" xr:uid="{00000000-0005-0000-0000-00000A110000}"/>
    <cellStyle name="20% - Accent2 3 4 3 2 2" xfId="5803" xr:uid="{00000000-0005-0000-0000-00000B110000}"/>
    <cellStyle name="20% - Accent2 3 4 3 2 2 2" xfId="11453" xr:uid="{00000000-0005-0000-0000-00000C110000}"/>
    <cellStyle name="20% - Accent2 3 4 3 2 2 2 2" xfId="22754" xr:uid="{00000000-0005-0000-0000-00000D110000}"/>
    <cellStyle name="20% - Accent2 3 4 3 2 2 2 2 2" xfId="45356" xr:uid="{00000000-0005-0000-0000-00000E110000}"/>
    <cellStyle name="20% - Accent2 3 4 3 2 2 2 3" xfId="34055" xr:uid="{00000000-0005-0000-0000-00000F110000}"/>
    <cellStyle name="20% - Accent2 3 4 3 2 2 3" xfId="17104" xr:uid="{00000000-0005-0000-0000-000010110000}"/>
    <cellStyle name="20% - Accent2 3 4 3 2 2 3 2" xfId="39706" xr:uid="{00000000-0005-0000-0000-000011110000}"/>
    <cellStyle name="20% - Accent2 3 4 3 2 2 4" xfId="28405" xr:uid="{00000000-0005-0000-0000-000012110000}"/>
    <cellStyle name="20% - Accent2 3 4 3 2 3" xfId="8621" xr:uid="{00000000-0005-0000-0000-000013110000}"/>
    <cellStyle name="20% - Accent2 3 4 3 2 3 2" xfId="19922" xr:uid="{00000000-0005-0000-0000-000014110000}"/>
    <cellStyle name="20% - Accent2 3 4 3 2 3 2 2" xfId="42524" xr:uid="{00000000-0005-0000-0000-000015110000}"/>
    <cellStyle name="20% - Accent2 3 4 3 2 3 3" xfId="31223" xr:uid="{00000000-0005-0000-0000-000016110000}"/>
    <cellStyle name="20% - Accent2 3 4 3 2 4" xfId="14272" xr:uid="{00000000-0005-0000-0000-000017110000}"/>
    <cellStyle name="20% - Accent2 3 4 3 2 4 2" xfId="36874" xr:uid="{00000000-0005-0000-0000-000018110000}"/>
    <cellStyle name="20% - Accent2 3 4 3 2 5" xfId="25573" xr:uid="{00000000-0005-0000-0000-000019110000}"/>
    <cellStyle name="20% - Accent2 3 4 3 3" xfId="4569" xr:uid="{00000000-0005-0000-0000-00001A110000}"/>
    <cellStyle name="20% - Accent2 3 4 3 3 2" xfId="10219" xr:uid="{00000000-0005-0000-0000-00001B110000}"/>
    <cellStyle name="20% - Accent2 3 4 3 3 2 2" xfId="21520" xr:uid="{00000000-0005-0000-0000-00001C110000}"/>
    <cellStyle name="20% - Accent2 3 4 3 3 2 2 2" xfId="44122" xr:uid="{00000000-0005-0000-0000-00001D110000}"/>
    <cellStyle name="20% - Accent2 3 4 3 3 2 3" xfId="32821" xr:uid="{00000000-0005-0000-0000-00001E110000}"/>
    <cellStyle name="20% - Accent2 3 4 3 3 3" xfId="15870" xr:uid="{00000000-0005-0000-0000-00001F110000}"/>
    <cellStyle name="20% - Accent2 3 4 3 3 3 2" xfId="38472" xr:uid="{00000000-0005-0000-0000-000020110000}"/>
    <cellStyle name="20% - Accent2 3 4 3 3 4" xfId="27171" xr:uid="{00000000-0005-0000-0000-000021110000}"/>
    <cellStyle name="20% - Accent2 3 4 3 4" xfId="6752" xr:uid="{00000000-0005-0000-0000-000022110000}"/>
    <cellStyle name="20% - Accent2 3 4 3 4 2" xfId="18053" xr:uid="{00000000-0005-0000-0000-000023110000}"/>
    <cellStyle name="20% - Accent2 3 4 3 4 2 2" xfId="40655" xr:uid="{00000000-0005-0000-0000-000024110000}"/>
    <cellStyle name="20% - Accent2 3 4 3 4 3" xfId="29354" xr:uid="{00000000-0005-0000-0000-000025110000}"/>
    <cellStyle name="20% - Accent2 3 4 3 5" xfId="12403" xr:uid="{00000000-0005-0000-0000-000026110000}"/>
    <cellStyle name="20% - Accent2 3 4 3 5 2" xfId="35005" xr:uid="{00000000-0005-0000-0000-000027110000}"/>
    <cellStyle name="20% - Accent2 3 4 3 6" xfId="23704" xr:uid="{00000000-0005-0000-0000-000028110000}"/>
    <cellStyle name="20% - Accent2 3 4 4" xfId="1539" xr:uid="{00000000-0005-0000-0000-000029110000}"/>
    <cellStyle name="20% - Accent2 3 4 4 2" xfId="3524" xr:uid="{00000000-0005-0000-0000-00002A110000}"/>
    <cellStyle name="20% - Accent2 3 4 4 2 2" xfId="9247" xr:uid="{00000000-0005-0000-0000-00002B110000}"/>
    <cellStyle name="20% - Accent2 3 4 4 2 2 2" xfId="20548" xr:uid="{00000000-0005-0000-0000-00002C110000}"/>
    <cellStyle name="20% - Accent2 3 4 4 2 2 2 2" xfId="43150" xr:uid="{00000000-0005-0000-0000-00002D110000}"/>
    <cellStyle name="20% - Accent2 3 4 4 2 2 3" xfId="31849" xr:uid="{00000000-0005-0000-0000-00002E110000}"/>
    <cellStyle name="20% - Accent2 3 4 4 2 3" xfId="14898" xr:uid="{00000000-0005-0000-0000-00002F110000}"/>
    <cellStyle name="20% - Accent2 3 4 4 2 3 2" xfId="37500" xr:uid="{00000000-0005-0000-0000-000030110000}"/>
    <cellStyle name="20% - Accent2 3 4 4 2 4" xfId="26199" xr:uid="{00000000-0005-0000-0000-000031110000}"/>
    <cellStyle name="20% - Accent2 3 4 4 3" xfId="5179" xr:uid="{00000000-0005-0000-0000-000032110000}"/>
    <cellStyle name="20% - Accent2 3 4 4 3 2" xfId="10829" xr:uid="{00000000-0005-0000-0000-000033110000}"/>
    <cellStyle name="20% - Accent2 3 4 4 3 2 2" xfId="22130" xr:uid="{00000000-0005-0000-0000-000034110000}"/>
    <cellStyle name="20% - Accent2 3 4 4 3 2 2 2" xfId="44732" xr:uid="{00000000-0005-0000-0000-000035110000}"/>
    <cellStyle name="20% - Accent2 3 4 4 3 2 3" xfId="33431" xr:uid="{00000000-0005-0000-0000-000036110000}"/>
    <cellStyle name="20% - Accent2 3 4 4 3 3" xfId="16480" xr:uid="{00000000-0005-0000-0000-000037110000}"/>
    <cellStyle name="20% - Accent2 3 4 4 3 3 2" xfId="39082" xr:uid="{00000000-0005-0000-0000-000038110000}"/>
    <cellStyle name="20% - Accent2 3 4 4 3 4" xfId="27781" xr:uid="{00000000-0005-0000-0000-000039110000}"/>
    <cellStyle name="20% - Accent2 3 4 4 4" xfId="7395" xr:uid="{00000000-0005-0000-0000-00003A110000}"/>
    <cellStyle name="20% - Accent2 3 4 4 4 2" xfId="18696" xr:uid="{00000000-0005-0000-0000-00003B110000}"/>
    <cellStyle name="20% - Accent2 3 4 4 4 2 2" xfId="41298" xr:uid="{00000000-0005-0000-0000-00003C110000}"/>
    <cellStyle name="20% - Accent2 3 4 4 4 3" xfId="29997" xr:uid="{00000000-0005-0000-0000-00003D110000}"/>
    <cellStyle name="20% - Accent2 3 4 4 5" xfId="13046" xr:uid="{00000000-0005-0000-0000-00003E110000}"/>
    <cellStyle name="20% - Accent2 3 4 4 5 2" xfId="35648" xr:uid="{00000000-0005-0000-0000-00003F110000}"/>
    <cellStyle name="20% - Accent2 3 4 4 6" xfId="24347" xr:uid="{00000000-0005-0000-0000-000040110000}"/>
    <cellStyle name="20% - Accent2 3 4 5" xfId="2151" xr:uid="{00000000-0005-0000-0000-000041110000}"/>
    <cellStyle name="20% - Accent2 3 4 5 2" xfId="7993" xr:uid="{00000000-0005-0000-0000-000042110000}"/>
    <cellStyle name="20% - Accent2 3 4 5 2 2" xfId="19294" xr:uid="{00000000-0005-0000-0000-000043110000}"/>
    <cellStyle name="20% - Accent2 3 4 5 2 2 2" xfId="41896" xr:uid="{00000000-0005-0000-0000-000044110000}"/>
    <cellStyle name="20% - Accent2 3 4 5 2 3" xfId="30595" xr:uid="{00000000-0005-0000-0000-000045110000}"/>
    <cellStyle name="20% - Accent2 3 4 5 3" xfId="13644" xr:uid="{00000000-0005-0000-0000-000046110000}"/>
    <cellStyle name="20% - Accent2 3 4 5 3 2" xfId="36246" xr:uid="{00000000-0005-0000-0000-000047110000}"/>
    <cellStyle name="20% - Accent2 3 4 5 4" xfId="24945" xr:uid="{00000000-0005-0000-0000-000048110000}"/>
    <cellStyle name="20% - Accent2 3 4 6" xfId="3945" xr:uid="{00000000-0005-0000-0000-000049110000}"/>
    <cellStyle name="20% - Accent2 3 4 6 2" xfId="9595" xr:uid="{00000000-0005-0000-0000-00004A110000}"/>
    <cellStyle name="20% - Accent2 3 4 6 2 2" xfId="20896" xr:uid="{00000000-0005-0000-0000-00004B110000}"/>
    <cellStyle name="20% - Accent2 3 4 6 2 2 2" xfId="43498" xr:uid="{00000000-0005-0000-0000-00004C110000}"/>
    <cellStyle name="20% - Accent2 3 4 6 2 3" xfId="32197" xr:uid="{00000000-0005-0000-0000-00004D110000}"/>
    <cellStyle name="20% - Accent2 3 4 6 3" xfId="15246" xr:uid="{00000000-0005-0000-0000-00004E110000}"/>
    <cellStyle name="20% - Accent2 3 4 6 3 2" xfId="37848" xr:uid="{00000000-0005-0000-0000-00004F110000}"/>
    <cellStyle name="20% - Accent2 3 4 6 4" xfId="26547" xr:uid="{00000000-0005-0000-0000-000050110000}"/>
    <cellStyle name="20% - Accent2 3 4 7" xfId="6563" xr:uid="{00000000-0005-0000-0000-000051110000}"/>
    <cellStyle name="20% - Accent2 3 4 7 2" xfId="17864" xr:uid="{00000000-0005-0000-0000-000052110000}"/>
    <cellStyle name="20% - Accent2 3 4 7 2 2" xfId="40466" xr:uid="{00000000-0005-0000-0000-000053110000}"/>
    <cellStyle name="20% - Accent2 3 4 7 3" xfId="29165" xr:uid="{00000000-0005-0000-0000-000054110000}"/>
    <cellStyle name="20% - Accent2 3 4 8" xfId="12214" xr:uid="{00000000-0005-0000-0000-000055110000}"/>
    <cellStyle name="20% - Accent2 3 4 8 2" xfId="34816" xr:uid="{00000000-0005-0000-0000-000056110000}"/>
    <cellStyle name="20% - Accent2 3 4 9" xfId="23515" xr:uid="{00000000-0005-0000-0000-000057110000}"/>
    <cellStyle name="20% - Accent2 3 5" xfId="390" xr:uid="{00000000-0005-0000-0000-000058110000}"/>
    <cellStyle name="20% - Accent2 3 6" xfId="733" xr:uid="{00000000-0005-0000-0000-000059110000}"/>
    <cellStyle name="20% - Accent2 3 7" xfId="6396" xr:uid="{00000000-0005-0000-0000-00005A110000}"/>
    <cellStyle name="20% - Accent2 3 7 2" xfId="17697" xr:uid="{00000000-0005-0000-0000-00005B110000}"/>
    <cellStyle name="20% - Accent2 3 7 2 2" xfId="40299" xr:uid="{00000000-0005-0000-0000-00005C110000}"/>
    <cellStyle name="20% - Accent2 3 7 3" xfId="28998" xr:uid="{00000000-0005-0000-0000-00005D110000}"/>
    <cellStyle name="20% - Accent2 3 8" xfId="12047" xr:uid="{00000000-0005-0000-0000-00005E110000}"/>
    <cellStyle name="20% - Accent2 3 8 2" xfId="34649" xr:uid="{00000000-0005-0000-0000-00005F110000}"/>
    <cellStyle name="20% - Accent2 3 9" xfId="23348" xr:uid="{00000000-0005-0000-0000-000060110000}"/>
    <cellStyle name="20% - Accent2 4" xfId="178" xr:uid="{00000000-0005-0000-0000-000061110000}"/>
    <cellStyle name="20% - Accent2 4 10" xfId="3931" xr:uid="{00000000-0005-0000-0000-000062110000}"/>
    <cellStyle name="20% - Accent2 4 10 2" xfId="9581" xr:uid="{00000000-0005-0000-0000-000063110000}"/>
    <cellStyle name="20% - Accent2 4 10 2 2" xfId="20882" xr:uid="{00000000-0005-0000-0000-000064110000}"/>
    <cellStyle name="20% - Accent2 4 10 2 2 2" xfId="43484" xr:uid="{00000000-0005-0000-0000-000065110000}"/>
    <cellStyle name="20% - Accent2 4 10 2 3" xfId="32183" xr:uid="{00000000-0005-0000-0000-000066110000}"/>
    <cellStyle name="20% - Accent2 4 10 3" xfId="15232" xr:uid="{00000000-0005-0000-0000-000067110000}"/>
    <cellStyle name="20% - Accent2 4 10 3 2" xfId="37834" xr:uid="{00000000-0005-0000-0000-000068110000}"/>
    <cellStyle name="20% - Accent2 4 10 4" xfId="26533" xr:uid="{00000000-0005-0000-0000-000069110000}"/>
    <cellStyle name="20% - Accent2 4 11" xfId="6410" xr:uid="{00000000-0005-0000-0000-00006A110000}"/>
    <cellStyle name="20% - Accent2 4 11 2" xfId="17711" xr:uid="{00000000-0005-0000-0000-00006B110000}"/>
    <cellStyle name="20% - Accent2 4 11 2 2" xfId="40313" xr:uid="{00000000-0005-0000-0000-00006C110000}"/>
    <cellStyle name="20% - Accent2 4 11 3" xfId="29012" xr:uid="{00000000-0005-0000-0000-00006D110000}"/>
    <cellStyle name="20% - Accent2 4 12" xfId="12061" xr:uid="{00000000-0005-0000-0000-00006E110000}"/>
    <cellStyle name="20% - Accent2 4 12 2" xfId="34663" xr:uid="{00000000-0005-0000-0000-00006F110000}"/>
    <cellStyle name="20% - Accent2 4 13" xfId="23362" xr:uid="{00000000-0005-0000-0000-000070110000}"/>
    <cellStyle name="20% - Accent2 4 2" xfId="301" xr:uid="{00000000-0005-0000-0000-000071110000}"/>
    <cellStyle name="20% - Accent2 4 2 10" xfId="23409" xr:uid="{00000000-0005-0000-0000-000072110000}"/>
    <cellStyle name="20% - Accent2 4 2 2" xfId="559" xr:uid="{00000000-0005-0000-0000-000073110000}"/>
    <cellStyle name="20% - Accent2 4 2 2 2" xfId="1269" xr:uid="{00000000-0005-0000-0000-000074110000}"/>
    <cellStyle name="20% - Accent2 4 2 2 2 2" xfId="1544" xr:uid="{00000000-0005-0000-0000-000075110000}"/>
    <cellStyle name="20% - Accent2 4 2 2 2 2 2" xfId="3338" xr:uid="{00000000-0005-0000-0000-000076110000}"/>
    <cellStyle name="20% - Accent2 4 2 2 2 2 2 2" xfId="6310" xr:uid="{00000000-0005-0000-0000-000077110000}"/>
    <cellStyle name="20% - Accent2 4 2 2 2 2 2 2 2" xfId="11960" xr:uid="{00000000-0005-0000-0000-000078110000}"/>
    <cellStyle name="20% - Accent2 4 2 2 2 2 2 2 2 2" xfId="23261" xr:uid="{00000000-0005-0000-0000-000079110000}"/>
    <cellStyle name="20% - Accent2 4 2 2 2 2 2 2 2 2 2" xfId="45863" xr:uid="{00000000-0005-0000-0000-00007A110000}"/>
    <cellStyle name="20% - Accent2 4 2 2 2 2 2 2 2 3" xfId="34562" xr:uid="{00000000-0005-0000-0000-00007B110000}"/>
    <cellStyle name="20% - Accent2 4 2 2 2 2 2 2 3" xfId="17611" xr:uid="{00000000-0005-0000-0000-00007C110000}"/>
    <cellStyle name="20% - Accent2 4 2 2 2 2 2 2 3 2" xfId="40213" xr:uid="{00000000-0005-0000-0000-00007D110000}"/>
    <cellStyle name="20% - Accent2 4 2 2 2 2 2 2 4" xfId="28912" xr:uid="{00000000-0005-0000-0000-00007E110000}"/>
    <cellStyle name="20% - Accent2 4 2 2 2 2 2 3" xfId="9128" xr:uid="{00000000-0005-0000-0000-00007F110000}"/>
    <cellStyle name="20% - Accent2 4 2 2 2 2 2 3 2" xfId="20429" xr:uid="{00000000-0005-0000-0000-000080110000}"/>
    <cellStyle name="20% - Accent2 4 2 2 2 2 2 3 2 2" xfId="43031" xr:uid="{00000000-0005-0000-0000-000081110000}"/>
    <cellStyle name="20% - Accent2 4 2 2 2 2 2 3 3" xfId="31730" xr:uid="{00000000-0005-0000-0000-000082110000}"/>
    <cellStyle name="20% - Accent2 4 2 2 2 2 2 4" xfId="14779" xr:uid="{00000000-0005-0000-0000-000083110000}"/>
    <cellStyle name="20% - Accent2 4 2 2 2 2 2 4 2" xfId="37381" xr:uid="{00000000-0005-0000-0000-000084110000}"/>
    <cellStyle name="20% - Accent2 4 2 2 2 2 2 5" xfId="26080" xr:uid="{00000000-0005-0000-0000-000085110000}"/>
    <cellStyle name="20% - Accent2 4 2 2 2 2 3" xfId="5076" xr:uid="{00000000-0005-0000-0000-000086110000}"/>
    <cellStyle name="20% - Accent2 4 2 2 2 2 3 2" xfId="10726" xr:uid="{00000000-0005-0000-0000-000087110000}"/>
    <cellStyle name="20% - Accent2 4 2 2 2 2 3 2 2" xfId="22027" xr:uid="{00000000-0005-0000-0000-000088110000}"/>
    <cellStyle name="20% - Accent2 4 2 2 2 2 3 2 2 2" xfId="44629" xr:uid="{00000000-0005-0000-0000-000089110000}"/>
    <cellStyle name="20% - Accent2 4 2 2 2 2 3 2 3" xfId="33328" xr:uid="{00000000-0005-0000-0000-00008A110000}"/>
    <cellStyle name="20% - Accent2 4 2 2 2 2 3 3" xfId="16377" xr:uid="{00000000-0005-0000-0000-00008B110000}"/>
    <cellStyle name="20% - Accent2 4 2 2 2 2 3 3 2" xfId="38979" xr:uid="{00000000-0005-0000-0000-00008C110000}"/>
    <cellStyle name="20% - Accent2 4 2 2 2 2 3 4" xfId="27678" xr:uid="{00000000-0005-0000-0000-00008D110000}"/>
    <cellStyle name="20% - Accent2 4 2 2 2 2 4" xfId="7400" xr:uid="{00000000-0005-0000-0000-00008E110000}"/>
    <cellStyle name="20% - Accent2 4 2 2 2 2 4 2" xfId="18701" xr:uid="{00000000-0005-0000-0000-00008F110000}"/>
    <cellStyle name="20% - Accent2 4 2 2 2 2 4 2 2" xfId="41303" xr:uid="{00000000-0005-0000-0000-000090110000}"/>
    <cellStyle name="20% - Accent2 4 2 2 2 2 4 3" xfId="30002" xr:uid="{00000000-0005-0000-0000-000091110000}"/>
    <cellStyle name="20% - Accent2 4 2 2 2 2 5" xfId="13051" xr:uid="{00000000-0005-0000-0000-000092110000}"/>
    <cellStyle name="20% - Accent2 4 2 2 2 2 5 2" xfId="35653" xr:uid="{00000000-0005-0000-0000-000093110000}"/>
    <cellStyle name="20% - Accent2 4 2 2 2 2 6" xfId="24352" xr:uid="{00000000-0005-0000-0000-000094110000}"/>
    <cellStyle name="20% - Accent2 4 2 2 2 3" xfId="2667" xr:uid="{00000000-0005-0000-0000-000095110000}"/>
    <cellStyle name="20% - Accent2 4 2 2 2 3 2" xfId="5686" xr:uid="{00000000-0005-0000-0000-000096110000}"/>
    <cellStyle name="20% - Accent2 4 2 2 2 3 2 2" xfId="11336" xr:uid="{00000000-0005-0000-0000-000097110000}"/>
    <cellStyle name="20% - Accent2 4 2 2 2 3 2 2 2" xfId="22637" xr:uid="{00000000-0005-0000-0000-000098110000}"/>
    <cellStyle name="20% - Accent2 4 2 2 2 3 2 2 2 2" xfId="45239" xr:uid="{00000000-0005-0000-0000-000099110000}"/>
    <cellStyle name="20% - Accent2 4 2 2 2 3 2 2 3" xfId="33938" xr:uid="{00000000-0005-0000-0000-00009A110000}"/>
    <cellStyle name="20% - Accent2 4 2 2 2 3 2 3" xfId="16987" xr:uid="{00000000-0005-0000-0000-00009B110000}"/>
    <cellStyle name="20% - Accent2 4 2 2 2 3 2 3 2" xfId="39589" xr:uid="{00000000-0005-0000-0000-00009C110000}"/>
    <cellStyle name="20% - Accent2 4 2 2 2 3 2 4" xfId="28288" xr:uid="{00000000-0005-0000-0000-00009D110000}"/>
    <cellStyle name="20% - Accent2 4 2 2 2 3 3" xfId="8503" xr:uid="{00000000-0005-0000-0000-00009E110000}"/>
    <cellStyle name="20% - Accent2 4 2 2 2 3 3 2" xfId="19804" xr:uid="{00000000-0005-0000-0000-00009F110000}"/>
    <cellStyle name="20% - Accent2 4 2 2 2 3 3 2 2" xfId="42406" xr:uid="{00000000-0005-0000-0000-0000A0110000}"/>
    <cellStyle name="20% - Accent2 4 2 2 2 3 3 3" xfId="31105" xr:uid="{00000000-0005-0000-0000-0000A1110000}"/>
    <cellStyle name="20% - Accent2 4 2 2 2 3 4" xfId="14154" xr:uid="{00000000-0005-0000-0000-0000A2110000}"/>
    <cellStyle name="20% - Accent2 4 2 2 2 3 4 2" xfId="36756" xr:uid="{00000000-0005-0000-0000-0000A3110000}"/>
    <cellStyle name="20% - Accent2 4 2 2 2 3 5" xfId="25455" xr:uid="{00000000-0005-0000-0000-0000A4110000}"/>
    <cellStyle name="20% - Accent2 4 2 2 2 4" xfId="4452" xr:uid="{00000000-0005-0000-0000-0000A5110000}"/>
    <cellStyle name="20% - Accent2 4 2 2 2 4 2" xfId="10102" xr:uid="{00000000-0005-0000-0000-0000A6110000}"/>
    <cellStyle name="20% - Accent2 4 2 2 2 4 2 2" xfId="21403" xr:uid="{00000000-0005-0000-0000-0000A7110000}"/>
    <cellStyle name="20% - Accent2 4 2 2 2 4 2 2 2" xfId="44005" xr:uid="{00000000-0005-0000-0000-0000A8110000}"/>
    <cellStyle name="20% - Accent2 4 2 2 2 4 2 3" xfId="32704" xr:uid="{00000000-0005-0000-0000-0000A9110000}"/>
    <cellStyle name="20% - Accent2 4 2 2 2 4 3" xfId="15753" xr:uid="{00000000-0005-0000-0000-0000AA110000}"/>
    <cellStyle name="20% - Accent2 4 2 2 2 4 3 2" xfId="38355" xr:uid="{00000000-0005-0000-0000-0000AB110000}"/>
    <cellStyle name="20% - Accent2 4 2 2 2 4 4" xfId="27054" xr:uid="{00000000-0005-0000-0000-0000AC110000}"/>
    <cellStyle name="20% - Accent2 4 2 2 2 5" xfId="7248" xr:uid="{00000000-0005-0000-0000-0000AD110000}"/>
    <cellStyle name="20% - Accent2 4 2 2 2 5 2" xfId="18549" xr:uid="{00000000-0005-0000-0000-0000AE110000}"/>
    <cellStyle name="20% - Accent2 4 2 2 2 5 2 2" xfId="41151" xr:uid="{00000000-0005-0000-0000-0000AF110000}"/>
    <cellStyle name="20% - Accent2 4 2 2 2 5 3" xfId="29850" xr:uid="{00000000-0005-0000-0000-0000B0110000}"/>
    <cellStyle name="20% - Accent2 4 2 2 2 6" xfId="12899" xr:uid="{00000000-0005-0000-0000-0000B1110000}"/>
    <cellStyle name="20% - Accent2 4 2 2 2 6 2" xfId="35501" xr:uid="{00000000-0005-0000-0000-0000B2110000}"/>
    <cellStyle name="20% - Accent2 4 2 2 2 7" xfId="24200" xr:uid="{00000000-0005-0000-0000-0000B3110000}"/>
    <cellStyle name="20% - Accent2 4 2 2 3" xfId="967" xr:uid="{00000000-0005-0000-0000-0000B4110000}"/>
    <cellStyle name="20% - Accent2 4 2 2 3 2" xfId="3030" xr:uid="{00000000-0005-0000-0000-0000B5110000}"/>
    <cellStyle name="20% - Accent2 4 2 2 3 2 2" xfId="6002" xr:uid="{00000000-0005-0000-0000-0000B6110000}"/>
    <cellStyle name="20% - Accent2 4 2 2 3 2 2 2" xfId="11652" xr:uid="{00000000-0005-0000-0000-0000B7110000}"/>
    <cellStyle name="20% - Accent2 4 2 2 3 2 2 2 2" xfId="22953" xr:uid="{00000000-0005-0000-0000-0000B8110000}"/>
    <cellStyle name="20% - Accent2 4 2 2 3 2 2 2 2 2" xfId="45555" xr:uid="{00000000-0005-0000-0000-0000B9110000}"/>
    <cellStyle name="20% - Accent2 4 2 2 3 2 2 2 3" xfId="34254" xr:uid="{00000000-0005-0000-0000-0000BA110000}"/>
    <cellStyle name="20% - Accent2 4 2 2 3 2 2 3" xfId="17303" xr:uid="{00000000-0005-0000-0000-0000BB110000}"/>
    <cellStyle name="20% - Accent2 4 2 2 3 2 2 3 2" xfId="39905" xr:uid="{00000000-0005-0000-0000-0000BC110000}"/>
    <cellStyle name="20% - Accent2 4 2 2 3 2 2 4" xfId="28604" xr:uid="{00000000-0005-0000-0000-0000BD110000}"/>
    <cellStyle name="20% - Accent2 4 2 2 3 2 3" xfId="8820" xr:uid="{00000000-0005-0000-0000-0000BE110000}"/>
    <cellStyle name="20% - Accent2 4 2 2 3 2 3 2" xfId="20121" xr:uid="{00000000-0005-0000-0000-0000BF110000}"/>
    <cellStyle name="20% - Accent2 4 2 2 3 2 3 2 2" xfId="42723" xr:uid="{00000000-0005-0000-0000-0000C0110000}"/>
    <cellStyle name="20% - Accent2 4 2 2 3 2 3 3" xfId="31422" xr:uid="{00000000-0005-0000-0000-0000C1110000}"/>
    <cellStyle name="20% - Accent2 4 2 2 3 2 4" xfId="14471" xr:uid="{00000000-0005-0000-0000-0000C2110000}"/>
    <cellStyle name="20% - Accent2 4 2 2 3 2 4 2" xfId="37073" xr:uid="{00000000-0005-0000-0000-0000C3110000}"/>
    <cellStyle name="20% - Accent2 4 2 2 3 2 5" xfId="25772" xr:uid="{00000000-0005-0000-0000-0000C4110000}"/>
    <cellStyle name="20% - Accent2 4 2 2 3 3" xfId="4768" xr:uid="{00000000-0005-0000-0000-0000C5110000}"/>
    <cellStyle name="20% - Accent2 4 2 2 3 3 2" xfId="10418" xr:uid="{00000000-0005-0000-0000-0000C6110000}"/>
    <cellStyle name="20% - Accent2 4 2 2 3 3 2 2" xfId="21719" xr:uid="{00000000-0005-0000-0000-0000C7110000}"/>
    <cellStyle name="20% - Accent2 4 2 2 3 3 2 2 2" xfId="44321" xr:uid="{00000000-0005-0000-0000-0000C8110000}"/>
    <cellStyle name="20% - Accent2 4 2 2 3 3 2 3" xfId="33020" xr:uid="{00000000-0005-0000-0000-0000C9110000}"/>
    <cellStyle name="20% - Accent2 4 2 2 3 3 3" xfId="16069" xr:uid="{00000000-0005-0000-0000-0000CA110000}"/>
    <cellStyle name="20% - Accent2 4 2 2 3 3 3 2" xfId="38671" xr:uid="{00000000-0005-0000-0000-0000CB110000}"/>
    <cellStyle name="20% - Accent2 4 2 2 3 3 4" xfId="27370" xr:uid="{00000000-0005-0000-0000-0000CC110000}"/>
    <cellStyle name="20% - Accent2 4 2 2 3 4" xfId="6955" xr:uid="{00000000-0005-0000-0000-0000CD110000}"/>
    <cellStyle name="20% - Accent2 4 2 2 3 4 2" xfId="18256" xr:uid="{00000000-0005-0000-0000-0000CE110000}"/>
    <cellStyle name="20% - Accent2 4 2 2 3 4 2 2" xfId="40858" xr:uid="{00000000-0005-0000-0000-0000CF110000}"/>
    <cellStyle name="20% - Accent2 4 2 2 3 4 3" xfId="29557" xr:uid="{00000000-0005-0000-0000-0000D0110000}"/>
    <cellStyle name="20% - Accent2 4 2 2 3 5" xfId="12606" xr:uid="{00000000-0005-0000-0000-0000D1110000}"/>
    <cellStyle name="20% - Accent2 4 2 2 3 5 2" xfId="35208" xr:uid="{00000000-0005-0000-0000-0000D2110000}"/>
    <cellStyle name="20% - Accent2 4 2 2 3 6" xfId="23907" xr:uid="{00000000-0005-0000-0000-0000D3110000}"/>
    <cellStyle name="20% - Accent2 4 2 2 4" xfId="1543" xr:uid="{00000000-0005-0000-0000-0000D4110000}"/>
    <cellStyle name="20% - Accent2 4 2 2 4 2" xfId="3446" xr:uid="{00000000-0005-0000-0000-0000D5110000}"/>
    <cellStyle name="20% - Accent2 4 2 2 4 2 2" xfId="9215" xr:uid="{00000000-0005-0000-0000-0000D6110000}"/>
    <cellStyle name="20% - Accent2 4 2 2 4 2 2 2" xfId="20516" xr:uid="{00000000-0005-0000-0000-0000D7110000}"/>
    <cellStyle name="20% - Accent2 4 2 2 4 2 2 2 2" xfId="43118" xr:uid="{00000000-0005-0000-0000-0000D8110000}"/>
    <cellStyle name="20% - Accent2 4 2 2 4 2 2 3" xfId="31817" xr:uid="{00000000-0005-0000-0000-0000D9110000}"/>
    <cellStyle name="20% - Accent2 4 2 2 4 2 3" xfId="14866" xr:uid="{00000000-0005-0000-0000-0000DA110000}"/>
    <cellStyle name="20% - Accent2 4 2 2 4 2 3 2" xfId="37468" xr:uid="{00000000-0005-0000-0000-0000DB110000}"/>
    <cellStyle name="20% - Accent2 4 2 2 4 2 4" xfId="26167" xr:uid="{00000000-0005-0000-0000-0000DC110000}"/>
    <cellStyle name="20% - Accent2 4 2 2 4 3" xfId="5378" xr:uid="{00000000-0005-0000-0000-0000DD110000}"/>
    <cellStyle name="20% - Accent2 4 2 2 4 3 2" xfId="11028" xr:uid="{00000000-0005-0000-0000-0000DE110000}"/>
    <cellStyle name="20% - Accent2 4 2 2 4 3 2 2" xfId="22329" xr:uid="{00000000-0005-0000-0000-0000DF110000}"/>
    <cellStyle name="20% - Accent2 4 2 2 4 3 2 2 2" xfId="44931" xr:uid="{00000000-0005-0000-0000-0000E0110000}"/>
    <cellStyle name="20% - Accent2 4 2 2 4 3 2 3" xfId="33630" xr:uid="{00000000-0005-0000-0000-0000E1110000}"/>
    <cellStyle name="20% - Accent2 4 2 2 4 3 3" xfId="16679" xr:uid="{00000000-0005-0000-0000-0000E2110000}"/>
    <cellStyle name="20% - Accent2 4 2 2 4 3 3 2" xfId="39281" xr:uid="{00000000-0005-0000-0000-0000E3110000}"/>
    <cellStyle name="20% - Accent2 4 2 2 4 3 4" xfId="27980" xr:uid="{00000000-0005-0000-0000-0000E4110000}"/>
    <cellStyle name="20% - Accent2 4 2 2 4 4" xfId="7399" xr:uid="{00000000-0005-0000-0000-0000E5110000}"/>
    <cellStyle name="20% - Accent2 4 2 2 4 4 2" xfId="18700" xr:uid="{00000000-0005-0000-0000-0000E6110000}"/>
    <cellStyle name="20% - Accent2 4 2 2 4 4 2 2" xfId="41302" xr:uid="{00000000-0005-0000-0000-0000E7110000}"/>
    <cellStyle name="20% - Accent2 4 2 2 4 4 3" xfId="30001" xr:uid="{00000000-0005-0000-0000-0000E8110000}"/>
    <cellStyle name="20% - Accent2 4 2 2 4 5" xfId="13050" xr:uid="{00000000-0005-0000-0000-0000E9110000}"/>
    <cellStyle name="20% - Accent2 4 2 2 4 5 2" xfId="35652" xr:uid="{00000000-0005-0000-0000-0000EA110000}"/>
    <cellStyle name="20% - Accent2 4 2 2 4 6" xfId="24351" xr:uid="{00000000-0005-0000-0000-0000EB110000}"/>
    <cellStyle name="20% - Accent2 4 2 2 5" xfId="2359" xr:uid="{00000000-0005-0000-0000-0000EC110000}"/>
    <cellStyle name="20% - Accent2 4 2 2 5 2" xfId="8195" xr:uid="{00000000-0005-0000-0000-0000ED110000}"/>
    <cellStyle name="20% - Accent2 4 2 2 5 2 2" xfId="19496" xr:uid="{00000000-0005-0000-0000-0000EE110000}"/>
    <cellStyle name="20% - Accent2 4 2 2 5 2 2 2" xfId="42098" xr:uid="{00000000-0005-0000-0000-0000EF110000}"/>
    <cellStyle name="20% - Accent2 4 2 2 5 2 3" xfId="30797" xr:uid="{00000000-0005-0000-0000-0000F0110000}"/>
    <cellStyle name="20% - Accent2 4 2 2 5 3" xfId="13846" xr:uid="{00000000-0005-0000-0000-0000F1110000}"/>
    <cellStyle name="20% - Accent2 4 2 2 5 3 2" xfId="36448" xr:uid="{00000000-0005-0000-0000-0000F2110000}"/>
    <cellStyle name="20% - Accent2 4 2 2 5 4" xfId="25147" xr:uid="{00000000-0005-0000-0000-0000F3110000}"/>
    <cellStyle name="20% - Accent2 4 2 2 6" xfId="4144" xr:uid="{00000000-0005-0000-0000-0000F4110000}"/>
    <cellStyle name="20% - Accent2 4 2 2 6 2" xfId="9794" xr:uid="{00000000-0005-0000-0000-0000F5110000}"/>
    <cellStyle name="20% - Accent2 4 2 2 6 2 2" xfId="21095" xr:uid="{00000000-0005-0000-0000-0000F6110000}"/>
    <cellStyle name="20% - Accent2 4 2 2 6 2 2 2" xfId="43697" xr:uid="{00000000-0005-0000-0000-0000F7110000}"/>
    <cellStyle name="20% - Accent2 4 2 2 6 2 3" xfId="32396" xr:uid="{00000000-0005-0000-0000-0000F8110000}"/>
    <cellStyle name="20% - Accent2 4 2 2 6 3" xfId="15445" xr:uid="{00000000-0005-0000-0000-0000F9110000}"/>
    <cellStyle name="20% - Accent2 4 2 2 6 3 2" xfId="38047" xr:uid="{00000000-0005-0000-0000-0000FA110000}"/>
    <cellStyle name="20% - Accent2 4 2 2 6 4" xfId="26746" xr:uid="{00000000-0005-0000-0000-0000FB110000}"/>
    <cellStyle name="20% - Accent2 4 2 2 7" xfId="6624" xr:uid="{00000000-0005-0000-0000-0000FC110000}"/>
    <cellStyle name="20% - Accent2 4 2 2 7 2" xfId="17925" xr:uid="{00000000-0005-0000-0000-0000FD110000}"/>
    <cellStyle name="20% - Accent2 4 2 2 7 2 2" xfId="40527" xr:uid="{00000000-0005-0000-0000-0000FE110000}"/>
    <cellStyle name="20% - Accent2 4 2 2 7 3" xfId="29226" xr:uid="{00000000-0005-0000-0000-0000FF110000}"/>
    <cellStyle name="20% - Accent2 4 2 2 8" xfId="12275" xr:uid="{00000000-0005-0000-0000-000000120000}"/>
    <cellStyle name="20% - Accent2 4 2 2 8 2" xfId="34877" xr:uid="{00000000-0005-0000-0000-000001120000}"/>
    <cellStyle name="20% - Accent2 4 2 2 9" xfId="23576" xr:uid="{00000000-0005-0000-0000-000002120000}"/>
    <cellStyle name="20% - Accent2 4 2 3" xfId="1131" xr:uid="{00000000-0005-0000-0000-000003120000}"/>
    <cellStyle name="20% - Accent2 4 2 3 2" xfId="1545" xr:uid="{00000000-0005-0000-0000-000004120000}"/>
    <cellStyle name="20% - Accent2 4 2 3 2 2" xfId="3199" xr:uid="{00000000-0005-0000-0000-000005120000}"/>
    <cellStyle name="20% - Accent2 4 2 3 2 2 2" xfId="6171" xr:uid="{00000000-0005-0000-0000-000006120000}"/>
    <cellStyle name="20% - Accent2 4 2 3 2 2 2 2" xfId="11821" xr:uid="{00000000-0005-0000-0000-000007120000}"/>
    <cellStyle name="20% - Accent2 4 2 3 2 2 2 2 2" xfId="23122" xr:uid="{00000000-0005-0000-0000-000008120000}"/>
    <cellStyle name="20% - Accent2 4 2 3 2 2 2 2 2 2" xfId="45724" xr:uid="{00000000-0005-0000-0000-000009120000}"/>
    <cellStyle name="20% - Accent2 4 2 3 2 2 2 2 3" xfId="34423" xr:uid="{00000000-0005-0000-0000-00000A120000}"/>
    <cellStyle name="20% - Accent2 4 2 3 2 2 2 3" xfId="17472" xr:uid="{00000000-0005-0000-0000-00000B120000}"/>
    <cellStyle name="20% - Accent2 4 2 3 2 2 2 3 2" xfId="40074" xr:uid="{00000000-0005-0000-0000-00000C120000}"/>
    <cellStyle name="20% - Accent2 4 2 3 2 2 2 4" xfId="28773" xr:uid="{00000000-0005-0000-0000-00000D120000}"/>
    <cellStyle name="20% - Accent2 4 2 3 2 2 3" xfId="8989" xr:uid="{00000000-0005-0000-0000-00000E120000}"/>
    <cellStyle name="20% - Accent2 4 2 3 2 2 3 2" xfId="20290" xr:uid="{00000000-0005-0000-0000-00000F120000}"/>
    <cellStyle name="20% - Accent2 4 2 3 2 2 3 2 2" xfId="42892" xr:uid="{00000000-0005-0000-0000-000010120000}"/>
    <cellStyle name="20% - Accent2 4 2 3 2 2 3 3" xfId="31591" xr:uid="{00000000-0005-0000-0000-000011120000}"/>
    <cellStyle name="20% - Accent2 4 2 3 2 2 4" xfId="14640" xr:uid="{00000000-0005-0000-0000-000012120000}"/>
    <cellStyle name="20% - Accent2 4 2 3 2 2 4 2" xfId="37242" xr:uid="{00000000-0005-0000-0000-000013120000}"/>
    <cellStyle name="20% - Accent2 4 2 3 2 2 5" xfId="25941" xr:uid="{00000000-0005-0000-0000-000014120000}"/>
    <cellStyle name="20% - Accent2 4 2 3 2 3" xfId="4937" xr:uid="{00000000-0005-0000-0000-000015120000}"/>
    <cellStyle name="20% - Accent2 4 2 3 2 3 2" xfId="10587" xr:uid="{00000000-0005-0000-0000-000016120000}"/>
    <cellStyle name="20% - Accent2 4 2 3 2 3 2 2" xfId="21888" xr:uid="{00000000-0005-0000-0000-000017120000}"/>
    <cellStyle name="20% - Accent2 4 2 3 2 3 2 2 2" xfId="44490" xr:uid="{00000000-0005-0000-0000-000018120000}"/>
    <cellStyle name="20% - Accent2 4 2 3 2 3 2 3" xfId="33189" xr:uid="{00000000-0005-0000-0000-000019120000}"/>
    <cellStyle name="20% - Accent2 4 2 3 2 3 3" xfId="16238" xr:uid="{00000000-0005-0000-0000-00001A120000}"/>
    <cellStyle name="20% - Accent2 4 2 3 2 3 3 2" xfId="38840" xr:uid="{00000000-0005-0000-0000-00001B120000}"/>
    <cellStyle name="20% - Accent2 4 2 3 2 3 4" xfId="27539" xr:uid="{00000000-0005-0000-0000-00001C120000}"/>
    <cellStyle name="20% - Accent2 4 2 3 2 4" xfId="7401" xr:uid="{00000000-0005-0000-0000-00001D120000}"/>
    <cellStyle name="20% - Accent2 4 2 3 2 4 2" xfId="18702" xr:uid="{00000000-0005-0000-0000-00001E120000}"/>
    <cellStyle name="20% - Accent2 4 2 3 2 4 2 2" xfId="41304" xr:uid="{00000000-0005-0000-0000-00001F120000}"/>
    <cellStyle name="20% - Accent2 4 2 3 2 4 3" xfId="30003" xr:uid="{00000000-0005-0000-0000-000020120000}"/>
    <cellStyle name="20% - Accent2 4 2 3 2 5" xfId="13052" xr:uid="{00000000-0005-0000-0000-000021120000}"/>
    <cellStyle name="20% - Accent2 4 2 3 2 5 2" xfId="35654" xr:uid="{00000000-0005-0000-0000-000022120000}"/>
    <cellStyle name="20% - Accent2 4 2 3 2 6" xfId="24353" xr:uid="{00000000-0005-0000-0000-000023120000}"/>
    <cellStyle name="20% - Accent2 4 2 3 3" xfId="2528" xr:uid="{00000000-0005-0000-0000-000024120000}"/>
    <cellStyle name="20% - Accent2 4 2 3 3 2" xfId="5547" xr:uid="{00000000-0005-0000-0000-000025120000}"/>
    <cellStyle name="20% - Accent2 4 2 3 3 2 2" xfId="11197" xr:uid="{00000000-0005-0000-0000-000026120000}"/>
    <cellStyle name="20% - Accent2 4 2 3 3 2 2 2" xfId="22498" xr:uid="{00000000-0005-0000-0000-000027120000}"/>
    <cellStyle name="20% - Accent2 4 2 3 3 2 2 2 2" xfId="45100" xr:uid="{00000000-0005-0000-0000-000028120000}"/>
    <cellStyle name="20% - Accent2 4 2 3 3 2 2 3" xfId="33799" xr:uid="{00000000-0005-0000-0000-000029120000}"/>
    <cellStyle name="20% - Accent2 4 2 3 3 2 3" xfId="16848" xr:uid="{00000000-0005-0000-0000-00002A120000}"/>
    <cellStyle name="20% - Accent2 4 2 3 3 2 3 2" xfId="39450" xr:uid="{00000000-0005-0000-0000-00002B120000}"/>
    <cellStyle name="20% - Accent2 4 2 3 3 2 4" xfId="28149" xr:uid="{00000000-0005-0000-0000-00002C120000}"/>
    <cellStyle name="20% - Accent2 4 2 3 3 3" xfId="8364" xr:uid="{00000000-0005-0000-0000-00002D120000}"/>
    <cellStyle name="20% - Accent2 4 2 3 3 3 2" xfId="19665" xr:uid="{00000000-0005-0000-0000-00002E120000}"/>
    <cellStyle name="20% - Accent2 4 2 3 3 3 2 2" xfId="42267" xr:uid="{00000000-0005-0000-0000-00002F120000}"/>
    <cellStyle name="20% - Accent2 4 2 3 3 3 3" xfId="30966" xr:uid="{00000000-0005-0000-0000-000030120000}"/>
    <cellStyle name="20% - Accent2 4 2 3 3 4" xfId="14015" xr:uid="{00000000-0005-0000-0000-000031120000}"/>
    <cellStyle name="20% - Accent2 4 2 3 3 4 2" xfId="36617" xr:uid="{00000000-0005-0000-0000-000032120000}"/>
    <cellStyle name="20% - Accent2 4 2 3 3 5" xfId="25316" xr:uid="{00000000-0005-0000-0000-000033120000}"/>
    <cellStyle name="20% - Accent2 4 2 3 4" xfId="4313" xr:uid="{00000000-0005-0000-0000-000034120000}"/>
    <cellStyle name="20% - Accent2 4 2 3 4 2" xfId="9963" xr:uid="{00000000-0005-0000-0000-000035120000}"/>
    <cellStyle name="20% - Accent2 4 2 3 4 2 2" xfId="21264" xr:uid="{00000000-0005-0000-0000-000036120000}"/>
    <cellStyle name="20% - Accent2 4 2 3 4 2 2 2" xfId="43866" xr:uid="{00000000-0005-0000-0000-000037120000}"/>
    <cellStyle name="20% - Accent2 4 2 3 4 2 3" xfId="32565" xr:uid="{00000000-0005-0000-0000-000038120000}"/>
    <cellStyle name="20% - Accent2 4 2 3 4 3" xfId="15614" xr:uid="{00000000-0005-0000-0000-000039120000}"/>
    <cellStyle name="20% - Accent2 4 2 3 4 3 2" xfId="38216" xr:uid="{00000000-0005-0000-0000-00003A120000}"/>
    <cellStyle name="20% - Accent2 4 2 3 4 4" xfId="26915" xr:uid="{00000000-0005-0000-0000-00003B120000}"/>
    <cellStyle name="20% - Accent2 4 2 3 5" xfId="7110" xr:uid="{00000000-0005-0000-0000-00003C120000}"/>
    <cellStyle name="20% - Accent2 4 2 3 5 2" xfId="18411" xr:uid="{00000000-0005-0000-0000-00003D120000}"/>
    <cellStyle name="20% - Accent2 4 2 3 5 2 2" xfId="41013" xr:uid="{00000000-0005-0000-0000-00003E120000}"/>
    <cellStyle name="20% - Accent2 4 2 3 5 3" xfId="29712" xr:uid="{00000000-0005-0000-0000-00003F120000}"/>
    <cellStyle name="20% - Accent2 4 2 3 6" xfId="12761" xr:uid="{00000000-0005-0000-0000-000040120000}"/>
    <cellStyle name="20% - Accent2 4 2 3 6 2" xfId="35363" xr:uid="{00000000-0005-0000-0000-000041120000}"/>
    <cellStyle name="20% - Accent2 4 2 3 7" xfId="24062" xr:uid="{00000000-0005-0000-0000-000042120000}"/>
    <cellStyle name="20% - Accent2 4 2 4" xfId="821" xr:uid="{00000000-0005-0000-0000-000043120000}"/>
    <cellStyle name="20% - Accent2 4 2 4 2" xfId="2892" xr:uid="{00000000-0005-0000-0000-000044120000}"/>
    <cellStyle name="20% - Accent2 4 2 4 2 2" xfId="5864" xr:uid="{00000000-0005-0000-0000-000045120000}"/>
    <cellStyle name="20% - Accent2 4 2 4 2 2 2" xfId="11514" xr:uid="{00000000-0005-0000-0000-000046120000}"/>
    <cellStyle name="20% - Accent2 4 2 4 2 2 2 2" xfId="22815" xr:uid="{00000000-0005-0000-0000-000047120000}"/>
    <cellStyle name="20% - Accent2 4 2 4 2 2 2 2 2" xfId="45417" xr:uid="{00000000-0005-0000-0000-000048120000}"/>
    <cellStyle name="20% - Accent2 4 2 4 2 2 2 3" xfId="34116" xr:uid="{00000000-0005-0000-0000-000049120000}"/>
    <cellStyle name="20% - Accent2 4 2 4 2 2 3" xfId="17165" xr:uid="{00000000-0005-0000-0000-00004A120000}"/>
    <cellStyle name="20% - Accent2 4 2 4 2 2 3 2" xfId="39767" xr:uid="{00000000-0005-0000-0000-00004B120000}"/>
    <cellStyle name="20% - Accent2 4 2 4 2 2 4" xfId="28466" xr:uid="{00000000-0005-0000-0000-00004C120000}"/>
    <cellStyle name="20% - Accent2 4 2 4 2 3" xfId="8682" xr:uid="{00000000-0005-0000-0000-00004D120000}"/>
    <cellStyle name="20% - Accent2 4 2 4 2 3 2" xfId="19983" xr:uid="{00000000-0005-0000-0000-00004E120000}"/>
    <cellStyle name="20% - Accent2 4 2 4 2 3 2 2" xfId="42585" xr:uid="{00000000-0005-0000-0000-00004F120000}"/>
    <cellStyle name="20% - Accent2 4 2 4 2 3 3" xfId="31284" xr:uid="{00000000-0005-0000-0000-000050120000}"/>
    <cellStyle name="20% - Accent2 4 2 4 2 4" xfId="14333" xr:uid="{00000000-0005-0000-0000-000051120000}"/>
    <cellStyle name="20% - Accent2 4 2 4 2 4 2" xfId="36935" xr:uid="{00000000-0005-0000-0000-000052120000}"/>
    <cellStyle name="20% - Accent2 4 2 4 2 5" xfId="25634" xr:uid="{00000000-0005-0000-0000-000053120000}"/>
    <cellStyle name="20% - Accent2 4 2 4 3" xfId="4630" xr:uid="{00000000-0005-0000-0000-000054120000}"/>
    <cellStyle name="20% - Accent2 4 2 4 3 2" xfId="10280" xr:uid="{00000000-0005-0000-0000-000055120000}"/>
    <cellStyle name="20% - Accent2 4 2 4 3 2 2" xfId="21581" xr:uid="{00000000-0005-0000-0000-000056120000}"/>
    <cellStyle name="20% - Accent2 4 2 4 3 2 2 2" xfId="44183" xr:uid="{00000000-0005-0000-0000-000057120000}"/>
    <cellStyle name="20% - Accent2 4 2 4 3 2 3" xfId="32882" xr:uid="{00000000-0005-0000-0000-000058120000}"/>
    <cellStyle name="20% - Accent2 4 2 4 3 3" xfId="15931" xr:uid="{00000000-0005-0000-0000-000059120000}"/>
    <cellStyle name="20% - Accent2 4 2 4 3 3 2" xfId="38533" xr:uid="{00000000-0005-0000-0000-00005A120000}"/>
    <cellStyle name="20% - Accent2 4 2 4 3 4" xfId="27232" xr:uid="{00000000-0005-0000-0000-00005B120000}"/>
    <cellStyle name="20% - Accent2 4 2 4 4" xfId="6817" xr:uid="{00000000-0005-0000-0000-00005C120000}"/>
    <cellStyle name="20% - Accent2 4 2 4 4 2" xfId="18118" xr:uid="{00000000-0005-0000-0000-00005D120000}"/>
    <cellStyle name="20% - Accent2 4 2 4 4 2 2" xfId="40720" xr:uid="{00000000-0005-0000-0000-00005E120000}"/>
    <cellStyle name="20% - Accent2 4 2 4 4 3" xfId="29419" xr:uid="{00000000-0005-0000-0000-00005F120000}"/>
    <cellStyle name="20% - Accent2 4 2 4 5" xfId="12468" xr:uid="{00000000-0005-0000-0000-000060120000}"/>
    <cellStyle name="20% - Accent2 4 2 4 5 2" xfId="35070" xr:uid="{00000000-0005-0000-0000-000061120000}"/>
    <cellStyle name="20% - Accent2 4 2 4 6" xfId="23769" xr:uid="{00000000-0005-0000-0000-000062120000}"/>
    <cellStyle name="20% - Accent2 4 2 5" xfId="1542" xr:uid="{00000000-0005-0000-0000-000063120000}"/>
    <cellStyle name="20% - Accent2 4 2 5 2" xfId="3464" xr:uid="{00000000-0005-0000-0000-000064120000}"/>
    <cellStyle name="20% - Accent2 4 2 5 2 2" xfId="9223" xr:uid="{00000000-0005-0000-0000-000065120000}"/>
    <cellStyle name="20% - Accent2 4 2 5 2 2 2" xfId="20524" xr:uid="{00000000-0005-0000-0000-000066120000}"/>
    <cellStyle name="20% - Accent2 4 2 5 2 2 2 2" xfId="43126" xr:uid="{00000000-0005-0000-0000-000067120000}"/>
    <cellStyle name="20% - Accent2 4 2 5 2 2 3" xfId="31825" xr:uid="{00000000-0005-0000-0000-000068120000}"/>
    <cellStyle name="20% - Accent2 4 2 5 2 3" xfId="14874" xr:uid="{00000000-0005-0000-0000-000069120000}"/>
    <cellStyle name="20% - Accent2 4 2 5 2 3 2" xfId="37476" xr:uid="{00000000-0005-0000-0000-00006A120000}"/>
    <cellStyle name="20% - Accent2 4 2 5 2 4" xfId="26175" xr:uid="{00000000-0005-0000-0000-00006B120000}"/>
    <cellStyle name="20% - Accent2 4 2 5 3" xfId="5240" xr:uid="{00000000-0005-0000-0000-00006C120000}"/>
    <cellStyle name="20% - Accent2 4 2 5 3 2" xfId="10890" xr:uid="{00000000-0005-0000-0000-00006D120000}"/>
    <cellStyle name="20% - Accent2 4 2 5 3 2 2" xfId="22191" xr:uid="{00000000-0005-0000-0000-00006E120000}"/>
    <cellStyle name="20% - Accent2 4 2 5 3 2 2 2" xfId="44793" xr:uid="{00000000-0005-0000-0000-00006F120000}"/>
    <cellStyle name="20% - Accent2 4 2 5 3 2 3" xfId="33492" xr:uid="{00000000-0005-0000-0000-000070120000}"/>
    <cellStyle name="20% - Accent2 4 2 5 3 3" xfId="16541" xr:uid="{00000000-0005-0000-0000-000071120000}"/>
    <cellStyle name="20% - Accent2 4 2 5 3 3 2" xfId="39143" xr:uid="{00000000-0005-0000-0000-000072120000}"/>
    <cellStyle name="20% - Accent2 4 2 5 3 4" xfId="27842" xr:uid="{00000000-0005-0000-0000-000073120000}"/>
    <cellStyle name="20% - Accent2 4 2 5 4" xfId="7398" xr:uid="{00000000-0005-0000-0000-000074120000}"/>
    <cellStyle name="20% - Accent2 4 2 5 4 2" xfId="18699" xr:uid="{00000000-0005-0000-0000-000075120000}"/>
    <cellStyle name="20% - Accent2 4 2 5 4 2 2" xfId="41301" xr:uid="{00000000-0005-0000-0000-000076120000}"/>
    <cellStyle name="20% - Accent2 4 2 5 4 3" xfId="30000" xr:uid="{00000000-0005-0000-0000-000077120000}"/>
    <cellStyle name="20% - Accent2 4 2 5 5" xfId="13049" xr:uid="{00000000-0005-0000-0000-000078120000}"/>
    <cellStyle name="20% - Accent2 4 2 5 5 2" xfId="35651" xr:uid="{00000000-0005-0000-0000-000079120000}"/>
    <cellStyle name="20% - Accent2 4 2 5 6" xfId="24350" xr:uid="{00000000-0005-0000-0000-00007A120000}"/>
    <cellStyle name="20% - Accent2 4 2 6" xfId="2219" xr:uid="{00000000-0005-0000-0000-00007B120000}"/>
    <cellStyle name="20% - Accent2 4 2 6 2" xfId="8055" xr:uid="{00000000-0005-0000-0000-00007C120000}"/>
    <cellStyle name="20% - Accent2 4 2 6 2 2" xfId="19356" xr:uid="{00000000-0005-0000-0000-00007D120000}"/>
    <cellStyle name="20% - Accent2 4 2 6 2 2 2" xfId="41958" xr:uid="{00000000-0005-0000-0000-00007E120000}"/>
    <cellStyle name="20% - Accent2 4 2 6 2 3" xfId="30657" xr:uid="{00000000-0005-0000-0000-00007F120000}"/>
    <cellStyle name="20% - Accent2 4 2 6 3" xfId="13706" xr:uid="{00000000-0005-0000-0000-000080120000}"/>
    <cellStyle name="20% - Accent2 4 2 6 3 2" xfId="36308" xr:uid="{00000000-0005-0000-0000-000081120000}"/>
    <cellStyle name="20% - Accent2 4 2 6 4" xfId="25007" xr:uid="{00000000-0005-0000-0000-000082120000}"/>
    <cellStyle name="20% - Accent2 4 2 7" xfId="4006" xr:uid="{00000000-0005-0000-0000-000083120000}"/>
    <cellStyle name="20% - Accent2 4 2 7 2" xfId="9656" xr:uid="{00000000-0005-0000-0000-000084120000}"/>
    <cellStyle name="20% - Accent2 4 2 7 2 2" xfId="20957" xr:uid="{00000000-0005-0000-0000-000085120000}"/>
    <cellStyle name="20% - Accent2 4 2 7 2 2 2" xfId="43559" xr:uid="{00000000-0005-0000-0000-000086120000}"/>
    <cellStyle name="20% - Accent2 4 2 7 2 3" xfId="32258" xr:uid="{00000000-0005-0000-0000-000087120000}"/>
    <cellStyle name="20% - Accent2 4 2 7 3" xfId="15307" xr:uid="{00000000-0005-0000-0000-000088120000}"/>
    <cellStyle name="20% - Accent2 4 2 7 3 2" xfId="37909" xr:uid="{00000000-0005-0000-0000-000089120000}"/>
    <cellStyle name="20% - Accent2 4 2 7 4" xfId="26608" xr:uid="{00000000-0005-0000-0000-00008A120000}"/>
    <cellStyle name="20% - Accent2 4 2 8" xfId="6457" xr:uid="{00000000-0005-0000-0000-00008B120000}"/>
    <cellStyle name="20% - Accent2 4 2 8 2" xfId="17758" xr:uid="{00000000-0005-0000-0000-00008C120000}"/>
    <cellStyle name="20% - Accent2 4 2 8 2 2" xfId="40360" xr:uid="{00000000-0005-0000-0000-00008D120000}"/>
    <cellStyle name="20% - Accent2 4 2 8 3" xfId="29059" xr:uid="{00000000-0005-0000-0000-00008E120000}"/>
    <cellStyle name="20% - Accent2 4 2 9" xfId="12108" xr:uid="{00000000-0005-0000-0000-00008F120000}"/>
    <cellStyle name="20% - Accent2 4 2 9 2" xfId="34710" xr:uid="{00000000-0005-0000-0000-000090120000}"/>
    <cellStyle name="20% - Accent2 4 3" xfId="363" xr:uid="{00000000-0005-0000-0000-000091120000}"/>
    <cellStyle name="20% - Accent2 4 3 10" xfId="23458" xr:uid="{00000000-0005-0000-0000-000092120000}"/>
    <cellStyle name="20% - Accent2 4 3 2" xfId="608" xr:uid="{00000000-0005-0000-0000-000093120000}"/>
    <cellStyle name="20% - Accent2 4 3 2 2" xfId="1318" xr:uid="{00000000-0005-0000-0000-000094120000}"/>
    <cellStyle name="20% - Accent2 4 3 2 2 2" xfId="1548" xr:uid="{00000000-0005-0000-0000-000095120000}"/>
    <cellStyle name="20% - Accent2 4 3 2 2 2 2" xfId="3387" xr:uid="{00000000-0005-0000-0000-000096120000}"/>
    <cellStyle name="20% - Accent2 4 3 2 2 2 2 2" xfId="6359" xr:uid="{00000000-0005-0000-0000-000097120000}"/>
    <cellStyle name="20% - Accent2 4 3 2 2 2 2 2 2" xfId="12009" xr:uid="{00000000-0005-0000-0000-000098120000}"/>
    <cellStyle name="20% - Accent2 4 3 2 2 2 2 2 2 2" xfId="23310" xr:uid="{00000000-0005-0000-0000-000099120000}"/>
    <cellStyle name="20% - Accent2 4 3 2 2 2 2 2 2 2 2" xfId="45912" xr:uid="{00000000-0005-0000-0000-00009A120000}"/>
    <cellStyle name="20% - Accent2 4 3 2 2 2 2 2 2 3" xfId="34611" xr:uid="{00000000-0005-0000-0000-00009B120000}"/>
    <cellStyle name="20% - Accent2 4 3 2 2 2 2 2 3" xfId="17660" xr:uid="{00000000-0005-0000-0000-00009C120000}"/>
    <cellStyle name="20% - Accent2 4 3 2 2 2 2 2 3 2" xfId="40262" xr:uid="{00000000-0005-0000-0000-00009D120000}"/>
    <cellStyle name="20% - Accent2 4 3 2 2 2 2 2 4" xfId="28961" xr:uid="{00000000-0005-0000-0000-00009E120000}"/>
    <cellStyle name="20% - Accent2 4 3 2 2 2 2 3" xfId="9177" xr:uid="{00000000-0005-0000-0000-00009F120000}"/>
    <cellStyle name="20% - Accent2 4 3 2 2 2 2 3 2" xfId="20478" xr:uid="{00000000-0005-0000-0000-0000A0120000}"/>
    <cellStyle name="20% - Accent2 4 3 2 2 2 2 3 2 2" xfId="43080" xr:uid="{00000000-0005-0000-0000-0000A1120000}"/>
    <cellStyle name="20% - Accent2 4 3 2 2 2 2 3 3" xfId="31779" xr:uid="{00000000-0005-0000-0000-0000A2120000}"/>
    <cellStyle name="20% - Accent2 4 3 2 2 2 2 4" xfId="14828" xr:uid="{00000000-0005-0000-0000-0000A3120000}"/>
    <cellStyle name="20% - Accent2 4 3 2 2 2 2 4 2" xfId="37430" xr:uid="{00000000-0005-0000-0000-0000A4120000}"/>
    <cellStyle name="20% - Accent2 4 3 2 2 2 2 5" xfId="26129" xr:uid="{00000000-0005-0000-0000-0000A5120000}"/>
    <cellStyle name="20% - Accent2 4 3 2 2 2 3" xfId="5125" xr:uid="{00000000-0005-0000-0000-0000A6120000}"/>
    <cellStyle name="20% - Accent2 4 3 2 2 2 3 2" xfId="10775" xr:uid="{00000000-0005-0000-0000-0000A7120000}"/>
    <cellStyle name="20% - Accent2 4 3 2 2 2 3 2 2" xfId="22076" xr:uid="{00000000-0005-0000-0000-0000A8120000}"/>
    <cellStyle name="20% - Accent2 4 3 2 2 2 3 2 2 2" xfId="44678" xr:uid="{00000000-0005-0000-0000-0000A9120000}"/>
    <cellStyle name="20% - Accent2 4 3 2 2 2 3 2 3" xfId="33377" xr:uid="{00000000-0005-0000-0000-0000AA120000}"/>
    <cellStyle name="20% - Accent2 4 3 2 2 2 3 3" xfId="16426" xr:uid="{00000000-0005-0000-0000-0000AB120000}"/>
    <cellStyle name="20% - Accent2 4 3 2 2 2 3 3 2" xfId="39028" xr:uid="{00000000-0005-0000-0000-0000AC120000}"/>
    <cellStyle name="20% - Accent2 4 3 2 2 2 3 4" xfId="27727" xr:uid="{00000000-0005-0000-0000-0000AD120000}"/>
    <cellStyle name="20% - Accent2 4 3 2 2 2 4" xfId="7404" xr:uid="{00000000-0005-0000-0000-0000AE120000}"/>
    <cellStyle name="20% - Accent2 4 3 2 2 2 4 2" xfId="18705" xr:uid="{00000000-0005-0000-0000-0000AF120000}"/>
    <cellStyle name="20% - Accent2 4 3 2 2 2 4 2 2" xfId="41307" xr:uid="{00000000-0005-0000-0000-0000B0120000}"/>
    <cellStyle name="20% - Accent2 4 3 2 2 2 4 3" xfId="30006" xr:uid="{00000000-0005-0000-0000-0000B1120000}"/>
    <cellStyle name="20% - Accent2 4 3 2 2 2 5" xfId="13055" xr:uid="{00000000-0005-0000-0000-0000B2120000}"/>
    <cellStyle name="20% - Accent2 4 3 2 2 2 5 2" xfId="35657" xr:uid="{00000000-0005-0000-0000-0000B3120000}"/>
    <cellStyle name="20% - Accent2 4 3 2 2 2 6" xfId="24356" xr:uid="{00000000-0005-0000-0000-0000B4120000}"/>
    <cellStyle name="20% - Accent2 4 3 2 2 3" xfId="2716" xr:uid="{00000000-0005-0000-0000-0000B5120000}"/>
    <cellStyle name="20% - Accent2 4 3 2 2 3 2" xfId="5735" xr:uid="{00000000-0005-0000-0000-0000B6120000}"/>
    <cellStyle name="20% - Accent2 4 3 2 2 3 2 2" xfId="11385" xr:uid="{00000000-0005-0000-0000-0000B7120000}"/>
    <cellStyle name="20% - Accent2 4 3 2 2 3 2 2 2" xfId="22686" xr:uid="{00000000-0005-0000-0000-0000B8120000}"/>
    <cellStyle name="20% - Accent2 4 3 2 2 3 2 2 2 2" xfId="45288" xr:uid="{00000000-0005-0000-0000-0000B9120000}"/>
    <cellStyle name="20% - Accent2 4 3 2 2 3 2 2 3" xfId="33987" xr:uid="{00000000-0005-0000-0000-0000BA120000}"/>
    <cellStyle name="20% - Accent2 4 3 2 2 3 2 3" xfId="17036" xr:uid="{00000000-0005-0000-0000-0000BB120000}"/>
    <cellStyle name="20% - Accent2 4 3 2 2 3 2 3 2" xfId="39638" xr:uid="{00000000-0005-0000-0000-0000BC120000}"/>
    <cellStyle name="20% - Accent2 4 3 2 2 3 2 4" xfId="28337" xr:uid="{00000000-0005-0000-0000-0000BD120000}"/>
    <cellStyle name="20% - Accent2 4 3 2 2 3 3" xfId="8552" xr:uid="{00000000-0005-0000-0000-0000BE120000}"/>
    <cellStyle name="20% - Accent2 4 3 2 2 3 3 2" xfId="19853" xr:uid="{00000000-0005-0000-0000-0000BF120000}"/>
    <cellStyle name="20% - Accent2 4 3 2 2 3 3 2 2" xfId="42455" xr:uid="{00000000-0005-0000-0000-0000C0120000}"/>
    <cellStyle name="20% - Accent2 4 3 2 2 3 3 3" xfId="31154" xr:uid="{00000000-0005-0000-0000-0000C1120000}"/>
    <cellStyle name="20% - Accent2 4 3 2 2 3 4" xfId="14203" xr:uid="{00000000-0005-0000-0000-0000C2120000}"/>
    <cellStyle name="20% - Accent2 4 3 2 2 3 4 2" xfId="36805" xr:uid="{00000000-0005-0000-0000-0000C3120000}"/>
    <cellStyle name="20% - Accent2 4 3 2 2 3 5" xfId="25504" xr:uid="{00000000-0005-0000-0000-0000C4120000}"/>
    <cellStyle name="20% - Accent2 4 3 2 2 4" xfId="4501" xr:uid="{00000000-0005-0000-0000-0000C5120000}"/>
    <cellStyle name="20% - Accent2 4 3 2 2 4 2" xfId="10151" xr:uid="{00000000-0005-0000-0000-0000C6120000}"/>
    <cellStyle name="20% - Accent2 4 3 2 2 4 2 2" xfId="21452" xr:uid="{00000000-0005-0000-0000-0000C7120000}"/>
    <cellStyle name="20% - Accent2 4 3 2 2 4 2 2 2" xfId="44054" xr:uid="{00000000-0005-0000-0000-0000C8120000}"/>
    <cellStyle name="20% - Accent2 4 3 2 2 4 2 3" xfId="32753" xr:uid="{00000000-0005-0000-0000-0000C9120000}"/>
    <cellStyle name="20% - Accent2 4 3 2 2 4 3" xfId="15802" xr:uid="{00000000-0005-0000-0000-0000CA120000}"/>
    <cellStyle name="20% - Accent2 4 3 2 2 4 3 2" xfId="38404" xr:uid="{00000000-0005-0000-0000-0000CB120000}"/>
    <cellStyle name="20% - Accent2 4 3 2 2 4 4" xfId="27103" xr:uid="{00000000-0005-0000-0000-0000CC120000}"/>
    <cellStyle name="20% - Accent2 4 3 2 2 5" xfId="7297" xr:uid="{00000000-0005-0000-0000-0000CD120000}"/>
    <cellStyle name="20% - Accent2 4 3 2 2 5 2" xfId="18598" xr:uid="{00000000-0005-0000-0000-0000CE120000}"/>
    <cellStyle name="20% - Accent2 4 3 2 2 5 2 2" xfId="41200" xr:uid="{00000000-0005-0000-0000-0000CF120000}"/>
    <cellStyle name="20% - Accent2 4 3 2 2 5 3" xfId="29899" xr:uid="{00000000-0005-0000-0000-0000D0120000}"/>
    <cellStyle name="20% - Accent2 4 3 2 2 6" xfId="12948" xr:uid="{00000000-0005-0000-0000-0000D1120000}"/>
    <cellStyle name="20% - Accent2 4 3 2 2 6 2" xfId="35550" xr:uid="{00000000-0005-0000-0000-0000D2120000}"/>
    <cellStyle name="20% - Accent2 4 3 2 2 7" xfId="24249" xr:uid="{00000000-0005-0000-0000-0000D3120000}"/>
    <cellStyle name="20% - Accent2 4 3 2 3" xfId="1016" xr:uid="{00000000-0005-0000-0000-0000D4120000}"/>
    <cellStyle name="20% - Accent2 4 3 2 3 2" xfId="3079" xr:uid="{00000000-0005-0000-0000-0000D5120000}"/>
    <cellStyle name="20% - Accent2 4 3 2 3 2 2" xfId="6051" xr:uid="{00000000-0005-0000-0000-0000D6120000}"/>
    <cellStyle name="20% - Accent2 4 3 2 3 2 2 2" xfId="11701" xr:uid="{00000000-0005-0000-0000-0000D7120000}"/>
    <cellStyle name="20% - Accent2 4 3 2 3 2 2 2 2" xfId="23002" xr:uid="{00000000-0005-0000-0000-0000D8120000}"/>
    <cellStyle name="20% - Accent2 4 3 2 3 2 2 2 2 2" xfId="45604" xr:uid="{00000000-0005-0000-0000-0000D9120000}"/>
    <cellStyle name="20% - Accent2 4 3 2 3 2 2 2 3" xfId="34303" xr:uid="{00000000-0005-0000-0000-0000DA120000}"/>
    <cellStyle name="20% - Accent2 4 3 2 3 2 2 3" xfId="17352" xr:uid="{00000000-0005-0000-0000-0000DB120000}"/>
    <cellStyle name="20% - Accent2 4 3 2 3 2 2 3 2" xfId="39954" xr:uid="{00000000-0005-0000-0000-0000DC120000}"/>
    <cellStyle name="20% - Accent2 4 3 2 3 2 2 4" xfId="28653" xr:uid="{00000000-0005-0000-0000-0000DD120000}"/>
    <cellStyle name="20% - Accent2 4 3 2 3 2 3" xfId="8869" xr:uid="{00000000-0005-0000-0000-0000DE120000}"/>
    <cellStyle name="20% - Accent2 4 3 2 3 2 3 2" xfId="20170" xr:uid="{00000000-0005-0000-0000-0000DF120000}"/>
    <cellStyle name="20% - Accent2 4 3 2 3 2 3 2 2" xfId="42772" xr:uid="{00000000-0005-0000-0000-0000E0120000}"/>
    <cellStyle name="20% - Accent2 4 3 2 3 2 3 3" xfId="31471" xr:uid="{00000000-0005-0000-0000-0000E1120000}"/>
    <cellStyle name="20% - Accent2 4 3 2 3 2 4" xfId="14520" xr:uid="{00000000-0005-0000-0000-0000E2120000}"/>
    <cellStyle name="20% - Accent2 4 3 2 3 2 4 2" xfId="37122" xr:uid="{00000000-0005-0000-0000-0000E3120000}"/>
    <cellStyle name="20% - Accent2 4 3 2 3 2 5" xfId="25821" xr:uid="{00000000-0005-0000-0000-0000E4120000}"/>
    <cellStyle name="20% - Accent2 4 3 2 3 3" xfId="4817" xr:uid="{00000000-0005-0000-0000-0000E5120000}"/>
    <cellStyle name="20% - Accent2 4 3 2 3 3 2" xfId="10467" xr:uid="{00000000-0005-0000-0000-0000E6120000}"/>
    <cellStyle name="20% - Accent2 4 3 2 3 3 2 2" xfId="21768" xr:uid="{00000000-0005-0000-0000-0000E7120000}"/>
    <cellStyle name="20% - Accent2 4 3 2 3 3 2 2 2" xfId="44370" xr:uid="{00000000-0005-0000-0000-0000E8120000}"/>
    <cellStyle name="20% - Accent2 4 3 2 3 3 2 3" xfId="33069" xr:uid="{00000000-0005-0000-0000-0000E9120000}"/>
    <cellStyle name="20% - Accent2 4 3 2 3 3 3" xfId="16118" xr:uid="{00000000-0005-0000-0000-0000EA120000}"/>
    <cellStyle name="20% - Accent2 4 3 2 3 3 3 2" xfId="38720" xr:uid="{00000000-0005-0000-0000-0000EB120000}"/>
    <cellStyle name="20% - Accent2 4 3 2 3 3 4" xfId="27419" xr:uid="{00000000-0005-0000-0000-0000EC120000}"/>
    <cellStyle name="20% - Accent2 4 3 2 3 4" xfId="7004" xr:uid="{00000000-0005-0000-0000-0000ED120000}"/>
    <cellStyle name="20% - Accent2 4 3 2 3 4 2" xfId="18305" xr:uid="{00000000-0005-0000-0000-0000EE120000}"/>
    <cellStyle name="20% - Accent2 4 3 2 3 4 2 2" xfId="40907" xr:uid="{00000000-0005-0000-0000-0000EF120000}"/>
    <cellStyle name="20% - Accent2 4 3 2 3 4 3" xfId="29606" xr:uid="{00000000-0005-0000-0000-0000F0120000}"/>
    <cellStyle name="20% - Accent2 4 3 2 3 5" xfId="12655" xr:uid="{00000000-0005-0000-0000-0000F1120000}"/>
    <cellStyle name="20% - Accent2 4 3 2 3 5 2" xfId="35257" xr:uid="{00000000-0005-0000-0000-0000F2120000}"/>
    <cellStyle name="20% - Accent2 4 3 2 3 6" xfId="23956" xr:uid="{00000000-0005-0000-0000-0000F3120000}"/>
    <cellStyle name="20% - Accent2 4 3 2 4" xfId="1547" xr:uid="{00000000-0005-0000-0000-0000F4120000}"/>
    <cellStyle name="20% - Accent2 4 3 2 4 2" xfId="3447" xr:uid="{00000000-0005-0000-0000-0000F5120000}"/>
    <cellStyle name="20% - Accent2 4 3 2 4 2 2" xfId="9216" xr:uid="{00000000-0005-0000-0000-0000F6120000}"/>
    <cellStyle name="20% - Accent2 4 3 2 4 2 2 2" xfId="20517" xr:uid="{00000000-0005-0000-0000-0000F7120000}"/>
    <cellStyle name="20% - Accent2 4 3 2 4 2 2 2 2" xfId="43119" xr:uid="{00000000-0005-0000-0000-0000F8120000}"/>
    <cellStyle name="20% - Accent2 4 3 2 4 2 2 3" xfId="31818" xr:uid="{00000000-0005-0000-0000-0000F9120000}"/>
    <cellStyle name="20% - Accent2 4 3 2 4 2 3" xfId="14867" xr:uid="{00000000-0005-0000-0000-0000FA120000}"/>
    <cellStyle name="20% - Accent2 4 3 2 4 2 3 2" xfId="37469" xr:uid="{00000000-0005-0000-0000-0000FB120000}"/>
    <cellStyle name="20% - Accent2 4 3 2 4 2 4" xfId="26168" xr:uid="{00000000-0005-0000-0000-0000FC120000}"/>
    <cellStyle name="20% - Accent2 4 3 2 4 3" xfId="5427" xr:uid="{00000000-0005-0000-0000-0000FD120000}"/>
    <cellStyle name="20% - Accent2 4 3 2 4 3 2" xfId="11077" xr:uid="{00000000-0005-0000-0000-0000FE120000}"/>
    <cellStyle name="20% - Accent2 4 3 2 4 3 2 2" xfId="22378" xr:uid="{00000000-0005-0000-0000-0000FF120000}"/>
    <cellStyle name="20% - Accent2 4 3 2 4 3 2 2 2" xfId="44980" xr:uid="{00000000-0005-0000-0000-000000130000}"/>
    <cellStyle name="20% - Accent2 4 3 2 4 3 2 3" xfId="33679" xr:uid="{00000000-0005-0000-0000-000001130000}"/>
    <cellStyle name="20% - Accent2 4 3 2 4 3 3" xfId="16728" xr:uid="{00000000-0005-0000-0000-000002130000}"/>
    <cellStyle name="20% - Accent2 4 3 2 4 3 3 2" xfId="39330" xr:uid="{00000000-0005-0000-0000-000003130000}"/>
    <cellStyle name="20% - Accent2 4 3 2 4 3 4" xfId="28029" xr:uid="{00000000-0005-0000-0000-000004130000}"/>
    <cellStyle name="20% - Accent2 4 3 2 4 4" xfId="7403" xr:uid="{00000000-0005-0000-0000-000005130000}"/>
    <cellStyle name="20% - Accent2 4 3 2 4 4 2" xfId="18704" xr:uid="{00000000-0005-0000-0000-000006130000}"/>
    <cellStyle name="20% - Accent2 4 3 2 4 4 2 2" xfId="41306" xr:uid="{00000000-0005-0000-0000-000007130000}"/>
    <cellStyle name="20% - Accent2 4 3 2 4 4 3" xfId="30005" xr:uid="{00000000-0005-0000-0000-000008130000}"/>
    <cellStyle name="20% - Accent2 4 3 2 4 5" xfId="13054" xr:uid="{00000000-0005-0000-0000-000009130000}"/>
    <cellStyle name="20% - Accent2 4 3 2 4 5 2" xfId="35656" xr:uid="{00000000-0005-0000-0000-00000A130000}"/>
    <cellStyle name="20% - Accent2 4 3 2 4 6" xfId="24355" xr:uid="{00000000-0005-0000-0000-00000B130000}"/>
    <cellStyle name="20% - Accent2 4 3 2 5" xfId="2408" xr:uid="{00000000-0005-0000-0000-00000C130000}"/>
    <cellStyle name="20% - Accent2 4 3 2 5 2" xfId="8244" xr:uid="{00000000-0005-0000-0000-00000D130000}"/>
    <cellStyle name="20% - Accent2 4 3 2 5 2 2" xfId="19545" xr:uid="{00000000-0005-0000-0000-00000E130000}"/>
    <cellStyle name="20% - Accent2 4 3 2 5 2 2 2" xfId="42147" xr:uid="{00000000-0005-0000-0000-00000F130000}"/>
    <cellStyle name="20% - Accent2 4 3 2 5 2 3" xfId="30846" xr:uid="{00000000-0005-0000-0000-000010130000}"/>
    <cellStyle name="20% - Accent2 4 3 2 5 3" xfId="13895" xr:uid="{00000000-0005-0000-0000-000011130000}"/>
    <cellStyle name="20% - Accent2 4 3 2 5 3 2" xfId="36497" xr:uid="{00000000-0005-0000-0000-000012130000}"/>
    <cellStyle name="20% - Accent2 4 3 2 5 4" xfId="25196" xr:uid="{00000000-0005-0000-0000-000013130000}"/>
    <cellStyle name="20% - Accent2 4 3 2 6" xfId="4193" xr:uid="{00000000-0005-0000-0000-000014130000}"/>
    <cellStyle name="20% - Accent2 4 3 2 6 2" xfId="9843" xr:uid="{00000000-0005-0000-0000-000015130000}"/>
    <cellStyle name="20% - Accent2 4 3 2 6 2 2" xfId="21144" xr:uid="{00000000-0005-0000-0000-000016130000}"/>
    <cellStyle name="20% - Accent2 4 3 2 6 2 2 2" xfId="43746" xr:uid="{00000000-0005-0000-0000-000017130000}"/>
    <cellStyle name="20% - Accent2 4 3 2 6 2 3" xfId="32445" xr:uid="{00000000-0005-0000-0000-000018130000}"/>
    <cellStyle name="20% - Accent2 4 3 2 6 3" xfId="15494" xr:uid="{00000000-0005-0000-0000-000019130000}"/>
    <cellStyle name="20% - Accent2 4 3 2 6 3 2" xfId="38096" xr:uid="{00000000-0005-0000-0000-00001A130000}"/>
    <cellStyle name="20% - Accent2 4 3 2 6 4" xfId="26795" xr:uid="{00000000-0005-0000-0000-00001B130000}"/>
    <cellStyle name="20% - Accent2 4 3 2 7" xfId="6673" xr:uid="{00000000-0005-0000-0000-00001C130000}"/>
    <cellStyle name="20% - Accent2 4 3 2 7 2" xfId="17974" xr:uid="{00000000-0005-0000-0000-00001D130000}"/>
    <cellStyle name="20% - Accent2 4 3 2 7 2 2" xfId="40576" xr:uid="{00000000-0005-0000-0000-00001E130000}"/>
    <cellStyle name="20% - Accent2 4 3 2 7 3" xfId="29275" xr:uid="{00000000-0005-0000-0000-00001F130000}"/>
    <cellStyle name="20% - Accent2 4 3 2 8" xfId="12324" xr:uid="{00000000-0005-0000-0000-000020130000}"/>
    <cellStyle name="20% - Accent2 4 3 2 8 2" xfId="34926" xr:uid="{00000000-0005-0000-0000-000021130000}"/>
    <cellStyle name="20% - Accent2 4 3 2 9" xfId="23625" xr:uid="{00000000-0005-0000-0000-000022130000}"/>
    <cellStyle name="20% - Accent2 4 3 3" xfId="1180" xr:uid="{00000000-0005-0000-0000-000023130000}"/>
    <cellStyle name="20% - Accent2 4 3 3 2" xfId="1549" xr:uid="{00000000-0005-0000-0000-000024130000}"/>
    <cellStyle name="20% - Accent2 4 3 3 2 2" xfId="3248" xr:uid="{00000000-0005-0000-0000-000025130000}"/>
    <cellStyle name="20% - Accent2 4 3 3 2 2 2" xfId="6220" xr:uid="{00000000-0005-0000-0000-000026130000}"/>
    <cellStyle name="20% - Accent2 4 3 3 2 2 2 2" xfId="11870" xr:uid="{00000000-0005-0000-0000-000027130000}"/>
    <cellStyle name="20% - Accent2 4 3 3 2 2 2 2 2" xfId="23171" xr:uid="{00000000-0005-0000-0000-000028130000}"/>
    <cellStyle name="20% - Accent2 4 3 3 2 2 2 2 2 2" xfId="45773" xr:uid="{00000000-0005-0000-0000-000029130000}"/>
    <cellStyle name="20% - Accent2 4 3 3 2 2 2 2 3" xfId="34472" xr:uid="{00000000-0005-0000-0000-00002A130000}"/>
    <cellStyle name="20% - Accent2 4 3 3 2 2 2 3" xfId="17521" xr:uid="{00000000-0005-0000-0000-00002B130000}"/>
    <cellStyle name="20% - Accent2 4 3 3 2 2 2 3 2" xfId="40123" xr:uid="{00000000-0005-0000-0000-00002C130000}"/>
    <cellStyle name="20% - Accent2 4 3 3 2 2 2 4" xfId="28822" xr:uid="{00000000-0005-0000-0000-00002D130000}"/>
    <cellStyle name="20% - Accent2 4 3 3 2 2 3" xfId="9038" xr:uid="{00000000-0005-0000-0000-00002E130000}"/>
    <cellStyle name="20% - Accent2 4 3 3 2 2 3 2" xfId="20339" xr:uid="{00000000-0005-0000-0000-00002F130000}"/>
    <cellStyle name="20% - Accent2 4 3 3 2 2 3 2 2" xfId="42941" xr:uid="{00000000-0005-0000-0000-000030130000}"/>
    <cellStyle name="20% - Accent2 4 3 3 2 2 3 3" xfId="31640" xr:uid="{00000000-0005-0000-0000-000031130000}"/>
    <cellStyle name="20% - Accent2 4 3 3 2 2 4" xfId="14689" xr:uid="{00000000-0005-0000-0000-000032130000}"/>
    <cellStyle name="20% - Accent2 4 3 3 2 2 4 2" xfId="37291" xr:uid="{00000000-0005-0000-0000-000033130000}"/>
    <cellStyle name="20% - Accent2 4 3 3 2 2 5" xfId="25990" xr:uid="{00000000-0005-0000-0000-000034130000}"/>
    <cellStyle name="20% - Accent2 4 3 3 2 3" xfId="4986" xr:uid="{00000000-0005-0000-0000-000035130000}"/>
    <cellStyle name="20% - Accent2 4 3 3 2 3 2" xfId="10636" xr:uid="{00000000-0005-0000-0000-000036130000}"/>
    <cellStyle name="20% - Accent2 4 3 3 2 3 2 2" xfId="21937" xr:uid="{00000000-0005-0000-0000-000037130000}"/>
    <cellStyle name="20% - Accent2 4 3 3 2 3 2 2 2" xfId="44539" xr:uid="{00000000-0005-0000-0000-000038130000}"/>
    <cellStyle name="20% - Accent2 4 3 3 2 3 2 3" xfId="33238" xr:uid="{00000000-0005-0000-0000-000039130000}"/>
    <cellStyle name="20% - Accent2 4 3 3 2 3 3" xfId="16287" xr:uid="{00000000-0005-0000-0000-00003A130000}"/>
    <cellStyle name="20% - Accent2 4 3 3 2 3 3 2" xfId="38889" xr:uid="{00000000-0005-0000-0000-00003B130000}"/>
    <cellStyle name="20% - Accent2 4 3 3 2 3 4" xfId="27588" xr:uid="{00000000-0005-0000-0000-00003C130000}"/>
    <cellStyle name="20% - Accent2 4 3 3 2 4" xfId="7405" xr:uid="{00000000-0005-0000-0000-00003D130000}"/>
    <cellStyle name="20% - Accent2 4 3 3 2 4 2" xfId="18706" xr:uid="{00000000-0005-0000-0000-00003E130000}"/>
    <cellStyle name="20% - Accent2 4 3 3 2 4 2 2" xfId="41308" xr:uid="{00000000-0005-0000-0000-00003F130000}"/>
    <cellStyle name="20% - Accent2 4 3 3 2 4 3" xfId="30007" xr:uid="{00000000-0005-0000-0000-000040130000}"/>
    <cellStyle name="20% - Accent2 4 3 3 2 5" xfId="13056" xr:uid="{00000000-0005-0000-0000-000041130000}"/>
    <cellStyle name="20% - Accent2 4 3 3 2 5 2" xfId="35658" xr:uid="{00000000-0005-0000-0000-000042130000}"/>
    <cellStyle name="20% - Accent2 4 3 3 2 6" xfId="24357" xr:uid="{00000000-0005-0000-0000-000043130000}"/>
    <cellStyle name="20% - Accent2 4 3 3 3" xfId="2577" xr:uid="{00000000-0005-0000-0000-000044130000}"/>
    <cellStyle name="20% - Accent2 4 3 3 3 2" xfId="5596" xr:uid="{00000000-0005-0000-0000-000045130000}"/>
    <cellStyle name="20% - Accent2 4 3 3 3 2 2" xfId="11246" xr:uid="{00000000-0005-0000-0000-000046130000}"/>
    <cellStyle name="20% - Accent2 4 3 3 3 2 2 2" xfId="22547" xr:uid="{00000000-0005-0000-0000-000047130000}"/>
    <cellStyle name="20% - Accent2 4 3 3 3 2 2 2 2" xfId="45149" xr:uid="{00000000-0005-0000-0000-000048130000}"/>
    <cellStyle name="20% - Accent2 4 3 3 3 2 2 3" xfId="33848" xr:uid="{00000000-0005-0000-0000-000049130000}"/>
    <cellStyle name="20% - Accent2 4 3 3 3 2 3" xfId="16897" xr:uid="{00000000-0005-0000-0000-00004A130000}"/>
    <cellStyle name="20% - Accent2 4 3 3 3 2 3 2" xfId="39499" xr:uid="{00000000-0005-0000-0000-00004B130000}"/>
    <cellStyle name="20% - Accent2 4 3 3 3 2 4" xfId="28198" xr:uid="{00000000-0005-0000-0000-00004C130000}"/>
    <cellStyle name="20% - Accent2 4 3 3 3 3" xfId="8413" xr:uid="{00000000-0005-0000-0000-00004D130000}"/>
    <cellStyle name="20% - Accent2 4 3 3 3 3 2" xfId="19714" xr:uid="{00000000-0005-0000-0000-00004E130000}"/>
    <cellStyle name="20% - Accent2 4 3 3 3 3 2 2" xfId="42316" xr:uid="{00000000-0005-0000-0000-00004F130000}"/>
    <cellStyle name="20% - Accent2 4 3 3 3 3 3" xfId="31015" xr:uid="{00000000-0005-0000-0000-000050130000}"/>
    <cellStyle name="20% - Accent2 4 3 3 3 4" xfId="14064" xr:uid="{00000000-0005-0000-0000-000051130000}"/>
    <cellStyle name="20% - Accent2 4 3 3 3 4 2" xfId="36666" xr:uid="{00000000-0005-0000-0000-000052130000}"/>
    <cellStyle name="20% - Accent2 4 3 3 3 5" xfId="25365" xr:uid="{00000000-0005-0000-0000-000053130000}"/>
    <cellStyle name="20% - Accent2 4 3 3 4" xfId="4362" xr:uid="{00000000-0005-0000-0000-000054130000}"/>
    <cellStyle name="20% - Accent2 4 3 3 4 2" xfId="10012" xr:uid="{00000000-0005-0000-0000-000055130000}"/>
    <cellStyle name="20% - Accent2 4 3 3 4 2 2" xfId="21313" xr:uid="{00000000-0005-0000-0000-000056130000}"/>
    <cellStyle name="20% - Accent2 4 3 3 4 2 2 2" xfId="43915" xr:uid="{00000000-0005-0000-0000-000057130000}"/>
    <cellStyle name="20% - Accent2 4 3 3 4 2 3" xfId="32614" xr:uid="{00000000-0005-0000-0000-000058130000}"/>
    <cellStyle name="20% - Accent2 4 3 3 4 3" xfId="15663" xr:uid="{00000000-0005-0000-0000-000059130000}"/>
    <cellStyle name="20% - Accent2 4 3 3 4 3 2" xfId="38265" xr:uid="{00000000-0005-0000-0000-00005A130000}"/>
    <cellStyle name="20% - Accent2 4 3 3 4 4" xfId="26964" xr:uid="{00000000-0005-0000-0000-00005B130000}"/>
    <cellStyle name="20% - Accent2 4 3 3 5" xfId="7159" xr:uid="{00000000-0005-0000-0000-00005C130000}"/>
    <cellStyle name="20% - Accent2 4 3 3 5 2" xfId="18460" xr:uid="{00000000-0005-0000-0000-00005D130000}"/>
    <cellStyle name="20% - Accent2 4 3 3 5 2 2" xfId="41062" xr:uid="{00000000-0005-0000-0000-00005E130000}"/>
    <cellStyle name="20% - Accent2 4 3 3 5 3" xfId="29761" xr:uid="{00000000-0005-0000-0000-00005F130000}"/>
    <cellStyle name="20% - Accent2 4 3 3 6" xfId="12810" xr:uid="{00000000-0005-0000-0000-000060130000}"/>
    <cellStyle name="20% - Accent2 4 3 3 6 2" xfId="35412" xr:uid="{00000000-0005-0000-0000-000061130000}"/>
    <cellStyle name="20% - Accent2 4 3 3 7" xfId="24111" xr:uid="{00000000-0005-0000-0000-000062130000}"/>
    <cellStyle name="20% - Accent2 4 3 4" xfId="871" xr:uid="{00000000-0005-0000-0000-000063130000}"/>
    <cellStyle name="20% - Accent2 4 3 4 2" xfId="2941" xr:uid="{00000000-0005-0000-0000-000064130000}"/>
    <cellStyle name="20% - Accent2 4 3 4 2 2" xfId="5913" xr:uid="{00000000-0005-0000-0000-000065130000}"/>
    <cellStyle name="20% - Accent2 4 3 4 2 2 2" xfId="11563" xr:uid="{00000000-0005-0000-0000-000066130000}"/>
    <cellStyle name="20% - Accent2 4 3 4 2 2 2 2" xfId="22864" xr:uid="{00000000-0005-0000-0000-000067130000}"/>
    <cellStyle name="20% - Accent2 4 3 4 2 2 2 2 2" xfId="45466" xr:uid="{00000000-0005-0000-0000-000068130000}"/>
    <cellStyle name="20% - Accent2 4 3 4 2 2 2 3" xfId="34165" xr:uid="{00000000-0005-0000-0000-000069130000}"/>
    <cellStyle name="20% - Accent2 4 3 4 2 2 3" xfId="17214" xr:uid="{00000000-0005-0000-0000-00006A130000}"/>
    <cellStyle name="20% - Accent2 4 3 4 2 2 3 2" xfId="39816" xr:uid="{00000000-0005-0000-0000-00006B130000}"/>
    <cellStyle name="20% - Accent2 4 3 4 2 2 4" xfId="28515" xr:uid="{00000000-0005-0000-0000-00006C130000}"/>
    <cellStyle name="20% - Accent2 4 3 4 2 3" xfId="8731" xr:uid="{00000000-0005-0000-0000-00006D130000}"/>
    <cellStyle name="20% - Accent2 4 3 4 2 3 2" xfId="20032" xr:uid="{00000000-0005-0000-0000-00006E130000}"/>
    <cellStyle name="20% - Accent2 4 3 4 2 3 2 2" xfId="42634" xr:uid="{00000000-0005-0000-0000-00006F130000}"/>
    <cellStyle name="20% - Accent2 4 3 4 2 3 3" xfId="31333" xr:uid="{00000000-0005-0000-0000-000070130000}"/>
    <cellStyle name="20% - Accent2 4 3 4 2 4" xfId="14382" xr:uid="{00000000-0005-0000-0000-000071130000}"/>
    <cellStyle name="20% - Accent2 4 3 4 2 4 2" xfId="36984" xr:uid="{00000000-0005-0000-0000-000072130000}"/>
    <cellStyle name="20% - Accent2 4 3 4 2 5" xfId="25683" xr:uid="{00000000-0005-0000-0000-000073130000}"/>
    <cellStyle name="20% - Accent2 4 3 4 3" xfId="4679" xr:uid="{00000000-0005-0000-0000-000074130000}"/>
    <cellStyle name="20% - Accent2 4 3 4 3 2" xfId="10329" xr:uid="{00000000-0005-0000-0000-000075130000}"/>
    <cellStyle name="20% - Accent2 4 3 4 3 2 2" xfId="21630" xr:uid="{00000000-0005-0000-0000-000076130000}"/>
    <cellStyle name="20% - Accent2 4 3 4 3 2 2 2" xfId="44232" xr:uid="{00000000-0005-0000-0000-000077130000}"/>
    <cellStyle name="20% - Accent2 4 3 4 3 2 3" xfId="32931" xr:uid="{00000000-0005-0000-0000-000078130000}"/>
    <cellStyle name="20% - Accent2 4 3 4 3 3" xfId="15980" xr:uid="{00000000-0005-0000-0000-000079130000}"/>
    <cellStyle name="20% - Accent2 4 3 4 3 3 2" xfId="38582" xr:uid="{00000000-0005-0000-0000-00007A130000}"/>
    <cellStyle name="20% - Accent2 4 3 4 3 4" xfId="27281" xr:uid="{00000000-0005-0000-0000-00007B130000}"/>
    <cellStyle name="20% - Accent2 4 3 4 4" xfId="6866" xr:uid="{00000000-0005-0000-0000-00007C130000}"/>
    <cellStyle name="20% - Accent2 4 3 4 4 2" xfId="18167" xr:uid="{00000000-0005-0000-0000-00007D130000}"/>
    <cellStyle name="20% - Accent2 4 3 4 4 2 2" xfId="40769" xr:uid="{00000000-0005-0000-0000-00007E130000}"/>
    <cellStyle name="20% - Accent2 4 3 4 4 3" xfId="29468" xr:uid="{00000000-0005-0000-0000-00007F130000}"/>
    <cellStyle name="20% - Accent2 4 3 4 5" xfId="12517" xr:uid="{00000000-0005-0000-0000-000080130000}"/>
    <cellStyle name="20% - Accent2 4 3 4 5 2" xfId="35119" xr:uid="{00000000-0005-0000-0000-000081130000}"/>
    <cellStyle name="20% - Accent2 4 3 4 6" xfId="23818" xr:uid="{00000000-0005-0000-0000-000082130000}"/>
    <cellStyle name="20% - Accent2 4 3 5" xfId="1546" xr:uid="{00000000-0005-0000-0000-000083130000}"/>
    <cellStyle name="20% - Accent2 4 3 5 2" xfId="3520" xr:uid="{00000000-0005-0000-0000-000084130000}"/>
    <cellStyle name="20% - Accent2 4 3 5 2 2" xfId="9246" xr:uid="{00000000-0005-0000-0000-000085130000}"/>
    <cellStyle name="20% - Accent2 4 3 5 2 2 2" xfId="20547" xr:uid="{00000000-0005-0000-0000-000086130000}"/>
    <cellStyle name="20% - Accent2 4 3 5 2 2 2 2" xfId="43149" xr:uid="{00000000-0005-0000-0000-000087130000}"/>
    <cellStyle name="20% - Accent2 4 3 5 2 2 3" xfId="31848" xr:uid="{00000000-0005-0000-0000-000088130000}"/>
    <cellStyle name="20% - Accent2 4 3 5 2 3" xfId="14897" xr:uid="{00000000-0005-0000-0000-000089130000}"/>
    <cellStyle name="20% - Accent2 4 3 5 2 3 2" xfId="37499" xr:uid="{00000000-0005-0000-0000-00008A130000}"/>
    <cellStyle name="20% - Accent2 4 3 5 2 4" xfId="26198" xr:uid="{00000000-0005-0000-0000-00008B130000}"/>
    <cellStyle name="20% - Accent2 4 3 5 3" xfId="5289" xr:uid="{00000000-0005-0000-0000-00008C130000}"/>
    <cellStyle name="20% - Accent2 4 3 5 3 2" xfId="10939" xr:uid="{00000000-0005-0000-0000-00008D130000}"/>
    <cellStyle name="20% - Accent2 4 3 5 3 2 2" xfId="22240" xr:uid="{00000000-0005-0000-0000-00008E130000}"/>
    <cellStyle name="20% - Accent2 4 3 5 3 2 2 2" xfId="44842" xr:uid="{00000000-0005-0000-0000-00008F130000}"/>
    <cellStyle name="20% - Accent2 4 3 5 3 2 3" xfId="33541" xr:uid="{00000000-0005-0000-0000-000090130000}"/>
    <cellStyle name="20% - Accent2 4 3 5 3 3" xfId="16590" xr:uid="{00000000-0005-0000-0000-000091130000}"/>
    <cellStyle name="20% - Accent2 4 3 5 3 3 2" xfId="39192" xr:uid="{00000000-0005-0000-0000-000092130000}"/>
    <cellStyle name="20% - Accent2 4 3 5 3 4" xfId="27891" xr:uid="{00000000-0005-0000-0000-000093130000}"/>
    <cellStyle name="20% - Accent2 4 3 5 4" xfId="7402" xr:uid="{00000000-0005-0000-0000-000094130000}"/>
    <cellStyle name="20% - Accent2 4 3 5 4 2" xfId="18703" xr:uid="{00000000-0005-0000-0000-000095130000}"/>
    <cellStyle name="20% - Accent2 4 3 5 4 2 2" xfId="41305" xr:uid="{00000000-0005-0000-0000-000096130000}"/>
    <cellStyle name="20% - Accent2 4 3 5 4 3" xfId="30004" xr:uid="{00000000-0005-0000-0000-000097130000}"/>
    <cellStyle name="20% - Accent2 4 3 5 5" xfId="13053" xr:uid="{00000000-0005-0000-0000-000098130000}"/>
    <cellStyle name="20% - Accent2 4 3 5 5 2" xfId="35655" xr:uid="{00000000-0005-0000-0000-000099130000}"/>
    <cellStyle name="20% - Accent2 4 3 5 6" xfId="24354" xr:uid="{00000000-0005-0000-0000-00009A130000}"/>
    <cellStyle name="20% - Accent2 4 3 6" xfId="2268" xr:uid="{00000000-0005-0000-0000-00009B130000}"/>
    <cellStyle name="20% - Accent2 4 3 6 2" xfId="8104" xr:uid="{00000000-0005-0000-0000-00009C130000}"/>
    <cellStyle name="20% - Accent2 4 3 6 2 2" xfId="19405" xr:uid="{00000000-0005-0000-0000-00009D130000}"/>
    <cellStyle name="20% - Accent2 4 3 6 2 2 2" xfId="42007" xr:uid="{00000000-0005-0000-0000-00009E130000}"/>
    <cellStyle name="20% - Accent2 4 3 6 2 3" xfId="30706" xr:uid="{00000000-0005-0000-0000-00009F130000}"/>
    <cellStyle name="20% - Accent2 4 3 6 3" xfId="13755" xr:uid="{00000000-0005-0000-0000-0000A0130000}"/>
    <cellStyle name="20% - Accent2 4 3 6 3 2" xfId="36357" xr:uid="{00000000-0005-0000-0000-0000A1130000}"/>
    <cellStyle name="20% - Accent2 4 3 6 4" xfId="25056" xr:uid="{00000000-0005-0000-0000-0000A2130000}"/>
    <cellStyle name="20% - Accent2 4 3 7" xfId="4055" xr:uid="{00000000-0005-0000-0000-0000A3130000}"/>
    <cellStyle name="20% - Accent2 4 3 7 2" xfId="9705" xr:uid="{00000000-0005-0000-0000-0000A4130000}"/>
    <cellStyle name="20% - Accent2 4 3 7 2 2" xfId="21006" xr:uid="{00000000-0005-0000-0000-0000A5130000}"/>
    <cellStyle name="20% - Accent2 4 3 7 2 2 2" xfId="43608" xr:uid="{00000000-0005-0000-0000-0000A6130000}"/>
    <cellStyle name="20% - Accent2 4 3 7 2 3" xfId="32307" xr:uid="{00000000-0005-0000-0000-0000A7130000}"/>
    <cellStyle name="20% - Accent2 4 3 7 3" xfId="15356" xr:uid="{00000000-0005-0000-0000-0000A8130000}"/>
    <cellStyle name="20% - Accent2 4 3 7 3 2" xfId="37958" xr:uid="{00000000-0005-0000-0000-0000A9130000}"/>
    <cellStyle name="20% - Accent2 4 3 7 4" xfId="26657" xr:uid="{00000000-0005-0000-0000-0000AA130000}"/>
    <cellStyle name="20% - Accent2 4 3 8" xfId="6506" xr:uid="{00000000-0005-0000-0000-0000AB130000}"/>
    <cellStyle name="20% - Accent2 4 3 8 2" xfId="17807" xr:uid="{00000000-0005-0000-0000-0000AC130000}"/>
    <cellStyle name="20% - Accent2 4 3 8 2 2" xfId="40409" xr:uid="{00000000-0005-0000-0000-0000AD130000}"/>
    <cellStyle name="20% - Accent2 4 3 8 3" xfId="29108" xr:uid="{00000000-0005-0000-0000-0000AE130000}"/>
    <cellStyle name="20% - Accent2 4 3 9" xfId="12157" xr:uid="{00000000-0005-0000-0000-0000AF130000}"/>
    <cellStyle name="20% - Accent2 4 3 9 2" xfId="34759" xr:uid="{00000000-0005-0000-0000-0000B0130000}"/>
    <cellStyle name="20% - Accent2 4 4" xfId="510" xr:uid="{00000000-0005-0000-0000-0000B1130000}"/>
    <cellStyle name="20% - Accent2 4 4 2" xfId="1084" xr:uid="{00000000-0005-0000-0000-0000B2130000}"/>
    <cellStyle name="20% - Accent2 4 4 2 2" xfId="1551" xr:uid="{00000000-0005-0000-0000-0000B3130000}"/>
    <cellStyle name="20% - Accent2 4 4 2 2 2" xfId="3152" xr:uid="{00000000-0005-0000-0000-0000B4130000}"/>
    <cellStyle name="20% - Accent2 4 4 2 2 2 2" xfId="6124" xr:uid="{00000000-0005-0000-0000-0000B5130000}"/>
    <cellStyle name="20% - Accent2 4 4 2 2 2 2 2" xfId="11774" xr:uid="{00000000-0005-0000-0000-0000B6130000}"/>
    <cellStyle name="20% - Accent2 4 4 2 2 2 2 2 2" xfId="23075" xr:uid="{00000000-0005-0000-0000-0000B7130000}"/>
    <cellStyle name="20% - Accent2 4 4 2 2 2 2 2 2 2" xfId="45677" xr:uid="{00000000-0005-0000-0000-0000B8130000}"/>
    <cellStyle name="20% - Accent2 4 4 2 2 2 2 2 3" xfId="34376" xr:uid="{00000000-0005-0000-0000-0000B9130000}"/>
    <cellStyle name="20% - Accent2 4 4 2 2 2 2 3" xfId="17425" xr:uid="{00000000-0005-0000-0000-0000BA130000}"/>
    <cellStyle name="20% - Accent2 4 4 2 2 2 2 3 2" xfId="40027" xr:uid="{00000000-0005-0000-0000-0000BB130000}"/>
    <cellStyle name="20% - Accent2 4 4 2 2 2 2 4" xfId="28726" xr:uid="{00000000-0005-0000-0000-0000BC130000}"/>
    <cellStyle name="20% - Accent2 4 4 2 2 2 3" xfId="8942" xr:uid="{00000000-0005-0000-0000-0000BD130000}"/>
    <cellStyle name="20% - Accent2 4 4 2 2 2 3 2" xfId="20243" xr:uid="{00000000-0005-0000-0000-0000BE130000}"/>
    <cellStyle name="20% - Accent2 4 4 2 2 2 3 2 2" xfId="42845" xr:uid="{00000000-0005-0000-0000-0000BF130000}"/>
    <cellStyle name="20% - Accent2 4 4 2 2 2 3 3" xfId="31544" xr:uid="{00000000-0005-0000-0000-0000C0130000}"/>
    <cellStyle name="20% - Accent2 4 4 2 2 2 4" xfId="14593" xr:uid="{00000000-0005-0000-0000-0000C1130000}"/>
    <cellStyle name="20% - Accent2 4 4 2 2 2 4 2" xfId="37195" xr:uid="{00000000-0005-0000-0000-0000C2130000}"/>
    <cellStyle name="20% - Accent2 4 4 2 2 2 5" xfId="25894" xr:uid="{00000000-0005-0000-0000-0000C3130000}"/>
    <cellStyle name="20% - Accent2 4 4 2 2 3" xfId="4890" xr:uid="{00000000-0005-0000-0000-0000C4130000}"/>
    <cellStyle name="20% - Accent2 4 4 2 2 3 2" xfId="10540" xr:uid="{00000000-0005-0000-0000-0000C5130000}"/>
    <cellStyle name="20% - Accent2 4 4 2 2 3 2 2" xfId="21841" xr:uid="{00000000-0005-0000-0000-0000C6130000}"/>
    <cellStyle name="20% - Accent2 4 4 2 2 3 2 2 2" xfId="44443" xr:uid="{00000000-0005-0000-0000-0000C7130000}"/>
    <cellStyle name="20% - Accent2 4 4 2 2 3 2 3" xfId="33142" xr:uid="{00000000-0005-0000-0000-0000C8130000}"/>
    <cellStyle name="20% - Accent2 4 4 2 2 3 3" xfId="16191" xr:uid="{00000000-0005-0000-0000-0000C9130000}"/>
    <cellStyle name="20% - Accent2 4 4 2 2 3 3 2" xfId="38793" xr:uid="{00000000-0005-0000-0000-0000CA130000}"/>
    <cellStyle name="20% - Accent2 4 4 2 2 3 4" xfId="27492" xr:uid="{00000000-0005-0000-0000-0000CB130000}"/>
    <cellStyle name="20% - Accent2 4 4 2 2 4" xfId="7407" xr:uid="{00000000-0005-0000-0000-0000CC130000}"/>
    <cellStyle name="20% - Accent2 4 4 2 2 4 2" xfId="18708" xr:uid="{00000000-0005-0000-0000-0000CD130000}"/>
    <cellStyle name="20% - Accent2 4 4 2 2 4 2 2" xfId="41310" xr:uid="{00000000-0005-0000-0000-0000CE130000}"/>
    <cellStyle name="20% - Accent2 4 4 2 2 4 3" xfId="30009" xr:uid="{00000000-0005-0000-0000-0000CF130000}"/>
    <cellStyle name="20% - Accent2 4 4 2 2 5" xfId="13058" xr:uid="{00000000-0005-0000-0000-0000D0130000}"/>
    <cellStyle name="20% - Accent2 4 4 2 2 5 2" xfId="35660" xr:uid="{00000000-0005-0000-0000-0000D1130000}"/>
    <cellStyle name="20% - Accent2 4 4 2 2 6" xfId="24359" xr:uid="{00000000-0005-0000-0000-0000D2130000}"/>
    <cellStyle name="20% - Accent2 4 4 2 3" xfId="2481" xr:uid="{00000000-0005-0000-0000-0000D3130000}"/>
    <cellStyle name="20% - Accent2 4 4 2 3 2" xfId="5500" xr:uid="{00000000-0005-0000-0000-0000D4130000}"/>
    <cellStyle name="20% - Accent2 4 4 2 3 2 2" xfId="11150" xr:uid="{00000000-0005-0000-0000-0000D5130000}"/>
    <cellStyle name="20% - Accent2 4 4 2 3 2 2 2" xfId="22451" xr:uid="{00000000-0005-0000-0000-0000D6130000}"/>
    <cellStyle name="20% - Accent2 4 4 2 3 2 2 2 2" xfId="45053" xr:uid="{00000000-0005-0000-0000-0000D7130000}"/>
    <cellStyle name="20% - Accent2 4 4 2 3 2 2 3" xfId="33752" xr:uid="{00000000-0005-0000-0000-0000D8130000}"/>
    <cellStyle name="20% - Accent2 4 4 2 3 2 3" xfId="16801" xr:uid="{00000000-0005-0000-0000-0000D9130000}"/>
    <cellStyle name="20% - Accent2 4 4 2 3 2 3 2" xfId="39403" xr:uid="{00000000-0005-0000-0000-0000DA130000}"/>
    <cellStyle name="20% - Accent2 4 4 2 3 2 4" xfId="28102" xr:uid="{00000000-0005-0000-0000-0000DB130000}"/>
    <cellStyle name="20% - Accent2 4 4 2 3 3" xfId="8317" xr:uid="{00000000-0005-0000-0000-0000DC130000}"/>
    <cellStyle name="20% - Accent2 4 4 2 3 3 2" xfId="19618" xr:uid="{00000000-0005-0000-0000-0000DD130000}"/>
    <cellStyle name="20% - Accent2 4 4 2 3 3 2 2" xfId="42220" xr:uid="{00000000-0005-0000-0000-0000DE130000}"/>
    <cellStyle name="20% - Accent2 4 4 2 3 3 3" xfId="30919" xr:uid="{00000000-0005-0000-0000-0000DF130000}"/>
    <cellStyle name="20% - Accent2 4 4 2 3 4" xfId="13968" xr:uid="{00000000-0005-0000-0000-0000E0130000}"/>
    <cellStyle name="20% - Accent2 4 4 2 3 4 2" xfId="36570" xr:uid="{00000000-0005-0000-0000-0000E1130000}"/>
    <cellStyle name="20% - Accent2 4 4 2 3 5" xfId="25269" xr:uid="{00000000-0005-0000-0000-0000E2130000}"/>
    <cellStyle name="20% - Accent2 4 4 2 4" xfId="4266" xr:uid="{00000000-0005-0000-0000-0000E3130000}"/>
    <cellStyle name="20% - Accent2 4 4 2 4 2" xfId="9916" xr:uid="{00000000-0005-0000-0000-0000E4130000}"/>
    <cellStyle name="20% - Accent2 4 4 2 4 2 2" xfId="21217" xr:uid="{00000000-0005-0000-0000-0000E5130000}"/>
    <cellStyle name="20% - Accent2 4 4 2 4 2 2 2" xfId="43819" xr:uid="{00000000-0005-0000-0000-0000E6130000}"/>
    <cellStyle name="20% - Accent2 4 4 2 4 2 3" xfId="32518" xr:uid="{00000000-0005-0000-0000-0000E7130000}"/>
    <cellStyle name="20% - Accent2 4 4 2 4 3" xfId="15567" xr:uid="{00000000-0005-0000-0000-0000E8130000}"/>
    <cellStyle name="20% - Accent2 4 4 2 4 3 2" xfId="38169" xr:uid="{00000000-0005-0000-0000-0000E9130000}"/>
    <cellStyle name="20% - Accent2 4 4 2 4 4" xfId="26868" xr:uid="{00000000-0005-0000-0000-0000EA130000}"/>
    <cellStyle name="20% - Accent2 4 4 2 5" xfId="7063" xr:uid="{00000000-0005-0000-0000-0000EB130000}"/>
    <cellStyle name="20% - Accent2 4 4 2 5 2" xfId="18364" xr:uid="{00000000-0005-0000-0000-0000EC130000}"/>
    <cellStyle name="20% - Accent2 4 4 2 5 2 2" xfId="40966" xr:uid="{00000000-0005-0000-0000-0000ED130000}"/>
    <cellStyle name="20% - Accent2 4 4 2 5 3" xfId="29665" xr:uid="{00000000-0005-0000-0000-0000EE130000}"/>
    <cellStyle name="20% - Accent2 4 4 2 6" xfId="12714" xr:uid="{00000000-0005-0000-0000-0000EF130000}"/>
    <cellStyle name="20% - Accent2 4 4 2 6 2" xfId="35316" xr:uid="{00000000-0005-0000-0000-0000F0130000}"/>
    <cellStyle name="20% - Accent2 4 4 2 7" xfId="24015" xr:uid="{00000000-0005-0000-0000-0000F1130000}"/>
    <cellStyle name="20% - Accent2 4 4 3" xfId="758" xr:uid="{00000000-0005-0000-0000-0000F2130000}"/>
    <cellStyle name="20% - Accent2 4 4 3 2" xfId="2845" xr:uid="{00000000-0005-0000-0000-0000F3130000}"/>
    <cellStyle name="20% - Accent2 4 4 3 2 2" xfId="5817" xr:uid="{00000000-0005-0000-0000-0000F4130000}"/>
    <cellStyle name="20% - Accent2 4 4 3 2 2 2" xfId="11467" xr:uid="{00000000-0005-0000-0000-0000F5130000}"/>
    <cellStyle name="20% - Accent2 4 4 3 2 2 2 2" xfId="22768" xr:uid="{00000000-0005-0000-0000-0000F6130000}"/>
    <cellStyle name="20% - Accent2 4 4 3 2 2 2 2 2" xfId="45370" xr:uid="{00000000-0005-0000-0000-0000F7130000}"/>
    <cellStyle name="20% - Accent2 4 4 3 2 2 2 3" xfId="34069" xr:uid="{00000000-0005-0000-0000-0000F8130000}"/>
    <cellStyle name="20% - Accent2 4 4 3 2 2 3" xfId="17118" xr:uid="{00000000-0005-0000-0000-0000F9130000}"/>
    <cellStyle name="20% - Accent2 4 4 3 2 2 3 2" xfId="39720" xr:uid="{00000000-0005-0000-0000-0000FA130000}"/>
    <cellStyle name="20% - Accent2 4 4 3 2 2 4" xfId="28419" xr:uid="{00000000-0005-0000-0000-0000FB130000}"/>
    <cellStyle name="20% - Accent2 4 4 3 2 3" xfId="8635" xr:uid="{00000000-0005-0000-0000-0000FC130000}"/>
    <cellStyle name="20% - Accent2 4 4 3 2 3 2" xfId="19936" xr:uid="{00000000-0005-0000-0000-0000FD130000}"/>
    <cellStyle name="20% - Accent2 4 4 3 2 3 2 2" xfId="42538" xr:uid="{00000000-0005-0000-0000-0000FE130000}"/>
    <cellStyle name="20% - Accent2 4 4 3 2 3 3" xfId="31237" xr:uid="{00000000-0005-0000-0000-0000FF130000}"/>
    <cellStyle name="20% - Accent2 4 4 3 2 4" xfId="14286" xr:uid="{00000000-0005-0000-0000-000000140000}"/>
    <cellStyle name="20% - Accent2 4 4 3 2 4 2" xfId="36888" xr:uid="{00000000-0005-0000-0000-000001140000}"/>
    <cellStyle name="20% - Accent2 4 4 3 2 5" xfId="25587" xr:uid="{00000000-0005-0000-0000-000002140000}"/>
    <cellStyle name="20% - Accent2 4 4 3 3" xfId="4583" xr:uid="{00000000-0005-0000-0000-000003140000}"/>
    <cellStyle name="20% - Accent2 4 4 3 3 2" xfId="10233" xr:uid="{00000000-0005-0000-0000-000004140000}"/>
    <cellStyle name="20% - Accent2 4 4 3 3 2 2" xfId="21534" xr:uid="{00000000-0005-0000-0000-000005140000}"/>
    <cellStyle name="20% - Accent2 4 4 3 3 2 2 2" xfId="44136" xr:uid="{00000000-0005-0000-0000-000006140000}"/>
    <cellStyle name="20% - Accent2 4 4 3 3 2 3" xfId="32835" xr:uid="{00000000-0005-0000-0000-000007140000}"/>
    <cellStyle name="20% - Accent2 4 4 3 3 3" xfId="15884" xr:uid="{00000000-0005-0000-0000-000008140000}"/>
    <cellStyle name="20% - Accent2 4 4 3 3 3 2" xfId="38486" xr:uid="{00000000-0005-0000-0000-000009140000}"/>
    <cellStyle name="20% - Accent2 4 4 3 3 4" xfId="27185" xr:uid="{00000000-0005-0000-0000-00000A140000}"/>
    <cellStyle name="20% - Accent2 4 4 3 4" xfId="6766" xr:uid="{00000000-0005-0000-0000-00000B140000}"/>
    <cellStyle name="20% - Accent2 4 4 3 4 2" xfId="18067" xr:uid="{00000000-0005-0000-0000-00000C140000}"/>
    <cellStyle name="20% - Accent2 4 4 3 4 2 2" xfId="40669" xr:uid="{00000000-0005-0000-0000-00000D140000}"/>
    <cellStyle name="20% - Accent2 4 4 3 4 3" xfId="29368" xr:uid="{00000000-0005-0000-0000-00000E140000}"/>
    <cellStyle name="20% - Accent2 4 4 3 5" xfId="12417" xr:uid="{00000000-0005-0000-0000-00000F140000}"/>
    <cellStyle name="20% - Accent2 4 4 3 5 2" xfId="35019" xr:uid="{00000000-0005-0000-0000-000010140000}"/>
    <cellStyle name="20% - Accent2 4 4 3 6" xfId="23718" xr:uid="{00000000-0005-0000-0000-000011140000}"/>
    <cellStyle name="20% - Accent2 4 4 4" xfId="1550" xr:uid="{00000000-0005-0000-0000-000012140000}"/>
    <cellStyle name="20% - Accent2 4 4 4 2" xfId="3486" xr:uid="{00000000-0005-0000-0000-000013140000}"/>
    <cellStyle name="20% - Accent2 4 4 4 2 2" xfId="9232" xr:uid="{00000000-0005-0000-0000-000014140000}"/>
    <cellStyle name="20% - Accent2 4 4 4 2 2 2" xfId="20533" xr:uid="{00000000-0005-0000-0000-000015140000}"/>
    <cellStyle name="20% - Accent2 4 4 4 2 2 2 2" xfId="43135" xr:uid="{00000000-0005-0000-0000-000016140000}"/>
    <cellStyle name="20% - Accent2 4 4 4 2 2 3" xfId="31834" xr:uid="{00000000-0005-0000-0000-000017140000}"/>
    <cellStyle name="20% - Accent2 4 4 4 2 3" xfId="14883" xr:uid="{00000000-0005-0000-0000-000018140000}"/>
    <cellStyle name="20% - Accent2 4 4 4 2 3 2" xfId="37485" xr:uid="{00000000-0005-0000-0000-000019140000}"/>
    <cellStyle name="20% - Accent2 4 4 4 2 4" xfId="26184" xr:uid="{00000000-0005-0000-0000-00001A140000}"/>
    <cellStyle name="20% - Accent2 4 4 4 3" xfId="5193" xr:uid="{00000000-0005-0000-0000-00001B140000}"/>
    <cellStyle name="20% - Accent2 4 4 4 3 2" xfId="10843" xr:uid="{00000000-0005-0000-0000-00001C140000}"/>
    <cellStyle name="20% - Accent2 4 4 4 3 2 2" xfId="22144" xr:uid="{00000000-0005-0000-0000-00001D140000}"/>
    <cellStyle name="20% - Accent2 4 4 4 3 2 2 2" xfId="44746" xr:uid="{00000000-0005-0000-0000-00001E140000}"/>
    <cellStyle name="20% - Accent2 4 4 4 3 2 3" xfId="33445" xr:uid="{00000000-0005-0000-0000-00001F140000}"/>
    <cellStyle name="20% - Accent2 4 4 4 3 3" xfId="16494" xr:uid="{00000000-0005-0000-0000-000020140000}"/>
    <cellStyle name="20% - Accent2 4 4 4 3 3 2" xfId="39096" xr:uid="{00000000-0005-0000-0000-000021140000}"/>
    <cellStyle name="20% - Accent2 4 4 4 3 4" xfId="27795" xr:uid="{00000000-0005-0000-0000-000022140000}"/>
    <cellStyle name="20% - Accent2 4 4 4 4" xfId="7406" xr:uid="{00000000-0005-0000-0000-000023140000}"/>
    <cellStyle name="20% - Accent2 4 4 4 4 2" xfId="18707" xr:uid="{00000000-0005-0000-0000-000024140000}"/>
    <cellStyle name="20% - Accent2 4 4 4 4 2 2" xfId="41309" xr:uid="{00000000-0005-0000-0000-000025140000}"/>
    <cellStyle name="20% - Accent2 4 4 4 4 3" xfId="30008" xr:uid="{00000000-0005-0000-0000-000026140000}"/>
    <cellStyle name="20% - Accent2 4 4 4 5" xfId="13057" xr:uid="{00000000-0005-0000-0000-000027140000}"/>
    <cellStyle name="20% - Accent2 4 4 4 5 2" xfId="35659" xr:uid="{00000000-0005-0000-0000-000028140000}"/>
    <cellStyle name="20% - Accent2 4 4 4 6" xfId="24358" xr:uid="{00000000-0005-0000-0000-000029140000}"/>
    <cellStyle name="20% - Accent2 4 4 5" xfId="2165" xr:uid="{00000000-0005-0000-0000-00002A140000}"/>
    <cellStyle name="20% - Accent2 4 4 5 2" xfId="8007" xr:uid="{00000000-0005-0000-0000-00002B140000}"/>
    <cellStyle name="20% - Accent2 4 4 5 2 2" xfId="19308" xr:uid="{00000000-0005-0000-0000-00002C140000}"/>
    <cellStyle name="20% - Accent2 4 4 5 2 2 2" xfId="41910" xr:uid="{00000000-0005-0000-0000-00002D140000}"/>
    <cellStyle name="20% - Accent2 4 4 5 2 3" xfId="30609" xr:uid="{00000000-0005-0000-0000-00002E140000}"/>
    <cellStyle name="20% - Accent2 4 4 5 3" xfId="13658" xr:uid="{00000000-0005-0000-0000-00002F140000}"/>
    <cellStyle name="20% - Accent2 4 4 5 3 2" xfId="36260" xr:uid="{00000000-0005-0000-0000-000030140000}"/>
    <cellStyle name="20% - Accent2 4 4 5 4" xfId="24959" xr:uid="{00000000-0005-0000-0000-000031140000}"/>
    <cellStyle name="20% - Accent2 4 4 6" xfId="3959" xr:uid="{00000000-0005-0000-0000-000032140000}"/>
    <cellStyle name="20% - Accent2 4 4 6 2" xfId="9609" xr:uid="{00000000-0005-0000-0000-000033140000}"/>
    <cellStyle name="20% - Accent2 4 4 6 2 2" xfId="20910" xr:uid="{00000000-0005-0000-0000-000034140000}"/>
    <cellStyle name="20% - Accent2 4 4 6 2 2 2" xfId="43512" xr:uid="{00000000-0005-0000-0000-000035140000}"/>
    <cellStyle name="20% - Accent2 4 4 6 2 3" xfId="32211" xr:uid="{00000000-0005-0000-0000-000036140000}"/>
    <cellStyle name="20% - Accent2 4 4 6 3" xfId="15260" xr:uid="{00000000-0005-0000-0000-000037140000}"/>
    <cellStyle name="20% - Accent2 4 4 6 3 2" xfId="37862" xr:uid="{00000000-0005-0000-0000-000038140000}"/>
    <cellStyle name="20% - Accent2 4 4 6 4" xfId="26561" xr:uid="{00000000-0005-0000-0000-000039140000}"/>
    <cellStyle name="20% - Accent2 4 4 7" xfId="6577" xr:uid="{00000000-0005-0000-0000-00003A140000}"/>
    <cellStyle name="20% - Accent2 4 4 7 2" xfId="17878" xr:uid="{00000000-0005-0000-0000-00003B140000}"/>
    <cellStyle name="20% - Accent2 4 4 7 2 2" xfId="40480" xr:uid="{00000000-0005-0000-0000-00003C140000}"/>
    <cellStyle name="20% - Accent2 4 4 7 3" xfId="29179" xr:uid="{00000000-0005-0000-0000-00003D140000}"/>
    <cellStyle name="20% - Accent2 4 4 8" xfId="12228" xr:uid="{00000000-0005-0000-0000-00003E140000}"/>
    <cellStyle name="20% - Accent2 4 4 8 2" xfId="34830" xr:uid="{00000000-0005-0000-0000-00003F140000}"/>
    <cellStyle name="20% - Accent2 4 4 9" xfId="23529" xr:uid="{00000000-0005-0000-0000-000040140000}"/>
    <cellStyle name="20% - Accent2 4 5" xfId="454" xr:uid="{00000000-0005-0000-0000-000041140000}"/>
    <cellStyle name="20% - Accent2 4 5 2" xfId="1223" xr:uid="{00000000-0005-0000-0000-000042140000}"/>
    <cellStyle name="20% - Accent2 4 5 2 2" xfId="1553" xr:uid="{00000000-0005-0000-0000-000043140000}"/>
    <cellStyle name="20% - Accent2 4 5 2 2 2" xfId="3292" xr:uid="{00000000-0005-0000-0000-000044140000}"/>
    <cellStyle name="20% - Accent2 4 5 2 2 2 2" xfId="6264" xr:uid="{00000000-0005-0000-0000-000045140000}"/>
    <cellStyle name="20% - Accent2 4 5 2 2 2 2 2" xfId="11914" xr:uid="{00000000-0005-0000-0000-000046140000}"/>
    <cellStyle name="20% - Accent2 4 5 2 2 2 2 2 2" xfId="23215" xr:uid="{00000000-0005-0000-0000-000047140000}"/>
    <cellStyle name="20% - Accent2 4 5 2 2 2 2 2 2 2" xfId="45817" xr:uid="{00000000-0005-0000-0000-000048140000}"/>
    <cellStyle name="20% - Accent2 4 5 2 2 2 2 2 3" xfId="34516" xr:uid="{00000000-0005-0000-0000-000049140000}"/>
    <cellStyle name="20% - Accent2 4 5 2 2 2 2 3" xfId="17565" xr:uid="{00000000-0005-0000-0000-00004A140000}"/>
    <cellStyle name="20% - Accent2 4 5 2 2 2 2 3 2" xfId="40167" xr:uid="{00000000-0005-0000-0000-00004B140000}"/>
    <cellStyle name="20% - Accent2 4 5 2 2 2 2 4" xfId="28866" xr:uid="{00000000-0005-0000-0000-00004C140000}"/>
    <cellStyle name="20% - Accent2 4 5 2 2 2 3" xfId="9082" xr:uid="{00000000-0005-0000-0000-00004D140000}"/>
    <cellStyle name="20% - Accent2 4 5 2 2 2 3 2" xfId="20383" xr:uid="{00000000-0005-0000-0000-00004E140000}"/>
    <cellStyle name="20% - Accent2 4 5 2 2 2 3 2 2" xfId="42985" xr:uid="{00000000-0005-0000-0000-00004F140000}"/>
    <cellStyle name="20% - Accent2 4 5 2 2 2 3 3" xfId="31684" xr:uid="{00000000-0005-0000-0000-000050140000}"/>
    <cellStyle name="20% - Accent2 4 5 2 2 2 4" xfId="14733" xr:uid="{00000000-0005-0000-0000-000051140000}"/>
    <cellStyle name="20% - Accent2 4 5 2 2 2 4 2" xfId="37335" xr:uid="{00000000-0005-0000-0000-000052140000}"/>
    <cellStyle name="20% - Accent2 4 5 2 2 2 5" xfId="26034" xr:uid="{00000000-0005-0000-0000-000053140000}"/>
    <cellStyle name="20% - Accent2 4 5 2 2 3" xfId="5030" xr:uid="{00000000-0005-0000-0000-000054140000}"/>
    <cellStyle name="20% - Accent2 4 5 2 2 3 2" xfId="10680" xr:uid="{00000000-0005-0000-0000-000055140000}"/>
    <cellStyle name="20% - Accent2 4 5 2 2 3 2 2" xfId="21981" xr:uid="{00000000-0005-0000-0000-000056140000}"/>
    <cellStyle name="20% - Accent2 4 5 2 2 3 2 2 2" xfId="44583" xr:uid="{00000000-0005-0000-0000-000057140000}"/>
    <cellStyle name="20% - Accent2 4 5 2 2 3 2 3" xfId="33282" xr:uid="{00000000-0005-0000-0000-000058140000}"/>
    <cellStyle name="20% - Accent2 4 5 2 2 3 3" xfId="16331" xr:uid="{00000000-0005-0000-0000-000059140000}"/>
    <cellStyle name="20% - Accent2 4 5 2 2 3 3 2" xfId="38933" xr:uid="{00000000-0005-0000-0000-00005A140000}"/>
    <cellStyle name="20% - Accent2 4 5 2 2 3 4" xfId="27632" xr:uid="{00000000-0005-0000-0000-00005B140000}"/>
    <cellStyle name="20% - Accent2 4 5 2 2 4" xfId="7409" xr:uid="{00000000-0005-0000-0000-00005C140000}"/>
    <cellStyle name="20% - Accent2 4 5 2 2 4 2" xfId="18710" xr:uid="{00000000-0005-0000-0000-00005D140000}"/>
    <cellStyle name="20% - Accent2 4 5 2 2 4 2 2" xfId="41312" xr:uid="{00000000-0005-0000-0000-00005E140000}"/>
    <cellStyle name="20% - Accent2 4 5 2 2 4 3" xfId="30011" xr:uid="{00000000-0005-0000-0000-00005F140000}"/>
    <cellStyle name="20% - Accent2 4 5 2 2 5" xfId="13060" xr:uid="{00000000-0005-0000-0000-000060140000}"/>
    <cellStyle name="20% - Accent2 4 5 2 2 5 2" xfId="35662" xr:uid="{00000000-0005-0000-0000-000061140000}"/>
    <cellStyle name="20% - Accent2 4 5 2 2 6" xfId="24361" xr:uid="{00000000-0005-0000-0000-000062140000}"/>
    <cellStyle name="20% - Accent2 4 5 2 3" xfId="2621" xr:uid="{00000000-0005-0000-0000-000063140000}"/>
    <cellStyle name="20% - Accent2 4 5 2 3 2" xfId="5640" xr:uid="{00000000-0005-0000-0000-000064140000}"/>
    <cellStyle name="20% - Accent2 4 5 2 3 2 2" xfId="11290" xr:uid="{00000000-0005-0000-0000-000065140000}"/>
    <cellStyle name="20% - Accent2 4 5 2 3 2 2 2" xfId="22591" xr:uid="{00000000-0005-0000-0000-000066140000}"/>
    <cellStyle name="20% - Accent2 4 5 2 3 2 2 2 2" xfId="45193" xr:uid="{00000000-0005-0000-0000-000067140000}"/>
    <cellStyle name="20% - Accent2 4 5 2 3 2 2 3" xfId="33892" xr:uid="{00000000-0005-0000-0000-000068140000}"/>
    <cellStyle name="20% - Accent2 4 5 2 3 2 3" xfId="16941" xr:uid="{00000000-0005-0000-0000-000069140000}"/>
    <cellStyle name="20% - Accent2 4 5 2 3 2 3 2" xfId="39543" xr:uid="{00000000-0005-0000-0000-00006A140000}"/>
    <cellStyle name="20% - Accent2 4 5 2 3 2 4" xfId="28242" xr:uid="{00000000-0005-0000-0000-00006B140000}"/>
    <cellStyle name="20% - Accent2 4 5 2 3 3" xfId="8457" xr:uid="{00000000-0005-0000-0000-00006C140000}"/>
    <cellStyle name="20% - Accent2 4 5 2 3 3 2" xfId="19758" xr:uid="{00000000-0005-0000-0000-00006D140000}"/>
    <cellStyle name="20% - Accent2 4 5 2 3 3 2 2" xfId="42360" xr:uid="{00000000-0005-0000-0000-00006E140000}"/>
    <cellStyle name="20% - Accent2 4 5 2 3 3 3" xfId="31059" xr:uid="{00000000-0005-0000-0000-00006F140000}"/>
    <cellStyle name="20% - Accent2 4 5 2 3 4" xfId="14108" xr:uid="{00000000-0005-0000-0000-000070140000}"/>
    <cellStyle name="20% - Accent2 4 5 2 3 4 2" xfId="36710" xr:uid="{00000000-0005-0000-0000-000071140000}"/>
    <cellStyle name="20% - Accent2 4 5 2 3 5" xfId="25409" xr:uid="{00000000-0005-0000-0000-000072140000}"/>
    <cellStyle name="20% - Accent2 4 5 2 4" xfId="4406" xr:uid="{00000000-0005-0000-0000-000073140000}"/>
    <cellStyle name="20% - Accent2 4 5 2 4 2" xfId="10056" xr:uid="{00000000-0005-0000-0000-000074140000}"/>
    <cellStyle name="20% - Accent2 4 5 2 4 2 2" xfId="21357" xr:uid="{00000000-0005-0000-0000-000075140000}"/>
    <cellStyle name="20% - Accent2 4 5 2 4 2 2 2" xfId="43959" xr:uid="{00000000-0005-0000-0000-000076140000}"/>
    <cellStyle name="20% - Accent2 4 5 2 4 2 3" xfId="32658" xr:uid="{00000000-0005-0000-0000-000077140000}"/>
    <cellStyle name="20% - Accent2 4 5 2 4 3" xfId="15707" xr:uid="{00000000-0005-0000-0000-000078140000}"/>
    <cellStyle name="20% - Accent2 4 5 2 4 3 2" xfId="38309" xr:uid="{00000000-0005-0000-0000-000079140000}"/>
    <cellStyle name="20% - Accent2 4 5 2 4 4" xfId="27008" xr:uid="{00000000-0005-0000-0000-00007A140000}"/>
    <cellStyle name="20% - Accent2 4 5 2 5" xfId="7202" xr:uid="{00000000-0005-0000-0000-00007B140000}"/>
    <cellStyle name="20% - Accent2 4 5 2 5 2" xfId="18503" xr:uid="{00000000-0005-0000-0000-00007C140000}"/>
    <cellStyle name="20% - Accent2 4 5 2 5 2 2" xfId="41105" xr:uid="{00000000-0005-0000-0000-00007D140000}"/>
    <cellStyle name="20% - Accent2 4 5 2 5 3" xfId="29804" xr:uid="{00000000-0005-0000-0000-00007E140000}"/>
    <cellStyle name="20% - Accent2 4 5 2 6" xfId="12853" xr:uid="{00000000-0005-0000-0000-00007F140000}"/>
    <cellStyle name="20% - Accent2 4 5 2 6 2" xfId="35455" xr:uid="{00000000-0005-0000-0000-000080140000}"/>
    <cellStyle name="20% - Accent2 4 5 2 7" xfId="24154" xr:uid="{00000000-0005-0000-0000-000081140000}"/>
    <cellStyle name="20% - Accent2 4 5 3" xfId="921" xr:uid="{00000000-0005-0000-0000-000082140000}"/>
    <cellStyle name="20% - Accent2 4 5 3 2" xfId="2984" xr:uid="{00000000-0005-0000-0000-000083140000}"/>
    <cellStyle name="20% - Accent2 4 5 3 2 2" xfId="5956" xr:uid="{00000000-0005-0000-0000-000084140000}"/>
    <cellStyle name="20% - Accent2 4 5 3 2 2 2" xfId="11606" xr:uid="{00000000-0005-0000-0000-000085140000}"/>
    <cellStyle name="20% - Accent2 4 5 3 2 2 2 2" xfId="22907" xr:uid="{00000000-0005-0000-0000-000086140000}"/>
    <cellStyle name="20% - Accent2 4 5 3 2 2 2 2 2" xfId="45509" xr:uid="{00000000-0005-0000-0000-000087140000}"/>
    <cellStyle name="20% - Accent2 4 5 3 2 2 2 3" xfId="34208" xr:uid="{00000000-0005-0000-0000-000088140000}"/>
    <cellStyle name="20% - Accent2 4 5 3 2 2 3" xfId="17257" xr:uid="{00000000-0005-0000-0000-000089140000}"/>
    <cellStyle name="20% - Accent2 4 5 3 2 2 3 2" xfId="39859" xr:uid="{00000000-0005-0000-0000-00008A140000}"/>
    <cellStyle name="20% - Accent2 4 5 3 2 2 4" xfId="28558" xr:uid="{00000000-0005-0000-0000-00008B140000}"/>
    <cellStyle name="20% - Accent2 4 5 3 2 3" xfId="8774" xr:uid="{00000000-0005-0000-0000-00008C140000}"/>
    <cellStyle name="20% - Accent2 4 5 3 2 3 2" xfId="20075" xr:uid="{00000000-0005-0000-0000-00008D140000}"/>
    <cellStyle name="20% - Accent2 4 5 3 2 3 2 2" xfId="42677" xr:uid="{00000000-0005-0000-0000-00008E140000}"/>
    <cellStyle name="20% - Accent2 4 5 3 2 3 3" xfId="31376" xr:uid="{00000000-0005-0000-0000-00008F140000}"/>
    <cellStyle name="20% - Accent2 4 5 3 2 4" xfId="14425" xr:uid="{00000000-0005-0000-0000-000090140000}"/>
    <cellStyle name="20% - Accent2 4 5 3 2 4 2" xfId="37027" xr:uid="{00000000-0005-0000-0000-000091140000}"/>
    <cellStyle name="20% - Accent2 4 5 3 2 5" xfId="25726" xr:uid="{00000000-0005-0000-0000-000092140000}"/>
    <cellStyle name="20% - Accent2 4 5 3 3" xfId="4722" xr:uid="{00000000-0005-0000-0000-000093140000}"/>
    <cellStyle name="20% - Accent2 4 5 3 3 2" xfId="10372" xr:uid="{00000000-0005-0000-0000-000094140000}"/>
    <cellStyle name="20% - Accent2 4 5 3 3 2 2" xfId="21673" xr:uid="{00000000-0005-0000-0000-000095140000}"/>
    <cellStyle name="20% - Accent2 4 5 3 3 2 2 2" xfId="44275" xr:uid="{00000000-0005-0000-0000-000096140000}"/>
    <cellStyle name="20% - Accent2 4 5 3 3 2 3" xfId="32974" xr:uid="{00000000-0005-0000-0000-000097140000}"/>
    <cellStyle name="20% - Accent2 4 5 3 3 3" xfId="16023" xr:uid="{00000000-0005-0000-0000-000098140000}"/>
    <cellStyle name="20% - Accent2 4 5 3 3 3 2" xfId="38625" xr:uid="{00000000-0005-0000-0000-000099140000}"/>
    <cellStyle name="20% - Accent2 4 5 3 3 4" xfId="27324" xr:uid="{00000000-0005-0000-0000-00009A140000}"/>
    <cellStyle name="20% - Accent2 4 5 3 4" xfId="6909" xr:uid="{00000000-0005-0000-0000-00009B140000}"/>
    <cellStyle name="20% - Accent2 4 5 3 4 2" xfId="18210" xr:uid="{00000000-0005-0000-0000-00009C140000}"/>
    <cellStyle name="20% - Accent2 4 5 3 4 2 2" xfId="40812" xr:uid="{00000000-0005-0000-0000-00009D140000}"/>
    <cellStyle name="20% - Accent2 4 5 3 4 3" xfId="29511" xr:uid="{00000000-0005-0000-0000-00009E140000}"/>
    <cellStyle name="20% - Accent2 4 5 3 5" xfId="12560" xr:uid="{00000000-0005-0000-0000-00009F140000}"/>
    <cellStyle name="20% - Accent2 4 5 3 5 2" xfId="35162" xr:uid="{00000000-0005-0000-0000-0000A0140000}"/>
    <cellStyle name="20% - Accent2 4 5 3 6" xfId="23861" xr:uid="{00000000-0005-0000-0000-0000A1140000}"/>
    <cellStyle name="20% - Accent2 4 5 4" xfId="1552" xr:uid="{00000000-0005-0000-0000-0000A2140000}"/>
    <cellStyle name="20% - Accent2 4 5 4 2" xfId="3456" xr:uid="{00000000-0005-0000-0000-0000A3140000}"/>
    <cellStyle name="20% - Accent2 4 5 4 2 2" xfId="9220" xr:uid="{00000000-0005-0000-0000-0000A4140000}"/>
    <cellStyle name="20% - Accent2 4 5 4 2 2 2" xfId="20521" xr:uid="{00000000-0005-0000-0000-0000A5140000}"/>
    <cellStyle name="20% - Accent2 4 5 4 2 2 2 2" xfId="43123" xr:uid="{00000000-0005-0000-0000-0000A6140000}"/>
    <cellStyle name="20% - Accent2 4 5 4 2 2 3" xfId="31822" xr:uid="{00000000-0005-0000-0000-0000A7140000}"/>
    <cellStyle name="20% - Accent2 4 5 4 2 3" xfId="14871" xr:uid="{00000000-0005-0000-0000-0000A8140000}"/>
    <cellStyle name="20% - Accent2 4 5 4 2 3 2" xfId="37473" xr:uid="{00000000-0005-0000-0000-0000A9140000}"/>
    <cellStyle name="20% - Accent2 4 5 4 2 4" xfId="26172" xr:uid="{00000000-0005-0000-0000-0000AA140000}"/>
    <cellStyle name="20% - Accent2 4 5 4 3" xfId="5332" xr:uid="{00000000-0005-0000-0000-0000AB140000}"/>
    <cellStyle name="20% - Accent2 4 5 4 3 2" xfId="10982" xr:uid="{00000000-0005-0000-0000-0000AC140000}"/>
    <cellStyle name="20% - Accent2 4 5 4 3 2 2" xfId="22283" xr:uid="{00000000-0005-0000-0000-0000AD140000}"/>
    <cellStyle name="20% - Accent2 4 5 4 3 2 2 2" xfId="44885" xr:uid="{00000000-0005-0000-0000-0000AE140000}"/>
    <cellStyle name="20% - Accent2 4 5 4 3 2 3" xfId="33584" xr:uid="{00000000-0005-0000-0000-0000AF140000}"/>
    <cellStyle name="20% - Accent2 4 5 4 3 3" xfId="16633" xr:uid="{00000000-0005-0000-0000-0000B0140000}"/>
    <cellStyle name="20% - Accent2 4 5 4 3 3 2" xfId="39235" xr:uid="{00000000-0005-0000-0000-0000B1140000}"/>
    <cellStyle name="20% - Accent2 4 5 4 3 4" xfId="27934" xr:uid="{00000000-0005-0000-0000-0000B2140000}"/>
    <cellStyle name="20% - Accent2 4 5 4 4" xfId="7408" xr:uid="{00000000-0005-0000-0000-0000B3140000}"/>
    <cellStyle name="20% - Accent2 4 5 4 4 2" xfId="18709" xr:uid="{00000000-0005-0000-0000-0000B4140000}"/>
    <cellStyle name="20% - Accent2 4 5 4 4 2 2" xfId="41311" xr:uid="{00000000-0005-0000-0000-0000B5140000}"/>
    <cellStyle name="20% - Accent2 4 5 4 4 3" xfId="30010" xr:uid="{00000000-0005-0000-0000-0000B6140000}"/>
    <cellStyle name="20% - Accent2 4 5 4 5" xfId="13059" xr:uid="{00000000-0005-0000-0000-0000B7140000}"/>
    <cellStyle name="20% - Accent2 4 5 4 5 2" xfId="35661" xr:uid="{00000000-0005-0000-0000-0000B8140000}"/>
    <cellStyle name="20% - Accent2 4 5 4 6" xfId="24360" xr:uid="{00000000-0005-0000-0000-0000B9140000}"/>
    <cellStyle name="20% - Accent2 4 5 5" xfId="2313" xr:uid="{00000000-0005-0000-0000-0000BA140000}"/>
    <cellStyle name="20% - Accent2 4 5 5 2" xfId="8149" xr:uid="{00000000-0005-0000-0000-0000BB140000}"/>
    <cellStyle name="20% - Accent2 4 5 5 2 2" xfId="19450" xr:uid="{00000000-0005-0000-0000-0000BC140000}"/>
    <cellStyle name="20% - Accent2 4 5 5 2 2 2" xfId="42052" xr:uid="{00000000-0005-0000-0000-0000BD140000}"/>
    <cellStyle name="20% - Accent2 4 5 5 2 3" xfId="30751" xr:uid="{00000000-0005-0000-0000-0000BE140000}"/>
    <cellStyle name="20% - Accent2 4 5 5 3" xfId="13800" xr:uid="{00000000-0005-0000-0000-0000BF140000}"/>
    <cellStyle name="20% - Accent2 4 5 5 3 2" xfId="36402" xr:uid="{00000000-0005-0000-0000-0000C0140000}"/>
    <cellStyle name="20% - Accent2 4 5 5 4" xfId="25101" xr:uid="{00000000-0005-0000-0000-0000C1140000}"/>
    <cellStyle name="20% - Accent2 4 5 6" xfId="4098" xr:uid="{00000000-0005-0000-0000-0000C2140000}"/>
    <cellStyle name="20% - Accent2 4 5 6 2" xfId="9748" xr:uid="{00000000-0005-0000-0000-0000C3140000}"/>
    <cellStyle name="20% - Accent2 4 5 6 2 2" xfId="21049" xr:uid="{00000000-0005-0000-0000-0000C4140000}"/>
    <cellStyle name="20% - Accent2 4 5 6 2 2 2" xfId="43651" xr:uid="{00000000-0005-0000-0000-0000C5140000}"/>
    <cellStyle name="20% - Accent2 4 5 6 2 3" xfId="32350" xr:uid="{00000000-0005-0000-0000-0000C6140000}"/>
    <cellStyle name="20% - Accent2 4 5 6 3" xfId="15399" xr:uid="{00000000-0005-0000-0000-0000C7140000}"/>
    <cellStyle name="20% - Accent2 4 5 6 3 2" xfId="38001" xr:uid="{00000000-0005-0000-0000-0000C8140000}"/>
    <cellStyle name="20% - Accent2 4 5 6 4" xfId="26700" xr:uid="{00000000-0005-0000-0000-0000C9140000}"/>
    <cellStyle name="20% - Accent2 4 5 7" xfId="6549" xr:uid="{00000000-0005-0000-0000-0000CA140000}"/>
    <cellStyle name="20% - Accent2 4 5 7 2" xfId="17850" xr:uid="{00000000-0005-0000-0000-0000CB140000}"/>
    <cellStyle name="20% - Accent2 4 5 7 2 2" xfId="40452" xr:uid="{00000000-0005-0000-0000-0000CC140000}"/>
    <cellStyle name="20% - Accent2 4 5 7 3" xfId="29151" xr:uid="{00000000-0005-0000-0000-0000CD140000}"/>
    <cellStyle name="20% - Accent2 4 5 8" xfId="12200" xr:uid="{00000000-0005-0000-0000-0000CE140000}"/>
    <cellStyle name="20% - Accent2 4 5 8 2" xfId="34802" xr:uid="{00000000-0005-0000-0000-0000CF140000}"/>
    <cellStyle name="20% - Accent2 4 5 9" xfId="23501" xr:uid="{00000000-0005-0000-0000-0000D0140000}"/>
    <cellStyle name="20% - Accent2 4 6" xfId="1056" xr:uid="{00000000-0005-0000-0000-0000D1140000}"/>
    <cellStyle name="20% - Accent2 4 6 2" xfId="1554" xr:uid="{00000000-0005-0000-0000-0000D2140000}"/>
    <cellStyle name="20% - Accent2 4 6 2 2" xfId="3123" xr:uid="{00000000-0005-0000-0000-0000D3140000}"/>
    <cellStyle name="20% - Accent2 4 6 2 2 2" xfId="6095" xr:uid="{00000000-0005-0000-0000-0000D4140000}"/>
    <cellStyle name="20% - Accent2 4 6 2 2 2 2" xfId="11745" xr:uid="{00000000-0005-0000-0000-0000D5140000}"/>
    <cellStyle name="20% - Accent2 4 6 2 2 2 2 2" xfId="23046" xr:uid="{00000000-0005-0000-0000-0000D6140000}"/>
    <cellStyle name="20% - Accent2 4 6 2 2 2 2 2 2" xfId="45648" xr:uid="{00000000-0005-0000-0000-0000D7140000}"/>
    <cellStyle name="20% - Accent2 4 6 2 2 2 2 3" xfId="34347" xr:uid="{00000000-0005-0000-0000-0000D8140000}"/>
    <cellStyle name="20% - Accent2 4 6 2 2 2 3" xfId="17396" xr:uid="{00000000-0005-0000-0000-0000D9140000}"/>
    <cellStyle name="20% - Accent2 4 6 2 2 2 3 2" xfId="39998" xr:uid="{00000000-0005-0000-0000-0000DA140000}"/>
    <cellStyle name="20% - Accent2 4 6 2 2 2 4" xfId="28697" xr:uid="{00000000-0005-0000-0000-0000DB140000}"/>
    <cellStyle name="20% - Accent2 4 6 2 2 3" xfId="8913" xr:uid="{00000000-0005-0000-0000-0000DC140000}"/>
    <cellStyle name="20% - Accent2 4 6 2 2 3 2" xfId="20214" xr:uid="{00000000-0005-0000-0000-0000DD140000}"/>
    <cellStyle name="20% - Accent2 4 6 2 2 3 2 2" xfId="42816" xr:uid="{00000000-0005-0000-0000-0000DE140000}"/>
    <cellStyle name="20% - Accent2 4 6 2 2 3 3" xfId="31515" xr:uid="{00000000-0005-0000-0000-0000DF140000}"/>
    <cellStyle name="20% - Accent2 4 6 2 2 4" xfId="14564" xr:uid="{00000000-0005-0000-0000-0000E0140000}"/>
    <cellStyle name="20% - Accent2 4 6 2 2 4 2" xfId="37166" xr:uid="{00000000-0005-0000-0000-0000E1140000}"/>
    <cellStyle name="20% - Accent2 4 6 2 2 5" xfId="25865" xr:uid="{00000000-0005-0000-0000-0000E2140000}"/>
    <cellStyle name="20% - Accent2 4 6 2 3" xfId="4861" xr:uid="{00000000-0005-0000-0000-0000E3140000}"/>
    <cellStyle name="20% - Accent2 4 6 2 3 2" xfId="10511" xr:uid="{00000000-0005-0000-0000-0000E4140000}"/>
    <cellStyle name="20% - Accent2 4 6 2 3 2 2" xfId="21812" xr:uid="{00000000-0005-0000-0000-0000E5140000}"/>
    <cellStyle name="20% - Accent2 4 6 2 3 2 2 2" xfId="44414" xr:uid="{00000000-0005-0000-0000-0000E6140000}"/>
    <cellStyle name="20% - Accent2 4 6 2 3 2 3" xfId="33113" xr:uid="{00000000-0005-0000-0000-0000E7140000}"/>
    <cellStyle name="20% - Accent2 4 6 2 3 3" xfId="16162" xr:uid="{00000000-0005-0000-0000-0000E8140000}"/>
    <cellStyle name="20% - Accent2 4 6 2 3 3 2" xfId="38764" xr:uid="{00000000-0005-0000-0000-0000E9140000}"/>
    <cellStyle name="20% - Accent2 4 6 2 3 4" xfId="27463" xr:uid="{00000000-0005-0000-0000-0000EA140000}"/>
    <cellStyle name="20% - Accent2 4 6 2 4" xfId="7410" xr:uid="{00000000-0005-0000-0000-0000EB140000}"/>
    <cellStyle name="20% - Accent2 4 6 2 4 2" xfId="18711" xr:uid="{00000000-0005-0000-0000-0000EC140000}"/>
    <cellStyle name="20% - Accent2 4 6 2 4 2 2" xfId="41313" xr:uid="{00000000-0005-0000-0000-0000ED140000}"/>
    <cellStyle name="20% - Accent2 4 6 2 4 3" xfId="30012" xr:uid="{00000000-0005-0000-0000-0000EE140000}"/>
    <cellStyle name="20% - Accent2 4 6 2 5" xfId="13061" xr:uid="{00000000-0005-0000-0000-0000EF140000}"/>
    <cellStyle name="20% - Accent2 4 6 2 5 2" xfId="35663" xr:uid="{00000000-0005-0000-0000-0000F0140000}"/>
    <cellStyle name="20% - Accent2 4 6 2 6" xfId="24362" xr:uid="{00000000-0005-0000-0000-0000F1140000}"/>
    <cellStyle name="20% - Accent2 4 6 3" xfId="2452" xr:uid="{00000000-0005-0000-0000-0000F2140000}"/>
    <cellStyle name="20% - Accent2 4 6 3 2" xfId="5471" xr:uid="{00000000-0005-0000-0000-0000F3140000}"/>
    <cellStyle name="20% - Accent2 4 6 3 2 2" xfId="11121" xr:uid="{00000000-0005-0000-0000-0000F4140000}"/>
    <cellStyle name="20% - Accent2 4 6 3 2 2 2" xfId="22422" xr:uid="{00000000-0005-0000-0000-0000F5140000}"/>
    <cellStyle name="20% - Accent2 4 6 3 2 2 2 2" xfId="45024" xr:uid="{00000000-0005-0000-0000-0000F6140000}"/>
    <cellStyle name="20% - Accent2 4 6 3 2 2 3" xfId="33723" xr:uid="{00000000-0005-0000-0000-0000F7140000}"/>
    <cellStyle name="20% - Accent2 4 6 3 2 3" xfId="16772" xr:uid="{00000000-0005-0000-0000-0000F8140000}"/>
    <cellStyle name="20% - Accent2 4 6 3 2 3 2" xfId="39374" xr:uid="{00000000-0005-0000-0000-0000F9140000}"/>
    <cellStyle name="20% - Accent2 4 6 3 2 4" xfId="28073" xr:uid="{00000000-0005-0000-0000-0000FA140000}"/>
    <cellStyle name="20% - Accent2 4 6 3 3" xfId="8288" xr:uid="{00000000-0005-0000-0000-0000FB140000}"/>
    <cellStyle name="20% - Accent2 4 6 3 3 2" xfId="19589" xr:uid="{00000000-0005-0000-0000-0000FC140000}"/>
    <cellStyle name="20% - Accent2 4 6 3 3 2 2" xfId="42191" xr:uid="{00000000-0005-0000-0000-0000FD140000}"/>
    <cellStyle name="20% - Accent2 4 6 3 3 3" xfId="30890" xr:uid="{00000000-0005-0000-0000-0000FE140000}"/>
    <cellStyle name="20% - Accent2 4 6 3 4" xfId="13939" xr:uid="{00000000-0005-0000-0000-0000FF140000}"/>
    <cellStyle name="20% - Accent2 4 6 3 4 2" xfId="36541" xr:uid="{00000000-0005-0000-0000-000000150000}"/>
    <cellStyle name="20% - Accent2 4 6 3 5" xfId="25240" xr:uid="{00000000-0005-0000-0000-000001150000}"/>
    <cellStyle name="20% - Accent2 4 6 4" xfId="4237" xr:uid="{00000000-0005-0000-0000-000002150000}"/>
    <cellStyle name="20% - Accent2 4 6 4 2" xfId="9887" xr:uid="{00000000-0005-0000-0000-000003150000}"/>
    <cellStyle name="20% - Accent2 4 6 4 2 2" xfId="21188" xr:uid="{00000000-0005-0000-0000-000004150000}"/>
    <cellStyle name="20% - Accent2 4 6 4 2 2 2" xfId="43790" xr:uid="{00000000-0005-0000-0000-000005150000}"/>
    <cellStyle name="20% - Accent2 4 6 4 2 3" xfId="32489" xr:uid="{00000000-0005-0000-0000-000006150000}"/>
    <cellStyle name="20% - Accent2 4 6 4 3" xfId="15538" xr:uid="{00000000-0005-0000-0000-000007150000}"/>
    <cellStyle name="20% - Accent2 4 6 4 3 2" xfId="38140" xr:uid="{00000000-0005-0000-0000-000008150000}"/>
    <cellStyle name="20% - Accent2 4 6 4 4" xfId="26839" xr:uid="{00000000-0005-0000-0000-000009150000}"/>
    <cellStyle name="20% - Accent2 4 6 5" xfId="7035" xr:uid="{00000000-0005-0000-0000-00000A150000}"/>
    <cellStyle name="20% - Accent2 4 6 5 2" xfId="18336" xr:uid="{00000000-0005-0000-0000-00000B150000}"/>
    <cellStyle name="20% - Accent2 4 6 5 2 2" xfId="40938" xr:uid="{00000000-0005-0000-0000-00000C150000}"/>
    <cellStyle name="20% - Accent2 4 6 5 3" xfId="29637" xr:uid="{00000000-0005-0000-0000-00000D150000}"/>
    <cellStyle name="20% - Accent2 4 6 6" xfId="12686" xr:uid="{00000000-0005-0000-0000-00000E150000}"/>
    <cellStyle name="20% - Accent2 4 6 6 2" xfId="35288" xr:uid="{00000000-0005-0000-0000-00000F150000}"/>
    <cellStyle name="20% - Accent2 4 6 7" xfId="23987" xr:uid="{00000000-0005-0000-0000-000010150000}"/>
    <cellStyle name="20% - Accent2 4 7" xfId="720" xr:uid="{00000000-0005-0000-0000-000011150000}"/>
    <cellStyle name="20% - Accent2 4 7 2" xfId="2817" xr:uid="{00000000-0005-0000-0000-000012150000}"/>
    <cellStyle name="20% - Accent2 4 7 2 2" xfId="5789" xr:uid="{00000000-0005-0000-0000-000013150000}"/>
    <cellStyle name="20% - Accent2 4 7 2 2 2" xfId="11439" xr:uid="{00000000-0005-0000-0000-000014150000}"/>
    <cellStyle name="20% - Accent2 4 7 2 2 2 2" xfId="22740" xr:uid="{00000000-0005-0000-0000-000015150000}"/>
    <cellStyle name="20% - Accent2 4 7 2 2 2 2 2" xfId="45342" xr:uid="{00000000-0005-0000-0000-000016150000}"/>
    <cellStyle name="20% - Accent2 4 7 2 2 2 3" xfId="34041" xr:uid="{00000000-0005-0000-0000-000017150000}"/>
    <cellStyle name="20% - Accent2 4 7 2 2 3" xfId="17090" xr:uid="{00000000-0005-0000-0000-000018150000}"/>
    <cellStyle name="20% - Accent2 4 7 2 2 3 2" xfId="39692" xr:uid="{00000000-0005-0000-0000-000019150000}"/>
    <cellStyle name="20% - Accent2 4 7 2 2 4" xfId="28391" xr:uid="{00000000-0005-0000-0000-00001A150000}"/>
    <cellStyle name="20% - Accent2 4 7 2 3" xfId="8607" xr:uid="{00000000-0005-0000-0000-00001B150000}"/>
    <cellStyle name="20% - Accent2 4 7 2 3 2" xfId="19908" xr:uid="{00000000-0005-0000-0000-00001C150000}"/>
    <cellStyle name="20% - Accent2 4 7 2 3 2 2" xfId="42510" xr:uid="{00000000-0005-0000-0000-00001D150000}"/>
    <cellStyle name="20% - Accent2 4 7 2 3 3" xfId="31209" xr:uid="{00000000-0005-0000-0000-00001E150000}"/>
    <cellStyle name="20% - Accent2 4 7 2 4" xfId="14258" xr:uid="{00000000-0005-0000-0000-00001F150000}"/>
    <cellStyle name="20% - Accent2 4 7 2 4 2" xfId="36860" xr:uid="{00000000-0005-0000-0000-000020150000}"/>
    <cellStyle name="20% - Accent2 4 7 2 5" xfId="25559" xr:uid="{00000000-0005-0000-0000-000021150000}"/>
    <cellStyle name="20% - Accent2 4 7 3" xfId="4555" xr:uid="{00000000-0005-0000-0000-000022150000}"/>
    <cellStyle name="20% - Accent2 4 7 3 2" xfId="10205" xr:uid="{00000000-0005-0000-0000-000023150000}"/>
    <cellStyle name="20% - Accent2 4 7 3 2 2" xfId="21506" xr:uid="{00000000-0005-0000-0000-000024150000}"/>
    <cellStyle name="20% - Accent2 4 7 3 2 2 2" xfId="44108" xr:uid="{00000000-0005-0000-0000-000025150000}"/>
    <cellStyle name="20% - Accent2 4 7 3 2 3" xfId="32807" xr:uid="{00000000-0005-0000-0000-000026150000}"/>
    <cellStyle name="20% - Accent2 4 7 3 3" xfId="15856" xr:uid="{00000000-0005-0000-0000-000027150000}"/>
    <cellStyle name="20% - Accent2 4 7 3 3 2" xfId="38458" xr:uid="{00000000-0005-0000-0000-000028150000}"/>
    <cellStyle name="20% - Accent2 4 7 3 4" xfId="27157" xr:uid="{00000000-0005-0000-0000-000029150000}"/>
    <cellStyle name="20% - Accent2 4 7 4" xfId="6737" xr:uid="{00000000-0005-0000-0000-00002A150000}"/>
    <cellStyle name="20% - Accent2 4 7 4 2" xfId="18038" xr:uid="{00000000-0005-0000-0000-00002B150000}"/>
    <cellStyle name="20% - Accent2 4 7 4 2 2" xfId="40640" xr:uid="{00000000-0005-0000-0000-00002C150000}"/>
    <cellStyle name="20% - Accent2 4 7 4 3" xfId="29339" xr:uid="{00000000-0005-0000-0000-00002D150000}"/>
    <cellStyle name="20% - Accent2 4 7 5" xfId="12388" xr:uid="{00000000-0005-0000-0000-00002E150000}"/>
    <cellStyle name="20% - Accent2 4 7 5 2" xfId="34990" xr:uid="{00000000-0005-0000-0000-00002F150000}"/>
    <cellStyle name="20% - Accent2 4 7 6" xfId="23689" xr:uid="{00000000-0005-0000-0000-000030150000}"/>
    <cellStyle name="20% - Accent2 4 8" xfId="1541" xr:uid="{00000000-0005-0000-0000-000031150000}"/>
    <cellStyle name="20% - Accent2 4 8 2" xfId="3469" xr:uid="{00000000-0005-0000-0000-000032150000}"/>
    <cellStyle name="20% - Accent2 4 8 2 2" xfId="9224" xr:uid="{00000000-0005-0000-0000-000033150000}"/>
    <cellStyle name="20% - Accent2 4 8 2 2 2" xfId="20525" xr:uid="{00000000-0005-0000-0000-000034150000}"/>
    <cellStyle name="20% - Accent2 4 8 2 2 2 2" xfId="43127" xr:uid="{00000000-0005-0000-0000-000035150000}"/>
    <cellStyle name="20% - Accent2 4 8 2 2 3" xfId="31826" xr:uid="{00000000-0005-0000-0000-000036150000}"/>
    <cellStyle name="20% - Accent2 4 8 2 3" xfId="14875" xr:uid="{00000000-0005-0000-0000-000037150000}"/>
    <cellStyle name="20% - Accent2 4 8 2 3 2" xfId="37477" xr:uid="{00000000-0005-0000-0000-000038150000}"/>
    <cellStyle name="20% - Accent2 4 8 2 4" xfId="26176" xr:uid="{00000000-0005-0000-0000-000039150000}"/>
    <cellStyle name="20% - Accent2 4 8 3" xfId="5165" xr:uid="{00000000-0005-0000-0000-00003A150000}"/>
    <cellStyle name="20% - Accent2 4 8 3 2" xfId="10815" xr:uid="{00000000-0005-0000-0000-00003B150000}"/>
    <cellStyle name="20% - Accent2 4 8 3 2 2" xfId="22116" xr:uid="{00000000-0005-0000-0000-00003C150000}"/>
    <cellStyle name="20% - Accent2 4 8 3 2 2 2" xfId="44718" xr:uid="{00000000-0005-0000-0000-00003D150000}"/>
    <cellStyle name="20% - Accent2 4 8 3 2 3" xfId="33417" xr:uid="{00000000-0005-0000-0000-00003E150000}"/>
    <cellStyle name="20% - Accent2 4 8 3 3" xfId="16466" xr:uid="{00000000-0005-0000-0000-00003F150000}"/>
    <cellStyle name="20% - Accent2 4 8 3 3 2" xfId="39068" xr:uid="{00000000-0005-0000-0000-000040150000}"/>
    <cellStyle name="20% - Accent2 4 8 3 4" xfId="27767" xr:uid="{00000000-0005-0000-0000-000041150000}"/>
    <cellStyle name="20% - Accent2 4 8 4" xfId="7397" xr:uid="{00000000-0005-0000-0000-000042150000}"/>
    <cellStyle name="20% - Accent2 4 8 4 2" xfId="18698" xr:uid="{00000000-0005-0000-0000-000043150000}"/>
    <cellStyle name="20% - Accent2 4 8 4 2 2" xfId="41300" xr:uid="{00000000-0005-0000-0000-000044150000}"/>
    <cellStyle name="20% - Accent2 4 8 4 3" xfId="29999" xr:uid="{00000000-0005-0000-0000-000045150000}"/>
    <cellStyle name="20% - Accent2 4 8 5" xfId="13048" xr:uid="{00000000-0005-0000-0000-000046150000}"/>
    <cellStyle name="20% - Accent2 4 8 5 2" xfId="35650" xr:uid="{00000000-0005-0000-0000-000047150000}"/>
    <cellStyle name="20% - Accent2 4 8 6" xfId="24349" xr:uid="{00000000-0005-0000-0000-000048150000}"/>
    <cellStyle name="20% - Accent2 4 9" xfId="2136" xr:uid="{00000000-0005-0000-0000-000049150000}"/>
    <cellStyle name="20% - Accent2 4 9 2" xfId="7979" xr:uid="{00000000-0005-0000-0000-00004A150000}"/>
    <cellStyle name="20% - Accent2 4 9 2 2" xfId="19280" xr:uid="{00000000-0005-0000-0000-00004B150000}"/>
    <cellStyle name="20% - Accent2 4 9 2 2 2" xfId="41882" xr:uid="{00000000-0005-0000-0000-00004C150000}"/>
    <cellStyle name="20% - Accent2 4 9 2 3" xfId="30581" xr:uid="{00000000-0005-0000-0000-00004D150000}"/>
    <cellStyle name="20% - Accent2 4 9 3" xfId="13630" xr:uid="{00000000-0005-0000-0000-00004E150000}"/>
    <cellStyle name="20% - Accent2 4 9 3 2" xfId="36232" xr:uid="{00000000-0005-0000-0000-00004F150000}"/>
    <cellStyle name="20% - Accent2 4 9 4" xfId="24931" xr:uid="{00000000-0005-0000-0000-000050150000}"/>
    <cellStyle name="20% - Accent2 5" xfId="207" xr:uid="{00000000-0005-0000-0000-000051150000}"/>
    <cellStyle name="20% - Accent2 5 10" xfId="12073" xr:uid="{00000000-0005-0000-0000-000052150000}"/>
    <cellStyle name="20% - Accent2 5 10 2" xfId="34675" xr:uid="{00000000-0005-0000-0000-000053150000}"/>
    <cellStyle name="20% - Accent2 5 11" xfId="23374" xr:uid="{00000000-0005-0000-0000-000054150000}"/>
    <cellStyle name="20% - Accent2 5 2" xfId="375" xr:uid="{00000000-0005-0000-0000-000055150000}"/>
    <cellStyle name="20% - Accent2 5 2 10" xfId="23470" xr:uid="{00000000-0005-0000-0000-000056150000}"/>
    <cellStyle name="20% - Accent2 5 2 2" xfId="620" xr:uid="{00000000-0005-0000-0000-000057150000}"/>
    <cellStyle name="20% - Accent2 5 2 2 2" xfId="1330" xr:uid="{00000000-0005-0000-0000-000058150000}"/>
    <cellStyle name="20% - Accent2 5 2 2 2 2" xfId="1558" xr:uid="{00000000-0005-0000-0000-000059150000}"/>
    <cellStyle name="20% - Accent2 5 2 2 2 2 2" xfId="3399" xr:uid="{00000000-0005-0000-0000-00005A150000}"/>
    <cellStyle name="20% - Accent2 5 2 2 2 2 2 2" xfId="6371" xr:uid="{00000000-0005-0000-0000-00005B150000}"/>
    <cellStyle name="20% - Accent2 5 2 2 2 2 2 2 2" xfId="12021" xr:uid="{00000000-0005-0000-0000-00005C150000}"/>
    <cellStyle name="20% - Accent2 5 2 2 2 2 2 2 2 2" xfId="23322" xr:uid="{00000000-0005-0000-0000-00005D150000}"/>
    <cellStyle name="20% - Accent2 5 2 2 2 2 2 2 2 2 2" xfId="45924" xr:uid="{00000000-0005-0000-0000-00005E150000}"/>
    <cellStyle name="20% - Accent2 5 2 2 2 2 2 2 2 3" xfId="34623" xr:uid="{00000000-0005-0000-0000-00005F150000}"/>
    <cellStyle name="20% - Accent2 5 2 2 2 2 2 2 3" xfId="17672" xr:uid="{00000000-0005-0000-0000-000060150000}"/>
    <cellStyle name="20% - Accent2 5 2 2 2 2 2 2 3 2" xfId="40274" xr:uid="{00000000-0005-0000-0000-000061150000}"/>
    <cellStyle name="20% - Accent2 5 2 2 2 2 2 2 4" xfId="28973" xr:uid="{00000000-0005-0000-0000-000062150000}"/>
    <cellStyle name="20% - Accent2 5 2 2 2 2 2 3" xfId="9189" xr:uid="{00000000-0005-0000-0000-000063150000}"/>
    <cellStyle name="20% - Accent2 5 2 2 2 2 2 3 2" xfId="20490" xr:uid="{00000000-0005-0000-0000-000064150000}"/>
    <cellStyle name="20% - Accent2 5 2 2 2 2 2 3 2 2" xfId="43092" xr:uid="{00000000-0005-0000-0000-000065150000}"/>
    <cellStyle name="20% - Accent2 5 2 2 2 2 2 3 3" xfId="31791" xr:uid="{00000000-0005-0000-0000-000066150000}"/>
    <cellStyle name="20% - Accent2 5 2 2 2 2 2 4" xfId="14840" xr:uid="{00000000-0005-0000-0000-000067150000}"/>
    <cellStyle name="20% - Accent2 5 2 2 2 2 2 4 2" xfId="37442" xr:uid="{00000000-0005-0000-0000-000068150000}"/>
    <cellStyle name="20% - Accent2 5 2 2 2 2 2 5" xfId="26141" xr:uid="{00000000-0005-0000-0000-000069150000}"/>
    <cellStyle name="20% - Accent2 5 2 2 2 2 3" xfId="5137" xr:uid="{00000000-0005-0000-0000-00006A150000}"/>
    <cellStyle name="20% - Accent2 5 2 2 2 2 3 2" xfId="10787" xr:uid="{00000000-0005-0000-0000-00006B150000}"/>
    <cellStyle name="20% - Accent2 5 2 2 2 2 3 2 2" xfId="22088" xr:uid="{00000000-0005-0000-0000-00006C150000}"/>
    <cellStyle name="20% - Accent2 5 2 2 2 2 3 2 2 2" xfId="44690" xr:uid="{00000000-0005-0000-0000-00006D150000}"/>
    <cellStyle name="20% - Accent2 5 2 2 2 2 3 2 3" xfId="33389" xr:uid="{00000000-0005-0000-0000-00006E150000}"/>
    <cellStyle name="20% - Accent2 5 2 2 2 2 3 3" xfId="16438" xr:uid="{00000000-0005-0000-0000-00006F150000}"/>
    <cellStyle name="20% - Accent2 5 2 2 2 2 3 3 2" xfId="39040" xr:uid="{00000000-0005-0000-0000-000070150000}"/>
    <cellStyle name="20% - Accent2 5 2 2 2 2 3 4" xfId="27739" xr:uid="{00000000-0005-0000-0000-000071150000}"/>
    <cellStyle name="20% - Accent2 5 2 2 2 2 4" xfId="7414" xr:uid="{00000000-0005-0000-0000-000072150000}"/>
    <cellStyle name="20% - Accent2 5 2 2 2 2 4 2" xfId="18715" xr:uid="{00000000-0005-0000-0000-000073150000}"/>
    <cellStyle name="20% - Accent2 5 2 2 2 2 4 2 2" xfId="41317" xr:uid="{00000000-0005-0000-0000-000074150000}"/>
    <cellStyle name="20% - Accent2 5 2 2 2 2 4 3" xfId="30016" xr:uid="{00000000-0005-0000-0000-000075150000}"/>
    <cellStyle name="20% - Accent2 5 2 2 2 2 5" xfId="13065" xr:uid="{00000000-0005-0000-0000-000076150000}"/>
    <cellStyle name="20% - Accent2 5 2 2 2 2 5 2" xfId="35667" xr:uid="{00000000-0005-0000-0000-000077150000}"/>
    <cellStyle name="20% - Accent2 5 2 2 2 2 6" xfId="24366" xr:uid="{00000000-0005-0000-0000-000078150000}"/>
    <cellStyle name="20% - Accent2 5 2 2 2 3" xfId="2728" xr:uid="{00000000-0005-0000-0000-000079150000}"/>
    <cellStyle name="20% - Accent2 5 2 2 2 3 2" xfId="5747" xr:uid="{00000000-0005-0000-0000-00007A150000}"/>
    <cellStyle name="20% - Accent2 5 2 2 2 3 2 2" xfId="11397" xr:uid="{00000000-0005-0000-0000-00007B150000}"/>
    <cellStyle name="20% - Accent2 5 2 2 2 3 2 2 2" xfId="22698" xr:uid="{00000000-0005-0000-0000-00007C150000}"/>
    <cellStyle name="20% - Accent2 5 2 2 2 3 2 2 2 2" xfId="45300" xr:uid="{00000000-0005-0000-0000-00007D150000}"/>
    <cellStyle name="20% - Accent2 5 2 2 2 3 2 2 3" xfId="33999" xr:uid="{00000000-0005-0000-0000-00007E150000}"/>
    <cellStyle name="20% - Accent2 5 2 2 2 3 2 3" xfId="17048" xr:uid="{00000000-0005-0000-0000-00007F150000}"/>
    <cellStyle name="20% - Accent2 5 2 2 2 3 2 3 2" xfId="39650" xr:uid="{00000000-0005-0000-0000-000080150000}"/>
    <cellStyle name="20% - Accent2 5 2 2 2 3 2 4" xfId="28349" xr:uid="{00000000-0005-0000-0000-000081150000}"/>
    <cellStyle name="20% - Accent2 5 2 2 2 3 3" xfId="8564" xr:uid="{00000000-0005-0000-0000-000082150000}"/>
    <cellStyle name="20% - Accent2 5 2 2 2 3 3 2" xfId="19865" xr:uid="{00000000-0005-0000-0000-000083150000}"/>
    <cellStyle name="20% - Accent2 5 2 2 2 3 3 2 2" xfId="42467" xr:uid="{00000000-0005-0000-0000-000084150000}"/>
    <cellStyle name="20% - Accent2 5 2 2 2 3 3 3" xfId="31166" xr:uid="{00000000-0005-0000-0000-000085150000}"/>
    <cellStyle name="20% - Accent2 5 2 2 2 3 4" xfId="14215" xr:uid="{00000000-0005-0000-0000-000086150000}"/>
    <cellStyle name="20% - Accent2 5 2 2 2 3 4 2" xfId="36817" xr:uid="{00000000-0005-0000-0000-000087150000}"/>
    <cellStyle name="20% - Accent2 5 2 2 2 3 5" xfId="25516" xr:uid="{00000000-0005-0000-0000-000088150000}"/>
    <cellStyle name="20% - Accent2 5 2 2 2 4" xfId="4513" xr:uid="{00000000-0005-0000-0000-000089150000}"/>
    <cellStyle name="20% - Accent2 5 2 2 2 4 2" xfId="10163" xr:uid="{00000000-0005-0000-0000-00008A150000}"/>
    <cellStyle name="20% - Accent2 5 2 2 2 4 2 2" xfId="21464" xr:uid="{00000000-0005-0000-0000-00008B150000}"/>
    <cellStyle name="20% - Accent2 5 2 2 2 4 2 2 2" xfId="44066" xr:uid="{00000000-0005-0000-0000-00008C150000}"/>
    <cellStyle name="20% - Accent2 5 2 2 2 4 2 3" xfId="32765" xr:uid="{00000000-0005-0000-0000-00008D150000}"/>
    <cellStyle name="20% - Accent2 5 2 2 2 4 3" xfId="15814" xr:uid="{00000000-0005-0000-0000-00008E150000}"/>
    <cellStyle name="20% - Accent2 5 2 2 2 4 3 2" xfId="38416" xr:uid="{00000000-0005-0000-0000-00008F150000}"/>
    <cellStyle name="20% - Accent2 5 2 2 2 4 4" xfId="27115" xr:uid="{00000000-0005-0000-0000-000090150000}"/>
    <cellStyle name="20% - Accent2 5 2 2 2 5" xfId="7309" xr:uid="{00000000-0005-0000-0000-000091150000}"/>
    <cellStyle name="20% - Accent2 5 2 2 2 5 2" xfId="18610" xr:uid="{00000000-0005-0000-0000-000092150000}"/>
    <cellStyle name="20% - Accent2 5 2 2 2 5 2 2" xfId="41212" xr:uid="{00000000-0005-0000-0000-000093150000}"/>
    <cellStyle name="20% - Accent2 5 2 2 2 5 3" xfId="29911" xr:uid="{00000000-0005-0000-0000-000094150000}"/>
    <cellStyle name="20% - Accent2 5 2 2 2 6" xfId="12960" xr:uid="{00000000-0005-0000-0000-000095150000}"/>
    <cellStyle name="20% - Accent2 5 2 2 2 6 2" xfId="35562" xr:uid="{00000000-0005-0000-0000-000096150000}"/>
    <cellStyle name="20% - Accent2 5 2 2 2 7" xfId="24261" xr:uid="{00000000-0005-0000-0000-000097150000}"/>
    <cellStyle name="20% - Accent2 5 2 2 3" xfId="1028" xr:uid="{00000000-0005-0000-0000-000098150000}"/>
    <cellStyle name="20% - Accent2 5 2 2 3 2" xfId="3091" xr:uid="{00000000-0005-0000-0000-000099150000}"/>
    <cellStyle name="20% - Accent2 5 2 2 3 2 2" xfId="6063" xr:uid="{00000000-0005-0000-0000-00009A150000}"/>
    <cellStyle name="20% - Accent2 5 2 2 3 2 2 2" xfId="11713" xr:uid="{00000000-0005-0000-0000-00009B150000}"/>
    <cellStyle name="20% - Accent2 5 2 2 3 2 2 2 2" xfId="23014" xr:uid="{00000000-0005-0000-0000-00009C150000}"/>
    <cellStyle name="20% - Accent2 5 2 2 3 2 2 2 2 2" xfId="45616" xr:uid="{00000000-0005-0000-0000-00009D150000}"/>
    <cellStyle name="20% - Accent2 5 2 2 3 2 2 2 3" xfId="34315" xr:uid="{00000000-0005-0000-0000-00009E150000}"/>
    <cellStyle name="20% - Accent2 5 2 2 3 2 2 3" xfId="17364" xr:uid="{00000000-0005-0000-0000-00009F150000}"/>
    <cellStyle name="20% - Accent2 5 2 2 3 2 2 3 2" xfId="39966" xr:uid="{00000000-0005-0000-0000-0000A0150000}"/>
    <cellStyle name="20% - Accent2 5 2 2 3 2 2 4" xfId="28665" xr:uid="{00000000-0005-0000-0000-0000A1150000}"/>
    <cellStyle name="20% - Accent2 5 2 2 3 2 3" xfId="8881" xr:uid="{00000000-0005-0000-0000-0000A2150000}"/>
    <cellStyle name="20% - Accent2 5 2 2 3 2 3 2" xfId="20182" xr:uid="{00000000-0005-0000-0000-0000A3150000}"/>
    <cellStyle name="20% - Accent2 5 2 2 3 2 3 2 2" xfId="42784" xr:uid="{00000000-0005-0000-0000-0000A4150000}"/>
    <cellStyle name="20% - Accent2 5 2 2 3 2 3 3" xfId="31483" xr:uid="{00000000-0005-0000-0000-0000A5150000}"/>
    <cellStyle name="20% - Accent2 5 2 2 3 2 4" xfId="14532" xr:uid="{00000000-0005-0000-0000-0000A6150000}"/>
    <cellStyle name="20% - Accent2 5 2 2 3 2 4 2" xfId="37134" xr:uid="{00000000-0005-0000-0000-0000A7150000}"/>
    <cellStyle name="20% - Accent2 5 2 2 3 2 5" xfId="25833" xr:uid="{00000000-0005-0000-0000-0000A8150000}"/>
    <cellStyle name="20% - Accent2 5 2 2 3 3" xfId="4829" xr:uid="{00000000-0005-0000-0000-0000A9150000}"/>
    <cellStyle name="20% - Accent2 5 2 2 3 3 2" xfId="10479" xr:uid="{00000000-0005-0000-0000-0000AA150000}"/>
    <cellStyle name="20% - Accent2 5 2 2 3 3 2 2" xfId="21780" xr:uid="{00000000-0005-0000-0000-0000AB150000}"/>
    <cellStyle name="20% - Accent2 5 2 2 3 3 2 2 2" xfId="44382" xr:uid="{00000000-0005-0000-0000-0000AC150000}"/>
    <cellStyle name="20% - Accent2 5 2 2 3 3 2 3" xfId="33081" xr:uid="{00000000-0005-0000-0000-0000AD150000}"/>
    <cellStyle name="20% - Accent2 5 2 2 3 3 3" xfId="16130" xr:uid="{00000000-0005-0000-0000-0000AE150000}"/>
    <cellStyle name="20% - Accent2 5 2 2 3 3 3 2" xfId="38732" xr:uid="{00000000-0005-0000-0000-0000AF150000}"/>
    <cellStyle name="20% - Accent2 5 2 2 3 3 4" xfId="27431" xr:uid="{00000000-0005-0000-0000-0000B0150000}"/>
    <cellStyle name="20% - Accent2 5 2 2 3 4" xfId="7016" xr:uid="{00000000-0005-0000-0000-0000B1150000}"/>
    <cellStyle name="20% - Accent2 5 2 2 3 4 2" xfId="18317" xr:uid="{00000000-0005-0000-0000-0000B2150000}"/>
    <cellStyle name="20% - Accent2 5 2 2 3 4 2 2" xfId="40919" xr:uid="{00000000-0005-0000-0000-0000B3150000}"/>
    <cellStyle name="20% - Accent2 5 2 2 3 4 3" xfId="29618" xr:uid="{00000000-0005-0000-0000-0000B4150000}"/>
    <cellStyle name="20% - Accent2 5 2 2 3 5" xfId="12667" xr:uid="{00000000-0005-0000-0000-0000B5150000}"/>
    <cellStyle name="20% - Accent2 5 2 2 3 5 2" xfId="35269" xr:uid="{00000000-0005-0000-0000-0000B6150000}"/>
    <cellStyle name="20% - Accent2 5 2 2 3 6" xfId="23968" xr:uid="{00000000-0005-0000-0000-0000B7150000}"/>
    <cellStyle name="20% - Accent2 5 2 2 4" xfId="1557" xr:uid="{00000000-0005-0000-0000-0000B8150000}"/>
    <cellStyle name="20% - Accent2 5 2 2 4 2" xfId="3542" xr:uid="{00000000-0005-0000-0000-0000B9150000}"/>
    <cellStyle name="20% - Accent2 5 2 2 4 2 2" xfId="9256" xr:uid="{00000000-0005-0000-0000-0000BA150000}"/>
    <cellStyle name="20% - Accent2 5 2 2 4 2 2 2" xfId="20557" xr:uid="{00000000-0005-0000-0000-0000BB150000}"/>
    <cellStyle name="20% - Accent2 5 2 2 4 2 2 2 2" xfId="43159" xr:uid="{00000000-0005-0000-0000-0000BC150000}"/>
    <cellStyle name="20% - Accent2 5 2 2 4 2 2 3" xfId="31858" xr:uid="{00000000-0005-0000-0000-0000BD150000}"/>
    <cellStyle name="20% - Accent2 5 2 2 4 2 3" xfId="14907" xr:uid="{00000000-0005-0000-0000-0000BE150000}"/>
    <cellStyle name="20% - Accent2 5 2 2 4 2 3 2" xfId="37509" xr:uid="{00000000-0005-0000-0000-0000BF150000}"/>
    <cellStyle name="20% - Accent2 5 2 2 4 2 4" xfId="26208" xr:uid="{00000000-0005-0000-0000-0000C0150000}"/>
    <cellStyle name="20% - Accent2 5 2 2 4 3" xfId="5439" xr:uid="{00000000-0005-0000-0000-0000C1150000}"/>
    <cellStyle name="20% - Accent2 5 2 2 4 3 2" xfId="11089" xr:uid="{00000000-0005-0000-0000-0000C2150000}"/>
    <cellStyle name="20% - Accent2 5 2 2 4 3 2 2" xfId="22390" xr:uid="{00000000-0005-0000-0000-0000C3150000}"/>
    <cellStyle name="20% - Accent2 5 2 2 4 3 2 2 2" xfId="44992" xr:uid="{00000000-0005-0000-0000-0000C4150000}"/>
    <cellStyle name="20% - Accent2 5 2 2 4 3 2 3" xfId="33691" xr:uid="{00000000-0005-0000-0000-0000C5150000}"/>
    <cellStyle name="20% - Accent2 5 2 2 4 3 3" xfId="16740" xr:uid="{00000000-0005-0000-0000-0000C6150000}"/>
    <cellStyle name="20% - Accent2 5 2 2 4 3 3 2" xfId="39342" xr:uid="{00000000-0005-0000-0000-0000C7150000}"/>
    <cellStyle name="20% - Accent2 5 2 2 4 3 4" xfId="28041" xr:uid="{00000000-0005-0000-0000-0000C8150000}"/>
    <cellStyle name="20% - Accent2 5 2 2 4 4" xfId="7413" xr:uid="{00000000-0005-0000-0000-0000C9150000}"/>
    <cellStyle name="20% - Accent2 5 2 2 4 4 2" xfId="18714" xr:uid="{00000000-0005-0000-0000-0000CA150000}"/>
    <cellStyle name="20% - Accent2 5 2 2 4 4 2 2" xfId="41316" xr:uid="{00000000-0005-0000-0000-0000CB150000}"/>
    <cellStyle name="20% - Accent2 5 2 2 4 4 3" xfId="30015" xr:uid="{00000000-0005-0000-0000-0000CC150000}"/>
    <cellStyle name="20% - Accent2 5 2 2 4 5" xfId="13064" xr:uid="{00000000-0005-0000-0000-0000CD150000}"/>
    <cellStyle name="20% - Accent2 5 2 2 4 5 2" xfId="35666" xr:uid="{00000000-0005-0000-0000-0000CE150000}"/>
    <cellStyle name="20% - Accent2 5 2 2 4 6" xfId="24365" xr:uid="{00000000-0005-0000-0000-0000CF150000}"/>
    <cellStyle name="20% - Accent2 5 2 2 5" xfId="2420" xr:uid="{00000000-0005-0000-0000-0000D0150000}"/>
    <cellStyle name="20% - Accent2 5 2 2 5 2" xfId="8256" xr:uid="{00000000-0005-0000-0000-0000D1150000}"/>
    <cellStyle name="20% - Accent2 5 2 2 5 2 2" xfId="19557" xr:uid="{00000000-0005-0000-0000-0000D2150000}"/>
    <cellStyle name="20% - Accent2 5 2 2 5 2 2 2" xfId="42159" xr:uid="{00000000-0005-0000-0000-0000D3150000}"/>
    <cellStyle name="20% - Accent2 5 2 2 5 2 3" xfId="30858" xr:uid="{00000000-0005-0000-0000-0000D4150000}"/>
    <cellStyle name="20% - Accent2 5 2 2 5 3" xfId="13907" xr:uid="{00000000-0005-0000-0000-0000D5150000}"/>
    <cellStyle name="20% - Accent2 5 2 2 5 3 2" xfId="36509" xr:uid="{00000000-0005-0000-0000-0000D6150000}"/>
    <cellStyle name="20% - Accent2 5 2 2 5 4" xfId="25208" xr:uid="{00000000-0005-0000-0000-0000D7150000}"/>
    <cellStyle name="20% - Accent2 5 2 2 6" xfId="4205" xr:uid="{00000000-0005-0000-0000-0000D8150000}"/>
    <cellStyle name="20% - Accent2 5 2 2 6 2" xfId="9855" xr:uid="{00000000-0005-0000-0000-0000D9150000}"/>
    <cellStyle name="20% - Accent2 5 2 2 6 2 2" xfId="21156" xr:uid="{00000000-0005-0000-0000-0000DA150000}"/>
    <cellStyle name="20% - Accent2 5 2 2 6 2 2 2" xfId="43758" xr:uid="{00000000-0005-0000-0000-0000DB150000}"/>
    <cellStyle name="20% - Accent2 5 2 2 6 2 3" xfId="32457" xr:uid="{00000000-0005-0000-0000-0000DC150000}"/>
    <cellStyle name="20% - Accent2 5 2 2 6 3" xfId="15506" xr:uid="{00000000-0005-0000-0000-0000DD150000}"/>
    <cellStyle name="20% - Accent2 5 2 2 6 3 2" xfId="38108" xr:uid="{00000000-0005-0000-0000-0000DE150000}"/>
    <cellStyle name="20% - Accent2 5 2 2 6 4" xfId="26807" xr:uid="{00000000-0005-0000-0000-0000DF150000}"/>
    <cellStyle name="20% - Accent2 5 2 2 7" xfId="6685" xr:uid="{00000000-0005-0000-0000-0000E0150000}"/>
    <cellStyle name="20% - Accent2 5 2 2 7 2" xfId="17986" xr:uid="{00000000-0005-0000-0000-0000E1150000}"/>
    <cellStyle name="20% - Accent2 5 2 2 7 2 2" xfId="40588" xr:uid="{00000000-0005-0000-0000-0000E2150000}"/>
    <cellStyle name="20% - Accent2 5 2 2 7 3" xfId="29287" xr:uid="{00000000-0005-0000-0000-0000E3150000}"/>
    <cellStyle name="20% - Accent2 5 2 2 8" xfId="12336" xr:uid="{00000000-0005-0000-0000-0000E4150000}"/>
    <cellStyle name="20% - Accent2 5 2 2 8 2" xfId="34938" xr:uid="{00000000-0005-0000-0000-0000E5150000}"/>
    <cellStyle name="20% - Accent2 5 2 2 9" xfId="23637" xr:uid="{00000000-0005-0000-0000-0000E6150000}"/>
    <cellStyle name="20% - Accent2 5 2 3" xfId="1192" xr:uid="{00000000-0005-0000-0000-0000E7150000}"/>
    <cellStyle name="20% - Accent2 5 2 3 2" xfId="1559" xr:uid="{00000000-0005-0000-0000-0000E8150000}"/>
    <cellStyle name="20% - Accent2 5 2 3 2 2" xfId="3260" xr:uid="{00000000-0005-0000-0000-0000E9150000}"/>
    <cellStyle name="20% - Accent2 5 2 3 2 2 2" xfId="6232" xr:uid="{00000000-0005-0000-0000-0000EA150000}"/>
    <cellStyle name="20% - Accent2 5 2 3 2 2 2 2" xfId="11882" xr:uid="{00000000-0005-0000-0000-0000EB150000}"/>
    <cellStyle name="20% - Accent2 5 2 3 2 2 2 2 2" xfId="23183" xr:uid="{00000000-0005-0000-0000-0000EC150000}"/>
    <cellStyle name="20% - Accent2 5 2 3 2 2 2 2 2 2" xfId="45785" xr:uid="{00000000-0005-0000-0000-0000ED150000}"/>
    <cellStyle name="20% - Accent2 5 2 3 2 2 2 2 3" xfId="34484" xr:uid="{00000000-0005-0000-0000-0000EE150000}"/>
    <cellStyle name="20% - Accent2 5 2 3 2 2 2 3" xfId="17533" xr:uid="{00000000-0005-0000-0000-0000EF150000}"/>
    <cellStyle name="20% - Accent2 5 2 3 2 2 2 3 2" xfId="40135" xr:uid="{00000000-0005-0000-0000-0000F0150000}"/>
    <cellStyle name="20% - Accent2 5 2 3 2 2 2 4" xfId="28834" xr:uid="{00000000-0005-0000-0000-0000F1150000}"/>
    <cellStyle name="20% - Accent2 5 2 3 2 2 3" xfId="9050" xr:uid="{00000000-0005-0000-0000-0000F2150000}"/>
    <cellStyle name="20% - Accent2 5 2 3 2 2 3 2" xfId="20351" xr:uid="{00000000-0005-0000-0000-0000F3150000}"/>
    <cellStyle name="20% - Accent2 5 2 3 2 2 3 2 2" xfId="42953" xr:uid="{00000000-0005-0000-0000-0000F4150000}"/>
    <cellStyle name="20% - Accent2 5 2 3 2 2 3 3" xfId="31652" xr:uid="{00000000-0005-0000-0000-0000F5150000}"/>
    <cellStyle name="20% - Accent2 5 2 3 2 2 4" xfId="14701" xr:uid="{00000000-0005-0000-0000-0000F6150000}"/>
    <cellStyle name="20% - Accent2 5 2 3 2 2 4 2" xfId="37303" xr:uid="{00000000-0005-0000-0000-0000F7150000}"/>
    <cellStyle name="20% - Accent2 5 2 3 2 2 5" xfId="26002" xr:uid="{00000000-0005-0000-0000-0000F8150000}"/>
    <cellStyle name="20% - Accent2 5 2 3 2 3" xfId="4998" xr:uid="{00000000-0005-0000-0000-0000F9150000}"/>
    <cellStyle name="20% - Accent2 5 2 3 2 3 2" xfId="10648" xr:uid="{00000000-0005-0000-0000-0000FA150000}"/>
    <cellStyle name="20% - Accent2 5 2 3 2 3 2 2" xfId="21949" xr:uid="{00000000-0005-0000-0000-0000FB150000}"/>
    <cellStyle name="20% - Accent2 5 2 3 2 3 2 2 2" xfId="44551" xr:uid="{00000000-0005-0000-0000-0000FC150000}"/>
    <cellStyle name="20% - Accent2 5 2 3 2 3 2 3" xfId="33250" xr:uid="{00000000-0005-0000-0000-0000FD150000}"/>
    <cellStyle name="20% - Accent2 5 2 3 2 3 3" xfId="16299" xr:uid="{00000000-0005-0000-0000-0000FE150000}"/>
    <cellStyle name="20% - Accent2 5 2 3 2 3 3 2" xfId="38901" xr:uid="{00000000-0005-0000-0000-0000FF150000}"/>
    <cellStyle name="20% - Accent2 5 2 3 2 3 4" xfId="27600" xr:uid="{00000000-0005-0000-0000-000000160000}"/>
    <cellStyle name="20% - Accent2 5 2 3 2 4" xfId="7415" xr:uid="{00000000-0005-0000-0000-000001160000}"/>
    <cellStyle name="20% - Accent2 5 2 3 2 4 2" xfId="18716" xr:uid="{00000000-0005-0000-0000-000002160000}"/>
    <cellStyle name="20% - Accent2 5 2 3 2 4 2 2" xfId="41318" xr:uid="{00000000-0005-0000-0000-000003160000}"/>
    <cellStyle name="20% - Accent2 5 2 3 2 4 3" xfId="30017" xr:uid="{00000000-0005-0000-0000-000004160000}"/>
    <cellStyle name="20% - Accent2 5 2 3 2 5" xfId="13066" xr:uid="{00000000-0005-0000-0000-000005160000}"/>
    <cellStyle name="20% - Accent2 5 2 3 2 5 2" xfId="35668" xr:uid="{00000000-0005-0000-0000-000006160000}"/>
    <cellStyle name="20% - Accent2 5 2 3 2 6" xfId="24367" xr:uid="{00000000-0005-0000-0000-000007160000}"/>
    <cellStyle name="20% - Accent2 5 2 3 3" xfId="2589" xr:uid="{00000000-0005-0000-0000-000008160000}"/>
    <cellStyle name="20% - Accent2 5 2 3 3 2" xfId="5608" xr:uid="{00000000-0005-0000-0000-000009160000}"/>
    <cellStyle name="20% - Accent2 5 2 3 3 2 2" xfId="11258" xr:uid="{00000000-0005-0000-0000-00000A160000}"/>
    <cellStyle name="20% - Accent2 5 2 3 3 2 2 2" xfId="22559" xr:uid="{00000000-0005-0000-0000-00000B160000}"/>
    <cellStyle name="20% - Accent2 5 2 3 3 2 2 2 2" xfId="45161" xr:uid="{00000000-0005-0000-0000-00000C160000}"/>
    <cellStyle name="20% - Accent2 5 2 3 3 2 2 3" xfId="33860" xr:uid="{00000000-0005-0000-0000-00000D160000}"/>
    <cellStyle name="20% - Accent2 5 2 3 3 2 3" xfId="16909" xr:uid="{00000000-0005-0000-0000-00000E160000}"/>
    <cellStyle name="20% - Accent2 5 2 3 3 2 3 2" xfId="39511" xr:uid="{00000000-0005-0000-0000-00000F160000}"/>
    <cellStyle name="20% - Accent2 5 2 3 3 2 4" xfId="28210" xr:uid="{00000000-0005-0000-0000-000010160000}"/>
    <cellStyle name="20% - Accent2 5 2 3 3 3" xfId="8425" xr:uid="{00000000-0005-0000-0000-000011160000}"/>
    <cellStyle name="20% - Accent2 5 2 3 3 3 2" xfId="19726" xr:uid="{00000000-0005-0000-0000-000012160000}"/>
    <cellStyle name="20% - Accent2 5 2 3 3 3 2 2" xfId="42328" xr:uid="{00000000-0005-0000-0000-000013160000}"/>
    <cellStyle name="20% - Accent2 5 2 3 3 3 3" xfId="31027" xr:uid="{00000000-0005-0000-0000-000014160000}"/>
    <cellStyle name="20% - Accent2 5 2 3 3 4" xfId="14076" xr:uid="{00000000-0005-0000-0000-000015160000}"/>
    <cellStyle name="20% - Accent2 5 2 3 3 4 2" xfId="36678" xr:uid="{00000000-0005-0000-0000-000016160000}"/>
    <cellStyle name="20% - Accent2 5 2 3 3 5" xfId="25377" xr:uid="{00000000-0005-0000-0000-000017160000}"/>
    <cellStyle name="20% - Accent2 5 2 3 4" xfId="4374" xr:uid="{00000000-0005-0000-0000-000018160000}"/>
    <cellStyle name="20% - Accent2 5 2 3 4 2" xfId="10024" xr:uid="{00000000-0005-0000-0000-000019160000}"/>
    <cellStyle name="20% - Accent2 5 2 3 4 2 2" xfId="21325" xr:uid="{00000000-0005-0000-0000-00001A160000}"/>
    <cellStyle name="20% - Accent2 5 2 3 4 2 2 2" xfId="43927" xr:uid="{00000000-0005-0000-0000-00001B160000}"/>
    <cellStyle name="20% - Accent2 5 2 3 4 2 3" xfId="32626" xr:uid="{00000000-0005-0000-0000-00001C160000}"/>
    <cellStyle name="20% - Accent2 5 2 3 4 3" xfId="15675" xr:uid="{00000000-0005-0000-0000-00001D160000}"/>
    <cellStyle name="20% - Accent2 5 2 3 4 3 2" xfId="38277" xr:uid="{00000000-0005-0000-0000-00001E160000}"/>
    <cellStyle name="20% - Accent2 5 2 3 4 4" xfId="26976" xr:uid="{00000000-0005-0000-0000-00001F160000}"/>
    <cellStyle name="20% - Accent2 5 2 3 5" xfId="7171" xr:uid="{00000000-0005-0000-0000-000020160000}"/>
    <cellStyle name="20% - Accent2 5 2 3 5 2" xfId="18472" xr:uid="{00000000-0005-0000-0000-000021160000}"/>
    <cellStyle name="20% - Accent2 5 2 3 5 2 2" xfId="41074" xr:uid="{00000000-0005-0000-0000-000022160000}"/>
    <cellStyle name="20% - Accent2 5 2 3 5 3" xfId="29773" xr:uid="{00000000-0005-0000-0000-000023160000}"/>
    <cellStyle name="20% - Accent2 5 2 3 6" xfId="12822" xr:uid="{00000000-0005-0000-0000-000024160000}"/>
    <cellStyle name="20% - Accent2 5 2 3 6 2" xfId="35424" xr:uid="{00000000-0005-0000-0000-000025160000}"/>
    <cellStyle name="20% - Accent2 5 2 3 7" xfId="24123" xr:uid="{00000000-0005-0000-0000-000026160000}"/>
    <cellStyle name="20% - Accent2 5 2 4" xfId="883" xr:uid="{00000000-0005-0000-0000-000027160000}"/>
    <cellStyle name="20% - Accent2 5 2 4 2" xfId="2953" xr:uid="{00000000-0005-0000-0000-000028160000}"/>
    <cellStyle name="20% - Accent2 5 2 4 2 2" xfId="5925" xr:uid="{00000000-0005-0000-0000-000029160000}"/>
    <cellStyle name="20% - Accent2 5 2 4 2 2 2" xfId="11575" xr:uid="{00000000-0005-0000-0000-00002A160000}"/>
    <cellStyle name="20% - Accent2 5 2 4 2 2 2 2" xfId="22876" xr:uid="{00000000-0005-0000-0000-00002B160000}"/>
    <cellStyle name="20% - Accent2 5 2 4 2 2 2 2 2" xfId="45478" xr:uid="{00000000-0005-0000-0000-00002C160000}"/>
    <cellStyle name="20% - Accent2 5 2 4 2 2 2 3" xfId="34177" xr:uid="{00000000-0005-0000-0000-00002D160000}"/>
    <cellStyle name="20% - Accent2 5 2 4 2 2 3" xfId="17226" xr:uid="{00000000-0005-0000-0000-00002E160000}"/>
    <cellStyle name="20% - Accent2 5 2 4 2 2 3 2" xfId="39828" xr:uid="{00000000-0005-0000-0000-00002F160000}"/>
    <cellStyle name="20% - Accent2 5 2 4 2 2 4" xfId="28527" xr:uid="{00000000-0005-0000-0000-000030160000}"/>
    <cellStyle name="20% - Accent2 5 2 4 2 3" xfId="8743" xr:uid="{00000000-0005-0000-0000-000031160000}"/>
    <cellStyle name="20% - Accent2 5 2 4 2 3 2" xfId="20044" xr:uid="{00000000-0005-0000-0000-000032160000}"/>
    <cellStyle name="20% - Accent2 5 2 4 2 3 2 2" xfId="42646" xr:uid="{00000000-0005-0000-0000-000033160000}"/>
    <cellStyle name="20% - Accent2 5 2 4 2 3 3" xfId="31345" xr:uid="{00000000-0005-0000-0000-000034160000}"/>
    <cellStyle name="20% - Accent2 5 2 4 2 4" xfId="14394" xr:uid="{00000000-0005-0000-0000-000035160000}"/>
    <cellStyle name="20% - Accent2 5 2 4 2 4 2" xfId="36996" xr:uid="{00000000-0005-0000-0000-000036160000}"/>
    <cellStyle name="20% - Accent2 5 2 4 2 5" xfId="25695" xr:uid="{00000000-0005-0000-0000-000037160000}"/>
    <cellStyle name="20% - Accent2 5 2 4 3" xfId="4691" xr:uid="{00000000-0005-0000-0000-000038160000}"/>
    <cellStyle name="20% - Accent2 5 2 4 3 2" xfId="10341" xr:uid="{00000000-0005-0000-0000-000039160000}"/>
    <cellStyle name="20% - Accent2 5 2 4 3 2 2" xfId="21642" xr:uid="{00000000-0005-0000-0000-00003A160000}"/>
    <cellStyle name="20% - Accent2 5 2 4 3 2 2 2" xfId="44244" xr:uid="{00000000-0005-0000-0000-00003B160000}"/>
    <cellStyle name="20% - Accent2 5 2 4 3 2 3" xfId="32943" xr:uid="{00000000-0005-0000-0000-00003C160000}"/>
    <cellStyle name="20% - Accent2 5 2 4 3 3" xfId="15992" xr:uid="{00000000-0005-0000-0000-00003D160000}"/>
    <cellStyle name="20% - Accent2 5 2 4 3 3 2" xfId="38594" xr:uid="{00000000-0005-0000-0000-00003E160000}"/>
    <cellStyle name="20% - Accent2 5 2 4 3 4" xfId="27293" xr:uid="{00000000-0005-0000-0000-00003F160000}"/>
    <cellStyle name="20% - Accent2 5 2 4 4" xfId="6878" xr:uid="{00000000-0005-0000-0000-000040160000}"/>
    <cellStyle name="20% - Accent2 5 2 4 4 2" xfId="18179" xr:uid="{00000000-0005-0000-0000-000041160000}"/>
    <cellStyle name="20% - Accent2 5 2 4 4 2 2" xfId="40781" xr:uid="{00000000-0005-0000-0000-000042160000}"/>
    <cellStyle name="20% - Accent2 5 2 4 4 3" xfId="29480" xr:uid="{00000000-0005-0000-0000-000043160000}"/>
    <cellStyle name="20% - Accent2 5 2 4 5" xfId="12529" xr:uid="{00000000-0005-0000-0000-000044160000}"/>
    <cellStyle name="20% - Accent2 5 2 4 5 2" xfId="35131" xr:uid="{00000000-0005-0000-0000-000045160000}"/>
    <cellStyle name="20% - Accent2 5 2 4 6" xfId="23830" xr:uid="{00000000-0005-0000-0000-000046160000}"/>
    <cellStyle name="20% - Accent2 5 2 5" xfId="1556" xr:uid="{00000000-0005-0000-0000-000047160000}"/>
    <cellStyle name="20% - Accent2 5 2 5 2" xfId="3541" xr:uid="{00000000-0005-0000-0000-000048160000}"/>
    <cellStyle name="20% - Accent2 5 2 5 2 2" xfId="9255" xr:uid="{00000000-0005-0000-0000-000049160000}"/>
    <cellStyle name="20% - Accent2 5 2 5 2 2 2" xfId="20556" xr:uid="{00000000-0005-0000-0000-00004A160000}"/>
    <cellStyle name="20% - Accent2 5 2 5 2 2 2 2" xfId="43158" xr:uid="{00000000-0005-0000-0000-00004B160000}"/>
    <cellStyle name="20% - Accent2 5 2 5 2 2 3" xfId="31857" xr:uid="{00000000-0005-0000-0000-00004C160000}"/>
    <cellStyle name="20% - Accent2 5 2 5 2 3" xfId="14906" xr:uid="{00000000-0005-0000-0000-00004D160000}"/>
    <cellStyle name="20% - Accent2 5 2 5 2 3 2" xfId="37508" xr:uid="{00000000-0005-0000-0000-00004E160000}"/>
    <cellStyle name="20% - Accent2 5 2 5 2 4" xfId="26207" xr:uid="{00000000-0005-0000-0000-00004F160000}"/>
    <cellStyle name="20% - Accent2 5 2 5 3" xfId="5301" xr:uid="{00000000-0005-0000-0000-000050160000}"/>
    <cellStyle name="20% - Accent2 5 2 5 3 2" xfId="10951" xr:uid="{00000000-0005-0000-0000-000051160000}"/>
    <cellStyle name="20% - Accent2 5 2 5 3 2 2" xfId="22252" xr:uid="{00000000-0005-0000-0000-000052160000}"/>
    <cellStyle name="20% - Accent2 5 2 5 3 2 2 2" xfId="44854" xr:uid="{00000000-0005-0000-0000-000053160000}"/>
    <cellStyle name="20% - Accent2 5 2 5 3 2 3" xfId="33553" xr:uid="{00000000-0005-0000-0000-000054160000}"/>
    <cellStyle name="20% - Accent2 5 2 5 3 3" xfId="16602" xr:uid="{00000000-0005-0000-0000-000055160000}"/>
    <cellStyle name="20% - Accent2 5 2 5 3 3 2" xfId="39204" xr:uid="{00000000-0005-0000-0000-000056160000}"/>
    <cellStyle name="20% - Accent2 5 2 5 3 4" xfId="27903" xr:uid="{00000000-0005-0000-0000-000057160000}"/>
    <cellStyle name="20% - Accent2 5 2 5 4" xfId="7412" xr:uid="{00000000-0005-0000-0000-000058160000}"/>
    <cellStyle name="20% - Accent2 5 2 5 4 2" xfId="18713" xr:uid="{00000000-0005-0000-0000-000059160000}"/>
    <cellStyle name="20% - Accent2 5 2 5 4 2 2" xfId="41315" xr:uid="{00000000-0005-0000-0000-00005A160000}"/>
    <cellStyle name="20% - Accent2 5 2 5 4 3" xfId="30014" xr:uid="{00000000-0005-0000-0000-00005B160000}"/>
    <cellStyle name="20% - Accent2 5 2 5 5" xfId="13063" xr:uid="{00000000-0005-0000-0000-00005C160000}"/>
    <cellStyle name="20% - Accent2 5 2 5 5 2" xfId="35665" xr:uid="{00000000-0005-0000-0000-00005D160000}"/>
    <cellStyle name="20% - Accent2 5 2 5 6" xfId="24364" xr:uid="{00000000-0005-0000-0000-00005E160000}"/>
    <cellStyle name="20% - Accent2 5 2 6" xfId="2280" xr:uid="{00000000-0005-0000-0000-00005F160000}"/>
    <cellStyle name="20% - Accent2 5 2 6 2" xfId="8116" xr:uid="{00000000-0005-0000-0000-000060160000}"/>
    <cellStyle name="20% - Accent2 5 2 6 2 2" xfId="19417" xr:uid="{00000000-0005-0000-0000-000061160000}"/>
    <cellStyle name="20% - Accent2 5 2 6 2 2 2" xfId="42019" xr:uid="{00000000-0005-0000-0000-000062160000}"/>
    <cellStyle name="20% - Accent2 5 2 6 2 3" xfId="30718" xr:uid="{00000000-0005-0000-0000-000063160000}"/>
    <cellStyle name="20% - Accent2 5 2 6 3" xfId="13767" xr:uid="{00000000-0005-0000-0000-000064160000}"/>
    <cellStyle name="20% - Accent2 5 2 6 3 2" xfId="36369" xr:uid="{00000000-0005-0000-0000-000065160000}"/>
    <cellStyle name="20% - Accent2 5 2 6 4" xfId="25068" xr:uid="{00000000-0005-0000-0000-000066160000}"/>
    <cellStyle name="20% - Accent2 5 2 7" xfId="4067" xr:uid="{00000000-0005-0000-0000-000067160000}"/>
    <cellStyle name="20% - Accent2 5 2 7 2" xfId="9717" xr:uid="{00000000-0005-0000-0000-000068160000}"/>
    <cellStyle name="20% - Accent2 5 2 7 2 2" xfId="21018" xr:uid="{00000000-0005-0000-0000-000069160000}"/>
    <cellStyle name="20% - Accent2 5 2 7 2 2 2" xfId="43620" xr:uid="{00000000-0005-0000-0000-00006A160000}"/>
    <cellStyle name="20% - Accent2 5 2 7 2 3" xfId="32319" xr:uid="{00000000-0005-0000-0000-00006B160000}"/>
    <cellStyle name="20% - Accent2 5 2 7 3" xfId="15368" xr:uid="{00000000-0005-0000-0000-00006C160000}"/>
    <cellStyle name="20% - Accent2 5 2 7 3 2" xfId="37970" xr:uid="{00000000-0005-0000-0000-00006D160000}"/>
    <cellStyle name="20% - Accent2 5 2 7 4" xfId="26669" xr:uid="{00000000-0005-0000-0000-00006E160000}"/>
    <cellStyle name="20% - Accent2 5 2 8" xfId="6518" xr:uid="{00000000-0005-0000-0000-00006F160000}"/>
    <cellStyle name="20% - Accent2 5 2 8 2" xfId="17819" xr:uid="{00000000-0005-0000-0000-000070160000}"/>
    <cellStyle name="20% - Accent2 5 2 8 2 2" xfId="40421" xr:uid="{00000000-0005-0000-0000-000071160000}"/>
    <cellStyle name="20% - Accent2 5 2 8 3" xfId="29120" xr:uid="{00000000-0005-0000-0000-000072160000}"/>
    <cellStyle name="20% - Accent2 5 2 9" xfId="12169" xr:uid="{00000000-0005-0000-0000-000073160000}"/>
    <cellStyle name="20% - Accent2 5 2 9 2" xfId="34771" xr:uid="{00000000-0005-0000-0000-000074160000}"/>
    <cellStyle name="20% - Accent2 5 3" xfId="523" xr:uid="{00000000-0005-0000-0000-000075160000}"/>
    <cellStyle name="20% - Accent2 5 3 2" xfId="1236" xr:uid="{00000000-0005-0000-0000-000076160000}"/>
    <cellStyle name="20% - Accent2 5 3 2 2" xfId="1561" xr:uid="{00000000-0005-0000-0000-000077160000}"/>
    <cellStyle name="20% - Accent2 5 3 2 2 2" xfId="3305" xr:uid="{00000000-0005-0000-0000-000078160000}"/>
    <cellStyle name="20% - Accent2 5 3 2 2 2 2" xfId="6277" xr:uid="{00000000-0005-0000-0000-000079160000}"/>
    <cellStyle name="20% - Accent2 5 3 2 2 2 2 2" xfId="11927" xr:uid="{00000000-0005-0000-0000-00007A160000}"/>
    <cellStyle name="20% - Accent2 5 3 2 2 2 2 2 2" xfId="23228" xr:uid="{00000000-0005-0000-0000-00007B160000}"/>
    <cellStyle name="20% - Accent2 5 3 2 2 2 2 2 2 2" xfId="45830" xr:uid="{00000000-0005-0000-0000-00007C160000}"/>
    <cellStyle name="20% - Accent2 5 3 2 2 2 2 2 3" xfId="34529" xr:uid="{00000000-0005-0000-0000-00007D160000}"/>
    <cellStyle name="20% - Accent2 5 3 2 2 2 2 3" xfId="17578" xr:uid="{00000000-0005-0000-0000-00007E160000}"/>
    <cellStyle name="20% - Accent2 5 3 2 2 2 2 3 2" xfId="40180" xr:uid="{00000000-0005-0000-0000-00007F160000}"/>
    <cellStyle name="20% - Accent2 5 3 2 2 2 2 4" xfId="28879" xr:uid="{00000000-0005-0000-0000-000080160000}"/>
    <cellStyle name="20% - Accent2 5 3 2 2 2 3" xfId="9095" xr:uid="{00000000-0005-0000-0000-000081160000}"/>
    <cellStyle name="20% - Accent2 5 3 2 2 2 3 2" xfId="20396" xr:uid="{00000000-0005-0000-0000-000082160000}"/>
    <cellStyle name="20% - Accent2 5 3 2 2 2 3 2 2" xfId="42998" xr:uid="{00000000-0005-0000-0000-000083160000}"/>
    <cellStyle name="20% - Accent2 5 3 2 2 2 3 3" xfId="31697" xr:uid="{00000000-0005-0000-0000-000084160000}"/>
    <cellStyle name="20% - Accent2 5 3 2 2 2 4" xfId="14746" xr:uid="{00000000-0005-0000-0000-000085160000}"/>
    <cellStyle name="20% - Accent2 5 3 2 2 2 4 2" xfId="37348" xr:uid="{00000000-0005-0000-0000-000086160000}"/>
    <cellStyle name="20% - Accent2 5 3 2 2 2 5" xfId="26047" xr:uid="{00000000-0005-0000-0000-000087160000}"/>
    <cellStyle name="20% - Accent2 5 3 2 2 3" xfId="5043" xr:uid="{00000000-0005-0000-0000-000088160000}"/>
    <cellStyle name="20% - Accent2 5 3 2 2 3 2" xfId="10693" xr:uid="{00000000-0005-0000-0000-000089160000}"/>
    <cellStyle name="20% - Accent2 5 3 2 2 3 2 2" xfId="21994" xr:uid="{00000000-0005-0000-0000-00008A160000}"/>
    <cellStyle name="20% - Accent2 5 3 2 2 3 2 2 2" xfId="44596" xr:uid="{00000000-0005-0000-0000-00008B160000}"/>
    <cellStyle name="20% - Accent2 5 3 2 2 3 2 3" xfId="33295" xr:uid="{00000000-0005-0000-0000-00008C160000}"/>
    <cellStyle name="20% - Accent2 5 3 2 2 3 3" xfId="16344" xr:uid="{00000000-0005-0000-0000-00008D160000}"/>
    <cellStyle name="20% - Accent2 5 3 2 2 3 3 2" xfId="38946" xr:uid="{00000000-0005-0000-0000-00008E160000}"/>
    <cellStyle name="20% - Accent2 5 3 2 2 3 4" xfId="27645" xr:uid="{00000000-0005-0000-0000-00008F160000}"/>
    <cellStyle name="20% - Accent2 5 3 2 2 4" xfId="7417" xr:uid="{00000000-0005-0000-0000-000090160000}"/>
    <cellStyle name="20% - Accent2 5 3 2 2 4 2" xfId="18718" xr:uid="{00000000-0005-0000-0000-000091160000}"/>
    <cellStyle name="20% - Accent2 5 3 2 2 4 2 2" xfId="41320" xr:uid="{00000000-0005-0000-0000-000092160000}"/>
    <cellStyle name="20% - Accent2 5 3 2 2 4 3" xfId="30019" xr:uid="{00000000-0005-0000-0000-000093160000}"/>
    <cellStyle name="20% - Accent2 5 3 2 2 5" xfId="13068" xr:uid="{00000000-0005-0000-0000-000094160000}"/>
    <cellStyle name="20% - Accent2 5 3 2 2 5 2" xfId="35670" xr:uid="{00000000-0005-0000-0000-000095160000}"/>
    <cellStyle name="20% - Accent2 5 3 2 2 6" xfId="24369" xr:uid="{00000000-0005-0000-0000-000096160000}"/>
    <cellStyle name="20% - Accent2 5 3 2 3" xfId="2634" xr:uid="{00000000-0005-0000-0000-000097160000}"/>
    <cellStyle name="20% - Accent2 5 3 2 3 2" xfId="5653" xr:uid="{00000000-0005-0000-0000-000098160000}"/>
    <cellStyle name="20% - Accent2 5 3 2 3 2 2" xfId="11303" xr:uid="{00000000-0005-0000-0000-000099160000}"/>
    <cellStyle name="20% - Accent2 5 3 2 3 2 2 2" xfId="22604" xr:uid="{00000000-0005-0000-0000-00009A160000}"/>
    <cellStyle name="20% - Accent2 5 3 2 3 2 2 2 2" xfId="45206" xr:uid="{00000000-0005-0000-0000-00009B160000}"/>
    <cellStyle name="20% - Accent2 5 3 2 3 2 2 3" xfId="33905" xr:uid="{00000000-0005-0000-0000-00009C160000}"/>
    <cellStyle name="20% - Accent2 5 3 2 3 2 3" xfId="16954" xr:uid="{00000000-0005-0000-0000-00009D160000}"/>
    <cellStyle name="20% - Accent2 5 3 2 3 2 3 2" xfId="39556" xr:uid="{00000000-0005-0000-0000-00009E160000}"/>
    <cellStyle name="20% - Accent2 5 3 2 3 2 4" xfId="28255" xr:uid="{00000000-0005-0000-0000-00009F160000}"/>
    <cellStyle name="20% - Accent2 5 3 2 3 3" xfId="8470" xr:uid="{00000000-0005-0000-0000-0000A0160000}"/>
    <cellStyle name="20% - Accent2 5 3 2 3 3 2" xfId="19771" xr:uid="{00000000-0005-0000-0000-0000A1160000}"/>
    <cellStyle name="20% - Accent2 5 3 2 3 3 2 2" xfId="42373" xr:uid="{00000000-0005-0000-0000-0000A2160000}"/>
    <cellStyle name="20% - Accent2 5 3 2 3 3 3" xfId="31072" xr:uid="{00000000-0005-0000-0000-0000A3160000}"/>
    <cellStyle name="20% - Accent2 5 3 2 3 4" xfId="14121" xr:uid="{00000000-0005-0000-0000-0000A4160000}"/>
    <cellStyle name="20% - Accent2 5 3 2 3 4 2" xfId="36723" xr:uid="{00000000-0005-0000-0000-0000A5160000}"/>
    <cellStyle name="20% - Accent2 5 3 2 3 5" xfId="25422" xr:uid="{00000000-0005-0000-0000-0000A6160000}"/>
    <cellStyle name="20% - Accent2 5 3 2 4" xfId="4419" xr:uid="{00000000-0005-0000-0000-0000A7160000}"/>
    <cellStyle name="20% - Accent2 5 3 2 4 2" xfId="10069" xr:uid="{00000000-0005-0000-0000-0000A8160000}"/>
    <cellStyle name="20% - Accent2 5 3 2 4 2 2" xfId="21370" xr:uid="{00000000-0005-0000-0000-0000A9160000}"/>
    <cellStyle name="20% - Accent2 5 3 2 4 2 2 2" xfId="43972" xr:uid="{00000000-0005-0000-0000-0000AA160000}"/>
    <cellStyle name="20% - Accent2 5 3 2 4 2 3" xfId="32671" xr:uid="{00000000-0005-0000-0000-0000AB160000}"/>
    <cellStyle name="20% - Accent2 5 3 2 4 3" xfId="15720" xr:uid="{00000000-0005-0000-0000-0000AC160000}"/>
    <cellStyle name="20% - Accent2 5 3 2 4 3 2" xfId="38322" xr:uid="{00000000-0005-0000-0000-0000AD160000}"/>
    <cellStyle name="20% - Accent2 5 3 2 4 4" xfId="27021" xr:uid="{00000000-0005-0000-0000-0000AE160000}"/>
    <cellStyle name="20% - Accent2 5 3 2 5" xfId="7215" xr:uid="{00000000-0005-0000-0000-0000AF160000}"/>
    <cellStyle name="20% - Accent2 5 3 2 5 2" xfId="18516" xr:uid="{00000000-0005-0000-0000-0000B0160000}"/>
    <cellStyle name="20% - Accent2 5 3 2 5 2 2" xfId="41118" xr:uid="{00000000-0005-0000-0000-0000B1160000}"/>
    <cellStyle name="20% - Accent2 5 3 2 5 3" xfId="29817" xr:uid="{00000000-0005-0000-0000-0000B2160000}"/>
    <cellStyle name="20% - Accent2 5 3 2 6" xfId="12866" xr:uid="{00000000-0005-0000-0000-0000B3160000}"/>
    <cellStyle name="20% - Accent2 5 3 2 6 2" xfId="35468" xr:uid="{00000000-0005-0000-0000-0000B4160000}"/>
    <cellStyle name="20% - Accent2 5 3 2 7" xfId="24167" xr:uid="{00000000-0005-0000-0000-0000B5160000}"/>
    <cellStyle name="20% - Accent2 5 3 3" xfId="934" xr:uid="{00000000-0005-0000-0000-0000B6160000}"/>
    <cellStyle name="20% - Accent2 5 3 3 2" xfId="2997" xr:uid="{00000000-0005-0000-0000-0000B7160000}"/>
    <cellStyle name="20% - Accent2 5 3 3 2 2" xfId="5969" xr:uid="{00000000-0005-0000-0000-0000B8160000}"/>
    <cellStyle name="20% - Accent2 5 3 3 2 2 2" xfId="11619" xr:uid="{00000000-0005-0000-0000-0000B9160000}"/>
    <cellStyle name="20% - Accent2 5 3 3 2 2 2 2" xfId="22920" xr:uid="{00000000-0005-0000-0000-0000BA160000}"/>
    <cellStyle name="20% - Accent2 5 3 3 2 2 2 2 2" xfId="45522" xr:uid="{00000000-0005-0000-0000-0000BB160000}"/>
    <cellStyle name="20% - Accent2 5 3 3 2 2 2 3" xfId="34221" xr:uid="{00000000-0005-0000-0000-0000BC160000}"/>
    <cellStyle name="20% - Accent2 5 3 3 2 2 3" xfId="17270" xr:uid="{00000000-0005-0000-0000-0000BD160000}"/>
    <cellStyle name="20% - Accent2 5 3 3 2 2 3 2" xfId="39872" xr:uid="{00000000-0005-0000-0000-0000BE160000}"/>
    <cellStyle name="20% - Accent2 5 3 3 2 2 4" xfId="28571" xr:uid="{00000000-0005-0000-0000-0000BF160000}"/>
    <cellStyle name="20% - Accent2 5 3 3 2 3" xfId="8787" xr:uid="{00000000-0005-0000-0000-0000C0160000}"/>
    <cellStyle name="20% - Accent2 5 3 3 2 3 2" xfId="20088" xr:uid="{00000000-0005-0000-0000-0000C1160000}"/>
    <cellStyle name="20% - Accent2 5 3 3 2 3 2 2" xfId="42690" xr:uid="{00000000-0005-0000-0000-0000C2160000}"/>
    <cellStyle name="20% - Accent2 5 3 3 2 3 3" xfId="31389" xr:uid="{00000000-0005-0000-0000-0000C3160000}"/>
    <cellStyle name="20% - Accent2 5 3 3 2 4" xfId="14438" xr:uid="{00000000-0005-0000-0000-0000C4160000}"/>
    <cellStyle name="20% - Accent2 5 3 3 2 4 2" xfId="37040" xr:uid="{00000000-0005-0000-0000-0000C5160000}"/>
    <cellStyle name="20% - Accent2 5 3 3 2 5" xfId="25739" xr:uid="{00000000-0005-0000-0000-0000C6160000}"/>
    <cellStyle name="20% - Accent2 5 3 3 3" xfId="4735" xr:uid="{00000000-0005-0000-0000-0000C7160000}"/>
    <cellStyle name="20% - Accent2 5 3 3 3 2" xfId="10385" xr:uid="{00000000-0005-0000-0000-0000C8160000}"/>
    <cellStyle name="20% - Accent2 5 3 3 3 2 2" xfId="21686" xr:uid="{00000000-0005-0000-0000-0000C9160000}"/>
    <cellStyle name="20% - Accent2 5 3 3 3 2 2 2" xfId="44288" xr:uid="{00000000-0005-0000-0000-0000CA160000}"/>
    <cellStyle name="20% - Accent2 5 3 3 3 2 3" xfId="32987" xr:uid="{00000000-0005-0000-0000-0000CB160000}"/>
    <cellStyle name="20% - Accent2 5 3 3 3 3" xfId="16036" xr:uid="{00000000-0005-0000-0000-0000CC160000}"/>
    <cellStyle name="20% - Accent2 5 3 3 3 3 2" xfId="38638" xr:uid="{00000000-0005-0000-0000-0000CD160000}"/>
    <cellStyle name="20% - Accent2 5 3 3 3 4" xfId="27337" xr:uid="{00000000-0005-0000-0000-0000CE160000}"/>
    <cellStyle name="20% - Accent2 5 3 3 4" xfId="6922" xr:uid="{00000000-0005-0000-0000-0000CF160000}"/>
    <cellStyle name="20% - Accent2 5 3 3 4 2" xfId="18223" xr:uid="{00000000-0005-0000-0000-0000D0160000}"/>
    <cellStyle name="20% - Accent2 5 3 3 4 2 2" xfId="40825" xr:uid="{00000000-0005-0000-0000-0000D1160000}"/>
    <cellStyle name="20% - Accent2 5 3 3 4 3" xfId="29524" xr:uid="{00000000-0005-0000-0000-0000D2160000}"/>
    <cellStyle name="20% - Accent2 5 3 3 5" xfId="12573" xr:uid="{00000000-0005-0000-0000-0000D3160000}"/>
    <cellStyle name="20% - Accent2 5 3 3 5 2" xfId="35175" xr:uid="{00000000-0005-0000-0000-0000D4160000}"/>
    <cellStyle name="20% - Accent2 5 3 3 6" xfId="23874" xr:uid="{00000000-0005-0000-0000-0000D5160000}"/>
    <cellStyle name="20% - Accent2 5 3 4" xfId="1560" xr:uid="{00000000-0005-0000-0000-0000D6160000}"/>
    <cellStyle name="20% - Accent2 5 3 4 2" xfId="3543" xr:uid="{00000000-0005-0000-0000-0000D7160000}"/>
    <cellStyle name="20% - Accent2 5 3 4 2 2" xfId="9257" xr:uid="{00000000-0005-0000-0000-0000D8160000}"/>
    <cellStyle name="20% - Accent2 5 3 4 2 2 2" xfId="20558" xr:uid="{00000000-0005-0000-0000-0000D9160000}"/>
    <cellStyle name="20% - Accent2 5 3 4 2 2 2 2" xfId="43160" xr:uid="{00000000-0005-0000-0000-0000DA160000}"/>
    <cellStyle name="20% - Accent2 5 3 4 2 2 3" xfId="31859" xr:uid="{00000000-0005-0000-0000-0000DB160000}"/>
    <cellStyle name="20% - Accent2 5 3 4 2 3" xfId="14908" xr:uid="{00000000-0005-0000-0000-0000DC160000}"/>
    <cellStyle name="20% - Accent2 5 3 4 2 3 2" xfId="37510" xr:uid="{00000000-0005-0000-0000-0000DD160000}"/>
    <cellStyle name="20% - Accent2 5 3 4 2 4" xfId="26209" xr:uid="{00000000-0005-0000-0000-0000DE160000}"/>
    <cellStyle name="20% - Accent2 5 3 4 3" xfId="5345" xr:uid="{00000000-0005-0000-0000-0000DF160000}"/>
    <cellStyle name="20% - Accent2 5 3 4 3 2" xfId="10995" xr:uid="{00000000-0005-0000-0000-0000E0160000}"/>
    <cellStyle name="20% - Accent2 5 3 4 3 2 2" xfId="22296" xr:uid="{00000000-0005-0000-0000-0000E1160000}"/>
    <cellStyle name="20% - Accent2 5 3 4 3 2 2 2" xfId="44898" xr:uid="{00000000-0005-0000-0000-0000E2160000}"/>
    <cellStyle name="20% - Accent2 5 3 4 3 2 3" xfId="33597" xr:uid="{00000000-0005-0000-0000-0000E3160000}"/>
    <cellStyle name="20% - Accent2 5 3 4 3 3" xfId="16646" xr:uid="{00000000-0005-0000-0000-0000E4160000}"/>
    <cellStyle name="20% - Accent2 5 3 4 3 3 2" xfId="39248" xr:uid="{00000000-0005-0000-0000-0000E5160000}"/>
    <cellStyle name="20% - Accent2 5 3 4 3 4" xfId="27947" xr:uid="{00000000-0005-0000-0000-0000E6160000}"/>
    <cellStyle name="20% - Accent2 5 3 4 4" xfId="7416" xr:uid="{00000000-0005-0000-0000-0000E7160000}"/>
    <cellStyle name="20% - Accent2 5 3 4 4 2" xfId="18717" xr:uid="{00000000-0005-0000-0000-0000E8160000}"/>
    <cellStyle name="20% - Accent2 5 3 4 4 2 2" xfId="41319" xr:uid="{00000000-0005-0000-0000-0000E9160000}"/>
    <cellStyle name="20% - Accent2 5 3 4 4 3" xfId="30018" xr:uid="{00000000-0005-0000-0000-0000EA160000}"/>
    <cellStyle name="20% - Accent2 5 3 4 5" xfId="13067" xr:uid="{00000000-0005-0000-0000-0000EB160000}"/>
    <cellStyle name="20% - Accent2 5 3 4 5 2" xfId="35669" xr:uid="{00000000-0005-0000-0000-0000EC160000}"/>
    <cellStyle name="20% - Accent2 5 3 4 6" xfId="24368" xr:uid="{00000000-0005-0000-0000-0000ED160000}"/>
    <cellStyle name="20% - Accent2 5 3 5" xfId="2326" xr:uid="{00000000-0005-0000-0000-0000EE160000}"/>
    <cellStyle name="20% - Accent2 5 3 5 2" xfId="8162" xr:uid="{00000000-0005-0000-0000-0000EF160000}"/>
    <cellStyle name="20% - Accent2 5 3 5 2 2" xfId="19463" xr:uid="{00000000-0005-0000-0000-0000F0160000}"/>
    <cellStyle name="20% - Accent2 5 3 5 2 2 2" xfId="42065" xr:uid="{00000000-0005-0000-0000-0000F1160000}"/>
    <cellStyle name="20% - Accent2 5 3 5 2 3" xfId="30764" xr:uid="{00000000-0005-0000-0000-0000F2160000}"/>
    <cellStyle name="20% - Accent2 5 3 5 3" xfId="13813" xr:uid="{00000000-0005-0000-0000-0000F3160000}"/>
    <cellStyle name="20% - Accent2 5 3 5 3 2" xfId="36415" xr:uid="{00000000-0005-0000-0000-0000F4160000}"/>
    <cellStyle name="20% - Accent2 5 3 5 4" xfId="25114" xr:uid="{00000000-0005-0000-0000-0000F5160000}"/>
    <cellStyle name="20% - Accent2 5 3 6" xfId="4111" xr:uid="{00000000-0005-0000-0000-0000F6160000}"/>
    <cellStyle name="20% - Accent2 5 3 6 2" xfId="9761" xr:uid="{00000000-0005-0000-0000-0000F7160000}"/>
    <cellStyle name="20% - Accent2 5 3 6 2 2" xfId="21062" xr:uid="{00000000-0005-0000-0000-0000F8160000}"/>
    <cellStyle name="20% - Accent2 5 3 6 2 2 2" xfId="43664" xr:uid="{00000000-0005-0000-0000-0000F9160000}"/>
    <cellStyle name="20% - Accent2 5 3 6 2 3" xfId="32363" xr:uid="{00000000-0005-0000-0000-0000FA160000}"/>
    <cellStyle name="20% - Accent2 5 3 6 3" xfId="15412" xr:uid="{00000000-0005-0000-0000-0000FB160000}"/>
    <cellStyle name="20% - Accent2 5 3 6 3 2" xfId="38014" xr:uid="{00000000-0005-0000-0000-0000FC160000}"/>
    <cellStyle name="20% - Accent2 5 3 6 4" xfId="26713" xr:uid="{00000000-0005-0000-0000-0000FD160000}"/>
    <cellStyle name="20% - Accent2 5 3 7" xfId="6589" xr:uid="{00000000-0005-0000-0000-0000FE160000}"/>
    <cellStyle name="20% - Accent2 5 3 7 2" xfId="17890" xr:uid="{00000000-0005-0000-0000-0000FF160000}"/>
    <cellStyle name="20% - Accent2 5 3 7 2 2" xfId="40492" xr:uid="{00000000-0005-0000-0000-000000170000}"/>
    <cellStyle name="20% - Accent2 5 3 7 3" xfId="29191" xr:uid="{00000000-0005-0000-0000-000001170000}"/>
    <cellStyle name="20% - Accent2 5 3 8" xfId="12240" xr:uid="{00000000-0005-0000-0000-000002170000}"/>
    <cellStyle name="20% - Accent2 5 3 8 2" xfId="34842" xr:uid="{00000000-0005-0000-0000-000003170000}"/>
    <cellStyle name="20% - Accent2 5 3 9" xfId="23541" xr:uid="{00000000-0005-0000-0000-000004170000}"/>
    <cellStyle name="20% - Accent2 5 4" xfId="1096" xr:uid="{00000000-0005-0000-0000-000005170000}"/>
    <cellStyle name="20% - Accent2 5 4 2" xfId="1562" xr:uid="{00000000-0005-0000-0000-000006170000}"/>
    <cellStyle name="20% - Accent2 5 4 2 2" xfId="3164" xr:uid="{00000000-0005-0000-0000-000007170000}"/>
    <cellStyle name="20% - Accent2 5 4 2 2 2" xfId="6136" xr:uid="{00000000-0005-0000-0000-000008170000}"/>
    <cellStyle name="20% - Accent2 5 4 2 2 2 2" xfId="11786" xr:uid="{00000000-0005-0000-0000-000009170000}"/>
    <cellStyle name="20% - Accent2 5 4 2 2 2 2 2" xfId="23087" xr:uid="{00000000-0005-0000-0000-00000A170000}"/>
    <cellStyle name="20% - Accent2 5 4 2 2 2 2 2 2" xfId="45689" xr:uid="{00000000-0005-0000-0000-00000B170000}"/>
    <cellStyle name="20% - Accent2 5 4 2 2 2 2 3" xfId="34388" xr:uid="{00000000-0005-0000-0000-00000C170000}"/>
    <cellStyle name="20% - Accent2 5 4 2 2 2 3" xfId="17437" xr:uid="{00000000-0005-0000-0000-00000D170000}"/>
    <cellStyle name="20% - Accent2 5 4 2 2 2 3 2" xfId="40039" xr:uid="{00000000-0005-0000-0000-00000E170000}"/>
    <cellStyle name="20% - Accent2 5 4 2 2 2 4" xfId="28738" xr:uid="{00000000-0005-0000-0000-00000F170000}"/>
    <cellStyle name="20% - Accent2 5 4 2 2 3" xfId="8954" xr:uid="{00000000-0005-0000-0000-000010170000}"/>
    <cellStyle name="20% - Accent2 5 4 2 2 3 2" xfId="20255" xr:uid="{00000000-0005-0000-0000-000011170000}"/>
    <cellStyle name="20% - Accent2 5 4 2 2 3 2 2" xfId="42857" xr:uid="{00000000-0005-0000-0000-000012170000}"/>
    <cellStyle name="20% - Accent2 5 4 2 2 3 3" xfId="31556" xr:uid="{00000000-0005-0000-0000-000013170000}"/>
    <cellStyle name="20% - Accent2 5 4 2 2 4" xfId="14605" xr:uid="{00000000-0005-0000-0000-000014170000}"/>
    <cellStyle name="20% - Accent2 5 4 2 2 4 2" xfId="37207" xr:uid="{00000000-0005-0000-0000-000015170000}"/>
    <cellStyle name="20% - Accent2 5 4 2 2 5" xfId="25906" xr:uid="{00000000-0005-0000-0000-000016170000}"/>
    <cellStyle name="20% - Accent2 5 4 2 3" xfId="4902" xr:uid="{00000000-0005-0000-0000-000017170000}"/>
    <cellStyle name="20% - Accent2 5 4 2 3 2" xfId="10552" xr:uid="{00000000-0005-0000-0000-000018170000}"/>
    <cellStyle name="20% - Accent2 5 4 2 3 2 2" xfId="21853" xr:uid="{00000000-0005-0000-0000-000019170000}"/>
    <cellStyle name="20% - Accent2 5 4 2 3 2 2 2" xfId="44455" xr:uid="{00000000-0005-0000-0000-00001A170000}"/>
    <cellStyle name="20% - Accent2 5 4 2 3 2 3" xfId="33154" xr:uid="{00000000-0005-0000-0000-00001B170000}"/>
    <cellStyle name="20% - Accent2 5 4 2 3 3" xfId="16203" xr:uid="{00000000-0005-0000-0000-00001C170000}"/>
    <cellStyle name="20% - Accent2 5 4 2 3 3 2" xfId="38805" xr:uid="{00000000-0005-0000-0000-00001D170000}"/>
    <cellStyle name="20% - Accent2 5 4 2 3 4" xfId="27504" xr:uid="{00000000-0005-0000-0000-00001E170000}"/>
    <cellStyle name="20% - Accent2 5 4 2 4" xfId="7418" xr:uid="{00000000-0005-0000-0000-00001F170000}"/>
    <cellStyle name="20% - Accent2 5 4 2 4 2" xfId="18719" xr:uid="{00000000-0005-0000-0000-000020170000}"/>
    <cellStyle name="20% - Accent2 5 4 2 4 2 2" xfId="41321" xr:uid="{00000000-0005-0000-0000-000021170000}"/>
    <cellStyle name="20% - Accent2 5 4 2 4 3" xfId="30020" xr:uid="{00000000-0005-0000-0000-000022170000}"/>
    <cellStyle name="20% - Accent2 5 4 2 5" xfId="13069" xr:uid="{00000000-0005-0000-0000-000023170000}"/>
    <cellStyle name="20% - Accent2 5 4 2 5 2" xfId="35671" xr:uid="{00000000-0005-0000-0000-000024170000}"/>
    <cellStyle name="20% - Accent2 5 4 2 6" xfId="24370" xr:uid="{00000000-0005-0000-0000-000025170000}"/>
    <cellStyle name="20% - Accent2 5 4 3" xfId="2493" xr:uid="{00000000-0005-0000-0000-000026170000}"/>
    <cellStyle name="20% - Accent2 5 4 3 2" xfId="5512" xr:uid="{00000000-0005-0000-0000-000027170000}"/>
    <cellStyle name="20% - Accent2 5 4 3 2 2" xfId="11162" xr:uid="{00000000-0005-0000-0000-000028170000}"/>
    <cellStyle name="20% - Accent2 5 4 3 2 2 2" xfId="22463" xr:uid="{00000000-0005-0000-0000-000029170000}"/>
    <cellStyle name="20% - Accent2 5 4 3 2 2 2 2" xfId="45065" xr:uid="{00000000-0005-0000-0000-00002A170000}"/>
    <cellStyle name="20% - Accent2 5 4 3 2 2 3" xfId="33764" xr:uid="{00000000-0005-0000-0000-00002B170000}"/>
    <cellStyle name="20% - Accent2 5 4 3 2 3" xfId="16813" xr:uid="{00000000-0005-0000-0000-00002C170000}"/>
    <cellStyle name="20% - Accent2 5 4 3 2 3 2" xfId="39415" xr:uid="{00000000-0005-0000-0000-00002D170000}"/>
    <cellStyle name="20% - Accent2 5 4 3 2 4" xfId="28114" xr:uid="{00000000-0005-0000-0000-00002E170000}"/>
    <cellStyle name="20% - Accent2 5 4 3 3" xfId="8329" xr:uid="{00000000-0005-0000-0000-00002F170000}"/>
    <cellStyle name="20% - Accent2 5 4 3 3 2" xfId="19630" xr:uid="{00000000-0005-0000-0000-000030170000}"/>
    <cellStyle name="20% - Accent2 5 4 3 3 2 2" xfId="42232" xr:uid="{00000000-0005-0000-0000-000031170000}"/>
    <cellStyle name="20% - Accent2 5 4 3 3 3" xfId="30931" xr:uid="{00000000-0005-0000-0000-000032170000}"/>
    <cellStyle name="20% - Accent2 5 4 3 4" xfId="13980" xr:uid="{00000000-0005-0000-0000-000033170000}"/>
    <cellStyle name="20% - Accent2 5 4 3 4 2" xfId="36582" xr:uid="{00000000-0005-0000-0000-000034170000}"/>
    <cellStyle name="20% - Accent2 5 4 3 5" xfId="25281" xr:uid="{00000000-0005-0000-0000-000035170000}"/>
    <cellStyle name="20% - Accent2 5 4 4" xfId="4278" xr:uid="{00000000-0005-0000-0000-000036170000}"/>
    <cellStyle name="20% - Accent2 5 4 4 2" xfId="9928" xr:uid="{00000000-0005-0000-0000-000037170000}"/>
    <cellStyle name="20% - Accent2 5 4 4 2 2" xfId="21229" xr:uid="{00000000-0005-0000-0000-000038170000}"/>
    <cellStyle name="20% - Accent2 5 4 4 2 2 2" xfId="43831" xr:uid="{00000000-0005-0000-0000-000039170000}"/>
    <cellStyle name="20% - Accent2 5 4 4 2 3" xfId="32530" xr:uid="{00000000-0005-0000-0000-00003A170000}"/>
    <cellStyle name="20% - Accent2 5 4 4 3" xfId="15579" xr:uid="{00000000-0005-0000-0000-00003B170000}"/>
    <cellStyle name="20% - Accent2 5 4 4 3 2" xfId="38181" xr:uid="{00000000-0005-0000-0000-00003C170000}"/>
    <cellStyle name="20% - Accent2 5 4 4 4" xfId="26880" xr:uid="{00000000-0005-0000-0000-00003D170000}"/>
    <cellStyle name="20% - Accent2 5 4 5" xfId="7075" xr:uid="{00000000-0005-0000-0000-00003E170000}"/>
    <cellStyle name="20% - Accent2 5 4 5 2" xfId="18376" xr:uid="{00000000-0005-0000-0000-00003F170000}"/>
    <cellStyle name="20% - Accent2 5 4 5 2 2" xfId="40978" xr:uid="{00000000-0005-0000-0000-000040170000}"/>
    <cellStyle name="20% - Accent2 5 4 5 3" xfId="29677" xr:uid="{00000000-0005-0000-0000-000041170000}"/>
    <cellStyle name="20% - Accent2 5 4 6" xfId="12726" xr:uid="{00000000-0005-0000-0000-000042170000}"/>
    <cellStyle name="20% - Accent2 5 4 6 2" xfId="35328" xr:uid="{00000000-0005-0000-0000-000043170000}"/>
    <cellStyle name="20% - Accent2 5 4 7" xfId="24027" xr:uid="{00000000-0005-0000-0000-000044170000}"/>
    <cellStyle name="20% - Accent2 5 5" xfId="775" xr:uid="{00000000-0005-0000-0000-000045170000}"/>
    <cellStyle name="20% - Accent2 5 5 2" xfId="2857" xr:uid="{00000000-0005-0000-0000-000046170000}"/>
    <cellStyle name="20% - Accent2 5 5 2 2" xfId="5829" xr:uid="{00000000-0005-0000-0000-000047170000}"/>
    <cellStyle name="20% - Accent2 5 5 2 2 2" xfId="11479" xr:uid="{00000000-0005-0000-0000-000048170000}"/>
    <cellStyle name="20% - Accent2 5 5 2 2 2 2" xfId="22780" xr:uid="{00000000-0005-0000-0000-000049170000}"/>
    <cellStyle name="20% - Accent2 5 5 2 2 2 2 2" xfId="45382" xr:uid="{00000000-0005-0000-0000-00004A170000}"/>
    <cellStyle name="20% - Accent2 5 5 2 2 2 3" xfId="34081" xr:uid="{00000000-0005-0000-0000-00004B170000}"/>
    <cellStyle name="20% - Accent2 5 5 2 2 3" xfId="17130" xr:uid="{00000000-0005-0000-0000-00004C170000}"/>
    <cellStyle name="20% - Accent2 5 5 2 2 3 2" xfId="39732" xr:uid="{00000000-0005-0000-0000-00004D170000}"/>
    <cellStyle name="20% - Accent2 5 5 2 2 4" xfId="28431" xr:uid="{00000000-0005-0000-0000-00004E170000}"/>
    <cellStyle name="20% - Accent2 5 5 2 3" xfId="8647" xr:uid="{00000000-0005-0000-0000-00004F170000}"/>
    <cellStyle name="20% - Accent2 5 5 2 3 2" xfId="19948" xr:uid="{00000000-0005-0000-0000-000050170000}"/>
    <cellStyle name="20% - Accent2 5 5 2 3 2 2" xfId="42550" xr:uid="{00000000-0005-0000-0000-000051170000}"/>
    <cellStyle name="20% - Accent2 5 5 2 3 3" xfId="31249" xr:uid="{00000000-0005-0000-0000-000052170000}"/>
    <cellStyle name="20% - Accent2 5 5 2 4" xfId="14298" xr:uid="{00000000-0005-0000-0000-000053170000}"/>
    <cellStyle name="20% - Accent2 5 5 2 4 2" xfId="36900" xr:uid="{00000000-0005-0000-0000-000054170000}"/>
    <cellStyle name="20% - Accent2 5 5 2 5" xfId="25599" xr:uid="{00000000-0005-0000-0000-000055170000}"/>
    <cellStyle name="20% - Accent2 5 5 3" xfId="4595" xr:uid="{00000000-0005-0000-0000-000056170000}"/>
    <cellStyle name="20% - Accent2 5 5 3 2" xfId="10245" xr:uid="{00000000-0005-0000-0000-000057170000}"/>
    <cellStyle name="20% - Accent2 5 5 3 2 2" xfId="21546" xr:uid="{00000000-0005-0000-0000-000058170000}"/>
    <cellStyle name="20% - Accent2 5 5 3 2 2 2" xfId="44148" xr:uid="{00000000-0005-0000-0000-000059170000}"/>
    <cellStyle name="20% - Accent2 5 5 3 2 3" xfId="32847" xr:uid="{00000000-0005-0000-0000-00005A170000}"/>
    <cellStyle name="20% - Accent2 5 5 3 3" xfId="15896" xr:uid="{00000000-0005-0000-0000-00005B170000}"/>
    <cellStyle name="20% - Accent2 5 5 3 3 2" xfId="38498" xr:uid="{00000000-0005-0000-0000-00005C170000}"/>
    <cellStyle name="20% - Accent2 5 5 3 4" xfId="27197" xr:uid="{00000000-0005-0000-0000-00005D170000}"/>
    <cellStyle name="20% - Accent2 5 5 4" xfId="6780" xr:uid="{00000000-0005-0000-0000-00005E170000}"/>
    <cellStyle name="20% - Accent2 5 5 4 2" xfId="18081" xr:uid="{00000000-0005-0000-0000-00005F170000}"/>
    <cellStyle name="20% - Accent2 5 5 4 2 2" xfId="40683" xr:uid="{00000000-0005-0000-0000-000060170000}"/>
    <cellStyle name="20% - Accent2 5 5 4 3" xfId="29382" xr:uid="{00000000-0005-0000-0000-000061170000}"/>
    <cellStyle name="20% - Accent2 5 5 5" xfId="12431" xr:uid="{00000000-0005-0000-0000-000062170000}"/>
    <cellStyle name="20% - Accent2 5 5 5 2" xfId="35033" xr:uid="{00000000-0005-0000-0000-000063170000}"/>
    <cellStyle name="20% - Accent2 5 5 6" xfId="23732" xr:uid="{00000000-0005-0000-0000-000064170000}"/>
    <cellStyle name="20% - Accent2 5 6" xfId="1555" xr:uid="{00000000-0005-0000-0000-000065170000}"/>
    <cellStyle name="20% - Accent2 5 6 2" xfId="3540" xr:uid="{00000000-0005-0000-0000-000066170000}"/>
    <cellStyle name="20% - Accent2 5 6 2 2" xfId="9254" xr:uid="{00000000-0005-0000-0000-000067170000}"/>
    <cellStyle name="20% - Accent2 5 6 2 2 2" xfId="20555" xr:uid="{00000000-0005-0000-0000-000068170000}"/>
    <cellStyle name="20% - Accent2 5 6 2 2 2 2" xfId="43157" xr:uid="{00000000-0005-0000-0000-000069170000}"/>
    <cellStyle name="20% - Accent2 5 6 2 2 3" xfId="31856" xr:uid="{00000000-0005-0000-0000-00006A170000}"/>
    <cellStyle name="20% - Accent2 5 6 2 3" xfId="14905" xr:uid="{00000000-0005-0000-0000-00006B170000}"/>
    <cellStyle name="20% - Accent2 5 6 2 3 2" xfId="37507" xr:uid="{00000000-0005-0000-0000-00006C170000}"/>
    <cellStyle name="20% - Accent2 5 6 2 4" xfId="26206" xr:uid="{00000000-0005-0000-0000-00006D170000}"/>
    <cellStyle name="20% - Accent2 5 6 3" xfId="5205" xr:uid="{00000000-0005-0000-0000-00006E170000}"/>
    <cellStyle name="20% - Accent2 5 6 3 2" xfId="10855" xr:uid="{00000000-0005-0000-0000-00006F170000}"/>
    <cellStyle name="20% - Accent2 5 6 3 2 2" xfId="22156" xr:uid="{00000000-0005-0000-0000-000070170000}"/>
    <cellStyle name="20% - Accent2 5 6 3 2 2 2" xfId="44758" xr:uid="{00000000-0005-0000-0000-000071170000}"/>
    <cellStyle name="20% - Accent2 5 6 3 2 3" xfId="33457" xr:uid="{00000000-0005-0000-0000-000072170000}"/>
    <cellStyle name="20% - Accent2 5 6 3 3" xfId="16506" xr:uid="{00000000-0005-0000-0000-000073170000}"/>
    <cellStyle name="20% - Accent2 5 6 3 3 2" xfId="39108" xr:uid="{00000000-0005-0000-0000-000074170000}"/>
    <cellStyle name="20% - Accent2 5 6 3 4" xfId="27807" xr:uid="{00000000-0005-0000-0000-000075170000}"/>
    <cellStyle name="20% - Accent2 5 6 4" xfId="7411" xr:uid="{00000000-0005-0000-0000-000076170000}"/>
    <cellStyle name="20% - Accent2 5 6 4 2" xfId="18712" xr:uid="{00000000-0005-0000-0000-000077170000}"/>
    <cellStyle name="20% - Accent2 5 6 4 2 2" xfId="41314" xr:uid="{00000000-0005-0000-0000-000078170000}"/>
    <cellStyle name="20% - Accent2 5 6 4 3" xfId="30013" xr:uid="{00000000-0005-0000-0000-000079170000}"/>
    <cellStyle name="20% - Accent2 5 6 5" xfId="13062" xr:uid="{00000000-0005-0000-0000-00007A170000}"/>
    <cellStyle name="20% - Accent2 5 6 5 2" xfId="35664" xr:uid="{00000000-0005-0000-0000-00007B170000}"/>
    <cellStyle name="20% - Accent2 5 6 6" xfId="24363" xr:uid="{00000000-0005-0000-0000-00007C170000}"/>
    <cellStyle name="20% - Accent2 5 7" xfId="2178" xr:uid="{00000000-0005-0000-0000-00007D170000}"/>
    <cellStyle name="20% - Accent2 5 7 2" xfId="8019" xr:uid="{00000000-0005-0000-0000-00007E170000}"/>
    <cellStyle name="20% - Accent2 5 7 2 2" xfId="19320" xr:uid="{00000000-0005-0000-0000-00007F170000}"/>
    <cellStyle name="20% - Accent2 5 7 2 2 2" xfId="41922" xr:uid="{00000000-0005-0000-0000-000080170000}"/>
    <cellStyle name="20% - Accent2 5 7 2 3" xfId="30621" xr:uid="{00000000-0005-0000-0000-000081170000}"/>
    <cellStyle name="20% - Accent2 5 7 3" xfId="13670" xr:uid="{00000000-0005-0000-0000-000082170000}"/>
    <cellStyle name="20% - Accent2 5 7 3 2" xfId="36272" xr:uid="{00000000-0005-0000-0000-000083170000}"/>
    <cellStyle name="20% - Accent2 5 7 4" xfId="24971" xr:uid="{00000000-0005-0000-0000-000084170000}"/>
    <cellStyle name="20% - Accent2 5 8" xfId="3971" xr:uid="{00000000-0005-0000-0000-000085170000}"/>
    <cellStyle name="20% - Accent2 5 8 2" xfId="9621" xr:uid="{00000000-0005-0000-0000-000086170000}"/>
    <cellStyle name="20% - Accent2 5 8 2 2" xfId="20922" xr:uid="{00000000-0005-0000-0000-000087170000}"/>
    <cellStyle name="20% - Accent2 5 8 2 2 2" xfId="43524" xr:uid="{00000000-0005-0000-0000-000088170000}"/>
    <cellStyle name="20% - Accent2 5 8 2 3" xfId="32223" xr:uid="{00000000-0005-0000-0000-000089170000}"/>
    <cellStyle name="20% - Accent2 5 8 3" xfId="15272" xr:uid="{00000000-0005-0000-0000-00008A170000}"/>
    <cellStyle name="20% - Accent2 5 8 3 2" xfId="37874" xr:uid="{00000000-0005-0000-0000-00008B170000}"/>
    <cellStyle name="20% - Accent2 5 8 4" xfId="26573" xr:uid="{00000000-0005-0000-0000-00008C170000}"/>
    <cellStyle name="20% - Accent2 5 9" xfId="6422" xr:uid="{00000000-0005-0000-0000-00008D170000}"/>
    <cellStyle name="20% - Accent2 5 9 2" xfId="17723" xr:uid="{00000000-0005-0000-0000-00008E170000}"/>
    <cellStyle name="20% - Accent2 5 9 2 2" xfId="40325" xr:uid="{00000000-0005-0000-0000-00008F170000}"/>
    <cellStyle name="20% - Accent2 5 9 3" xfId="29024" xr:uid="{00000000-0005-0000-0000-000090170000}"/>
    <cellStyle name="20% - Accent2 6" xfId="229" xr:uid="{00000000-0005-0000-0000-000091170000}"/>
    <cellStyle name="20% - Accent2 7" xfId="333" xr:uid="{00000000-0005-0000-0000-000092170000}"/>
    <cellStyle name="20% - Accent2 7 10" xfId="23428" xr:uid="{00000000-0005-0000-0000-000093170000}"/>
    <cellStyle name="20% - Accent2 7 2" xfId="578" xr:uid="{00000000-0005-0000-0000-000094170000}"/>
    <cellStyle name="20% - Accent2 7 2 2" xfId="1288" xr:uid="{00000000-0005-0000-0000-000095170000}"/>
    <cellStyle name="20% - Accent2 7 2 2 2" xfId="1565" xr:uid="{00000000-0005-0000-0000-000096170000}"/>
    <cellStyle name="20% - Accent2 7 2 2 2 2" xfId="3357" xr:uid="{00000000-0005-0000-0000-000097170000}"/>
    <cellStyle name="20% - Accent2 7 2 2 2 2 2" xfId="6329" xr:uid="{00000000-0005-0000-0000-000098170000}"/>
    <cellStyle name="20% - Accent2 7 2 2 2 2 2 2" xfId="11979" xr:uid="{00000000-0005-0000-0000-000099170000}"/>
    <cellStyle name="20% - Accent2 7 2 2 2 2 2 2 2" xfId="23280" xr:uid="{00000000-0005-0000-0000-00009A170000}"/>
    <cellStyle name="20% - Accent2 7 2 2 2 2 2 2 2 2" xfId="45882" xr:uid="{00000000-0005-0000-0000-00009B170000}"/>
    <cellStyle name="20% - Accent2 7 2 2 2 2 2 2 3" xfId="34581" xr:uid="{00000000-0005-0000-0000-00009C170000}"/>
    <cellStyle name="20% - Accent2 7 2 2 2 2 2 3" xfId="17630" xr:uid="{00000000-0005-0000-0000-00009D170000}"/>
    <cellStyle name="20% - Accent2 7 2 2 2 2 2 3 2" xfId="40232" xr:uid="{00000000-0005-0000-0000-00009E170000}"/>
    <cellStyle name="20% - Accent2 7 2 2 2 2 2 4" xfId="28931" xr:uid="{00000000-0005-0000-0000-00009F170000}"/>
    <cellStyle name="20% - Accent2 7 2 2 2 2 3" xfId="9147" xr:uid="{00000000-0005-0000-0000-0000A0170000}"/>
    <cellStyle name="20% - Accent2 7 2 2 2 2 3 2" xfId="20448" xr:uid="{00000000-0005-0000-0000-0000A1170000}"/>
    <cellStyle name="20% - Accent2 7 2 2 2 2 3 2 2" xfId="43050" xr:uid="{00000000-0005-0000-0000-0000A2170000}"/>
    <cellStyle name="20% - Accent2 7 2 2 2 2 3 3" xfId="31749" xr:uid="{00000000-0005-0000-0000-0000A3170000}"/>
    <cellStyle name="20% - Accent2 7 2 2 2 2 4" xfId="14798" xr:uid="{00000000-0005-0000-0000-0000A4170000}"/>
    <cellStyle name="20% - Accent2 7 2 2 2 2 4 2" xfId="37400" xr:uid="{00000000-0005-0000-0000-0000A5170000}"/>
    <cellStyle name="20% - Accent2 7 2 2 2 2 5" xfId="26099" xr:uid="{00000000-0005-0000-0000-0000A6170000}"/>
    <cellStyle name="20% - Accent2 7 2 2 2 3" xfId="5095" xr:uid="{00000000-0005-0000-0000-0000A7170000}"/>
    <cellStyle name="20% - Accent2 7 2 2 2 3 2" xfId="10745" xr:uid="{00000000-0005-0000-0000-0000A8170000}"/>
    <cellStyle name="20% - Accent2 7 2 2 2 3 2 2" xfId="22046" xr:uid="{00000000-0005-0000-0000-0000A9170000}"/>
    <cellStyle name="20% - Accent2 7 2 2 2 3 2 2 2" xfId="44648" xr:uid="{00000000-0005-0000-0000-0000AA170000}"/>
    <cellStyle name="20% - Accent2 7 2 2 2 3 2 3" xfId="33347" xr:uid="{00000000-0005-0000-0000-0000AB170000}"/>
    <cellStyle name="20% - Accent2 7 2 2 2 3 3" xfId="16396" xr:uid="{00000000-0005-0000-0000-0000AC170000}"/>
    <cellStyle name="20% - Accent2 7 2 2 2 3 3 2" xfId="38998" xr:uid="{00000000-0005-0000-0000-0000AD170000}"/>
    <cellStyle name="20% - Accent2 7 2 2 2 3 4" xfId="27697" xr:uid="{00000000-0005-0000-0000-0000AE170000}"/>
    <cellStyle name="20% - Accent2 7 2 2 2 4" xfId="7421" xr:uid="{00000000-0005-0000-0000-0000AF170000}"/>
    <cellStyle name="20% - Accent2 7 2 2 2 4 2" xfId="18722" xr:uid="{00000000-0005-0000-0000-0000B0170000}"/>
    <cellStyle name="20% - Accent2 7 2 2 2 4 2 2" xfId="41324" xr:uid="{00000000-0005-0000-0000-0000B1170000}"/>
    <cellStyle name="20% - Accent2 7 2 2 2 4 3" xfId="30023" xr:uid="{00000000-0005-0000-0000-0000B2170000}"/>
    <cellStyle name="20% - Accent2 7 2 2 2 5" xfId="13072" xr:uid="{00000000-0005-0000-0000-0000B3170000}"/>
    <cellStyle name="20% - Accent2 7 2 2 2 5 2" xfId="35674" xr:uid="{00000000-0005-0000-0000-0000B4170000}"/>
    <cellStyle name="20% - Accent2 7 2 2 2 6" xfId="24373" xr:uid="{00000000-0005-0000-0000-0000B5170000}"/>
    <cellStyle name="20% - Accent2 7 2 2 3" xfId="2686" xr:uid="{00000000-0005-0000-0000-0000B6170000}"/>
    <cellStyle name="20% - Accent2 7 2 2 3 2" xfId="5705" xr:uid="{00000000-0005-0000-0000-0000B7170000}"/>
    <cellStyle name="20% - Accent2 7 2 2 3 2 2" xfId="11355" xr:uid="{00000000-0005-0000-0000-0000B8170000}"/>
    <cellStyle name="20% - Accent2 7 2 2 3 2 2 2" xfId="22656" xr:uid="{00000000-0005-0000-0000-0000B9170000}"/>
    <cellStyle name="20% - Accent2 7 2 2 3 2 2 2 2" xfId="45258" xr:uid="{00000000-0005-0000-0000-0000BA170000}"/>
    <cellStyle name="20% - Accent2 7 2 2 3 2 2 3" xfId="33957" xr:uid="{00000000-0005-0000-0000-0000BB170000}"/>
    <cellStyle name="20% - Accent2 7 2 2 3 2 3" xfId="17006" xr:uid="{00000000-0005-0000-0000-0000BC170000}"/>
    <cellStyle name="20% - Accent2 7 2 2 3 2 3 2" xfId="39608" xr:uid="{00000000-0005-0000-0000-0000BD170000}"/>
    <cellStyle name="20% - Accent2 7 2 2 3 2 4" xfId="28307" xr:uid="{00000000-0005-0000-0000-0000BE170000}"/>
    <cellStyle name="20% - Accent2 7 2 2 3 3" xfId="8522" xr:uid="{00000000-0005-0000-0000-0000BF170000}"/>
    <cellStyle name="20% - Accent2 7 2 2 3 3 2" xfId="19823" xr:uid="{00000000-0005-0000-0000-0000C0170000}"/>
    <cellStyle name="20% - Accent2 7 2 2 3 3 2 2" xfId="42425" xr:uid="{00000000-0005-0000-0000-0000C1170000}"/>
    <cellStyle name="20% - Accent2 7 2 2 3 3 3" xfId="31124" xr:uid="{00000000-0005-0000-0000-0000C2170000}"/>
    <cellStyle name="20% - Accent2 7 2 2 3 4" xfId="14173" xr:uid="{00000000-0005-0000-0000-0000C3170000}"/>
    <cellStyle name="20% - Accent2 7 2 2 3 4 2" xfId="36775" xr:uid="{00000000-0005-0000-0000-0000C4170000}"/>
    <cellStyle name="20% - Accent2 7 2 2 3 5" xfId="25474" xr:uid="{00000000-0005-0000-0000-0000C5170000}"/>
    <cellStyle name="20% - Accent2 7 2 2 4" xfId="4471" xr:uid="{00000000-0005-0000-0000-0000C6170000}"/>
    <cellStyle name="20% - Accent2 7 2 2 4 2" xfId="10121" xr:uid="{00000000-0005-0000-0000-0000C7170000}"/>
    <cellStyle name="20% - Accent2 7 2 2 4 2 2" xfId="21422" xr:uid="{00000000-0005-0000-0000-0000C8170000}"/>
    <cellStyle name="20% - Accent2 7 2 2 4 2 2 2" xfId="44024" xr:uid="{00000000-0005-0000-0000-0000C9170000}"/>
    <cellStyle name="20% - Accent2 7 2 2 4 2 3" xfId="32723" xr:uid="{00000000-0005-0000-0000-0000CA170000}"/>
    <cellStyle name="20% - Accent2 7 2 2 4 3" xfId="15772" xr:uid="{00000000-0005-0000-0000-0000CB170000}"/>
    <cellStyle name="20% - Accent2 7 2 2 4 3 2" xfId="38374" xr:uid="{00000000-0005-0000-0000-0000CC170000}"/>
    <cellStyle name="20% - Accent2 7 2 2 4 4" xfId="27073" xr:uid="{00000000-0005-0000-0000-0000CD170000}"/>
    <cellStyle name="20% - Accent2 7 2 2 5" xfId="7267" xr:uid="{00000000-0005-0000-0000-0000CE170000}"/>
    <cellStyle name="20% - Accent2 7 2 2 5 2" xfId="18568" xr:uid="{00000000-0005-0000-0000-0000CF170000}"/>
    <cellStyle name="20% - Accent2 7 2 2 5 2 2" xfId="41170" xr:uid="{00000000-0005-0000-0000-0000D0170000}"/>
    <cellStyle name="20% - Accent2 7 2 2 5 3" xfId="29869" xr:uid="{00000000-0005-0000-0000-0000D1170000}"/>
    <cellStyle name="20% - Accent2 7 2 2 6" xfId="12918" xr:uid="{00000000-0005-0000-0000-0000D2170000}"/>
    <cellStyle name="20% - Accent2 7 2 2 6 2" xfId="35520" xr:uid="{00000000-0005-0000-0000-0000D3170000}"/>
    <cellStyle name="20% - Accent2 7 2 2 7" xfId="24219" xr:uid="{00000000-0005-0000-0000-0000D4170000}"/>
    <cellStyle name="20% - Accent2 7 2 3" xfId="986" xr:uid="{00000000-0005-0000-0000-0000D5170000}"/>
    <cellStyle name="20% - Accent2 7 2 3 2" xfId="3049" xr:uid="{00000000-0005-0000-0000-0000D6170000}"/>
    <cellStyle name="20% - Accent2 7 2 3 2 2" xfId="6021" xr:uid="{00000000-0005-0000-0000-0000D7170000}"/>
    <cellStyle name="20% - Accent2 7 2 3 2 2 2" xfId="11671" xr:uid="{00000000-0005-0000-0000-0000D8170000}"/>
    <cellStyle name="20% - Accent2 7 2 3 2 2 2 2" xfId="22972" xr:uid="{00000000-0005-0000-0000-0000D9170000}"/>
    <cellStyle name="20% - Accent2 7 2 3 2 2 2 2 2" xfId="45574" xr:uid="{00000000-0005-0000-0000-0000DA170000}"/>
    <cellStyle name="20% - Accent2 7 2 3 2 2 2 3" xfId="34273" xr:uid="{00000000-0005-0000-0000-0000DB170000}"/>
    <cellStyle name="20% - Accent2 7 2 3 2 2 3" xfId="17322" xr:uid="{00000000-0005-0000-0000-0000DC170000}"/>
    <cellStyle name="20% - Accent2 7 2 3 2 2 3 2" xfId="39924" xr:uid="{00000000-0005-0000-0000-0000DD170000}"/>
    <cellStyle name="20% - Accent2 7 2 3 2 2 4" xfId="28623" xr:uid="{00000000-0005-0000-0000-0000DE170000}"/>
    <cellStyle name="20% - Accent2 7 2 3 2 3" xfId="8839" xr:uid="{00000000-0005-0000-0000-0000DF170000}"/>
    <cellStyle name="20% - Accent2 7 2 3 2 3 2" xfId="20140" xr:uid="{00000000-0005-0000-0000-0000E0170000}"/>
    <cellStyle name="20% - Accent2 7 2 3 2 3 2 2" xfId="42742" xr:uid="{00000000-0005-0000-0000-0000E1170000}"/>
    <cellStyle name="20% - Accent2 7 2 3 2 3 3" xfId="31441" xr:uid="{00000000-0005-0000-0000-0000E2170000}"/>
    <cellStyle name="20% - Accent2 7 2 3 2 4" xfId="14490" xr:uid="{00000000-0005-0000-0000-0000E3170000}"/>
    <cellStyle name="20% - Accent2 7 2 3 2 4 2" xfId="37092" xr:uid="{00000000-0005-0000-0000-0000E4170000}"/>
    <cellStyle name="20% - Accent2 7 2 3 2 5" xfId="25791" xr:uid="{00000000-0005-0000-0000-0000E5170000}"/>
    <cellStyle name="20% - Accent2 7 2 3 3" xfId="4787" xr:uid="{00000000-0005-0000-0000-0000E6170000}"/>
    <cellStyle name="20% - Accent2 7 2 3 3 2" xfId="10437" xr:uid="{00000000-0005-0000-0000-0000E7170000}"/>
    <cellStyle name="20% - Accent2 7 2 3 3 2 2" xfId="21738" xr:uid="{00000000-0005-0000-0000-0000E8170000}"/>
    <cellStyle name="20% - Accent2 7 2 3 3 2 2 2" xfId="44340" xr:uid="{00000000-0005-0000-0000-0000E9170000}"/>
    <cellStyle name="20% - Accent2 7 2 3 3 2 3" xfId="33039" xr:uid="{00000000-0005-0000-0000-0000EA170000}"/>
    <cellStyle name="20% - Accent2 7 2 3 3 3" xfId="16088" xr:uid="{00000000-0005-0000-0000-0000EB170000}"/>
    <cellStyle name="20% - Accent2 7 2 3 3 3 2" xfId="38690" xr:uid="{00000000-0005-0000-0000-0000EC170000}"/>
    <cellStyle name="20% - Accent2 7 2 3 3 4" xfId="27389" xr:uid="{00000000-0005-0000-0000-0000ED170000}"/>
    <cellStyle name="20% - Accent2 7 2 3 4" xfId="6974" xr:uid="{00000000-0005-0000-0000-0000EE170000}"/>
    <cellStyle name="20% - Accent2 7 2 3 4 2" xfId="18275" xr:uid="{00000000-0005-0000-0000-0000EF170000}"/>
    <cellStyle name="20% - Accent2 7 2 3 4 2 2" xfId="40877" xr:uid="{00000000-0005-0000-0000-0000F0170000}"/>
    <cellStyle name="20% - Accent2 7 2 3 4 3" xfId="29576" xr:uid="{00000000-0005-0000-0000-0000F1170000}"/>
    <cellStyle name="20% - Accent2 7 2 3 5" xfId="12625" xr:uid="{00000000-0005-0000-0000-0000F2170000}"/>
    <cellStyle name="20% - Accent2 7 2 3 5 2" xfId="35227" xr:uid="{00000000-0005-0000-0000-0000F3170000}"/>
    <cellStyle name="20% - Accent2 7 2 3 6" xfId="23926" xr:uid="{00000000-0005-0000-0000-0000F4170000}"/>
    <cellStyle name="20% - Accent2 7 2 4" xfId="1564" xr:uid="{00000000-0005-0000-0000-0000F5170000}"/>
    <cellStyle name="20% - Accent2 7 2 4 2" xfId="3545" xr:uid="{00000000-0005-0000-0000-0000F6170000}"/>
    <cellStyle name="20% - Accent2 7 2 4 2 2" xfId="9259" xr:uid="{00000000-0005-0000-0000-0000F7170000}"/>
    <cellStyle name="20% - Accent2 7 2 4 2 2 2" xfId="20560" xr:uid="{00000000-0005-0000-0000-0000F8170000}"/>
    <cellStyle name="20% - Accent2 7 2 4 2 2 2 2" xfId="43162" xr:uid="{00000000-0005-0000-0000-0000F9170000}"/>
    <cellStyle name="20% - Accent2 7 2 4 2 2 3" xfId="31861" xr:uid="{00000000-0005-0000-0000-0000FA170000}"/>
    <cellStyle name="20% - Accent2 7 2 4 2 3" xfId="14910" xr:uid="{00000000-0005-0000-0000-0000FB170000}"/>
    <cellStyle name="20% - Accent2 7 2 4 2 3 2" xfId="37512" xr:uid="{00000000-0005-0000-0000-0000FC170000}"/>
    <cellStyle name="20% - Accent2 7 2 4 2 4" xfId="26211" xr:uid="{00000000-0005-0000-0000-0000FD170000}"/>
    <cellStyle name="20% - Accent2 7 2 4 3" xfId="5397" xr:uid="{00000000-0005-0000-0000-0000FE170000}"/>
    <cellStyle name="20% - Accent2 7 2 4 3 2" xfId="11047" xr:uid="{00000000-0005-0000-0000-0000FF170000}"/>
    <cellStyle name="20% - Accent2 7 2 4 3 2 2" xfId="22348" xr:uid="{00000000-0005-0000-0000-000000180000}"/>
    <cellStyle name="20% - Accent2 7 2 4 3 2 2 2" xfId="44950" xr:uid="{00000000-0005-0000-0000-000001180000}"/>
    <cellStyle name="20% - Accent2 7 2 4 3 2 3" xfId="33649" xr:uid="{00000000-0005-0000-0000-000002180000}"/>
    <cellStyle name="20% - Accent2 7 2 4 3 3" xfId="16698" xr:uid="{00000000-0005-0000-0000-000003180000}"/>
    <cellStyle name="20% - Accent2 7 2 4 3 3 2" xfId="39300" xr:uid="{00000000-0005-0000-0000-000004180000}"/>
    <cellStyle name="20% - Accent2 7 2 4 3 4" xfId="27999" xr:uid="{00000000-0005-0000-0000-000005180000}"/>
    <cellStyle name="20% - Accent2 7 2 4 4" xfId="7420" xr:uid="{00000000-0005-0000-0000-000006180000}"/>
    <cellStyle name="20% - Accent2 7 2 4 4 2" xfId="18721" xr:uid="{00000000-0005-0000-0000-000007180000}"/>
    <cellStyle name="20% - Accent2 7 2 4 4 2 2" xfId="41323" xr:uid="{00000000-0005-0000-0000-000008180000}"/>
    <cellStyle name="20% - Accent2 7 2 4 4 3" xfId="30022" xr:uid="{00000000-0005-0000-0000-000009180000}"/>
    <cellStyle name="20% - Accent2 7 2 4 5" xfId="13071" xr:uid="{00000000-0005-0000-0000-00000A180000}"/>
    <cellStyle name="20% - Accent2 7 2 4 5 2" xfId="35673" xr:uid="{00000000-0005-0000-0000-00000B180000}"/>
    <cellStyle name="20% - Accent2 7 2 4 6" xfId="24372" xr:uid="{00000000-0005-0000-0000-00000C180000}"/>
    <cellStyle name="20% - Accent2 7 2 5" xfId="2378" xr:uid="{00000000-0005-0000-0000-00000D180000}"/>
    <cellStyle name="20% - Accent2 7 2 5 2" xfId="8214" xr:uid="{00000000-0005-0000-0000-00000E180000}"/>
    <cellStyle name="20% - Accent2 7 2 5 2 2" xfId="19515" xr:uid="{00000000-0005-0000-0000-00000F180000}"/>
    <cellStyle name="20% - Accent2 7 2 5 2 2 2" xfId="42117" xr:uid="{00000000-0005-0000-0000-000010180000}"/>
    <cellStyle name="20% - Accent2 7 2 5 2 3" xfId="30816" xr:uid="{00000000-0005-0000-0000-000011180000}"/>
    <cellStyle name="20% - Accent2 7 2 5 3" xfId="13865" xr:uid="{00000000-0005-0000-0000-000012180000}"/>
    <cellStyle name="20% - Accent2 7 2 5 3 2" xfId="36467" xr:uid="{00000000-0005-0000-0000-000013180000}"/>
    <cellStyle name="20% - Accent2 7 2 5 4" xfId="25166" xr:uid="{00000000-0005-0000-0000-000014180000}"/>
    <cellStyle name="20% - Accent2 7 2 6" xfId="4163" xr:uid="{00000000-0005-0000-0000-000015180000}"/>
    <cellStyle name="20% - Accent2 7 2 6 2" xfId="9813" xr:uid="{00000000-0005-0000-0000-000016180000}"/>
    <cellStyle name="20% - Accent2 7 2 6 2 2" xfId="21114" xr:uid="{00000000-0005-0000-0000-000017180000}"/>
    <cellStyle name="20% - Accent2 7 2 6 2 2 2" xfId="43716" xr:uid="{00000000-0005-0000-0000-000018180000}"/>
    <cellStyle name="20% - Accent2 7 2 6 2 3" xfId="32415" xr:uid="{00000000-0005-0000-0000-000019180000}"/>
    <cellStyle name="20% - Accent2 7 2 6 3" xfId="15464" xr:uid="{00000000-0005-0000-0000-00001A180000}"/>
    <cellStyle name="20% - Accent2 7 2 6 3 2" xfId="38066" xr:uid="{00000000-0005-0000-0000-00001B180000}"/>
    <cellStyle name="20% - Accent2 7 2 6 4" xfId="26765" xr:uid="{00000000-0005-0000-0000-00001C180000}"/>
    <cellStyle name="20% - Accent2 7 2 7" xfId="6643" xr:uid="{00000000-0005-0000-0000-00001D180000}"/>
    <cellStyle name="20% - Accent2 7 2 7 2" xfId="17944" xr:uid="{00000000-0005-0000-0000-00001E180000}"/>
    <cellStyle name="20% - Accent2 7 2 7 2 2" xfId="40546" xr:uid="{00000000-0005-0000-0000-00001F180000}"/>
    <cellStyle name="20% - Accent2 7 2 7 3" xfId="29245" xr:uid="{00000000-0005-0000-0000-000020180000}"/>
    <cellStyle name="20% - Accent2 7 2 8" xfId="12294" xr:uid="{00000000-0005-0000-0000-000021180000}"/>
    <cellStyle name="20% - Accent2 7 2 8 2" xfId="34896" xr:uid="{00000000-0005-0000-0000-000022180000}"/>
    <cellStyle name="20% - Accent2 7 2 9" xfId="23595" xr:uid="{00000000-0005-0000-0000-000023180000}"/>
    <cellStyle name="20% - Accent2 7 3" xfId="1150" xr:uid="{00000000-0005-0000-0000-000024180000}"/>
    <cellStyle name="20% - Accent2 7 3 2" xfId="1566" xr:uid="{00000000-0005-0000-0000-000025180000}"/>
    <cellStyle name="20% - Accent2 7 3 2 2" xfId="3218" xr:uid="{00000000-0005-0000-0000-000026180000}"/>
    <cellStyle name="20% - Accent2 7 3 2 2 2" xfId="6190" xr:uid="{00000000-0005-0000-0000-000027180000}"/>
    <cellStyle name="20% - Accent2 7 3 2 2 2 2" xfId="11840" xr:uid="{00000000-0005-0000-0000-000028180000}"/>
    <cellStyle name="20% - Accent2 7 3 2 2 2 2 2" xfId="23141" xr:uid="{00000000-0005-0000-0000-000029180000}"/>
    <cellStyle name="20% - Accent2 7 3 2 2 2 2 2 2" xfId="45743" xr:uid="{00000000-0005-0000-0000-00002A180000}"/>
    <cellStyle name="20% - Accent2 7 3 2 2 2 2 3" xfId="34442" xr:uid="{00000000-0005-0000-0000-00002B180000}"/>
    <cellStyle name="20% - Accent2 7 3 2 2 2 3" xfId="17491" xr:uid="{00000000-0005-0000-0000-00002C180000}"/>
    <cellStyle name="20% - Accent2 7 3 2 2 2 3 2" xfId="40093" xr:uid="{00000000-0005-0000-0000-00002D180000}"/>
    <cellStyle name="20% - Accent2 7 3 2 2 2 4" xfId="28792" xr:uid="{00000000-0005-0000-0000-00002E180000}"/>
    <cellStyle name="20% - Accent2 7 3 2 2 3" xfId="9008" xr:uid="{00000000-0005-0000-0000-00002F180000}"/>
    <cellStyle name="20% - Accent2 7 3 2 2 3 2" xfId="20309" xr:uid="{00000000-0005-0000-0000-000030180000}"/>
    <cellStyle name="20% - Accent2 7 3 2 2 3 2 2" xfId="42911" xr:uid="{00000000-0005-0000-0000-000031180000}"/>
    <cellStyle name="20% - Accent2 7 3 2 2 3 3" xfId="31610" xr:uid="{00000000-0005-0000-0000-000032180000}"/>
    <cellStyle name="20% - Accent2 7 3 2 2 4" xfId="14659" xr:uid="{00000000-0005-0000-0000-000033180000}"/>
    <cellStyle name="20% - Accent2 7 3 2 2 4 2" xfId="37261" xr:uid="{00000000-0005-0000-0000-000034180000}"/>
    <cellStyle name="20% - Accent2 7 3 2 2 5" xfId="25960" xr:uid="{00000000-0005-0000-0000-000035180000}"/>
    <cellStyle name="20% - Accent2 7 3 2 3" xfId="4956" xr:uid="{00000000-0005-0000-0000-000036180000}"/>
    <cellStyle name="20% - Accent2 7 3 2 3 2" xfId="10606" xr:uid="{00000000-0005-0000-0000-000037180000}"/>
    <cellStyle name="20% - Accent2 7 3 2 3 2 2" xfId="21907" xr:uid="{00000000-0005-0000-0000-000038180000}"/>
    <cellStyle name="20% - Accent2 7 3 2 3 2 2 2" xfId="44509" xr:uid="{00000000-0005-0000-0000-000039180000}"/>
    <cellStyle name="20% - Accent2 7 3 2 3 2 3" xfId="33208" xr:uid="{00000000-0005-0000-0000-00003A180000}"/>
    <cellStyle name="20% - Accent2 7 3 2 3 3" xfId="16257" xr:uid="{00000000-0005-0000-0000-00003B180000}"/>
    <cellStyle name="20% - Accent2 7 3 2 3 3 2" xfId="38859" xr:uid="{00000000-0005-0000-0000-00003C180000}"/>
    <cellStyle name="20% - Accent2 7 3 2 3 4" xfId="27558" xr:uid="{00000000-0005-0000-0000-00003D180000}"/>
    <cellStyle name="20% - Accent2 7 3 2 4" xfId="7422" xr:uid="{00000000-0005-0000-0000-00003E180000}"/>
    <cellStyle name="20% - Accent2 7 3 2 4 2" xfId="18723" xr:uid="{00000000-0005-0000-0000-00003F180000}"/>
    <cellStyle name="20% - Accent2 7 3 2 4 2 2" xfId="41325" xr:uid="{00000000-0005-0000-0000-000040180000}"/>
    <cellStyle name="20% - Accent2 7 3 2 4 3" xfId="30024" xr:uid="{00000000-0005-0000-0000-000041180000}"/>
    <cellStyle name="20% - Accent2 7 3 2 5" xfId="13073" xr:uid="{00000000-0005-0000-0000-000042180000}"/>
    <cellStyle name="20% - Accent2 7 3 2 5 2" xfId="35675" xr:uid="{00000000-0005-0000-0000-000043180000}"/>
    <cellStyle name="20% - Accent2 7 3 2 6" xfId="24374" xr:uid="{00000000-0005-0000-0000-000044180000}"/>
    <cellStyle name="20% - Accent2 7 3 3" xfId="2547" xr:uid="{00000000-0005-0000-0000-000045180000}"/>
    <cellStyle name="20% - Accent2 7 3 3 2" xfId="5566" xr:uid="{00000000-0005-0000-0000-000046180000}"/>
    <cellStyle name="20% - Accent2 7 3 3 2 2" xfId="11216" xr:uid="{00000000-0005-0000-0000-000047180000}"/>
    <cellStyle name="20% - Accent2 7 3 3 2 2 2" xfId="22517" xr:uid="{00000000-0005-0000-0000-000048180000}"/>
    <cellStyle name="20% - Accent2 7 3 3 2 2 2 2" xfId="45119" xr:uid="{00000000-0005-0000-0000-000049180000}"/>
    <cellStyle name="20% - Accent2 7 3 3 2 2 3" xfId="33818" xr:uid="{00000000-0005-0000-0000-00004A180000}"/>
    <cellStyle name="20% - Accent2 7 3 3 2 3" xfId="16867" xr:uid="{00000000-0005-0000-0000-00004B180000}"/>
    <cellStyle name="20% - Accent2 7 3 3 2 3 2" xfId="39469" xr:uid="{00000000-0005-0000-0000-00004C180000}"/>
    <cellStyle name="20% - Accent2 7 3 3 2 4" xfId="28168" xr:uid="{00000000-0005-0000-0000-00004D180000}"/>
    <cellStyle name="20% - Accent2 7 3 3 3" xfId="8383" xr:uid="{00000000-0005-0000-0000-00004E180000}"/>
    <cellStyle name="20% - Accent2 7 3 3 3 2" xfId="19684" xr:uid="{00000000-0005-0000-0000-00004F180000}"/>
    <cellStyle name="20% - Accent2 7 3 3 3 2 2" xfId="42286" xr:uid="{00000000-0005-0000-0000-000050180000}"/>
    <cellStyle name="20% - Accent2 7 3 3 3 3" xfId="30985" xr:uid="{00000000-0005-0000-0000-000051180000}"/>
    <cellStyle name="20% - Accent2 7 3 3 4" xfId="14034" xr:uid="{00000000-0005-0000-0000-000052180000}"/>
    <cellStyle name="20% - Accent2 7 3 3 4 2" xfId="36636" xr:uid="{00000000-0005-0000-0000-000053180000}"/>
    <cellStyle name="20% - Accent2 7 3 3 5" xfId="25335" xr:uid="{00000000-0005-0000-0000-000054180000}"/>
    <cellStyle name="20% - Accent2 7 3 4" xfId="4332" xr:uid="{00000000-0005-0000-0000-000055180000}"/>
    <cellStyle name="20% - Accent2 7 3 4 2" xfId="9982" xr:uid="{00000000-0005-0000-0000-000056180000}"/>
    <cellStyle name="20% - Accent2 7 3 4 2 2" xfId="21283" xr:uid="{00000000-0005-0000-0000-000057180000}"/>
    <cellStyle name="20% - Accent2 7 3 4 2 2 2" xfId="43885" xr:uid="{00000000-0005-0000-0000-000058180000}"/>
    <cellStyle name="20% - Accent2 7 3 4 2 3" xfId="32584" xr:uid="{00000000-0005-0000-0000-000059180000}"/>
    <cellStyle name="20% - Accent2 7 3 4 3" xfId="15633" xr:uid="{00000000-0005-0000-0000-00005A180000}"/>
    <cellStyle name="20% - Accent2 7 3 4 3 2" xfId="38235" xr:uid="{00000000-0005-0000-0000-00005B180000}"/>
    <cellStyle name="20% - Accent2 7 3 4 4" xfId="26934" xr:uid="{00000000-0005-0000-0000-00005C180000}"/>
    <cellStyle name="20% - Accent2 7 3 5" xfId="7129" xr:uid="{00000000-0005-0000-0000-00005D180000}"/>
    <cellStyle name="20% - Accent2 7 3 5 2" xfId="18430" xr:uid="{00000000-0005-0000-0000-00005E180000}"/>
    <cellStyle name="20% - Accent2 7 3 5 2 2" xfId="41032" xr:uid="{00000000-0005-0000-0000-00005F180000}"/>
    <cellStyle name="20% - Accent2 7 3 5 3" xfId="29731" xr:uid="{00000000-0005-0000-0000-000060180000}"/>
    <cellStyle name="20% - Accent2 7 3 6" xfId="12780" xr:uid="{00000000-0005-0000-0000-000061180000}"/>
    <cellStyle name="20% - Accent2 7 3 6 2" xfId="35382" xr:uid="{00000000-0005-0000-0000-000062180000}"/>
    <cellStyle name="20% - Accent2 7 3 7" xfId="24081" xr:uid="{00000000-0005-0000-0000-000063180000}"/>
    <cellStyle name="20% - Accent2 7 4" xfId="841" xr:uid="{00000000-0005-0000-0000-000064180000}"/>
    <cellStyle name="20% - Accent2 7 4 2" xfId="2911" xr:uid="{00000000-0005-0000-0000-000065180000}"/>
    <cellStyle name="20% - Accent2 7 4 2 2" xfId="5883" xr:uid="{00000000-0005-0000-0000-000066180000}"/>
    <cellStyle name="20% - Accent2 7 4 2 2 2" xfId="11533" xr:uid="{00000000-0005-0000-0000-000067180000}"/>
    <cellStyle name="20% - Accent2 7 4 2 2 2 2" xfId="22834" xr:uid="{00000000-0005-0000-0000-000068180000}"/>
    <cellStyle name="20% - Accent2 7 4 2 2 2 2 2" xfId="45436" xr:uid="{00000000-0005-0000-0000-000069180000}"/>
    <cellStyle name="20% - Accent2 7 4 2 2 2 3" xfId="34135" xr:uid="{00000000-0005-0000-0000-00006A180000}"/>
    <cellStyle name="20% - Accent2 7 4 2 2 3" xfId="17184" xr:uid="{00000000-0005-0000-0000-00006B180000}"/>
    <cellStyle name="20% - Accent2 7 4 2 2 3 2" xfId="39786" xr:uid="{00000000-0005-0000-0000-00006C180000}"/>
    <cellStyle name="20% - Accent2 7 4 2 2 4" xfId="28485" xr:uid="{00000000-0005-0000-0000-00006D180000}"/>
    <cellStyle name="20% - Accent2 7 4 2 3" xfId="8701" xr:uid="{00000000-0005-0000-0000-00006E180000}"/>
    <cellStyle name="20% - Accent2 7 4 2 3 2" xfId="20002" xr:uid="{00000000-0005-0000-0000-00006F180000}"/>
    <cellStyle name="20% - Accent2 7 4 2 3 2 2" xfId="42604" xr:uid="{00000000-0005-0000-0000-000070180000}"/>
    <cellStyle name="20% - Accent2 7 4 2 3 3" xfId="31303" xr:uid="{00000000-0005-0000-0000-000071180000}"/>
    <cellStyle name="20% - Accent2 7 4 2 4" xfId="14352" xr:uid="{00000000-0005-0000-0000-000072180000}"/>
    <cellStyle name="20% - Accent2 7 4 2 4 2" xfId="36954" xr:uid="{00000000-0005-0000-0000-000073180000}"/>
    <cellStyle name="20% - Accent2 7 4 2 5" xfId="25653" xr:uid="{00000000-0005-0000-0000-000074180000}"/>
    <cellStyle name="20% - Accent2 7 4 3" xfId="4649" xr:uid="{00000000-0005-0000-0000-000075180000}"/>
    <cellStyle name="20% - Accent2 7 4 3 2" xfId="10299" xr:uid="{00000000-0005-0000-0000-000076180000}"/>
    <cellStyle name="20% - Accent2 7 4 3 2 2" xfId="21600" xr:uid="{00000000-0005-0000-0000-000077180000}"/>
    <cellStyle name="20% - Accent2 7 4 3 2 2 2" xfId="44202" xr:uid="{00000000-0005-0000-0000-000078180000}"/>
    <cellStyle name="20% - Accent2 7 4 3 2 3" xfId="32901" xr:uid="{00000000-0005-0000-0000-000079180000}"/>
    <cellStyle name="20% - Accent2 7 4 3 3" xfId="15950" xr:uid="{00000000-0005-0000-0000-00007A180000}"/>
    <cellStyle name="20% - Accent2 7 4 3 3 2" xfId="38552" xr:uid="{00000000-0005-0000-0000-00007B180000}"/>
    <cellStyle name="20% - Accent2 7 4 3 4" xfId="27251" xr:uid="{00000000-0005-0000-0000-00007C180000}"/>
    <cellStyle name="20% - Accent2 7 4 4" xfId="6836" xr:uid="{00000000-0005-0000-0000-00007D180000}"/>
    <cellStyle name="20% - Accent2 7 4 4 2" xfId="18137" xr:uid="{00000000-0005-0000-0000-00007E180000}"/>
    <cellStyle name="20% - Accent2 7 4 4 2 2" xfId="40739" xr:uid="{00000000-0005-0000-0000-00007F180000}"/>
    <cellStyle name="20% - Accent2 7 4 4 3" xfId="29438" xr:uid="{00000000-0005-0000-0000-000080180000}"/>
    <cellStyle name="20% - Accent2 7 4 5" xfId="12487" xr:uid="{00000000-0005-0000-0000-000081180000}"/>
    <cellStyle name="20% - Accent2 7 4 5 2" xfId="35089" xr:uid="{00000000-0005-0000-0000-000082180000}"/>
    <cellStyle name="20% - Accent2 7 4 6" xfId="23788" xr:uid="{00000000-0005-0000-0000-000083180000}"/>
    <cellStyle name="20% - Accent2 7 5" xfId="1563" xr:uid="{00000000-0005-0000-0000-000084180000}"/>
    <cellStyle name="20% - Accent2 7 5 2" xfId="3544" xr:uid="{00000000-0005-0000-0000-000085180000}"/>
    <cellStyle name="20% - Accent2 7 5 2 2" xfId="9258" xr:uid="{00000000-0005-0000-0000-000086180000}"/>
    <cellStyle name="20% - Accent2 7 5 2 2 2" xfId="20559" xr:uid="{00000000-0005-0000-0000-000087180000}"/>
    <cellStyle name="20% - Accent2 7 5 2 2 2 2" xfId="43161" xr:uid="{00000000-0005-0000-0000-000088180000}"/>
    <cellStyle name="20% - Accent2 7 5 2 2 3" xfId="31860" xr:uid="{00000000-0005-0000-0000-000089180000}"/>
    <cellStyle name="20% - Accent2 7 5 2 3" xfId="14909" xr:uid="{00000000-0005-0000-0000-00008A180000}"/>
    <cellStyle name="20% - Accent2 7 5 2 3 2" xfId="37511" xr:uid="{00000000-0005-0000-0000-00008B180000}"/>
    <cellStyle name="20% - Accent2 7 5 2 4" xfId="26210" xr:uid="{00000000-0005-0000-0000-00008C180000}"/>
    <cellStyle name="20% - Accent2 7 5 3" xfId="5259" xr:uid="{00000000-0005-0000-0000-00008D180000}"/>
    <cellStyle name="20% - Accent2 7 5 3 2" xfId="10909" xr:uid="{00000000-0005-0000-0000-00008E180000}"/>
    <cellStyle name="20% - Accent2 7 5 3 2 2" xfId="22210" xr:uid="{00000000-0005-0000-0000-00008F180000}"/>
    <cellStyle name="20% - Accent2 7 5 3 2 2 2" xfId="44812" xr:uid="{00000000-0005-0000-0000-000090180000}"/>
    <cellStyle name="20% - Accent2 7 5 3 2 3" xfId="33511" xr:uid="{00000000-0005-0000-0000-000091180000}"/>
    <cellStyle name="20% - Accent2 7 5 3 3" xfId="16560" xr:uid="{00000000-0005-0000-0000-000092180000}"/>
    <cellStyle name="20% - Accent2 7 5 3 3 2" xfId="39162" xr:uid="{00000000-0005-0000-0000-000093180000}"/>
    <cellStyle name="20% - Accent2 7 5 3 4" xfId="27861" xr:uid="{00000000-0005-0000-0000-000094180000}"/>
    <cellStyle name="20% - Accent2 7 5 4" xfId="7419" xr:uid="{00000000-0005-0000-0000-000095180000}"/>
    <cellStyle name="20% - Accent2 7 5 4 2" xfId="18720" xr:uid="{00000000-0005-0000-0000-000096180000}"/>
    <cellStyle name="20% - Accent2 7 5 4 2 2" xfId="41322" xr:uid="{00000000-0005-0000-0000-000097180000}"/>
    <cellStyle name="20% - Accent2 7 5 4 3" xfId="30021" xr:uid="{00000000-0005-0000-0000-000098180000}"/>
    <cellStyle name="20% - Accent2 7 5 5" xfId="13070" xr:uid="{00000000-0005-0000-0000-000099180000}"/>
    <cellStyle name="20% - Accent2 7 5 5 2" xfId="35672" xr:uid="{00000000-0005-0000-0000-00009A180000}"/>
    <cellStyle name="20% - Accent2 7 5 6" xfId="24371" xr:uid="{00000000-0005-0000-0000-00009B180000}"/>
    <cellStyle name="20% - Accent2 7 6" xfId="2238" xr:uid="{00000000-0005-0000-0000-00009C180000}"/>
    <cellStyle name="20% - Accent2 7 6 2" xfId="8074" xr:uid="{00000000-0005-0000-0000-00009D180000}"/>
    <cellStyle name="20% - Accent2 7 6 2 2" xfId="19375" xr:uid="{00000000-0005-0000-0000-00009E180000}"/>
    <cellStyle name="20% - Accent2 7 6 2 2 2" xfId="41977" xr:uid="{00000000-0005-0000-0000-00009F180000}"/>
    <cellStyle name="20% - Accent2 7 6 2 3" xfId="30676" xr:uid="{00000000-0005-0000-0000-0000A0180000}"/>
    <cellStyle name="20% - Accent2 7 6 3" xfId="13725" xr:uid="{00000000-0005-0000-0000-0000A1180000}"/>
    <cellStyle name="20% - Accent2 7 6 3 2" xfId="36327" xr:uid="{00000000-0005-0000-0000-0000A2180000}"/>
    <cellStyle name="20% - Accent2 7 6 4" xfId="25026" xr:uid="{00000000-0005-0000-0000-0000A3180000}"/>
    <cellStyle name="20% - Accent2 7 7" xfId="4025" xr:uid="{00000000-0005-0000-0000-0000A4180000}"/>
    <cellStyle name="20% - Accent2 7 7 2" xfId="9675" xr:uid="{00000000-0005-0000-0000-0000A5180000}"/>
    <cellStyle name="20% - Accent2 7 7 2 2" xfId="20976" xr:uid="{00000000-0005-0000-0000-0000A6180000}"/>
    <cellStyle name="20% - Accent2 7 7 2 2 2" xfId="43578" xr:uid="{00000000-0005-0000-0000-0000A7180000}"/>
    <cellStyle name="20% - Accent2 7 7 2 3" xfId="32277" xr:uid="{00000000-0005-0000-0000-0000A8180000}"/>
    <cellStyle name="20% - Accent2 7 7 3" xfId="15326" xr:uid="{00000000-0005-0000-0000-0000A9180000}"/>
    <cellStyle name="20% - Accent2 7 7 3 2" xfId="37928" xr:uid="{00000000-0005-0000-0000-0000AA180000}"/>
    <cellStyle name="20% - Accent2 7 7 4" xfId="26627" xr:uid="{00000000-0005-0000-0000-0000AB180000}"/>
    <cellStyle name="20% - Accent2 7 8" xfId="6476" xr:uid="{00000000-0005-0000-0000-0000AC180000}"/>
    <cellStyle name="20% - Accent2 7 8 2" xfId="17777" xr:uid="{00000000-0005-0000-0000-0000AD180000}"/>
    <cellStyle name="20% - Accent2 7 8 2 2" xfId="40379" xr:uid="{00000000-0005-0000-0000-0000AE180000}"/>
    <cellStyle name="20% - Accent2 7 8 3" xfId="29078" xr:uid="{00000000-0005-0000-0000-0000AF180000}"/>
    <cellStyle name="20% - Accent2 7 9" xfId="12127" xr:uid="{00000000-0005-0000-0000-0000B0180000}"/>
    <cellStyle name="20% - Accent2 7 9 2" xfId="34729" xr:uid="{00000000-0005-0000-0000-0000B1180000}"/>
    <cellStyle name="20% - Accent2 8" xfId="436" xr:uid="{00000000-0005-0000-0000-0000B2180000}"/>
    <cellStyle name="20% - Accent2 8 2" xfId="1207" xr:uid="{00000000-0005-0000-0000-0000B3180000}"/>
    <cellStyle name="20% - Accent2 8 2 2" xfId="1568" xr:uid="{00000000-0005-0000-0000-0000B4180000}"/>
    <cellStyle name="20% - Accent2 8 2 2 2" xfId="3276" xr:uid="{00000000-0005-0000-0000-0000B5180000}"/>
    <cellStyle name="20% - Accent2 8 2 2 2 2" xfId="6248" xr:uid="{00000000-0005-0000-0000-0000B6180000}"/>
    <cellStyle name="20% - Accent2 8 2 2 2 2 2" xfId="11898" xr:uid="{00000000-0005-0000-0000-0000B7180000}"/>
    <cellStyle name="20% - Accent2 8 2 2 2 2 2 2" xfId="23199" xr:uid="{00000000-0005-0000-0000-0000B8180000}"/>
    <cellStyle name="20% - Accent2 8 2 2 2 2 2 2 2" xfId="45801" xr:uid="{00000000-0005-0000-0000-0000B9180000}"/>
    <cellStyle name="20% - Accent2 8 2 2 2 2 2 3" xfId="34500" xr:uid="{00000000-0005-0000-0000-0000BA180000}"/>
    <cellStyle name="20% - Accent2 8 2 2 2 2 3" xfId="17549" xr:uid="{00000000-0005-0000-0000-0000BB180000}"/>
    <cellStyle name="20% - Accent2 8 2 2 2 2 3 2" xfId="40151" xr:uid="{00000000-0005-0000-0000-0000BC180000}"/>
    <cellStyle name="20% - Accent2 8 2 2 2 2 4" xfId="28850" xr:uid="{00000000-0005-0000-0000-0000BD180000}"/>
    <cellStyle name="20% - Accent2 8 2 2 2 3" xfId="9066" xr:uid="{00000000-0005-0000-0000-0000BE180000}"/>
    <cellStyle name="20% - Accent2 8 2 2 2 3 2" xfId="20367" xr:uid="{00000000-0005-0000-0000-0000BF180000}"/>
    <cellStyle name="20% - Accent2 8 2 2 2 3 2 2" xfId="42969" xr:uid="{00000000-0005-0000-0000-0000C0180000}"/>
    <cellStyle name="20% - Accent2 8 2 2 2 3 3" xfId="31668" xr:uid="{00000000-0005-0000-0000-0000C1180000}"/>
    <cellStyle name="20% - Accent2 8 2 2 2 4" xfId="14717" xr:uid="{00000000-0005-0000-0000-0000C2180000}"/>
    <cellStyle name="20% - Accent2 8 2 2 2 4 2" xfId="37319" xr:uid="{00000000-0005-0000-0000-0000C3180000}"/>
    <cellStyle name="20% - Accent2 8 2 2 2 5" xfId="26018" xr:uid="{00000000-0005-0000-0000-0000C4180000}"/>
    <cellStyle name="20% - Accent2 8 2 2 3" xfId="5014" xr:uid="{00000000-0005-0000-0000-0000C5180000}"/>
    <cellStyle name="20% - Accent2 8 2 2 3 2" xfId="10664" xr:uid="{00000000-0005-0000-0000-0000C6180000}"/>
    <cellStyle name="20% - Accent2 8 2 2 3 2 2" xfId="21965" xr:uid="{00000000-0005-0000-0000-0000C7180000}"/>
    <cellStyle name="20% - Accent2 8 2 2 3 2 2 2" xfId="44567" xr:uid="{00000000-0005-0000-0000-0000C8180000}"/>
    <cellStyle name="20% - Accent2 8 2 2 3 2 3" xfId="33266" xr:uid="{00000000-0005-0000-0000-0000C9180000}"/>
    <cellStyle name="20% - Accent2 8 2 2 3 3" xfId="16315" xr:uid="{00000000-0005-0000-0000-0000CA180000}"/>
    <cellStyle name="20% - Accent2 8 2 2 3 3 2" xfId="38917" xr:uid="{00000000-0005-0000-0000-0000CB180000}"/>
    <cellStyle name="20% - Accent2 8 2 2 3 4" xfId="27616" xr:uid="{00000000-0005-0000-0000-0000CC180000}"/>
    <cellStyle name="20% - Accent2 8 2 2 4" xfId="7424" xr:uid="{00000000-0005-0000-0000-0000CD180000}"/>
    <cellStyle name="20% - Accent2 8 2 2 4 2" xfId="18725" xr:uid="{00000000-0005-0000-0000-0000CE180000}"/>
    <cellStyle name="20% - Accent2 8 2 2 4 2 2" xfId="41327" xr:uid="{00000000-0005-0000-0000-0000CF180000}"/>
    <cellStyle name="20% - Accent2 8 2 2 4 3" xfId="30026" xr:uid="{00000000-0005-0000-0000-0000D0180000}"/>
    <cellStyle name="20% - Accent2 8 2 2 5" xfId="13075" xr:uid="{00000000-0005-0000-0000-0000D1180000}"/>
    <cellStyle name="20% - Accent2 8 2 2 5 2" xfId="35677" xr:uid="{00000000-0005-0000-0000-0000D2180000}"/>
    <cellStyle name="20% - Accent2 8 2 2 6" xfId="24376" xr:uid="{00000000-0005-0000-0000-0000D3180000}"/>
    <cellStyle name="20% - Accent2 8 2 3" xfId="2605" xr:uid="{00000000-0005-0000-0000-0000D4180000}"/>
    <cellStyle name="20% - Accent2 8 2 3 2" xfId="5624" xr:uid="{00000000-0005-0000-0000-0000D5180000}"/>
    <cellStyle name="20% - Accent2 8 2 3 2 2" xfId="11274" xr:uid="{00000000-0005-0000-0000-0000D6180000}"/>
    <cellStyle name="20% - Accent2 8 2 3 2 2 2" xfId="22575" xr:uid="{00000000-0005-0000-0000-0000D7180000}"/>
    <cellStyle name="20% - Accent2 8 2 3 2 2 2 2" xfId="45177" xr:uid="{00000000-0005-0000-0000-0000D8180000}"/>
    <cellStyle name="20% - Accent2 8 2 3 2 2 3" xfId="33876" xr:uid="{00000000-0005-0000-0000-0000D9180000}"/>
    <cellStyle name="20% - Accent2 8 2 3 2 3" xfId="16925" xr:uid="{00000000-0005-0000-0000-0000DA180000}"/>
    <cellStyle name="20% - Accent2 8 2 3 2 3 2" xfId="39527" xr:uid="{00000000-0005-0000-0000-0000DB180000}"/>
    <cellStyle name="20% - Accent2 8 2 3 2 4" xfId="28226" xr:uid="{00000000-0005-0000-0000-0000DC180000}"/>
    <cellStyle name="20% - Accent2 8 2 3 3" xfId="8441" xr:uid="{00000000-0005-0000-0000-0000DD180000}"/>
    <cellStyle name="20% - Accent2 8 2 3 3 2" xfId="19742" xr:uid="{00000000-0005-0000-0000-0000DE180000}"/>
    <cellStyle name="20% - Accent2 8 2 3 3 2 2" xfId="42344" xr:uid="{00000000-0005-0000-0000-0000DF180000}"/>
    <cellStyle name="20% - Accent2 8 2 3 3 3" xfId="31043" xr:uid="{00000000-0005-0000-0000-0000E0180000}"/>
    <cellStyle name="20% - Accent2 8 2 3 4" xfId="14092" xr:uid="{00000000-0005-0000-0000-0000E1180000}"/>
    <cellStyle name="20% - Accent2 8 2 3 4 2" xfId="36694" xr:uid="{00000000-0005-0000-0000-0000E2180000}"/>
    <cellStyle name="20% - Accent2 8 2 3 5" xfId="25393" xr:uid="{00000000-0005-0000-0000-0000E3180000}"/>
    <cellStyle name="20% - Accent2 8 2 4" xfId="4390" xr:uid="{00000000-0005-0000-0000-0000E4180000}"/>
    <cellStyle name="20% - Accent2 8 2 4 2" xfId="10040" xr:uid="{00000000-0005-0000-0000-0000E5180000}"/>
    <cellStyle name="20% - Accent2 8 2 4 2 2" xfId="21341" xr:uid="{00000000-0005-0000-0000-0000E6180000}"/>
    <cellStyle name="20% - Accent2 8 2 4 2 2 2" xfId="43943" xr:uid="{00000000-0005-0000-0000-0000E7180000}"/>
    <cellStyle name="20% - Accent2 8 2 4 2 3" xfId="32642" xr:uid="{00000000-0005-0000-0000-0000E8180000}"/>
    <cellStyle name="20% - Accent2 8 2 4 3" xfId="15691" xr:uid="{00000000-0005-0000-0000-0000E9180000}"/>
    <cellStyle name="20% - Accent2 8 2 4 3 2" xfId="38293" xr:uid="{00000000-0005-0000-0000-0000EA180000}"/>
    <cellStyle name="20% - Accent2 8 2 4 4" xfId="26992" xr:uid="{00000000-0005-0000-0000-0000EB180000}"/>
    <cellStyle name="20% - Accent2 8 2 5" xfId="7186" xr:uid="{00000000-0005-0000-0000-0000EC180000}"/>
    <cellStyle name="20% - Accent2 8 2 5 2" xfId="18487" xr:uid="{00000000-0005-0000-0000-0000ED180000}"/>
    <cellStyle name="20% - Accent2 8 2 5 2 2" xfId="41089" xr:uid="{00000000-0005-0000-0000-0000EE180000}"/>
    <cellStyle name="20% - Accent2 8 2 5 3" xfId="29788" xr:uid="{00000000-0005-0000-0000-0000EF180000}"/>
    <cellStyle name="20% - Accent2 8 2 6" xfId="12837" xr:uid="{00000000-0005-0000-0000-0000F0180000}"/>
    <cellStyle name="20% - Accent2 8 2 6 2" xfId="35439" xr:uid="{00000000-0005-0000-0000-0000F1180000}"/>
    <cellStyle name="20% - Accent2 8 2 7" xfId="24138" xr:uid="{00000000-0005-0000-0000-0000F2180000}"/>
    <cellStyle name="20% - Accent2 8 3" xfId="904" xr:uid="{00000000-0005-0000-0000-0000F3180000}"/>
    <cellStyle name="20% - Accent2 8 3 2" xfId="2968" xr:uid="{00000000-0005-0000-0000-0000F4180000}"/>
    <cellStyle name="20% - Accent2 8 3 2 2" xfId="5940" xr:uid="{00000000-0005-0000-0000-0000F5180000}"/>
    <cellStyle name="20% - Accent2 8 3 2 2 2" xfId="11590" xr:uid="{00000000-0005-0000-0000-0000F6180000}"/>
    <cellStyle name="20% - Accent2 8 3 2 2 2 2" xfId="22891" xr:uid="{00000000-0005-0000-0000-0000F7180000}"/>
    <cellStyle name="20% - Accent2 8 3 2 2 2 2 2" xfId="45493" xr:uid="{00000000-0005-0000-0000-0000F8180000}"/>
    <cellStyle name="20% - Accent2 8 3 2 2 2 3" xfId="34192" xr:uid="{00000000-0005-0000-0000-0000F9180000}"/>
    <cellStyle name="20% - Accent2 8 3 2 2 3" xfId="17241" xr:uid="{00000000-0005-0000-0000-0000FA180000}"/>
    <cellStyle name="20% - Accent2 8 3 2 2 3 2" xfId="39843" xr:uid="{00000000-0005-0000-0000-0000FB180000}"/>
    <cellStyle name="20% - Accent2 8 3 2 2 4" xfId="28542" xr:uid="{00000000-0005-0000-0000-0000FC180000}"/>
    <cellStyle name="20% - Accent2 8 3 2 3" xfId="8758" xr:uid="{00000000-0005-0000-0000-0000FD180000}"/>
    <cellStyle name="20% - Accent2 8 3 2 3 2" xfId="20059" xr:uid="{00000000-0005-0000-0000-0000FE180000}"/>
    <cellStyle name="20% - Accent2 8 3 2 3 2 2" xfId="42661" xr:uid="{00000000-0005-0000-0000-0000FF180000}"/>
    <cellStyle name="20% - Accent2 8 3 2 3 3" xfId="31360" xr:uid="{00000000-0005-0000-0000-000000190000}"/>
    <cellStyle name="20% - Accent2 8 3 2 4" xfId="14409" xr:uid="{00000000-0005-0000-0000-000001190000}"/>
    <cellStyle name="20% - Accent2 8 3 2 4 2" xfId="37011" xr:uid="{00000000-0005-0000-0000-000002190000}"/>
    <cellStyle name="20% - Accent2 8 3 2 5" xfId="25710" xr:uid="{00000000-0005-0000-0000-000003190000}"/>
    <cellStyle name="20% - Accent2 8 3 3" xfId="4706" xr:uid="{00000000-0005-0000-0000-000004190000}"/>
    <cellStyle name="20% - Accent2 8 3 3 2" xfId="10356" xr:uid="{00000000-0005-0000-0000-000005190000}"/>
    <cellStyle name="20% - Accent2 8 3 3 2 2" xfId="21657" xr:uid="{00000000-0005-0000-0000-000006190000}"/>
    <cellStyle name="20% - Accent2 8 3 3 2 2 2" xfId="44259" xr:uid="{00000000-0005-0000-0000-000007190000}"/>
    <cellStyle name="20% - Accent2 8 3 3 2 3" xfId="32958" xr:uid="{00000000-0005-0000-0000-000008190000}"/>
    <cellStyle name="20% - Accent2 8 3 3 3" xfId="16007" xr:uid="{00000000-0005-0000-0000-000009190000}"/>
    <cellStyle name="20% - Accent2 8 3 3 3 2" xfId="38609" xr:uid="{00000000-0005-0000-0000-00000A190000}"/>
    <cellStyle name="20% - Accent2 8 3 3 4" xfId="27308" xr:uid="{00000000-0005-0000-0000-00000B190000}"/>
    <cellStyle name="20% - Accent2 8 3 4" xfId="6893" xr:uid="{00000000-0005-0000-0000-00000C190000}"/>
    <cellStyle name="20% - Accent2 8 3 4 2" xfId="18194" xr:uid="{00000000-0005-0000-0000-00000D190000}"/>
    <cellStyle name="20% - Accent2 8 3 4 2 2" xfId="40796" xr:uid="{00000000-0005-0000-0000-00000E190000}"/>
    <cellStyle name="20% - Accent2 8 3 4 3" xfId="29495" xr:uid="{00000000-0005-0000-0000-00000F190000}"/>
    <cellStyle name="20% - Accent2 8 3 5" xfId="12544" xr:uid="{00000000-0005-0000-0000-000010190000}"/>
    <cellStyle name="20% - Accent2 8 3 5 2" xfId="35146" xr:uid="{00000000-0005-0000-0000-000011190000}"/>
    <cellStyle name="20% - Accent2 8 3 6" xfId="23845" xr:uid="{00000000-0005-0000-0000-000012190000}"/>
    <cellStyle name="20% - Accent2 8 4" xfId="1567" xr:uid="{00000000-0005-0000-0000-000013190000}"/>
    <cellStyle name="20% - Accent2 8 4 2" xfId="3546" xr:uid="{00000000-0005-0000-0000-000014190000}"/>
    <cellStyle name="20% - Accent2 8 4 2 2" xfId="9260" xr:uid="{00000000-0005-0000-0000-000015190000}"/>
    <cellStyle name="20% - Accent2 8 4 2 2 2" xfId="20561" xr:uid="{00000000-0005-0000-0000-000016190000}"/>
    <cellStyle name="20% - Accent2 8 4 2 2 2 2" xfId="43163" xr:uid="{00000000-0005-0000-0000-000017190000}"/>
    <cellStyle name="20% - Accent2 8 4 2 2 3" xfId="31862" xr:uid="{00000000-0005-0000-0000-000018190000}"/>
    <cellStyle name="20% - Accent2 8 4 2 3" xfId="14911" xr:uid="{00000000-0005-0000-0000-000019190000}"/>
    <cellStyle name="20% - Accent2 8 4 2 3 2" xfId="37513" xr:uid="{00000000-0005-0000-0000-00001A190000}"/>
    <cellStyle name="20% - Accent2 8 4 2 4" xfId="26212" xr:uid="{00000000-0005-0000-0000-00001B190000}"/>
    <cellStyle name="20% - Accent2 8 4 3" xfId="5316" xr:uid="{00000000-0005-0000-0000-00001C190000}"/>
    <cellStyle name="20% - Accent2 8 4 3 2" xfId="10966" xr:uid="{00000000-0005-0000-0000-00001D190000}"/>
    <cellStyle name="20% - Accent2 8 4 3 2 2" xfId="22267" xr:uid="{00000000-0005-0000-0000-00001E190000}"/>
    <cellStyle name="20% - Accent2 8 4 3 2 2 2" xfId="44869" xr:uid="{00000000-0005-0000-0000-00001F190000}"/>
    <cellStyle name="20% - Accent2 8 4 3 2 3" xfId="33568" xr:uid="{00000000-0005-0000-0000-000020190000}"/>
    <cellStyle name="20% - Accent2 8 4 3 3" xfId="16617" xr:uid="{00000000-0005-0000-0000-000021190000}"/>
    <cellStyle name="20% - Accent2 8 4 3 3 2" xfId="39219" xr:uid="{00000000-0005-0000-0000-000022190000}"/>
    <cellStyle name="20% - Accent2 8 4 3 4" xfId="27918" xr:uid="{00000000-0005-0000-0000-000023190000}"/>
    <cellStyle name="20% - Accent2 8 4 4" xfId="7423" xr:uid="{00000000-0005-0000-0000-000024190000}"/>
    <cellStyle name="20% - Accent2 8 4 4 2" xfId="18724" xr:uid="{00000000-0005-0000-0000-000025190000}"/>
    <cellStyle name="20% - Accent2 8 4 4 2 2" xfId="41326" xr:uid="{00000000-0005-0000-0000-000026190000}"/>
    <cellStyle name="20% - Accent2 8 4 4 3" xfId="30025" xr:uid="{00000000-0005-0000-0000-000027190000}"/>
    <cellStyle name="20% - Accent2 8 4 5" xfId="13074" xr:uid="{00000000-0005-0000-0000-000028190000}"/>
    <cellStyle name="20% - Accent2 8 4 5 2" xfId="35676" xr:uid="{00000000-0005-0000-0000-000029190000}"/>
    <cellStyle name="20% - Accent2 8 4 6" xfId="24375" xr:uid="{00000000-0005-0000-0000-00002A190000}"/>
    <cellStyle name="20% - Accent2 8 5" xfId="2297" xr:uid="{00000000-0005-0000-0000-00002B190000}"/>
    <cellStyle name="20% - Accent2 8 5 2" xfId="8133" xr:uid="{00000000-0005-0000-0000-00002C190000}"/>
    <cellStyle name="20% - Accent2 8 5 2 2" xfId="19434" xr:uid="{00000000-0005-0000-0000-00002D190000}"/>
    <cellStyle name="20% - Accent2 8 5 2 2 2" xfId="42036" xr:uid="{00000000-0005-0000-0000-00002E190000}"/>
    <cellStyle name="20% - Accent2 8 5 2 3" xfId="30735" xr:uid="{00000000-0005-0000-0000-00002F190000}"/>
    <cellStyle name="20% - Accent2 8 5 3" xfId="13784" xr:uid="{00000000-0005-0000-0000-000030190000}"/>
    <cellStyle name="20% - Accent2 8 5 3 2" xfId="36386" xr:uid="{00000000-0005-0000-0000-000031190000}"/>
    <cellStyle name="20% - Accent2 8 5 4" xfId="25085" xr:uid="{00000000-0005-0000-0000-000032190000}"/>
    <cellStyle name="20% - Accent2 8 6" xfId="4082" xr:uid="{00000000-0005-0000-0000-000033190000}"/>
    <cellStyle name="20% - Accent2 8 6 2" xfId="9732" xr:uid="{00000000-0005-0000-0000-000034190000}"/>
    <cellStyle name="20% - Accent2 8 6 2 2" xfId="21033" xr:uid="{00000000-0005-0000-0000-000035190000}"/>
    <cellStyle name="20% - Accent2 8 6 2 2 2" xfId="43635" xr:uid="{00000000-0005-0000-0000-000036190000}"/>
    <cellStyle name="20% - Accent2 8 6 2 3" xfId="32334" xr:uid="{00000000-0005-0000-0000-000037190000}"/>
    <cellStyle name="20% - Accent2 8 6 3" xfId="15383" xr:uid="{00000000-0005-0000-0000-000038190000}"/>
    <cellStyle name="20% - Accent2 8 6 3 2" xfId="37985" xr:uid="{00000000-0005-0000-0000-000039190000}"/>
    <cellStyle name="20% - Accent2 8 6 4" xfId="26684" xr:uid="{00000000-0005-0000-0000-00003A190000}"/>
    <cellStyle name="20% - Accent2 8 7" xfId="6533" xr:uid="{00000000-0005-0000-0000-00003B190000}"/>
    <cellStyle name="20% - Accent2 8 7 2" xfId="17834" xr:uid="{00000000-0005-0000-0000-00003C190000}"/>
    <cellStyle name="20% - Accent2 8 7 2 2" xfId="40436" xr:uid="{00000000-0005-0000-0000-00003D190000}"/>
    <cellStyle name="20% - Accent2 8 7 3" xfId="29135" xr:uid="{00000000-0005-0000-0000-00003E190000}"/>
    <cellStyle name="20% - Accent2 8 8" xfId="12184" xr:uid="{00000000-0005-0000-0000-00003F190000}"/>
    <cellStyle name="20% - Accent2 8 8 2" xfId="34786" xr:uid="{00000000-0005-0000-0000-000040190000}"/>
    <cellStyle name="20% - Accent2 8 9" xfId="23485" xr:uid="{00000000-0005-0000-0000-000041190000}"/>
    <cellStyle name="20% - Accent2 9" xfId="638" xr:uid="{00000000-0005-0000-0000-000042190000}"/>
    <cellStyle name="20% - Accent2 9 2" xfId="695" xr:uid="{00000000-0005-0000-0000-000043190000}"/>
    <cellStyle name="20% - Accent2 9 2 2" xfId="3108" xr:uid="{00000000-0005-0000-0000-000044190000}"/>
    <cellStyle name="20% - Accent2 9 2 2 2" xfId="6080" xr:uid="{00000000-0005-0000-0000-000045190000}"/>
    <cellStyle name="20% - Accent2 9 2 2 2 2" xfId="11730" xr:uid="{00000000-0005-0000-0000-000046190000}"/>
    <cellStyle name="20% - Accent2 9 2 2 2 2 2" xfId="23031" xr:uid="{00000000-0005-0000-0000-000047190000}"/>
    <cellStyle name="20% - Accent2 9 2 2 2 2 2 2" xfId="45633" xr:uid="{00000000-0005-0000-0000-000048190000}"/>
    <cellStyle name="20% - Accent2 9 2 2 2 2 3" xfId="34332" xr:uid="{00000000-0005-0000-0000-000049190000}"/>
    <cellStyle name="20% - Accent2 9 2 2 2 3" xfId="17381" xr:uid="{00000000-0005-0000-0000-00004A190000}"/>
    <cellStyle name="20% - Accent2 9 2 2 2 3 2" xfId="39983" xr:uid="{00000000-0005-0000-0000-00004B190000}"/>
    <cellStyle name="20% - Accent2 9 2 2 2 4" xfId="28682" xr:uid="{00000000-0005-0000-0000-00004C190000}"/>
    <cellStyle name="20% - Accent2 9 2 2 3" xfId="8898" xr:uid="{00000000-0005-0000-0000-00004D190000}"/>
    <cellStyle name="20% - Accent2 9 2 2 3 2" xfId="20199" xr:uid="{00000000-0005-0000-0000-00004E190000}"/>
    <cellStyle name="20% - Accent2 9 2 2 3 2 2" xfId="42801" xr:uid="{00000000-0005-0000-0000-00004F190000}"/>
    <cellStyle name="20% - Accent2 9 2 2 3 3" xfId="31500" xr:uid="{00000000-0005-0000-0000-000050190000}"/>
    <cellStyle name="20% - Accent2 9 2 2 4" xfId="14549" xr:uid="{00000000-0005-0000-0000-000051190000}"/>
    <cellStyle name="20% - Accent2 9 2 2 4 2" xfId="37151" xr:uid="{00000000-0005-0000-0000-000052190000}"/>
    <cellStyle name="20% - Accent2 9 2 2 5" xfId="25850" xr:uid="{00000000-0005-0000-0000-000053190000}"/>
    <cellStyle name="20% - Accent2 9 2 3" xfId="4846" xr:uid="{00000000-0005-0000-0000-000054190000}"/>
    <cellStyle name="20% - Accent2 9 2 3 2" xfId="10496" xr:uid="{00000000-0005-0000-0000-000055190000}"/>
    <cellStyle name="20% - Accent2 9 2 3 2 2" xfId="21797" xr:uid="{00000000-0005-0000-0000-000056190000}"/>
    <cellStyle name="20% - Accent2 9 2 3 2 2 2" xfId="44399" xr:uid="{00000000-0005-0000-0000-000057190000}"/>
    <cellStyle name="20% - Accent2 9 2 3 2 3" xfId="33098" xr:uid="{00000000-0005-0000-0000-000058190000}"/>
    <cellStyle name="20% - Accent2 9 2 3 3" xfId="16147" xr:uid="{00000000-0005-0000-0000-000059190000}"/>
    <cellStyle name="20% - Accent2 9 2 3 3 2" xfId="38749" xr:uid="{00000000-0005-0000-0000-00005A190000}"/>
    <cellStyle name="20% - Accent2 9 2 3 4" xfId="27448" xr:uid="{00000000-0005-0000-0000-00005B190000}"/>
    <cellStyle name="20% - Accent2 9 2 4" xfId="6722" xr:uid="{00000000-0005-0000-0000-00005C190000}"/>
    <cellStyle name="20% - Accent2 9 2 4 2" xfId="18023" xr:uid="{00000000-0005-0000-0000-00005D190000}"/>
    <cellStyle name="20% - Accent2 9 2 4 2 2" xfId="40625" xr:uid="{00000000-0005-0000-0000-00005E190000}"/>
    <cellStyle name="20% - Accent2 9 2 4 3" xfId="29324" xr:uid="{00000000-0005-0000-0000-00005F190000}"/>
    <cellStyle name="20% - Accent2 9 2 5" xfId="12373" xr:uid="{00000000-0005-0000-0000-000060190000}"/>
    <cellStyle name="20% - Accent2 9 2 5 2" xfId="34975" xr:uid="{00000000-0005-0000-0000-000061190000}"/>
    <cellStyle name="20% - Accent2 9 2 6" xfId="23674" xr:uid="{00000000-0005-0000-0000-000062190000}"/>
    <cellStyle name="20% - Accent2 9 3" xfId="1569" xr:uid="{00000000-0005-0000-0000-000063190000}"/>
    <cellStyle name="20% - Accent2 9 3 2" xfId="3547" xr:uid="{00000000-0005-0000-0000-000064190000}"/>
    <cellStyle name="20% - Accent2 9 3 2 2" xfId="9261" xr:uid="{00000000-0005-0000-0000-000065190000}"/>
    <cellStyle name="20% - Accent2 9 3 2 2 2" xfId="20562" xr:uid="{00000000-0005-0000-0000-000066190000}"/>
    <cellStyle name="20% - Accent2 9 3 2 2 2 2" xfId="43164" xr:uid="{00000000-0005-0000-0000-000067190000}"/>
    <cellStyle name="20% - Accent2 9 3 2 2 3" xfId="31863" xr:uid="{00000000-0005-0000-0000-000068190000}"/>
    <cellStyle name="20% - Accent2 9 3 2 3" xfId="14912" xr:uid="{00000000-0005-0000-0000-000069190000}"/>
    <cellStyle name="20% - Accent2 9 3 2 3 2" xfId="37514" xr:uid="{00000000-0005-0000-0000-00006A190000}"/>
    <cellStyle name="20% - Accent2 9 3 2 4" xfId="26213" xr:uid="{00000000-0005-0000-0000-00006B190000}"/>
    <cellStyle name="20% - Accent2 9 3 3" xfId="5456" xr:uid="{00000000-0005-0000-0000-00006C190000}"/>
    <cellStyle name="20% - Accent2 9 3 3 2" xfId="11106" xr:uid="{00000000-0005-0000-0000-00006D190000}"/>
    <cellStyle name="20% - Accent2 9 3 3 2 2" xfId="22407" xr:uid="{00000000-0005-0000-0000-00006E190000}"/>
    <cellStyle name="20% - Accent2 9 3 3 2 2 2" xfId="45009" xr:uid="{00000000-0005-0000-0000-00006F190000}"/>
    <cellStyle name="20% - Accent2 9 3 3 2 3" xfId="33708" xr:uid="{00000000-0005-0000-0000-000070190000}"/>
    <cellStyle name="20% - Accent2 9 3 3 3" xfId="16757" xr:uid="{00000000-0005-0000-0000-000071190000}"/>
    <cellStyle name="20% - Accent2 9 3 3 3 2" xfId="39359" xr:uid="{00000000-0005-0000-0000-000072190000}"/>
    <cellStyle name="20% - Accent2 9 3 3 4" xfId="28058" xr:uid="{00000000-0005-0000-0000-000073190000}"/>
    <cellStyle name="20% - Accent2 9 3 4" xfId="7425" xr:uid="{00000000-0005-0000-0000-000074190000}"/>
    <cellStyle name="20% - Accent2 9 3 4 2" xfId="18726" xr:uid="{00000000-0005-0000-0000-000075190000}"/>
    <cellStyle name="20% - Accent2 9 3 4 2 2" xfId="41328" xr:uid="{00000000-0005-0000-0000-000076190000}"/>
    <cellStyle name="20% - Accent2 9 3 4 3" xfId="30027" xr:uid="{00000000-0005-0000-0000-000077190000}"/>
    <cellStyle name="20% - Accent2 9 3 5" xfId="13076" xr:uid="{00000000-0005-0000-0000-000078190000}"/>
    <cellStyle name="20% - Accent2 9 3 5 2" xfId="35678" xr:uid="{00000000-0005-0000-0000-000079190000}"/>
    <cellStyle name="20% - Accent2 9 3 6" xfId="24377" xr:uid="{00000000-0005-0000-0000-00007A190000}"/>
    <cellStyle name="20% - Accent2 9 4" xfId="2437" xr:uid="{00000000-0005-0000-0000-00007B190000}"/>
    <cellStyle name="20% - Accent2 9 4 2" xfId="8273" xr:uid="{00000000-0005-0000-0000-00007C190000}"/>
    <cellStyle name="20% - Accent2 9 4 2 2" xfId="19574" xr:uid="{00000000-0005-0000-0000-00007D190000}"/>
    <cellStyle name="20% - Accent2 9 4 2 2 2" xfId="42176" xr:uid="{00000000-0005-0000-0000-00007E190000}"/>
    <cellStyle name="20% - Accent2 9 4 2 3" xfId="30875" xr:uid="{00000000-0005-0000-0000-00007F190000}"/>
    <cellStyle name="20% - Accent2 9 4 3" xfId="13924" xr:uid="{00000000-0005-0000-0000-000080190000}"/>
    <cellStyle name="20% - Accent2 9 4 3 2" xfId="36526" xr:uid="{00000000-0005-0000-0000-000081190000}"/>
    <cellStyle name="20% - Accent2 9 4 4" xfId="25225" xr:uid="{00000000-0005-0000-0000-000082190000}"/>
    <cellStyle name="20% - Accent2 9 5" xfId="4222" xr:uid="{00000000-0005-0000-0000-000083190000}"/>
    <cellStyle name="20% - Accent2 9 5 2" xfId="9872" xr:uid="{00000000-0005-0000-0000-000084190000}"/>
    <cellStyle name="20% - Accent2 9 5 2 2" xfId="21173" xr:uid="{00000000-0005-0000-0000-000085190000}"/>
    <cellStyle name="20% - Accent2 9 5 2 2 2" xfId="43775" xr:uid="{00000000-0005-0000-0000-000086190000}"/>
    <cellStyle name="20% - Accent2 9 5 2 3" xfId="32474" xr:uid="{00000000-0005-0000-0000-000087190000}"/>
    <cellStyle name="20% - Accent2 9 5 3" xfId="15523" xr:uid="{00000000-0005-0000-0000-000088190000}"/>
    <cellStyle name="20% - Accent2 9 5 3 2" xfId="38125" xr:uid="{00000000-0005-0000-0000-000089190000}"/>
    <cellStyle name="20% - Accent2 9 5 4" xfId="26824" xr:uid="{00000000-0005-0000-0000-00008A190000}"/>
    <cellStyle name="20% - Accent2 9 6" xfId="6701" xr:uid="{00000000-0005-0000-0000-00008B190000}"/>
    <cellStyle name="20% - Accent2 9 6 2" xfId="18002" xr:uid="{00000000-0005-0000-0000-00008C190000}"/>
    <cellStyle name="20% - Accent2 9 6 2 2" xfId="40604" xr:uid="{00000000-0005-0000-0000-00008D190000}"/>
    <cellStyle name="20% - Accent2 9 6 3" xfId="29303" xr:uid="{00000000-0005-0000-0000-00008E190000}"/>
    <cellStyle name="20% - Accent2 9 7" xfId="12352" xr:uid="{00000000-0005-0000-0000-00008F190000}"/>
    <cellStyle name="20% - Accent2 9 7 2" xfId="34954" xr:uid="{00000000-0005-0000-0000-000090190000}"/>
    <cellStyle name="20% - Accent2 9 8" xfId="23653" xr:uid="{00000000-0005-0000-0000-000091190000}"/>
    <cellStyle name="20% - Accent3 10" xfId="1435" xr:uid="{00000000-0005-0000-0000-000092190000}"/>
    <cellStyle name="20% - Accent3 10 2" xfId="1570" xr:uid="{00000000-0005-0000-0000-000093190000}"/>
    <cellStyle name="20% - Accent3 10 2 2" xfId="3418" xr:uid="{00000000-0005-0000-0000-000094190000}"/>
    <cellStyle name="20% - Accent3 10 2 2 2" xfId="6390" xr:uid="{00000000-0005-0000-0000-000095190000}"/>
    <cellStyle name="20% - Accent3 10 2 2 2 2" xfId="12040" xr:uid="{00000000-0005-0000-0000-000096190000}"/>
    <cellStyle name="20% - Accent3 10 2 2 2 2 2" xfId="23341" xr:uid="{00000000-0005-0000-0000-000097190000}"/>
    <cellStyle name="20% - Accent3 10 2 2 2 2 2 2" xfId="45943" xr:uid="{00000000-0005-0000-0000-000098190000}"/>
    <cellStyle name="20% - Accent3 10 2 2 2 2 3" xfId="34642" xr:uid="{00000000-0005-0000-0000-000099190000}"/>
    <cellStyle name="20% - Accent3 10 2 2 2 3" xfId="17691" xr:uid="{00000000-0005-0000-0000-00009A190000}"/>
    <cellStyle name="20% - Accent3 10 2 2 2 3 2" xfId="40293" xr:uid="{00000000-0005-0000-0000-00009B190000}"/>
    <cellStyle name="20% - Accent3 10 2 2 2 4" xfId="28992" xr:uid="{00000000-0005-0000-0000-00009C190000}"/>
    <cellStyle name="20% - Accent3 10 2 2 3" xfId="9208" xr:uid="{00000000-0005-0000-0000-00009D190000}"/>
    <cellStyle name="20% - Accent3 10 2 2 3 2" xfId="20509" xr:uid="{00000000-0005-0000-0000-00009E190000}"/>
    <cellStyle name="20% - Accent3 10 2 2 3 2 2" xfId="43111" xr:uid="{00000000-0005-0000-0000-00009F190000}"/>
    <cellStyle name="20% - Accent3 10 2 2 3 3" xfId="31810" xr:uid="{00000000-0005-0000-0000-0000A0190000}"/>
    <cellStyle name="20% - Accent3 10 2 2 4" xfId="14859" xr:uid="{00000000-0005-0000-0000-0000A1190000}"/>
    <cellStyle name="20% - Accent3 10 2 2 4 2" xfId="37461" xr:uid="{00000000-0005-0000-0000-0000A2190000}"/>
    <cellStyle name="20% - Accent3 10 2 2 5" xfId="26160" xr:uid="{00000000-0005-0000-0000-0000A3190000}"/>
    <cellStyle name="20% - Accent3 10 2 3" xfId="5156" xr:uid="{00000000-0005-0000-0000-0000A4190000}"/>
    <cellStyle name="20% - Accent3 10 2 3 2" xfId="10806" xr:uid="{00000000-0005-0000-0000-0000A5190000}"/>
    <cellStyle name="20% - Accent3 10 2 3 2 2" xfId="22107" xr:uid="{00000000-0005-0000-0000-0000A6190000}"/>
    <cellStyle name="20% - Accent3 10 2 3 2 2 2" xfId="44709" xr:uid="{00000000-0005-0000-0000-0000A7190000}"/>
    <cellStyle name="20% - Accent3 10 2 3 2 3" xfId="33408" xr:uid="{00000000-0005-0000-0000-0000A8190000}"/>
    <cellStyle name="20% - Accent3 10 2 3 3" xfId="16457" xr:uid="{00000000-0005-0000-0000-0000A9190000}"/>
    <cellStyle name="20% - Accent3 10 2 3 3 2" xfId="39059" xr:uid="{00000000-0005-0000-0000-0000AA190000}"/>
    <cellStyle name="20% - Accent3 10 2 3 4" xfId="27758" xr:uid="{00000000-0005-0000-0000-0000AB190000}"/>
    <cellStyle name="20% - Accent3 10 2 4" xfId="7426" xr:uid="{00000000-0005-0000-0000-0000AC190000}"/>
    <cellStyle name="20% - Accent3 10 2 4 2" xfId="18727" xr:uid="{00000000-0005-0000-0000-0000AD190000}"/>
    <cellStyle name="20% - Accent3 10 2 4 2 2" xfId="41329" xr:uid="{00000000-0005-0000-0000-0000AE190000}"/>
    <cellStyle name="20% - Accent3 10 2 4 3" xfId="30028" xr:uid="{00000000-0005-0000-0000-0000AF190000}"/>
    <cellStyle name="20% - Accent3 10 2 5" xfId="13077" xr:uid="{00000000-0005-0000-0000-0000B0190000}"/>
    <cellStyle name="20% - Accent3 10 2 5 2" xfId="35679" xr:uid="{00000000-0005-0000-0000-0000B1190000}"/>
    <cellStyle name="20% - Accent3 10 2 6" xfId="24378" xr:uid="{00000000-0005-0000-0000-0000B2190000}"/>
    <cellStyle name="20% - Accent3 10 3" xfId="2749" xr:uid="{00000000-0005-0000-0000-0000B3190000}"/>
    <cellStyle name="20% - Accent3 10 3 2" xfId="5766" xr:uid="{00000000-0005-0000-0000-0000B4190000}"/>
    <cellStyle name="20% - Accent3 10 3 2 2" xfId="11416" xr:uid="{00000000-0005-0000-0000-0000B5190000}"/>
    <cellStyle name="20% - Accent3 10 3 2 2 2" xfId="22717" xr:uid="{00000000-0005-0000-0000-0000B6190000}"/>
    <cellStyle name="20% - Accent3 10 3 2 2 2 2" xfId="45319" xr:uid="{00000000-0005-0000-0000-0000B7190000}"/>
    <cellStyle name="20% - Accent3 10 3 2 2 3" xfId="34018" xr:uid="{00000000-0005-0000-0000-0000B8190000}"/>
    <cellStyle name="20% - Accent3 10 3 2 3" xfId="17067" xr:uid="{00000000-0005-0000-0000-0000B9190000}"/>
    <cellStyle name="20% - Accent3 10 3 2 3 2" xfId="39669" xr:uid="{00000000-0005-0000-0000-0000BA190000}"/>
    <cellStyle name="20% - Accent3 10 3 2 4" xfId="28368" xr:uid="{00000000-0005-0000-0000-0000BB190000}"/>
    <cellStyle name="20% - Accent3 10 3 3" xfId="8583" xr:uid="{00000000-0005-0000-0000-0000BC190000}"/>
    <cellStyle name="20% - Accent3 10 3 3 2" xfId="19884" xr:uid="{00000000-0005-0000-0000-0000BD190000}"/>
    <cellStyle name="20% - Accent3 10 3 3 2 2" xfId="42486" xr:uid="{00000000-0005-0000-0000-0000BE190000}"/>
    <cellStyle name="20% - Accent3 10 3 3 3" xfId="31185" xr:uid="{00000000-0005-0000-0000-0000BF190000}"/>
    <cellStyle name="20% - Accent3 10 3 4" xfId="14234" xr:uid="{00000000-0005-0000-0000-0000C0190000}"/>
    <cellStyle name="20% - Accent3 10 3 4 2" xfId="36836" xr:uid="{00000000-0005-0000-0000-0000C1190000}"/>
    <cellStyle name="20% - Accent3 10 3 5" xfId="25535" xr:uid="{00000000-0005-0000-0000-0000C2190000}"/>
    <cellStyle name="20% - Accent3 10 4" xfId="4532" xr:uid="{00000000-0005-0000-0000-0000C3190000}"/>
    <cellStyle name="20% - Accent3 10 4 2" xfId="10182" xr:uid="{00000000-0005-0000-0000-0000C4190000}"/>
    <cellStyle name="20% - Accent3 10 4 2 2" xfId="21483" xr:uid="{00000000-0005-0000-0000-0000C5190000}"/>
    <cellStyle name="20% - Accent3 10 4 2 2 2" xfId="44085" xr:uid="{00000000-0005-0000-0000-0000C6190000}"/>
    <cellStyle name="20% - Accent3 10 4 2 3" xfId="32784" xr:uid="{00000000-0005-0000-0000-0000C7190000}"/>
    <cellStyle name="20% - Accent3 10 4 3" xfId="15833" xr:uid="{00000000-0005-0000-0000-0000C8190000}"/>
    <cellStyle name="20% - Accent3 10 4 3 2" xfId="38435" xr:uid="{00000000-0005-0000-0000-0000C9190000}"/>
    <cellStyle name="20% - Accent3 10 4 4" xfId="27134" xr:uid="{00000000-0005-0000-0000-0000CA190000}"/>
    <cellStyle name="20% - Accent3 10 5" xfId="7332" xr:uid="{00000000-0005-0000-0000-0000CB190000}"/>
    <cellStyle name="20% - Accent3 10 5 2" xfId="18633" xr:uid="{00000000-0005-0000-0000-0000CC190000}"/>
    <cellStyle name="20% - Accent3 10 5 2 2" xfId="41235" xr:uid="{00000000-0005-0000-0000-0000CD190000}"/>
    <cellStyle name="20% - Accent3 10 5 3" xfId="29934" xr:uid="{00000000-0005-0000-0000-0000CE190000}"/>
    <cellStyle name="20% - Accent3 10 6" xfId="12983" xr:uid="{00000000-0005-0000-0000-0000CF190000}"/>
    <cellStyle name="20% - Accent3 10 6 2" xfId="35585" xr:uid="{00000000-0005-0000-0000-0000D0190000}"/>
    <cellStyle name="20% - Accent3 10 7" xfId="24284" xr:uid="{00000000-0005-0000-0000-0000D1190000}"/>
    <cellStyle name="20% - Accent3 11" xfId="1437" xr:uid="{00000000-0005-0000-0000-0000D2190000}"/>
    <cellStyle name="20% - Accent3 11 2" xfId="1571" xr:uid="{00000000-0005-0000-0000-0000D3190000}"/>
    <cellStyle name="20% - Accent3 11 2 2" xfId="3548" xr:uid="{00000000-0005-0000-0000-0000D4190000}"/>
    <cellStyle name="20% - Accent3 11 2 2 2" xfId="9262" xr:uid="{00000000-0005-0000-0000-0000D5190000}"/>
    <cellStyle name="20% - Accent3 11 2 2 2 2" xfId="20563" xr:uid="{00000000-0005-0000-0000-0000D6190000}"/>
    <cellStyle name="20% - Accent3 11 2 2 2 2 2" xfId="43165" xr:uid="{00000000-0005-0000-0000-0000D7190000}"/>
    <cellStyle name="20% - Accent3 11 2 2 2 3" xfId="31864" xr:uid="{00000000-0005-0000-0000-0000D8190000}"/>
    <cellStyle name="20% - Accent3 11 2 2 3" xfId="14913" xr:uid="{00000000-0005-0000-0000-0000D9190000}"/>
    <cellStyle name="20% - Accent3 11 2 2 3 2" xfId="37515" xr:uid="{00000000-0005-0000-0000-0000DA190000}"/>
    <cellStyle name="20% - Accent3 11 2 2 4" xfId="26214" xr:uid="{00000000-0005-0000-0000-0000DB190000}"/>
    <cellStyle name="20% - Accent3 11 2 3" xfId="7427" xr:uid="{00000000-0005-0000-0000-0000DC190000}"/>
    <cellStyle name="20% - Accent3 11 2 3 2" xfId="18728" xr:uid="{00000000-0005-0000-0000-0000DD190000}"/>
    <cellStyle name="20% - Accent3 11 2 3 2 2" xfId="41330" xr:uid="{00000000-0005-0000-0000-0000DE190000}"/>
    <cellStyle name="20% - Accent3 11 2 3 3" xfId="30029" xr:uid="{00000000-0005-0000-0000-0000DF190000}"/>
    <cellStyle name="20% - Accent3 11 2 4" xfId="13078" xr:uid="{00000000-0005-0000-0000-0000E0190000}"/>
    <cellStyle name="20% - Accent3 11 2 4 2" xfId="35680" xr:uid="{00000000-0005-0000-0000-0000E1190000}"/>
    <cellStyle name="20% - Accent3 11 2 5" xfId="24379" xr:uid="{00000000-0005-0000-0000-0000E2190000}"/>
    <cellStyle name="20% - Accent3 11 3" xfId="2121" xr:uid="{00000000-0005-0000-0000-0000E3190000}"/>
    <cellStyle name="20% - Accent3 11 3 2" xfId="7965" xr:uid="{00000000-0005-0000-0000-0000E4190000}"/>
    <cellStyle name="20% - Accent3 11 3 2 2" xfId="19266" xr:uid="{00000000-0005-0000-0000-0000E5190000}"/>
    <cellStyle name="20% - Accent3 11 3 2 2 2" xfId="41868" xr:uid="{00000000-0005-0000-0000-0000E6190000}"/>
    <cellStyle name="20% - Accent3 11 3 2 3" xfId="30567" xr:uid="{00000000-0005-0000-0000-0000E7190000}"/>
    <cellStyle name="20% - Accent3 11 3 3" xfId="13616" xr:uid="{00000000-0005-0000-0000-0000E8190000}"/>
    <cellStyle name="20% - Accent3 11 3 3 2" xfId="36218" xr:uid="{00000000-0005-0000-0000-0000E9190000}"/>
    <cellStyle name="20% - Accent3 11 3 4" xfId="24917" xr:uid="{00000000-0005-0000-0000-0000EA190000}"/>
    <cellStyle name="20% - Accent3 11 4" xfId="3917" xr:uid="{00000000-0005-0000-0000-0000EB190000}"/>
    <cellStyle name="20% - Accent3 11 4 2" xfId="9567" xr:uid="{00000000-0005-0000-0000-0000EC190000}"/>
    <cellStyle name="20% - Accent3 11 4 2 2" xfId="20868" xr:uid="{00000000-0005-0000-0000-0000ED190000}"/>
    <cellStyle name="20% - Accent3 11 4 2 2 2" xfId="43470" xr:uid="{00000000-0005-0000-0000-0000EE190000}"/>
    <cellStyle name="20% - Accent3 11 4 2 3" xfId="32169" xr:uid="{00000000-0005-0000-0000-0000EF190000}"/>
    <cellStyle name="20% - Accent3 11 4 3" xfId="15218" xr:uid="{00000000-0005-0000-0000-0000F0190000}"/>
    <cellStyle name="20% - Accent3 11 4 3 2" xfId="37820" xr:uid="{00000000-0005-0000-0000-0000F1190000}"/>
    <cellStyle name="20% - Accent3 11 4 4" xfId="26519" xr:uid="{00000000-0005-0000-0000-0000F2190000}"/>
    <cellStyle name="20% - Accent3 11 5" xfId="7334" xr:uid="{00000000-0005-0000-0000-0000F3190000}"/>
    <cellStyle name="20% - Accent3 11 5 2" xfId="18635" xr:uid="{00000000-0005-0000-0000-0000F4190000}"/>
    <cellStyle name="20% - Accent3 11 5 2 2" xfId="41237" xr:uid="{00000000-0005-0000-0000-0000F5190000}"/>
    <cellStyle name="20% - Accent3 11 5 3" xfId="29936" xr:uid="{00000000-0005-0000-0000-0000F6190000}"/>
    <cellStyle name="20% - Accent3 11 6" xfId="12985" xr:uid="{00000000-0005-0000-0000-0000F7190000}"/>
    <cellStyle name="20% - Accent3 11 6 2" xfId="35587" xr:uid="{00000000-0005-0000-0000-0000F8190000}"/>
    <cellStyle name="20% - Accent3 11 7" xfId="24286" xr:uid="{00000000-0005-0000-0000-0000F9190000}"/>
    <cellStyle name="20% - Accent3 12" xfId="1355" xr:uid="{00000000-0005-0000-0000-0000FA190000}"/>
    <cellStyle name="20% - Accent3 12 2" xfId="3855" xr:uid="{00000000-0005-0000-0000-0000FB190000}"/>
    <cellStyle name="20% - Accent3 12 2 2" xfId="9548" xr:uid="{00000000-0005-0000-0000-0000FC190000}"/>
    <cellStyle name="20% - Accent3 12 2 2 2" xfId="20849" xr:uid="{00000000-0005-0000-0000-0000FD190000}"/>
    <cellStyle name="20% - Accent3 12 2 2 2 2" xfId="43451" xr:uid="{00000000-0005-0000-0000-0000FE190000}"/>
    <cellStyle name="20% - Accent3 12 2 2 3" xfId="32150" xr:uid="{00000000-0005-0000-0000-0000FF190000}"/>
    <cellStyle name="20% - Accent3 12 2 3" xfId="15199" xr:uid="{00000000-0005-0000-0000-0000001A0000}"/>
    <cellStyle name="20% - Accent3 12 2 3 2" xfId="37801" xr:uid="{00000000-0005-0000-0000-0000011A0000}"/>
    <cellStyle name="20% - Accent3 12 2 4" xfId="26500" xr:uid="{00000000-0005-0000-0000-0000021A0000}"/>
    <cellStyle name="20% - Accent3 13" xfId="3455" xr:uid="{00000000-0005-0000-0000-0000031A0000}"/>
    <cellStyle name="20% - Accent3 14" xfId="48" xr:uid="{00000000-0005-0000-0000-0000041A0000}"/>
    <cellStyle name="20% - Accent3 2" xfId="89" xr:uid="{00000000-0005-0000-0000-0000051A0000}"/>
    <cellStyle name="20% - Accent3 2 2" xfId="322" xr:uid="{00000000-0005-0000-0000-0000061A0000}"/>
    <cellStyle name="20% - Accent3 2 2 10" xfId="23424" xr:uid="{00000000-0005-0000-0000-0000071A0000}"/>
    <cellStyle name="20% - Accent3 2 2 2" xfId="574" xr:uid="{00000000-0005-0000-0000-0000081A0000}"/>
    <cellStyle name="20% - Accent3 2 2 2 2" xfId="1284" xr:uid="{00000000-0005-0000-0000-0000091A0000}"/>
    <cellStyle name="20% - Accent3 2 2 2 2 2" xfId="1574" xr:uid="{00000000-0005-0000-0000-00000A1A0000}"/>
    <cellStyle name="20% - Accent3 2 2 2 2 2 2" xfId="3353" xr:uid="{00000000-0005-0000-0000-00000B1A0000}"/>
    <cellStyle name="20% - Accent3 2 2 2 2 2 2 2" xfId="6325" xr:uid="{00000000-0005-0000-0000-00000C1A0000}"/>
    <cellStyle name="20% - Accent3 2 2 2 2 2 2 2 2" xfId="11975" xr:uid="{00000000-0005-0000-0000-00000D1A0000}"/>
    <cellStyle name="20% - Accent3 2 2 2 2 2 2 2 2 2" xfId="23276" xr:uid="{00000000-0005-0000-0000-00000E1A0000}"/>
    <cellStyle name="20% - Accent3 2 2 2 2 2 2 2 2 2 2" xfId="45878" xr:uid="{00000000-0005-0000-0000-00000F1A0000}"/>
    <cellStyle name="20% - Accent3 2 2 2 2 2 2 2 2 3" xfId="34577" xr:uid="{00000000-0005-0000-0000-0000101A0000}"/>
    <cellStyle name="20% - Accent3 2 2 2 2 2 2 2 3" xfId="17626" xr:uid="{00000000-0005-0000-0000-0000111A0000}"/>
    <cellStyle name="20% - Accent3 2 2 2 2 2 2 2 3 2" xfId="40228" xr:uid="{00000000-0005-0000-0000-0000121A0000}"/>
    <cellStyle name="20% - Accent3 2 2 2 2 2 2 2 4" xfId="28927" xr:uid="{00000000-0005-0000-0000-0000131A0000}"/>
    <cellStyle name="20% - Accent3 2 2 2 2 2 2 3" xfId="9143" xr:uid="{00000000-0005-0000-0000-0000141A0000}"/>
    <cellStyle name="20% - Accent3 2 2 2 2 2 2 3 2" xfId="20444" xr:uid="{00000000-0005-0000-0000-0000151A0000}"/>
    <cellStyle name="20% - Accent3 2 2 2 2 2 2 3 2 2" xfId="43046" xr:uid="{00000000-0005-0000-0000-0000161A0000}"/>
    <cellStyle name="20% - Accent3 2 2 2 2 2 2 3 3" xfId="31745" xr:uid="{00000000-0005-0000-0000-0000171A0000}"/>
    <cellStyle name="20% - Accent3 2 2 2 2 2 2 4" xfId="14794" xr:uid="{00000000-0005-0000-0000-0000181A0000}"/>
    <cellStyle name="20% - Accent3 2 2 2 2 2 2 4 2" xfId="37396" xr:uid="{00000000-0005-0000-0000-0000191A0000}"/>
    <cellStyle name="20% - Accent3 2 2 2 2 2 2 5" xfId="26095" xr:uid="{00000000-0005-0000-0000-00001A1A0000}"/>
    <cellStyle name="20% - Accent3 2 2 2 2 2 3" xfId="5091" xr:uid="{00000000-0005-0000-0000-00001B1A0000}"/>
    <cellStyle name="20% - Accent3 2 2 2 2 2 3 2" xfId="10741" xr:uid="{00000000-0005-0000-0000-00001C1A0000}"/>
    <cellStyle name="20% - Accent3 2 2 2 2 2 3 2 2" xfId="22042" xr:uid="{00000000-0005-0000-0000-00001D1A0000}"/>
    <cellStyle name="20% - Accent3 2 2 2 2 2 3 2 2 2" xfId="44644" xr:uid="{00000000-0005-0000-0000-00001E1A0000}"/>
    <cellStyle name="20% - Accent3 2 2 2 2 2 3 2 3" xfId="33343" xr:uid="{00000000-0005-0000-0000-00001F1A0000}"/>
    <cellStyle name="20% - Accent3 2 2 2 2 2 3 3" xfId="16392" xr:uid="{00000000-0005-0000-0000-0000201A0000}"/>
    <cellStyle name="20% - Accent3 2 2 2 2 2 3 3 2" xfId="38994" xr:uid="{00000000-0005-0000-0000-0000211A0000}"/>
    <cellStyle name="20% - Accent3 2 2 2 2 2 3 4" xfId="27693" xr:uid="{00000000-0005-0000-0000-0000221A0000}"/>
    <cellStyle name="20% - Accent3 2 2 2 2 2 4" xfId="7430" xr:uid="{00000000-0005-0000-0000-0000231A0000}"/>
    <cellStyle name="20% - Accent3 2 2 2 2 2 4 2" xfId="18731" xr:uid="{00000000-0005-0000-0000-0000241A0000}"/>
    <cellStyle name="20% - Accent3 2 2 2 2 2 4 2 2" xfId="41333" xr:uid="{00000000-0005-0000-0000-0000251A0000}"/>
    <cellStyle name="20% - Accent3 2 2 2 2 2 4 3" xfId="30032" xr:uid="{00000000-0005-0000-0000-0000261A0000}"/>
    <cellStyle name="20% - Accent3 2 2 2 2 2 5" xfId="13081" xr:uid="{00000000-0005-0000-0000-0000271A0000}"/>
    <cellStyle name="20% - Accent3 2 2 2 2 2 5 2" xfId="35683" xr:uid="{00000000-0005-0000-0000-0000281A0000}"/>
    <cellStyle name="20% - Accent3 2 2 2 2 2 6" xfId="24382" xr:uid="{00000000-0005-0000-0000-0000291A0000}"/>
    <cellStyle name="20% - Accent3 2 2 2 2 3" xfId="2682" xr:uid="{00000000-0005-0000-0000-00002A1A0000}"/>
    <cellStyle name="20% - Accent3 2 2 2 2 3 2" xfId="5701" xr:uid="{00000000-0005-0000-0000-00002B1A0000}"/>
    <cellStyle name="20% - Accent3 2 2 2 2 3 2 2" xfId="11351" xr:uid="{00000000-0005-0000-0000-00002C1A0000}"/>
    <cellStyle name="20% - Accent3 2 2 2 2 3 2 2 2" xfId="22652" xr:uid="{00000000-0005-0000-0000-00002D1A0000}"/>
    <cellStyle name="20% - Accent3 2 2 2 2 3 2 2 2 2" xfId="45254" xr:uid="{00000000-0005-0000-0000-00002E1A0000}"/>
    <cellStyle name="20% - Accent3 2 2 2 2 3 2 2 3" xfId="33953" xr:uid="{00000000-0005-0000-0000-00002F1A0000}"/>
    <cellStyle name="20% - Accent3 2 2 2 2 3 2 3" xfId="17002" xr:uid="{00000000-0005-0000-0000-0000301A0000}"/>
    <cellStyle name="20% - Accent3 2 2 2 2 3 2 3 2" xfId="39604" xr:uid="{00000000-0005-0000-0000-0000311A0000}"/>
    <cellStyle name="20% - Accent3 2 2 2 2 3 2 4" xfId="28303" xr:uid="{00000000-0005-0000-0000-0000321A0000}"/>
    <cellStyle name="20% - Accent3 2 2 2 2 3 3" xfId="8518" xr:uid="{00000000-0005-0000-0000-0000331A0000}"/>
    <cellStyle name="20% - Accent3 2 2 2 2 3 3 2" xfId="19819" xr:uid="{00000000-0005-0000-0000-0000341A0000}"/>
    <cellStyle name="20% - Accent3 2 2 2 2 3 3 2 2" xfId="42421" xr:uid="{00000000-0005-0000-0000-0000351A0000}"/>
    <cellStyle name="20% - Accent3 2 2 2 2 3 3 3" xfId="31120" xr:uid="{00000000-0005-0000-0000-0000361A0000}"/>
    <cellStyle name="20% - Accent3 2 2 2 2 3 4" xfId="14169" xr:uid="{00000000-0005-0000-0000-0000371A0000}"/>
    <cellStyle name="20% - Accent3 2 2 2 2 3 4 2" xfId="36771" xr:uid="{00000000-0005-0000-0000-0000381A0000}"/>
    <cellStyle name="20% - Accent3 2 2 2 2 3 5" xfId="25470" xr:uid="{00000000-0005-0000-0000-0000391A0000}"/>
    <cellStyle name="20% - Accent3 2 2 2 2 4" xfId="4467" xr:uid="{00000000-0005-0000-0000-00003A1A0000}"/>
    <cellStyle name="20% - Accent3 2 2 2 2 4 2" xfId="10117" xr:uid="{00000000-0005-0000-0000-00003B1A0000}"/>
    <cellStyle name="20% - Accent3 2 2 2 2 4 2 2" xfId="21418" xr:uid="{00000000-0005-0000-0000-00003C1A0000}"/>
    <cellStyle name="20% - Accent3 2 2 2 2 4 2 2 2" xfId="44020" xr:uid="{00000000-0005-0000-0000-00003D1A0000}"/>
    <cellStyle name="20% - Accent3 2 2 2 2 4 2 3" xfId="32719" xr:uid="{00000000-0005-0000-0000-00003E1A0000}"/>
    <cellStyle name="20% - Accent3 2 2 2 2 4 3" xfId="15768" xr:uid="{00000000-0005-0000-0000-00003F1A0000}"/>
    <cellStyle name="20% - Accent3 2 2 2 2 4 3 2" xfId="38370" xr:uid="{00000000-0005-0000-0000-0000401A0000}"/>
    <cellStyle name="20% - Accent3 2 2 2 2 4 4" xfId="27069" xr:uid="{00000000-0005-0000-0000-0000411A0000}"/>
    <cellStyle name="20% - Accent3 2 2 2 2 5" xfId="7263" xr:uid="{00000000-0005-0000-0000-0000421A0000}"/>
    <cellStyle name="20% - Accent3 2 2 2 2 5 2" xfId="18564" xr:uid="{00000000-0005-0000-0000-0000431A0000}"/>
    <cellStyle name="20% - Accent3 2 2 2 2 5 2 2" xfId="41166" xr:uid="{00000000-0005-0000-0000-0000441A0000}"/>
    <cellStyle name="20% - Accent3 2 2 2 2 5 3" xfId="29865" xr:uid="{00000000-0005-0000-0000-0000451A0000}"/>
    <cellStyle name="20% - Accent3 2 2 2 2 6" xfId="12914" xr:uid="{00000000-0005-0000-0000-0000461A0000}"/>
    <cellStyle name="20% - Accent3 2 2 2 2 6 2" xfId="35516" xr:uid="{00000000-0005-0000-0000-0000471A0000}"/>
    <cellStyle name="20% - Accent3 2 2 2 2 7" xfId="24215" xr:uid="{00000000-0005-0000-0000-0000481A0000}"/>
    <cellStyle name="20% - Accent3 2 2 2 3" xfId="982" xr:uid="{00000000-0005-0000-0000-0000491A0000}"/>
    <cellStyle name="20% - Accent3 2 2 2 3 2" xfId="3045" xr:uid="{00000000-0005-0000-0000-00004A1A0000}"/>
    <cellStyle name="20% - Accent3 2 2 2 3 2 2" xfId="6017" xr:uid="{00000000-0005-0000-0000-00004B1A0000}"/>
    <cellStyle name="20% - Accent3 2 2 2 3 2 2 2" xfId="11667" xr:uid="{00000000-0005-0000-0000-00004C1A0000}"/>
    <cellStyle name="20% - Accent3 2 2 2 3 2 2 2 2" xfId="22968" xr:uid="{00000000-0005-0000-0000-00004D1A0000}"/>
    <cellStyle name="20% - Accent3 2 2 2 3 2 2 2 2 2" xfId="45570" xr:uid="{00000000-0005-0000-0000-00004E1A0000}"/>
    <cellStyle name="20% - Accent3 2 2 2 3 2 2 2 3" xfId="34269" xr:uid="{00000000-0005-0000-0000-00004F1A0000}"/>
    <cellStyle name="20% - Accent3 2 2 2 3 2 2 3" xfId="17318" xr:uid="{00000000-0005-0000-0000-0000501A0000}"/>
    <cellStyle name="20% - Accent3 2 2 2 3 2 2 3 2" xfId="39920" xr:uid="{00000000-0005-0000-0000-0000511A0000}"/>
    <cellStyle name="20% - Accent3 2 2 2 3 2 2 4" xfId="28619" xr:uid="{00000000-0005-0000-0000-0000521A0000}"/>
    <cellStyle name="20% - Accent3 2 2 2 3 2 3" xfId="8835" xr:uid="{00000000-0005-0000-0000-0000531A0000}"/>
    <cellStyle name="20% - Accent3 2 2 2 3 2 3 2" xfId="20136" xr:uid="{00000000-0005-0000-0000-0000541A0000}"/>
    <cellStyle name="20% - Accent3 2 2 2 3 2 3 2 2" xfId="42738" xr:uid="{00000000-0005-0000-0000-0000551A0000}"/>
    <cellStyle name="20% - Accent3 2 2 2 3 2 3 3" xfId="31437" xr:uid="{00000000-0005-0000-0000-0000561A0000}"/>
    <cellStyle name="20% - Accent3 2 2 2 3 2 4" xfId="14486" xr:uid="{00000000-0005-0000-0000-0000571A0000}"/>
    <cellStyle name="20% - Accent3 2 2 2 3 2 4 2" xfId="37088" xr:uid="{00000000-0005-0000-0000-0000581A0000}"/>
    <cellStyle name="20% - Accent3 2 2 2 3 2 5" xfId="25787" xr:uid="{00000000-0005-0000-0000-0000591A0000}"/>
    <cellStyle name="20% - Accent3 2 2 2 3 3" xfId="4783" xr:uid="{00000000-0005-0000-0000-00005A1A0000}"/>
    <cellStyle name="20% - Accent3 2 2 2 3 3 2" xfId="10433" xr:uid="{00000000-0005-0000-0000-00005B1A0000}"/>
    <cellStyle name="20% - Accent3 2 2 2 3 3 2 2" xfId="21734" xr:uid="{00000000-0005-0000-0000-00005C1A0000}"/>
    <cellStyle name="20% - Accent3 2 2 2 3 3 2 2 2" xfId="44336" xr:uid="{00000000-0005-0000-0000-00005D1A0000}"/>
    <cellStyle name="20% - Accent3 2 2 2 3 3 2 3" xfId="33035" xr:uid="{00000000-0005-0000-0000-00005E1A0000}"/>
    <cellStyle name="20% - Accent3 2 2 2 3 3 3" xfId="16084" xr:uid="{00000000-0005-0000-0000-00005F1A0000}"/>
    <cellStyle name="20% - Accent3 2 2 2 3 3 3 2" xfId="38686" xr:uid="{00000000-0005-0000-0000-0000601A0000}"/>
    <cellStyle name="20% - Accent3 2 2 2 3 3 4" xfId="27385" xr:uid="{00000000-0005-0000-0000-0000611A0000}"/>
    <cellStyle name="20% - Accent3 2 2 2 3 4" xfId="6970" xr:uid="{00000000-0005-0000-0000-0000621A0000}"/>
    <cellStyle name="20% - Accent3 2 2 2 3 4 2" xfId="18271" xr:uid="{00000000-0005-0000-0000-0000631A0000}"/>
    <cellStyle name="20% - Accent3 2 2 2 3 4 2 2" xfId="40873" xr:uid="{00000000-0005-0000-0000-0000641A0000}"/>
    <cellStyle name="20% - Accent3 2 2 2 3 4 3" xfId="29572" xr:uid="{00000000-0005-0000-0000-0000651A0000}"/>
    <cellStyle name="20% - Accent3 2 2 2 3 5" xfId="12621" xr:uid="{00000000-0005-0000-0000-0000661A0000}"/>
    <cellStyle name="20% - Accent3 2 2 2 3 5 2" xfId="35223" xr:uid="{00000000-0005-0000-0000-0000671A0000}"/>
    <cellStyle name="20% - Accent3 2 2 2 3 6" xfId="23922" xr:uid="{00000000-0005-0000-0000-0000681A0000}"/>
    <cellStyle name="20% - Accent3 2 2 2 4" xfId="1573" xr:uid="{00000000-0005-0000-0000-0000691A0000}"/>
    <cellStyle name="20% - Accent3 2 2 2 4 2" xfId="3550" xr:uid="{00000000-0005-0000-0000-00006A1A0000}"/>
    <cellStyle name="20% - Accent3 2 2 2 4 2 2" xfId="9264" xr:uid="{00000000-0005-0000-0000-00006B1A0000}"/>
    <cellStyle name="20% - Accent3 2 2 2 4 2 2 2" xfId="20565" xr:uid="{00000000-0005-0000-0000-00006C1A0000}"/>
    <cellStyle name="20% - Accent3 2 2 2 4 2 2 2 2" xfId="43167" xr:uid="{00000000-0005-0000-0000-00006D1A0000}"/>
    <cellStyle name="20% - Accent3 2 2 2 4 2 2 3" xfId="31866" xr:uid="{00000000-0005-0000-0000-00006E1A0000}"/>
    <cellStyle name="20% - Accent3 2 2 2 4 2 3" xfId="14915" xr:uid="{00000000-0005-0000-0000-00006F1A0000}"/>
    <cellStyle name="20% - Accent3 2 2 2 4 2 3 2" xfId="37517" xr:uid="{00000000-0005-0000-0000-0000701A0000}"/>
    <cellStyle name="20% - Accent3 2 2 2 4 2 4" xfId="26216" xr:uid="{00000000-0005-0000-0000-0000711A0000}"/>
    <cellStyle name="20% - Accent3 2 2 2 4 3" xfId="5393" xr:uid="{00000000-0005-0000-0000-0000721A0000}"/>
    <cellStyle name="20% - Accent3 2 2 2 4 3 2" xfId="11043" xr:uid="{00000000-0005-0000-0000-0000731A0000}"/>
    <cellStyle name="20% - Accent3 2 2 2 4 3 2 2" xfId="22344" xr:uid="{00000000-0005-0000-0000-0000741A0000}"/>
    <cellStyle name="20% - Accent3 2 2 2 4 3 2 2 2" xfId="44946" xr:uid="{00000000-0005-0000-0000-0000751A0000}"/>
    <cellStyle name="20% - Accent3 2 2 2 4 3 2 3" xfId="33645" xr:uid="{00000000-0005-0000-0000-0000761A0000}"/>
    <cellStyle name="20% - Accent3 2 2 2 4 3 3" xfId="16694" xr:uid="{00000000-0005-0000-0000-0000771A0000}"/>
    <cellStyle name="20% - Accent3 2 2 2 4 3 3 2" xfId="39296" xr:uid="{00000000-0005-0000-0000-0000781A0000}"/>
    <cellStyle name="20% - Accent3 2 2 2 4 3 4" xfId="27995" xr:uid="{00000000-0005-0000-0000-0000791A0000}"/>
    <cellStyle name="20% - Accent3 2 2 2 4 4" xfId="7429" xr:uid="{00000000-0005-0000-0000-00007A1A0000}"/>
    <cellStyle name="20% - Accent3 2 2 2 4 4 2" xfId="18730" xr:uid="{00000000-0005-0000-0000-00007B1A0000}"/>
    <cellStyle name="20% - Accent3 2 2 2 4 4 2 2" xfId="41332" xr:uid="{00000000-0005-0000-0000-00007C1A0000}"/>
    <cellStyle name="20% - Accent3 2 2 2 4 4 3" xfId="30031" xr:uid="{00000000-0005-0000-0000-00007D1A0000}"/>
    <cellStyle name="20% - Accent3 2 2 2 4 5" xfId="13080" xr:uid="{00000000-0005-0000-0000-00007E1A0000}"/>
    <cellStyle name="20% - Accent3 2 2 2 4 5 2" xfId="35682" xr:uid="{00000000-0005-0000-0000-00007F1A0000}"/>
    <cellStyle name="20% - Accent3 2 2 2 4 6" xfId="24381" xr:uid="{00000000-0005-0000-0000-0000801A0000}"/>
    <cellStyle name="20% - Accent3 2 2 2 5" xfId="2374" xr:uid="{00000000-0005-0000-0000-0000811A0000}"/>
    <cellStyle name="20% - Accent3 2 2 2 5 2" xfId="8210" xr:uid="{00000000-0005-0000-0000-0000821A0000}"/>
    <cellStyle name="20% - Accent3 2 2 2 5 2 2" xfId="19511" xr:uid="{00000000-0005-0000-0000-0000831A0000}"/>
    <cellStyle name="20% - Accent3 2 2 2 5 2 2 2" xfId="42113" xr:uid="{00000000-0005-0000-0000-0000841A0000}"/>
    <cellStyle name="20% - Accent3 2 2 2 5 2 3" xfId="30812" xr:uid="{00000000-0005-0000-0000-0000851A0000}"/>
    <cellStyle name="20% - Accent3 2 2 2 5 3" xfId="13861" xr:uid="{00000000-0005-0000-0000-0000861A0000}"/>
    <cellStyle name="20% - Accent3 2 2 2 5 3 2" xfId="36463" xr:uid="{00000000-0005-0000-0000-0000871A0000}"/>
    <cellStyle name="20% - Accent3 2 2 2 5 4" xfId="25162" xr:uid="{00000000-0005-0000-0000-0000881A0000}"/>
    <cellStyle name="20% - Accent3 2 2 2 6" xfId="4159" xr:uid="{00000000-0005-0000-0000-0000891A0000}"/>
    <cellStyle name="20% - Accent3 2 2 2 6 2" xfId="9809" xr:uid="{00000000-0005-0000-0000-00008A1A0000}"/>
    <cellStyle name="20% - Accent3 2 2 2 6 2 2" xfId="21110" xr:uid="{00000000-0005-0000-0000-00008B1A0000}"/>
    <cellStyle name="20% - Accent3 2 2 2 6 2 2 2" xfId="43712" xr:uid="{00000000-0005-0000-0000-00008C1A0000}"/>
    <cellStyle name="20% - Accent3 2 2 2 6 2 3" xfId="32411" xr:uid="{00000000-0005-0000-0000-00008D1A0000}"/>
    <cellStyle name="20% - Accent3 2 2 2 6 3" xfId="15460" xr:uid="{00000000-0005-0000-0000-00008E1A0000}"/>
    <cellStyle name="20% - Accent3 2 2 2 6 3 2" xfId="38062" xr:uid="{00000000-0005-0000-0000-00008F1A0000}"/>
    <cellStyle name="20% - Accent3 2 2 2 6 4" xfId="26761" xr:uid="{00000000-0005-0000-0000-0000901A0000}"/>
    <cellStyle name="20% - Accent3 2 2 2 7" xfId="6639" xr:uid="{00000000-0005-0000-0000-0000911A0000}"/>
    <cellStyle name="20% - Accent3 2 2 2 7 2" xfId="17940" xr:uid="{00000000-0005-0000-0000-0000921A0000}"/>
    <cellStyle name="20% - Accent3 2 2 2 7 2 2" xfId="40542" xr:uid="{00000000-0005-0000-0000-0000931A0000}"/>
    <cellStyle name="20% - Accent3 2 2 2 7 3" xfId="29241" xr:uid="{00000000-0005-0000-0000-0000941A0000}"/>
    <cellStyle name="20% - Accent3 2 2 2 8" xfId="12290" xr:uid="{00000000-0005-0000-0000-0000951A0000}"/>
    <cellStyle name="20% - Accent3 2 2 2 8 2" xfId="34892" xr:uid="{00000000-0005-0000-0000-0000961A0000}"/>
    <cellStyle name="20% - Accent3 2 2 2 9" xfId="23591" xr:uid="{00000000-0005-0000-0000-0000971A0000}"/>
    <cellStyle name="20% - Accent3 2 2 3" xfId="1146" xr:uid="{00000000-0005-0000-0000-0000981A0000}"/>
    <cellStyle name="20% - Accent3 2 2 3 2" xfId="1575" xr:uid="{00000000-0005-0000-0000-0000991A0000}"/>
    <cellStyle name="20% - Accent3 2 2 3 2 2" xfId="3214" xr:uid="{00000000-0005-0000-0000-00009A1A0000}"/>
    <cellStyle name="20% - Accent3 2 2 3 2 2 2" xfId="6186" xr:uid="{00000000-0005-0000-0000-00009B1A0000}"/>
    <cellStyle name="20% - Accent3 2 2 3 2 2 2 2" xfId="11836" xr:uid="{00000000-0005-0000-0000-00009C1A0000}"/>
    <cellStyle name="20% - Accent3 2 2 3 2 2 2 2 2" xfId="23137" xr:uid="{00000000-0005-0000-0000-00009D1A0000}"/>
    <cellStyle name="20% - Accent3 2 2 3 2 2 2 2 2 2" xfId="45739" xr:uid="{00000000-0005-0000-0000-00009E1A0000}"/>
    <cellStyle name="20% - Accent3 2 2 3 2 2 2 2 3" xfId="34438" xr:uid="{00000000-0005-0000-0000-00009F1A0000}"/>
    <cellStyle name="20% - Accent3 2 2 3 2 2 2 3" xfId="17487" xr:uid="{00000000-0005-0000-0000-0000A01A0000}"/>
    <cellStyle name="20% - Accent3 2 2 3 2 2 2 3 2" xfId="40089" xr:uid="{00000000-0005-0000-0000-0000A11A0000}"/>
    <cellStyle name="20% - Accent3 2 2 3 2 2 2 4" xfId="28788" xr:uid="{00000000-0005-0000-0000-0000A21A0000}"/>
    <cellStyle name="20% - Accent3 2 2 3 2 2 3" xfId="9004" xr:uid="{00000000-0005-0000-0000-0000A31A0000}"/>
    <cellStyle name="20% - Accent3 2 2 3 2 2 3 2" xfId="20305" xr:uid="{00000000-0005-0000-0000-0000A41A0000}"/>
    <cellStyle name="20% - Accent3 2 2 3 2 2 3 2 2" xfId="42907" xr:uid="{00000000-0005-0000-0000-0000A51A0000}"/>
    <cellStyle name="20% - Accent3 2 2 3 2 2 3 3" xfId="31606" xr:uid="{00000000-0005-0000-0000-0000A61A0000}"/>
    <cellStyle name="20% - Accent3 2 2 3 2 2 4" xfId="14655" xr:uid="{00000000-0005-0000-0000-0000A71A0000}"/>
    <cellStyle name="20% - Accent3 2 2 3 2 2 4 2" xfId="37257" xr:uid="{00000000-0005-0000-0000-0000A81A0000}"/>
    <cellStyle name="20% - Accent3 2 2 3 2 2 5" xfId="25956" xr:uid="{00000000-0005-0000-0000-0000A91A0000}"/>
    <cellStyle name="20% - Accent3 2 2 3 2 3" xfId="4952" xr:uid="{00000000-0005-0000-0000-0000AA1A0000}"/>
    <cellStyle name="20% - Accent3 2 2 3 2 3 2" xfId="10602" xr:uid="{00000000-0005-0000-0000-0000AB1A0000}"/>
    <cellStyle name="20% - Accent3 2 2 3 2 3 2 2" xfId="21903" xr:uid="{00000000-0005-0000-0000-0000AC1A0000}"/>
    <cellStyle name="20% - Accent3 2 2 3 2 3 2 2 2" xfId="44505" xr:uid="{00000000-0005-0000-0000-0000AD1A0000}"/>
    <cellStyle name="20% - Accent3 2 2 3 2 3 2 3" xfId="33204" xr:uid="{00000000-0005-0000-0000-0000AE1A0000}"/>
    <cellStyle name="20% - Accent3 2 2 3 2 3 3" xfId="16253" xr:uid="{00000000-0005-0000-0000-0000AF1A0000}"/>
    <cellStyle name="20% - Accent3 2 2 3 2 3 3 2" xfId="38855" xr:uid="{00000000-0005-0000-0000-0000B01A0000}"/>
    <cellStyle name="20% - Accent3 2 2 3 2 3 4" xfId="27554" xr:uid="{00000000-0005-0000-0000-0000B11A0000}"/>
    <cellStyle name="20% - Accent3 2 2 3 2 4" xfId="7431" xr:uid="{00000000-0005-0000-0000-0000B21A0000}"/>
    <cellStyle name="20% - Accent3 2 2 3 2 4 2" xfId="18732" xr:uid="{00000000-0005-0000-0000-0000B31A0000}"/>
    <cellStyle name="20% - Accent3 2 2 3 2 4 2 2" xfId="41334" xr:uid="{00000000-0005-0000-0000-0000B41A0000}"/>
    <cellStyle name="20% - Accent3 2 2 3 2 4 3" xfId="30033" xr:uid="{00000000-0005-0000-0000-0000B51A0000}"/>
    <cellStyle name="20% - Accent3 2 2 3 2 5" xfId="13082" xr:uid="{00000000-0005-0000-0000-0000B61A0000}"/>
    <cellStyle name="20% - Accent3 2 2 3 2 5 2" xfId="35684" xr:uid="{00000000-0005-0000-0000-0000B71A0000}"/>
    <cellStyle name="20% - Accent3 2 2 3 2 6" xfId="24383" xr:uid="{00000000-0005-0000-0000-0000B81A0000}"/>
    <cellStyle name="20% - Accent3 2 2 3 3" xfId="2543" xr:uid="{00000000-0005-0000-0000-0000B91A0000}"/>
    <cellStyle name="20% - Accent3 2 2 3 3 2" xfId="5562" xr:uid="{00000000-0005-0000-0000-0000BA1A0000}"/>
    <cellStyle name="20% - Accent3 2 2 3 3 2 2" xfId="11212" xr:uid="{00000000-0005-0000-0000-0000BB1A0000}"/>
    <cellStyle name="20% - Accent3 2 2 3 3 2 2 2" xfId="22513" xr:uid="{00000000-0005-0000-0000-0000BC1A0000}"/>
    <cellStyle name="20% - Accent3 2 2 3 3 2 2 2 2" xfId="45115" xr:uid="{00000000-0005-0000-0000-0000BD1A0000}"/>
    <cellStyle name="20% - Accent3 2 2 3 3 2 2 3" xfId="33814" xr:uid="{00000000-0005-0000-0000-0000BE1A0000}"/>
    <cellStyle name="20% - Accent3 2 2 3 3 2 3" xfId="16863" xr:uid="{00000000-0005-0000-0000-0000BF1A0000}"/>
    <cellStyle name="20% - Accent3 2 2 3 3 2 3 2" xfId="39465" xr:uid="{00000000-0005-0000-0000-0000C01A0000}"/>
    <cellStyle name="20% - Accent3 2 2 3 3 2 4" xfId="28164" xr:uid="{00000000-0005-0000-0000-0000C11A0000}"/>
    <cellStyle name="20% - Accent3 2 2 3 3 3" xfId="8379" xr:uid="{00000000-0005-0000-0000-0000C21A0000}"/>
    <cellStyle name="20% - Accent3 2 2 3 3 3 2" xfId="19680" xr:uid="{00000000-0005-0000-0000-0000C31A0000}"/>
    <cellStyle name="20% - Accent3 2 2 3 3 3 2 2" xfId="42282" xr:uid="{00000000-0005-0000-0000-0000C41A0000}"/>
    <cellStyle name="20% - Accent3 2 2 3 3 3 3" xfId="30981" xr:uid="{00000000-0005-0000-0000-0000C51A0000}"/>
    <cellStyle name="20% - Accent3 2 2 3 3 4" xfId="14030" xr:uid="{00000000-0005-0000-0000-0000C61A0000}"/>
    <cellStyle name="20% - Accent3 2 2 3 3 4 2" xfId="36632" xr:uid="{00000000-0005-0000-0000-0000C71A0000}"/>
    <cellStyle name="20% - Accent3 2 2 3 3 5" xfId="25331" xr:uid="{00000000-0005-0000-0000-0000C81A0000}"/>
    <cellStyle name="20% - Accent3 2 2 3 4" xfId="4328" xr:uid="{00000000-0005-0000-0000-0000C91A0000}"/>
    <cellStyle name="20% - Accent3 2 2 3 4 2" xfId="9978" xr:uid="{00000000-0005-0000-0000-0000CA1A0000}"/>
    <cellStyle name="20% - Accent3 2 2 3 4 2 2" xfId="21279" xr:uid="{00000000-0005-0000-0000-0000CB1A0000}"/>
    <cellStyle name="20% - Accent3 2 2 3 4 2 2 2" xfId="43881" xr:uid="{00000000-0005-0000-0000-0000CC1A0000}"/>
    <cellStyle name="20% - Accent3 2 2 3 4 2 3" xfId="32580" xr:uid="{00000000-0005-0000-0000-0000CD1A0000}"/>
    <cellStyle name="20% - Accent3 2 2 3 4 3" xfId="15629" xr:uid="{00000000-0005-0000-0000-0000CE1A0000}"/>
    <cellStyle name="20% - Accent3 2 2 3 4 3 2" xfId="38231" xr:uid="{00000000-0005-0000-0000-0000CF1A0000}"/>
    <cellStyle name="20% - Accent3 2 2 3 4 4" xfId="26930" xr:uid="{00000000-0005-0000-0000-0000D01A0000}"/>
    <cellStyle name="20% - Accent3 2 2 3 5" xfId="7125" xr:uid="{00000000-0005-0000-0000-0000D11A0000}"/>
    <cellStyle name="20% - Accent3 2 2 3 5 2" xfId="18426" xr:uid="{00000000-0005-0000-0000-0000D21A0000}"/>
    <cellStyle name="20% - Accent3 2 2 3 5 2 2" xfId="41028" xr:uid="{00000000-0005-0000-0000-0000D31A0000}"/>
    <cellStyle name="20% - Accent3 2 2 3 5 3" xfId="29727" xr:uid="{00000000-0005-0000-0000-0000D41A0000}"/>
    <cellStyle name="20% - Accent3 2 2 3 6" xfId="12776" xr:uid="{00000000-0005-0000-0000-0000D51A0000}"/>
    <cellStyle name="20% - Accent3 2 2 3 6 2" xfId="35378" xr:uid="{00000000-0005-0000-0000-0000D61A0000}"/>
    <cellStyle name="20% - Accent3 2 2 3 7" xfId="24077" xr:uid="{00000000-0005-0000-0000-0000D71A0000}"/>
    <cellStyle name="20% - Accent3 2 2 4" xfId="836" xr:uid="{00000000-0005-0000-0000-0000D81A0000}"/>
    <cellStyle name="20% - Accent3 2 2 4 2" xfId="2907" xr:uid="{00000000-0005-0000-0000-0000D91A0000}"/>
    <cellStyle name="20% - Accent3 2 2 4 2 2" xfId="5879" xr:uid="{00000000-0005-0000-0000-0000DA1A0000}"/>
    <cellStyle name="20% - Accent3 2 2 4 2 2 2" xfId="11529" xr:uid="{00000000-0005-0000-0000-0000DB1A0000}"/>
    <cellStyle name="20% - Accent3 2 2 4 2 2 2 2" xfId="22830" xr:uid="{00000000-0005-0000-0000-0000DC1A0000}"/>
    <cellStyle name="20% - Accent3 2 2 4 2 2 2 2 2" xfId="45432" xr:uid="{00000000-0005-0000-0000-0000DD1A0000}"/>
    <cellStyle name="20% - Accent3 2 2 4 2 2 2 3" xfId="34131" xr:uid="{00000000-0005-0000-0000-0000DE1A0000}"/>
    <cellStyle name="20% - Accent3 2 2 4 2 2 3" xfId="17180" xr:uid="{00000000-0005-0000-0000-0000DF1A0000}"/>
    <cellStyle name="20% - Accent3 2 2 4 2 2 3 2" xfId="39782" xr:uid="{00000000-0005-0000-0000-0000E01A0000}"/>
    <cellStyle name="20% - Accent3 2 2 4 2 2 4" xfId="28481" xr:uid="{00000000-0005-0000-0000-0000E11A0000}"/>
    <cellStyle name="20% - Accent3 2 2 4 2 3" xfId="8697" xr:uid="{00000000-0005-0000-0000-0000E21A0000}"/>
    <cellStyle name="20% - Accent3 2 2 4 2 3 2" xfId="19998" xr:uid="{00000000-0005-0000-0000-0000E31A0000}"/>
    <cellStyle name="20% - Accent3 2 2 4 2 3 2 2" xfId="42600" xr:uid="{00000000-0005-0000-0000-0000E41A0000}"/>
    <cellStyle name="20% - Accent3 2 2 4 2 3 3" xfId="31299" xr:uid="{00000000-0005-0000-0000-0000E51A0000}"/>
    <cellStyle name="20% - Accent3 2 2 4 2 4" xfId="14348" xr:uid="{00000000-0005-0000-0000-0000E61A0000}"/>
    <cellStyle name="20% - Accent3 2 2 4 2 4 2" xfId="36950" xr:uid="{00000000-0005-0000-0000-0000E71A0000}"/>
    <cellStyle name="20% - Accent3 2 2 4 2 5" xfId="25649" xr:uid="{00000000-0005-0000-0000-0000E81A0000}"/>
    <cellStyle name="20% - Accent3 2 2 4 3" xfId="4645" xr:uid="{00000000-0005-0000-0000-0000E91A0000}"/>
    <cellStyle name="20% - Accent3 2 2 4 3 2" xfId="10295" xr:uid="{00000000-0005-0000-0000-0000EA1A0000}"/>
    <cellStyle name="20% - Accent3 2 2 4 3 2 2" xfId="21596" xr:uid="{00000000-0005-0000-0000-0000EB1A0000}"/>
    <cellStyle name="20% - Accent3 2 2 4 3 2 2 2" xfId="44198" xr:uid="{00000000-0005-0000-0000-0000EC1A0000}"/>
    <cellStyle name="20% - Accent3 2 2 4 3 2 3" xfId="32897" xr:uid="{00000000-0005-0000-0000-0000ED1A0000}"/>
    <cellStyle name="20% - Accent3 2 2 4 3 3" xfId="15946" xr:uid="{00000000-0005-0000-0000-0000EE1A0000}"/>
    <cellStyle name="20% - Accent3 2 2 4 3 3 2" xfId="38548" xr:uid="{00000000-0005-0000-0000-0000EF1A0000}"/>
    <cellStyle name="20% - Accent3 2 2 4 3 4" xfId="27247" xr:uid="{00000000-0005-0000-0000-0000F01A0000}"/>
    <cellStyle name="20% - Accent3 2 2 4 4" xfId="6832" xr:uid="{00000000-0005-0000-0000-0000F11A0000}"/>
    <cellStyle name="20% - Accent3 2 2 4 4 2" xfId="18133" xr:uid="{00000000-0005-0000-0000-0000F21A0000}"/>
    <cellStyle name="20% - Accent3 2 2 4 4 2 2" xfId="40735" xr:uid="{00000000-0005-0000-0000-0000F31A0000}"/>
    <cellStyle name="20% - Accent3 2 2 4 4 3" xfId="29434" xr:uid="{00000000-0005-0000-0000-0000F41A0000}"/>
    <cellStyle name="20% - Accent3 2 2 4 5" xfId="12483" xr:uid="{00000000-0005-0000-0000-0000F51A0000}"/>
    <cellStyle name="20% - Accent3 2 2 4 5 2" xfId="35085" xr:uid="{00000000-0005-0000-0000-0000F61A0000}"/>
    <cellStyle name="20% - Accent3 2 2 4 6" xfId="23784" xr:uid="{00000000-0005-0000-0000-0000F71A0000}"/>
    <cellStyle name="20% - Accent3 2 2 5" xfId="1572" xr:uid="{00000000-0005-0000-0000-0000F81A0000}"/>
    <cellStyle name="20% - Accent3 2 2 5 2" xfId="3549" xr:uid="{00000000-0005-0000-0000-0000F91A0000}"/>
    <cellStyle name="20% - Accent3 2 2 5 2 2" xfId="9263" xr:uid="{00000000-0005-0000-0000-0000FA1A0000}"/>
    <cellStyle name="20% - Accent3 2 2 5 2 2 2" xfId="20564" xr:uid="{00000000-0005-0000-0000-0000FB1A0000}"/>
    <cellStyle name="20% - Accent3 2 2 5 2 2 2 2" xfId="43166" xr:uid="{00000000-0005-0000-0000-0000FC1A0000}"/>
    <cellStyle name="20% - Accent3 2 2 5 2 2 3" xfId="31865" xr:uid="{00000000-0005-0000-0000-0000FD1A0000}"/>
    <cellStyle name="20% - Accent3 2 2 5 2 3" xfId="14914" xr:uid="{00000000-0005-0000-0000-0000FE1A0000}"/>
    <cellStyle name="20% - Accent3 2 2 5 2 3 2" xfId="37516" xr:uid="{00000000-0005-0000-0000-0000FF1A0000}"/>
    <cellStyle name="20% - Accent3 2 2 5 2 4" xfId="26215" xr:uid="{00000000-0005-0000-0000-0000001B0000}"/>
    <cellStyle name="20% - Accent3 2 2 5 3" xfId="5255" xr:uid="{00000000-0005-0000-0000-0000011B0000}"/>
    <cellStyle name="20% - Accent3 2 2 5 3 2" xfId="10905" xr:uid="{00000000-0005-0000-0000-0000021B0000}"/>
    <cellStyle name="20% - Accent3 2 2 5 3 2 2" xfId="22206" xr:uid="{00000000-0005-0000-0000-0000031B0000}"/>
    <cellStyle name="20% - Accent3 2 2 5 3 2 2 2" xfId="44808" xr:uid="{00000000-0005-0000-0000-0000041B0000}"/>
    <cellStyle name="20% - Accent3 2 2 5 3 2 3" xfId="33507" xr:uid="{00000000-0005-0000-0000-0000051B0000}"/>
    <cellStyle name="20% - Accent3 2 2 5 3 3" xfId="16556" xr:uid="{00000000-0005-0000-0000-0000061B0000}"/>
    <cellStyle name="20% - Accent3 2 2 5 3 3 2" xfId="39158" xr:uid="{00000000-0005-0000-0000-0000071B0000}"/>
    <cellStyle name="20% - Accent3 2 2 5 3 4" xfId="27857" xr:uid="{00000000-0005-0000-0000-0000081B0000}"/>
    <cellStyle name="20% - Accent3 2 2 5 4" xfId="7428" xr:uid="{00000000-0005-0000-0000-0000091B0000}"/>
    <cellStyle name="20% - Accent3 2 2 5 4 2" xfId="18729" xr:uid="{00000000-0005-0000-0000-00000A1B0000}"/>
    <cellStyle name="20% - Accent3 2 2 5 4 2 2" xfId="41331" xr:uid="{00000000-0005-0000-0000-00000B1B0000}"/>
    <cellStyle name="20% - Accent3 2 2 5 4 3" xfId="30030" xr:uid="{00000000-0005-0000-0000-00000C1B0000}"/>
    <cellStyle name="20% - Accent3 2 2 5 5" xfId="13079" xr:uid="{00000000-0005-0000-0000-00000D1B0000}"/>
    <cellStyle name="20% - Accent3 2 2 5 5 2" xfId="35681" xr:uid="{00000000-0005-0000-0000-00000E1B0000}"/>
    <cellStyle name="20% - Accent3 2 2 5 6" xfId="24380" xr:uid="{00000000-0005-0000-0000-00000F1B0000}"/>
    <cellStyle name="20% - Accent3 2 2 6" xfId="2234" xr:uid="{00000000-0005-0000-0000-0000101B0000}"/>
    <cellStyle name="20% - Accent3 2 2 6 2" xfId="8070" xr:uid="{00000000-0005-0000-0000-0000111B0000}"/>
    <cellStyle name="20% - Accent3 2 2 6 2 2" xfId="19371" xr:uid="{00000000-0005-0000-0000-0000121B0000}"/>
    <cellStyle name="20% - Accent3 2 2 6 2 2 2" xfId="41973" xr:uid="{00000000-0005-0000-0000-0000131B0000}"/>
    <cellStyle name="20% - Accent3 2 2 6 2 3" xfId="30672" xr:uid="{00000000-0005-0000-0000-0000141B0000}"/>
    <cellStyle name="20% - Accent3 2 2 6 3" xfId="13721" xr:uid="{00000000-0005-0000-0000-0000151B0000}"/>
    <cellStyle name="20% - Accent3 2 2 6 3 2" xfId="36323" xr:uid="{00000000-0005-0000-0000-0000161B0000}"/>
    <cellStyle name="20% - Accent3 2 2 6 4" xfId="25022" xr:uid="{00000000-0005-0000-0000-0000171B0000}"/>
    <cellStyle name="20% - Accent3 2 2 7" xfId="4021" xr:uid="{00000000-0005-0000-0000-0000181B0000}"/>
    <cellStyle name="20% - Accent3 2 2 7 2" xfId="9671" xr:uid="{00000000-0005-0000-0000-0000191B0000}"/>
    <cellStyle name="20% - Accent3 2 2 7 2 2" xfId="20972" xr:uid="{00000000-0005-0000-0000-00001A1B0000}"/>
    <cellStyle name="20% - Accent3 2 2 7 2 2 2" xfId="43574" xr:uid="{00000000-0005-0000-0000-00001B1B0000}"/>
    <cellStyle name="20% - Accent3 2 2 7 2 3" xfId="32273" xr:uid="{00000000-0005-0000-0000-00001C1B0000}"/>
    <cellStyle name="20% - Accent3 2 2 7 3" xfId="15322" xr:uid="{00000000-0005-0000-0000-00001D1B0000}"/>
    <cellStyle name="20% - Accent3 2 2 7 3 2" xfId="37924" xr:uid="{00000000-0005-0000-0000-00001E1B0000}"/>
    <cellStyle name="20% - Accent3 2 2 7 4" xfId="26623" xr:uid="{00000000-0005-0000-0000-00001F1B0000}"/>
    <cellStyle name="20% - Accent3 2 2 8" xfId="6472" xr:uid="{00000000-0005-0000-0000-0000201B0000}"/>
    <cellStyle name="20% - Accent3 2 2 8 2" xfId="17773" xr:uid="{00000000-0005-0000-0000-0000211B0000}"/>
    <cellStyle name="20% - Accent3 2 2 8 2 2" xfId="40375" xr:uid="{00000000-0005-0000-0000-0000221B0000}"/>
    <cellStyle name="20% - Accent3 2 2 8 3" xfId="29074" xr:uid="{00000000-0005-0000-0000-0000231B0000}"/>
    <cellStyle name="20% - Accent3 2 2 9" xfId="12123" xr:uid="{00000000-0005-0000-0000-0000241B0000}"/>
    <cellStyle name="20% - Accent3 2 2 9 2" xfId="34725" xr:uid="{00000000-0005-0000-0000-0000251B0000}"/>
    <cellStyle name="20% - Accent3 2 3" xfId="2758" xr:uid="{00000000-0005-0000-0000-0000261B0000}"/>
    <cellStyle name="20% - Accent3 2 3 2" xfId="3837" xr:uid="{00000000-0005-0000-0000-0000271B0000}"/>
    <cellStyle name="20% - Accent3 2 3 2 2" xfId="5773" xr:uid="{00000000-0005-0000-0000-0000281B0000}"/>
    <cellStyle name="20% - Accent3 2 3 2 2 2" xfId="11423" xr:uid="{00000000-0005-0000-0000-0000291B0000}"/>
    <cellStyle name="20% - Accent3 2 3 2 2 2 2" xfId="22724" xr:uid="{00000000-0005-0000-0000-00002A1B0000}"/>
    <cellStyle name="20% - Accent3 2 3 2 2 2 2 2" xfId="45326" xr:uid="{00000000-0005-0000-0000-00002B1B0000}"/>
    <cellStyle name="20% - Accent3 2 3 2 2 2 3" xfId="34025" xr:uid="{00000000-0005-0000-0000-00002C1B0000}"/>
    <cellStyle name="20% - Accent3 2 3 2 2 3" xfId="17074" xr:uid="{00000000-0005-0000-0000-00002D1B0000}"/>
    <cellStyle name="20% - Accent3 2 3 2 2 3 2" xfId="39676" xr:uid="{00000000-0005-0000-0000-00002E1B0000}"/>
    <cellStyle name="20% - Accent3 2 3 2 2 4" xfId="28375" xr:uid="{00000000-0005-0000-0000-00002F1B0000}"/>
    <cellStyle name="20% - Accent3 2 3 2 3" xfId="9539" xr:uid="{00000000-0005-0000-0000-0000301B0000}"/>
    <cellStyle name="20% - Accent3 2 3 2 3 2" xfId="20840" xr:uid="{00000000-0005-0000-0000-0000311B0000}"/>
    <cellStyle name="20% - Accent3 2 3 2 3 2 2" xfId="43442" xr:uid="{00000000-0005-0000-0000-0000321B0000}"/>
    <cellStyle name="20% - Accent3 2 3 2 3 3" xfId="32141" xr:uid="{00000000-0005-0000-0000-0000331B0000}"/>
    <cellStyle name="20% - Accent3 2 3 2 4" xfId="15190" xr:uid="{00000000-0005-0000-0000-0000341B0000}"/>
    <cellStyle name="20% - Accent3 2 3 2 4 2" xfId="37792" xr:uid="{00000000-0005-0000-0000-0000351B0000}"/>
    <cellStyle name="20% - Accent3 2 3 2 5" xfId="26491" xr:uid="{00000000-0005-0000-0000-0000361B0000}"/>
    <cellStyle name="20% - Accent3 2 3 3" xfId="4539" xr:uid="{00000000-0005-0000-0000-0000371B0000}"/>
    <cellStyle name="20% - Accent3 2 3 3 2" xfId="10189" xr:uid="{00000000-0005-0000-0000-0000381B0000}"/>
    <cellStyle name="20% - Accent3 2 3 3 2 2" xfId="21490" xr:uid="{00000000-0005-0000-0000-0000391B0000}"/>
    <cellStyle name="20% - Accent3 2 3 3 2 2 2" xfId="44092" xr:uid="{00000000-0005-0000-0000-00003A1B0000}"/>
    <cellStyle name="20% - Accent3 2 3 3 2 3" xfId="32791" xr:uid="{00000000-0005-0000-0000-00003B1B0000}"/>
    <cellStyle name="20% - Accent3 2 3 3 3" xfId="15840" xr:uid="{00000000-0005-0000-0000-00003C1B0000}"/>
    <cellStyle name="20% - Accent3 2 3 3 3 2" xfId="38442" xr:uid="{00000000-0005-0000-0000-00003D1B0000}"/>
    <cellStyle name="20% - Accent3 2 3 3 4" xfId="27141" xr:uid="{00000000-0005-0000-0000-00003E1B0000}"/>
    <cellStyle name="20% - Accent3 2 3 4" xfId="8591" xr:uid="{00000000-0005-0000-0000-00003F1B0000}"/>
    <cellStyle name="20% - Accent3 2 3 4 2" xfId="19892" xr:uid="{00000000-0005-0000-0000-0000401B0000}"/>
    <cellStyle name="20% - Accent3 2 3 4 2 2" xfId="42494" xr:uid="{00000000-0005-0000-0000-0000411B0000}"/>
    <cellStyle name="20% - Accent3 2 3 4 3" xfId="31193" xr:uid="{00000000-0005-0000-0000-0000421B0000}"/>
    <cellStyle name="20% - Accent3 2 3 5" xfId="14242" xr:uid="{00000000-0005-0000-0000-0000431B0000}"/>
    <cellStyle name="20% - Accent3 2 3 5 2" xfId="36844" xr:uid="{00000000-0005-0000-0000-0000441B0000}"/>
    <cellStyle name="20% - Accent3 2 3 6" xfId="25543" xr:uid="{00000000-0005-0000-0000-0000451B0000}"/>
    <cellStyle name="20% - Accent3 2 4" xfId="2769" xr:uid="{00000000-0005-0000-0000-0000461B0000}"/>
    <cellStyle name="20% - Accent3 2 5" xfId="3881" xr:uid="{00000000-0005-0000-0000-0000471B0000}"/>
    <cellStyle name="20% - Accent3 2 5 2" xfId="9554" xr:uid="{00000000-0005-0000-0000-0000481B0000}"/>
    <cellStyle name="20% - Accent3 2 5 2 2" xfId="20855" xr:uid="{00000000-0005-0000-0000-0000491B0000}"/>
    <cellStyle name="20% - Accent3 2 5 2 2 2" xfId="43457" xr:uid="{00000000-0005-0000-0000-00004A1B0000}"/>
    <cellStyle name="20% - Accent3 2 5 2 3" xfId="32156" xr:uid="{00000000-0005-0000-0000-00004B1B0000}"/>
    <cellStyle name="20% - Accent3 2 5 3" xfId="15205" xr:uid="{00000000-0005-0000-0000-00004C1B0000}"/>
    <cellStyle name="20% - Accent3 2 5 3 2" xfId="37807" xr:uid="{00000000-0005-0000-0000-00004D1B0000}"/>
    <cellStyle name="20% - Accent3 2 5 4" xfId="26506" xr:uid="{00000000-0005-0000-0000-00004E1B0000}"/>
    <cellStyle name="20% - Accent3 2 6" xfId="3887" xr:uid="{00000000-0005-0000-0000-00004F1B0000}"/>
    <cellStyle name="20% - Accent3 3" xfId="158" xr:uid="{00000000-0005-0000-0000-0000501B0000}"/>
    <cellStyle name="20% - Accent3 3 2" xfId="286" xr:uid="{00000000-0005-0000-0000-0000511B0000}"/>
    <cellStyle name="20% - Accent3 3 2 10" xfId="23397" xr:uid="{00000000-0005-0000-0000-0000521B0000}"/>
    <cellStyle name="20% - Accent3 3 2 2" xfId="547" xr:uid="{00000000-0005-0000-0000-0000531B0000}"/>
    <cellStyle name="20% - Accent3 3 2 2 2" xfId="1257" xr:uid="{00000000-0005-0000-0000-0000541B0000}"/>
    <cellStyle name="20% - Accent3 3 2 2 2 2" xfId="1578" xr:uid="{00000000-0005-0000-0000-0000551B0000}"/>
    <cellStyle name="20% - Accent3 3 2 2 2 2 2" xfId="3326" xr:uid="{00000000-0005-0000-0000-0000561B0000}"/>
    <cellStyle name="20% - Accent3 3 2 2 2 2 2 2" xfId="6298" xr:uid="{00000000-0005-0000-0000-0000571B0000}"/>
    <cellStyle name="20% - Accent3 3 2 2 2 2 2 2 2" xfId="11948" xr:uid="{00000000-0005-0000-0000-0000581B0000}"/>
    <cellStyle name="20% - Accent3 3 2 2 2 2 2 2 2 2" xfId="23249" xr:uid="{00000000-0005-0000-0000-0000591B0000}"/>
    <cellStyle name="20% - Accent3 3 2 2 2 2 2 2 2 2 2" xfId="45851" xr:uid="{00000000-0005-0000-0000-00005A1B0000}"/>
    <cellStyle name="20% - Accent3 3 2 2 2 2 2 2 2 3" xfId="34550" xr:uid="{00000000-0005-0000-0000-00005B1B0000}"/>
    <cellStyle name="20% - Accent3 3 2 2 2 2 2 2 3" xfId="17599" xr:uid="{00000000-0005-0000-0000-00005C1B0000}"/>
    <cellStyle name="20% - Accent3 3 2 2 2 2 2 2 3 2" xfId="40201" xr:uid="{00000000-0005-0000-0000-00005D1B0000}"/>
    <cellStyle name="20% - Accent3 3 2 2 2 2 2 2 4" xfId="28900" xr:uid="{00000000-0005-0000-0000-00005E1B0000}"/>
    <cellStyle name="20% - Accent3 3 2 2 2 2 2 3" xfId="9116" xr:uid="{00000000-0005-0000-0000-00005F1B0000}"/>
    <cellStyle name="20% - Accent3 3 2 2 2 2 2 3 2" xfId="20417" xr:uid="{00000000-0005-0000-0000-0000601B0000}"/>
    <cellStyle name="20% - Accent3 3 2 2 2 2 2 3 2 2" xfId="43019" xr:uid="{00000000-0005-0000-0000-0000611B0000}"/>
    <cellStyle name="20% - Accent3 3 2 2 2 2 2 3 3" xfId="31718" xr:uid="{00000000-0005-0000-0000-0000621B0000}"/>
    <cellStyle name="20% - Accent3 3 2 2 2 2 2 4" xfId="14767" xr:uid="{00000000-0005-0000-0000-0000631B0000}"/>
    <cellStyle name="20% - Accent3 3 2 2 2 2 2 4 2" xfId="37369" xr:uid="{00000000-0005-0000-0000-0000641B0000}"/>
    <cellStyle name="20% - Accent3 3 2 2 2 2 2 5" xfId="26068" xr:uid="{00000000-0005-0000-0000-0000651B0000}"/>
    <cellStyle name="20% - Accent3 3 2 2 2 2 3" xfId="5064" xr:uid="{00000000-0005-0000-0000-0000661B0000}"/>
    <cellStyle name="20% - Accent3 3 2 2 2 2 3 2" xfId="10714" xr:uid="{00000000-0005-0000-0000-0000671B0000}"/>
    <cellStyle name="20% - Accent3 3 2 2 2 2 3 2 2" xfId="22015" xr:uid="{00000000-0005-0000-0000-0000681B0000}"/>
    <cellStyle name="20% - Accent3 3 2 2 2 2 3 2 2 2" xfId="44617" xr:uid="{00000000-0005-0000-0000-0000691B0000}"/>
    <cellStyle name="20% - Accent3 3 2 2 2 2 3 2 3" xfId="33316" xr:uid="{00000000-0005-0000-0000-00006A1B0000}"/>
    <cellStyle name="20% - Accent3 3 2 2 2 2 3 3" xfId="16365" xr:uid="{00000000-0005-0000-0000-00006B1B0000}"/>
    <cellStyle name="20% - Accent3 3 2 2 2 2 3 3 2" xfId="38967" xr:uid="{00000000-0005-0000-0000-00006C1B0000}"/>
    <cellStyle name="20% - Accent3 3 2 2 2 2 3 4" xfId="27666" xr:uid="{00000000-0005-0000-0000-00006D1B0000}"/>
    <cellStyle name="20% - Accent3 3 2 2 2 2 4" xfId="7434" xr:uid="{00000000-0005-0000-0000-00006E1B0000}"/>
    <cellStyle name="20% - Accent3 3 2 2 2 2 4 2" xfId="18735" xr:uid="{00000000-0005-0000-0000-00006F1B0000}"/>
    <cellStyle name="20% - Accent3 3 2 2 2 2 4 2 2" xfId="41337" xr:uid="{00000000-0005-0000-0000-0000701B0000}"/>
    <cellStyle name="20% - Accent3 3 2 2 2 2 4 3" xfId="30036" xr:uid="{00000000-0005-0000-0000-0000711B0000}"/>
    <cellStyle name="20% - Accent3 3 2 2 2 2 5" xfId="13085" xr:uid="{00000000-0005-0000-0000-0000721B0000}"/>
    <cellStyle name="20% - Accent3 3 2 2 2 2 5 2" xfId="35687" xr:uid="{00000000-0005-0000-0000-0000731B0000}"/>
    <cellStyle name="20% - Accent3 3 2 2 2 2 6" xfId="24386" xr:uid="{00000000-0005-0000-0000-0000741B0000}"/>
    <cellStyle name="20% - Accent3 3 2 2 2 3" xfId="2655" xr:uid="{00000000-0005-0000-0000-0000751B0000}"/>
    <cellStyle name="20% - Accent3 3 2 2 2 3 2" xfId="5674" xr:uid="{00000000-0005-0000-0000-0000761B0000}"/>
    <cellStyle name="20% - Accent3 3 2 2 2 3 2 2" xfId="11324" xr:uid="{00000000-0005-0000-0000-0000771B0000}"/>
    <cellStyle name="20% - Accent3 3 2 2 2 3 2 2 2" xfId="22625" xr:uid="{00000000-0005-0000-0000-0000781B0000}"/>
    <cellStyle name="20% - Accent3 3 2 2 2 3 2 2 2 2" xfId="45227" xr:uid="{00000000-0005-0000-0000-0000791B0000}"/>
    <cellStyle name="20% - Accent3 3 2 2 2 3 2 2 3" xfId="33926" xr:uid="{00000000-0005-0000-0000-00007A1B0000}"/>
    <cellStyle name="20% - Accent3 3 2 2 2 3 2 3" xfId="16975" xr:uid="{00000000-0005-0000-0000-00007B1B0000}"/>
    <cellStyle name="20% - Accent3 3 2 2 2 3 2 3 2" xfId="39577" xr:uid="{00000000-0005-0000-0000-00007C1B0000}"/>
    <cellStyle name="20% - Accent3 3 2 2 2 3 2 4" xfId="28276" xr:uid="{00000000-0005-0000-0000-00007D1B0000}"/>
    <cellStyle name="20% - Accent3 3 2 2 2 3 3" xfId="8491" xr:uid="{00000000-0005-0000-0000-00007E1B0000}"/>
    <cellStyle name="20% - Accent3 3 2 2 2 3 3 2" xfId="19792" xr:uid="{00000000-0005-0000-0000-00007F1B0000}"/>
    <cellStyle name="20% - Accent3 3 2 2 2 3 3 2 2" xfId="42394" xr:uid="{00000000-0005-0000-0000-0000801B0000}"/>
    <cellStyle name="20% - Accent3 3 2 2 2 3 3 3" xfId="31093" xr:uid="{00000000-0005-0000-0000-0000811B0000}"/>
    <cellStyle name="20% - Accent3 3 2 2 2 3 4" xfId="14142" xr:uid="{00000000-0005-0000-0000-0000821B0000}"/>
    <cellStyle name="20% - Accent3 3 2 2 2 3 4 2" xfId="36744" xr:uid="{00000000-0005-0000-0000-0000831B0000}"/>
    <cellStyle name="20% - Accent3 3 2 2 2 3 5" xfId="25443" xr:uid="{00000000-0005-0000-0000-0000841B0000}"/>
    <cellStyle name="20% - Accent3 3 2 2 2 4" xfId="4440" xr:uid="{00000000-0005-0000-0000-0000851B0000}"/>
    <cellStyle name="20% - Accent3 3 2 2 2 4 2" xfId="10090" xr:uid="{00000000-0005-0000-0000-0000861B0000}"/>
    <cellStyle name="20% - Accent3 3 2 2 2 4 2 2" xfId="21391" xr:uid="{00000000-0005-0000-0000-0000871B0000}"/>
    <cellStyle name="20% - Accent3 3 2 2 2 4 2 2 2" xfId="43993" xr:uid="{00000000-0005-0000-0000-0000881B0000}"/>
    <cellStyle name="20% - Accent3 3 2 2 2 4 2 3" xfId="32692" xr:uid="{00000000-0005-0000-0000-0000891B0000}"/>
    <cellStyle name="20% - Accent3 3 2 2 2 4 3" xfId="15741" xr:uid="{00000000-0005-0000-0000-00008A1B0000}"/>
    <cellStyle name="20% - Accent3 3 2 2 2 4 3 2" xfId="38343" xr:uid="{00000000-0005-0000-0000-00008B1B0000}"/>
    <cellStyle name="20% - Accent3 3 2 2 2 4 4" xfId="27042" xr:uid="{00000000-0005-0000-0000-00008C1B0000}"/>
    <cellStyle name="20% - Accent3 3 2 2 2 5" xfId="7236" xr:uid="{00000000-0005-0000-0000-00008D1B0000}"/>
    <cellStyle name="20% - Accent3 3 2 2 2 5 2" xfId="18537" xr:uid="{00000000-0005-0000-0000-00008E1B0000}"/>
    <cellStyle name="20% - Accent3 3 2 2 2 5 2 2" xfId="41139" xr:uid="{00000000-0005-0000-0000-00008F1B0000}"/>
    <cellStyle name="20% - Accent3 3 2 2 2 5 3" xfId="29838" xr:uid="{00000000-0005-0000-0000-0000901B0000}"/>
    <cellStyle name="20% - Accent3 3 2 2 2 6" xfId="12887" xr:uid="{00000000-0005-0000-0000-0000911B0000}"/>
    <cellStyle name="20% - Accent3 3 2 2 2 6 2" xfId="35489" xr:uid="{00000000-0005-0000-0000-0000921B0000}"/>
    <cellStyle name="20% - Accent3 3 2 2 2 7" xfId="24188" xr:uid="{00000000-0005-0000-0000-0000931B0000}"/>
    <cellStyle name="20% - Accent3 3 2 2 3" xfId="955" xr:uid="{00000000-0005-0000-0000-0000941B0000}"/>
    <cellStyle name="20% - Accent3 3 2 2 3 2" xfId="3018" xr:uid="{00000000-0005-0000-0000-0000951B0000}"/>
    <cellStyle name="20% - Accent3 3 2 2 3 2 2" xfId="5990" xr:uid="{00000000-0005-0000-0000-0000961B0000}"/>
    <cellStyle name="20% - Accent3 3 2 2 3 2 2 2" xfId="11640" xr:uid="{00000000-0005-0000-0000-0000971B0000}"/>
    <cellStyle name="20% - Accent3 3 2 2 3 2 2 2 2" xfId="22941" xr:uid="{00000000-0005-0000-0000-0000981B0000}"/>
    <cellStyle name="20% - Accent3 3 2 2 3 2 2 2 2 2" xfId="45543" xr:uid="{00000000-0005-0000-0000-0000991B0000}"/>
    <cellStyle name="20% - Accent3 3 2 2 3 2 2 2 3" xfId="34242" xr:uid="{00000000-0005-0000-0000-00009A1B0000}"/>
    <cellStyle name="20% - Accent3 3 2 2 3 2 2 3" xfId="17291" xr:uid="{00000000-0005-0000-0000-00009B1B0000}"/>
    <cellStyle name="20% - Accent3 3 2 2 3 2 2 3 2" xfId="39893" xr:uid="{00000000-0005-0000-0000-00009C1B0000}"/>
    <cellStyle name="20% - Accent3 3 2 2 3 2 2 4" xfId="28592" xr:uid="{00000000-0005-0000-0000-00009D1B0000}"/>
    <cellStyle name="20% - Accent3 3 2 2 3 2 3" xfId="8808" xr:uid="{00000000-0005-0000-0000-00009E1B0000}"/>
    <cellStyle name="20% - Accent3 3 2 2 3 2 3 2" xfId="20109" xr:uid="{00000000-0005-0000-0000-00009F1B0000}"/>
    <cellStyle name="20% - Accent3 3 2 2 3 2 3 2 2" xfId="42711" xr:uid="{00000000-0005-0000-0000-0000A01B0000}"/>
    <cellStyle name="20% - Accent3 3 2 2 3 2 3 3" xfId="31410" xr:uid="{00000000-0005-0000-0000-0000A11B0000}"/>
    <cellStyle name="20% - Accent3 3 2 2 3 2 4" xfId="14459" xr:uid="{00000000-0005-0000-0000-0000A21B0000}"/>
    <cellStyle name="20% - Accent3 3 2 2 3 2 4 2" xfId="37061" xr:uid="{00000000-0005-0000-0000-0000A31B0000}"/>
    <cellStyle name="20% - Accent3 3 2 2 3 2 5" xfId="25760" xr:uid="{00000000-0005-0000-0000-0000A41B0000}"/>
    <cellStyle name="20% - Accent3 3 2 2 3 3" xfId="4756" xr:uid="{00000000-0005-0000-0000-0000A51B0000}"/>
    <cellStyle name="20% - Accent3 3 2 2 3 3 2" xfId="10406" xr:uid="{00000000-0005-0000-0000-0000A61B0000}"/>
    <cellStyle name="20% - Accent3 3 2 2 3 3 2 2" xfId="21707" xr:uid="{00000000-0005-0000-0000-0000A71B0000}"/>
    <cellStyle name="20% - Accent3 3 2 2 3 3 2 2 2" xfId="44309" xr:uid="{00000000-0005-0000-0000-0000A81B0000}"/>
    <cellStyle name="20% - Accent3 3 2 2 3 3 2 3" xfId="33008" xr:uid="{00000000-0005-0000-0000-0000A91B0000}"/>
    <cellStyle name="20% - Accent3 3 2 2 3 3 3" xfId="16057" xr:uid="{00000000-0005-0000-0000-0000AA1B0000}"/>
    <cellStyle name="20% - Accent3 3 2 2 3 3 3 2" xfId="38659" xr:uid="{00000000-0005-0000-0000-0000AB1B0000}"/>
    <cellStyle name="20% - Accent3 3 2 2 3 3 4" xfId="27358" xr:uid="{00000000-0005-0000-0000-0000AC1B0000}"/>
    <cellStyle name="20% - Accent3 3 2 2 3 4" xfId="6943" xr:uid="{00000000-0005-0000-0000-0000AD1B0000}"/>
    <cellStyle name="20% - Accent3 3 2 2 3 4 2" xfId="18244" xr:uid="{00000000-0005-0000-0000-0000AE1B0000}"/>
    <cellStyle name="20% - Accent3 3 2 2 3 4 2 2" xfId="40846" xr:uid="{00000000-0005-0000-0000-0000AF1B0000}"/>
    <cellStyle name="20% - Accent3 3 2 2 3 4 3" xfId="29545" xr:uid="{00000000-0005-0000-0000-0000B01B0000}"/>
    <cellStyle name="20% - Accent3 3 2 2 3 5" xfId="12594" xr:uid="{00000000-0005-0000-0000-0000B11B0000}"/>
    <cellStyle name="20% - Accent3 3 2 2 3 5 2" xfId="35196" xr:uid="{00000000-0005-0000-0000-0000B21B0000}"/>
    <cellStyle name="20% - Accent3 3 2 2 3 6" xfId="23895" xr:uid="{00000000-0005-0000-0000-0000B31B0000}"/>
    <cellStyle name="20% - Accent3 3 2 2 4" xfId="1577" xr:uid="{00000000-0005-0000-0000-0000B41B0000}"/>
    <cellStyle name="20% - Accent3 3 2 2 4 2" xfId="3552" xr:uid="{00000000-0005-0000-0000-0000B51B0000}"/>
    <cellStyle name="20% - Accent3 3 2 2 4 2 2" xfId="9266" xr:uid="{00000000-0005-0000-0000-0000B61B0000}"/>
    <cellStyle name="20% - Accent3 3 2 2 4 2 2 2" xfId="20567" xr:uid="{00000000-0005-0000-0000-0000B71B0000}"/>
    <cellStyle name="20% - Accent3 3 2 2 4 2 2 2 2" xfId="43169" xr:uid="{00000000-0005-0000-0000-0000B81B0000}"/>
    <cellStyle name="20% - Accent3 3 2 2 4 2 2 3" xfId="31868" xr:uid="{00000000-0005-0000-0000-0000B91B0000}"/>
    <cellStyle name="20% - Accent3 3 2 2 4 2 3" xfId="14917" xr:uid="{00000000-0005-0000-0000-0000BA1B0000}"/>
    <cellStyle name="20% - Accent3 3 2 2 4 2 3 2" xfId="37519" xr:uid="{00000000-0005-0000-0000-0000BB1B0000}"/>
    <cellStyle name="20% - Accent3 3 2 2 4 2 4" xfId="26218" xr:uid="{00000000-0005-0000-0000-0000BC1B0000}"/>
    <cellStyle name="20% - Accent3 3 2 2 4 3" xfId="5366" xr:uid="{00000000-0005-0000-0000-0000BD1B0000}"/>
    <cellStyle name="20% - Accent3 3 2 2 4 3 2" xfId="11016" xr:uid="{00000000-0005-0000-0000-0000BE1B0000}"/>
    <cellStyle name="20% - Accent3 3 2 2 4 3 2 2" xfId="22317" xr:uid="{00000000-0005-0000-0000-0000BF1B0000}"/>
    <cellStyle name="20% - Accent3 3 2 2 4 3 2 2 2" xfId="44919" xr:uid="{00000000-0005-0000-0000-0000C01B0000}"/>
    <cellStyle name="20% - Accent3 3 2 2 4 3 2 3" xfId="33618" xr:uid="{00000000-0005-0000-0000-0000C11B0000}"/>
    <cellStyle name="20% - Accent3 3 2 2 4 3 3" xfId="16667" xr:uid="{00000000-0005-0000-0000-0000C21B0000}"/>
    <cellStyle name="20% - Accent3 3 2 2 4 3 3 2" xfId="39269" xr:uid="{00000000-0005-0000-0000-0000C31B0000}"/>
    <cellStyle name="20% - Accent3 3 2 2 4 3 4" xfId="27968" xr:uid="{00000000-0005-0000-0000-0000C41B0000}"/>
    <cellStyle name="20% - Accent3 3 2 2 4 4" xfId="7433" xr:uid="{00000000-0005-0000-0000-0000C51B0000}"/>
    <cellStyle name="20% - Accent3 3 2 2 4 4 2" xfId="18734" xr:uid="{00000000-0005-0000-0000-0000C61B0000}"/>
    <cellStyle name="20% - Accent3 3 2 2 4 4 2 2" xfId="41336" xr:uid="{00000000-0005-0000-0000-0000C71B0000}"/>
    <cellStyle name="20% - Accent3 3 2 2 4 4 3" xfId="30035" xr:uid="{00000000-0005-0000-0000-0000C81B0000}"/>
    <cellStyle name="20% - Accent3 3 2 2 4 5" xfId="13084" xr:uid="{00000000-0005-0000-0000-0000C91B0000}"/>
    <cellStyle name="20% - Accent3 3 2 2 4 5 2" xfId="35686" xr:uid="{00000000-0005-0000-0000-0000CA1B0000}"/>
    <cellStyle name="20% - Accent3 3 2 2 4 6" xfId="24385" xr:uid="{00000000-0005-0000-0000-0000CB1B0000}"/>
    <cellStyle name="20% - Accent3 3 2 2 5" xfId="2347" xr:uid="{00000000-0005-0000-0000-0000CC1B0000}"/>
    <cellStyle name="20% - Accent3 3 2 2 5 2" xfId="8183" xr:uid="{00000000-0005-0000-0000-0000CD1B0000}"/>
    <cellStyle name="20% - Accent3 3 2 2 5 2 2" xfId="19484" xr:uid="{00000000-0005-0000-0000-0000CE1B0000}"/>
    <cellStyle name="20% - Accent3 3 2 2 5 2 2 2" xfId="42086" xr:uid="{00000000-0005-0000-0000-0000CF1B0000}"/>
    <cellStyle name="20% - Accent3 3 2 2 5 2 3" xfId="30785" xr:uid="{00000000-0005-0000-0000-0000D01B0000}"/>
    <cellStyle name="20% - Accent3 3 2 2 5 3" xfId="13834" xr:uid="{00000000-0005-0000-0000-0000D11B0000}"/>
    <cellStyle name="20% - Accent3 3 2 2 5 3 2" xfId="36436" xr:uid="{00000000-0005-0000-0000-0000D21B0000}"/>
    <cellStyle name="20% - Accent3 3 2 2 5 4" xfId="25135" xr:uid="{00000000-0005-0000-0000-0000D31B0000}"/>
    <cellStyle name="20% - Accent3 3 2 2 6" xfId="4132" xr:uid="{00000000-0005-0000-0000-0000D41B0000}"/>
    <cellStyle name="20% - Accent3 3 2 2 6 2" xfId="9782" xr:uid="{00000000-0005-0000-0000-0000D51B0000}"/>
    <cellStyle name="20% - Accent3 3 2 2 6 2 2" xfId="21083" xr:uid="{00000000-0005-0000-0000-0000D61B0000}"/>
    <cellStyle name="20% - Accent3 3 2 2 6 2 2 2" xfId="43685" xr:uid="{00000000-0005-0000-0000-0000D71B0000}"/>
    <cellStyle name="20% - Accent3 3 2 2 6 2 3" xfId="32384" xr:uid="{00000000-0005-0000-0000-0000D81B0000}"/>
    <cellStyle name="20% - Accent3 3 2 2 6 3" xfId="15433" xr:uid="{00000000-0005-0000-0000-0000D91B0000}"/>
    <cellStyle name="20% - Accent3 3 2 2 6 3 2" xfId="38035" xr:uid="{00000000-0005-0000-0000-0000DA1B0000}"/>
    <cellStyle name="20% - Accent3 3 2 2 6 4" xfId="26734" xr:uid="{00000000-0005-0000-0000-0000DB1B0000}"/>
    <cellStyle name="20% - Accent3 3 2 2 7" xfId="6612" xr:uid="{00000000-0005-0000-0000-0000DC1B0000}"/>
    <cellStyle name="20% - Accent3 3 2 2 7 2" xfId="17913" xr:uid="{00000000-0005-0000-0000-0000DD1B0000}"/>
    <cellStyle name="20% - Accent3 3 2 2 7 2 2" xfId="40515" xr:uid="{00000000-0005-0000-0000-0000DE1B0000}"/>
    <cellStyle name="20% - Accent3 3 2 2 7 3" xfId="29214" xr:uid="{00000000-0005-0000-0000-0000DF1B0000}"/>
    <cellStyle name="20% - Accent3 3 2 2 8" xfId="12263" xr:uid="{00000000-0005-0000-0000-0000E01B0000}"/>
    <cellStyle name="20% - Accent3 3 2 2 8 2" xfId="34865" xr:uid="{00000000-0005-0000-0000-0000E11B0000}"/>
    <cellStyle name="20% - Accent3 3 2 2 9" xfId="23564" xr:uid="{00000000-0005-0000-0000-0000E21B0000}"/>
    <cellStyle name="20% - Accent3 3 2 3" xfId="1119" xr:uid="{00000000-0005-0000-0000-0000E31B0000}"/>
    <cellStyle name="20% - Accent3 3 2 3 2" xfId="1579" xr:uid="{00000000-0005-0000-0000-0000E41B0000}"/>
    <cellStyle name="20% - Accent3 3 2 3 2 2" xfId="3187" xr:uid="{00000000-0005-0000-0000-0000E51B0000}"/>
    <cellStyle name="20% - Accent3 3 2 3 2 2 2" xfId="6159" xr:uid="{00000000-0005-0000-0000-0000E61B0000}"/>
    <cellStyle name="20% - Accent3 3 2 3 2 2 2 2" xfId="11809" xr:uid="{00000000-0005-0000-0000-0000E71B0000}"/>
    <cellStyle name="20% - Accent3 3 2 3 2 2 2 2 2" xfId="23110" xr:uid="{00000000-0005-0000-0000-0000E81B0000}"/>
    <cellStyle name="20% - Accent3 3 2 3 2 2 2 2 2 2" xfId="45712" xr:uid="{00000000-0005-0000-0000-0000E91B0000}"/>
    <cellStyle name="20% - Accent3 3 2 3 2 2 2 2 3" xfId="34411" xr:uid="{00000000-0005-0000-0000-0000EA1B0000}"/>
    <cellStyle name="20% - Accent3 3 2 3 2 2 2 3" xfId="17460" xr:uid="{00000000-0005-0000-0000-0000EB1B0000}"/>
    <cellStyle name="20% - Accent3 3 2 3 2 2 2 3 2" xfId="40062" xr:uid="{00000000-0005-0000-0000-0000EC1B0000}"/>
    <cellStyle name="20% - Accent3 3 2 3 2 2 2 4" xfId="28761" xr:uid="{00000000-0005-0000-0000-0000ED1B0000}"/>
    <cellStyle name="20% - Accent3 3 2 3 2 2 3" xfId="8977" xr:uid="{00000000-0005-0000-0000-0000EE1B0000}"/>
    <cellStyle name="20% - Accent3 3 2 3 2 2 3 2" xfId="20278" xr:uid="{00000000-0005-0000-0000-0000EF1B0000}"/>
    <cellStyle name="20% - Accent3 3 2 3 2 2 3 2 2" xfId="42880" xr:uid="{00000000-0005-0000-0000-0000F01B0000}"/>
    <cellStyle name="20% - Accent3 3 2 3 2 2 3 3" xfId="31579" xr:uid="{00000000-0005-0000-0000-0000F11B0000}"/>
    <cellStyle name="20% - Accent3 3 2 3 2 2 4" xfId="14628" xr:uid="{00000000-0005-0000-0000-0000F21B0000}"/>
    <cellStyle name="20% - Accent3 3 2 3 2 2 4 2" xfId="37230" xr:uid="{00000000-0005-0000-0000-0000F31B0000}"/>
    <cellStyle name="20% - Accent3 3 2 3 2 2 5" xfId="25929" xr:uid="{00000000-0005-0000-0000-0000F41B0000}"/>
    <cellStyle name="20% - Accent3 3 2 3 2 3" xfId="4925" xr:uid="{00000000-0005-0000-0000-0000F51B0000}"/>
    <cellStyle name="20% - Accent3 3 2 3 2 3 2" xfId="10575" xr:uid="{00000000-0005-0000-0000-0000F61B0000}"/>
    <cellStyle name="20% - Accent3 3 2 3 2 3 2 2" xfId="21876" xr:uid="{00000000-0005-0000-0000-0000F71B0000}"/>
    <cellStyle name="20% - Accent3 3 2 3 2 3 2 2 2" xfId="44478" xr:uid="{00000000-0005-0000-0000-0000F81B0000}"/>
    <cellStyle name="20% - Accent3 3 2 3 2 3 2 3" xfId="33177" xr:uid="{00000000-0005-0000-0000-0000F91B0000}"/>
    <cellStyle name="20% - Accent3 3 2 3 2 3 3" xfId="16226" xr:uid="{00000000-0005-0000-0000-0000FA1B0000}"/>
    <cellStyle name="20% - Accent3 3 2 3 2 3 3 2" xfId="38828" xr:uid="{00000000-0005-0000-0000-0000FB1B0000}"/>
    <cellStyle name="20% - Accent3 3 2 3 2 3 4" xfId="27527" xr:uid="{00000000-0005-0000-0000-0000FC1B0000}"/>
    <cellStyle name="20% - Accent3 3 2 3 2 4" xfId="7435" xr:uid="{00000000-0005-0000-0000-0000FD1B0000}"/>
    <cellStyle name="20% - Accent3 3 2 3 2 4 2" xfId="18736" xr:uid="{00000000-0005-0000-0000-0000FE1B0000}"/>
    <cellStyle name="20% - Accent3 3 2 3 2 4 2 2" xfId="41338" xr:uid="{00000000-0005-0000-0000-0000FF1B0000}"/>
    <cellStyle name="20% - Accent3 3 2 3 2 4 3" xfId="30037" xr:uid="{00000000-0005-0000-0000-0000001C0000}"/>
    <cellStyle name="20% - Accent3 3 2 3 2 5" xfId="13086" xr:uid="{00000000-0005-0000-0000-0000011C0000}"/>
    <cellStyle name="20% - Accent3 3 2 3 2 5 2" xfId="35688" xr:uid="{00000000-0005-0000-0000-0000021C0000}"/>
    <cellStyle name="20% - Accent3 3 2 3 2 6" xfId="24387" xr:uid="{00000000-0005-0000-0000-0000031C0000}"/>
    <cellStyle name="20% - Accent3 3 2 3 3" xfId="2516" xr:uid="{00000000-0005-0000-0000-0000041C0000}"/>
    <cellStyle name="20% - Accent3 3 2 3 3 2" xfId="5535" xr:uid="{00000000-0005-0000-0000-0000051C0000}"/>
    <cellStyle name="20% - Accent3 3 2 3 3 2 2" xfId="11185" xr:uid="{00000000-0005-0000-0000-0000061C0000}"/>
    <cellStyle name="20% - Accent3 3 2 3 3 2 2 2" xfId="22486" xr:uid="{00000000-0005-0000-0000-0000071C0000}"/>
    <cellStyle name="20% - Accent3 3 2 3 3 2 2 2 2" xfId="45088" xr:uid="{00000000-0005-0000-0000-0000081C0000}"/>
    <cellStyle name="20% - Accent3 3 2 3 3 2 2 3" xfId="33787" xr:uid="{00000000-0005-0000-0000-0000091C0000}"/>
    <cellStyle name="20% - Accent3 3 2 3 3 2 3" xfId="16836" xr:uid="{00000000-0005-0000-0000-00000A1C0000}"/>
    <cellStyle name="20% - Accent3 3 2 3 3 2 3 2" xfId="39438" xr:uid="{00000000-0005-0000-0000-00000B1C0000}"/>
    <cellStyle name="20% - Accent3 3 2 3 3 2 4" xfId="28137" xr:uid="{00000000-0005-0000-0000-00000C1C0000}"/>
    <cellStyle name="20% - Accent3 3 2 3 3 3" xfId="8352" xr:uid="{00000000-0005-0000-0000-00000D1C0000}"/>
    <cellStyle name="20% - Accent3 3 2 3 3 3 2" xfId="19653" xr:uid="{00000000-0005-0000-0000-00000E1C0000}"/>
    <cellStyle name="20% - Accent3 3 2 3 3 3 2 2" xfId="42255" xr:uid="{00000000-0005-0000-0000-00000F1C0000}"/>
    <cellStyle name="20% - Accent3 3 2 3 3 3 3" xfId="30954" xr:uid="{00000000-0005-0000-0000-0000101C0000}"/>
    <cellStyle name="20% - Accent3 3 2 3 3 4" xfId="14003" xr:uid="{00000000-0005-0000-0000-0000111C0000}"/>
    <cellStyle name="20% - Accent3 3 2 3 3 4 2" xfId="36605" xr:uid="{00000000-0005-0000-0000-0000121C0000}"/>
    <cellStyle name="20% - Accent3 3 2 3 3 5" xfId="25304" xr:uid="{00000000-0005-0000-0000-0000131C0000}"/>
    <cellStyle name="20% - Accent3 3 2 3 4" xfId="4301" xr:uid="{00000000-0005-0000-0000-0000141C0000}"/>
    <cellStyle name="20% - Accent3 3 2 3 4 2" xfId="9951" xr:uid="{00000000-0005-0000-0000-0000151C0000}"/>
    <cellStyle name="20% - Accent3 3 2 3 4 2 2" xfId="21252" xr:uid="{00000000-0005-0000-0000-0000161C0000}"/>
    <cellStyle name="20% - Accent3 3 2 3 4 2 2 2" xfId="43854" xr:uid="{00000000-0005-0000-0000-0000171C0000}"/>
    <cellStyle name="20% - Accent3 3 2 3 4 2 3" xfId="32553" xr:uid="{00000000-0005-0000-0000-0000181C0000}"/>
    <cellStyle name="20% - Accent3 3 2 3 4 3" xfId="15602" xr:uid="{00000000-0005-0000-0000-0000191C0000}"/>
    <cellStyle name="20% - Accent3 3 2 3 4 3 2" xfId="38204" xr:uid="{00000000-0005-0000-0000-00001A1C0000}"/>
    <cellStyle name="20% - Accent3 3 2 3 4 4" xfId="26903" xr:uid="{00000000-0005-0000-0000-00001B1C0000}"/>
    <cellStyle name="20% - Accent3 3 2 3 5" xfId="7098" xr:uid="{00000000-0005-0000-0000-00001C1C0000}"/>
    <cellStyle name="20% - Accent3 3 2 3 5 2" xfId="18399" xr:uid="{00000000-0005-0000-0000-00001D1C0000}"/>
    <cellStyle name="20% - Accent3 3 2 3 5 2 2" xfId="41001" xr:uid="{00000000-0005-0000-0000-00001E1C0000}"/>
    <cellStyle name="20% - Accent3 3 2 3 5 3" xfId="29700" xr:uid="{00000000-0005-0000-0000-00001F1C0000}"/>
    <cellStyle name="20% - Accent3 3 2 3 6" xfId="12749" xr:uid="{00000000-0005-0000-0000-0000201C0000}"/>
    <cellStyle name="20% - Accent3 3 2 3 6 2" xfId="35351" xr:uid="{00000000-0005-0000-0000-0000211C0000}"/>
    <cellStyle name="20% - Accent3 3 2 3 7" xfId="24050" xr:uid="{00000000-0005-0000-0000-0000221C0000}"/>
    <cellStyle name="20% - Accent3 3 2 4" xfId="808" xr:uid="{00000000-0005-0000-0000-0000231C0000}"/>
    <cellStyle name="20% - Accent3 3 2 4 2" xfId="2880" xr:uid="{00000000-0005-0000-0000-0000241C0000}"/>
    <cellStyle name="20% - Accent3 3 2 4 2 2" xfId="5852" xr:uid="{00000000-0005-0000-0000-0000251C0000}"/>
    <cellStyle name="20% - Accent3 3 2 4 2 2 2" xfId="11502" xr:uid="{00000000-0005-0000-0000-0000261C0000}"/>
    <cellStyle name="20% - Accent3 3 2 4 2 2 2 2" xfId="22803" xr:uid="{00000000-0005-0000-0000-0000271C0000}"/>
    <cellStyle name="20% - Accent3 3 2 4 2 2 2 2 2" xfId="45405" xr:uid="{00000000-0005-0000-0000-0000281C0000}"/>
    <cellStyle name="20% - Accent3 3 2 4 2 2 2 3" xfId="34104" xr:uid="{00000000-0005-0000-0000-0000291C0000}"/>
    <cellStyle name="20% - Accent3 3 2 4 2 2 3" xfId="17153" xr:uid="{00000000-0005-0000-0000-00002A1C0000}"/>
    <cellStyle name="20% - Accent3 3 2 4 2 2 3 2" xfId="39755" xr:uid="{00000000-0005-0000-0000-00002B1C0000}"/>
    <cellStyle name="20% - Accent3 3 2 4 2 2 4" xfId="28454" xr:uid="{00000000-0005-0000-0000-00002C1C0000}"/>
    <cellStyle name="20% - Accent3 3 2 4 2 3" xfId="8670" xr:uid="{00000000-0005-0000-0000-00002D1C0000}"/>
    <cellStyle name="20% - Accent3 3 2 4 2 3 2" xfId="19971" xr:uid="{00000000-0005-0000-0000-00002E1C0000}"/>
    <cellStyle name="20% - Accent3 3 2 4 2 3 2 2" xfId="42573" xr:uid="{00000000-0005-0000-0000-00002F1C0000}"/>
    <cellStyle name="20% - Accent3 3 2 4 2 3 3" xfId="31272" xr:uid="{00000000-0005-0000-0000-0000301C0000}"/>
    <cellStyle name="20% - Accent3 3 2 4 2 4" xfId="14321" xr:uid="{00000000-0005-0000-0000-0000311C0000}"/>
    <cellStyle name="20% - Accent3 3 2 4 2 4 2" xfId="36923" xr:uid="{00000000-0005-0000-0000-0000321C0000}"/>
    <cellStyle name="20% - Accent3 3 2 4 2 5" xfId="25622" xr:uid="{00000000-0005-0000-0000-0000331C0000}"/>
    <cellStyle name="20% - Accent3 3 2 4 3" xfId="4618" xr:uid="{00000000-0005-0000-0000-0000341C0000}"/>
    <cellStyle name="20% - Accent3 3 2 4 3 2" xfId="10268" xr:uid="{00000000-0005-0000-0000-0000351C0000}"/>
    <cellStyle name="20% - Accent3 3 2 4 3 2 2" xfId="21569" xr:uid="{00000000-0005-0000-0000-0000361C0000}"/>
    <cellStyle name="20% - Accent3 3 2 4 3 2 2 2" xfId="44171" xr:uid="{00000000-0005-0000-0000-0000371C0000}"/>
    <cellStyle name="20% - Accent3 3 2 4 3 2 3" xfId="32870" xr:uid="{00000000-0005-0000-0000-0000381C0000}"/>
    <cellStyle name="20% - Accent3 3 2 4 3 3" xfId="15919" xr:uid="{00000000-0005-0000-0000-0000391C0000}"/>
    <cellStyle name="20% - Accent3 3 2 4 3 3 2" xfId="38521" xr:uid="{00000000-0005-0000-0000-00003A1C0000}"/>
    <cellStyle name="20% - Accent3 3 2 4 3 4" xfId="27220" xr:uid="{00000000-0005-0000-0000-00003B1C0000}"/>
    <cellStyle name="20% - Accent3 3 2 4 4" xfId="6805" xr:uid="{00000000-0005-0000-0000-00003C1C0000}"/>
    <cellStyle name="20% - Accent3 3 2 4 4 2" xfId="18106" xr:uid="{00000000-0005-0000-0000-00003D1C0000}"/>
    <cellStyle name="20% - Accent3 3 2 4 4 2 2" xfId="40708" xr:uid="{00000000-0005-0000-0000-00003E1C0000}"/>
    <cellStyle name="20% - Accent3 3 2 4 4 3" xfId="29407" xr:uid="{00000000-0005-0000-0000-00003F1C0000}"/>
    <cellStyle name="20% - Accent3 3 2 4 5" xfId="12456" xr:uid="{00000000-0005-0000-0000-0000401C0000}"/>
    <cellStyle name="20% - Accent3 3 2 4 5 2" xfId="35058" xr:uid="{00000000-0005-0000-0000-0000411C0000}"/>
    <cellStyle name="20% - Accent3 3 2 4 6" xfId="23757" xr:uid="{00000000-0005-0000-0000-0000421C0000}"/>
    <cellStyle name="20% - Accent3 3 2 5" xfId="1576" xr:uid="{00000000-0005-0000-0000-0000431C0000}"/>
    <cellStyle name="20% - Accent3 3 2 5 2" xfId="3551" xr:uid="{00000000-0005-0000-0000-0000441C0000}"/>
    <cellStyle name="20% - Accent3 3 2 5 2 2" xfId="9265" xr:uid="{00000000-0005-0000-0000-0000451C0000}"/>
    <cellStyle name="20% - Accent3 3 2 5 2 2 2" xfId="20566" xr:uid="{00000000-0005-0000-0000-0000461C0000}"/>
    <cellStyle name="20% - Accent3 3 2 5 2 2 2 2" xfId="43168" xr:uid="{00000000-0005-0000-0000-0000471C0000}"/>
    <cellStyle name="20% - Accent3 3 2 5 2 2 3" xfId="31867" xr:uid="{00000000-0005-0000-0000-0000481C0000}"/>
    <cellStyle name="20% - Accent3 3 2 5 2 3" xfId="14916" xr:uid="{00000000-0005-0000-0000-0000491C0000}"/>
    <cellStyle name="20% - Accent3 3 2 5 2 3 2" xfId="37518" xr:uid="{00000000-0005-0000-0000-00004A1C0000}"/>
    <cellStyle name="20% - Accent3 3 2 5 2 4" xfId="26217" xr:uid="{00000000-0005-0000-0000-00004B1C0000}"/>
    <cellStyle name="20% - Accent3 3 2 5 3" xfId="5228" xr:uid="{00000000-0005-0000-0000-00004C1C0000}"/>
    <cellStyle name="20% - Accent3 3 2 5 3 2" xfId="10878" xr:uid="{00000000-0005-0000-0000-00004D1C0000}"/>
    <cellStyle name="20% - Accent3 3 2 5 3 2 2" xfId="22179" xr:uid="{00000000-0005-0000-0000-00004E1C0000}"/>
    <cellStyle name="20% - Accent3 3 2 5 3 2 2 2" xfId="44781" xr:uid="{00000000-0005-0000-0000-00004F1C0000}"/>
    <cellStyle name="20% - Accent3 3 2 5 3 2 3" xfId="33480" xr:uid="{00000000-0005-0000-0000-0000501C0000}"/>
    <cellStyle name="20% - Accent3 3 2 5 3 3" xfId="16529" xr:uid="{00000000-0005-0000-0000-0000511C0000}"/>
    <cellStyle name="20% - Accent3 3 2 5 3 3 2" xfId="39131" xr:uid="{00000000-0005-0000-0000-0000521C0000}"/>
    <cellStyle name="20% - Accent3 3 2 5 3 4" xfId="27830" xr:uid="{00000000-0005-0000-0000-0000531C0000}"/>
    <cellStyle name="20% - Accent3 3 2 5 4" xfId="7432" xr:uid="{00000000-0005-0000-0000-0000541C0000}"/>
    <cellStyle name="20% - Accent3 3 2 5 4 2" xfId="18733" xr:uid="{00000000-0005-0000-0000-0000551C0000}"/>
    <cellStyle name="20% - Accent3 3 2 5 4 2 2" xfId="41335" xr:uid="{00000000-0005-0000-0000-0000561C0000}"/>
    <cellStyle name="20% - Accent3 3 2 5 4 3" xfId="30034" xr:uid="{00000000-0005-0000-0000-0000571C0000}"/>
    <cellStyle name="20% - Accent3 3 2 5 5" xfId="13083" xr:uid="{00000000-0005-0000-0000-0000581C0000}"/>
    <cellStyle name="20% - Accent3 3 2 5 5 2" xfId="35685" xr:uid="{00000000-0005-0000-0000-0000591C0000}"/>
    <cellStyle name="20% - Accent3 3 2 5 6" xfId="24384" xr:uid="{00000000-0005-0000-0000-00005A1C0000}"/>
    <cellStyle name="20% - Accent3 3 2 6" xfId="2206" xr:uid="{00000000-0005-0000-0000-00005B1C0000}"/>
    <cellStyle name="20% - Accent3 3 2 6 2" xfId="8042" xr:uid="{00000000-0005-0000-0000-00005C1C0000}"/>
    <cellStyle name="20% - Accent3 3 2 6 2 2" xfId="19343" xr:uid="{00000000-0005-0000-0000-00005D1C0000}"/>
    <cellStyle name="20% - Accent3 3 2 6 2 2 2" xfId="41945" xr:uid="{00000000-0005-0000-0000-00005E1C0000}"/>
    <cellStyle name="20% - Accent3 3 2 6 2 3" xfId="30644" xr:uid="{00000000-0005-0000-0000-00005F1C0000}"/>
    <cellStyle name="20% - Accent3 3 2 6 3" xfId="13693" xr:uid="{00000000-0005-0000-0000-0000601C0000}"/>
    <cellStyle name="20% - Accent3 3 2 6 3 2" xfId="36295" xr:uid="{00000000-0005-0000-0000-0000611C0000}"/>
    <cellStyle name="20% - Accent3 3 2 6 4" xfId="24994" xr:uid="{00000000-0005-0000-0000-0000621C0000}"/>
    <cellStyle name="20% - Accent3 3 2 7" xfId="3994" xr:uid="{00000000-0005-0000-0000-0000631C0000}"/>
    <cellStyle name="20% - Accent3 3 2 7 2" xfId="9644" xr:uid="{00000000-0005-0000-0000-0000641C0000}"/>
    <cellStyle name="20% - Accent3 3 2 7 2 2" xfId="20945" xr:uid="{00000000-0005-0000-0000-0000651C0000}"/>
    <cellStyle name="20% - Accent3 3 2 7 2 2 2" xfId="43547" xr:uid="{00000000-0005-0000-0000-0000661C0000}"/>
    <cellStyle name="20% - Accent3 3 2 7 2 3" xfId="32246" xr:uid="{00000000-0005-0000-0000-0000671C0000}"/>
    <cellStyle name="20% - Accent3 3 2 7 3" xfId="15295" xr:uid="{00000000-0005-0000-0000-0000681C0000}"/>
    <cellStyle name="20% - Accent3 3 2 7 3 2" xfId="37897" xr:uid="{00000000-0005-0000-0000-0000691C0000}"/>
    <cellStyle name="20% - Accent3 3 2 7 4" xfId="26596" xr:uid="{00000000-0005-0000-0000-00006A1C0000}"/>
    <cellStyle name="20% - Accent3 3 2 8" xfId="6445" xr:uid="{00000000-0005-0000-0000-00006B1C0000}"/>
    <cellStyle name="20% - Accent3 3 2 8 2" xfId="17746" xr:uid="{00000000-0005-0000-0000-00006C1C0000}"/>
    <cellStyle name="20% - Accent3 3 2 8 2 2" xfId="40348" xr:uid="{00000000-0005-0000-0000-00006D1C0000}"/>
    <cellStyle name="20% - Accent3 3 2 8 3" xfId="29047" xr:uid="{00000000-0005-0000-0000-00006E1C0000}"/>
    <cellStyle name="20% - Accent3 3 2 9" xfId="12096" xr:uid="{00000000-0005-0000-0000-00006F1C0000}"/>
    <cellStyle name="20% - Accent3 3 2 9 2" xfId="34698" xr:uid="{00000000-0005-0000-0000-0000701C0000}"/>
    <cellStyle name="20% - Accent3 3 3" xfId="351" xr:uid="{00000000-0005-0000-0000-0000711C0000}"/>
    <cellStyle name="20% - Accent3 3 3 10" xfId="23446" xr:uid="{00000000-0005-0000-0000-0000721C0000}"/>
    <cellStyle name="20% - Accent3 3 3 2" xfId="596" xr:uid="{00000000-0005-0000-0000-0000731C0000}"/>
    <cellStyle name="20% - Accent3 3 3 2 2" xfId="1306" xr:uid="{00000000-0005-0000-0000-0000741C0000}"/>
    <cellStyle name="20% - Accent3 3 3 2 2 2" xfId="1582" xr:uid="{00000000-0005-0000-0000-0000751C0000}"/>
    <cellStyle name="20% - Accent3 3 3 2 2 2 2" xfId="3375" xr:uid="{00000000-0005-0000-0000-0000761C0000}"/>
    <cellStyle name="20% - Accent3 3 3 2 2 2 2 2" xfId="6347" xr:uid="{00000000-0005-0000-0000-0000771C0000}"/>
    <cellStyle name="20% - Accent3 3 3 2 2 2 2 2 2" xfId="11997" xr:uid="{00000000-0005-0000-0000-0000781C0000}"/>
    <cellStyle name="20% - Accent3 3 3 2 2 2 2 2 2 2" xfId="23298" xr:uid="{00000000-0005-0000-0000-0000791C0000}"/>
    <cellStyle name="20% - Accent3 3 3 2 2 2 2 2 2 2 2" xfId="45900" xr:uid="{00000000-0005-0000-0000-00007A1C0000}"/>
    <cellStyle name="20% - Accent3 3 3 2 2 2 2 2 2 3" xfId="34599" xr:uid="{00000000-0005-0000-0000-00007B1C0000}"/>
    <cellStyle name="20% - Accent3 3 3 2 2 2 2 2 3" xfId="17648" xr:uid="{00000000-0005-0000-0000-00007C1C0000}"/>
    <cellStyle name="20% - Accent3 3 3 2 2 2 2 2 3 2" xfId="40250" xr:uid="{00000000-0005-0000-0000-00007D1C0000}"/>
    <cellStyle name="20% - Accent3 3 3 2 2 2 2 2 4" xfId="28949" xr:uid="{00000000-0005-0000-0000-00007E1C0000}"/>
    <cellStyle name="20% - Accent3 3 3 2 2 2 2 3" xfId="9165" xr:uid="{00000000-0005-0000-0000-00007F1C0000}"/>
    <cellStyle name="20% - Accent3 3 3 2 2 2 2 3 2" xfId="20466" xr:uid="{00000000-0005-0000-0000-0000801C0000}"/>
    <cellStyle name="20% - Accent3 3 3 2 2 2 2 3 2 2" xfId="43068" xr:uid="{00000000-0005-0000-0000-0000811C0000}"/>
    <cellStyle name="20% - Accent3 3 3 2 2 2 2 3 3" xfId="31767" xr:uid="{00000000-0005-0000-0000-0000821C0000}"/>
    <cellStyle name="20% - Accent3 3 3 2 2 2 2 4" xfId="14816" xr:uid="{00000000-0005-0000-0000-0000831C0000}"/>
    <cellStyle name="20% - Accent3 3 3 2 2 2 2 4 2" xfId="37418" xr:uid="{00000000-0005-0000-0000-0000841C0000}"/>
    <cellStyle name="20% - Accent3 3 3 2 2 2 2 5" xfId="26117" xr:uid="{00000000-0005-0000-0000-0000851C0000}"/>
    <cellStyle name="20% - Accent3 3 3 2 2 2 3" xfId="5113" xr:uid="{00000000-0005-0000-0000-0000861C0000}"/>
    <cellStyle name="20% - Accent3 3 3 2 2 2 3 2" xfId="10763" xr:uid="{00000000-0005-0000-0000-0000871C0000}"/>
    <cellStyle name="20% - Accent3 3 3 2 2 2 3 2 2" xfId="22064" xr:uid="{00000000-0005-0000-0000-0000881C0000}"/>
    <cellStyle name="20% - Accent3 3 3 2 2 2 3 2 2 2" xfId="44666" xr:uid="{00000000-0005-0000-0000-0000891C0000}"/>
    <cellStyle name="20% - Accent3 3 3 2 2 2 3 2 3" xfId="33365" xr:uid="{00000000-0005-0000-0000-00008A1C0000}"/>
    <cellStyle name="20% - Accent3 3 3 2 2 2 3 3" xfId="16414" xr:uid="{00000000-0005-0000-0000-00008B1C0000}"/>
    <cellStyle name="20% - Accent3 3 3 2 2 2 3 3 2" xfId="39016" xr:uid="{00000000-0005-0000-0000-00008C1C0000}"/>
    <cellStyle name="20% - Accent3 3 3 2 2 2 3 4" xfId="27715" xr:uid="{00000000-0005-0000-0000-00008D1C0000}"/>
    <cellStyle name="20% - Accent3 3 3 2 2 2 4" xfId="7438" xr:uid="{00000000-0005-0000-0000-00008E1C0000}"/>
    <cellStyle name="20% - Accent3 3 3 2 2 2 4 2" xfId="18739" xr:uid="{00000000-0005-0000-0000-00008F1C0000}"/>
    <cellStyle name="20% - Accent3 3 3 2 2 2 4 2 2" xfId="41341" xr:uid="{00000000-0005-0000-0000-0000901C0000}"/>
    <cellStyle name="20% - Accent3 3 3 2 2 2 4 3" xfId="30040" xr:uid="{00000000-0005-0000-0000-0000911C0000}"/>
    <cellStyle name="20% - Accent3 3 3 2 2 2 5" xfId="13089" xr:uid="{00000000-0005-0000-0000-0000921C0000}"/>
    <cellStyle name="20% - Accent3 3 3 2 2 2 5 2" xfId="35691" xr:uid="{00000000-0005-0000-0000-0000931C0000}"/>
    <cellStyle name="20% - Accent3 3 3 2 2 2 6" xfId="24390" xr:uid="{00000000-0005-0000-0000-0000941C0000}"/>
    <cellStyle name="20% - Accent3 3 3 2 2 3" xfId="2704" xr:uid="{00000000-0005-0000-0000-0000951C0000}"/>
    <cellStyle name="20% - Accent3 3 3 2 2 3 2" xfId="5723" xr:uid="{00000000-0005-0000-0000-0000961C0000}"/>
    <cellStyle name="20% - Accent3 3 3 2 2 3 2 2" xfId="11373" xr:uid="{00000000-0005-0000-0000-0000971C0000}"/>
    <cellStyle name="20% - Accent3 3 3 2 2 3 2 2 2" xfId="22674" xr:uid="{00000000-0005-0000-0000-0000981C0000}"/>
    <cellStyle name="20% - Accent3 3 3 2 2 3 2 2 2 2" xfId="45276" xr:uid="{00000000-0005-0000-0000-0000991C0000}"/>
    <cellStyle name="20% - Accent3 3 3 2 2 3 2 2 3" xfId="33975" xr:uid="{00000000-0005-0000-0000-00009A1C0000}"/>
    <cellStyle name="20% - Accent3 3 3 2 2 3 2 3" xfId="17024" xr:uid="{00000000-0005-0000-0000-00009B1C0000}"/>
    <cellStyle name="20% - Accent3 3 3 2 2 3 2 3 2" xfId="39626" xr:uid="{00000000-0005-0000-0000-00009C1C0000}"/>
    <cellStyle name="20% - Accent3 3 3 2 2 3 2 4" xfId="28325" xr:uid="{00000000-0005-0000-0000-00009D1C0000}"/>
    <cellStyle name="20% - Accent3 3 3 2 2 3 3" xfId="8540" xr:uid="{00000000-0005-0000-0000-00009E1C0000}"/>
    <cellStyle name="20% - Accent3 3 3 2 2 3 3 2" xfId="19841" xr:uid="{00000000-0005-0000-0000-00009F1C0000}"/>
    <cellStyle name="20% - Accent3 3 3 2 2 3 3 2 2" xfId="42443" xr:uid="{00000000-0005-0000-0000-0000A01C0000}"/>
    <cellStyle name="20% - Accent3 3 3 2 2 3 3 3" xfId="31142" xr:uid="{00000000-0005-0000-0000-0000A11C0000}"/>
    <cellStyle name="20% - Accent3 3 3 2 2 3 4" xfId="14191" xr:uid="{00000000-0005-0000-0000-0000A21C0000}"/>
    <cellStyle name="20% - Accent3 3 3 2 2 3 4 2" xfId="36793" xr:uid="{00000000-0005-0000-0000-0000A31C0000}"/>
    <cellStyle name="20% - Accent3 3 3 2 2 3 5" xfId="25492" xr:uid="{00000000-0005-0000-0000-0000A41C0000}"/>
    <cellStyle name="20% - Accent3 3 3 2 2 4" xfId="4489" xr:uid="{00000000-0005-0000-0000-0000A51C0000}"/>
    <cellStyle name="20% - Accent3 3 3 2 2 4 2" xfId="10139" xr:uid="{00000000-0005-0000-0000-0000A61C0000}"/>
    <cellStyle name="20% - Accent3 3 3 2 2 4 2 2" xfId="21440" xr:uid="{00000000-0005-0000-0000-0000A71C0000}"/>
    <cellStyle name="20% - Accent3 3 3 2 2 4 2 2 2" xfId="44042" xr:uid="{00000000-0005-0000-0000-0000A81C0000}"/>
    <cellStyle name="20% - Accent3 3 3 2 2 4 2 3" xfId="32741" xr:uid="{00000000-0005-0000-0000-0000A91C0000}"/>
    <cellStyle name="20% - Accent3 3 3 2 2 4 3" xfId="15790" xr:uid="{00000000-0005-0000-0000-0000AA1C0000}"/>
    <cellStyle name="20% - Accent3 3 3 2 2 4 3 2" xfId="38392" xr:uid="{00000000-0005-0000-0000-0000AB1C0000}"/>
    <cellStyle name="20% - Accent3 3 3 2 2 4 4" xfId="27091" xr:uid="{00000000-0005-0000-0000-0000AC1C0000}"/>
    <cellStyle name="20% - Accent3 3 3 2 2 5" xfId="7285" xr:uid="{00000000-0005-0000-0000-0000AD1C0000}"/>
    <cellStyle name="20% - Accent3 3 3 2 2 5 2" xfId="18586" xr:uid="{00000000-0005-0000-0000-0000AE1C0000}"/>
    <cellStyle name="20% - Accent3 3 3 2 2 5 2 2" xfId="41188" xr:uid="{00000000-0005-0000-0000-0000AF1C0000}"/>
    <cellStyle name="20% - Accent3 3 3 2 2 5 3" xfId="29887" xr:uid="{00000000-0005-0000-0000-0000B01C0000}"/>
    <cellStyle name="20% - Accent3 3 3 2 2 6" xfId="12936" xr:uid="{00000000-0005-0000-0000-0000B11C0000}"/>
    <cellStyle name="20% - Accent3 3 3 2 2 6 2" xfId="35538" xr:uid="{00000000-0005-0000-0000-0000B21C0000}"/>
    <cellStyle name="20% - Accent3 3 3 2 2 7" xfId="24237" xr:uid="{00000000-0005-0000-0000-0000B31C0000}"/>
    <cellStyle name="20% - Accent3 3 3 2 3" xfId="1004" xr:uid="{00000000-0005-0000-0000-0000B41C0000}"/>
    <cellStyle name="20% - Accent3 3 3 2 3 2" xfId="3067" xr:uid="{00000000-0005-0000-0000-0000B51C0000}"/>
    <cellStyle name="20% - Accent3 3 3 2 3 2 2" xfId="6039" xr:uid="{00000000-0005-0000-0000-0000B61C0000}"/>
    <cellStyle name="20% - Accent3 3 3 2 3 2 2 2" xfId="11689" xr:uid="{00000000-0005-0000-0000-0000B71C0000}"/>
    <cellStyle name="20% - Accent3 3 3 2 3 2 2 2 2" xfId="22990" xr:uid="{00000000-0005-0000-0000-0000B81C0000}"/>
    <cellStyle name="20% - Accent3 3 3 2 3 2 2 2 2 2" xfId="45592" xr:uid="{00000000-0005-0000-0000-0000B91C0000}"/>
    <cellStyle name="20% - Accent3 3 3 2 3 2 2 2 3" xfId="34291" xr:uid="{00000000-0005-0000-0000-0000BA1C0000}"/>
    <cellStyle name="20% - Accent3 3 3 2 3 2 2 3" xfId="17340" xr:uid="{00000000-0005-0000-0000-0000BB1C0000}"/>
    <cellStyle name="20% - Accent3 3 3 2 3 2 2 3 2" xfId="39942" xr:uid="{00000000-0005-0000-0000-0000BC1C0000}"/>
    <cellStyle name="20% - Accent3 3 3 2 3 2 2 4" xfId="28641" xr:uid="{00000000-0005-0000-0000-0000BD1C0000}"/>
    <cellStyle name="20% - Accent3 3 3 2 3 2 3" xfId="8857" xr:uid="{00000000-0005-0000-0000-0000BE1C0000}"/>
    <cellStyle name="20% - Accent3 3 3 2 3 2 3 2" xfId="20158" xr:uid="{00000000-0005-0000-0000-0000BF1C0000}"/>
    <cellStyle name="20% - Accent3 3 3 2 3 2 3 2 2" xfId="42760" xr:uid="{00000000-0005-0000-0000-0000C01C0000}"/>
    <cellStyle name="20% - Accent3 3 3 2 3 2 3 3" xfId="31459" xr:uid="{00000000-0005-0000-0000-0000C11C0000}"/>
    <cellStyle name="20% - Accent3 3 3 2 3 2 4" xfId="14508" xr:uid="{00000000-0005-0000-0000-0000C21C0000}"/>
    <cellStyle name="20% - Accent3 3 3 2 3 2 4 2" xfId="37110" xr:uid="{00000000-0005-0000-0000-0000C31C0000}"/>
    <cellStyle name="20% - Accent3 3 3 2 3 2 5" xfId="25809" xr:uid="{00000000-0005-0000-0000-0000C41C0000}"/>
    <cellStyle name="20% - Accent3 3 3 2 3 3" xfId="4805" xr:uid="{00000000-0005-0000-0000-0000C51C0000}"/>
    <cellStyle name="20% - Accent3 3 3 2 3 3 2" xfId="10455" xr:uid="{00000000-0005-0000-0000-0000C61C0000}"/>
    <cellStyle name="20% - Accent3 3 3 2 3 3 2 2" xfId="21756" xr:uid="{00000000-0005-0000-0000-0000C71C0000}"/>
    <cellStyle name="20% - Accent3 3 3 2 3 3 2 2 2" xfId="44358" xr:uid="{00000000-0005-0000-0000-0000C81C0000}"/>
    <cellStyle name="20% - Accent3 3 3 2 3 3 2 3" xfId="33057" xr:uid="{00000000-0005-0000-0000-0000C91C0000}"/>
    <cellStyle name="20% - Accent3 3 3 2 3 3 3" xfId="16106" xr:uid="{00000000-0005-0000-0000-0000CA1C0000}"/>
    <cellStyle name="20% - Accent3 3 3 2 3 3 3 2" xfId="38708" xr:uid="{00000000-0005-0000-0000-0000CB1C0000}"/>
    <cellStyle name="20% - Accent3 3 3 2 3 3 4" xfId="27407" xr:uid="{00000000-0005-0000-0000-0000CC1C0000}"/>
    <cellStyle name="20% - Accent3 3 3 2 3 4" xfId="6992" xr:uid="{00000000-0005-0000-0000-0000CD1C0000}"/>
    <cellStyle name="20% - Accent3 3 3 2 3 4 2" xfId="18293" xr:uid="{00000000-0005-0000-0000-0000CE1C0000}"/>
    <cellStyle name="20% - Accent3 3 3 2 3 4 2 2" xfId="40895" xr:uid="{00000000-0005-0000-0000-0000CF1C0000}"/>
    <cellStyle name="20% - Accent3 3 3 2 3 4 3" xfId="29594" xr:uid="{00000000-0005-0000-0000-0000D01C0000}"/>
    <cellStyle name="20% - Accent3 3 3 2 3 5" xfId="12643" xr:uid="{00000000-0005-0000-0000-0000D11C0000}"/>
    <cellStyle name="20% - Accent3 3 3 2 3 5 2" xfId="35245" xr:uid="{00000000-0005-0000-0000-0000D21C0000}"/>
    <cellStyle name="20% - Accent3 3 3 2 3 6" xfId="23944" xr:uid="{00000000-0005-0000-0000-0000D31C0000}"/>
    <cellStyle name="20% - Accent3 3 3 2 4" xfId="1581" xr:uid="{00000000-0005-0000-0000-0000D41C0000}"/>
    <cellStyle name="20% - Accent3 3 3 2 4 2" xfId="3555" xr:uid="{00000000-0005-0000-0000-0000D51C0000}"/>
    <cellStyle name="20% - Accent3 3 3 2 4 2 2" xfId="9268" xr:uid="{00000000-0005-0000-0000-0000D61C0000}"/>
    <cellStyle name="20% - Accent3 3 3 2 4 2 2 2" xfId="20569" xr:uid="{00000000-0005-0000-0000-0000D71C0000}"/>
    <cellStyle name="20% - Accent3 3 3 2 4 2 2 2 2" xfId="43171" xr:uid="{00000000-0005-0000-0000-0000D81C0000}"/>
    <cellStyle name="20% - Accent3 3 3 2 4 2 2 3" xfId="31870" xr:uid="{00000000-0005-0000-0000-0000D91C0000}"/>
    <cellStyle name="20% - Accent3 3 3 2 4 2 3" xfId="14919" xr:uid="{00000000-0005-0000-0000-0000DA1C0000}"/>
    <cellStyle name="20% - Accent3 3 3 2 4 2 3 2" xfId="37521" xr:uid="{00000000-0005-0000-0000-0000DB1C0000}"/>
    <cellStyle name="20% - Accent3 3 3 2 4 2 4" xfId="26220" xr:uid="{00000000-0005-0000-0000-0000DC1C0000}"/>
    <cellStyle name="20% - Accent3 3 3 2 4 3" xfId="5415" xr:uid="{00000000-0005-0000-0000-0000DD1C0000}"/>
    <cellStyle name="20% - Accent3 3 3 2 4 3 2" xfId="11065" xr:uid="{00000000-0005-0000-0000-0000DE1C0000}"/>
    <cellStyle name="20% - Accent3 3 3 2 4 3 2 2" xfId="22366" xr:uid="{00000000-0005-0000-0000-0000DF1C0000}"/>
    <cellStyle name="20% - Accent3 3 3 2 4 3 2 2 2" xfId="44968" xr:uid="{00000000-0005-0000-0000-0000E01C0000}"/>
    <cellStyle name="20% - Accent3 3 3 2 4 3 2 3" xfId="33667" xr:uid="{00000000-0005-0000-0000-0000E11C0000}"/>
    <cellStyle name="20% - Accent3 3 3 2 4 3 3" xfId="16716" xr:uid="{00000000-0005-0000-0000-0000E21C0000}"/>
    <cellStyle name="20% - Accent3 3 3 2 4 3 3 2" xfId="39318" xr:uid="{00000000-0005-0000-0000-0000E31C0000}"/>
    <cellStyle name="20% - Accent3 3 3 2 4 3 4" xfId="28017" xr:uid="{00000000-0005-0000-0000-0000E41C0000}"/>
    <cellStyle name="20% - Accent3 3 3 2 4 4" xfId="7437" xr:uid="{00000000-0005-0000-0000-0000E51C0000}"/>
    <cellStyle name="20% - Accent3 3 3 2 4 4 2" xfId="18738" xr:uid="{00000000-0005-0000-0000-0000E61C0000}"/>
    <cellStyle name="20% - Accent3 3 3 2 4 4 2 2" xfId="41340" xr:uid="{00000000-0005-0000-0000-0000E71C0000}"/>
    <cellStyle name="20% - Accent3 3 3 2 4 4 3" xfId="30039" xr:uid="{00000000-0005-0000-0000-0000E81C0000}"/>
    <cellStyle name="20% - Accent3 3 3 2 4 5" xfId="13088" xr:uid="{00000000-0005-0000-0000-0000E91C0000}"/>
    <cellStyle name="20% - Accent3 3 3 2 4 5 2" xfId="35690" xr:uid="{00000000-0005-0000-0000-0000EA1C0000}"/>
    <cellStyle name="20% - Accent3 3 3 2 4 6" xfId="24389" xr:uid="{00000000-0005-0000-0000-0000EB1C0000}"/>
    <cellStyle name="20% - Accent3 3 3 2 5" xfId="2396" xr:uid="{00000000-0005-0000-0000-0000EC1C0000}"/>
    <cellStyle name="20% - Accent3 3 3 2 5 2" xfId="8232" xr:uid="{00000000-0005-0000-0000-0000ED1C0000}"/>
    <cellStyle name="20% - Accent3 3 3 2 5 2 2" xfId="19533" xr:uid="{00000000-0005-0000-0000-0000EE1C0000}"/>
    <cellStyle name="20% - Accent3 3 3 2 5 2 2 2" xfId="42135" xr:uid="{00000000-0005-0000-0000-0000EF1C0000}"/>
    <cellStyle name="20% - Accent3 3 3 2 5 2 3" xfId="30834" xr:uid="{00000000-0005-0000-0000-0000F01C0000}"/>
    <cellStyle name="20% - Accent3 3 3 2 5 3" xfId="13883" xr:uid="{00000000-0005-0000-0000-0000F11C0000}"/>
    <cellStyle name="20% - Accent3 3 3 2 5 3 2" xfId="36485" xr:uid="{00000000-0005-0000-0000-0000F21C0000}"/>
    <cellStyle name="20% - Accent3 3 3 2 5 4" xfId="25184" xr:uid="{00000000-0005-0000-0000-0000F31C0000}"/>
    <cellStyle name="20% - Accent3 3 3 2 6" xfId="4181" xr:uid="{00000000-0005-0000-0000-0000F41C0000}"/>
    <cellStyle name="20% - Accent3 3 3 2 6 2" xfId="9831" xr:uid="{00000000-0005-0000-0000-0000F51C0000}"/>
    <cellStyle name="20% - Accent3 3 3 2 6 2 2" xfId="21132" xr:uid="{00000000-0005-0000-0000-0000F61C0000}"/>
    <cellStyle name="20% - Accent3 3 3 2 6 2 2 2" xfId="43734" xr:uid="{00000000-0005-0000-0000-0000F71C0000}"/>
    <cellStyle name="20% - Accent3 3 3 2 6 2 3" xfId="32433" xr:uid="{00000000-0005-0000-0000-0000F81C0000}"/>
    <cellStyle name="20% - Accent3 3 3 2 6 3" xfId="15482" xr:uid="{00000000-0005-0000-0000-0000F91C0000}"/>
    <cellStyle name="20% - Accent3 3 3 2 6 3 2" xfId="38084" xr:uid="{00000000-0005-0000-0000-0000FA1C0000}"/>
    <cellStyle name="20% - Accent3 3 3 2 6 4" xfId="26783" xr:uid="{00000000-0005-0000-0000-0000FB1C0000}"/>
    <cellStyle name="20% - Accent3 3 3 2 7" xfId="6661" xr:uid="{00000000-0005-0000-0000-0000FC1C0000}"/>
    <cellStyle name="20% - Accent3 3 3 2 7 2" xfId="17962" xr:uid="{00000000-0005-0000-0000-0000FD1C0000}"/>
    <cellStyle name="20% - Accent3 3 3 2 7 2 2" xfId="40564" xr:uid="{00000000-0005-0000-0000-0000FE1C0000}"/>
    <cellStyle name="20% - Accent3 3 3 2 7 3" xfId="29263" xr:uid="{00000000-0005-0000-0000-0000FF1C0000}"/>
    <cellStyle name="20% - Accent3 3 3 2 8" xfId="12312" xr:uid="{00000000-0005-0000-0000-0000001D0000}"/>
    <cellStyle name="20% - Accent3 3 3 2 8 2" xfId="34914" xr:uid="{00000000-0005-0000-0000-0000011D0000}"/>
    <cellStyle name="20% - Accent3 3 3 2 9" xfId="23613" xr:uid="{00000000-0005-0000-0000-0000021D0000}"/>
    <cellStyle name="20% - Accent3 3 3 3" xfId="1168" xr:uid="{00000000-0005-0000-0000-0000031D0000}"/>
    <cellStyle name="20% - Accent3 3 3 3 2" xfId="1583" xr:uid="{00000000-0005-0000-0000-0000041D0000}"/>
    <cellStyle name="20% - Accent3 3 3 3 2 2" xfId="3236" xr:uid="{00000000-0005-0000-0000-0000051D0000}"/>
    <cellStyle name="20% - Accent3 3 3 3 2 2 2" xfId="6208" xr:uid="{00000000-0005-0000-0000-0000061D0000}"/>
    <cellStyle name="20% - Accent3 3 3 3 2 2 2 2" xfId="11858" xr:uid="{00000000-0005-0000-0000-0000071D0000}"/>
    <cellStyle name="20% - Accent3 3 3 3 2 2 2 2 2" xfId="23159" xr:uid="{00000000-0005-0000-0000-0000081D0000}"/>
    <cellStyle name="20% - Accent3 3 3 3 2 2 2 2 2 2" xfId="45761" xr:uid="{00000000-0005-0000-0000-0000091D0000}"/>
    <cellStyle name="20% - Accent3 3 3 3 2 2 2 2 3" xfId="34460" xr:uid="{00000000-0005-0000-0000-00000A1D0000}"/>
    <cellStyle name="20% - Accent3 3 3 3 2 2 2 3" xfId="17509" xr:uid="{00000000-0005-0000-0000-00000B1D0000}"/>
    <cellStyle name="20% - Accent3 3 3 3 2 2 2 3 2" xfId="40111" xr:uid="{00000000-0005-0000-0000-00000C1D0000}"/>
    <cellStyle name="20% - Accent3 3 3 3 2 2 2 4" xfId="28810" xr:uid="{00000000-0005-0000-0000-00000D1D0000}"/>
    <cellStyle name="20% - Accent3 3 3 3 2 2 3" xfId="9026" xr:uid="{00000000-0005-0000-0000-00000E1D0000}"/>
    <cellStyle name="20% - Accent3 3 3 3 2 2 3 2" xfId="20327" xr:uid="{00000000-0005-0000-0000-00000F1D0000}"/>
    <cellStyle name="20% - Accent3 3 3 3 2 2 3 2 2" xfId="42929" xr:uid="{00000000-0005-0000-0000-0000101D0000}"/>
    <cellStyle name="20% - Accent3 3 3 3 2 2 3 3" xfId="31628" xr:uid="{00000000-0005-0000-0000-0000111D0000}"/>
    <cellStyle name="20% - Accent3 3 3 3 2 2 4" xfId="14677" xr:uid="{00000000-0005-0000-0000-0000121D0000}"/>
    <cellStyle name="20% - Accent3 3 3 3 2 2 4 2" xfId="37279" xr:uid="{00000000-0005-0000-0000-0000131D0000}"/>
    <cellStyle name="20% - Accent3 3 3 3 2 2 5" xfId="25978" xr:uid="{00000000-0005-0000-0000-0000141D0000}"/>
    <cellStyle name="20% - Accent3 3 3 3 2 3" xfId="4974" xr:uid="{00000000-0005-0000-0000-0000151D0000}"/>
    <cellStyle name="20% - Accent3 3 3 3 2 3 2" xfId="10624" xr:uid="{00000000-0005-0000-0000-0000161D0000}"/>
    <cellStyle name="20% - Accent3 3 3 3 2 3 2 2" xfId="21925" xr:uid="{00000000-0005-0000-0000-0000171D0000}"/>
    <cellStyle name="20% - Accent3 3 3 3 2 3 2 2 2" xfId="44527" xr:uid="{00000000-0005-0000-0000-0000181D0000}"/>
    <cellStyle name="20% - Accent3 3 3 3 2 3 2 3" xfId="33226" xr:uid="{00000000-0005-0000-0000-0000191D0000}"/>
    <cellStyle name="20% - Accent3 3 3 3 2 3 3" xfId="16275" xr:uid="{00000000-0005-0000-0000-00001A1D0000}"/>
    <cellStyle name="20% - Accent3 3 3 3 2 3 3 2" xfId="38877" xr:uid="{00000000-0005-0000-0000-00001B1D0000}"/>
    <cellStyle name="20% - Accent3 3 3 3 2 3 4" xfId="27576" xr:uid="{00000000-0005-0000-0000-00001C1D0000}"/>
    <cellStyle name="20% - Accent3 3 3 3 2 4" xfId="7439" xr:uid="{00000000-0005-0000-0000-00001D1D0000}"/>
    <cellStyle name="20% - Accent3 3 3 3 2 4 2" xfId="18740" xr:uid="{00000000-0005-0000-0000-00001E1D0000}"/>
    <cellStyle name="20% - Accent3 3 3 3 2 4 2 2" xfId="41342" xr:uid="{00000000-0005-0000-0000-00001F1D0000}"/>
    <cellStyle name="20% - Accent3 3 3 3 2 4 3" xfId="30041" xr:uid="{00000000-0005-0000-0000-0000201D0000}"/>
    <cellStyle name="20% - Accent3 3 3 3 2 5" xfId="13090" xr:uid="{00000000-0005-0000-0000-0000211D0000}"/>
    <cellStyle name="20% - Accent3 3 3 3 2 5 2" xfId="35692" xr:uid="{00000000-0005-0000-0000-0000221D0000}"/>
    <cellStyle name="20% - Accent3 3 3 3 2 6" xfId="24391" xr:uid="{00000000-0005-0000-0000-0000231D0000}"/>
    <cellStyle name="20% - Accent3 3 3 3 3" xfId="2565" xr:uid="{00000000-0005-0000-0000-0000241D0000}"/>
    <cellStyle name="20% - Accent3 3 3 3 3 2" xfId="5584" xr:uid="{00000000-0005-0000-0000-0000251D0000}"/>
    <cellStyle name="20% - Accent3 3 3 3 3 2 2" xfId="11234" xr:uid="{00000000-0005-0000-0000-0000261D0000}"/>
    <cellStyle name="20% - Accent3 3 3 3 3 2 2 2" xfId="22535" xr:uid="{00000000-0005-0000-0000-0000271D0000}"/>
    <cellStyle name="20% - Accent3 3 3 3 3 2 2 2 2" xfId="45137" xr:uid="{00000000-0005-0000-0000-0000281D0000}"/>
    <cellStyle name="20% - Accent3 3 3 3 3 2 2 3" xfId="33836" xr:uid="{00000000-0005-0000-0000-0000291D0000}"/>
    <cellStyle name="20% - Accent3 3 3 3 3 2 3" xfId="16885" xr:uid="{00000000-0005-0000-0000-00002A1D0000}"/>
    <cellStyle name="20% - Accent3 3 3 3 3 2 3 2" xfId="39487" xr:uid="{00000000-0005-0000-0000-00002B1D0000}"/>
    <cellStyle name="20% - Accent3 3 3 3 3 2 4" xfId="28186" xr:uid="{00000000-0005-0000-0000-00002C1D0000}"/>
    <cellStyle name="20% - Accent3 3 3 3 3 3" xfId="8401" xr:uid="{00000000-0005-0000-0000-00002D1D0000}"/>
    <cellStyle name="20% - Accent3 3 3 3 3 3 2" xfId="19702" xr:uid="{00000000-0005-0000-0000-00002E1D0000}"/>
    <cellStyle name="20% - Accent3 3 3 3 3 3 2 2" xfId="42304" xr:uid="{00000000-0005-0000-0000-00002F1D0000}"/>
    <cellStyle name="20% - Accent3 3 3 3 3 3 3" xfId="31003" xr:uid="{00000000-0005-0000-0000-0000301D0000}"/>
    <cellStyle name="20% - Accent3 3 3 3 3 4" xfId="14052" xr:uid="{00000000-0005-0000-0000-0000311D0000}"/>
    <cellStyle name="20% - Accent3 3 3 3 3 4 2" xfId="36654" xr:uid="{00000000-0005-0000-0000-0000321D0000}"/>
    <cellStyle name="20% - Accent3 3 3 3 3 5" xfId="25353" xr:uid="{00000000-0005-0000-0000-0000331D0000}"/>
    <cellStyle name="20% - Accent3 3 3 3 4" xfId="4350" xr:uid="{00000000-0005-0000-0000-0000341D0000}"/>
    <cellStyle name="20% - Accent3 3 3 3 4 2" xfId="10000" xr:uid="{00000000-0005-0000-0000-0000351D0000}"/>
    <cellStyle name="20% - Accent3 3 3 3 4 2 2" xfId="21301" xr:uid="{00000000-0005-0000-0000-0000361D0000}"/>
    <cellStyle name="20% - Accent3 3 3 3 4 2 2 2" xfId="43903" xr:uid="{00000000-0005-0000-0000-0000371D0000}"/>
    <cellStyle name="20% - Accent3 3 3 3 4 2 3" xfId="32602" xr:uid="{00000000-0005-0000-0000-0000381D0000}"/>
    <cellStyle name="20% - Accent3 3 3 3 4 3" xfId="15651" xr:uid="{00000000-0005-0000-0000-0000391D0000}"/>
    <cellStyle name="20% - Accent3 3 3 3 4 3 2" xfId="38253" xr:uid="{00000000-0005-0000-0000-00003A1D0000}"/>
    <cellStyle name="20% - Accent3 3 3 3 4 4" xfId="26952" xr:uid="{00000000-0005-0000-0000-00003B1D0000}"/>
    <cellStyle name="20% - Accent3 3 3 3 5" xfId="7147" xr:uid="{00000000-0005-0000-0000-00003C1D0000}"/>
    <cellStyle name="20% - Accent3 3 3 3 5 2" xfId="18448" xr:uid="{00000000-0005-0000-0000-00003D1D0000}"/>
    <cellStyle name="20% - Accent3 3 3 3 5 2 2" xfId="41050" xr:uid="{00000000-0005-0000-0000-00003E1D0000}"/>
    <cellStyle name="20% - Accent3 3 3 3 5 3" xfId="29749" xr:uid="{00000000-0005-0000-0000-00003F1D0000}"/>
    <cellStyle name="20% - Accent3 3 3 3 6" xfId="12798" xr:uid="{00000000-0005-0000-0000-0000401D0000}"/>
    <cellStyle name="20% - Accent3 3 3 3 6 2" xfId="35400" xr:uid="{00000000-0005-0000-0000-0000411D0000}"/>
    <cellStyle name="20% - Accent3 3 3 3 7" xfId="24099" xr:uid="{00000000-0005-0000-0000-0000421D0000}"/>
    <cellStyle name="20% - Accent3 3 3 4" xfId="859" xr:uid="{00000000-0005-0000-0000-0000431D0000}"/>
    <cellStyle name="20% - Accent3 3 3 4 2" xfId="2929" xr:uid="{00000000-0005-0000-0000-0000441D0000}"/>
    <cellStyle name="20% - Accent3 3 3 4 2 2" xfId="5901" xr:uid="{00000000-0005-0000-0000-0000451D0000}"/>
    <cellStyle name="20% - Accent3 3 3 4 2 2 2" xfId="11551" xr:uid="{00000000-0005-0000-0000-0000461D0000}"/>
    <cellStyle name="20% - Accent3 3 3 4 2 2 2 2" xfId="22852" xr:uid="{00000000-0005-0000-0000-0000471D0000}"/>
    <cellStyle name="20% - Accent3 3 3 4 2 2 2 2 2" xfId="45454" xr:uid="{00000000-0005-0000-0000-0000481D0000}"/>
    <cellStyle name="20% - Accent3 3 3 4 2 2 2 3" xfId="34153" xr:uid="{00000000-0005-0000-0000-0000491D0000}"/>
    <cellStyle name="20% - Accent3 3 3 4 2 2 3" xfId="17202" xr:uid="{00000000-0005-0000-0000-00004A1D0000}"/>
    <cellStyle name="20% - Accent3 3 3 4 2 2 3 2" xfId="39804" xr:uid="{00000000-0005-0000-0000-00004B1D0000}"/>
    <cellStyle name="20% - Accent3 3 3 4 2 2 4" xfId="28503" xr:uid="{00000000-0005-0000-0000-00004C1D0000}"/>
    <cellStyle name="20% - Accent3 3 3 4 2 3" xfId="8719" xr:uid="{00000000-0005-0000-0000-00004D1D0000}"/>
    <cellStyle name="20% - Accent3 3 3 4 2 3 2" xfId="20020" xr:uid="{00000000-0005-0000-0000-00004E1D0000}"/>
    <cellStyle name="20% - Accent3 3 3 4 2 3 2 2" xfId="42622" xr:uid="{00000000-0005-0000-0000-00004F1D0000}"/>
    <cellStyle name="20% - Accent3 3 3 4 2 3 3" xfId="31321" xr:uid="{00000000-0005-0000-0000-0000501D0000}"/>
    <cellStyle name="20% - Accent3 3 3 4 2 4" xfId="14370" xr:uid="{00000000-0005-0000-0000-0000511D0000}"/>
    <cellStyle name="20% - Accent3 3 3 4 2 4 2" xfId="36972" xr:uid="{00000000-0005-0000-0000-0000521D0000}"/>
    <cellStyle name="20% - Accent3 3 3 4 2 5" xfId="25671" xr:uid="{00000000-0005-0000-0000-0000531D0000}"/>
    <cellStyle name="20% - Accent3 3 3 4 3" xfId="4667" xr:uid="{00000000-0005-0000-0000-0000541D0000}"/>
    <cellStyle name="20% - Accent3 3 3 4 3 2" xfId="10317" xr:uid="{00000000-0005-0000-0000-0000551D0000}"/>
    <cellStyle name="20% - Accent3 3 3 4 3 2 2" xfId="21618" xr:uid="{00000000-0005-0000-0000-0000561D0000}"/>
    <cellStyle name="20% - Accent3 3 3 4 3 2 2 2" xfId="44220" xr:uid="{00000000-0005-0000-0000-0000571D0000}"/>
    <cellStyle name="20% - Accent3 3 3 4 3 2 3" xfId="32919" xr:uid="{00000000-0005-0000-0000-0000581D0000}"/>
    <cellStyle name="20% - Accent3 3 3 4 3 3" xfId="15968" xr:uid="{00000000-0005-0000-0000-0000591D0000}"/>
    <cellStyle name="20% - Accent3 3 3 4 3 3 2" xfId="38570" xr:uid="{00000000-0005-0000-0000-00005A1D0000}"/>
    <cellStyle name="20% - Accent3 3 3 4 3 4" xfId="27269" xr:uid="{00000000-0005-0000-0000-00005B1D0000}"/>
    <cellStyle name="20% - Accent3 3 3 4 4" xfId="6854" xr:uid="{00000000-0005-0000-0000-00005C1D0000}"/>
    <cellStyle name="20% - Accent3 3 3 4 4 2" xfId="18155" xr:uid="{00000000-0005-0000-0000-00005D1D0000}"/>
    <cellStyle name="20% - Accent3 3 3 4 4 2 2" xfId="40757" xr:uid="{00000000-0005-0000-0000-00005E1D0000}"/>
    <cellStyle name="20% - Accent3 3 3 4 4 3" xfId="29456" xr:uid="{00000000-0005-0000-0000-00005F1D0000}"/>
    <cellStyle name="20% - Accent3 3 3 4 5" xfId="12505" xr:uid="{00000000-0005-0000-0000-0000601D0000}"/>
    <cellStyle name="20% - Accent3 3 3 4 5 2" xfId="35107" xr:uid="{00000000-0005-0000-0000-0000611D0000}"/>
    <cellStyle name="20% - Accent3 3 3 4 6" xfId="23806" xr:uid="{00000000-0005-0000-0000-0000621D0000}"/>
    <cellStyle name="20% - Accent3 3 3 5" xfId="1580" xr:uid="{00000000-0005-0000-0000-0000631D0000}"/>
    <cellStyle name="20% - Accent3 3 3 5 2" xfId="3554" xr:uid="{00000000-0005-0000-0000-0000641D0000}"/>
    <cellStyle name="20% - Accent3 3 3 5 2 2" xfId="9267" xr:uid="{00000000-0005-0000-0000-0000651D0000}"/>
    <cellStyle name="20% - Accent3 3 3 5 2 2 2" xfId="20568" xr:uid="{00000000-0005-0000-0000-0000661D0000}"/>
    <cellStyle name="20% - Accent3 3 3 5 2 2 2 2" xfId="43170" xr:uid="{00000000-0005-0000-0000-0000671D0000}"/>
    <cellStyle name="20% - Accent3 3 3 5 2 2 3" xfId="31869" xr:uid="{00000000-0005-0000-0000-0000681D0000}"/>
    <cellStyle name="20% - Accent3 3 3 5 2 3" xfId="14918" xr:uid="{00000000-0005-0000-0000-0000691D0000}"/>
    <cellStyle name="20% - Accent3 3 3 5 2 3 2" xfId="37520" xr:uid="{00000000-0005-0000-0000-00006A1D0000}"/>
    <cellStyle name="20% - Accent3 3 3 5 2 4" xfId="26219" xr:uid="{00000000-0005-0000-0000-00006B1D0000}"/>
    <cellStyle name="20% - Accent3 3 3 5 3" xfId="5277" xr:uid="{00000000-0005-0000-0000-00006C1D0000}"/>
    <cellStyle name="20% - Accent3 3 3 5 3 2" xfId="10927" xr:uid="{00000000-0005-0000-0000-00006D1D0000}"/>
    <cellStyle name="20% - Accent3 3 3 5 3 2 2" xfId="22228" xr:uid="{00000000-0005-0000-0000-00006E1D0000}"/>
    <cellStyle name="20% - Accent3 3 3 5 3 2 2 2" xfId="44830" xr:uid="{00000000-0005-0000-0000-00006F1D0000}"/>
    <cellStyle name="20% - Accent3 3 3 5 3 2 3" xfId="33529" xr:uid="{00000000-0005-0000-0000-0000701D0000}"/>
    <cellStyle name="20% - Accent3 3 3 5 3 3" xfId="16578" xr:uid="{00000000-0005-0000-0000-0000711D0000}"/>
    <cellStyle name="20% - Accent3 3 3 5 3 3 2" xfId="39180" xr:uid="{00000000-0005-0000-0000-0000721D0000}"/>
    <cellStyle name="20% - Accent3 3 3 5 3 4" xfId="27879" xr:uid="{00000000-0005-0000-0000-0000731D0000}"/>
    <cellStyle name="20% - Accent3 3 3 5 4" xfId="7436" xr:uid="{00000000-0005-0000-0000-0000741D0000}"/>
    <cellStyle name="20% - Accent3 3 3 5 4 2" xfId="18737" xr:uid="{00000000-0005-0000-0000-0000751D0000}"/>
    <cellStyle name="20% - Accent3 3 3 5 4 2 2" xfId="41339" xr:uid="{00000000-0005-0000-0000-0000761D0000}"/>
    <cellStyle name="20% - Accent3 3 3 5 4 3" xfId="30038" xr:uid="{00000000-0005-0000-0000-0000771D0000}"/>
    <cellStyle name="20% - Accent3 3 3 5 5" xfId="13087" xr:uid="{00000000-0005-0000-0000-0000781D0000}"/>
    <cellStyle name="20% - Accent3 3 3 5 5 2" xfId="35689" xr:uid="{00000000-0005-0000-0000-0000791D0000}"/>
    <cellStyle name="20% - Accent3 3 3 5 6" xfId="24388" xr:uid="{00000000-0005-0000-0000-00007A1D0000}"/>
    <cellStyle name="20% - Accent3 3 3 6" xfId="2256" xr:uid="{00000000-0005-0000-0000-00007B1D0000}"/>
    <cellStyle name="20% - Accent3 3 3 6 2" xfId="8092" xr:uid="{00000000-0005-0000-0000-00007C1D0000}"/>
    <cellStyle name="20% - Accent3 3 3 6 2 2" xfId="19393" xr:uid="{00000000-0005-0000-0000-00007D1D0000}"/>
    <cellStyle name="20% - Accent3 3 3 6 2 2 2" xfId="41995" xr:uid="{00000000-0005-0000-0000-00007E1D0000}"/>
    <cellStyle name="20% - Accent3 3 3 6 2 3" xfId="30694" xr:uid="{00000000-0005-0000-0000-00007F1D0000}"/>
    <cellStyle name="20% - Accent3 3 3 6 3" xfId="13743" xr:uid="{00000000-0005-0000-0000-0000801D0000}"/>
    <cellStyle name="20% - Accent3 3 3 6 3 2" xfId="36345" xr:uid="{00000000-0005-0000-0000-0000811D0000}"/>
    <cellStyle name="20% - Accent3 3 3 6 4" xfId="25044" xr:uid="{00000000-0005-0000-0000-0000821D0000}"/>
    <cellStyle name="20% - Accent3 3 3 7" xfId="4043" xr:uid="{00000000-0005-0000-0000-0000831D0000}"/>
    <cellStyle name="20% - Accent3 3 3 7 2" xfId="9693" xr:uid="{00000000-0005-0000-0000-0000841D0000}"/>
    <cellStyle name="20% - Accent3 3 3 7 2 2" xfId="20994" xr:uid="{00000000-0005-0000-0000-0000851D0000}"/>
    <cellStyle name="20% - Accent3 3 3 7 2 2 2" xfId="43596" xr:uid="{00000000-0005-0000-0000-0000861D0000}"/>
    <cellStyle name="20% - Accent3 3 3 7 2 3" xfId="32295" xr:uid="{00000000-0005-0000-0000-0000871D0000}"/>
    <cellStyle name="20% - Accent3 3 3 7 3" xfId="15344" xr:uid="{00000000-0005-0000-0000-0000881D0000}"/>
    <cellStyle name="20% - Accent3 3 3 7 3 2" xfId="37946" xr:uid="{00000000-0005-0000-0000-0000891D0000}"/>
    <cellStyle name="20% - Accent3 3 3 7 4" xfId="26645" xr:uid="{00000000-0005-0000-0000-00008A1D0000}"/>
    <cellStyle name="20% - Accent3 3 3 8" xfId="6494" xr:uid="{00000000-0005-0000-0000-00008B1D0000}"/>
    <cellStyle name="20% - Accent3 3 3 8 2" xfId="17795" xr:uid="{00000000-0005-0000-0000-00008C1D0000}"/>
    <cellStyle name="20% - Accent3 3 3 8 2 2" xfId="40397" xr:uid="{00000000-0005-0000-0000-00008D1D0000}"/>
    <cellStyle name="20% - Accent3 3 3 8 3" xfId="29096" xr:uid="{00000000-0005-0000-0000-00008E1D0000}"/>
    <cellStyle name="20% - Accent3 3 3 9" xfId="12145" xr:uid="{00000000-0005-0000-0000-00008F1D0000}"/>
    <cellStyle name="20% - Accent3 3 3 9 2" xfId="34747" xr:uid="{00000000-0005-0000-0000-0000901D0000}"/>
    <cellStyle name="20% - Accent3 3 4" xfId="491" xr:uid="{00000000-0005-0000-0000-0000911D0000}"/>
    <cellStyle name="20% - Accent3 3 4 2" xfId="1072" xr:uid="{00000000-0005-0000-0000-0000921D0000}"/>
    <cellStyle name="20% - Accent3 3 4 2 2" xfId="1585" xr:uid="{00000000-0005-0000-0000-0000931D0000}"/>
    <cellStyle name="20% - Accent3 3 4 2 2 2" xfId="3139" xr:uid="{00000000-0005-0000-0000-0000941D0000}"/>
    <cellStyle name="20% - Accent3 3 4 2 2 2 2" xfId="6111" xr:uid="{00000000-0005-0000-0000-0000951D0000}"/>
    <cellStyle name="20% - Accent3 3 4 2 2 2 2 2" xfId="11761" xr:uid="{00000000-0005-0000-0000-0000961D0000}"/>
    <cellStyle name="20% - Accent3 3 4 2 2 2 2 2 2" xfId="23062" xr:uid="{00000000-0005-0000-0000-0000971D0000}"/>
    <cellStyle name="20% - Accent3 3 4 2 2 2 2 2 2 2" xfId="45664" xr:uid="{00000000-0005-0000-0000-0000981D0000}"/>
    <cellStyle name="20% - Accent3 3 4 2 2 2 2 2 3" xfId="34363" xr:uid="{00000000-0005-0000-0000-0000991D0000}"/>
    <cellStyle name="20% - Accent3 3 4 2 2 2 2 3" xfId="17412" xr:uid="{00000000-0005-0000-0000-00009A1D0000}"/>
    <cellStyle name="20% - Accent3 3 4 2 2 2 2 3 2" xfId="40014" xr:uid="{00000000-0005-0000-0000-00009B1D0000}"/>
    <cellStyle name="20% - Accent3 3 4 2 2 2 2 4" xfId="28713" xr:uid="{00000000-0005-0000-0000-00009C1D0000}"/>
    <cellStyle name="20% - Accent3 3 4 2 2 2 3" xfId="8929" xr:uid="{00000000-0005-0000-0000-00009D1D0000}"/>
    <cellStyle name="20% - Accent3 3 4 2 2 2 3 2" xfId="20230" xr:uid="{00000000-0005-0000-0000-00009E1D0000}"/>
    <cellStyle name="20% - Accent3 3 4 2 2 2 3 2 2" xfId="42832" xr:uid="{00000000-0005-0000-0000-00009F1D0000}"/>
    <cellStyle name="20% - Accent3 3 4 2 2 2 3 3" xfId="31531" xr:uid="{00000000-0005-0000-0000-0000A01D0000}"/>
    <cellStyle name="20% - Accent3 3 4 2 2 2 4" xfId="14580" xr:uid="{00000000-0005-0000-0000-0000A11D0000}"/>
    <cellStyle name="20% - Accent3 3 4 2 2 2 4 2" xfId="37182" xr:uid="{00000000-0005-0000-0000-0000A21D0000}"/>
    <cellStyle name="20% - Accent3 3 4 2 2 2 5" xfId="25881" xr:uid="{00000000-0005-0000-0000-0000A31D0000}"/>
    <cellStyle name="20% - Accent3 3 4 2 2 3" xfId="4877" xr:uid="{00000000-0005-0000-0000-0000A41D0000}"/>
    <cellStyle name="20% - Accent3 3 4 2 2 3 2" xfId="10527" xr:uid="{00000000-0005-0000-0000-0000A51D0000}"/>
    <cellStyle name="20% - Accent3 3 4 2 2 3 2 2" xfId="21828" xr:uid="{00000000-0005-0000-0000-0000A61D0000}"/>
    <cellStyle name="20% - Accent3 3 4 2 2 3 2 2 2" xfId="44430" xr:uid="{00000000-0005-0000-0000-0000A71D0000}"/>
    <cellStyle name="20% - Accent3 3 4 2 2 3 2 3" xfId="33129" xr:uid="{00000000-0005-0000-0000-0000A81D0000}"/>
    <cellStyle name="20% - Accent3 3 4 2 2 3 3" xfId="16178" xr:uid="{00000000-0005-0000-0000-0000A91D0000}"/>
    <cellStyle name="20% - Accent3 3 4 2 2 3 3 2" xfId="38780" xr:uid="{00000000-0005-0000-0000-0000AA1D0000}"/>
    <cellStyle name="20% - Accent3 3 4 2 2 3 4" xfId="27479" xr:uid="{00000000-0005-0000-0000-0000AB1D0000}"/>
    <cellStyle name="20% - Accent3 3 4 2 2 4" xfId="7441" xr:uid="{00000000-0005-0000-0000-0000AC1D0000}"/>
    <cellStyle name="20% - Accent3 3 4 2 2 4 2" xfId="18742" xr:uid="{00000000-0005-0000-0000-0000AD1D0000}"/>
    <cellStyle name="20% - Accent3 3 4 2 2 4 2 2" xfId="41344" xr:uid="{00000000-0005-0000-0000-0000AE1D0000}"/>
    <cellStyle name="20% - Accent3 3 4 2 2 4 3" xfId="30043" xr:uid="{00000000-0005-0000-0000-0000AF1D0000}"/>
    <cellStyle name="20% - Accent3 3 4 2 2 5" xfId="13092" xr:uid="{00000000-0005-0000-0000-0000B01D0000}"/>
    <cellStyle name="20% - Accent3 3 4 2 2 5 2" xfId="35694" xr:uid="{00000000-0005-0000-0000-0000B11D0000}"/>
    <cellStyle name="20% - Accent3 3 4 2 2 6" xfId="24393" xr:uid="{00000000-0005-0000-0000-0000B21D0000}"/>
    <cellStyle name="20% - Accent3 3 4 2 3" xfId="2468" xr:uid="{00000000-0005-0000-0000-0000B31D0000}"/>
    <cellStyle name="20% - Accent3 3 4 2 3 2" xfId="5487" xr:uid="{00000000-0005-0000-0000-0000B41D0000}"/>
    <cellStyle name="20% - Accent3 3 4 2 3 2 2" xfId="11137" xr:uid="{00000000-0005-0000-0000-0000B51D0000}"/>
    <cellStyle name="20% - Accent3 3 4 2 3 2 2 2" xfId="22438" xr:uid="{00000000-0005-0000-0000-0000B61D0000}"/>
    <cellStyle name="20% - Accent3 3 4 2 3 2 2 2 2" xfId="45040" xr:uid="{00000000-0005-0000-0000-0000B71D0000}"/>
    <cellStyle name="20% - Accent3 3 4 2 3 2 2 3" xfId="33739" xr:uid="{00000000-0005-0000-0000-0000B81D0000}"/>
    <cellStyle name="20% - Accent3 3 4 2 3 2 3" xfId="16788" xr:uid="{00000000-0005-0000-0000-0000B91D0000}"/>
    <cellStyle name="20% - Accent3 3 4 2 3 2 3 2" xfId="39390" xr:uid="{00000000-0005-0000-0000-0000BA1D0000}"/>
    <cellStyle name="20% - Accent3 3 4 2 3 2 4" xfId="28089" xr:uid="{00000000-0005-0000-0000-0000BB1D0000}"/>
    <cellStyle name="20% - Accent3 3 4 2 3 3" xfId="8304" xr:uid="{00000000-0005-0000-0000-0000BC1D0000}"/>
    <cellStyle name="20% - Accent3 3 4 2 3 3 2" xfId="19605" xr:uid="{00000000-0005-0000-0000-0000BD1D0000}"/>
    <cellStyle name="20% - Accent3 3 4 2 3 3 2 2" xfId="42207" xr:uid="{00000000-0005-0000-0000-0000BE1D0000}"/>
    <cellStyle name="20% - Accent3 3 4 2 3 3 3" xfId="30906" xr:uid="{00000000-0005-0000-0000-0000BF1D0000}"/>
    <cellStyle name="20% - Accent3 3 4 2 3 4" xfId="13955" xr:uid="{00000000-0005-0000-0000-0000C01D0000}"/>
    <cellStyle name="20% - Accent3 3 4 2 3 4 2" xfId="36557" xr:uid="{00000000-0005-0000-0000-0000C11D0000}"/>
    <cellStyle name="20% - Accent3 3 4 2 3 5" xfId="25256" xr:uid="{00000000-0005-0000-0000-0000C21D0000}"/>
    <cellStyle name="20% - Accent3 3 4 2 4" xfId="4253" xr:uid="{00000000-0005-0000-0000-0000C31D0000}"/>
    <cellStyle name="20% - Accent3 3 4 2 4 2" xfId="9903" xr:uid="{00000000-0005-0000-0000-0000C41D0000}"/>
    <cellStyle name="20% - Accent3 3 4 2 4 2 2" xfId="21204" xr:uid="{00000000-0005-0000-0000-0000C51D0000}"/>
    <cellStyle name="20% - Accent3 3 4 2 4 2 2 2" xfId="43806" xr:uid="{00000000-0005-0000-0000-0000C61D0000}"/>
    <cellStyle name="20% - Accent3 3 4 2 4 2 3" xfId="32505" xr:uid="{00000000-0005-0000-0000-0000C71D0000}"/>
    <cellStyle name="20% - Accent3 3 4 2 4 3" xfId="15554" xr:uid="{00000000-0005-0000-0000-0000C81D0000}"/>
    <cellStyle name="20% - Accent3 3 4 2 4 3 2" xfId="38156" xr:uid="{00000000-0005-0000-0000-0000C91D0000}"/>
    <cellStyle name="20% - Accent3 3 4 2 4 4" xfId="26855" xr:uid="{00000000-0005-0000-0000-0000CA1D0000}"/>
    <cellStyle name="20% - Accent3 3 4 2 5" xfId="7051" xr:uid="{00000000-0005-0000-0000-0000CB1D0000}"/>
    <cellStyle name="20% - Accent3 3 4 2 5 2" xfId="18352" xr:uid="{00000000-0005-0000-0000-0000CC1D0000}"/>
    <cellStyle name="20% - Accent3 3 4 2 5 2 2" xfId="40954" xr:uid="{00000000-0005-0000-0000-0000CD1D0000}"/>
    <cellStyle name="20% - Accent3 3 4 2 5 3" xfId="29653" xr:uid="{00000000-0005-0000-0000-0000CE1D0000}"/>
    <cellStyle name="20% - Accent3 3 4 2 6" xfId="12702" xr:uid="{00000000-0005-0000-0000-0000CF1D0000}"/>
    <cellStyle name="20% - Accent3 3 4 2 6 2" xfId="35304" xr:uid="{00000000-0005-0000-0000-0000D01D0000}"/>
    <cellStyle name="20% - Accent3 3 4 2 7" xfId="24003" xr:uid="{00000000-0005-0000-0000-0000D11D0000}"/>
    <cellStyle name="20% - Accent3 3 4 3" xfId="745" xr:uid="{00000000-0005-0000-0000-0000D21D0000}"/>
    <cellStyle name="20% - Accent3 3 4 3 2" xfId="2833" xr:uid="{00000000-0005-0000-0000-0000D31D0000}"/>
    <cellStyle name="20% - Accent3 3 4 3 2 2" xfId="5805" xr:uid="{00000000-0005-0000-0000-0000D41D0000}"/>
    <cellStyle name="20% - Accent3 3 4 3 2 2 2" xfId="11455" xr:uid="{00000000-0005-0000-0000-0000D51D0000}"/>
    <cellStyle name="20% - Accent3 3 4 3 2 2 2 2" xfId="22756" xr:uid="{00000000-0005-0000-0000-0000D61D0000}"/>
    <cellStyle name="20% - Accent3 3 4 3 2 2 2 2 2" xfId="45358" xr:uid="{00000000-0005-0000-0000-0000D71D0000}"/>
    <cellStyle name="20% - Accent3 3 4 3 2 2 2 3" xfId="34057" xr:uid="{00000000-0005-0000-0000-0000D81D0000}"/>
    <cellStyle name="20% - Accent3 3 4 3 2 2 3" xfId="17106" xr:uid="{00000000-0005-0000-0000-0000D91D0000}"/>
    <cellStyle name="20% - Accent3 3 4 3 2 2 3 2" xfId="39708" xr:uid="{00000000-0005-0000-0000-0000DA1D0000}"/>
    <cellStyle name="20% - Accent3 3 4 3 2 2 4" xfId="28407" xr:uid="{00000000-0005-0000-0000-0000DB1D0000}"/>
    <cellStyle name="20% - Accent3 3 4 3 2 3" xfId="8623" xr:uid="{00000000-0005-0000-0000-0000DC1D0000}"/>
    <cellStyle name="20% - Accent3 3 4 3 2 3 2" xfId="19924" xr:uid="{00000000-0005-0000-0000-0000DD1D0000}"/>
    <cellStyle name="20% - Accent3 3 4 3 2 3 2 2" xfId="42526" xr:uid="{00000000-0005-0000-0000-0000DE1D0000}"/>
    <cellStyle name="20% - Accent3 3 4 3 2 3 3" xfId="31225" xr:uid="{00000000-0005-0000-0000-0000DF1D0000}"/>
    <cellStyle name="20% - Accent3 3 4 3 2 4" xfId="14274" xr:uid="{00000000-0005-0000-0000-0000E01D0000}"/>
    <cellStyle name="20% - Accent3 3 4 3 2 4 2" xfId="36876" xr:uid="{00000000-0005-0000-0000-0000E11D0000}"/>
    <cellStyle name="20% - Accent3 3 4 3 2 5" xfId="25575" xr:uid="{00000000-0005-0000-0000-0000E21D0000}"/>
    <cellStyle name="20% - Accent3 3 4 3 3" xfId="4571" xr:uid="{00000000-0005-0000-0000-0000E31D0000}"/>
    <cellStyle name="20% - Accent3 3 4 3 3 2" xfId="10221" xr:uid="{00000000-0005-0000-0000-0000E41D0000}"/>
    <cellStyle name="20% - Accent3 3 4 3 3 2 2" xfId="21522" xr:uid="{00000000-0005-0000-0000-0000E51D0000}"/>
    <cellStyle name="20% - Accent3 3 4 3 3 2 2 2" xfId="44124" xr:uid="{00000000-0005-0000-0000-0000E61D0000}"/>
    <cellStyle name="20% - Accent3 3 4 3 3 2 3" xfId="32823" xr:uid="{00000000-0005-0000-0000-0000E71D0000}"/>
    <cellStyle name="20% - Accent3 3 4 3 3 3" xfId="15872" xr:uid="{00000000-0005-0000-0000-0000E81D0000}"/>
    <cellStyle name="20% - Accent3 3 4 3 3 3 2" xfId="38474" xr:uid="{00000000-0005-0000-0000-0000E91D0000}"/>
    <cellStyle name="20% - Accent3 3 4 3 3 4" xfId="27173" xr:uid="{00000000-0005-0000-0000-0000EA1D0000}"/>
    <cellStyle name="20% - Accent3 3 4 3 4" xfId="6754" xr:uid="{00000000-0005-0000-0000-0000EB1D0000}"/>
    <cellStyle name="20% - Accent3 3 4 3 4 2" xfId="18055" xr:uid="{00000000-0005-0000-0000-0000EC1D0000}"/>
    <cellStyle name="20% - Accent3 3 4 3 4 2 2" xfId="40657" xr:uid="{00000000-0005-0000-0000-0000ED1D0000}"/>
    <cellStyle name="20% - Accent3 3 4 3 4 3" xfId="29356" xr:uid="{00000000-0005-0000-0000-0000EE1D0000}"/>
    <cellStyle name="20% - Accent3 3 4 3 5" xfId="12405" xr:uid="{00000000-0005-0000-0000-0000EF1D0000}"/>
    <cellStyle name="20% - Accent3 3 4 3 5 2" xfId="35007" xr:uid="{00000000-0005-0000-0000-0000F01D0000}"/>
    <cellStyle name="20% - Accent3 3 4 3 6" xfId="23706" xr:uid="{00000000-0005-0000-0000-0000F11D0000}"/>
    <cellStyle name="20% - Accent3 3 4 4" xfId="1584" xr:uid="{00000000-0005-0000-0000-0000F21D0000}"/>
    <cellStyle name="20% - Accent3 3 4 4 2" xfId="3556" xr:uid="{00000000-0005-0000-0000-0000F31D0000}"/>
    <cellStyle name="20% - Accent3 3 4 4 2 2" xfId="9269" xr:uid="{00000000-0005-0000-0000-0000F41D0000}"/>
    <cellStyle name="20% - Accent3 3 4 4 2 2 2" xfId="20570" xr:uid="{00000000-0005-0000-0000-0000F51D0000}"/>
    <cellStyle name="20% - Accent3 3 4 4 2 2 2 2" xfId="43172" xr:uid="{00000000-0005-0000-0000-0000F61D0000}"/>
    <cellStyle name="20% - Accent3 3 4 4 2 2 3" xfId="31871" xr:uid="{00000000-0005-0000-0000-0000F71D0000}"/>
    <cellStyle name="20% - Accent3 3 4 4 2 3" xfId="14920" xr:uid="{00000000-0005-0000-0000-0000F81D0000}"/>
    <cellStyle name="20% - Accent3 3 4 4 2 3 2" xfId="37522" xr:uid="{00000000-0005-0000-0000-0000F91D0000}"/>
    <cellStyle name="20% - Accent3 3 4 4 2 4" xfId="26221" xr:uid="{00000000-0005-0000-0000-0000FA1D0000}"/>
    <cellStyle name="20% - Accent3 3 4 4 3" xfId="5181" xr:uid="{00000000-0005-0000-0000-0000FB1D0000}"/>
    <cellStyle name="20% - Accent3 3 4 4 3 2" xfId="10831" xr:uid="{00000000-0005-0000-0000-0000FC1D0000}"/>
    <cellStyle name="20% - Accent3 3 4 4 3 2 2" xfId="22132" xr:uid="{00000000-0005-0000-0000-0000FD1D0000}"/>
    <cellStyle name="20% - Accent3 3 4 4 3 2 2 2" xfId="44734" xr:uid="{00000000-0005-0000-0000-0000FE1D0000}"/>
    <cellStyle name="20% - Accent3 3 4 4 3 2 3" xfId="33433" xr:uid="{00000000-0005-0000-0000-0000FF1D0000}"/>
    <cellStyle name="20% - Accent3 3 4 4 3 3" xfId="16482" xr:uid="{00000000-0005-0000-0000-0000001E0000}"/>
    <cellStyle name="20% - Accent3 3 4 4 3 3 2" xfId="39084" xr:uid="{00000000-0005-0000-0000-0000011E0000}"/>
    <cellStyle name="20% - Accent3 3 4 4 3 4" xfId="27783" xr:uid="{00000000-0005-0000-0000-0000021E0000}"/>
    <cellStyle name="20% - Accent3 3 4 4 4" xfId="7440" xr:uid="{00000000-0005-0000-0000-0000031E0000}"/>
    <cellStyle name="20% - Accent3 3 4 4 4 2" xfId="18741" xr:uid="{00000000-0005-0000-0000-0000041E0000}"/>
    <cellStyle name="20% - Accent3 3 4 4 4 2 2" xfId="41343" xr:uid="{00000000-0005-0000-0000-0000051E0000}"/>
    <cellStyle name="20% - Accent3 3 4 4 4 3" xfId="30042" xr:uid="{00000000-0005-0000-0000-0000061E0000}"/>
    <cellStyle name="20% - Accent3 3 4 4 5" xfId="13091" xr:uid="{00000000-0005-0000-0000-0000071E0000}"/>
    <cellStyle name="20% - Accent3 3 4 4 5 2" xfId="35693" xr:uid="{00000000-0005-0000-0000-0000081E0000}"/>
    <cellStyle name="20% - Accent3 3 4 4 6" xfId="24392" xr:uid="{00000000-0005-0000-0000-0000091E0000}"/>
    <cellStyle name="20% - Accent3 3 4 5" xfId="2153" xr:uid="{00000000-0005-0000-0000-00000A1E0000}"/>
    <cellStyle name="20% - Accent3 3 4 5 2" xfId="7995" xr:uid="{00000000-0005-0000-0000-00000B1E0000}"/>
    <cellStyle name="20% - Accent3 3 4 5 2 2" xfId="19296" xr:uid="{00000000-0005-0000-0000-00000C1E0000}"/>
    <cellStyle name="20% - Accent3 3 4 5 2 2 2" xfId="41898" xr:uid="{00000000-0005-0000-0000-00000D1E0000}"/>
    <cellStyle name="20% - Accent3 3 4 5 2 3" xfId="30597" xr:uid="{00000000-0005-0000-0000-00000E1E0000}"/>
    <cellStyle name="20% - Accent3 3 4 5 3" xfId="13646" xr:uid="{00000000-0005-0000-0000-00000F1E0000}"/>
    <cellStyle name="20% - Accent3 3 4 5 3 2" xfId="36248" xr:uid="{00000000-0005-0000-0000-0000101E0000}"/>
    <cellStyle name="20% - Accent3 3 4 5 4" xfId="24947" xr:uid="{00000000-0005-0000-0000-0000111E0000}"/>
    <cellStyle name="20% - Accent3 3 4 6" xfId="3947" xr:uid="{00000000-0005-0000-0000-0000121E0000}"/>
    <cellStyle name="20% - Accent3 3 4 6 2" xfId="9597" xr:uid="{00000000-0005-0000-0000-0000131E0000}"/>
    <cellStyle name="20% - Accent3 3 4 6 2 2" xfId="20898" xr:uid="{00000000-0005-0000-0000-0000141E0000}"/>
    <cellStyle name="20% - Accent3 3 4 6 2 2 2" xfId="43500" xr:uid="{00000000-0005-0000-0000-0000151E0000}"/>
    <cellStyle name="20% - Accent3 3 4 6 2 3" xfId="32199" xr:uid="{00000000-0005-0000-0000-0000161E0000}"/>
    <cellStyle name="20% - Accent3 3 4 6 3" xfId="15248" xr:uid="{00000000-0005-0000-0000-0000171E0000}"/>
    <cellStyle name="20% - Accent3 3 4 6 3 2" xfId="37850" xr:uid="{00000000-0005-0000-0000-0000181E0000}"/>
    <cellStyle name="20% - Accent3 3 4 6 4" xfId="26549" xr:uid="{00000000-0005-0000-0000-0000191E0000}"/>
    <cellStyle name="20% - Accent3 3 4 7" xfId="6565" xr:uid="{00000000-0005-0000-0000-00001A1E0000}"/>
    <cellStyle name="20% - Accent3 3 4 7 2" xfId="17866" xr:uid="{00000000-0005-0000-0000-00001B1E0000}"/>
    <cellStyle name="20% - Accent3 3 4 7 2 2" xfId="40468" xr:uid="{00000000-0005-0000-0000-00001C1E0000}"/>
    <cellStyle name="20% - Accent3 3 4 7 3" xfId="29167" xr:uid="{00000000-0005-0000-0000-00001D1E0000}"/>
    <cellStyle name="20% - Accent3 3 4 8" xfId="12216" xr:uid="{00000000-0005-0000-0000-00001E1E0000}"/>
    <cellStyle name="20% - Accent3 3 4 8 2" xfId="34818" xr:uid="{00000000-0005-0000-0000-00001F1E0000}"/>
    <cellStyle name="20% - Accent3 3 4 9" xfId="23517" xr:uid="{00000000-0005-0000-0000-0000201E0000}"/>
    <cellStyle name="20% - Accent3 3 5" xfId="391" xr:uid="{00000000-0005-0000-0000-0000211E0000}"/>
    <cellStyle name="20% - Accent3 3 6" xfId="1412" xr:uid="{00000000-0005-0000-0000-0000221E0000}"/>
    <cellStyle name="20% - Accent3 3 7" xfId="6398" xr:uid="{00000000-0005-0000-0000-0000231E0000}"/>
    <cellStyle name="20% - Accent3 3 7 2" xfId="17699" xr:uid="{00000000-0005-0000-0000-0000241E0000}"/>
    <cellStyle name="20% - Accent3 3 7 2 2" xfId="40301" xr:uid="{00000000-0005-0000-0000-0000251E0000}"/>
    <cellStyle name="20% - Accent3 3 7 3" xfId="29000" xr:uid="{00000000-0005-0000-0000-0000261E0000}"/>
    <cellStyle name="20% - Accent3 3 8" xfId="12049" xr:uid="{00000000-0005-0000-0000-0000271E0000}"/>
    <cellStyle name="20% - Accent3 3 8 2" xfId="34651" xr:uid="{00000000-0005-0000-0000-0000281E0000}"/>
    <cellStyle name="20% - Accent3 3 9" xfId="23350" xr:uid="{00000000-0005-0000-0000-0000291E0000}"/>
    <cellStyle name="20% - Accent3 4" xfId="180" xr:uid="{00000000-0005-0000-0000-00002A1E0000}"/>
    <cellStyle name="20% - Accent3 4 10" xfId="3933" xr:uid="{00000000-0005-0000-0000-00002B1E0000}"/>
    <cellStyle name="20% - Accent3 4 10 2" xfId="9583" xr:uid="{00000000-0005-0000-0000-00002C1E0000}"/>
    <cellStyle name="20% - Accent3 4 10 2 2" xfId="20884" xr:uid="{00000000-0005-0000-0000-00002D1E0000}"/>
    <cellStyle name="20% - Accent3 4 10 2 2 2" xfId="43486" xr:uid="{00000000-0005-0000-0000-00002E1E0000}"/>
    <cellStyle name="20% - Accent3 4 10 2 3" xfId="32185" xr:uid="{00000000-0005-0000-0000-00002F1E0000}"/>
    <cellStyle name="20% - Accent3 4 10 3" xfId="15234" xr:uid="{00000000-0005-0000-0000-0000301E0000}"/>
    <cellStyle name="20% - Accent3 4 10 3 2" xfId="37836" xr:uid="{00000000-0005-0000-0000-0000311E0000}"/>
    <cellStyle name="20% - Accent3 4 10 4" xfId="26535" xr:uid="{00000000-0005-0000-0000-0000321E0000}"/>
    <cellStyle name="20% - Accent3 4 11" xfId="6412" xr:uid="{00000000-0005-0000-0000-0000331E0000}"/>
    <cellStyle name="20% - Accent3 4 11 2" xfId="17713" xr:uid="{00000000-0005-0000-0000-0000341E0000}"/>
    <cellStyle name="20% - Accent3 4 11 2 2" xfId="40315" xr:uid="{00000000-0005-0000-0000-0000351E0000}"/>
    <cellStyle name="20% - Accent3 4 11 3" xfId="29014" xr:uid="{00000000-0005-0000-0000-0000361E0000}"/>
    <cellStyle name="20% - Accent3 4 12" xfId="12063" xr:uid="{00000000-0005-0000-0000-0000371E0000}"/>
    <cellStyle name="20% - Accent3 4 12 2" xfId="34665" xr:uid="{00000000-0005-0000-0000-0000381E0000}"/>
    <cellStyle name="20% - Accent3 4 13" xfId="23364" xr:uid="{00000000-0005-0000-0000-0000391E0000}"/>
    <cellStyle name="20% - Accent3 4 2" xfId="303" xr:uid="{00000000-0005-0000-0000-00003A1E0000}"/>
    <cellStyle name="20% - Accent3 4 2 10" xfId="23411" xr:uid="{00000000-0005-0000-0000-00003B1E0000}"/>
    <cellStyle name="20% - Accent3 4 2 2" xfId="561" xr:uid="{00000000-0005-0000-0000-00003C1E0000}"/>
    <cellStyle name="20% - Accent3 4 2 2 2" xfId="1271" xr:uid="{00000000-0005-0000-0000-00003D1E0000}"/>
    <cellStyle name="20% - Accent3 4 2 2 2 2" xfId="1589" xr:uid="{00000000-0005-0000-0000-00003E1E0000}"/>
    <cellStyle name="20% - Accent3 4 2 2 2 2 2" xfId="3340" xr:uid="{00000000-0005-0000-0000-00003F1E0000}"/>
    <cellStyle name="20% - Accent3 4 2 2 2 2 2 2" xfId="6312" xr:uid="{00000000-0005-0000-0000-0000401E0000}"/>
    <cellStyle name="20% - Accent3 4 2 2 2 2 2 2 2" xfId="11962" xr:uid="{00000000-0005-0000-0000-0000411E0000}"/>
    <cellStyle name="20% - Accent3 4 2 2 2 2 2 2 2 2" xfId="23263" xr:uid="{00000000-0005-0000-0000-0000421E0000}"/>
    <cellStyle name="20% - Accent3 4 2 2 2 2 2 2 2 2 2" xfId="45865" xr:uid="{00000000-0005-0000-0000-0000431E0000}"/>
    <cellStyle name="20% - Accent3 4 2 2 2 2 2 2 2 3" xfId="34564" xr:uid="{00000000-0005-0000-0000-0000441E0000}"/>
    <cellStyle name="20% - Accent3 4 2 2 2 2 2 2 3" xfId="17613" xr:uid="{00000000-0005-0000-0000-0000451E0000}"/>
    <cellStyle name="20% - Accent3 4 2 2 2 2 2 2 3 2" xfId="40215" xr:uid="{00000000-0005-0000-0000-0000461E0000}"/>
    <cellStyle name="20% - Accent3 4 2 2 2 2 2 2 4" xfId="28914" xr:uid="{00000000-0005-0000-0000-0000471E0000}"/>
    <cellStyle name="20% - Accent3 4 2 2 2 2 2 3" xfId="9130" xr:uid="{00000000-0005-0000-0000-0000481E0000}"/>
    <cellStyle name="20% - Accent3 4 2 2 2 2 2 3 2" xfId="20431" xr:uid="{00000000-0005-0000-0000-0000491E0000}"/>
    <cellStyle name="20% - Accent3 4 2 2 2 2 2 3 2 2" xfId="43033" xr:uid="{00000000-0005-0000-0000-00004A1E0000}"/>
    <cellStyle name="20% - Accent3 4 2 2 2 2 2 3 3" xfId="31732" xr:uid="{00000000-0005-0000-0000-00004B1E0000}"/>
    <cellStyle name="20% - Accent3 4 2 2 2 2 2 4" xfId="14781" xr:uid="{00000000-0005-0000-0000-00004C1E0000}"/>
    <cellStyle name="20% - Accent3 4 2 2 2 2 2 4 2" xfId="37383" xr:uid="{00000000-0005-0000-0000-00004D1E0000}"/>
    <cellStyle name="20% - Accent3 4 2 2 2 2 2 5" xfId="26082" xr:uid="{00000000-0005-0000-0000-00004E1E0000}"/>
    <cellStyle name="20% - Accent3 4 2 2 2 2 3" xfId="5078" xr:uid="{00000000-0005-0000-0000-00004F1E0000}"/>
    <cellStyle name="20% - Accent3 4 2 2 2 2 3 2" xfId="10728" xr:uid="{00000000-0005-0000-0000-0000501E0000}"/>
    <cellStyle name="20% - Accent3 4 2 2 2 2 3 2 2" xfId="22029" xr:uid="{00000000-0005-0000-0000-0000511E0000}"/>
    <cellStyle name="20% - Accent3 4 2 2 2 2 3 2 2 2" xfId="44631" xr:uid="{00000000-0005-0000-0000-0000521E0000}"/>
    <cellStyle name="20% - Accent3 4 2 2 2 2 3 2 3" xfId="33330" xr:uid="{00000000-0005-0000-0000-0000531E0000}"/>
    <cellStyle name="20% - Accent3 4 2 2 2 2 3 3" xfId="16379" xr:uid="{00000000-0005-0000-0000-0000541E0000}"/>
    <cellStyle name="20% - Accent3 4 2 2 2 2 3 3 2" xfId="38981" xr:uid="{00000000-0005-0000-0000-0000551E0000}"/>
    <cellStyle name="20% - Accent3 4 2 2 2 2 3 4" xfId="27680" xr:uid="{00000000-0005-0000-0000-0000561E0000}"/>
    <cellStyle name="20% - Accent3 4 2 2 2 2 4" xfId="7445" xr:uid="{00000000-0005-0000-0000-0000571E0000}"/>
    <cellStyle name="20% - Accent3 4 2 2 2 2 4 2" xfId="18746" xr:uid="{00000000-0005-0000-0000-0000581E0000}"/>
    <cellStyle name="20% - Accent3 4 2 2 2 2 4 2 2" xfId="41348" xr:uid="{00000000-0005-0000-0000-0000591E0000}"/>
    <cellStyle name="20% - Accent3 4 2 2 2 2 4 3" xfId="30047" xr:uid="{00000000-0005-0000-0000-00005A1E0000}"/>
    <cellStyle name="20% - Accent3 4 2 2 2 2 5" xfId="13096" xr:uid="{00000000-0005-0000-0000-00005B1E0000}"/>
    <cellStyle name="20% - Accent3 4 2 2 2 2 5 2" xfId="35698" xr:uid="{00000000-0005-0000-0000-00005C1E0000}"/>
    <cellStyle name="20% - Accent3 4 2 2 2 2 6" xfId="24397" xr:uid="{00000000-0005-0000-0000-00005D1E0000}"/>
    <cellStyle name="20% - Accent3 4 2 2 2 3" xfId="2669" xr:uid="{00000000-0005-0000-0000-00005E1E0000}"/>
    <cellStyle name="20% - Accent3 4 2 2 2 3 2" xfId="5688" xr:uid="{00000000-0005-0000-0000-00005F1E0000}"/>
    <cellStyle name="20% - Accent3 4 2 2 2 3 2 2" xfId="11338" xr:uid="{00000000-0005-0000-0000-0000601E0000}"/>
    <cellStyle name="20% - Accent3 4 2 2 2 3 2 2 2" xfId="22639" xr:uid="{00000000-0005-0000-0000-0000611E0000}"/>
    <cellStyle name="20% - Accent3 4 2 2 2 3 2 2 2 2" xfId="45241" xr:uid="{00000000-0005-0000-0000-0000621E0000}"/>
    <cellStyle name="20% - Accent3 4 2 2 2 3 2 2 3" xfId="33940" xr:uid="{00000000-0005-0000-0000-0000631E0000}"/>
    <cellStyle name="20% - Accent3 4 2 2 2 3 2 3" xfId="16989" xr:uid="{00000000-0005-0000-0000-0000641E0000}"/>
    <cellStyle name="20% - Accent3 4 2 2 2 3 2 3 2" xfId="39591" xr:uid="{00000000-0005-0000-0000-0000651E0000}"/>
    <cellStyle name="20% - Accent3 4 2 2 2 3 2 4" xfId="28290" xr:uid="{00000000-0005-0000-0000-0000661E0000}"/>
    <cellStyle name="20% - Accent3 4 2 2 2 3 3" xfId="8505" xr:uid="{00000000-0005-0000-0000-0000671E0000}"/>
    <cellStyle name="20% - Accent3 4 2 2 2 3 3 2" xfId="19806" xr:uid="{00000000-0005-0000-0000-0000681E0000}"/>
    <cellStyle name="20% - Accent3 4 2 2 2 3 3 2 2" xfId="42408" xr:uid="{00000000-0005-0000-0000-0000691E0000}"/>
    <cellStyle name="20% - Accent3 4 2 2 2 3 3 3" xfId="31107" xr:uid="{00000000-0005-0000-0000-00006A1E0000}"/>
    <cellStyle name="20% - Accent3 4 2 2 2 3 4" xfId="14156" xr:uid="{00000000-0005-0000-0000-00006B1E0000}"/>
    <cellStyle name="20% - Accent3 4 2 2 2 3 4 2" xfId="36758" xr:uid="{00000000-0005-0000-0000-00006C1E0000}"/>
    <cellStyle name="20% - Accent3 4 2 2 2 3 5" xfId="25457" xr:uid="{00000000-0005-0000-0000-00006D1E0000}"/>
    <cellStyle name="20% - Accent3 4 2 2 2 4" xfId="4454" xr:uid="{00000000-0005-0000-0000-00006E1E0000}"/>
    <cellStyle name="20% - Accent3 4 2 2 2 4 2" xfId="10104" xr:uid="{00000000-0005-0000-0000-00006F1E0000}"/>
    <cellStyle name="20% - Accent3 4 2 2 2 4 2 2" xfId="21405" xr:uid="{00000000-0005-0000-0000-0000701E0000}"/>
    <cellStyle name="20% - Accent3 4 2 2 2 4 2 2 2" xfId="44007" xr:uid="{00000000-0005-0000-0000-0000711E0000}"/>
    <cellStyle name="20% - Accent3 4 2 2 2 4 2 3" xfId="32706" xr:uid="{00000000-0005-0000-0000-0000721E0000}"/>
    <cellStyle name="20% - Accent3 4 2 2 2 4 3" xfId="15755" xr:uid="{00000000-0005-0000-0000-0000731E0000}"/>
    <cellStyle name="20% - Accent3 4 2 2 2 4 3 2" xfId="38357" xr:uid="{00000000-0005-0000-0000-0000741E0000}"/>
    <cellStyle name="20% - Accent3 4 2 2 2 4 4" xfId="27056" xr:uid="{00000000-0005-0000-0000-0000751E0000}"/>
    <cellStyle name="20% - Accent3 4 2 2 2 5" xfId="7250" xr:uid="{00000000-0005-0000-0000-0000761E0000}"/>
    <cellStyle name="20% - Accent3 4 2 2 2 5 2" xfId="18551" xr:uid="{00000000-0005-0000-0000-0000771E0000}"/>
    <cellStyle name="20% - Accent3 4 2 2 2 5 2 2" xfId="41153" xr:uid="{00000000-0005-0000-0000-0000781E0000}"/>
    <cellStyle name="20% - Accent3 4 2 2 2 5 3" xfId="29852" xr:uid="{00000000-0005-0000-0000-0000791E0000}"/>
    <cellStyle name="20% - Accent3 4 2 2 2 6" xfId="12901" xr:uid="{00000000-0005-0000-0000-00007A1E0000}"/>
    <cellStyle name="20% - Accent3 4 2 2 2 6 2" xfId="35503" xr:uid="{00000000-0005-0000-0000-00007B1E0000}"/>
    <cellStyle name="20% - Accent3 4 2 2 2 7" xfId="24202" xr:uid="{00000000-0005-0000-0000-00007C1E0000}"/>
    <cellStyle name="20% - Accent3 4 2 2 3" xfId="969" xr:uid="{00000000-0005-0000-0000-00007D1E0000}"/>
    <cellStyle name="20% - Accent3 4 2 2 3 2" xfId="3032" xr:uid="{00000000-0005-0000-0000-00007E1E0000}"/>
    <cellStyle name="20% - Accent3 4 2 2 3 2 2" xfId="6004" xr:uid="{00000000-0005-0000-0000-00007F1E0000}"/>
    <cellStyle name="20% - Accent3 4 2 2 3 2 2 2" xfId="11654" xr:uid="{00000000-0005-0000-0000-0000801E0000}"/>
    <cellStyle name="20% - Accent3 4 2 2 3 2 2 2 2" xfId="22955" xr:uid="{00000000-0005-0000-0000-0000811E0000}"/>
    <cellStyle name="20% - Accent3 4 2 2 3 2 2 2 2 2" xfId="45557" xr:uid="{00000000-0005-0000-0000-0000821E0000}"/>
    <cellStyle name="20% - Accent3 4 2 2 3 2 2 2 3" xfId="34256" xr:uid="{00000000-0005-0000-0000-0000831E0000}"/>
    <cellStyle name="20% - Accent3 4 2 2 3 2 2 3" xfId="17305" xr:uid="{00000000-0005-0000-0000-0000841E0000}"/>
    <cellStyle name="20% - Accent3 4 2 2 3 2 2 3 2" xfId="39907" xr:uid="{00000000-0005-0000-0000-0000851E0000}"/>
    <cellStyle name="20% - Accent3 4 2 2 3 2 2 4" xfId="28606" xr:uid="{00000000-0005-0000-0000-0000861E0000}"/>
    <cellStyle name="20% - Accent3 4 2 2 3 2 3" xfId="8822" xr:uid="{00000000-0005-0000-0000-0000871E0000}"/>
    <cellStyle name="20% - Accent3 4 2 2 3 2 3 2" xfId="20123" xr:uid="{00000000-0005-0000-0000-0000881E0000}"/>
    <cellStyle name="20% - Accent3 4 2 2 3 2 3 2 2" xfId="42725" xr:uid="{00000000-0005-0000-0000-0000891E0000}"/>
    <cellStyle name="20% - Accent3 4 2 2 3 2 3 3" xfId="31424" xr:uid="{00000000-0005-0000-0000-00008A1E0000}"/>
    <cellStyle name="20% - Accent3 4 2 2 3 2 4" xfId="14473" xr:uid="{00000000-0005-0000-0000-00008B1E0000}"/>
    <cellStyle name="20% - Accent3 4 2 2 3 2 4 2" xfId="37075" xr:uid="{00000000-0005-0000-0000-00008C1E0000}"/>
    <cellStyle name="20% - Accent3 4 2 2 3 2 5" xfId="25774" xr:uid="{00000000-0005-0000-0000-00008D1E0000}"/>
    <cellStyle name="20% - Accent3 4 2 2 3 3" xfId="4770" xr:uid="{00000000-0005-0000-0000-00008E1E0000}"/>
    <cellStyle name="20% - Accent3 4 2 2 3 3 2" xfId="10420" xr:uid="{00000000-0005-0000-0000-00008F1E0000}"/>
    <cellStyle name="20% - Accent3 4 2 2 3 3 2 2" xfId="21721" xr:uid="{00000000-0005-0000-0000-0000901E0000}"/>
    <cellStyle name="20% - Accent3 4 2 2 3 3 2 2 2" xfId="44323" xr:uid="{00000000-0005-0000-0000-0000911E0000}"/>
    <cellStyle name="20% - Accent3 4 2 2 3 3 2 3" xfId="33022" xr:uid="{00000000-0005-0000-0000-0000921E0000}"/>
    <cellStyle name="20% - Accent3 4 2 2 3 3 3" xfId="16071" xr:uid="{00000000-0005-0000-0000-0000931E0000}"/>
    <cellStyle name="20% - Accent3 4 2 2 3 3 3 2" xfId="38673" xr:uid="{00000000-0005-0000-0000-0000941E0000}"/>
    <cellStyle name="20% - Accent3 4 2 2 3 3 4" xfId="27372" xr:uid="{00000000-0005-0000-0000-0000951E0000}"/>
    <cellStyle name="20% - Accent3 4 2 2 3 4" xfId="6957" xr:uid="{00000000-0005-0000-0000-0000961E0000}"/>
    <cellStyle name="20% - Accent3 4 2 2 3 4 2" xfId="18258" xr:uid="{00000000-0005-0000-0000-0000971E0000}"/>
    <cellStyle name="20% - Accent3 4 2 2 3 4 2 2" xfId="40860" xr:uid="{00000000-0005-0000-0000-0000981E0000}"/>
    <cellStyle name="20% - Accent3 4 2 2 3 4 3" xfId="29559" xr:uid="{00000000-0005-0000-0000-0000991E0000}"/>
    <cellStyle name="20% - Accent3 4 2 2 3 5" xfId="12608" xr:uid="{00000000-0005-0000-0000-00009A1E0000}"/>
    <cellStyle name="20% - Accent3 4 2 2 3 5 2" xfId="35210" xr:uid="{00000000-0005-0000-0000-00009B1E0000}"/>
    <cellStyle name="20% - Accent3 4 2 2 3 6" xfId="23909" xr:uid="{00000000-0005-0000-0000-00009C1E0000}"/>
    <cellStyle name="20% - Accent3 4 2 2 4" xfId="1588" xr:uid="{00000000-0005-0000-0000-00009D1E0000}"/>
    <cellStyle name="20% - Accent3 4 2 2 4 2" xfId="3559" xr:uid="{00000000-0005-0000-0000-00009E1E0000}"/>
    <cellStyle name="20% - Accent3 4 2 2 4 2 2" xfId="9272" xr:uid="{00000000-0005-0000-0000-00009F1E0000}"/>
    <cellStyle name="20% - Accent3 4 2 2 4 2 2 2" xfId="20573" xr:uid="{00000000-0005-0000-0000-0000A01E0000}"/>
    <cellStyle name="20% - Accent3 4 2 2 4 2 2 2 2" xfId="43175" xr:uid="{00000000-0005-0000-0000-0000A11E0000}"/>
    <cellStyle name="20% - Accent3 4 2 2 4 2 2 3" xfId="31874" xr:uid="{00000000-0005-0000-0000-0000A21E0000}"/>
    <cellStyle name="20% - Accent3 4 2 2 4 2 3" xfId="14923" xr:uid="{00000000-0005-0000-0000-0000A31E0000}"/>
    <cellStyle name="20% - Accent3 4 2 2 4 2 3 2" xfId="37525" xr:uid="{00000000-0005-0000-0000-0000A41E0000}"/>
    <cellStyle name="20% - Accent3 4 2 2 4 2 4" xfId="26224" xr:uid="{00000000-0005-0000-0000-0000A51E0000}"/>
    <cellStyle name="20% - Accent3 4 2 2 4 3" xfId="5380" xr:uid="{00000000-0005-0000-0000-0000A61E0000}"/>
    <cellStyle name="20% - Accent3 4 2 2 4 3 2" xfId="11030" xr:uid="{00000000-0005-0000-0000-0000A71E0000}"/>
    <cellStyle name="20% - Accent3 4 2 2 4 3 2 2" xfId="22331" xr:uid="{00000000-0005-0000-0000-0000A81E0000}"/>
    <cellStyle name="20% - Accent3 4 2 2 4 3 2 2 2" xfId="44933" xr:uid="{00000000-0005-0000-0000-0000A91E0000}"/>
    <cellStyle name="20% - Accent3 4 2 2 4 3 2 3" xfId="33632" xr:uid="{00000000-0005-0000-0000-0000AA1E0000}"/>
    <cellStyle name="20% - Accent3 4 2 2 4 3 3" xfId="16681" xr:uid="{00000000-0005-0000-0000-0000AB1E0000}"/>
    <cellStyle name="20% - Accent3 4 2 2 4 3 3 2" xfId="39283" xr:uid="{00000000-0005-0000-0000-0000AC1E0000}"/>
    <cellStyle name="20% - Accent3 4 2 2 4 3 4" xfId="27982" xr:uid="{00000000-0005-0000-0000-0000AD1E0000}"/>
    <cellStyle name="20% - Accent3 4 2 2 4 4" xfId="7444" xr:uid="{00000000-0005-0000-0000-0000AE1E0000}"/>
    <cellStyle name="20% - Accent3 4 2 2 4 4 2" xfId="18745" xr:uid="{00000000-0005-0000-0000-0000AF1E0000}"/>
    <cellStyle name="20% - Accent3 4 2 2 4 4 2 2" xfId="41347" xr:uid="{00000000-0005-0000-0000-0000B01E0000}"/>
    <cellStyle name="20% - Accent3 4 2 2 4 4 3" xfId="30046" xr:uid="{00000000-0005-0000-0000-0000B11E0000}"/>
    <cellStyle name="20% - Accent3 4 2 2 4 5" xfId="13095" xr:uid="{00000000-0005-0000-0000-0000B21E0000}"/>
    <cellStyle name="20% - Accent3 4 2 2 4 5 2" xfId="35697" xr:uid="{00000000-0005-0000-0000-0000B31E0000}"/>
    <cellStyle name="20% - Accent3 4 2 2 4 6" xfId="24396" xr:uid="{00000000-0005-0000-0000-0000B41E0000}"/>
    <cellStyle name="20% - Accent3 4 2 2 5" xfId="2361" xr:uid="{00000000-0005-0000-0000-0000B51E0000}"/>
    <cellStyle name="20% - Accent3 4 2 2 5 2" xfId="8197" xr:uid="{00000000-0005-0000-0000-0000B61E0000}"/>
    <cellStyle name="20% - Accent3 4 2 2 5 2 2" xfId="19498" xr:uid="{00000000-0005-0000-0000-0000B71E0000}"/>
    <cellStyle name="20% - Accent3 4 2 2 5 2 2 2" xfId="42100" xr:uid="{00000000-0005-0000-0000-0000B81E0000}"/>
    <cellStyle name="20% - Accent3 4 2 2 5 2 3" xfId="30799" xr:uid="{00000000-0005-0000-0000-0000B91E0000}"/>
    <cellStyle name="20% - Accent3 4 2 2 5 3" xfId="13848" xr:uid="{00000000-0005-0000-0000-0000BA1E0000}"/>
    <cellStyle name="20% - Accent3 4 2 2 5 3 2" xfId="36450" xr:uid="{00000000-0005-0000-0000-0000BB1E0000}"/>
    <cellStyle name="20% - Accent3 4 2 2 5 4" xfId="25149" xr:uid="{00000000-0005-0000-0000-0000BC1E0000}"/>
    <cellStyle name="20% - Accent3 4 2 2 6" xfId="4146" xr:uid="{00000000-0005-0000-0000-0000BD1E0000}"/>
    <cellStyle name="20% - Accent3 4 2 2 6 2" xfId="9796" xr:uid="{00000000-0005-0000-0000-0000BE1E0000}"/>
    <cellStyle name="20% - Accent3 4 2 2 6 2 2" xfId="21097" xr:uid="{00000000-0005-0000-0000-0000BF1E0000}"/>
    <cellStyle name="20% - Accent3 4 2 2 6 2 2 2" xfId="43699" xr:uid="{00000000-0005-0000-0000-0000C01E0000}"/>
    <cellStyle name="20% - Accent3 4 2 2 6 2 3" xfId="32398" xr:uid="{00000000-0005-0000-0000-0000C11E0000}"/>
    <cellStyle name="20% - Accent3 4 2 2 6 3" xfId="15447" xr:uid="{00000000-0005-0000-0000-0000C21E0000}"/>
    <cellStyle name="20% - Accent3 4 2 2 6 3 2" xfId="38049" xr:uid="{00000000-0005-0000-0000-0000C31E0000}"/>
    <cellStyle name="20% - Accent3 4 2 2 6 4" xfId="26748" xr:uid="{00000000-0005-0000-0000-0000C41E0000}"/>
    <cellStyle name="20% - Accent3 4 2 2 7" xfId="6626" xr:uid="{00000000-0005-0000-0000-0000C51E0000}"/>
    <cellStyle name="20% - Accent3 4 2 2 7 2" xfId="17927" xr:uid="{00000000-0005-0000-0000-0000C61E0000}"/>
    <cellStyle name="20% - Accent3 4 2 2 7 2 2" xfId="40529" xr:uid="{00000000-0005-0000-0000-0000C71E0000}"/>
    <cellStyle name="20% - Accent3 4 2 2 7 3" xfId="29228" xr:uid="{00000000-0005-0000-0000-0000C81E0000}"/>
    <cellStyle name="20% - Accent3 4 2 2 8" xfId="12277" xr:uid="{00000000-0005-0000-0000-0000C91E0000}"/>
    <cellStyle name="20% - Accent3 4 2 2 8 2" xfId="34879" xr:uid="{00000000-0005-0000-0000-0000CA1E0000}"/>
    <cellStyle name="20% - Accent3 4 2 2 9" xfId="23578" xr:uid="{00000000-0005-0000-0000-0000CB1E0000}"/>
    <cellStyle name="20% - Accent3 4 2 3" xfId="1133" xr:uid="{00000000-0005-0000-0000-0000CC1E0000}"/>
    <cellStyle name="20% - Accent3 4 2 3 2" xfId="1590" xr:uid="{00000000-0005-0000-0000-0000CD1E0000}"/>
    <cellStyle name="20% - Accent3 4 2 3 2 2" xfId="3201" xr:uid="{00000000-0005-0000-0000-0000CE1E0000}"/>
    <cellStyle name="20% - Accent3 4 2 3 2 2 2" xfId="6173" xr:uid="{00000000-0005-0000-0000-0000CF1E0000}"/>
    <cellStyle name="20% - Accent3 4 2 3 2 2 2 2" xfId="11823" xr:uid="{00000000-0005-0000-0000-0000D01E0000}"/>
    <cellStyle name="20% - Accent3 4 2 3 2 2 2 2 2" xfId="23124" xr:uid="{00000000-0005-0000-0000-0000D11E0000}"/>
    <cellStyle name="20% - Accent3 4 2 3 2 2 2 2 2 2" xfId="45726" xr:uid="{00000000-0005-0000-0000-0000D21E0000}"/>
    <cellStyle name="20% - Accent3 4 2 3 2 2 2 2 3" xfId="34425" xr:uid="{00000000-0005-0000-0000-0000D31E0000}"/>
    <cellStyle name="20% - Accent3 4 2 3 2 2 2 3" xfId="17474" xr:uid="{00000000-0005-0000-0000-0000D41E0000}"/>
    <cellStyle name="20% - Accent3 4 2 3 2 2 2 3 2" xfId="40076" xr:uid="{00000000-0005-0000-0000-0000D51E0000}"/>
    <cellStyle name="20% - Accent3 4 2 3 2 2 2 4" xfId="28775" xr:uid="{00000000-0005-0000-0000-0000D61E0000}"/>
    <cellStyle name="20% - Accent3 4 2 3 2 2 3" xfId="8991" xr:uid="{00000000-0005-0000-0000-0000D71E0000}"/>
    <cellStyle name="20% - Accent3 4 2 3 2 2 3 2" xfId="20292" xr:uid="{00000000-0005-0000-0000-0000D81E0000}"/>
    <cellStyle name="20% - Accent3 4 2 3 2 2 3 2 2" xfId="42894" xr:uid="{00000000-0005-0000-0000-0000D91E0000}"/>
    <cellStyle name="20% - Accent3 4 2 3 2 2 3 3" xfId="31593" xr:uid="{00000000-0005-0000-0000-0000DA1E0000}"/>
    <cellStyle name="20% - Accent3 4 2 3 2 2 4" xfId="14642" xr:uid="{00000000-0005-0000-0000-0000DB1E0000}"/>
    <cellStyle name="20% - Accent3 4 2 3 2 2 4 2" xfId="37244" xr:uid="{00000000-0005-0000-0000-0000DC1E0000}"/>
    <cellStyle name="20% - Accent3 4 2 3 2 2 5" xfId="25943" xr:uid="{00000000-0005-0000-0000-0000DD1E0000}"/>
    <cellStyle name="20% - Accent3 4 2 3 2 3" xfId="4939" xr:uid="{00000000-0005-0000-0000-0000DE1E0000}"/>
    <cellStyle name="20% - Accent3 4 2 3 2 3 2" xfId="10589" xr:uid="{00000000-0005-0000-0000-0000DF1E0000}"/>
    <cellStyle name="20% - Accent3 4 2 3 2 3 2 2" xfId="21890" xr:uid="{00000000-0005-0000-0000-0000E01E0000}"/>
    <cellStyle name="20% - Accent3 4 2 3 2 3 2 2 2" xfId="44492" xr:uid="{00000000-0005-0000-0000-0000E11E0000}"/>
    <cellStyle name="20% - Accent3 4 2 3 2 3 2 3" xfId="33191" xr:uid="{00000000-0005-0000-0000-0000E21E0000}"/>
    <cellStyle name="20% - Accent3 4 2 3 2 3 3" xfId="16240" xr:uid="{00000000-0005-0000-0000-0000E31E0000}"/>
    <cellStyle name="20% - Accent3 4 2 3 2 3 3 2" xfId="38842" xr:uid="{00000000-0005-0000-0000-0000E41E0000}"/>
    <cellStyle name="20% - Accent3 4 2 3 2 3 4" xfId="27541" xr:uid="{00000000-0005-0000-0000-0000E51E0000}"/>
    <cellStyle name="20% - Accent3 4 2 3 2 4" xfId="7446" xr:uid="{00000000-0005-0000-0000-0000E61E0000}"/>
    <cellStyle name="20% - Accent3 4 2 3 2 4 2" xfId="18747" xr:uid="{00000000-0005-0000-0000-0000E71E0000}"/>
    <cellStyle name="20% - Accent3 4 2 3 2 4 2 2" xfId="41349" xr:uid="{00000000-0005-0000-0000-0000E81E0000}"/>
    <cellStyle name="20% - Accent3 4 2 3 2 4 3" xfId="30048" xr:uid="{00000000-0005-0000-0000-0000E91E0000}"/>
    <cellStyle name="20% - Accent3 4 2 3 2 5" xfId="13097" xr:uid="{00000000-0005-0000-0000-0000EA1E0000}"/>
    <cellStyle name="20% - Accent3 4 2 3 2 5 2" xfId="35699" xr:uid="{00000000-0005-0000-0000-0000EB1E0000}"/>
    <cellStyle name="20% - Accent3 4 2 3 2 6" xfId="24398" xr:uid="{00000000-0005-0000-0000-0000EC1E0000}"/>
    <cellStyle name="20% - Accent3 4 2 3 3" xfId="2530" xr:uid="{00000000-0005-0000-0000-0000ED1E0000}"/>
    <cellStyle name="20% - Accent3 4 2 3 3 2" xfId="5549" xr:uid="{00000000-0005-0000-0000-0000EE1E0000}"/>
    <cellStyle name="20% - Accent3 4 2 3 3 2 2" xfId="11199" xr:uid="{00000000-0005-0000-0000-0000EF1E0000}"/>
    <cellStyle name="20% - Accent3 4 2 3 3 2 2 2" xfId="22500" xr:uid="{00000000-0005-0000-0000-0000F01E0000}"/>
    <cellStyle name="20% - Accent3 4 2 3 3 2 2 2 2" xfId="45102" xr:uid="{00000000-0005-0000-0000-0000F11E0000}"/>
    <cellStyle name="20% - Accent3 4 2 3 3 2 2 3" xfId="33801" xr:uid="{00000000-0005-0000-0000-0000F21E0000}"/>
    <cellStyle name="20% - Accent3 4 2 3 3 2 3" xfId="16850" xr:uid="{00000000-0005-0000-0000-0000F31E0000}"/>
    <cellStyle name="20% - Accent3 4 2 3 3 2 3 2" xfId="39452" xr:uid="{00000000-0005-0000-0000-0000F41E0000}"/>
    <cellStyle name="20% - Accent3 4 2 3 3 2 4" xfId="28151" xr:uid="{00000000-0005-0000-0000-0000F51E0000}"/>
    <cellStyle name="20% - Accent3 4 2 3 3 3" xfId="8366" xr:uid="{00000000-0005-0000-0000-0000F61E0000}"/>
    <cellStyle name="20% - Accent3 4 2 3 3 3 2" xfId="19667" xr:uid="{00000000-0005-0000-0000-0000F71E0000}"/>
    <cellStyle name="20% - Accent3 4 2 3 3 3 2 2" xfId="42269" xr:uid="{00000000-0005-0000-0000-0000F81E0000}"/>
    <cellStyle name="20% - Accent3 4 2 3 3 3 3" xfId="30968" xr:uid="{00000000-0005-0000-0000-0000F91E0000}"/>
    <cellStyle name="20% - Accent3 4 2 3 3 4" xfId="14017" xr:uid="{00000000-0005-0000-0000-0000FA1E0000}"/>
    <cellStyle name="20% - Accent3 4 2 3 3 4 2" xfId="36619" xr:uid="{00000000-0005-0000-0000-0000FB1E0000}"/>
    <cellStyle name="20% - Accent3 4 2 3 3 5" xfId="25318" xr:uid="{00000000-0005-0000-0000-0000FC1E0000}"/>
    <cellStyle name="20% - Accent3 4 2 3 4" xfId="4315" xr:uid="{00000000-0005-0000-0000-0000FD1E0000}"/>
    <cellStyle name="20% - Accent3 4 2 3 4 2" xfId="9965" xr:uid="{00000000-0005-0000-0000-0000FE1E0000}"/>
    <cellStyle name="20% - Accent3 4 2 3 4 2 2" xfId="21266" xr:uid="{00000000-0005-0000-0000-0000FF1E0000}"/>
    <cellStyle name="20% - Accent3 4 2 3 4 2 2 2" xfId="43868" xr:uid="{00000000-0005-0000-0000-0000001F0000}"/>
    <cellStyle name="20% - Accent3 4 2 3 4 2 3" xfId="32567" xr:uid="{00000000-0005-0000-0000-0000011F0000}"/>
    <cellStyle name="20% - Accent3 4 2 3 4 3" xfId="15616" xr:uid="{00000000-0005-0000-0000-0000021F0000}"/>
    <cellStyle name="20% - Accent3 4 2 3 4 3 2" xfId="38218" xr:uid="{00000000-0005-0000-0000-0000031F0000}"/>
    <cellStyle name="20% - Accent3 4 2 3 4 4" xfId="26917" xr:uid="{00000000-0005-0000-0000-0000041F0000}"/>
    <cellStyle name="20% - Accent3 4 2 3 5" xfId="7112" xr:uid="{00000000-0005-0000-0000-0000051F0000}"/>
    <cellStyle name="20% - Accent3 4 2 3 5 2" xfId="18413" xr:uid="{00000000-0005-0000-0000-0000061F0000}"/>
    <cellStyle name="20% - Accent3 4 2 3 5 2 2" xfId="41015" xr:uid="{00000000-0005-0000-0000-0000071F0000}"/>
    <cellStyle name="20% - Accent3 4 2 3 5 3" xfId="29714" xr:uid="{00000000-0005-0000-0000-0000081F0000}"/>
    <cellStyle name="20% - Accent3 4 2 3 6" xfId="12763" xr:uid="{00000000-0005-0000-0000-0000091F0000}"/>
    <cellStyle name="20% - Accent3 4 2 3 6 2" xfId="35365" xr:uid="{00000000-0005-0000-0000-00000A1F0000}"/>
    <cellStyle name="20% - Accent3 4 2 3 7" xfId="24064" xr:uid="{00000000-0005-0000-0000-00000B1F0000}"/>
    <cellStyle name="20% - Accent3 4 2 4" xfId="823" xr:uid="{00000000-0005-0000-0000-00000C1F0000}"/>
    <cellStyle name="20% - Accent3 4 2 4 2" xfId="2894" xr:uid="{00000000-0005-0000-0000-00000D1F0000}"/>
    <cellStyle name="20% - Accent3 4 2 4 2 2" xfId="5866" xr:uid="{00000000-0005-0000-0000-00000E1F0000}"/>
    <cellStyle name="20% - Accent3 4 2 4 2 2 2" xfId="11516" xr:uid="{00000000-0005-0000-0000-00000F1F0000}"/>
    <cellStyle name="20% - Accent3 4 2 4 2 2 2 2" xfId="22817" xr:uid="{00000000-0005-0000-0000-0000101F0000}"/>
    <cellStyle name="20% - Accent3 4 2 4 2 2 2 2 2" xfId="45419" xr:uid="{00000000-0005-0000-0000-0000111F0000}"/>
    <cellStyle name="20% - Accent3 4 2 4 2 2 2 3" xfId="34118" xr:uid="{00000000-0005-0000-0000-0000121F0000}"/>
    <cellStyle name="20% - Accent3 4 2 4 2 2 3" xfId="17167" xr:uid="{00000000-0005-0000-0000-0000131F0000}"/>
    <cellStyle name="20% - Accent3 4 2 4 2 2 3 2" xfId="39769" xr:uid="{00000000-0005-0000-0000-0000141F0000}"/>
    <cellStyle name="20% - Accent3 4 2 4 2 2 4" xfId="28468" xr:uid="{00000000-0005-0000-0000-0000151F0000}"/>
    <cellStyle name="20% - Accent3 4 2 4 2 3" xfId="8684" xr:uid="{00000000-0005-0000-0000-0000161F0000}"/>
    <cellStyle name="20% - Accent3 4 2 4 2 3 2" xfId="19985" xr:uid="{00000000-0005-0000-0000-0000171F0000}"/>
    <cellStyle name="20% - Accent3 4 2 4 2 3 2 2" xfId="42587" xr:uid="{00000000-0005-0000-0000-0000181F0000}"/>
    <cellStyle name="20% - Accent3 4 2 4 2 3 3" xfId="31286" xr:uid="{00000000-0005-0000-0000-0000191F0000}"/>
    <cellStyle name="20% - Accent3 4 2 4 2 4" xfId="14335" xr:uid="{00000000-0005-0000-0000-00001A1F0000}"/>
    <cellStyle name="20% - Accent3 4 2 4 2 4 2" xfId="36937" xr:uid="{00000000-0005-0000-0000-00001B1F0000}"/>
    <cellStyle name="20% - Accent3 4 2 4 2 5" xfId="25636" xr:uid="{00000000-0005-0000-0000-00001C1F0000}"/>
    <cellStyle name="20% - Accent3 4 2 4 3" xfId="4632" xr:uid="{00000000-0005-0000-0000-00001D1F0000}"/>
    <cellStyle name="20% - Accent3 4 2 4 3 2" xfId="10282" xr:uid="{00000000-0005-0000-0000-00001E1F0000}"/>
    <cellStyle name="20% - Accent3 4 2 4 3 2 2" xfId="21583" xr:uid="{00000000-0005-0000-0000-00001F1F0000}"/>
    <cellStyle name="20% - Accent3 4 2 4 3 2 2 2" xfId="44185" xr:uid="{00000000-0005-0000-0000-0000201F0000}"/>
    <cellStyle name="20% - Accent3 4 2 4 3 2 3" xfId="32884" xr:uid="{00000000-0005-0000-0000-0000211F0000}"/>
    <cellStyle name="20% - Accent3 4 2 4 3 3" xfId="15933" xr:uid="{00000000-0005-0000-0000-0000221F0000}"/>
    <cellStyle name="20% - Accent3 4 2 4 3 3 2" xfId="38535" xr:uid="{00000000-0005-0000-0000-0000231F0000}"/>
    <cellStyle name="20% - Accent3 4 2 4 3 4" xfId="27234" xr:uid="{00000000-0005-0000-0000-0000241F0000}"/>
    <cellStyle name="20% - Accent3 4 2 4 4" xfId="6819" xr:uid="{00000000-0005-0000-0000-0000251F0000}"/>
    <cellStyle name="20% - Accent3 4 2 4 4 2" xfId="18120" xr:uid="{00000000-0005-0000-0000-0000261F0000}"/>
    <cellStyle name="20% - Accent3 4 2 4 4 2 2" xfId="40722" xr:uid="{00000000-0005-0000-0000-0000271F0000}"/>
    <cellStyle name="20% - Accent3 4 2 4 4 3" xfId="29421" xr:uid="{00000000-0005-0000-0000-0000281F0000}"/>
    <cellStyle name="20% - Accent3 4 2 4 5" xfId="12470" xr:uid="{00000000-0005-0000-0000-0000291F0000}"/>
    <cellStyle name="20% - Accent3 4 2 4 5 2" xfId="35072" xr:uid="{00000000-0005-0000-0000-00002A1F0000}"/>
    <cellStyle name="20% - Accent3 4 2 4 6" xfId="23771" xr:uid="{00000000-0005-0000-0000-00002B1F0000}"/>
    <cellStyle name="20% - Accent3 4 2 5" xfId="1587" xr:uid="{00000000-0005-0000-0000-00002C1F0000}"/>
    <cellStyle name="20% - Accent3 4 2 5 2" xfId="3558" xr:uid="{00000000-0005-0000-0000-00002D1F0000}"/>
    <cellStyle name="20% - Accent3 4 2 5 2 2" xfId="9271" xr:uid="{00000000-0005-0000-0000-00002E1F0000}"/>
    <cellStyle name="20% - Accent3 4 2 5 2 2 2" xfId="20572" xr:uid="{00000000-0005-0000-0000-00002F1F0000}"/>
    <cellStyle name="20% - Accent3 4 2 5 2 2 2 2" xfId="43174" xr:uid="{00000000-0005-0000-0000-0000301F0000}"/>
    <cellStyle name="20% - Accent3 4 2 5 2 2 3" xfId="31873" xr:uid="{00000000-0005-0000-0000-0000311F0000}"/>
    <cellStyle name="20% - Accent3 4 2 5 2 3" xfId="14922" xr:uid="{00000000-0005-0000-0000-0000321F0000}"/>
    <cellStyle name="20% - Accent3 4 2 5 2 3 2" xfId="37524" xr:uid="{00000000-0005-0000-0000-0000331F0000}"/>
    <cellStyle name="20% - Accent3 4 2 5 2 4" xfId="26223" xr:uid="{00000000-0005-0000-0000-0000341F0000}"/>
    <cellStyle name="20% - Accent3 4 2 5 3" xfId="5242" xr:uid="{00000000-0005-0000-0000-0000351F0000}"/>
    <cellStyle name="20% - Accent3 4 2 5 3 2" xfId="10892" xr:uid="{00000000-0005-0000-0000-0000361F0000}"/>
    <cellStyle name="20% - Accent3 4 2 5 3 2 2" xfId="22193" xr:uid="{00000000-0005-0000-0000-0000371F0000}"/>
    <cellStyle name="20% - Accent3 4 2 5 3 2 2 2" xfId="44795" xr:uid="{00000000-0005-0000-0000-0000381F0000}"/>
    <cellStyle name="20% - Accent3 4 2 5 3 2 3" xfId="33494" xr:uid="{00000000-0005-0000-0000-0000391F0000}"/>
    <cellStyle name="20% - Accent3 4 2 5 3 3" xfId="16543" xr:uid="{00000000-0005-0000-0000-00003A1F0000}"/>
    <cellStyle name="20% - Accent3 4 2 5 3 3 2" xfId="39145" xr:uid="{00000000-0005-0000-0000-00003B1F0000}"/>
    <cellStyle name="20% - Accent3 4 2 5 3 4" xfId="27844" xr:uid="{00000000-0005-0000-0000-00003C1F0000}"/>
    <cellStyle name="20% - Accent3 4 2 5 4" xfId="7443" xr:uid="{00000000-0005-0000-0000-00003D1F0000}"/>
    <cellStyle name="20% - Accent3 4 2 5 4 2" xfId="18744" xr:uid="{00000000-0005-0000-0000-00003E1F0000}"/>
    <cellStyle name="20% - Accent3 4 2 5 4 2 2" xfId="41346" xr:uid="{00000000-0005-0000-0000-00003F1F0000}"/>
    <cellStyle name="20% - Accent3 4 2 5 4 3" xfId="30045" xr:uid="{00000000-0005-0000-0000-0000401F0000}"/>
    <cellStyle name="20% - Accent3 4 2 5 5" xfId="13094" xr:uid="{00000000-0005-0000-0000-0000411F0000}"/>
    <cellStyle name="20% - Accent3 4 2 5 5 2" xfId="35696" xr:uid="{00000000-0005-0000-0000-0000421F0000}"/>
    <cellStyle name="20% - Accent3 4 2 5 6" xfId="24395" xr:uid="{00000000-0005-0000-0000-0000431F0000}"/>
    <cellStyle name="20% - Accent3 4 2 6" xfId="2221" xr:uid="{00000000-0005-0000-0000-0000441F0000}"/>
    <cellStyle name="20% - Accent3 4 2 6 2" xfId="8057" xr:uid="{00000000-0005-0000-0000-0000451F0000}"/>
    <cellStyle name="20% - Accent3 4 2 6 2 2" xfId="19358" xr:uid="{00000000-0005-0000-0000-0000461F0000}"/>
    <cellStyle name="20% - Accent3 4 2 6 2 2 2" xfId="41960" xr:uid="{00000000-0005-0000-0000-0000471F0000}"/>
    <cellStyle name="20% - Accent3 4 2 6 2 3" xfId="30659" xr:uid="{00000000-0005-0000-0000-0000481F0000}"/>
    <cellStyle name="20% - Accent3 4 2 6 3" xfId="13708" xr:uid="{00000000-0005-0000-0000-0000491F0000}"/>
    <cellStyle name="20% - Accent3 4 2 6 3 2" xfId="36310" xr:uid="{00000000-0005-0000-0000-00004A1F0000}"/>
    <cellStyle name="20% - Accent3 4 2 6 4" xfId="25009" xr:uid="{00000000-0005-0000-0000-00004B1F0000}"/>
    <cellStyle name="20% - Accent3 4 2 7" xfId="4008" xr:uid="{00000000-0005-0000-0000-00004C1F0000}"/>
    <cellStyle name="20% - Accent3 4 2 7 2" xfId="9658" xr:uid="{00000000-0005-0000-0000-00004D1F0000}"/>
    <cellStyle name="20% - Accent3 4 2 7 2 2" xfId="20959" xr:uid="{00000000-0005-0000-0000-00004E1F0000}"/>
    <cellStyle name="20% - Accent3 4 2 7 2 2 2" xfId="43561" xr:uid="{00000000-0005-0000-0000-00004F1F0000}"/>
    <cellStyle name="20% - Accent3 4 2 7 2 3" xfId="32260" xr:uid="{00000000-0005-0000-0000-0000501F0000}"/>
    <cellStyle name="20% - Accent3 4 2 7 3" xfId="15309" xr:uid="{00000000-0005-0000-0000-0000511F0000}"/>
    <cellStyle name="20% - Accent3 4 2 7 3 2" xfId="37911" xr:uid="{00000000-0005-0000-0000-0000521F0000}"/>
    <cellStyle name="20% - Accent3 4 2 7 4" xfId="26610" xr:uid="{00000000-0005-0000-0000-0000531F0000}"/>
    <cellStyle name="20% - Accent3 4 2 8" xfId="6459" xr:uid="{00000000-0005-0000-0000-0000541F0000}"/>
    <cellStyle name="20% - Accent3 4 2 8 2" xfId="17760" xr:uid="{00000000-0005-0000-0000-0000551F0000}"/>
    <cellStyle name="20% - Accent3 4 2 8 2 2" xfId="40362" xr:uid="{00000000-0005-0000-0000-0000561F0000}"/>
    <cellStyle name="20% - Accent3 4 2 8 3" xfId="29061" xr:uid="{00000000-0005-0000-0000-0000571F0000}"/>
    <cellStyle name="20% - Accent3 4 2 9" xfId="12110" xr:uid="{00000000-0005-0000-0000-0000581F0000}"/>
    <cellStyle name="20% - Accent3 4 2 9 2" xfId="34712" xr:uid="{00000000-0005-0000-0000-0000591F0000}"/>
    <cellStyle name="20% - Accent3 4 3" xfId="365" xr:uid="{00000000-0005-0000-0000-00005A1F0000}"/>
    <cellStyle name="20% - Accent3 4 3 10" xfId="23460" xr:uid="{00000000-0005-0000-0000-00005B1F0000}"/>
    <cellStyle name="20% - Accent3 4 3 2" xfId="610" xr:uid="{00000000-0005-0000-0000-00005C1F0000}"/>
    <cellStyle name="20% - Accent3 4 3 2 2" xfId="1320" xr:uid="{00000000-0005-0000-0000-00005D1F0000}"/>
    <cellStyle name="20% - Accent3 4 3 2 2 2" xfId="1593" xr:uid="{00000000-0005-0000-0000-00005E1F0000}"/>
    <cellStyle name="20% - Accent3 4 3 2 2 2 2" xfId="3389" xr:uid="{00000000-0005-0000-0000-00005F1F0000}"/>
    <cellStyle name="20% - Accent3 4 3 2 2 2 2 2" xfId="6361" xr:uid="{00000000-0005-0000-0000-0000601F0000}"/>
    <cellStyle name="20% - Accent3 4 3 2 2 2 2 2 2" xfId="12011" xr:uid="{00000000-0005-0000-0000-0000611F0000}"/>
    <cellStyle name="20% - Accent3 4 3 2 2 2 2 2 2 2" xfId="23312" xr:uid="{00000000-0005-0000-0000-0000621F0000}"/>
    <cellStyle name="20% - Accent3 4 3 2 2 2 2 2 2 2 2" xfId="45914" xr:uid="{00000000-0005-0000-0000-0000631F0000}"/>
    <cellStyle name="20% - Accent3 4 3 2 2 2 2 2 2 3" xfId="34613" xr:uid="{00000000-0005-0000-0000-0000641F0000}"/>
    <cellStyle name="20% - Accent3 4 3 2 2 2 2 2 3" xfId="17662" xr:uid="{00000000-0005-0000-0000-0000651F0000}"/>
    <cellStyle name="20% - Accent3 4 3 2 2 2 2 2 3 2" xfId="40264" xr:uid="{00000000-0005-0000-0000-0000661F0000}"/>
    <cellStyle name="20% - Accent3 4 3 2 2 2 2 2 4" xfId="28963" xr:uid="{00000000-0005-0000-0000-0000671F0000}"/>
    <cellStyle name="20% - Accent3 4 3 2 2 2 2 3" xfId="9179" xr:uid="{00000000-0005-0000-0000-0000681F0000}"/>
    <cellStyle name="20% - Accent3 4 3 2 2 2 2 3 2" xfId="20480" xr:uid="{00000000-0005-0000-0000-0000691F0000}"/>
    <cellStyle name="20% - Accent3 4 3 2 2 2 2 3 2 2" xfId="43082" xr:uid="{00000000-0005-0000-0000-00006A1F0000}"/>
    <cellStyle name="20% - Accent3 4 3 2 2 2 2 3 3" xfId="31781" xr:uid="{00000000-0005-0000-0000-00006B1F0000}"/>
    <cellStyle name="20% - Accent3 4 3 2 2 2 2 4" xfId="14830" xr:uid="{00000000-0005-0000-0000-00006C1F0000}"/>
    <cellStyle name="20% - Accent3 4 3 2 2 2 2 4 2" xfId="37432" xr:uid="{00000000-0005-0000-0000-00006D1F0000}"/>
    <cellStyle name="20% - Accent3 4 3 2 2 2 2 5" xfId="26131" xr:uid="{00000000-0005-0000-0000-00006E1F0000}"/>
    <cellStyle name="20% - Accent3 4 3 2 2 2 3" xfId="5127" xr:uid="{00000000-0005-0000-0000-00006F1F0000}"/>
    <cellStyle name="20% - Accent3 4 3 2 2 2 3 2" xfId="10777" xr:uid="{00000000-0005-0000-0000-0000701F0000}"/>
    <cellStyle name="20% - Accent3 4 3 2 2 2 3 2 2" xfId="22078" xr:uid="{00000000-0005-0000-0000-0000711F0000}"/>
    <cellStyle name="20% - Accent3 4 3 2 2 2 3 2 2 2" xfId="44680" xr:uid="{00000000-0005-0000-0000-0000721F0000}"/>
    <cellStyle name="20% - Accent3 4 3 2 2 2 3 2 3" xfId="33379" xr:uid="{00000000-0005-0000-0000-0000731F0000}"/>
    <cellStyle name="20% - Accent3 4 3 2 2 2 3 3" xfId="16428" xr:uid="{00000000-0005-0000-0000-0000741F0000}"/>
    <cellStyle name="20% - Accent3 4 3 2 2 2 3 3 2" xfId="39030" xr:uid="{00000000-0005-0000-0000-0000751F0000}"/>
    <cellStyle name="20% - Accent3 4 3 2 2 2 3 4" xfId="27729" xr:uid="{00000000-0005-0000-0000-0000761F0000}"/>
    <cellStyle name="20% - Accent3 4 3 2 2 2 4" xfId="7449" xr:uid="{00000000-0005-0000-0000-0000771F0000}"/>
    <cellStyle name="20% - Accent3 4 3 2 2 2 4 2" xfId="18750" xr:uid="{00000000-0005-0000-0000-0000781F0000}"/>
    <cellStyle name="20% - Accent3 4 3 2 2 2 4 2 2" xfId="41352" xr:uid="{00000000-0005-0000-0000-0000791F0000}"/>
    <cellStyle name="20% - Accent3 4 3 2 2 2 4 3" xfId="30051" xr:uid="{00000000-0005-0000-0000-00007A1F0000}"/>
    <cellStyle name="20% - Accent3 4 3 2 2 2 5" xfId="13100" xr:uid="{00000000-0005-0000-0000-00007B1F0000}"/>
    <cellStyle name="20% - Accent3 4 3 2 2 2 5 2" xfId="35702" xr:uid="{00000000-0005-0000-0000-00007C1F0000}"/>
    <cellStyle name="20% - Accent3 4 3 2 2 2 6" xfId="24401" xr:uid="{00000000-0005-0000-0000-00007D1F0000}"/>
    <cellStyle name="20% - Accent3 4 3 2 2 3" xfId="2718" xr:uid="{00000000-0005-0000-0000-00007E1F0000}"/>
    <cellStyle name="20% - Accent3 4 3 2 2 3 2" xfId="5737" xr:uid="{00000000-0005-0000-0000-00007F1F0000}"/>
    <cellStyle name="20% - Accent3 4 3 2 2 3 2 2" xfId="11387" xr:uid="{00000000-0005-0000-0000-0000801F0000}"/>
    <cellStyle name="20% - Accent3 4 3 2 2 3 2 2 2" xfId="22688" xr:uid="{00000000-0005-0000-0000-0000811F0000}"/>
    <cellStyle name="20% - Accent3 4 3 2 2 3 2 2 2 2" xfId="45290" xr:uid="{00000000-0005-0000-0000-0000821F0000}"/>
    <cellStyle name="20% - Accent3 4 3 2 2 3 2 2 3" xfId="33989" xr:uid="{00000000-0005-0000-0000-0000831F0000}"/>
    <cellStyle name="20% - Accent3 4 3 2 2 3 2 3" xfId="17038" xr:uid="{00000000-0005-0000-0000-0000841F0000}"/>
    <cellStyle name="20% - Accent3 4 3 2 2 3 2 3 2" xfId="39640" xr:uid="{00000000-0005-0000-0000-0000851F0000}"/>
    <cellStyle name="20% - Accent3 4 3 2 2 3 2 4" xfId="28339" xr:uid="{00000000-0005-0000-0000-0000861F0000}"/>
    <cellStyle name="20% - Accent3 4 3 2 2 3 3" xfId="8554" xr:uid="{00000000-0005-0000-0000-0000871F0000}"/>
    <cellStyle name="20% - Accent3 4 3 2 2 3 3 2" xfId="19855" xr:uid="{00000000-0005-0000-0000-0000881F0000}"/>
    <cellStyle name="20% - Accent3 4 3 2 2 3 3 2 2" xfId="42457" xr:uid="{00000000-0005-0000-0000-0000891F0000}"/>
    <cellStyle name="20% - Accent3 4 3 2 2 3 3 3" xfId="31156" xr:uid="{00000000-0005-0000-0000-00008A1F0000}"/>
    <cellStyle name="20% - Accent3 4 3 2 2 3 4" xfId="14205" xr:uid="{00000000-0005-0000-0000-00008B1F0000}"/>
    <cellStyle name="20% - Accent3 4 3 2 2 3 4 2" xfId="36807" xr:uid="{00000000-0005-0000-0000-00008C1F0000}"/>
    <cellStyle name="20% - Accent3 4 3 2 2 3 5" xfId="25506" xr:uid="{00000000-0005-0000-0000-00008D1F0000}"/>
    <cellStyle name="20% - Accent3 4 3 2 2 4" xfId="4503" xr:uid="{00000000-0005-0000-0000-00008E1F0000}"/>
    <cellStyle name="20% - Accent3 4 3 2 2 4 2" xfId="10153" xr:uid="{00000000-0005-0000-0000-00008F1F0000}"/>
    <cellStyle name="20% - Accent3 4 3 2 2 4 2 2" xfId="21454" xr:uid="{00000000-0005-0000-0000-0000901F0000}"/>
    <cellStyle name="20% - Accent3 4 3 2 2 4 2 2 2" xfId="44056" xr:uid="{00000000-0005-0000-0000-0000911F0000}"/>
    <cellStyle name="20% - Accent3 4 3 2 2 4 2 3" xfId="32755" xr:uid="{00000000-0005-0000-0000-0000921F0000}"/>
    <cellStyle name="20% - Accent3 4 3 2 2 4 3" xfId="15804" xr:uid="{00000000-0005-0000-0000-0000931F0000}"/>
    <cellStyle name="20% - Accent3 4 3 2 2 4 3 2" xfId="38406" xr:uid="{00000000-0005-0000-0000-0000941F0000}"/>
    <cellStyle name="20% - Accent3 4 3 2 2 4 4" xfId="27105" xr:uid="{00000000-0005-0000-0000-0000951F0000}"/>
    <cellStyle name="20% - Accent3 4 3 2 2 5" xfId="7299" xr:uid="{00000000-0005-0000-0000-0000961F0000}"/>
    <cellStyle name="20% - Accent3 4 3 2 2 5 2" xfId="18600" xr:uid="{00000000-0005-0000-0000-0000971F0000}"/>
    <cellStyle name="20% - Accent3 4 3 2 2 5 2 2" xfId="41202" xr:uid="{00000000-0005-0000-0000-0000981F0000}"/>
    <cellStyle name="20% - Accent3 4 3 2 2 5 3" xfId="29901" xr:uid="{00000000-0005-0000-0000-0000991F0000}"/>
    <cellStyle name="20% - Accent3 4 3 2 2 6" xfId="12950" xr:uid="{00000000-0005-0000-0000-00009A1F0000}"/>
    <cellStyle name="20% - Accent3 4 3 2 2 6 2" xfId="35552" xr:uid="{00000000-0005-0000-0000-00009B1F0000}"/>
    <cellStyle name="20% - Accent3 4 3 2 2 7" xfId="24251" xr:uid="{00000000-0005-0000-0000-00009C1F0000}"/>
    <cellStyle name="20% - Accent3 4 3 2 3" xfId="1018" xr:uid="{00000000-0005-0000-0000-00009D1F0000}"/>
    <cellStyle name="20% - Accent3 4 3 2 3 2" xfId="3081" xr:uid="{00000000-0005-0000-0000-00009E1F0000}"/>
    <cellStyle name="20% - Accent3 4 3 2 3 2 2" xfId="6053" xr:uid="{00000000-0005-0000-0000-00009F1F0000}"/>
    <cellStyle name="20% - Accent3 4 3 2 3 2 2 2" xfId="11703" xr:uid="{00000000-0005-0000-0000-0000A01F0000}"/>
    <cellStyle name="20% - Accent3 4 3 2 3 2 2 2 2" xfId="23004" xr:uid="{00000000-0005-0000-0000-0000A11F0000}"/>
    <cellStyle name="20% - Accent3 4 3 2 3 2 2 2 2 2" xfId="45606" xr:uid="{00000000-0005-0000-0000-0000A21F0000}"/>
    <cellStyle name="20% - Accent3 4 3 2 3 2 2 2 3" xfId="34305" xr:uid="{00000000-0005-0000-0000-0000A31F0000}"/>
    <cellStyle name="20% - Accent3 4 3 2 3 2 2 3" xfId="17354" xr:uid="{00000000-0005-0000-0000-0000A41F0000}"/>
    <cellStyle name="20% - Accent3 4 3 2 3 2 2 3 2" xfId="39956" xr:uid="{00000000-0005-0000-0000-0000A51F0000}"/>
    <cellStyle name="20% - Accent3 4 3 2 3 2 2 4" xfId="28655" xr:uid="{00000000-0005-0000-0000-0000A61F0000}"/>
    <cellStyle name="20% - Accent3 4 3 2 3 2 3" xfId="8871" xr:uid="{00000000-0005-0000-0000-0000A71F0000}"/>
    <cellStyle name="20% - Accent3 4 3 2 3 2 3 2" xfId="20172" xr:uid="{00000000-0005-0000-0000-0000A81F0000}"/>
    <cellStyle name="20% - Accent3 4 3 2 3 2 3 2 2" xfId="42774" xr:uid="{00000000-0005-0000-0000-0000A91F0000}"/>
    <cellStyle name="20% - Accent3 4 3 2 3 2 3 3" xfId="31473" xr:uid="{00000000-0005-0000-0000-0000AA1F0000}"/>
    <cellStyle name="20% - Accent3 4 3 2 3 2 4" xfId="14522" xr:uid="{00000000-0005-0000-0000-0000AB1F0000}"/>
    <cellStyle name="20% - Accent3 4 3 2 3 2 4 2" xfId="37124" xr:uid="{00000000-0005-0000-0000-0000AC1F0000}"/>
    <cellStyle name="20% - Accent3 4 3 2 3 2 5" xfId="25823" xr:uid="{00000000-0005-0000-0000-0000AD1F0000}"/>
    <cellStyle name="20% - Accent3 4 3 2 3 3" xfId="4819" xr:uid="{00000000-0005-0000-0000-0000AE1F0000}"/>
    <cellStyle name="20% - Accent3 4 3 2 3 3 2" xfId="10469" xr:uid="{00000000-0005-0000-0000-0000AF1F0000}"/>
    <cellStyle name="20% - Accent3 4 3 2 3 3 2 2" xfId="21770" xr:uid="{00000000-0005-0000-0000-0000B01F0000}"/>
    <cellStyle name="20% - Accent3 4 3 2 3 3 2 2 2" xfId="44372" xr:uid="{00000000-0005-0000-0000-0000B11F0000}"/>
    <cellStyle name="20% - Accent3 4 3 2 3 3 2 3" xfId="33071" xr:uid="{00000000-0005-0000-0000-0000B21F0000}"/>
    <cellStyle name="20% - Accent3 4 3 2 3 3 3" xfId="16120" xr:uid="{00000000-0005-0000-0000-0000B31F0000}"/>
    <cellStyle name="20% - Accent3 4 3 2 3 3 3 2" xfId="38722" xr:uid="{00000000-0005-0000-0000-0000B41F0000}"/>
    <cellStyle name="20% - Accent3 4 3 2 3 3 4" xfId="27421" xr:uid="{00000000-0005-0000-0000-0000B51F0000}"/>
    <cellStyle name="20% - Accent3 4 3 2 3 4" xfId="7006" xr:uid="{00000000-0005-0000-0000-0000B61F0000}"/>
    <cellStyle name="20% - Accent3 4 3 2 3 4 2" xfId="18307" xr:uid="{00000000-0005-0000-0000-0000B71F0000}"/>
    <cellStyle name="20% - Accent3 4 3 2 3 4 2 2" xfId="40909" xr:uid="{00000000-0005-0000-0000-0000B81F0000}"/>
    <cellStyle name="20% - Accent3 4 3 2 3 4 3" xfId="29608" xr:uid="{00000000-0005-0000-0000-0000B91F0000}"/>
    <cellStyle name="20% - Accent3 4 3 2 3 5" xfId="12657" xr:uid="{00000000-0005-0000-0000-0000BA1F0000}"/>
    <cellStyle name="20% - Accent3 4 3 2 3 5 2" xfId="35259" xr:uid="{00000000-0005-0000-0000-0000BB1F0000}"/>
    <cellStyle name="20% - Accent3 4 3 2 3 6" xfId="23958" xr:uid="{00000000-0005-0000-0000-0000BC1F0000}"/>
    <cellStyle name="20% - Accent3 4 3 2 4" xfId="1592" xr:uid="{00000000-0005-0000-0000-0000BD1F0000}"/>
    <cellStyle name="20% - Accent3 4 3 2 4 2" xfId="3561" xr:uid="{00000000-0005-0000-0000-0000BE1F0000}"/>
    <cellStyle name="20% - Accent3 4 3 2 4 2 2" xfId="9274" xr:uid="{00000000-0005-0000-0000-0000BF1F0000}"/>
    <cellStyle name="20% - Accent3 4 3 2 4 2 2 2" xfId="20575" xr:uid="{00000000-0005-0000-0000-0000C01F0000}"/>
    <cellStyle name="20% - Accent3 4 3 2 4 2 2 2 2" xfId="43177" xr:uid="{00000000-0005-0000-0000-0000C11F0000}"/>
    <cellStyle name="20% - Accent3 4 3 2 4 2 2 3" xfId="31876" xr:uid="{00000000-0005-0000-0000-0000C21F0000}"/>
    <cellStyle name="20% - Accent3 4 3 2 4 2 3" xfId="14925" xr:uid="{00000000-0005-0000-0000-0000C31F0000}"/>
    <cellStyle name="20% - Accent3 4 3 2 4 2 3 2" xfId="37527" xr:uid="{00000000-0005-0000-0000-0000C41F0000}"/>
    <cellStyle name="20% - Accent3 4 3 2 4 2 4" xfId="26226" xr:uid="{00000000-0005-0000-0000-0000C51F0000}"/>
    <cellStyle name="20% - Accent3 4 3 2 4 3" xfId="5429" xr:uid="{00000000-0005-0000-0000-0000C61F0000}"/>
    <cellStyle name="20% - Accent3 4 3 2 4 3 2" xfId="11079" xr:uid="{00000000-0005-0000-0000-0000C71F0000}"/>
    <cellStyle name="20% - Accent3 4 3 2 4 3 2 2" xfId="22380" xr:uid="{00000000-0005-0000-0000-0000C81F0000}"/>
    <cellStyle name="20% - Accent3 4 3 2 4 3 2 2 2" xfId="44982" xr:uid="{00000000-0005-0000-0000-0000C91F0000}"/>
    <cellStyle name="20% - Accent3 4 3 2 4 3 2 3" xfId="33681" xr:uid="{00000000-0005-0000-0000-0000CA1F0000}"/>
    <cellStyle name="20% - Accent3 4 3 2 4 3 3" xfId="16730" xr:uid="{00000000-0005-0000-0000-0000CB1F0000}"/>
    <cellStyle name="20% - Accent3 4 3 2 4 3 3 2" xfId="39332" xr:uid="{00000000-0005-0000-0000-0000CC1F0000}"/>
    <cellStyle name="20% - Accent3 4 3 2 4 3 4" xfId="28031" xr:uid="{00000000-0005-0000-0000-0000CD1F0000}"/>
    <cellStyle name="20% - Accent3 4 3 2 4 4" xfId="7448" xr:uid="{00000000-0005-0000-0000-0000CE1F0000}"/>
    <cellStyle name="20% - Accent3 4 3 2 4 4 2" xfId="18749" xr:uid="{00000000-0005-0000-0000-0000CF1F0000}"/>
    <cellStyle name="20% - Accent3 4 3 2 4 4 2 2" xfId="41351" xr:uid="{00000000-0005-0000-0000-0000D01F0000}"/>
    <cellStyle name="20% - Accent3 4 3 2 4 4 3" xfId="30050" xr:uid="{00000000-0005-0000-0000-0000D11F0000}"/>
    <cellStyle name="20% - Accent3 4 3 2 4 5" xfId="13099" xr:uid="{00000000-0005-0000-0000-0000D21F0000}"/>
    <cellStyle name="20% - Accent3 4 3 2 4 5 2" xfId="35701" xr:uid="{00000000-0005-0000-0000-0000D31F0000}"/>
    <cellStyle name="20% - Accent3 4 3 2 4 6" xfId="24400" xr:uid="{00000000-0005-0000-0000-0000D41F0000}"/>
    <cellStyle name="20% - Accent3 4 3 2 5" xfId="2410" xr:uid="{00000000-0005-0000-0000-0000D51F0000}"/>
    <cellStyle name="20% - Accent3 4 3 2 5 2" xfId="8246" xr:uid="{00000000-0005-0000-0000-0000D61F0000}"/>
    <cellStyle name="20% - Accent3 4 3 2 5 2 2" xfId="19547" xr:uid="{00000000-0005-0000-0000-0000D71F0000}"/>
    <cellStyle name="20% - Accent3 4 3 2 5 2 2 2" xfId="42149" xr:uid="{00000000-0005-0000-0000-0000D81F0000}"/>
    <cellStyle name="20% - Accent3 4 3 2 5 2 3" xfId="30848" xr:uid="{00000000-0005-0000-0000-0000D91F0000}"/>
    <cellStyle name="20% - Accent3 4 3 2 5 3" xfId="13897" xr:uid="{00000000-0005-0000-0000-0000DA1F0000}"/>
    <cellStyle name="20% - Accent3 4 3 2 5 3 2" xfId="36499" xr:uid="{00000000-0005-0000-0000-0000DB1F0000}"/>
    <cellStyle name="20% - Accent3 4 3 2 5 4" xfId="25198" xr:uid="{00000000-0005-0000-0000-0000DC1F0000}"/>
    <cellStyle name="20% - Accent3 4 3 2 6" xfId="4195" xr:uid="{00000000-0005-0000-0000-0000DD1F0000}"/>
    <cellStyle name="20% - Accent3 4 3 2 6 2" xfId="9845" xr:uid="{00000000-0005-0000-0000-0000DE1F0000}"/>
    <cellStyle name="20% - Accent3 4 3 2 6 2 2" xfId="21146" xr:uid="{00000000-0005-0000-0000-0000DF1F0000}"/>
    <cellStyle name="20% - Accent3 4 3 2 6 2 2 2" xfId="43748" xr:uid="{00000000-0005-0000-0000-0000E01F0000}"/>
    <cellStyle name="20% - Accent3 4 3 2 6 2 3" xfId="32447" xr:uid="{00000000-0005-0000-0000-0000E11F0000}"/>
    <cellStyle name="20% - Accent3 4 3 2 6 3" xfId="15496" xr:uid="{00000000-0005-0000-0000-0000E21F0000}"/>
    <cellStyle name="20% - Accent3 4 3 2 6 3 2" xfId="38098" xr:uid="{00000000-0005-0000-0000-0000E31F0000}"/>
    <cellStyle name="20% - Accent3 4 3 2 6 4" xfId="26797" xr:uid="{00000000-0005-0000-0000-0000E41F0000}"/>
    <cellStyle name="20% - Accent3 4 3 2 7" xfId="6675" xr:uid="{00000000-0005-0000-0000-0000E51F0000}"/>
    <cellStyle name="20% - Accent3 4 3 2 7 2" xfId="17976" xr:uid="{00000000-0005-0000-0000-0000E61F0000}"/>
    <cellStyle name="20% - Accent3 4 3 2 7 2 2" xfId="40578" xr:uid="{00000000-0005-0000-0000-0000E71F0000}"/>
    <cellStyle name="20% - Accent3 4 3 2 7 3" xfId="29277" xr:uid="{00000000-0005-0000-0000-0000E81F0000}"/>
    <cellStyle name="20% - Accent3 4 3 2 8" xfId="12326" xr:uid="{00000000-0005-0000-0000-0000E91F0000}"/>
    <cellStyle name="20% - Accent3 4 3 2 8 2" xfId="34928" xr:uid="{00000000-0005-0000-0000-0000EA1F0000}"/>
    <cellStyle name="20% - Accent3 4 3 2 9" xfId="23627" xr:uid="{00000000-0005-0000-0000-0000EB1F0000}"/>
    <cellStyle name="20% - Accent3 4 3 3" xfId="1182" xr:uid="{00000000-0005-0000-0000-0000EC1F0000}"/>
    <cellStyle name="20% - Accent3 4 3 3 2" xfId="1594" xr:uid="{00000000-0005-0000-0000-0000ED1F0000}"/>
    <cellStyle name="20% - Accent3 4 3 3 2 2" xfId="3250" xr:uid="{00000000-0005-0000-0000-0000EE1F0000}"/>
    <cellStyle name="20% - Accent3 4 3 3 2 2 2" xfId="6222" xr:uid="{00000000-0005-0000-0000-0000EF1F0000}"/>
    <cellStyle name="20% - Accent3 4 3 3 2 2 2 2" xfId="11872" xr:uid="{00000000-0005-0000-0000-0000F01F0000}"/>
    <cellStyle name="20% - Accent3 4 3 3 2 2 2 2 2" xfId="23173" xr:uid="{00000000-0005-0000-0000-0000F11F0000}"/>
    <cellStyle name="20% - Accent3 4 3 3 2 2 2 2 2 2" xfId="45775" xr:uid="{00000000-0005-0000-0000-0000F21F0000}"/>
    <cellStyle name="20% - Accent3 4 3 3 2 2 2 2 3" xfId="34474" xr:uid="{00000000-0005-0000-0000-0000F31F0000}"/>
    <cellStyle name="20% - Accent3 4 3 3 2 2 2 3" xfId="17523" xr:uid="{00000000-0005-0000-0000-0000F41F0000}"/>
    <cellStyle name="20% - Accent3 4 3 3 2 2 2 3 2" xfId="40125" xr:uid="{00000000-0005-0000-0000-0000F51F0000}"/>
    <cellStyle name="20% - Accent3 4 3 3 2 2 2 4" xfId="28824" xr:uid="{00000000-0005-0000-0000-0000F61F0000}"/>
    <cellStyle name="20% - Accent3 4 3 3 2 2 3" xfId="9040" xr:uid="{00000000-0005-0000-0000-0000F71F0000}"/>
    <cellStyle name="20% - Accent3 4 3 3 2 2 3 2" xfId="20341" xr:uid="{00000000-0005-0000-0000-0000F81F0000}"/>
    <cellStyle name="20% - Accent3 4 3 3 2 2 3 2 2" xfId="42943" xr:uid="{00000000-0005-0000-0000-0000F91F0000}"/>
    <cellStyle name="20% - Accent3 4 3 3 2 2 3 3" xfId="31642" xr:uid="{00000000-0005-0000-0000-0000FA1F0000}"/>
    <cellStyle name="20% - Accent3 4 3 3 2 2 4" xfId="14691" xr:uid="{00000000-0005-0000-0000-0000FB1F0000}"/>
    <cellStyle name="20% - Accent3 4 3 3 2 2 4 2" xfId="37293" xr:uid="{00000000-0005-0000-0000-0000FC1F0000}"/>
    <cellStyle name="20% - Accent3 4 3 3 2 2 5" xfId="25992" xr:uid="{00000000-0005-0000-0000-0000FD1F0000}"/>
    <cellStyle name="20% - Accent3 4 3 3 2 3" xfId="4988" xr:uid="{00000000-0005-0000-0000-0000FE1F0000}"/>
    <cellStyle name="20% - Accent3 4 3 3 2 3 2" xfId="10638" xr:uid="{00000000-0005-0000-0000-0000FF1F0000}"/>
    <cellStyle name="20% - Accent3 4 3 3 2 3 2 2" xfId="21939" xr:uid="{00000000-0005-0000-0000-000000200000}"/>
    <cellStyle name="20% - Accent3 4 3 3 2 3 2 2 2" xfId="44541" xr:uid="{00000000-0005-0000-0000-000001200000}"/>
    <cellStyle name="20% - Accent3 4 3 3 2 3 2 3" xfId="33240" xr:uid="{00000000-0005-0000-0000-000002200000}"/>
    <cellStyle name="20% - Accent3 4 3 3 2 3 3" xfId="16289" xr:uid="{00000000-0005-0000-0000-000003200000}"/>
    <cellStyle name="20% - Accent3 4 3 3 2 3 3 2" xfId="38891" xr:uid="{00000000-0005-0000-0000-000004200000}"/>
    <cellStyle name="20% - Accent3 4 3 3 2 3 4" xfId="27590" xr:uid="{00000000-0005-0000-0000-000005200000}"/>
    <cellStyle name="20% - Accent3 4 3 3 2 4" xfId="7450" xr:uid="{00000000-0005-0000-0000-000006200000}"/>
    <cellStyle name="20% - Accent3 4 3 3 2 4 2" xfId="18751" xr:uid="{00000000-0005-0000-0000-000007200000}"/>
    <cellStyle name="20% - Accent3 4 3 3 2 4 2 2" xfId="41353" xr:uid="{00000000-0005-0000-0000-000008200000}"/>
    <cellStyle name="20% - Accent3 4 3 3 2 4 3" xfId="30052" xr:uid="{00000000-0005-0000-0000-000009200000}"/>
    <cellStyle name="20% - Accent3 4 3 3 2 5" xfId="13101" xr:uid="{00000000-0005-0000-0000-00000A200000}"/>
    <cellStyle name="20% - Accent3 4 3 3 2 5 2" xfId="35703" xr:uid="{00000000-0005-0000-0000-00000B200000}"/>
    <cellStyle name="20% - Accent3 4 3 3 2 6" xfId="24402" xr:uid="{00000000-0005-0000-0000-00000C200000}"/>
    <cellStyle name="20% - Accent3 4 3 3 3" xfId="2579" xr:uid="{00000000-0005-0000-0000-00000D200000}"/>
    <cellStyle name="20% - Accent3 4 3 3 3 2" xfId="5598" xr:uid="{00000000-0005-0000-0000-00000E200000}"/>
    <cellStyle name="20% - Accent3 4 3 3 3 2 2" xfId="11248" xr:uid="{00000000-0005-0000-0000-00000F200000}"/>
    <cellStyle name="20% - Accent3 4 3 3 3 2 2 2" xfId="22549" xr:uid="{00000000-0005-0000-0000-000010200000}"/>
    <cellStyle name="20% - Accent3 4 3 3 3 2 2 2 2" xfId="45151" xr:uid="{00000000-0005-0000-0000-000011200000}"/>
    <cellStyle name="20% - Accent3 4 3 3 3 2 2 3" xfId="33850" xr:uid="{00000000-0005-0000-0000-000012200000}"/>
    <cellStyle name="20% - Accent3 4 3 3 3 2 3" xfId="16899" xr:uid="{00000000-0005-0000-0000-000013200000}"/>
    <cellStyle name="20% - Accent3 4 3 3 3 2 3 2" xfId="39501" xr:uid="{00000000-0005-0000-0000-000014200000}"/>
    <cellStyle name="20% - Accent3 4 3 3 3 2 4" xfId="28200" xr:uid="{00000000-0005-0000-0000-000015200000}"/>
    <cellStyle name="20% - Accent3 4 3 3 3 3" xfId="8415" xr:uid="{00000000-0005-0000-0000-000016200000}"/>
    <cellStyle name="20% - Accent3 4 3 3 3 3 2" xfId="19716" xr:uid="{00000000-0005-0000-0000-000017200000}"/>
    <cellStyle name="20% - Accent3 4 3 3 3 3 2 2" xfId="42318" xr:uid="{00000000-0005-0000-0000-000018200000}"/>
    <cellStyle name="20% - Accent3 4 3 3 3 3 3" xfId="31017" xr:uid="{00000000-0005-0000-0000-000019200000}"/>
    <cellStyle name="20% - Accent3 4 3 3 3 4" xfId="14066" xr:uid="{00000000-0005-0000-0000-00001A200000}"/>
    <cellStyle name="20% - Accent3 4 3 3 3 4 2" xfId="36668" xr:uid="{00000000-0005-0000-0000-00001B200000}"/>
    <cellStyle name="20% - Accent3 4 3 3 3 5" xfId="25367" xr:uid="{00000000-0005-0000-0000-00001C200000}"/>
    <cellStyle name="20% - Accent3 4 3 3 4" xfId="4364" xr:uid="{00000000-0005-0000-0000-00001D200000}"/>
    <cellStyle name="20% - Accent3 4 3 3 4 2" xfId="10014" xr:uid="{00000000-0005-0000-0000-00001E200000}"/>
    <cellStyle name="20% - Accent3 4 3 3 4 2 2" xfId="21315" xr:uid="{00000000-0005-0000-0000-00001F200000}"/>
    <cellStyle name="20% - Accent3 4 3 3 4 2 2 2" xfId="43917" xr:uid="{00000000-0005-0000-0000-000020200000}"/>
    <cellStyle name="20% - Accent3 4 3 3 4 2 3" xfId="32616" xr:uid="{00000000-0005-0000-0000-000021200000}"/>
    <cellStyle name="20% - Accent3 4 3 3 4 3" xfId="15665" xr:uid="{00000000-0005-0000-0000-000022200000}"/>
    <cellStyle name="20% - Accent3 4 3 3 4 3 2" xfId="38267" xr:uid="{00000000-0005-0000-0000-000023200000}"/>
    <cellStyle name="20% - Accent3 4 3 3 4 4" xfId="26966" xr:uid="{00000000-0005-0000-0000-000024200000}"/>
    <cellStyle name="20% - Accent3 4 3 3 5" xfId="7161" xr:uid="{00000000-0005-0000-0000-000025200000}"/>
    <cellStyle name="20% - Accent3 4 3 3 5 2" xfId="18462" xr:uid="{00000000-0005-0000-0000-000026200000}"/>
    <cellStyle name="20% - Accent3 4 3 3 5 2 2" xfId="41064" xr:uid="{00000000-0005-0000-0000-000027200000}"/>
    <cellStyle name="20% - Accent3 4 3 3 5 3" xfId="29763" xr:uid="{00000000-0005-0000-0000-000028200000}"/>
    <cellStyle name="20% - Accent3 4 3 3 6" xfId="12812" xr:uid="{00000000-0005-0000-0000-000029200000}"/>
    <cellStyle name="20% - Accent3 4 3 3 6 2" xfId="35414" xr:uid="{00000000-0005-0000-0000-00002A200000}"/>
    <cellStyle name="20% - Accent3 4 3 3 7" xfId="24113" xr:uid="{00000000-0005-0000-0000-00002B200000}"/>
    <cellStyle name="20% - Accent3 4 3 4" xfId="873" xr:uid="{00000000-0005-0000-0000-00002C200000}"/>
    <cellStyle name="20% - Accent3 4 3 4 2" xfId="2943" xr:uid="{00000000-0005-0000-0000-00002D200000}"/>
    <cellStyle name="20% - Accent3 4 3 4 2 2" xfId="5915" xr:uid="{00000000-0005-0000-0000-00002E200000}"/>
    <cellStyle name="20% - Accent3 4 3 4 2 2 2" xfId="11565" xr:uid="{00000000-0005-0000-0000-00002F200000}"/>
    <cellStyle name="20% - Accent3 4 3 4 2 2 2 2" xfId="22866" xr:uid="{00000000-0005-0000-0000-000030200000}"/>
    <cellStyle name="20% - Accent3 4 3 4 2 2 2 2 2" xfId="45468" xr:uid="{00000000-0005-0000-0000-000031200000}"/>
    <cellStyle name="20% - Accent3 4 3 4 2 2 2 3" xfId="34167" xr:uid="{00000000-0005-0000-0000-000032200000}"/>
    <cellStyle name="20% - Accent3 4 3 4 2 2 3" xfId="17216" xr:uid="{00000000-0005-0000-0000-000033200000}"/>
    <cellStyle name="20% - Accent3 4 3 4 2 2 3 2" xfId="39818" xr:uid="{00000000-0005-0000-0000-000034200000}"/>
    <cellStyle name="20% - Accent3 4 3 4 2 2 4" xfId="28517" xr:uid="{00000000-0005-0000-0000-000035200000}"/>
    <cellStyle name="20% - Accent3 4 3 4 2 3" xfId="8733" xr:uid="{00000000-0005-0000-0000-000036200000}"/>
    <cellStyle name="20% - Accent3 4 3 4 2 3 2" xfId="20034" xr:uid="{00000000-0005-0000-0000-000037200000}"/>
    <cellStyle name="20% - Accent3 4 3 4 2 3 2 2" xfId="42636" xr:uid="{00000000-0005-0000-0000-000038200000}"/>
    <cellStyle name="20% - Accent3 4 3 4 2 3 3" xfId="31335" xr:uid="{00000000-0005-0000-0000-000039200000}"/>
    <cellStyle name="20% - Accent3 4 3 4 2 4" xfId="14384" xr:uid="{00000000-0005-0000-0000-00003A200000}"/>
    <cellStyle name="20% - Accent3 4 3 4 2 4 2" xfId="36986" xr:uid="{00000000-0005-0000-0000-00003B200000}"/>
    <cellStyle name="20% - Accent3 4 3 4 2 5" xfId="25685" xr:uid="{00000000-0005-0000-0000-00003C200000}"/>
    <cellStyle name="20% - Accent3 4 3 4 3" xfId="4681" xr:uid="{00000000-0005-0000-0000-00003D200000}"/>
    <cellStyle name="20% - Accent3 4 3 4 3 2" xfId="10331" xr:uid="{00000000-0005-0000-0000-00003E200000}"/>
    <cellStyle name="20% - Accent3 4 3 4 3 2 2" xfId="21632" xr:uid="{00000000-0005-0000-0000-00003F200000}"/>
    <cellStyle name="20% - Accent3 4 3 4 3 2 2 2" xfId="44234" xr:uid="{00000000-0005-0000-0000-000040200000}"/>
    <cellStyle name="20% - Accent3 4 3 4 3 2 3" xfId="32933" xr:uid="{00000000-0005-0000-0000-000041200000}"/>
    <cellStyle name="20% - Accent3 4 3 4 3 3" xfId="15982" xr:uid="{00000000-0005-0000-0000-000042200000}"/>
    <cellStyle name="20% - Accent3 4 3 4 3 3 2" xfId="38584" xr:uid="{00000000-0005-0000-0000-000043200000}"/>
    <cellStyle name="20% - Accent3 4 3 4 3 4" xfId="27283" xr:uid="{00000000-0005-0000-0000-000044200000}"/>
    <cellStyle name="20% - Accent3 4 3 4 4" xfId="6868" xr:uid="{00000000-0005-0000-0000-000045200000}"/>
    <cellStyle name="20% - Accent3 4 3 4 4 2" xfId="18169" xr:uid="{00000000-0005-0000-0000-000046200000}"/>
    <cellStyle name="20% - Accent3 4 3 4 4 2 2" xfId="40771" xr:uid="{00000000-0005-0000-0000-000047200000}"/>
    <cellStyle name="20% - Accent3 4 3 4 4 3" xfId="29470" xr:uid="{00000000-0005-0000-0000-000048200000}"/>
    <cellStyle name="20% - Accent3 4 3 4 5" xfId="12519" xr:uid="{00000000-0005-0000-0000-000049200000}"/>
    <cellStyle name="20% - Accent3 4 3 4 5 2" xfId="35121" xr:uid="{00000000-0005-0000-0000-00004A200000}"/>
    <cellStyle name="20% - Accent3 4 3 4 6" xfId="23820" xr:uid="{00000000-0005-0000-0000-00004B200000}"/>
    <cellStyle name="20% - Accent3 4 3 5" xfId="1591" xr:uid="{00000000-0005-0000-0000-00004C200000}"/>
    <cellStyle name="20% - Accent3 4 3 5 2" xfId="3560" xr:uid="{00000000-0005-0000-0000-00004D200000}"/>
    <cellStyle name="20% - Accent3 4 3 5 2 2" xfId="9273" xr:uid="{00000000-0005-0000-0000-00004E200000}"/>
    <cellStyle name="20% - Accent3 4 3 5 2 2 2" xfId="20574" xr:uid="{00000000-0005-0000-0000-00004F200000}"/>
    <cellStyle name="20% - Accent3 4 3 5 2 2 2 2" xfId="43176" xr:uid="{00000000-0005-0000-0000-000050200000}"/>
    <cellStyle name="20% - Accent3 4 3 5 2 2 3" xfId="31875" xr:uid="{00000000-0005-0000-0000-000051200000}"/>
    <cellStyle name="20% - Accent3 4 3 5 2 3" xfId="14924" xr:uid="{00000000-0005-0000-0000-000052200000}"/>
    <cellStyle name="20% - Accent3 4 3 5 2 3 2" xfId="37526" xr:uid="{00000000-0005-0000-0000-000053200000}"/>
    <cellStyle name="20% - Accent3 4 3 5 2 4" xfId="26225" xr:uid="{00000000-0005-0000-0000-000054200000}"/>
    <cellStyle name="20% - Accent3 4 3 5 3" xfId="5291" xr:uid="{00000000-0005-0000-0000-000055200000}"/>
    <cellStyle name="20% - Accent3 4 3 5 3 2" xfId="10941" xr:uid="{00000000-0005-0000-0000-000056200000}"/>
    <cellStyle name="20% - Accent3 4 3 5 3 2 2" xfId="22242" xr:uid="{00000000-0005-0000-0000-000057200000}"/>
    <cellStyle name="20% - Accent3 4 3 5 3 2 2 2" xfId="44844" xr:uid="{00000000-0005-0000-0000-000058200000}"/>
    <cellStyle name="20% - Accent3 4 3 5 3 2 3" xfId="33543" xr:uid="{00000000-0005-0000-0000-000059200000}"/>
    <cellStyle name="20% - Accent3 4 3 5 3 3" xfId="16592" xr:uid="{00000000-0005-0000-0000-00005A200000}"/>
    <cellStyle name="20% - Accent3 4 3 5 3 3 2" xfId="39194" xr:uid="{00000000-0005-0000-0000-00005B200000}"/>
    <cellStyle name="20% - Accent3 4 3 5 3 4" xfId="27893" xr:uid="{00000000-0005-0000-0000-00005C200000}"/>
    <cellStyle name="20% - Accent3 4 3 5 4" xfId="7447" xr:uid="{00000000-0005-0000-0000-00005D200000}"/>
    <cellStyle name="20% - Accent3 4 3 5 4 2" xfId="18748" xr:uid="{00000000-0005-0000-0000-00005E200000}"/>
    <cellStyle name="20% - Accent3 4 3 5 4 2 2" xfId="41350" xr:uid="{00000000-0005-0000-0000-00005F200000}"/>
    <cellStyle name="20% - Accent3 4 3 5 4 3" xfId="30049" xr:uid="{00000000-0005-0000-0000-000060200000}"/>
    <cellStyle name="20% - Accent3 4 3 5 5" xfId="13098" xr:uid="{00000000-0005-0000-0000-000061200000}"/>
    <cellStyle name="20% - Accent3 4 3 5 5 2" xfId="35700" xr:uid="{00000000-0005-0000-0000-000062200000}"/>
    <cellStyle name="20% - Accent3 4 3 5 6" xfId="24399" xr:uid="{00000000-0005-0000-0000-000063200000}"/>
    <cellStyle name="20% - Accent3 4 3 6" xfId="2270" xr:uid="{00000000-0005-0000-0000-000064200000}"/>
    <cellStyle name="20% - Accent3 4 3 6 2" xfId="8106" xr:uid="{00000000-0005-0000-0000-000065200000}"/>
    <cellStyle name="20% - Accent3 4 3 6 2 2" xfId="19407" xr:uid="{00000000-0005-0000-0000-000066200000}"/>
    <cellStyle name="20% - Accent3 4 3 6 2 2 2" xfId="42009" xr:uid="{00000000-0005-0000-0000-000067200000}"/>
    <cellStyle name="20% - Accent3 4 3 6 2 3" xfId="30708" xr:uid="{00000000-0005-0000-0000-000068200000}"/>
    <cellStyle name="20% - Accent3 4 3 6 3" xfId="13757" xr:uid="{00000000-0005-0000-0000-000069200000}"/>
    <cellStyle name="20% - Accent3 4 3 6 3 2" xfId="36359" xr:uid="{00000000-0005-0000-0000-00006A200000}"/>
    <cellStyle name="20% - Accent3 4 3 6 4" xfId="25058" xr:uid="{00000000-0005-0000-0000-00006B200000}"/>
    <cellStyle name="20% - Accent3 4 3 7" xfId="4057" xr:uid="{00000000-0005-0000-0000-00006C200000}"/>
    <cellStyle name="20% - Accent3 4 3 7 2" xfId="9707" xr:uid="{00000000-0005-0000-0000-00006D200000}"/>
    <cellStyle name="20% - Accent3 4 3 7 2 2" xfId="21008" xr:uid="{00000000-0005-0000-0000-00006E200000}"/>
    <cellStyle name="20% - Accent3 4 3 7 2 2 2" xfId="43610" xr:uid="{00000000-0005-0000-0000-00006F200000}"/>
    <cellStyle name="20% - Accent3 4 3 7 2 3" xfId="32309" xr:uid="{00000000-0005-0000-0000-000070200000}"/>
    <cellStyle name="20% - Accent3 4 3 7 3" xfId="15358" xr:uid="{00000000-0005-0000-0000-000071200000}"/>
    <cellStyle name="20% - Accent3 4 3 7 3 2" xfId="37960" xr:uid="{00000000-0005-0000-0000-000072200000}"/>
    <cellStyle name="20% - Accent3 4 3 7 4" xfId="26659" xr:uid="{00000000-0005-0000-0000-000073200000}"/>
    <cellStyle name="20% - Accent3 4 3 8" xfId="6508" xr:uid="{00000000-0005-0000-0000-000074200000}"/>
    <cellStyle name="20% - Accent3 4 3 8 2" xfId="17809" xr:uid="{00000000-0005-0000-0000-000075200000}"/>
    <cellStyle name="20% - Accent3 4 3 8 2 2" xfId="40411" xr:uid="{00000000-0005-0000-0000-000076200000}"/>
    <cellStyle name="20% - Accent3 4 3 8 3" xfId="29110" xr:uid="{00000000-0005-0000-0000-000077200000}"/>
    <cellStyle name="20% - Accent3 4 3 9" xfId="12159" xr:uid="{00000000-0005-0000-0000-000078200000}"/>
    <cellStyle name="20% - Accent3 4 3 9 2" xfId="34761" xr:uid="{00000000-0005-0000-0000-000079200000}"/>
    <cellStyle name="20% - Accent3 4 4" xfId="512" xr:uid="{00000000-0005-0000-0000-00007A200000}"/>
    <cellStyle name="20% - Accent3 4 4 2" xfId="1086" xr:uid="{00000000-0005-0000-0000-00007B200000}"/>
    <cellStyle name="20% - Accent3 4 4 2 2" xfId="1596" xr:uid="{00000000-0005-0000-0000-00007C200000}"/>
    <cellStyle name="20% - Accent3 4 4 2 2 2" xfId="3154" xr:uid="{00000000-0005-0000-0000-00007D200000}"/>
    <cellStyle name="20% - Accent3 4 4 2 2 2 2" xfId="6126" xr:uid="{00000000-0005-0000-0000-00007E200000}"/>
    <cellStyle name="20% - Accent3 4 4 2 2 2 2 2" xfId="11776" xr:uid="{00000000-0005-0000-0000-00007F200000}"/>
    <cellStyle name="20% - Accent3 4 4 2 2 2 2 2 2" xfId="23077" xr:uid="{00000000-0005-0000-0000-000080200000}"/>
    <cellStyle name="20% - Accent3 4 4 2 2 2 2 2 2 2" xfId="45679" xr:uid="{00000000-0005-0000-0000-000081200000}"/>
    <cellStyle name="20% - Accent3 4 4 2 2 2 2 2 3" xfId="34378" xr:uid="{00000000-0005-0000-0000-000082200000}"/>
    <cellStyle name="20% - Accent3 4 4 2 2 2 2 3" xfId="17427" xr:uid="{00000000-0005-0000-0000-000083200000}"/>
    <cellStyle name="20% - Accent3 4 4 2 2 2 2 3 2" xfId="40029" xr:uid="{00000000-0005-0000-0000-000084200000}"/>
    <cellStyle name="20% - Accent3 4 4 2 2 2 2 4" xfId="28728" xr:uid="{00000000-0005-0000-0000-000085200000}"/>
    <cellStyle name="20% - Accent3 4 4 2 2 2 3" xfId="8944" xr:uid="{00000000-0005-0000-0000-000086200000}"/>
    <cellStyle name="20% - Accent3 4 4 2 2 2 3 2" xfId="20245" xr:uid="{00000000-0005-0000-0000-000087200000}"/>
    <cellStyle name="20% - Accent3 4 4 2 2 2 3 2 2" xfId="42847" xr:uid="{00000000-0005-0000-0000-000088200000}"/>
    <cellStyle name="20% - Accent3 4 4 2 2 2 3 3" xfId="31546" xr:uid="{00000000-0005-0000-0000-000089200000}"/>
    <cellStyle name="20% - Accent3 4 4 2 2 2 4" xfId="14595" xr:uid="{00000000-0005-0000-0000-00008A200000}"/>
    <cellStyle name="20% - Accent3 4 4 2 2 2 4 2" xfId="37197" xr:uid="{00000000-0005-0000-0000-00008B200000}"/>
    <cellStyle name="20% - Accent3 4 4 2 2 2 5" xfId="25896" xr:uid="{00000000-0005-0000-0000-00008C200000}"/>
    <cellStyle name="20% - Accent3 4 4 2 2 3" xfId="4892" xr:uid="{00000000-0005-0000-0000-00008D200000}"/>
    <cellStyle name="20% - Accent3 4 4 2 2 3 2" xfId="10542" xr:uid="{00000000-0005-0000-0000-00008E200000}"/>
    <cellStyle name="20% - Accent3 4 4 2 2 3 2 2" xfId="21843" xr:uid="{00000000-0005-0000-0000-00008F200000}"/>
    <cellStyle name="20% - Accent3 4 4 2 2 3 2 2 2" xfId="44445" xr:uid="{00000000-0005-0000-0000-000090200000}"/>
    <cellStyle name="20% - Accent3 4 4 2 2 3 2 3" xfId="33144" xr:uid="{00000000-0005-0000-0000-000091200000}"/>
    <cellStyle name="20% - Accent3 4 4 2 2 3 3" xfId="16193" xr:uid="{00000000-0005-0000-0000-000092200000}"/>
    <cellStyle name="20% - Accent3 4 4 2 2 3 3 2" xfId="38795" xr:uid="{00000000-0005-0000-0000-000093200000}"/>
    <cellStyle name="20% - Accent3 4 4 2 2 3 4" xfId="27494" xr:uid="{00000000-0005-0000-0000-000094200000}"/>
    <cellStyle name="20% - Accent3 4 4 2 2 4" xfId="7452" xr:uid="{00000000-0005-0000-0000-000095200000}"/>
    <cellStyle name="20% - Accent3 4 4 2 2 4 2" xfId="18753" xr:uid="{00000000-0005-0000-0000-000096200000}"/>
    <cellStyle name="20% - Accent3 4 4 2 2 4 2 2" xfId="41355" xr:uid="{00000000-0005-0000-0000-000097200000}"/>
    <cellStyle name="20% - Accent3 4 4 2 2 4 3" xfId="30054" xr:uid="{00000000-0005-0000-0000-000098200000}"/>
    <cellStyle name="20% - Accent3 4 4 2 2 5" xfId="13103" xr:uid="{00000000-0005-0000-0000-000099200000}"/>
    <cellStyle name="20% - Accent3 4 4 2 2 5 2" xfId="35705" xr:uid="{00000000-0005-0000-0000-00009A200000}"/>
    <cellStyle name="20% - Accent3 4 4 2 2 6" xfId="24404" xr:uid="{00000000-0005-0000-0000-00009B200000}"/>
    <cellStyle name="20% - Accent3 4 4 2 3" xfId="2483" xr:uid="{00000000-0005-0000-0000-00009C200000}"/>
    <cellStyle name="20% - Accent3 4 4 2 3 2" xfId="5502" xr:uid="{00000000-0005-0000-0000-00009D200000}"/>
    <cellStyle name="20% - Accent3 4 4 2 3 2 2" xfId="11152" xr:uid="{00000000-0005-0000-0000-00009E200000}"/>
    <cellStyle name="20% - Accent3 4 4 2 3 2 2 2" xfId="22453" xr:uid="{00000000-0005-0000-0000-00009F200000}"/>
    <cellStyle name="20% - Accent3 4 4 2 3 2 2 2 2" xfId="45055" xr:uid="{00000000-0005-0000-0000-0000A0200000}"/>
    <cellStyle name="20% - Accent3 4 4 2 3 2 2 3" xfId="33754" xr:uid="{00000000-0005-0000-0000-0000A1200000}"/>
    <cellStyle name="20% - Accent3 4 4 2 3 2 3" xfId="16803" xr:uid="{00000000-0005-0000-0000-0000A2200000}"/>
    <cellStyle name="20% - Accent3 4 4 2 3 2 3 2" xfId="39405" xr:uid="{00000000-0005-0000-0000-0000A3200000}"/>
    <cellStyle name="20% - Accent3 4 4 2 3 2 4" xfId="28104" xr:uid="{00000000-0005-0000-0000-0000A4200000}"/>
    <cellStyle name="20% - Accent3 4 4 2 3 3" xfId="8319" xr:uid="{00000000-0005-0000-0000-0000A5200000}"/>
    <cellStyle name="20% - Accent3 4 4 2 3 3 2" xfId="19620" xr:uid="{00000000-0005-0000-0000-0000A6200000}"/>
    <cellStyle name="20% - Accent3 4 4 2 3 3 2 2" xfId="42222" xr:uid="{00000000-0005-0000-0000-0000A7200000}"/>
    <cellStyle name="20% - Accent3 4 4 2 3 3 3" xfId="30921" xr:uid="{00000000-0005-0000-0000-0000A8200000}"/>
    <cellStyle name="20% - Accent3 4 4 2 3 4" xfId="13970" xr:uid="{00000000-0005-0000-0000-0000A9200000}"/>
    <cellStyle name="20% - Accent3 4 4 2 3 4 2" xfId="36572" xr:uid="{00000000-0005-0000-0000-0000AA200000}"/>
    <cellStyle name="20% - Accent3 4 4 2 3 5" xfId="25271" xr:uid="{00000000-0005-0000-0000-0000AB200000}"/>
    <cellStyle name="20% - Accent3 4 4 2 4" xfId="4268" xr:uid="{00000000-0005-0000-0000-0000AC200000}"/>
    <cellStyle name="20% - Accent3 4 4 2 4 2" xfId="9918" xr:uid="{00000000-0005-0000-0000-0000AD200000}"/>
    <cellStyle name="20% - Accent3 4 4 2 4 2 2" xfId="21219" xr:uid="{00000000-0005-0000-0000-0000AE200000}"/>
    <cellStyle name="20% - Accent3 4 4 2 4 2 2 2" xfId="43821" xr:uid="{00000000-0005-0000-0000-0000AF200000}"/>
    <cellStyle name="20% - Accent3 4 4 2 4 2 3" xfId="32520" xr:uid="{00000000-0005-0000-0000-0000B0200000}"/>
    <cellStyle name="20% - Accent3 4 4 2 4 3" xfId="15569" xr:uid="{00000000-0005-0000-0000-0000B1200000}"/>
    <cellStyle name="20% - Accent3 4 4 2 4 3 2" xfId="38171" xr:uid="{00000000-0005-0000-0000-0000B2200000}"/>
    <cellStyle name="20% - Accent3 4 4 2 4 4" xfId="26870" xr:uid="{00000000-0005-0000-0000-0000B3200000}"/>
    <cellStyle name="20% - Accent3 4 4 2 5" xfId="7065" xr:uid="{00000000-0005-0000-0000-0000B4200000}"/>
    <cellStyle name="20% - Accent3 4 4 2 5 2" xfId="18366" xr:uid="{00000000-0005-0000-0000-0000B5200000}"/>
    <cellStyle name="20% - Accent3 4 4 2 5 2 2" xfId="40968" xr:uid="{00000000-0005-0000-0000-0000B6200000}"/>
    <cellStyle name="20% - Accent3 4 4 2 5 3" xfId="29667" xr:uid="{00000000-0005-0000-0000-0000B7200000}"/>
    <cellStyle name="20% - Accent3 4 4 2 6" xfId="12716" xr:uid="{00000000-0005-0000-0000-0000B8200000}"/>
    <cellStyle name="20% - Accent3 4 4 2 6 2" xfId="35318" xr:uid="{00000000-0005-0000-0000-0000B9200000}"/>
    <cellStyle name="20% - Accent3 4 4 2 7" xfId="24017" xr:uid="{00000000-0005-0000-0000-0000BA200000}"/>
    <cellStyle name="20% - Accent3 4 4 3" xfId="760" xr:uid="{00000000-0005-0000-0000-0000BB200000}"/>
    <cellStyle name="20% - Accent3 4 4 3 2" xfId="2847" xr:uid="{00000000-0005-0000-0000-0000BC200000}"/>
    <cellStyle name="20% - Accent3 4 4 3 2 2" xfId="5819" xr:uid="{00000000-0005-0000-0000-0000BD200000}"/>
    <cellStyle name="20% - Accent3 4 4 3 2 2 2" xfId="11469" xr:uid="{00000000-0005-0000-0000-0000BE200000}"/>
    <cellStyle name="20% - Accent3 4 4 3 2 2 2 2" xfId="22770" xr:uid="{00000000-0005-0000-0000-0000BF200000}"/>
    <cellStyle name="20% - Accent3 4 4 3 2 2 2 2 2" xfId="45372" xr:uid="{00000000-0005-0000-0000-0000C0200000}"/>
    <cellStyle name="20% - Accent3 4 4 3 2 2 2 3" xfId="34071" xr:uid="{00000000-0005-0000-0000-0000C1200000}"/>
    <cellStyle name="20% - Accent3 4 4 3 2 2 3" xfId="17120" xr:uid="{00000000-0005-0000-0000-0000C2200000}"/>
    <cellStyle name="20% - Accent3 4 4 3 2 2 3 2" xfId="39722" xr:uid="{00000000-0005-0000-0000-0000C3200000}"/>
    <cellStyle name="20% - Accent3 4 4 3 2 2 4" xfId="28421" xr:uid="{00000000-0005-0000-0000-0000C4200000}"/>
    <cellStyle name="20% - Accent3 4 4 3 2 3" xfId="8637" xr:uid="{00000000-0005-0000-0000-0000C5200000}"/>
    <cellStyle name="20% - Accent3 4 4 3 2 3 2" xfId="19938" xr:uid="{00000000-0005-0000-0000-0000C6200000}"/>
    <cellStyle name="20% - Accent3 4 4 3 2 3 2 2" xfId="42540" xr:uid="{00000000-0005-0000-0000-0000C7200000}"/>
    <cellStyle name="20% - Accent3 4 4 3 2 3 3" xfId="31239" xr:uid="{00000000-0005-0000-0000-0000C8200000}"/>
    <cellStyle name="20% - Accent3 4 4 3 2 4" xfId="14288" xr:uid="{00000000-0005-0000-0000-0000C9200000}"/>
    <cellStyle name="20% - Accent3 4 4 3 2 4 2" xfId="36890" xr:uid="{00000000-0005-0000-0000-0000CA200000}"/>
    <cellStyle name="20% - Accent3 4 4 3 2 5" xfId="25589" xr:uid="{00000000-0005-0000-0000-0000CB200000}"/>
    <cellStyle name="20% - Accent3 4 4 3 3" xfId="4585" xr:uid="{00000000-0005-0000-0000-0000CC200000}"/>
    <cellStyle name="20% - Accent3 4 4 3 3 2" xfId="10235" xr:uid="{00000000-0005-0000-0000-0000CD200000}"/>
    <cellStyle name="20% - Accent3 4 4 3 3 2 2" xfId="21536" xr:uid="{00000000-0005-0000-0000-0000CE200000}"/>
    <cellStyle name="20% - Accent3 4 4 3 3 2 2 2" xfId="44138" xr:uid="{00000000-0005-0000-0000-0000CF200000}"/>
    <cellStyle name="20% - Accent3 4 4 3 3 2 3" xfId="32837" xr:uid="{00000000-0005-0000-0000-0000D0200000}"/>
    <cellStyle name="20% - Accent3 4 4 3 3 3" xfId="15886" xr:uid="{00000000-0005-0000-0000-0000D1200000}"/>
    <cellStyle name="20% - Accent3 4 4 3 3 3 2" xfId="38488" xr:uid="{00000000-0005-0000-0000-0000D2200000}"/>
    <cellStyle name="20% - Accent3 4 4 3 3 4" xfId="27187" xr:uid="{00000000-0005-0000-0000-0000D3200000}"/>
    <cellStyle name="20% - Accent3 4 4 3 4" xfId="6768" xr:uid="{00000000-0005-0000-0000-0000D4200000}"/>
    <cellStyle name="20% - Accent3 4 4 3 4 2" xfId="18069" xr:uid="{00000000-0005-0000-0000-0000D5200000}"/>
    <cellStyle name="20% - Accent3 4 4 3 4 2 2" xfId="40671" xr:uid="{00000000-0005-0000-0000-0000D6200000}"/>
    <cellStyle name="20% - Accent3 4 4 3 4 3" xfId="29370" xr:uid="{00000000-0005-0000-0000-0000D7200000}"/>
    <cellStyle name="20% - Accent3 4 4 3 5" xfId="12419" xr:uid="{00000000-0005-0000-0000-0000D8200000}"/>
    <cellStyle name="20% - Accent3 4 4 3 5 2" xfId="35021" xr:uid="{00000000-0005-0000-0000-0000D9200000}"/>
    <cellStyle name="20% - Accent3 4 4 3 6" xfId="23720" xr:uid="{00000000-0005-0000-0000-0000DA200000}"/>
    <cellStyle name="20% - Accent3 4 4 4" xfId="1595" xr:uid="{00000000-0005-0000-0000-0000DB200000}"/>
    <cellStyle name="20% - Accent3 4 4 4 2" xfId="3562" xr:uid="{00000000-0005-0000-0000-0000DC200000}"/>
    <cellStyle name="20% - Accent3 4 4 4 2 2" xfId="9275" xr:uid="{00000000-0005-0000-0000-0000DD200000}"/>
    <cellStyle name="20% - Accent3 4 4 4 2 2 2" xfId="20576" xr:uid="{00000000-0005-0000-0000-0000DE200000}"/>
    <cellStyle name="20% - Accent3 4 4 4 2 2 2 2" xfId="43178" xr:uid="{00000000-0005-0000-0000-0000DF200000}"/>
    <cellStyle name="20% - Accent3 4 4 4 2 2 3" xfId="31877" xr:uid="{00000000-0005-0000-0000-0000E0200000}"/>
    <cellStyle name="20% - Accent3 4 4 4 2 3" xfId="14926" xr:uid="{00000000-0005-0000-0000-0000E1200000}"/>
    <cellStyle name="20% - Accent3 4 4 4 2 3 2" xfId="37528" xr:uid="{00000000-0005-0000-0000-0000E2200000}"/>
    <cellStyle name="20% - Accent3 4 4 4 2 4" xfId="26227" xr:uid="{00000000-0005-0000-0000-0000E3200000}"/>
    <cellStyle name="20% - Accent3 4 4 4 3" xfId="5195" xr:uid="{00000000-0005-0000-0000-0000E4200000}"/>
    <cellStyle name="20% - Accent3 4 4 4 3 2" xfId="10845" xr:uid="{00000000-0005-0000-0000-0000E5200000}"/>
    <cellStyle name="20% - Accent3 4 4 4 3 2 2" xfId="22146" xr:uid="{00000000-0005-0000-0000-0000E6200000}"/>
    <cellStyle name="20% - Accent3 4 4 4 3 2 2 2" xfId="44748" xr:uid="{00000000-0005-0000-0000-0000E7200000}"/>
    <cellStyle name="20% - Accent3 4 4 4 3 2 3" xfId="33447" xr:uid="{00000000-0005-0000-0000-0000E8200000}"/>
    <cellStyle name="20% - Accent3 4 4 4 3 3" xfId="16496" xr:uid="{00000000-0005-0000-0000-0000E9200000}"/>
    <cellStyle name="20% - Accent3 4 4 4 3 3 2" xfId="39098" xr:uid="{00000000-0005-0000-0000-0000EA200000}"/>
    <cellStyle name="20% - Accent3 4 4 4 3 4" xfId="27797" xr:uid="{00000000-0005-0000-0000-0000EB200000}"/>
    <cellStyle name="20% - Accent3 4 4 4 4" xfId="7451" xr:uid="{00000000-0005-0000-0000-0000EC200000}"/>
    <cellStyle name="20% - Accent3 4 4 4 4 2" xfId="18752" xr:uid="{00000000-0005-0000-0000-0000ED200000}"/>
    <cellStyle name="20% - Accent3 4 4 4 4 2 2" xfId="41354" xr:uid="{00000000-0005-0000-0000-0000EE200000}"/>
    <cellStyle name="20% - Accent3 4 4 4 4 3" xfId="30053" xr:uid="{00000000-0005-0000-0000-0000EF200000}"/>
    <cellStyle name="20% - Accent3 4 4 4 5" xfId="13102" xr:uid="{00000000-0005-0000-0000-0000F0200000}"/>
    <cellStyle name="20% - Accent3 4 4 4 5 2" xfId="35704" xr:uid="{00000000-0005-0000-0000-0000F1200000}"/>
    <cellStyle name="20% - Accent3 4 4 4 6" xfId="24403" xr:uid="{00000000-0005-0000-0000-0000F2200000}"/>
    <cellStyle name="20% - Accent3 4 4 5" xfId="2167" xr:uid="{00000000-0005-0000-0000-0000F3200000}"/>
    <cellStyle name="20% - Accent3 4 4 5 2" xfId="8009" xr:uid="{00000000-0005-0000-0000-0000F4200000}"/>
    <cellStyle name="20% - Accent3 4 4 5 2 2" xfId="19310" xr:uid="{00000000-0005-0000-0000-0000F5200000}"/>
    <cellStyle name="20% - Accent3 4 4 5 2 2 2" xfId="41912" xr:uid="{00000000-0005-0000-0000-0000F6200000}"/>
    <cellStyle name="20% - Accent3 4 4 5 2 3" xfId="30611" xr:uid="{00000000-0005-0000-0000-0000F7200000}"/>
    <cellStyle name="20% - Accent3 4 4 5 3" xfId="13660" xr:uid="{00000000-0005-0000-0000-0000F8200000}"/>
    <cellStyle name="20% - Accent3 4 4 5 3 2" xfId="36262" xr:uid="{00000000-0005-0000-0000-0000F9200000}"/>
    <cellStyle name="20% - Accent3 4 4 5 4" xfId="24961" xr:uid="{00000000-0005-0000-0000-0000FA200000}"/>
    <cellStyle name="20% - Accent3 4 4 6" xfId="3961" xr:uid="{00000000-0005-0000-0000-0000FB200000}"/>
    <cellStyle name="20% - Accent3 4 4 6 2" xfId="9611" xr:uid="{00000000-0005-0000-0000-0000FC200000}"/>
    <cellStyle name="20% - Accent3 4 4 6 2 2" xfId="20912" xr:uid="{00000000-0005-0000-0000-0000FD200000}"/>
    <cellStyle name="20% - Accent3 4 4 6 2 2 2" xfId="43514" xr:uid="{00000000-0005-0000-0000-0000FE200000}"/>
    <cellStyle name="20% - Accent3 4 4 6 2 3" xfId="32213" xr:uid="{00000000-0005-0000-0000-0000FF200000}"/>
    <cellStyle name="20% - Accent3 4 4 6 3" xfId="15262" xr:uid="{00000000-0005-0000-0000-000000210000}"/>
    <cellStyle name="20% - Accent3 4 4 6 3 2" xfId="37864" xr:uid="{00000000-0005-0000-0000-000001210000}"/>
    <cellStyle name="20% - Accent3 4 4 6 4" xfId="26563" xr:uid="{00000000-0005-0000-0000-000002210000}"/>
    <cellStyle name="20% - Accent3 4 4 7" xfId="6579" xr:uid="{00000000-0005-0000-0000-000003210000}"/>
    <cellStyle name="20% - Accent3 4 4 7 2" xfId="17880" xr:uid="{00000000-0005-0000-0000-000004210000}"/>
    <cellStyle name="20% - Accent3 4 4 7 2 2" xfId="40482" xr:uid="{00000000-0005-0000-0000-000005210000}"/>
    <cellStyle name="20% - Accent3 4 4 7 3" xfId="29181" xr:uid="{00000000-0005-0000-0000-000006210000}"/>
    <cellStyle name="20% - Accent3 4 4 8" xfId="12230" xr:uid="{00000000-0005-0000-0000-000007210000}"/>
    <cellStyle name="20% - Accent3 4 4 8 2" xfId="34832" xr:uid="{00000000-0005-0000-0000-000008210000}"/>
    <cellStyle name="20% - Accent3 4 4 9" xfId="23531" xr:uid="{00000000-0005-0000-0000-000009210000}"/>
    <cellStyle name="20% - Accent3 4 5" xfId="456" xr:uid="{00000000-0005-0000-0000-00000A210000}"/>
    <cellStyle name="20% - Accent3 4 5 2" xfId="1225" xr:uid="{00000000-0005-0000-0000-00000B210000}"/>
    <cellStyle name="20% - Accent3 4 5 2 2" xfId="1598" xr:uid="{00000000-0005-0000-0000-00000C210000}"/>
    <cellStyle name="20% - Accent3 4 5 2 2 2" xfId="3294" xr:uid="{00000000-0005-0000-0000-00000D210000}"/>
    <cellStyle name="20% - Accent3 4 5 2 2 2 2" xfId="6266" xr:uid="{00000000-0005-0000-0000-00000E210000}"/>
    <cellStyle name="20% - Accent3 4 5 2 2 2 2 2" xfId="11916" xr:uid="{00000000-0005-0000-0000-00000F210000}"/>
    <cellStyle name="20% - Accent3 4 5 2 2 2 2 2 2" xfId="23217" xr:uid="{00000000-0005-0000-0000-000010210000}"/>
    <cellStyle name="20% - Accent3 4 5 2 2 2 2 2 2 2" xfId="45819" xr:uid="{00000000-0005-0000-0000-000011210000}"/>
    <cellStyle name="20% - Accent3 4 5 2 2 2 2 2 3" xfId="34518" xr:uid="{00000000-0005-0000-0000-000012210000}"/>
    <cellStyle name="20% - Accent3 4 5 2 2 2 2 3" xfId="17567" xr:uid="{00000000-0005-0000-0000-000013210000}"/>
    <cellStyle name="20% - Accent3 4 5 2 2 2 2 3 2" xfId="40169" xr:uid="{00000000-0005-0000-0000-000014210000}"/>
    <cellStyle name="20% - Accent3 4 5 2 2 2 2 4" xfId="28868" xr:uid="{00000000-0005-0000-0000-000015210000}"/>
    <cellStyle name="20% - Accent3 4 5 2 2 2 3" xfId="9084" xr:uid="{00000000-0005-0000-0000-000016210000}"/>
    <cellStyle name="20% - Accent3 4 5 2 2 2 3 2" xfId="20385" xr:uid="{00000000-0005-0000-0000-000017210000}"/>
    <cellStyle name="20% - Accent3 4 5 2 2 2 3 2 2" xfId="42987" xr:uid="{00000000-0005-0000-0000-000018210000}"/>
    <cellStyle name="20% - Accent3 4 5 2 2 2 3 3" xfId="31686" xr:uid="{00000000-0005-0000-0000-000019210000}"/>
    <cellStyle name="20% - Accent3 4 5 2 2 2 4" xfId="14735" xr:uid="{00000000-0005-0000-0000-00001A210000}"/>
    <cellStyle name="20% - Accent3 4 5 2 2 2 4 2" xfId="37337" xr:uid="{00000000-0005-0000-0000-00001B210000}"/>
    <cellStyle name="20% - Accent3 4 5 2 2 2 5" xfId="26036" xr:uid="{00000000-0005-0000-0000-00001C210000}"/>
    <cellStyle name="20% - Accent3 4 5 2 2 3" xfId="5032" xr:uid="{00000000-0005-0000-0000-00001D210000}"/>
    <cellStyle name="20% - Accent3 4 5 2 2 3 2" xfId="10682" xr:uid="{00000000-0005-0000-0000-00001E210000}"/>
    <cellStyle name="20% - Accent3 4 5 2 2 3 2 2" xfId="21983" xr:uid="{00000000-0005-0000-0000-00001F210000}"/>
    <cellStyle name="20% - Accent3 4 5 2 2 3 2 2 2" xfId="44585" xr:uid="{00000000-0005-0000-0000-000020210000}"/>
    <cellStyle name="20% - Accent3 4 5 2 2 3 2 3" xfId="33284" xr:uid="{00000000-0005-0000-0000-000021210000}"/>
    <cellStyle name="20% - Accent3 4 5 2 2 3 3" xfId="16333" xr:uid="{00000000-0005-0000-0000-000022210000}"/>
    <cellStyle name="20% - Accent3 4 5 2 2 3 3 2" xfId="38935" xr:uid="{00000000-0005-0000-0000-000023210000}"/>
    <cellStyle name="20% - Accent3 4 5 2 2 3 4" xfId="27634" xr:uid="{00000000-0005-0000-0000-000024210000}"/>
    <cellStyle name="20% - Accent3 4 5 2 2 4" xfId="7454" xr:uid="{00000000-0005-0000-0000-000025210000}"/>
    <cellStyle name="20% - Accent3 4 5 2 2 4 2" xfId="18755" xr:uid="{00000000-0005-0000-0000-000026210000}"/>
    <cellStyle name="20% - Accent3 4 5 2 2 4 2 2" xfId="41357" xr:uid="{00000000-0005-0000-0000-000027210000}"/>
    <cellStyle name="20% - Accent3 4 5 2 2 4 3" xfId="30056" xr:uid="{00000000-0005-0000-0000-000028210000}"/>
    <cellStyle name="20% - Accent3 4 5 2 2 5" xfId="13105" xr:uid="{00000000-0005-0000-0000-000029210000}"/>
    <cellStyle name="20% - Accent3 4 5 2 2 5 2" xfId="35707" xr:uid="{00000000-0005-0000-0000-00002A210000}"/>
    <cellStyle name="20% - Accent3 4 5 2 2 6" xfId="24406" xr:uid="{00000000-0005-0000-0000-00002B210000}"/>
    <cellStyle name="20% - Accent3 4 5 2 3" xfId="2623" xr:uid="{00000000-0005-0000-0000-00002C210000}"/>
    <cellStyle name="20% - Accent3 4 5 2 3 2" xfId="5642" xr:uid="{00000000-0005-0000-0000-00002D210000}"/>
    <cellStyle name="20% - Accent3 4 5 2 3 2 2" xfId="11292" xr:uid="{00000000-0005-0000-0000-00002E210000}"/>
    <cellStyle name="20% - Accent3 4 5 2 3 2 2 2" xfId="22593" xr:uid="{00000000-0005-0000-0000-00002F210000}"/>
    <cellStyle name="20% - Accent3 4 5 2 3 2 2 2 2" xfId="45195" xr:uid="{00000000-0005-0000-0000-000030210000}"/>
    <cellStyle name="20% - Accent3 4 5 2 3 2 2 3" xfId="33894" xr:uid="{00000000-0005-0000-0000-000031210000}"/>
    <cellStyle name="20% - Accent3 4 5 2 3 2 3" xfId="16943" xr:uid="{00000000-0005-0000-0000-000032210000}"/>
    <cellStyle name="20% - Accent3 4 5 2 3 2 3 2" xfId="39545" xr:uid="{00000000-0005-0000-0000-000033210000}"/>
    <cellStyle name="20% - Accent3 4 5 2 3 2 4" xfId="28244" xr:uid="{00000000-0005-0000-0000-000034210000}"/>
    <cellStyle name="20% - Accent3 4 5 2 3 3" xfId="8459" xr:uid="{00000000-0005-0000-0000-000035210000}"/>
    <cellStyle name="20% - Accent3 4 5 2 3 3 2" xfId="19760" xr:uid="{00000000-0005-0000-0000-000036210000}"/>
    <cellStyle name="20% - Accent3 4 5 2 3 3 2 2" xfId="42362" xr:uid="{00000000-0005-0000-0000-000037210000}"/>
    <cellStyle name="20% - Accent3 4 5 2 3 3 3" xfId="31061" xr:uid="{00000000-0005-0000-0000-000038210000}"/>
    <cellStyle name="20% - Accent3 4 5 2 3 4" xfId="14110" xr:uid="{00000000-0005-0000-0000-000039210000}"/>
    <cellStyle name="20% - Accent3 4 5 2 3 4 2" xfId="36712" xr:uid="{00000000-0005-0000-0000-00003A210000}"/>
    <cellStyle name="20% - Accent3 4 5 2 3 5" xfId="25411" xr:uid="{00000000-0005-0000-0000-00003B210000}"/>
    <cellStyle name="20% - Accent3 4 5 2 4" xfId="4408" xr:uid="{00000000-0005-0000-0000-00003C210000}"/>
    <cellStyle name="20% - Accent3 4 5 2 4 2" xfId="10058" xr:uid="{00000000-0005-0000-0000-00003D210000}"/>
    <cellStyle name="20% - Accent3 4 5 2 4 2 2" xfId="21359" xr:uid="{00000000-0005-0000-0000-00003E210000}"/>
    <cellStyle name="20% - Accent3 4 5 2 4 2 2 2" xfId="43961" xr:uid="{00000000-0005-0000-0000-00003F210000}"/>
    <cellStyle name="20% - Accent3 4 5 2 4 2 3" xfId="32660" xr:uid="{00000000-0005-0000-0000-000040210000}"/>
    <cellStyle name="20% - Accent3 4 5 2 4 3" xfId="15709" xr:uid="{00000000-0005-0000-0000-000041210000}"/>
    <cellStyle name="20% - Accent3 4 5 2 4 3 2" xfId="38311" xr:uid="{00000000-0005-0000-0000-000042210000}"/>
    <cellStyle name="20% - Accent3 4 5 2 4 4" xfId="27010" xr:uid="{00000000-0005-0000-0000-000043210000}"/>
    <cellStyle name="20% - Accent3 4 5 2 5" xfId="7204" xr:uid="{00000000-0005-0000-0000-000044210000}"/>
    <cellStyle name="20% - Accent3 4 5 2 5 2" xfId="18505" xr:uid="{00000000-0005-0000-0000-000045210000}"/>
    <cellStyle name="20% - Accent3 4 5 2 5 2 2" xfId="41107" xr:uid="{00000000-0005-0000-0000-000046210000}"/>
    <cellStyle name="20% - Accent3 4 5 2 5 3" xfId="29806" xr:uid="{00000000-0005-0000-0000-000047210000}"/>
    <cellStyle name="20% - Accent3 4 5 2 6" xfId="12855" xr:uid="{00000000-0005-0000-0000-000048210000}"/>
    <cellStyle name="20% - Accent3 4 5 2 6 2" xfId="35457" xr:uid="{00000000-0005-0000-0000-000049210000}"/>
    <cellStyle name="20% - Accent3 4 5 2 7" xfId="24156" xr:uid="{00000000-0005-0000-0000-00004A210000}"/>
    <cellStyle name="20% - Accent3 4 5 3" xfId="923" xr:uid="{00000000-0005-0000-0000-00004B210000}"/>
    <cellStyle name="20% - Accent3 4 5 3 2" xfId="2986" xr:uid="{00000000-0005-0000-0000-00004C210000}"/>
    <cellStyle name="20% - Accent3 4 5 3 2 2" xfId="5958" xr:uid="{00000000-0005-0000-0000-00004D210000}"/>
    <cellStyle name="20% - Accent3 4 5 3 2 2 2" xfId="11608" xr:uid="{00000000-0005-0000-0000-00004E210000}"/>
    <cellStyle name="20% - Accent3 4 5 3 2 2 2 2" xfId="22909" xr:uid="{00000000-0005-0000-0000-00004F210000}"/>
    <cellStyle name="20% - Accent3 4 5 3 2 2 2 2 2" xfId="45511" xr:uid="{00000000-0005-0000-0000-000050210000}"/>
    <cellStyle name="20% - Accent3 4 5 3 2 2 2 3" xfId="34210" xr:uid="{00000000-0005-0000-0000-000051210000}"/>
    <cellStyle name="20% - Accent3 4 5 3 2 2 3" xfId="17259" xr:uid="{00000000-0005-0000-0000-000052210000}"/>
    <cellStyle name="20% - Accent3 4 5 3 2 2 3 2" xfId="39861" xr:uid="{00000000-0005-0000-0000-000053210000}"/>
    <cellStyle name="20% - Accent3 4 5 3 2 2 4" xfId="28560" xr:uid="{00000000-0005-0000-0000-000054210000}"/>
    <cellStyle name="20% - Accent3 4 5 3 2 3" xfId="8776" xr:uid="{00000000-0005-0000-0000-000055210000}"/>
    <cellStyle name="20% - Accent3 4 5 3 2 3 2" xfId="20077" xr:uid="{00000000-0005-0000-0000-000056210000}"/>
    <cellStyle name="20% - Accent3 4 5 3 2 3 2 2" xfId="42679" xr:uid="{00000000-0005-0000-0000-000057210000}"/>
    <cellStyle name="20% - Accent3 4 5 3 2 3 3" xfId="31378" xr:uid="{00000000-0005-0000-0000-000058210000}"/>
    <cellStyle name="20% - Accent3 4 5 3 2 4" xfId="14427" xr:uid="{00000000-0005-0000-0000-000059210000}"/>
    <cellStyle name="20% - Accent3 4 5 3 2 4 2" xfId="37029" xr:uid="{00000000-0005-0000-0000-00005A210000}"/>
    <cellStyle name="20% - Accent3 4 5 3 2 5" xfId="25728" xr:uid="{00000000-0005-0000-0000-00005B210000}"/>
    <cellStyle name="20% - Accent3 4 5 3 3" xfId="4724" xr:uid="{00000000-0005-0000-0000-00005C210000}"/>
    <cellStyle name="20% - Accent3 4 5 3 3 2" xfId="10374" xr:uid="{00000000-0005-0000-0000-00005D210000}"/>
    <cellStyle name="20% - Accent3 4 5 3 3 2 2" xfId="21675" xr:uid="{00000000-0005-0000-0000-00005E210000}"/>
    <cellStyle name="20% - Accent3 4 5 3 3 2 2 2" xfId="44277" xr:uid="{00000000-0005-0000-0000-00005F210000}"/>
    <cellStyle name="20% - Accent3 4 5 3 3 2 3" xfId="32976" xr:uid="{00000000-0005-0000-0000-000060210000}"/>
    <cellStyle name="20% - Accent3 4 5 3 3 3" xfId="16025" xr:uid="{00000000-0005-0000-0000-000061210000}"/>
    <cellStyle name="20% - Accent3 4 5 3 3 3 2" xfId="38627" xr:uid="{00000000-0005-0000-0000-000062210000}"/>
    <cellStyle name="20% - Accent3 4 5 3 3 4" xfId="27326" xr:uid="{00000000-0005-0000-0000-000063210000}"/>
    <cellStyle name="20% - Accent3 4 5 3 4" xfId="6911" xr:uid="{00000000-0005-0000-0000-000064210000}"/>
    <cellStyle name="20% - Accent3 4 5 3 4 2" xfId="18212" xr:uid="{00000000-0005-0000-0000-000065210000}"/>
    <cellStyle name="20% - Accent3 4 5 3 4 2 2" xfId="40814" xr:uid="{00000000-0005-0000-0000-000066210000}"/>
    <cellStyle name="20% - Accent3 4 5 3 4 3" xfId="29513" xr:uid="{00000000-0005-0000-0000-000067210000}"/>
    <cellStyle name="20% - Accent3 4 5 3 5" xfId="12562" xr:uid="{00000000-0005-0000-0000-000068210000}"/>
    <cellStyle name="20% - Accent3 4 5 3 5 2" xfId="35164" xr:uid="{00000000-0005-0000-0000-000069210000}"/>
    <cellStyle name="20% - Accent3 4 5 3 6" xfId="23863" xr:uid="{00000000-0005-0000-0000-00006A210000}"/>
    <cellStyle name="20% - Accent3 4 5 4" xfId="1597" xr:uid="{00000000-0005-0000-0000-00006B210000}"/>
    <cellStyle name="20% - Accent3 4 5 4 2" xfId="3563" xr:uid="{00000000-0005-0000-0000-00006C210000}"/>
    <cellStyle name="20% - Accent3 4 5 4 2 2" xfId="9276" xr:uid="{00000000-0005-0000-0000-00006D210000}"/>
    <cellStyle name="20% - Accent3 4 5 4 2 2 2" xfId="20577" xr:uid="{00000000-0005-0000-0000-00006E210000}"/>
    <cellStyle name="20% - Accent3 4 5 4 2 2 2 2" xfId="43179" xr:uid="{00000000-0005-0000-0000-00006F210000}"/>
    <cellStyle name="20% - Accent3 4 5 4 2 2 3" xfId="31878" xr:uid="{00000000-0005-0000-0000-000070210000}"/>
    <cellStyle name="20% - Accent3 4 5 4 2 3" xfId="14927" xr:uid="{00000000-0005-0000-0000-000071210000}"/>
    <cellStyle name="20% - Accent3 4 5 4 2 3 2" xfId="37529" xr:uid="{00000000-0005-0000-0000-000072210000}"/>
    <cellStyle name="20% - Accent3 4 5 4 2 4" xfId="26228" xr:uid="{00000000-0005-0000-0000-000073210000}"/>
    <cellStyle name="20% - Accent3 4 5 4 3" xfId="5334" xr:uid="{00000000-0005-0000-0000-000074210000}"/>
    <cellStyle name="20% - Accent3 4 5 4 3 2" xfId="10984" xr:uid="{00000000-0005-0000-0000-000075210000}"/>
    <cellStyle name="20% - Accent3 4 5 4 3 2 2" xfId="22285" xr:uid="{00000000-0005-0000-0000-000076210000}"/>
    <cellStyle name="20% - Accent3 4 5 4 3 2 2 2" xfId="44887" xr:uid="{00000000-0005-0000-0000-000077210000}"/>
    <cellStyle name="20% - Accent3 4 5 4 3 2 3" xfId="33586" xr:uid="{00000000-0005-0000-0000-000078210000}"/>
    <cellStyle name="20% - Accent3 4 5 4 3 3" xfId="16635" xr:uid="{00000000-0005-0000-0000-000079210000}"/>
    <cellStyle name="20% - Accent3 4 5 4 3 3 2" xfId="39237" xr:uid="{00000000-0005-0000-0000-00007A210000}"/>
    <cellStyle name="20% - Accent3 4 5 4 3 4" xfId="27936" xr:uid="{00000000-0005-0000-0000-00007B210000}"/>
    <cellStyle name="20% - Accent3 4 5 4 4" xfId="7453" xr:uid="{00000000-0005-0000-0000-00007C210000}"/>
    <cellStyle name="20% - Accent3 4 5 4 4 2" xfId="18754" xr:uid="{00000000-0005-0000-0000-00007D210000}"/>
    <cellStyle name="20% - Accent3 4 5 4 4 2 2" xfId="41356" xr:uid="{00000000-0005-0000-0000-00007E210000}"/>
    <cellStyle name="20% - Accent3 4 5 4 4 3" xfId="30055" xr:uid="{00000000-0005-0000-0000-00007F210000}"/>
    <cellStyle name="20% - Accent3 4 5 4 5" xfId="13104" xr:uid="{00000000-0005-0000-0000-000080210000}"/>
    <cellStyle name="20% - Accent3 4 5 4 5 2" xfId="35706" xr:uid="{00000000-0005-0000-0000-000081210000}"/>
    <cellStyle name="20% - Accent3 4 5 4 6" xfId="24405" xr:uid="{00000000-0005-0000-0000-000082210000}"/>
    <cellStyle name="20% - Accent3 4 5 5" xfId="2315" xr:uid="{00000000-0005-0000-0000-000083210000}"/>
    <cellStyle name="20% - Accent3 4 5 5 2" xfId="8151" xr:uid="{00000000-0005-0000-0000-000084210000}"/>
    <cellStyle name="20% - Accent3 4 5 5 2 2" xfId="19452" xr:uid="{00000000-0005-0000-0000-000085210000}"/>
    <cellStyle name="20% - Accent3 4 5 5 2 2 2" xfId="42054" xr:uid="{00000000-0005-0000-0000-000086210000}"/>
    <cellStyle name="20% - Accent3 4 5 5 2 3" xfId="30753" xr:uid="{00000000-0005-0000-0000-000087210000}"/>
    <cellStyle name="20% - Accent3 4 5 5 3" xfId="13802" xr:uid="{00000000-0005-0000-0000-000088210000}"/>
    <cellStyle name="20% - Accent3 4 5 5 3 2" xfId="36404" xr:uid="{00000000-0005-0000-0000-000089210000}"/>
    <cellStyle name="20% - Accent3 4 5 5 4" xfId="25103" xr:uid="{00000000-0005-0000-0000-00008A210000}"/>
    <cellStyle name="20% - Accent3 4 5 6" xfId="4100" xr:uid="{00000000-0005-0000-0000-00008B210000}"/>
    <cellStyle name="20% - Accent3 4 5 6 2" xfId="9750" xr:uid="{00000000-0005-0000-0000-00008C210000}"/>
    <cellStyle name="20% - Accent3 4 5 6 2 2" xfId="21051" xr:uid="{00000000-0005-0000-0000-00008D210000}"/>
    <cellStyle name="20% - Accent3 4 5 6 2 2 2" xfId="43653" xr:uid="{00000000-0005-0000-0000-00008E210000}"/>
    <cellStyle name="20% - Accent3 4 5 6 2 3" xfId="32352" xr:uid="{00000000-0005-0000-0000-00008F210000}"/>
    <cellStyle name="20% - Accent3 4 5 6 3" xfId="15401" xr:uid="{00000000-0005-0000-0000-000090210000}"/>
    <cellStyle name="20% - Accent3 4 5 6 3 2" xfId="38003" xr:uid="{00000000-0005-0000-0000-000091210000}"/>
    <cellStyle name="20% - Accent3 4 5 6 4" xfId="26702" xr:uid="{00000000-0005-0000-0000-000092210000}"/>
    <cellStyle name="20% - Accent3 4 5 7" xfId="6551" xr:uid="{00000000-0005-0000-0000-000093210000}"/>
    <cellStyle name="20% - Accent3 4 5 7 2" xfId="17852" xr:uid="{00000000-0005-0000-0000-000094210000}"/>
    <cellStyle name="20% - Accent3 4 5 7 2 2" xfId="40454" xr:uid="{00000000-0005-0000-0000-000095210000}"/>
    <cellStyle name="20% - Accent3 4 5 7 3" xfId="29153" xr:uid="{00000000-0005-0000-0000-000096210000}"/>
    <cellStyle name="20% - Accent3 4 5 8" xfId="12202" xr:uid="{00000000-0005-0000-0000-000097210000}"/>
    <cellStyle name="20% - Accent3 4 5 8 2" xfId="34804" xr:uid="{00000000-0005-0000-0000-000098210000}"/>
    <cellStyle name="20% - Accent3 4 5 9" xfId="23503" xr:uid="{00000000-0005-0000-0000-000099210000}"/>
    <cellStyle name="20% - Accent3 4 6" xfId="1058" xr:uid="{00000000-0005-0000-0000-00009A210000}"/>
    <cellStyle name="20% - Accent3 4 6 2" xfId="1599" xr:uid="{00000000-0005-0000-0000-00009B210000}"/>
    <cellStyle name="20% - Accent3 4 6 2 2" xfId="3125" xr:uid="{00000000-0005-0000-0000-00009C210000}"/>
    <cellStyle name="20% - Accent3 4 6 2 2 2" xfId="6097" xr:uid="{00000000-0005-0000-0000-00009D210000}"/>
    <cellStyle name="20% - Accent3 4 6 2 2 2 2" xfId="11747" xr:uid="{00000000-0005-0000-0000-00009E210000}"/>
    <cellStyle name="20% - Accent3 4 6 2 2 2 2 2" xfId="23048" xr:uid="{00000000-0005-0000-0000-00009F210000}"/>
    <cellStyle name="20% - Accent3 4 6 2 2 2 2 2 2" xfId="45650" xr:uid="{00000000-0005-0000-0000-0000A0210000}"/>
    <cellStyle name="20% - Accent3 4 6 2 2 2 2 3" xfId="34349" xr:uid="{00000000-0005-0000-0000-0000A1210000}"/>
    <cellStyle name="20% - Accent3 4 6 2 2 2 3" xfId="17398" xr:uid="{00000000-0005-0000-0000-0000A2210000}"/>
    <cellStyle name="20% - Accent3 4 6 2 2 2 3 2" xfId="40000" xr:uid="{00000000-0005-0000-0000-0000A3210000}"/>
    <cellStyle name="20% - Accent3 4 6 2 2 2 4" xfId="28699" xr:uid="{00000000-0005-0000-0000-0000A4210000}"/>
    <cellStyle name="20% - Accent3 4 6 2 2 3" xfId="8915" xr:uid="{00000000-0005-0000-0000-0000A5210000}"/>
    <cellStyle name="20% - Accent3 4 6 2 2 3 2" xfId="20216" xr:uid="{00000000-0005-0000-0000-0000A6210000}"/>
    <cellStyle name="20% - Accent3 4 6 2 2 3 2 2" xfId="42818" xr:uid="{00000000-0005-0000-0000-0000A7210000}"/>
    <cellStyle name="20% - Accent3 4 6 2 2 3 3" xfId="31517" xr:uid="{00000000-0005-0000-0000-0000A8210000}"/>
    <cellStyle name="20% - Accent3 4 6 2 2 4" xfId="14566" xr:uid="{00000000-0005-0000-0000-0000A9210000}"/>
    <cellStyle name="20% - Accent3 4 6 2 2 4 2" xfId="37168" xr:uid="{00000000-0005-0000-0000-0000AA210000}"/>
    <cellStyle name="20% - Accent3 4 6 2 2 5" xfId="25867" xr:uid="{00000000-0005-0000-0000-0000AB210000}"/>
    <cellStyle name="20% - Accent3 4 6 2 3" xfId="4863" xr:uid="{00000000-0005-0000-0000-0000AC210000}"/>
    <cellStyle name="20% - Accent3 4 6 2 3 2" xfId="10513" xr:uid="{00000000-0005-0000-0000-0000AD210000}"/>
    <cellStyle name="20% - Accent3 4 6 2 3 2 2" xfId="21814" xr:uid="{00000000-0005-0000-0000-0000AE210000}"/>
    <cellStyle name="20% - Accent3 4 6 2 3 2 2 2" xfId="44416" xr:uid="{00000000-0005-0000-0000-0000AF210000}"/>
    <cellStyle name="20% - Accent3 4 6 2 3 2 3" xfId="33115" xr:uid="{00000000-0005-0000-0000-0000B0210000}"/>
    <cellStyle name="20% - Accent3 4 6 2 3 3" xfId="16164" xr:uid="{00000000-0005-0000-0000-0000B1210000}"/>
    <cellStyle name="20% - Accent3 4 6 2 3 3 2" xfId="38766" xr:uid="{00000000-0005-0000-0000-0000B2210000}"/>
    <cellStyle name="20% - Accent3 4 6 2 3 4" xfId="27465" xr:uid="{00000000-0005-0000-0000-0000B3210000}"/>
    <cellStyle name="20% - Accent3 4 6 2 4" xfId="7455" xr:uid="{00000000-0005-0000-0000-0000B4210000}"/>
    <cellStyle name="20% - Accent3 4 6 2 4 2" xfId="18756" xr:uid="{00000000-0005-0000-0000-0000B5210000}"/>
    <cellStyle name="20% - Accent3 4 6 2 4 2 2" xfId="41358" xr:uid="{00000000-0005-0000-0000-0000B6210000}"/>
    <cellStyle name="20% - Accent3 4 6 2 4 3" xfId="30057" xr:uid="{00000000-0005-0000-0000-0000B7210000}"/>
    <cellStyle name="20% - Accent3 4 6 2 5" xfId="13106" xr:uid="{00000000-0005-0000-0000-0000B8210000}"/>
    <cellStyle name="20% - Accent3 4 6 2 5 2" xfId="35708" xr:uid="{00000000-0005-0000-0000-0000B9210000}"/>
    <cellStyle name="20% - Accent3 4 6 2 6" xfId="24407" xr:uid="{00000000-0005-0000-0000-0000BA210000}"/>
    <cellStyle name="20% - Accent3 4 6 3" xfId="2454" xr:uid="{00000000-0005-0000-0000-0000BB210000}"/>
    <cellStyle name="20% - Accent3 4 6 3 2" xfId="5473" xr:uid="{00000000-0005-0000-0000-0000BC210000}"/>
    <cellStyle name="20% - Accent3 4 6 3 2 2" xfId="11123" xr:uid="{00000000-0005-0000-0000-0000BD210000}"/>
    <cellStyle name="20% - Accent3 4 6 3 2 2 2" xfId="22424" xr:uid="{00000000-0005-0000-0000-0000BE210000}"/>
    <cellStyle name="20% - Accent3 4 6 3 2 2 2 2" xfId="45026" xr:uid="{00000000-0005-0000-0000-0000BF210000}"/>
    <cellStyle name="20% - Accent3 4 6 3 2 2 3" xfId="33725" xr:uid="{00000000-0005-0000-0000-0000C0210000}"/>
    <cellStyle name="20% - Accent3 4 6 3 2 3" xfId="16774" xr:uid="{00000000-0005-0000-0000-0000C1210000}"/>
    <cellStyle name="20% - Accent3 4 6 3 2 3 2" xfId="39376" xr:uid="{00000000-0005-0000-0000-0000C2210000}"/>
    <cellStyle name="20% - Accent3 4 6 3 2 4" xfId="28075" xr:uid="{00000000-0005-0000-0000-0000C3210000}"/>
    <cellStyle name="20% - Accent3 4 6 3 3" xfId="8290" xr:uid="{00000000-0005-0000-0000-0000C4210000}"/>
    <cellStyle name="20% - Accent3 4 6 3 3 2" xfId="19591" xr:uid="{00000000-0005-0000-0000-0000C5210000}"/>
    <cellStyle name="20% - Accent3 4 6 3 3 2 2" xfId="42193" xr:uid="{00000000-0005-0000-0000-0000C6210000}"/>
    <cellStyle name="20% - Accent3 4 6 3 3 3" xfId="30892" xr:uid="{00000000-0005-0000-0000-0000C7210000}"/>
    <cellStyle name="20% - Accent3 4 6 3 4" xfId="13941" xr:uid="{00000000-0005-0000-0000-0000C8210000}"/>
    <cellStyle name="20% - Accent3 4 6 3 4 2" xfId="36543" xr:uid="{00000000-0005-0000-0000-0000C9210000}"/>
    <cellStyle name="20% - Accent3 4 6 3 5" xfId="25242" xr:uid="{00000000-0005-0000-0000-0000CA210000}"/>
    <cellStyle name="20% - Accent3 4 6 4" xfId="4239" xr:uid="{00000000-0005-0000-0000-0000CB210000}"/>
    <cellStyle name="20% - Accent3 4 6 4 2" xfId="9889" xr:uid="{00000000-0005-0000-0000-0000CC210000}"/>
    <cellStyle name="20% - Accent3 4 6 4 2 2" xfId="21190" xr:uid="{00000000-0005-0000-0000-0000CD210000}"/>
    <cellStyle name="20% - Accent3 4 6 4 2 2 2" xfId="43792" xr:uid="{00000000-0005-0000-0000-0000CE210000}"/>
    <cellStyle name="20% - Accent3 4 6 4 2 3" xfId="32491" xr:uid="{00000000-0005-0000-0000-0000CF210000}"/>
    <cellStyle name="20% - Accent3 4 6 4 3" xfId="15540" xr:uid="{00000000-0005-0000-0000-0000D0210000}"/>
    <cellStyle name="20% - Accent3 4 6 4 3 2" xfId="38142" xr:uid="{00000000-0005-0000-0000-0000D1210000}"/>
    <cellStyle name="20% - Accent3 4 6 4 4" xfId="26841" xr:uid="{00000000-0005-0000-0000-0000D2210000}"/>
    <cellStyle name="20% - Accent3 4 6 5" xfId="7037" xr:uid="{00000000-0005-0000-0000-0000D3210000}"/>
    <cellStyle name="20% - Accent3 4 6 5 2" xfId="18338" xr:uid="{00000000-0005-0000-0000-0000D4210000}"/>
    <cellStyle name="20% - Accent3 4 6 5 2 2" xfId="40940" xr:uid="{00000000-0005-0000-0000-0000D5210000}"/>
    <cellStyle name="20% - Accent3 4 6 5 3" xfId="29639" xr:uid="{00000000-0005-0000-0000-0000D6210000}"/>
    <cellStyle name="20% - Accent3 4 6 6" xfId="12688" xr:uid="{00000000-0005-0000-0000-0000D7210000}"/>
    <cellStyle name="20% - Accent3 4 6 6 2" xfId="35290" xr:uid="{00000000-0005-0000-0000-0000D8210000}"/>
    <cellStyle name="20% - Accent3 4 6 7" xfId="23989" xr:uid="{00000000-0005-0000-0000-0000D9210000}"/>
    <cellStyle name="20% - Accent3 4 7" xfId="722" xr:uid="{00000000-0005-0000-0000-0000DA210000}"/>
    <cellStyle name="20% - Accent3 4 7 2" xfId="2819" xr:uid="{00000000-0005-0000-0000-0000DB210000}"/>
    <cellStyle name="20% - Accent3 4 7 2 2" xfId="5791" xr:uid="{00000000-0005-0000-0000-0000DC210000}"/>
    <cellStyle name="20% - Accent3 4 7 2 2 2" xfId="11441" xr:uid="{00000000-0005-0000-0000-0000DD210000}"/>
    <cellStyle name="20% - Accent3 4 7 2 2 2 2" xfId="22742" xr:uid="{00000000-0005-0000-0000-0000DE210000}"/>
    <cellStyle name="20% - Accent3 4 7 2 2 2 2 2" xfId="45344" xr:uid="{00000000-0005-0000-0000-0000DF210000}"/>
    <cellStyle name="20% - Accent3 4 7 2 2 2 3" xfId="34043" xr:uid="{00000000-0005-0000-0000-0000E0210000}"/>
    <cellStyle name="20% - Accent3 4 7 2 2 3" xfId="17092" xr:uid="{00000000-0005-0000-0000-0000E1210000}"/>
    <cellStyle name="20% - Accent3 4 7 2 2 3 2" xfId="39694" xr:uid="{00000000-0005-0000-0000-0000E2210000}"/>
    <cellStyle name="20% - Accent3 4 7 2 2 4" xfId="28393" xr:uid="{00000000-0005-0000-0000-0000E3210000}"/>
    <cellStyle name="20% - Accent3 4 7 2 3" xfId="8609" xr:uid="{00000000-0005-0000-0000-0000E4210000}"/>
    <cellStyle name="20% - Accent3 4 7 2 3 2" xfId="19910" xr:uid="{00000000-0005-0000-0000-0000E5210000}"/>
    <cellStyle name="20% - Accent3 4 7 2 3 2 2" xfId="42512" xr:uid="{00000000-0005-0000-0000-0000E6210000}"/>
    <cellStyle name="20% - Accent3 4 7 2 3 3" xfId="31211" xr:uid="{00000000-0005-0000-0000-0000E7210000}"/>
    <cellStyle name="20% - Accent3 4 7 2 4" xfId="14260" xr:uid="{00000000-0005-0000-0000-0000E8210000}"/>
    <cellStyle name="20% - Accent3 4 7 2 4 2" xfId="36862" xr:uid="{00000000-0005-0000-0000-0000E9210000}"/>
    <cellStyle name="20% - Accent3 4 7 2 5" xfId="25561" xr:uid="{00000000-0005-0000-0000-0000EA210000}"/>
    <cellStyle name="20% - Accent3 4 7 3" xfId="4557" xr:uid="{00000000-0005-0000-0000-0000EB210000}"/>
    <cellStyle name="20% - Accent3 4 7 3 2" xfId="10207" xr:uid="{00000000-0005-0000-0000-0000EC210000}"/>
    <cellStyle name="20% - Accent3 4 7 3 2 2" xfId="21508" xr:uid="{00000000-0005-0000-0000-0000ED210000}"/>
    <cellStyle name="20% - Accent3 4 7 3 2 2 2" xfId="44110" xr:uid="{00000000-0005-0000-0000-0000EE210000}"/>
    <cellStyle name="20% - Accent3 4 7 3 2 3" xfId="32809" xr:uid="{00000000-0005-0000-0000-0000EF210000}"/>
    <cellStyle name="20% - Accent3 4 7 3 3" xfId="15858" xr:uid="{00000000-0005-0000-0000-0000F0210000}"/>
    <cellStyle name="20% - Accent3 4 7 3 3 2" xfId="38460" xr:uid="{00000000-0005-0000-0000-0000F1210000}"/>
    <cellStyle name="20% - Accent3 4 7 3 4" xfId="27159" xr:uid="{00000000-0005-0000-0000-0000F2210000}"/>
    <cellStyle name="20% - Accent3 4 7 4" xfId="6739" xr:uid="{00000000-0005-0000-0000-0000F3210000}"/>
    <cellStyle name="20% - Accent3 4 7 4 2" xfId="18040" xr:uid="{00000000-0005-0000-0000-0000F4210000}"/>
    <cellStyle name="20% - Accent3 4 7 4 2 2" xfId="40642" xr:uid="{00000000-0005-0000-0000-0000F5210000}"/>
    <cellStyle name="20% - Accent3 4 7 4 3" xfId="29341" xr:uid="{00000000-0005-0000-0000-0000F6210000}"/>
    <cellStyle name="20% - Accent3 4 7 5" xfId="12390" xr:uid="{00000000-0005-0000-0000-0000F7210000}"/>
    <cellStyle name="20% - Accent3 4 7 5 2" xfId="34992" xr:uid="{00000000-0005-0000-0000-0000F8210000}"/>
    <cellStyle name="20% - Accent3 4 7 6" xfId="23691" xr:uid="{00000000-0005-0000-0000-0000F9210000}"/>
    <cellStyle name="20% - Accent3 4 8" xfId="1586" xr:uid="{00000000-0005-0000-0000-0000FA210000}"/>
    <cellStyle name="20% - Accent3 4 8 2" xfId="3557" xr:uid="{00000000-0005-0000-0000-0000FB210000}"/>
    <cellStyle name="20% - Accent3 4 8 2 2" xfId="9270" xr:uid="{00000000-0005-0000-0000-0000FC210000}"/>
    <cellStyle name="20% - Accent3 4 8 2 2 2" xfId="20571" xr:uid="{00000000-0005-0000-0000-0000FD210000}"/>
    <cellStyle name="20% - Accent3 4 8 2 2 2 2" xfId="43173" xr:uid="{00000000-0005-0000-0000-0000FE210000}"/>
    <cellStyle name="20% - Accent3 4 8 2 2 3" xfId="31872" xr:uid="{00000000-0005-0000-0000-0000FF210000}"/>
    <cellStyle name="20% - Accent3 4 8 2 3" xfId="14921" xr:uid="{00000000-0005-0000-0000-000000220000}"/>
    <cellStyle name="20% - Accent3 4 8 2 3 2" xfId="37523" xr:uid="{00000000-0005-0000-0000-000001220000}"/>
    <cellStyle name="20% - Accent3 4 8 2 4" xfId="26222" xr:uid="{00000000-0005-0000-0000-000002220000}"/>
    <cellStyle name="20% - Accent3 4 8 3" xfId="5167" xr:uid="{00000000-0005-0000-0000-000003220000}"/>
    <cellStyle name="20% - Accent3 4 8 3 2" xfId="10817" xr:uid="{00000000-0005-0000-0000-000004220000}"/>
    <cellStyle name="20% - Accent3 4 8 3 2 2" xfId="22118" xr:uid="{00000000-0005-0000-0000-000005220000}"/>
    <cellStyle name="20% - Accent3 4 8 3 2 2 2" xfId="44720" xr:uid="{00000000-0005-0000-0000-000006220000}"/>
    <cellStyle name="20% - Accent3 4 8 3 2 3" xfId="33419" xr:uid="{00000000-0005-0000-0000-000007220000}"/>
    <cellStyle name="20% - Accent3 4 8 3 3" xfId="16468" xr:uid="{00000000-0005-0000-0000-000008220000}"/>
    <cellStyle name="20% - Accent3 4 8 3 3 2" xfId="39070" xr:uid="{00000000-0005-0000-0000-000009220000}"/>
    <cellStyle name="20% - Accent3 4 8 3 4" xfId="27769" xr:uid="{00000000-0005-0000-0000-00000A220000}"/>
    <cellStyle name="20% - Accent3 4 8 4" xfId="7442" xr:uid="{00000000-0005-0000-0000-00000B220000}"/>
    <cellStyle name="20% - Accent3 4 8 4 2" xfId="18743" xr:uid="{00000000-0005-0000-0000-00000C220000}"/>
    <cellStyle name="20% - Accent3 4 8 4 2 2" xfId="41345" xr:uid="{00000000-0005-0000-0000-00000D220000}"/>
    <cellStyle name="20% - Accent3 4 8 4 3" xfId="30044" xr:uid="{00000000-0005-0000-0000-00000E220000}"/>
    <cellStyle name="20% - Accent3 4 8 5" xfId="13093" xr:uid="{00000000-0005-0000-0000-00000F220000}"/>
    <cellStyle name="20% - Accent3 4 8 5 2" xfId="35695" xr:uid="{00000000-0005-0000-0000-000010220000}"/>
    <cellStyle name="20% - Accent3 4 8 6" xfId="24394" xr:uid="{00000000-0005-0000-0000-000011220000}"/>
    <cellStyle name="20% - Accent3 4 9" xfId="2138" xr:uid="{00000000-0005-0000-0000-000012220000}"/>
    <cellStyle name="20% - Accent3 4 9 2" xfId="7981" xr:uid="{00000000-0005-0000-0000-000013220000}"/>
    <cellStyle name="20% - Accent3 4 9 2 2" xfId="19282" xr:uid="{00000000-0005-0000-0000-000014220000}"/>
    <cellStyle name="20% - Accent3 4 9 2 2 2" xfId="41884" xr:uid="{00000000-0005-0000-0000-000015220000}"/>
    <cellStyle name="20% - Accent3 4 9 2 3" xfId="30583" xr:uid="{00000000-0005-0000-0000-000016220000}"/>
    <cellStyle name="20% - Accent3 4 9 3" xfId="13632" xr:uid="{00000000-0005-0000-0000-000017220000}"/>
    <cellStyle name="20% - Accent3 4 9 3 2" xfId="36234" xr:uid="{00000000-0005-0000-0000-000018220000}"/>
    <cellStyle name="20% - Accent3 4 9 4" xfId="24933" xr:uid="{00000000-0005-0000-0000-000019220000}"/>
    <cellStyle name="20% - Accent3 5" xfId="210" xr:uid="{00000000-0005-0000-0000-00001A220000}"/>
    <cellStyle name="20% - Accent3 5 10" xfId="12075" xr:uid="{00000000-0005-0000-0000-00001B220000}"/>
    <cellStyle name="20% - Accent3 5 10 2" xfId="34677" xr:uid="{00000000-0005-0000-0000-00001C220000}"/>
    <cellStyle name="20% - Accent3 5 11" xfId="23376" xr:uid="{00000000-0005-0000-0000-00001D220000}"/>
    <cellStyle name="20% - Accent3 5 2" xfId="377" xr:uid="{00000000-0005-0000-0000-00001E220000}"/>
    <cellStyle name="20% - Accent3 5 2 10" xfId="23472" xr:uid="{00000000-0005-0000-0000-00001F220000}"/>
    <cellStyle name="20% - Accent3 5 2 2" xfId="622" xr:uid="{00000000-0005-0000-0000-000020220000}"/>
    <cellStyle name="20% - Accent3 5 2 2 2" xfId="1332" xr:uid="{00000000-0005-0000-0000-000021220000}"/>
    <cellStyle name="20% - Accent3 5 2 2 2 2" xfId="1603" xr:uid="{00000000-0005-0000-0000-000022220000}"/>
    <cellStyle name="20% - Accent3 5 2 2 2 2 2" xfId="3401" xr:uid="{00000000-0005-0000-0000-000023220000}"/>
    <cellStyle name="20% - Accent3 5 2 2 2 2 2 2" xfId="6373" xr:uid="{00000000-0005-0000-0000-000024220000}"/>
    <cellStyle name="20% - Accent3 5 2 2 2 2 2 2 2" xfId="12023" xr:uid="{00000000-0005-0000-0000-000025220000}"/>
    <cellStyle name="20% - Accent3 5 2 2 2 2 2 2 2 2" xfId="23324" xr:uid="{00000000-0005-0000-0000-000026220000}"/>
    <cellStyle name="20% - Accent3 5 2 2 2 2 2 2 2 2 2" xfId="45926" xr:uid="{00000000-0005-0000-0000-000027220000}"/>
    <cellStyle name="20% - Accent3 5 2 2 2 2 2 2 2 3" xfId="34625" xr:uid="{00000000-0005-0000-0000-000028220000}"/>
    <cellStyle name="20% - Accent3 5 2 2 2 2 2 2 3" xfId="17674" xr:uid="{00000000-0005-0000-0000-000029220000}"/>
    <cellStyle name="20% - Accent3 5 2 2 2 2 2 2 3 2" xfId="40276" xr:uid="{00000000-0005-0000-0000-00002A220000}"/>
    <cellStyle name="20% - Accent3 5 2 2 2 2 2 2 4" xfId="28975" xr:uid="{00000000-0005-0000-0000-00002B220000}"/>
    <cellStyle name="20% - Accent3 5 2 2 2 2 2 3" xfId="9191" xr:uid="{00000000-0005-0000-0000-00002C220000}"/>
    <cellStyle name="20% - Accent3 5 2 2 2 2 2 3 2" xfId="20492" xr:uid="{00000000-0005-0000-0000-00002D220000}"/>
    <cellStyle name="20% - Accent3 5 2 2 2 2 2 3 2 2" xfId="43094" xr:uid="{00000000-0005-0000-0000-00002E220000}"/>
    <cellStyle name="20% - Accent3 5 2 2 2 2 2 3 3" xfId="31793" xr:uid="{00000000-0005-0000-0000-00002F220000}"/>
    <cellStyle name="20% - Accent3 5 2 2 2 2 2 4" xfId="14842" xr:uid="{00000000-0005-0000-0000-000030220000}"/>
    <cellStyle name="20% - Accent3 5 2 2 2 2 2 4 2" xfId="37444" xr:uid="{00000000-0005-0000-0000-000031220000}"/>
    <cellStyle name="20% - Accent3 5 2 2 2 2 2 5" xfId="26143" xr:uid="{00000000-0005-0000-0000-000032220000}"/>
    <cellStyle name="20% - Accent3 5 2 2 2 2 3" xfId="5139" xr:uid="{00000000-0005-0000-0000-000033220000}"/>
    <cellStyle name="20% - Accent3 5 2 2 2 2 3 2" xfId="10789" xr:uid="{00000000-0005-0000-0000-000034220000}"/>
    <cellStyle name="20% - Accent3 5 2 2 2 2 3 2 2" xfId="22090" xr:uid="{00000000-0005-0000-0000-000035220000}"/>
    <cellStyle name="20% - Accent3 5 2 2 2 2 3 2 2 2" xfId="44692" xr:uid="{00000000-0005-0000-0000-000036220000}"/>
    <cellStyle name="20% - Accent3 5 2 2 2 2 3 2 3" xfId="33391" xr:uid="{00000000-0005-0000-0000-000037220000}"/>
    <cellStyle name="20% - Accent3 5 2 2 2 2 3 3" xfId="16440" xr:uid="{00000000-0005-0000-0000-000038220000}"/>
    <cellStyle name="20% - Accent3 5 2 2 2 2 3 3 2" xfId="39042" xr:uid="{00000000-0005-0000-0000-000039220000}"/>
    <cellStyle name="20% - Accent3 5 2 2 2 2 3 4" xfId="27741" xr:uid="{00000000-0005-0000-0000-00003A220000}"/>
    <cellStyle name="20% - Accent3 5 2 2 2 2 4" xfId="7459" xr:uid="{00000000-0005-0000-0000-00003B220000}"/>
    <cellStyle name="20% - Accent3 5 2 2 2 2 4 2" xfId="18760" xr:uid="{00000000-0005-0000-0000-00003C220000}"/>
    <cellStyle name="20% - Accent3 5 2 2 2 2 4 2 2" xfId="41362" xr:uid="{00000000-0005-0000-0000-00003D220000}"/>
    <cellStyle name="20% - Accent3 5 2 2 2 2 4 3" xfId="30061" xr:uid="{00000000-0005-0000-0000-00003E220000}"/>
    <cellStyle name="20% - Accent3 5 2 2 2 2 5" xfId="13110" xr:uid="{00000000-0005-0000-0000-00003F220000}"/>
    <cellStyle name="20% - Accent3 5 2 2 2 2 5 2" xfId="35712" xr:uid="{00000000-0005-0000-0000-000040220000}"/>
    <cellStyle name="20% - Accent3 5 2 2 2 2 6" xfId="24411" xr:uid="{00000000-0005-0000-0000-000041220000}"/>
    <cellStyle name="20% - Accent3 5 2 2 2 3" xfId="2730" xr:uid="{00000000-0005-0000-0000-000042220000}"/>
    <cellStyle name="20% - Accent3 5 2 2 2 3 2" xfId="5749" xr:uid="{00000000-0005-0000-0000-000043220000}"/>
    <cellStyle name="20% - Accent3 5 2 2 2 3 2 2" xfId="11399" xr:uid="{00000000-0005-0000-0000-000044220000}"/>
    <cellStyle name="20% - Accent3 5 2 2 2 3 2 2 2" xfId="22700" xr:uid="{00000000-0005-0000-0000-000045220000}"/>
    <cellStyle name="20% - Accent3 5 2 2 2 3 2 2 2 2" xfId="45302" xr:uid="{00000000-0005-0000-0000-000046220000}"/>
    <cellStyle name="20% - Accent3 5 2 2 2 3 2 2 3" xfId="34001" xr:uid="{00000000-0005-0000-0000-000047220000}"/>
    <cellStyle name="20% - Accent3 5 2 2 2 3 2 3" xfId="17050" xr:uid="{00000000-0005-0000-0000-000048220000}"/>
    <cellStyle name="20% - Accent3 5 2 2 2 3 2 3 2" xfId="39652" xr:uid="{00000000-0005-0000-0000-000049220000}"/>
    <cellStyle name="20% - Accent3 5 2 2 2 3 2 4" xfId="28351" xr:uid="{00000000-0005-0000-0000-00004A220000}"/>
    <cellStyle name="20% - Accent3 5 2 2 2 3 3" xfId="8566" xr:uid="{00000000-0005-0000-0000-00004B220000}"/>
    <cellStyle name="20% - Accent3 5 2 2 2 3 3 2" xfId="19867" xr:uid="{00000000-0005-0000-0000-00004C220000}"/>
    <cellStyle name="20% - Accent3 5 2 2 2 3 3 2 2" xfId="42469" xr:uid="{00000000-0005-0000-0000-00004D220000}"/>
    <cellStyle name="20% - Accent3 5 2 2 2 3 3 3" xfId="31168" xr:uid="{00000000-0005-0000-0000-00004E220000}"/>
    <cellStyle name="20% - Accent3 5 2 2 2 3 4" xfId="14217" xr:uid="{00000000-0005-0000-0000-00004F220000}"/>
    <cellStyle name="20% - Accent3 5 2 2 2 3 4 2" xfId="36819" xr:uid="{00000000-0005-0000-0000-000050220000}"/>
    <cellStyle name="20% - Accent3 5 2 2 2 3 5" xfId="25518" xr:uid="{00000000-0005-0000-0000-000051220000}"/>
    <cellStyle name="20% - Accent3 5 2 2 2 4" xfId="4515" xr:uid="{00000000-0005-0000-0000-000052220000}"/>
    <cellStyle name="20% - Accent3 5 2 2 2 4 2" xfId="10165" xr:uid="{00000000-0005-0000-0000-000053220000}"/>
    <cellStyle name="20% - Accent3 5 2 2 2 4 2 2" xfId="21466" xr:uid="{00000000-0005-0000-0000-000054220000}"/>
    <cellStyle name="20% - Accent3 5 2 2 2 4 2 2 2" xfId="44068" xr:uid="{00000000-0005-0000-0000-000055220000}"/>
    <cellStyle name="20% - Accent3 5 2 2 2 4 2 3" xfId="32767" xr:uid="{00000000-0005-0000-0000-000056220000}"/>
    <cellStyle name="20% - Accent3 5 2 2 2 4 3" xfId="15816" xr:uid="{00000000-0005-0000-0000-000057220000}"/>
    <cellStyle name="20% - Accent3 5 2 2 2 4 3 2" xfId="38418" xr:uid="{00000000-0005-0000-0000-000058220000}"/>
    <cellStyle name="20% - Accent3 5 2 2 2 4 4" xfId="27117" xr:uid="{00000000-0005-0000-0000-000059220000}"/>
    <cellStyle name="20% - Accent3 5 2 2 2 5" xfId="7311" xr:uid="{00000000-0005-0000-0000-00005A220000}"/>
    <cellStyle name="20% - Accent3 5 2 2 2 5 2" xfId="18612" xr:uid="{00000000-0005-0000-0000-00005B220000}"/>
    <cellStyle name="20% - Accent3 5 2 2 2 5 2 2" xfId="41214" xr:uid="{00000000-0005-0000-0000-00005C220000}"/>
    <cellStyle name="20% - Accent3 5 2 2 2 5 3" xfId="29913" xr:uid="{00000000-0005-0000-0000-00005D220000}"/>
    <cellStyle name="20% - Accent3 5 2 2 2 6" xfId="12962" xr:uid="{00000000-0005-0000-0000-00005E220000}"/>
    <cellStyle name="20% - Accent3 5 2 2 2 6 2" xfId="35564" xr:uid="{00000000-0005-0000-0000-00005F220000}"/>
    <cellStyle name="20% - Accent3 5 2 2 2 7" xfId="24263" xr:uid="{00000000-0005-0000-0000-000060220000}"/>
    <cellStyle name="20% - Accent3 5 2 2 3" xfId="1030" xr:uid="{00000000-0005-0000-0000-000061220000}"/>
    <cellStyle name="20% - Accent3 5 2 2 3 2" xfId="3093" xr:uid="{00000000-0005-0000-0000-000062220000}"/>
    <cellStyle name="20% - Accent3 5 2 2 3 2 2" xfId="6065" xr:uid="{00000000-0005-0000-0000-000063220000}"/>
    <cellStyle name="20% - Accent3 5 2 2 3 2 2 2" xfId="11715" xr:uid="{00000000-0005-0000-0000-000064220000}"/>
    <cellStyle name="20% - Accent3 5 2 2 3 2 2 2 2" xfId="23016" xr:uid="{00000000-0005-0000-0000-000065220000}"/>
    <cellStyle name="20% - Accent3 5 2 2 3 2 2 2 2 2" xfId="45618" xr:uid="{00000000-0005-0000-0000-000066220000}"/>
    <cellStyle name="20% - Accent3 5 2 2 3 2 2 2 3" xfId="34317" xr:uid="{00000000-0005-0000-0000-000067220000}"/>
    <cellStyle name="20% - Accent3 5 2 2 3 2 2 3" xfId="17366" xr:uid="{00000000-0005-0000-0000-000068220000}"/>
    <cellStyle name="20% - Accent3 5 2 2 3 2 2 3 2" xfId="39968" xr:uid="{00000000-0005-0000-0000-000069220000}"/>
    <cellStyle name="20% - Accent3 5 2 2 3 2 2 4" xfId="28667" xr:uid="{00000000-0005-0000-0000-00006A220000}"/>
    <cellStyle name="20% - Accent3 5 2 2 3 2 3" xfId="8883" xr:uid="{00000000-0005-0000-0000-00006B220000}"/>
    <cellStyle name="20% - Accent3 5 2 2 3 2 3 2" xfId="20184" xr:uid="{00000000-0005-0000-0000-00006C220000}"/>
    <cellStyle name="20% - Accent3 5 2 2 3 2 3 2 2" xfId="42786" xr:uid="{00000000-0005-0000-0000-00006D220000}"/>
    <cellStyle name="20% - Accent3 5 2 2 3 2 3 3" xfId="31485" xr:uid="{00000000-0005-0000-0000-00006E220000}"/>
    <cellStyle name="20% - Accent3 5 2 2 3 2 4" xfId="14534" xr:uid="{00000000-0005-0000-0000-00006F220000}"/>
    <cellStyle name="20% - Accent3 5 2 2 3 2 4 2" xfId="37136" xr:uid="{00000000-0005-0000-0000-000070220000}"/>
    <cellStyle name="20% - Accent3 5 2 2 3 2 5" xfId="25835" xr:uid="{00000000-0005-0000-0000-000071220000}"/>
    <cellStyle name="20% - Accent3 5 2 2 3 3" xfId="4831" xr:uid="{00000000-0005-0000-0000-000072220000}"/>
    <cellStyle name="20% - Accent3 5 2 2 3 3 2" xfId="10481" xr:uid="{00000000-0005-0000-0000-000073220000}"/>
    <cellStyle name="20% - Accent3 5 2 2 3 3 2 2" xfId="21782" xr:uid="{00000000-0005-0000-0000-000074220000}"/>
    <cellStyle name="20% - Accent3 5 2 2 3 3 2 2 2" xfId="44384" xr:uid="{00000000-0005-0000-0000-000075220000}"/>
    <cellStyle name="20% - Accent3 5 2 2 3 3 2 3" xfId="33083" xr:uid="{00000000-0005-0000-0000-000076220000}"/>
    <cellStyle name="20% - Accent3 5 2 2 3 3 3" xfId="16132" xr:uid="{00000000-0005-0000-0000-000077220000}"/>
    <cellStyle name="20% - Accent3 5 2 2 3 3 3 2" xfId="38734" xr:uid="{00000000-0005-0000-0000-000078220000}"/>
    <cellStyle name="20% - Accent3 5 2 2 3 3 4" xfId="27433" xr:uid="{00000000-0005-0000-0000-000079220000}"/>
    <cellStyle name="20% - Accent3 5 2 2 3 4" xfId="7018" xr:uid="{00000000-0005-0000-0000-00007A220000}"/>
    <cellStyle name="20% - Accent3 5 2 2 3 4 2" xfId="18319" xr:uid="{00000000-0005-0000-0000-00007B220000}"/>
    <cellStyle name="20% - Accent3 5 2 2 3 4 2 2" xfId="40921" xr:uid="{00000000-0005-0000-0000-00007C220000}"/>
    <cellStyle name="20% - Accent3 5 2 2 3 4 3" xfId="29620" xr:uid="{00000000-0005-0000-0000-00007D220000}"/>
    <cellStyle name="20% - Accent3 5 2 2 3 5" xfId="12669" xr:uid="{00000000-0005-0000-0000-00007E220000}"/>
    <cellStyle name="20% - Accent3 5 2 2 3 5 2" xfId="35271" xr:uid="{00000000-0005-0000-0000-00007F220000}"/>
    <cellStyle name="20% - Accent3 5 2 2 3 6" xfId="23970" xr:uid="{00000000-0005-0000-0000-000080220000}"/>
    <cellStyle name="20% - Accent3 5 2 2 4" xfId="1602" xr:uid="{00000000-0005-0000-0000-000081220000}"/>
    <cellStyle name="20% - Accent3 5 2 2 4 2" xfId="3566" xr:uid="{00000000-0005-0000-0000-000082220000}"/>
    <cellStyle name="20% - Accent3 5 2 2 4 2 2" xfId="9279" xr:uid="{00000000-0005-0000-0000-000083220000}"/>
    <cellStyle name="20% - Accent3 5 2 2 4 2 2 2" xfId="20580" xr:uid="{00000000-0005-0000-0000-000084220000}"/>
    <cellStyle name="20% - Accent3 5 2 2 4 2 2 2 2" xfId="43182" xr:uid="{00000000-0005-0000-0000-000085220000}"/>
    <cellStyle name="20% - Accent3 5 2 2 4 2 2 3" xfId="31881" xr:uid="{00000000-0005-0000-0000-000086220000}"/>
    <cellStyle name="20% - Accent3 5 2 2 4 2 3" xfId="14930" xr:uid="{00000000-0005-0000-0000-000087220000}"/>
    <cellStyle name="20% - Accent3 5 2 2 4 2 3 2" xfId="37532" xr:uid="{00000000-0005-0000-0000-000088220000}"/>
    <cellStyle name="20% - Accent3 5 2 2 4 2 4" xfId="26231" xr:uid="{00000000-0005-0000-0000-000089220000}"/>
    <cellStyle name="20% - Accent3 5 2 2 4 3" xfId="5441" xr:uid="{00000000-0005-0000-0000-00008A220000}"/>
    <cellStyle name="20% - Accent3 5 2 2 4 3 2" xfId="11091" xr:uid="{00000000-0005-0000-0000-00008B220000}"/>
    <cellStyle name="20% - Accent3 5 2 2 4 3 2 2" xfId="22392" xr:uid="{00000000-0005-0000-0000-00008C220000}"/>
    <cellStyle name="20% - Accent3 5 2 2 4 3 2 2 2" xfId="44994" xr:uid="{00000000-0005-0000-0000-00008D220000}"/>
    <cellStyle name="20% - Accent3 5 2 2 4 3 2 3" xfId="33693" xr:uid="{00000000-0005-0000-0000-00008E220000}"/>
    <cellStyle name="20% - Accent3 5 2 2 4 3 3" xfId="16742" xr:uid="{00000000-0005-0000-0000-00008F220000}"/>
    <cellStyle name="20% - Accent3 5 2 2 4 3 3 2" xfId="39344" xr:uid="{00000000-0005-0000-0000-000090220000}"/>
    <cellStyle name="20% - Accent3 5 2 2 4 3 4" xfId="28043" xr:uid="{00000000-0005-0000-0000-000091220000}"/>
    <cellStyle name="20% - Accent3 5 2 2 4 4" xfId="7458" xr:uid="{00000000-0005-0000-0000-000092220000}"/>
    <cellStyle name="20% - Accent3 5 2 2 4 4 2" xfId="18759" xr:uid="{00000000-0005-0000-0000-000093220000}"/>
    <cellStyle name="20% - Accent3 5 2 2 4 4 2 2" xfId="41361" xr:uid="{00000000-0005-0000-0000-000094220000}"/>
    <cellStyle name="20% - Accent3 5 2 2 4 4 3" xfId="30060" xr:uid="{00000000-0005-0000-0000-000095220000}"/>
    <cellStyle name="20% - Accent3 5 2 2 4 5" xfId="13109" xr:uid="{00000000-0005-0000-0000-000096220000}"/>
    <cellStyle name="20% - Accent3 5 2 2 4 5 2" xfId="35711" xr:uid="{00000000-0005-0000-0000-000097220000}"/>
    <cellStyle name="20% - Accent3 5 2 2 4 6" xfId="24410" xr:uid="{00000000-0005-0000-0000-000098220000}"/>
    <cellStyle name="20% - Accent3 5 2 2 5" xfId="2422" xr:uid="{00000000-0005-0000-0000-000099220000}"/>
    <cellStyle name="20% - Accent3 5 2 2 5 2" xfId="8258" xr:uid="{00000000-0005-0000-0000-00009A220000}"/>
    <cellStyle name="20% - Accent3 5 2 2 5 2 2" xfId="19559" xr:uid="{00000000-0005-0000-0000-00009B220000}"/>
    <cellStyle name="20% - Accent3 5 2 2 5 2 2 2" xfId="42161" xr:uid="{00000000-0005-0000-0000-00009C220000}"/>
    <cellStyle name="20% - Accent3 5 2 2 5 2 3" xfId="30860" xr:uid="{00000000-0005-0000-0000-00009D220000}"/>
    <cellStyle name="20% - Accent3 5 2 2 5 3" xfId="13909" xr:uid="{00000000-0005-0000-0000-00009E220000}"/>
    <cellStyle name="20% - Accent3 5 2 2 5 3 2" xfId="36511" xr:uid="{00000000-0005-0000-0000-00009F220000}"/>
    <cellStyle name="20% - Accent3 5 2 2 5 4" xfId="25210" xr:uid="{00000000-0005-0000-0000-0000A0220000}"/>
    <cellStyle name="20% - Accent3 5 2 2 6" xfId="4207" xr:uid="{00000000-0005-0000-0000-0000A1220000}"/>
    <cellStyle name="20% - Accent3 5 2 2 6 2" xfId="9857" xr:uid="{00000000-0005-0000-0000-0000A2220000}"/>
    <cellStyle name="20% - Accent3 5 2 2 6 2 2" xfId="21158" xr:uid="{00000000-0005-0000-0000-0000A3220000}"/>
    <cellStyle name="20% - Accent3 5 2 2 6 2 2 2" xfId="43760" xr:uid="{00000000-0005-0000-0000-0000A4220000}"/>
    <cellStyle name="20% - Accent3 5 2 2 6 2 3" xfId="32459" xr:uid="{00000000-0005-0000-0000-0000A5220000}"/>
    <cellStyle name="20% - Accent3 5 2 2 6 3" xfId="15508" xr:uid="{00000000-0005-0000-0000-0000A6220000}"/>
    <cellStyle name="20% - Accent3 5 2 2 6 3 2" xfId="38110" xr:uid="{00000000-0005-0000-0000-0000A7220000}"/>
    <cellStyle name="20% - Accent3 5 2 2 6 4" xfId="26809" xr:uid="{00000000-0005-0000-0000-0000A8220000}"/>
    <cellStyle name="20% - Accent3 5 2 2 7" xfId="6687" xr:uid="{00000000-0005-0000-0000-0000A9220000}"/>
    <cellStyle name="20% - Accent3 5 2 2 7 2" xfId="17988" xr:uid="{00000000-0005-0000-0000-0000AA220000}"/>
    <cellStyle name="20% - Accent3 5 2 2 7 2 2" xfId="40590" xr:uid="{00000000-0005-0000-0000-0000AB220000}"/>
    <cellStyle name="20% - Accent3 5 2 2 7 3" xfId="29289" xr:uid="{00000000-0005-0000-0000-0000AC220000}"/>
    <cellStyle name="20% - Accent3 5 2 2 8" xfId="12338" xr:uid="{00000000-0005-0000-0000-0000AD220000}"/>
    <cellStyle name="20% - Accent3 5 2 2 8 2" xfId="34940" xr:uid="{00000000-0005-0000-0000-0000AE220000}"/>
    <cellStyle name="20% - Accent3 5 2 2 9" xfId="23639" xr:uid="{00000000-0005-0000-0000-0000AF220000}"/>
    <cellStyle name="20% - Accent3 5 2 3" xfId="1194" xr:uid="{00000000-0005-0000-0000-0000B0220000}"/>
    <cellStyle name="20% - Accent3 5 2 3 2" xfId="1604" xr:uid="{00000000-0005-0000-0000-0000B1220000}"/>
    <cellStyle name="20% - Accent3 5 2 3 2 2" xfId="3262" xr:uid="{00000000-0005-0000-0000-0000B2220000}"/>
    <cellStyle name="20% - Accent3 5 2 3 2 2 2" xfId="6234" xr:uid="{00000000-0005-0000-0000-0000B3220000}"/>
    <cellStyle name="20% - Accent3 5 2 3 2 2 2 2" xfId="11884" xr:uid="{00000000-0005-0000-0000-0000B4220000}"/>
    <cellStyle name="20% - Accent3 5 2 3 2 2 2 2 2" xfId="23185" xr:uid="{00000000-0005-0000-0000-0000B5220000}"/>
    <cellStyle name="20% - Accent3 5 2 3 2 2 2 2 2 2" xfId="45787" xr:uid="{00000000-0005-0000-0000-0000B6220000}"/>
    <cellStyle name="20% - Accent3 5 2 3 2 2 2 2 3" xfId="34486" xr:uid="{00000000-0005-0000-0000-0000B7220000}"/>
    <cellStyle name="20% - Accent3 5 2 3 2 2 2 3" xfId="17535" xr:uid="{00000000-0005-0000-0000-0000B8220000}"/>
    <cellStyle name="20% - Accent3 5 2 3 2 2 2 3 2" xfId="40137" xr:uid="{00000000-0005-0000-0000-0000B9220000}"/>
    <cellStyle name="20% - Accent3 5 2 3 2 2 2 4" xfId="28836" xr:uid="{00000000-0005-0000-0000-0000BA220000}"/>
    <cellStyle name="20% - Accent3 5 2 3 2 2 3" xfId="9052" xr:uid="{00000000-0005-0000-0000-0000BB220000}"/>
    <cellStyle name="20% - Accent3 5 2 3 2 2 3 2" xfId="20353" xr:uid="{00000000-0005-0000-0000-0000BC220000}"/>
    <cellStyle name="20% - Accent3 5 2 3 2 2 3 2 2" xfId="42955" xr:uid="{00000000-0005-0000-0000-0000BD220000}"/>
    <cellStyle name="20% - Accent3 5 2 3 2 2 3 3" xfId="31654" xr:uid="{00000000-0005-0000-0000-0000BE220000}"/>
    <cellStyle name="20% - Accent3 5 2 3 2 2 4" xfId="14703" xr:uid="{00000000-0005-0000-0000-0000BF220000}"/>
    <cellStyle name="20% - Accent3 5 2 3 2 2 4 2" xfId="37305" xr:uid="{00000000-0005-0000-0000-0000C0220000}"/>
    <cellStyle name="20% - Accent3 5 2 3 2 2 5" xfId="26004" xr:uid="{00000000-0005-0000-0000-0000C1220000}"/>
    <cellStyle name="20% - Accent3 5 2 3 2 3" xfId="5000" xr:uid="{00000000-0005-0000-0000-0000C2220000}"/>
    <cellStyle name="20% - Accent3 5 2 3 2 3 2" xfId="10650" xr:uid="{00000000-0005-0000-0000-0000C3220000}"/>
    <cellStyle name="20% - Accent3 5 2 3 2 3 2 2" xfId="21951" xr:uid="{00000000-0005-0000-0000-0000C4220000}"/>
    <cellStyle name="20% - Accent3 5 2 3 2 3 2 2 2" xfId="44553" xr:uid="{00000000-0005-0000-0000-0000C5220000}"/>
    <cellStyle name="20% - Accent3 5 2 3 2 3 2 3" xfId="33252" xr:uid="{00000000-0005-0000-0000-0000C6220000}"/>
    <cellStyle name="20% - Accent3 5 2 3 2 3 3" xfId="16301" xr:uid="{00000000-0005-0000-0000-0000C7220000}"/>
    <cellStyle name="20% - Accent3 5 2 3 2 3 3 2" xfId="38903" xr:uid="{00000000-0005-0000-0000-0000C8220000}"/>
    <cellStyle name="20% - Accent3 5 2 3 2 3 4" xfId="27602" xr:uid="{00000000-0005-0000-0000-0000C9220000}"/>
    <cellStyle name="20% - Accent3 5 2 3 2 4" xfId="7460" xr:uid="{00000000-0005-0000-0000-0000CA220000}"/>
    <cellStyle name="20% - Accent3 5 2 3 2 4 2" xfId="18761" xr:uid="{00000000-0005-0000-0000-0000CB220000}"/>
    <cellStyle name="20% - Accent3 5 2 3 2 4 2 2" xfId="41363" xr:uid="{00000000-0005-0000-0000-0000CC220000}"/>
    <cellStyle name="20% - Accent3 5 2 3 2 4 3" xfId="30062" xr:uid="{00000000-0005-0000-0000-0000CD220000}"/>
    <cellStyle name="20% - Accent3 5 2 3 2 5" xfId="13111" xr:uid="{00000000-0005-0000-0000-0000CE220000}"/>
    <cellStyle name="20% - Accent3 5 2 3 2 5 2" xfId="35713" xr:uid="{00000000-0005-0000-0000-0000CF220000}"/>
    <cellStyle name="20% - Accent3 5 2 3 2 6" xfId="24412" xr:uid="{00000000-0005-0000-0000-0000D0220000}"/>
    <cellStyle name="20% - Accent3 5 2 3 3" xfId="2591" xr:uid="{00000000-0005-0000-0000-0000D1220000}"/>
    <cellStyle name="20% - Accent3 5 2 3 3 2" xfId="5610" xr:uid="{00000000-0005-0000-0000-0000D2220000}"/>
    <cellStyle name="20% - Accent3 5 2 3 3 2 2" xfId="11260" xr:uid="{00000000-0005-0000-0000-0000D3220000}"/>
    <cellStyle name="20% - Accent3 5 2 3 3 2 2 2" xfId="22561" xr:uid="{00000000-0005-0000-0000-0000D4220000}"/>
    <cellStyle name="20% - Accent3 5 2 3 3 2 2 2 2" xfId="45163" xr:uid="{00000000-0005-0000-0000-0000D5220000}"/>
    <cellStyle name="20% - Accent3 5 2 3 3 2 2 3" xfId="33862" xr:uid="{00000000-0005-0000-0000-0000D6220000}"/>
    <cellStyle name="20% - Accent3 5 2 3 3 2 3" xfId="16911" xr:uid="{00000000-0005-0000-0000-0000D7220000}"/>
    <cellStyle name="20% - Accent3 5 2 3 3 2 3 2" xfId="39513" xr:uid="{00000000-0005-0000-0000-0000D8220000}"/>
    <cellStyle name="20% - Accent3 5 2 3 3 2 4" xfId="28212" xr:uid="{00000000-0005-0000-0000-0000D9220000}"/>
    <cellStyle name="20% - Accent3 5 2 3 3 3" xfId="8427" xr:uid="{00000000-0005-0000-0000-0000DA220000}"/>
    <cellStyle name="20% - Accent3 5 2 3 3 3 2" xfId="19728" xr:uid="{00000000-0005-0000-0000-0000DB220000}"/>
    <cellStyle name="20% - Accent3 5 2 3 3 3 2 2" xfId="42330" xr:uid="{00000000-0005-0000-0000-0000DC220000}"/>
    <cellStyle name="20% - Accent3 5 2 3 3 3 3" xfId="31029" xr:uid="{00000000-0005-0000-0000-0000DD220000}"/>
    <cellStyle name="20% - Accent3 5 2 3 3 4" xfId="14078" xr:uid="{00000000-0005-0000-0000-0000DE220000}"/>
    <cellStyle name="20% - Accent3 5 2 3 3 4 2" xfId="36680" xr:uid="{00000000-0005-0000-0000-0000DF220000}"/>
    <cellStyle name="20% - Accent3 5 2 3 3 5" xfId="25379" xr:uid="{00000000-0005-0000-0000-0000E0220000}"/>
    <cellStyle name="20% - Accent3 5 2 3 4" xfId="4376" xr:uid="{00000000-0005-0000-0000-0000E1220000}"/>
    <cellStyle name="20% - Accent3 5 2 3 4 2" xfId="10026" xr:uid="{00000000-0005-0000-0000-0000E2220000}"/>
    <cellStyle name="20% - Accent3 5 2 3 4 2 2" xfId="21327" xr:uid="{00000000-0005-0000-0000-0000E3220000}"/>
    <cellStyle name="20% - Accent3 5 2 3 4 2 2 2" xfId="43929" xr:uid="{00000000-0005-0000-0000-0000E4220000}"/>
    <cellStyle name="20% - Accent3 5 2 3 4 2 3" xfId="32628" xr:uid="{00000000-0005-0000-0000-0000E5220000}"/>
    <cellStyle name="20% - Accent3 5 2 3 4 3" xfId="15677" xr:uid="{00000000-0005-0000-0000-0000E6220000}"/>
    <cellStyle name="20% - Accent3 5 2 3 4 3 2" xfId="38279" xr:uid="{00000000-0005-0000-0000-0000E7220000}"/>
    <cellStyle name="20% - Accent3 5 2 3 4 4" xfId="26978" xr:uid="{00000000-0005-0000-0000-0000E8220000}"/>
    <cellStyle name="20% - Accent3 5 2 3 5" xfId="7173" xr:uid="{00000000-0005-0000-0000-0000E9220000}"/>
    <cellStyle name="20% - Accent3 5 2 3 5 2" xfId="18474" xr:uid="{00000000-0005-0000-0000-0000EA220000}"/>
    <cellStyle name="20% - Accent3 5 2 3 5 2 2" xfId="41076" xr:uid="{00000000-0005-0000-0000-0000EB220000}"/>
    <cellStyle name="20% - Accent3 5 2 3 5 3" xfId="29775" xr:uid="{00000000-0005-0000-0000-0000EC220000}"/>
    <cellStyle name="20% - Accent3 5 2 3 6" xfId="12824" xr:uid="{00000000-0005-0000-0000-0000ED220000}"/>
    <cellStyle name="20% - Accent3 5 2 3 6 2" xfId="35426" xr:uid="{00000000-0005-0000-0000-0000EE220000}"/>
    <cellStyle name="20% - Accent3 5 2 3 7" xfId="24125" xr:uid="{00000000-0005-0000-0000-0000EF220000}"/>
    <cellStyle name="20% - Accent3 5 2 4" xfId="885" xr:uid="{00000000-0005-0000-0000-0000F0220000}"/>
    <cellStyle name="20% - Accent3 5 2 4 2" xfId="2955" xr:uid="{00000000-0005-0000-0000-0000F1220000}"/>
    <cellStyle name="20% - Accent3 5 2 4 2 2" xfId="5927" xr:uid="{00000000-0005-0000-0000-0000F2220000}"/>
    <cellStyle name="20% - Accent3 5 2 4 2 2 2" xfId="11577" xr:uid="{00000000-0005-0000-0000-0000F3220000}"/>
    <cellStyle name="20% - Accent3 5 2 4 2 2 2 2" xfId="22878" xr:uid="{00000000-0005-0000-0000-0000F4220000}"/>
    <cellStyle name="20% - Accent3 5 2 4 2 2 2 2 2" xfId="45480" xr:uid="{00000000-0005-0000-0000-0000F5220000}"/>
    <cellStyle name="20% - Accent3 5 2 4 2 2 2 3" xfId="34179" xr:uid="{00000000-0005-0000-0000-0000F6220000}"/>
    <cellStyle name="20% - Accent3 5 2 4 2 2 3" xfId="17228" xr:uid="{00000000-0005-0000-0000-0000F7220000}"/>
    <cellStyle name="20% - Accent3 5 2 4 2 2 3 2" xfId="39830" xr:uid="{00000000-0005-0000-0000-0000F8220000}"/>
    <cellStyle name="20% - Accent3 5 2 4 2 2 4" xfId="28529" xr:uid="{00000000-0005-0000-0000-0000F9220000}"/>
    <cellStyle name="20% - Accent3 5 2 4 2 3" xfId="8745" xr:uid="{00000000-0005-0000-0000-0000FA220000}"/>
    <cellStyle name="20% - Accent3 5 2 4 2 3 2" xfId="20046" xr:uid="{00000000-0005-0000-0000-0000FB220000}"/>
    <cellStyle name="20% - Accent3 5 2 4 2 3 2 2" xfId="42648" xr:uid="{00000000-0005-0000-0000-0000FC220000}"/>
    <cellStyle name="20% - Accent3 5 2 4 2 3 3" xfId="31347" xr:uid="{00000000-0005-0000-0000-0000FD220000}"/>
    <cellStyle name="20% - Accent3 5 2 4 2 4" xfId="14396" xr:uid="{00000000-0005-0000-0000-0000FE220000}"/>
    <cellStyle name="20% - Accent3 5 2 4 2 4 2" xfId="36998" xr:uid="{00000000-0005-0000-0000-0000FF220000}"/>
    <cellStyle name="20% - Accent3 5 2 4 2 5" xfId="25697" xr:uid="{00000000-0005-0000-0000-000000230000}"/>
    <cellStyle name="20% - Accent3 5 2 4 3" xfId="4693" xr:uid="{00000000-0005-0000-0000-000001230000}"/>
    <cellStyle name="20% - Accent3 5 2 4 3 2" xfId="10343" xr:uid="{00000000-0005-0000-0000-000002230000}"/>
    <cellStyle name="20% - Accent3 5 2 4 3 2 2" xfId="21644" xr:uid="{00000000-0005-0000-0000-000003230000}"/>
    <cellStyle name="20% - Accent3 5 2 4 3 2 2 2" xfId="44246" xr:uid="{00000000-0005-0000-0000-000004230000}"/>
    <cellStyle name="20% - Accent3 5 2 4 3 2 3" xfId="32945" xr:uid="{00000000-0005-0000-0000-000005230000}"/>
    <cellStyle name="20% - Accent3 5 2 4 3 3" xfId="15994" xr:uid="{00000000-0005-0000-0000-000006230000}"/>
    <cellStyle name="20% - Accent3 5 2 4 3 3 2" xfId="38596" xr:uid="{00000000-0005-0000-0000-000007230000}"/>
    <cellStyle name="20% - Accent3 5 2 4 3 4" xfId="27295" xr:uid="{00000000-0005-0000-0000-000008230000}"/>
    <cellStyle name="20% - Accent3 5 2 4 4" xfId="6880" xr:uid="{00000000-0005-0000-0000-000009230000}"/>
    <cellStyle name="20% - Accent3 5 2 4 4 2" xfId="18181" xr:uid="{00000000-0005-0000-0000-00000A230000}"/>
    <cellStyle name="20% - Accent3 5 2 4 4 2 2" xfId="40783" xr:uid="{00000000-0005-0000-0000-00000B230000}"/>
    <cellStyle name="20% - Accent3 5 2 4 4 3" xfId="29482" xr:uid="{00000000-0005-0000-0000-00000C230000}"/>
    <cellStyle name="20% - Accent3 5 2 4 5" xfId="12531" xr:uid="{00000000-0005-0000-0000-00000D230000}"/>
    <cellStyle name="20% - Accent3 5 2 4 5 2" xfId="35133" xr:uid="{00000000-0005-0000-0000-00000E230000}"/>
    <cellStyle name="20% - Accent3 5 2 4 6" xfId="23832" xr:uid="{00000000-0005-0000-0000-00000F230000}"/>
    <cellStyle name="20% - Accent3 5 2 5" xfId="1601" xr:uid="{00000000-0005-0000-0000-000010230000}"/>
    <cellStyle name="20% - Accent3 5 2 5 2" xfId="3565" xr:uid="{00000000-0005-0000-0000-000011230000}"/>
    <cellStyle name="20% - Accent3 5 2 5 2 2" xfId="9278" xr:uid="{00000000-0005-0000-0000-000012230000}"/>
    <cellStyle name="20% - Accent3 5 2 5 2 2 2" xfId="20579" xr:uid="{00000000-0005-0000-0000-000013230000}"/>
    <cellStyle name="20% - Accent3 5 2 5 2 2 2 2" xfId="43181" xr:uid="{00000000-0005-0000-0000-000014230000}"/>
    <cellStyle name="20% - Accent3 5 2 5 2 2 3" xfId="31880" xr:uid="{00000000-0005-0000-0000-000015230000}"/>
    <cellStyle name="20% - Accent3 5 2 5 2 3" xfId="14929" xr:uid="{00000000-0005-0000-0000-000016230000}"/>
    <cellStyle name="20% - Accent3 5 2 5 2 3 2" xfId="37531" xr:uid="{00000000-0005-0000-0000-000017230000}"/>
    <cellStyle name="20% - Accent3 5 2 5 2 4" xfId="26230" xr:uid="{00000000-0005-0000-0000-000018230000}"/>
    <cellStyle name="20% - Accent3 5 2 5 3" xfId="5303" xr:uid="{00000000-0005-0000-0000-000019230000}"/>
    <cellStyle name="20% - Accent3 5 2 5 3 2" xfId="10953" xr:uid="{00000000-0005-0000-0000-00001A230000}"/>
    <cellStyle name="20% - Accent3 5 2 5 3 2 2" xfId="22254" xr:uid="{00000000-0005-0000-0000-00001B230000}"/>
    <cellStyle name="20% - Accent3 5 2 5 3 2 2 2" xfId="44856" xr:uid="{00000000-0005-0000-0000-00001C230000}"/>
    <cellStyle name="20% - Accent3 5 2 5 3 2 3" xfId="33555" xr:uid="{00000000-0005-0000-0000-00001D230000}"/>
    <cellStyle name="20% - Accent3 5 2 5 3 3" xfId="16604" xr:uid="{00000000-0005-0000-0000-00001E230000}"/>
    <cellStyle name="20% - Accent3 5 2 5 3 3 2" xfId="39206" xr:uid="{00000000-0005-0000-0000-00001F230000}"/>
    <cellStyle name="20% - Accent3 5 2 5 3 4" xfId="27905" xr:uid="{00000000-0005-0000-0000-000020230000}"/>
    <cellStyle name="20% - Accent3 5 2 5 4" xfId="7457" xr:uid="{00000000-0005-0000-0000-000021230000}"/>
    <cellStyle name="20% - Accent3 5 2 5 4 2" xfId="18758" xr:uid="{00000000-0005-0000-0000-000022230000}"/>
    <cellStyle name="20% - Accent3 5 2 5 4 2 2" xfId="41360" xr:uid="{00000000-0005-0000-0000-000023230000}"/>
    <cellStyle name="20% - Accent3 5 2 5 4 3" xfId="30059" xr:uid="{00000000-0005-0000-0000-000024230000}"/>
    <cellStyle name="20% - Accent3 5 2 5 5" xfId="13108" xr:uid="{00000000-0005-0000-0000-000025230000}"/>
    <cellStyle name="20% - Accent3 5 2 5 5 2" xfId="35710" xr:uid="{00000000-0005-0000-0000-000026230000}"/>
    <cellStyle name="20% - Accent3 5 2 5 6" xfId="24409" xr:uid="{00000000-0005-0000-0000-000027230000}"/>
    <cellStyle name="20% - Accent3 5 2 6" xfId="2282" xr:uid="{00000000-0005-0000-0000-000028230000}"/>
    <cellStyle name="20% - Accent3 5 2 6 2" xfId="8118" xr:uid="{00000000-0005-0000-0000-000029230000}"/>
    <cellStyle name="20% - Accent3 5 2 6 2 2" xfId="19419" xr:uid="{00000000-0005-0000-0000-00002A230000}"/>
    <cellStyle name="20% - Accent3 5 2 6 2 2 2" xfId="42021" xr:uid="{00000000-0005-0000-0000-00002B230000}"/>
    <cellStyle name="20% - Accent3 5 2 6 2 3" xfId="30720" xr:uid="{00000000-0005-0000-0000-00002C230000}"/>
    <cellStyle name="20% - Accent3 5 2 6 3" xfId="13769" xr:uid="{00000000-0005-0000-0000-00002D230000}"/>
    <cellStyle name="20% - Accent3 5 2 6 3 2" xfId="36371" xr:uid="{00000000-0005-0000-0000-00002E230000}"/>
    <cellStyle name="20% - Accent3 5 2 6 4" xfId="25070" xr:uid="{00000000-0005-0000-0000-00002F230000}"/>
    <cellStyle name="20% - Accent3 5 2 7" xfId="4069" xr:uid="{00000000-0005-0000-0000-000030230000}"/>
    <cellStyle name="20% - Accent3 5 2 7 2" xfId="9719" xr:uid="{00000000-0005-0000-0000-000031230000}"/>
    <cellStyle name="20% - Accent3 5 2 7 2 2" xfId="21020" xr:uid="{00000000-0005-0000-0000-000032230000}"/>
    <cellStyle name="20% - Accent3 5 2 7 2 2 2" xfId="43622" xr:uid="{00000000-0005-0000-0000-000033230000}"/>
    <cellStyle name="20% - Accent3 5 2 7 2 3" xfId="32321" xr:uid="{00000000-0005-0000-0000-000034230000}"/>
    <cellStyle name="20% - Accent3 5 2 7 3" xfId="15370" xr:uid="{00000000-0005-0000-0000-000035230000}"/>
    <cellStyle name="20% - Accent3 5 2 7 3 2" xfId="37972" xr:uid="{00000000-0005-0000-0000-000036230000}"/>
    <cellStyle name="20% - Accent3 5 2 7 4" xfId="26671" xr:uid="{00000000-0005-0000-0000-000037230000}"/>
    <cellStyle name="20% - Accent3 5 2 8" xfId="6520" xr:uid="{00000000-0005-0000-0000-000038230000}"/>
    <cellStyle name="20% - Accent3 5 2 8 2" xfId="17821" xr:uid="{00000000-0005-0000-0000-000039230000}"/>
    <cellStyle name="20% - Accent3 5 2 8 2 2" xfId="40423" xr:uid="{00000000-0005-0000-0000-00003A230000}"/>
    <cellStyle name="20% - Accent3 5 2 8 3" xfId="29122" xr:uid="{00000000-0005-0000-0000-00003B230000}"/>
    <cellStyle name="20% - Accent3 5 2 9" xfId="12171" xr:uid="{00000000-0005-0000-0000-00003C230000}"/>
    <cellStyle name="20% - Accent3 5 2 9 2" xfId="34773" xr:uid="{00000000-0005-0000-0000-00003D230000}"/>
    <cellStyle name="20% - Accent3 5 3" xfId="525" xr:uid="{00000000-0005-0000-0000-00003E230000}"/>
    <cellStyle name="20% - Accent3 5 3 2" xfId="1238" xr:uid="{00000000-0005-0000-0000-00003F230000}"/>
    <cellStyle name="20% - Accent3 5 3 2 2" xfId="1606" xr:uid="{00000000-0005-0000-0000-000040230000}"/>
    <cellStyle name="20% - Accent3 5 3 2 2 2" xfId="3307" xr:uid="{00000000-0005-0000-0000-000041230000}"/>
    <cellStyle name="20% - Accent3 5 3 2 2 2 2" xfId="6279" xr:uid="{00000000-0005-0000-0000-000042230000}"/>
    <cellStyle name="20% - Accent3 5 3 2 2 2 2 2" xfId="11929" xr:uid="{00000000-0005-0000-0000-000043230000}"/>
    <cellStyle name="20% - Accent3 5 3 2 2 2 2 2 2" xfId="23230" xr:uid="{00000000-0005-0000-0000-000044230000}"/>
    <cellStyle name="20% - Accent3 5 3 2 2 2 2 2 2 2" xfId="45832" xr:uid="{00000000-0005-0000-0000-000045230000}"/>
    <cellStyle name="20% - Accent3 5 3 2 2 2 2 2 3" xfId="34531" xr:uid="{00000000-0005-0000-0000-000046230000}"/>
    <cellStyle name="20% - Accent3 5 3 2 2 2 2 3" xfId="17580" xr:uid="{00000000-0005-0000-0000-000047230000}"/>
    <cellStyle name="20% - Accent3 5 3 2 2 2 2 3 2" xfId="40182" xr:uid="{00000000-0005-0000-0000-000048230000}"/>
    <cellStyle name="20% - Accent3 5 3 2 2 2 2 4" xfId="28881" xr:uid="{00000000-0005-0000-0000-000049230000}"/>
    <cellStyle name="20% - Accent3 5 3 2 2 2 3" xfId="9097" xr:uid="{00000000-0005-0000-0000-00004A230000}"/>
    <cellStyle name="20% - Accent3 5 3 2 2 2 3 2" xfId="20398" xr:uid="{00000000-0005-0000-0000-00004B230000}"/>
    <cellStyle name="20% - Accent3 5 3 2 2 2 3 2 2" xfId="43000" xr:uid="{00000000-0005-0000-0000-00004C230000}"/>
    <cellStyle name="20% - Accent3 5 3 2 2 2 3 3" xfId="31699" xr:uid="{00000000-0005-0000-0000-00004D230000}"/>
    <cellStyle name="20% - Accent3 5 3 2 2 2 4" xfId="14748" xr:uid="{00000000-0005-0000-0000-00004E230000}"/>
    <cellStyle name="20% - Accent3 5 3 2 2 2 4 2" xfId="37350" xr:uid="{00000000-0005-0000-0000-00004F230000}"/>
    <cellStyle name="20% - Accent3 5 3 2 2 2 5" xfId="26049" xr:uid="{00000000-0005-0000-0000-000050230000}"/>
    <cellStyle name="20% - Accent3 5 3 2 2 3" xfId="5045" xr:uid="{00000000-0005-0000-0000-000051230000}"/>
    <cellStyle name="20% - Accent3 5 3 2 2 3 2" xfId="10695" xr:uid="{00000000-0005-0000-0000-000052230000}"/>
    <cellStyle name="20% - Accent3 5 3 2 2 3 2 2" xfId="21996" xr:uid="{00000000-0005-0000-0000-000053230000}"/>
    <cellStyle name="20% - Accent3 5 3 2 2 3 2 2 2" xfId="44598" xr:uid="{00000000-0005-0000-0000-000054230000}"/>
    <cellStyle name="20% - Accent3 5 3 2 2 3 2 3" xfId="33297" xr:uid="{00000000-0005-0000-0000-000055230000}"/>
    <cellStyle name="20% - Accent3 5 3 2 2 3 3" xfId="16346" xr:uid="{00000000-0005-0000-0000-000056230000}"/>
    <cellStyle name="20% - Accent3 5 3 2 2 3 3 2" xfId="38948" xr:uid="{00000000-0005-0000-0000-000057230000}"/>
    <cellStyle name="20% - Accent3 5 3 2 2 3 4" xfId="27647" xr:uid="{00000000-0005-0000-0000-000058230000}"/>
    <cellStyle name="20% - Accent3 5 3 2 2 4" xfId="7462" xr:uid="{00000000-0005-0000-0000-000059230000}"/>
    <cellStyle name="20% - Accent3 5 3 2 2 4 2" xfId="18763" xr:uid="{00000000-0005-0000-0000-00005A230000}"/>
    <cellStyle name="20% - Accent3 5 3 2 2 4 2 2" xfId="41365" xr:uid="{00000000-0005-0000-0000-00005B230000}"/>
    <cellStyle name="20% - Accent3 5 3 2 2 4 3" xfId="30064" xr:uid="{00000000-0005-0000-0000-00005C230000}"/>
    <cellStyle name="20% - Accent3 5 3 2 2 5" xfId="13113" xr:uid="{00000000-0005-0000-0000-00005D230000}"/>
    <cellStyle name="20% - Accent3 5 3 2 2 5 2" xfId="35715" xr:uid="{00000000-0005-0000-0000-00005E230000}"/>
    <cellStyle name="20% - Accent3 5 3 2 2 6" xfId="24414" xr:uid="{00000000-0005-0000-0000-00005F230000}"/>
    <cellStyle name="20% - Accent3 5 3 2 3" xfId="2636" xr:uid="{00000000-0005-0000-0000-000060230000}"/>
    <cellStyle name="20% - Accent3 5 3 2 3 2" xfId="5655" xr:uid="{00000000-0005-0000-0000-000061230000}"/>
    <cellStyle name="20% - Accent3 5 3 2 3 2 2" xfId="11305" xr:uid="{00000000-0005-0000-0000-000062230000}"/>
    <cellStyle name="20% - Accent3 5 3 2 3 2 2 2" xfId="22606" xr:uid="{00000000-0005-0000-0000-000063230000}"/>
    <cellStyle name="20% - Accent3 5 3 2 3 2 2 2 2" xfId="45208" xr:uid="{00000000-0005-0000-0000-000064230000}"/>
    <cellStyle name="20% - Accent3 5 3 2 3 2 2 3" xfId="33907" xr:uid="{00000000-0005-0000-0000-000065230000}"/>
    <cellStyle name="20% - Accent3 5 3 2 3 2 3" xfId="16956" xr:uid="{00000000-0005-0000-0000-000066230000}"/>
    <cellStyle name="20% - Accent3 5 3 2 3 2 3 2" xfId="39558" xr:uid="{00000000-0005-0000-0000-000067230000}"/>
    <cellStyle name="20% - Accent3 5 3 2 3 2 4" xfId="28257" xr:uid="{00000000-0005-0000-0000-000068230000}"/>
    <cellStyle name="20% - Accent3 5 3 2 3 3" xfId="8472" xr:uid="{00000000-0005-0000-0000-000069230000}"/>
    <cellStyle name="20% - Accent3 5 3 2 3 3 2" xfId="19773" xr:uid="{00000000-0005-0000-0000-00006A230000}"/>
    <cellStyle name="20% - Accent3 5 3 2 3 3 2 2" xfId="42375" xr:uid="{00000000-0005-0000-0000-00006B230000}"/>
    <cellStyle name="20% - Accent3 5 3 2 3 3 3" xfId="31074" xr:uid="{00000000-0005-0000-0000-00006C230000}"/>
    <cellStyle name="20% - Accent3 5 3 2 3 4" xfId="14123" xr:uid="{00000000-0005-0000-0000-00006D230000}"/>
    <cellStyle name="20% - Accent3 5 3 2 3 4 2" xfId="36725" xr:uid="{00000000-0005-0000-0000-00006E230000}"/>
    <cellStyle name="20% - Accent3 5 3 2 3 5" xfId="25424" xr:uid="{00000000-0005-0000-0000-00006F230000}"/>
    <cellStyle name="20% - Accent3 5 3 2 4" xfId="4421" xr:uid="{00000000-0005-0000-0000-000070230000}"/>
    <cellStyle name="20% - Accent3 5 3 2 4 2" xfId="10071" xr:uid="{00000000-0005-0000-0000-000071230000}"/>
    <cellStyle name="20% - Accent3 5 3 2 4 2 2" xfId="21372" xr:uid="{00000000-0005-0000-0000-000072230000}"/>
    <cellStyle name="20% - Accent3 5 3 2 4 2 2 2" xfId="43974" xr:uid="{00000000-0005-0000-0000-000073230000}"/>
    <cellStyle name="20% - Accent3 5 3 2 4 2 3" xfId="32673" xr:uid="{00000000-0005-0000-0000-000074230000}"/>
    <cellStyle name="20% - Accent3 5 3 2 4 3" xfId="15722" xr:uid="{00000000-0005-0000-0000-000075230000}"/>
    <cellStyle name="20% - Accent3 5 3 2 4 3 2" xfId="38324" xr:uid="{00000000-0005-0000-0000-000076230000}"/>
    <cellStyle name="20% - Accent3 5 3 2 4 4" xfId="27023" xr:uid="{00000000-0005-0000-0000-000077230000}"/>
    <cellStyle name="20% - Accent3 5 3 2 5" xfId="7217" xr:uid="{00000000-0005-0000-0000-000078230000}"/>
    <cellStyle name="20% - Accent3 5 3 2 5 2" xfId="18518" xr:uid="{00000000-0005-0000-0000-000079230000}"/>
    <cellStyle name="20% - Accent3 5 3 2 5 2 2" xfId="41120" xr:uid="{00000000-0005-0000-0000-00007A230000}"/>
    <cellStyle name="20% - Accent3 5 3 2 5 3" xfId="29819" xr:uid="{00000000-0005-0000-0000-00007B230000}"/>
    <cellStyle name="20% - Accent3 5 3 2 6" xfId="12868" xr:uid="{00000000-0005-0000-0000-00007C230000}"/>
    <cellStyle name="20% - Accent3 5 3 2 6 2" xfId="35470" xr:uid="{00000000-0005-0000-0000-00007D230000}"/>
    <cellStyle name="20% - Accent3 5 3 2 7" xfId="24169" xr:uid="{00000000-0005-0000-0000-00007E230000}"/>
    <cellStyle name="20% - Accent3 5 3 3" xfId="936" xr:uid="{00000000-0005-0000-0000-00007F230000}"/>
    <cellStyle name="20% - Accent3 5 3 3 2" xfId="2999" xr:uid="{00000000-0005-0000-0000-000080230000}"/>
    <cellStyle name="20% - Accent3 5 3 3 2 2" xfId="5971" xr:uid="{00000000-0005-0000-0000-000081230000}"/>
    <cellStyle name="20% - Accent3 5 3 3 2 2 2" xfId="11621" xr:uid="{00000000-0005-0000-0000-000082230000}"/>
    <cellStyle name="20% - Accent3 5 3 3 2 2 2 2" xfId="22922" xr:uid="{00000000-0005-0000-0000-000083230000}"/>
    <cellStyle name="20% - Accent3 5 3 3 2 2 2 2 2" xfId="45524" xr:uid="{00000000-0005-0000-0000-000084230000}"/>
    <cellStyle name="20% - Accent3 5 3 3 2 2 2 3" xfId="34223" xr:uid="{00000000-0005-0000-0000-000085230000}"/>
    <cellStyle name="20% - Accent3 5 3 3 2 2 3" xfId="17272" xr:uid="{00000000-0005-0000-0000-000086230000}"/>
    <cellStyle name="20% - Accent3 5 3 3 2 2 3 2" xfId="39874" xr:uid="{00000000-0005-0000-0000-000087230000}"/>
    <cellStyle name="20% - Accent3 5 3 3 2 2 4" xfId="28573" xr:uid="{00000000-0005-0000-0000-000088230000}"/>
    <cellStyle name="20% - Accent3 5 3 3 2 3" xfId="8789" xr:uid="{00000000-0005-0000-0000-000089230000}"/>
    <cellStyle name="20% - Accent3 5 3 3 2 3 2" xfId="20090" xr:uid="{00000000-0005-0000-0000-00008A230000}"/>
    <cellStyle name="20% - Accent3 5 3 3 2 3 2 2" xfId="42692" xr:uid="{00000000-0005-0000-0000-00008B230000}"/>
    <cellStyle name="20% - Accent3 5 3 3 2 3 3" xfId="31391" xr:uid="{00000000-0005-0000-0000-00008C230000}"/>
    <cellStyle name="20% - Accent3 5 3 3 2 4" xfId="14440" xr:uid="{00000000-0005-0000-0000-00008D230000}"/>
    <cellStyle name="20% - Accent3 5 3 3 2 4 2" xfId="37042" xr:uid="{00000000-0005-0000-0000-00008E230000}"/>
    <cellStyle name="20% - Accent3 5 3 3 2 5" xfId="25741" xr:uid="{00000000-0005-0000-0000-00008F230000}"/>
    <cellStyle name="20% - Accent3 5 3 3 3" xfId="4737" xr:uid="{00000000-0005-0000-0000-000090230000}"/>
    <cellStyle name="20% - Accent3 5 3 3 3 2" xfId="10387" xr:uid="{00000000-0005-0000-0000-000091230000}"/>
    <cellStyle name="20% - Accent3 5 3 3 3 2 2" xfId="21688" xr:uid="{00000000-0005-0000-0000-000092230000}"/>
    <cellStyle name="20% - Accent3 5 3 3 3 2 2 2" xfId="44290" xr:uid="{00000000-0005-0000-0000-000093230000}"/>
    <cellStyle name="20% - Accent3 5 3 3 3 2 3" xfId="32989" xr:uid="{00000000-0005-0000-0000-000094230000}"/>
    <cellStyle name="20% - Accent3 5 3 3 3 3" xfId="16038" xr:uid="{00000000-0005-0000-0000-000095230000}"/>
    <cellStyle name="20% - Accent3 5 3 3 3 3 2" xfId="38640" xr:uid="{00000000-0005-0000-0000-000096230000}"/>
    <cellStyle name="20% - Accent3 5 3 3 3 4" xfId="27339" xr:uid="{00000000-0005-0000-0000-000097230000}"/>
    <cellStyle name="20% - Accent3 5 3 3 4" xfId="6924" xr:uid="{00000000-0005-0000-0000-000098230000}"/>
    <cellStyle name="20% - Accent3 5 3 3 4 2" xfId="18225" xr:uid="{00000000-0005-0000-0000-000099230000}"/>
    <cellStyle name="20% - Accent3 5 3 3 4 2 2" xfId="40827" xr:uid="{00000000-0005-0000-0000-00009A230000}"/>
    <cellStyle name="20% - Accent3 5 3 3 4 3" xfId="29526" xr:uid="{00000000-0005-0000-0000-00009B230000}"/>
    <cellStyle name="20% - Accent3 5 3 3 5" xfId="12575" xr:uid="{00000000-0005-0000-0000-00009C230000}"/>
    <cellStyle name="20% - Accent3 5 3 3 5 2" xfId="35177" xr:uid="{00000000-0005-0000-0000-00009D230000}"/>
    <cellStyle name="20% - Accent3 5 3 3 6" xfId="23876" xr:uid="{00000000-0005-0000-0000-00009E230000}"/>
    <cellStyle name="20% - Accent3 5 3 4" xfId="1605" xr:uid="{00000000-0005-0000-0000-00009F230000}"/>
    <cellStyle name="20% - Accent3 5 3 4 2" xfId="3567" xr:uid="{00000000-0005-0000-0000-0000A0230000}"/>
    <cellStyle name="20% - Accent3 5 3 4 2 2" xfId="9280" xr:uid="{00000000-0005-0000-0000-0000A1230000}"/>
    <cellStyle name="20% - Accent3 5 3 4 2 2 2" xfId="20581" xr:uid="{00000000-0005-0000-0000-0000A2230000}"/>
    <cellStyle name="20% - Accent3 5 3 4 2 2 2 2" xfId="43183" xr:uid="{00000000-0005-0000-0000-0000A3230000}"/>
    <cellStyle name="20% - Accent3 5 3 4 2 2 3" xfId="31882" xr:uid="{00000000-0005-0000-0000-0000A4230000}"/>
    <cellStyle name="20% - Accent3 5 3 4 2 3" xfId="14931" xr:uid="{00000000-0005-0000-0000-0000A5230000}"/>
    <cellStyle name="20% - Accent3 5 3 4 2 3 2" xfId="37533" xr:uid="{00000000-0005-0000-0000-0000A6230000}"/>
    <cellStyle name="20% - Accent3 5 3 4 2 4" xfId="26232" xr:uid="{00000000-0005-0000-0000-0000A7230000}"/>
    <cellStyle name="20% - Accent3 5 3 4 3" xfId="5347" xr:uid="{00000000-0005-0000-0000-0000A8230000}"/>
    <cellStyle name="20% - Accent3 5 3 4 3 2" xfId="10997" xr:uid="{00000000-0005-0000-0000-0000A9230000}"/>
    <cellStyle name="20% - Accent3 5 3 4 3 2 2" xfId="22298" xr:uid="{00000000-0005-0000-0000-0000AA230000}"/>
    <cellStyle name="20% - Accent3 5 3 4 3 2 2 2" xfId="44900" xr:uid="{00000000-0005-0000-0000-0000AB230000}"/>
    <cellStyle name="20% - Accent3 5 3 4 3 2 3" xfId="33599" xr:uid="{00000000-0005-0000-0000-0000AC230000}"/>
    <cellStyle name="20% - Accent3 5 3 4 3 3" xfId="16648" xr:uid="{00000000-0005-0000-0000-0000AD230000}"/>
    <cellStyle name="20% - Accent3 5 3 4 3 3 2" xfId="39250" xr:uid="{00000000-0005-0000-0000-0000AE230000}"/>
    <cellStyle name="20% - Accent3 5 3 4 3 4" xfId="27949" xr:uid="{00000000-0005-0000-0000-0000AF230000}"/>
    <cellStyle name="20% - Accent3 5 3 4 4" xfId="7461" xr:uid="{00000000-0005-0000-0000-0000B0230000}"/>
    <cellStyle name="20% - Accent3 5 3 4 4 2" xfId="18762" xr:uid="{00000000-0005-0000-0000-0000B1230000}"/>
    <cellStyle name="20% - Accent3 5 3 4 4 2 2" xfId="41364" xr:uid="{00000000-0005-0000-0000-0000B2230000}"/>
    <cellStyle name="20% - Accent3 5 3 4 4 3" xfId="30063" xr:uid="{00000000-0005-0000-0000-0000B3230000}"/>
    <cellStyle name="20% - Accent3 5 3 4 5" xfId="13112" xr:uid="{00000000-0005-0000-0000-0000B4230000}"/>
    <cellStyle name="20% - Accent3 5 3 4 5 2" xfId="35714" xr:uid="{00000000-0005-0000-0000-0000B5230000}"/>
    <cellStyle name="20% - Accent3 5 3 4 6" xfId="24413" xr:uid="{00000000-0005-0000-0000-0000B6230000}"/>
    <cellStyle name="20% - Accent3 5 3 5" xfId="2328" xr:uid="{00000000-0005-0000-0000-0000B7230000}"/>
    <cellStyle name="20% - Accent3 5 3 5 2" xfId="8164" xr:uid="{00000000-0005-0000-0000-0000B8230000}"/>
    <cellStyle name="20% - Accent3 5 3 5 2 2" xfId="19465" xr:uid="{00000000-0005-0000-0000-0000B9230000}"/>
    <cellStyle name="20% - Accent3 5 3 5 2 2 2" xfId="42067" xr:uid="{00000000-0005-0000-0000-0000BA230000}"/>
    <cellStyle name="20% - Accent3 5 3 5 2 3" xfId="30766" xr:uid="{00000000-0005-0000-0000-0000BB230000}"/>
    <cellStyle name="20% - Accent3 5 3 5 3" xfId="13815" xr:uid="{00000000-0005-0000-0000-0000BC230000}"/>
    <cellStyle name="20% - Accent3 5 3 5 3 2" xfId="36417" xr:uid="{00000000-0005-0000-0000-0000BD230000}"/>
    <cellStyle name="20% - Accent3 5 3 5 4" xfId="25116" xr:uid="{00000000-0005-0000-0000-0000BE230000}"/>
    <cellStyle name="20% - Accent3 5 3 6" xfId="4113" xr:uid="{00000000-0005-0000-0000-0000BF230000}"/>
    <cellStyle name="20% - Accent3 5 3 6 2" xfId="9763" xr:uid="{00000000-0005-0000-0000-0000C0230000}"/>
    <cellStyle name="20% - Accent3 5 3 6 2 2" xfId="21064" xr:uid="{00000000-0005-0000-0000-0000C1230000}"/>
    <cellStyle name="20% - Accent3 5 3 6 2 2 2" xfId="43666" xr:uid="{00000000-0005-0000-0000-0000C2230000}"/>
    <cellStyle name="20% - Accent3 5 3 6 2 3" xfId="32365" xr:uid="{00000000-0005-0000-0000-0000C3230000}"/>
    <cellStyle name="20% - Accent3 5 3 6 3" xfId="15414" xr:uid="{00000000-0005-0000-0000-0000C4230000}"/>
    <cellStyle name="20% - Accent3 5 3 6 3 2" xfId="38016" xr:uid="{00000000-0005-0000-0000-0000C5230000}"/>
    <cellStyle name="20% - Accent3 5 3 6 4" xfId="26715" xr:uid="{00000000-0005-0000-0000-0000C6230000}"/>
    <cellStyle name="20% - Accent3 5 3 7" xfId="6591" xr:uid="{00000000-0005-0000-0000-0000C7230000}"/>
    <cellStyle name="20% - Accent3 5 3 7 2" xfId="17892" xr:uid="{00000000-0005-0000-0000-0000C8230000}"/>
    <cellStyle name="20% - Accent3 5 3 7 2 2" xfId="40494" xr:uid="{00000000-0005-0000-0000-0000C9230000}"/>
    <cellStyle name="20% - Accent3 5 3 7 3" xfId="29193" xr:uid="{00000000-0005-0000-0000-0000CA230000}"/>
    <cellStyle name="20% - Accent3 5 3 8" xfId="12242" xr:uid="{00000000-0005-0000-0000-0000CB230000}"/>
    <cellStyle name="20% - Accent3 5 3 8 2" xfId="34844" xr:uid="{00000000-0005-0000-0000-0000CC230000}"/>
    <cellStyle name="20% - Accent3 5 3 9" xfId="23543" xr:uid="{00000000-0005-0000-0000-0000CD230000}"/>
    <cellStyle name="20% - Accent3 5 4" xfId="1098" xr:uid="{00000000-0005-0000-0000-0000CE230000}"/>
    <cellStyle name="20% - Accent3 5 4 2" xfId="1607" xr:uid="{00000000-0005-0000-0000-0000CF230000}"/>
    <cellStyle name="20% - Accent3 5 4 2 2" xfId="3166" xr:uid="{00000000-0005-0000-0000-0000D0230000}"/>
    <cellStyle name="20% - Accent3 5 4 2 2 2" xfId="6138" xr:uid="{00000000-0005-0000-0000-0000D1230000}"/>
    <cellStyle name="20% - Accent3 5 4 2 2 2 2" xfId="11788" xr:uid="{00000000-0005-0000-0000-0000D2230000}"/>
    <cellStyle name="20% - Accent3 5 4 2 2 2 2 2" xfId="23089" xr:uid="{00000000-0005-0000-0000-0000D3230000}"/>
    <cellStyle name="20% - Accent3 5 4 2 2 2 2 2 2" xfId="45691" xr:uid="{00000000-0005-0000-0000-0000D4230000}"/>
    <cellStyle name="20% - Accent3 5 4 2 2 2 2 3" xfId="34390" xr:uid="{00000000-0005-0000-0000-0000D5230000}"/>
    <cellStyle name="20% - Accent3 5 4 2 2 2 3" xfId="17439" xr:uid="{00000000-0005-0000-0000-0000D6230000}"/>
    <cellStyle name="20% - Accent3 5 4 2 2 2 3 2" xfId="40041" xr:uid="{00000000-0005-0000-0000-0000D7230000}"/>
    <cellStyle name="20% - Accent3 5 4 2 2 2 4" xfId="28740" xr:uid="{00000000-0005-0000-0000-0000D8230000}"/>
    <cellStyle name="20% - Accent3 5 4 2 2 3" xfId="8956" xr:uid="{00000000-0005-0000-0000-0000D9230000}"/>
    <cellStyle name="20% - Accent3 5 4 2 2 3 2" xfId="20257" xr:uid="{00000000-0005-0000-0000-0000DA230000}"/>
    <cellStyle name="20% - Accent3 5 4 2 2 3 2 2" xfId="42859" xr:uid="{00000000-0005-0000-0000-0000DB230000}"/>
    <cellStyle name="20% - Accent3 5 4 2 2 3 3" xfId="31558" xr:uid="{00000000-0005-0000-0000-0000DC230000}"/>
    <cellStyle name="20% - Accent3 5 4 2 2 4" xfId="14607" xr:uid="{00000000-0005-0000-0000-0000DD230000}"/>
    <cellStyle name="20% - Accent3 5 4 2 2 4 2" xfId="37209" xr:uid="{00000000-0005-0000-0000-0000DE230000}"/>
    <cellStyle name="20% - Accent3 5 4 2 2 5" xfId="25908" xr:uid="{00000000-0005-0000-0000-0000DF230000}"/>
    <cellStyle name="20% - Accent3 5 4 2 3" xfId="4904" xr:uid="{00000000-0005-0000-0000-0000E0230000}"/>
    <cellStyle name="20% - Accent3 5 4 2 3 2" xfId="10554" xr:uid="{00000000-0005-0000-0000-0000E1230000}"/>
    <cellStyle name="20% - Accent3 5 4 2 3 2 2" xfId="21855" xr:uid="{00000000-0005-0000-0000-0000E2230000}"/>
    <cellStyle name="20% - Accent3 5 4 2 3 2 2 2" xfId="44457" xr:uid="{00000000-0005-0000-0000-0000E3230000}"/>
    <cellStyle name="20% - Accent3 5 4 2 3 2 3" xfId="33156" xr:uid="{00000000-0005-0000-0000-0000E4230000}"/>
    <cellStyle name="20% - Accent3 5 4 2 3 3" xfId="16205" xr:uid="{00000000-0005-0000-0000-0000E5230000}"/>
    <cellStyle name="20% - Accent3 5 4 2 3 3 2" xfId="38807" xr:uid="{00000000-0005-0000-0000-0000E6230000}"/>
    <cellStyle name="20% - Accent3 5 4 2 3 4" xfId="27506" xr:uid="{00000000-0005-0000-0000-0000E7230000}"/>
    <cellStyle name="20% - Accent3 5 4 2 4" xfId="7463" xr:uid="{00000000-0005-0000-0000-0000E8230000}"/>
    <cellStyle name="20% - Accent3 5 4 2 4 2" xfId="18764" xr:uid="{00000000-0005-0000-0000-0000E9230000}"/>
    <cellStyle name="20% - Accent3 5 4 2 4 2 2" xfId="41366" xr:uid="{00000000-0005-0000-0000-0000EA230000}"/>
    <cellStyle name="20% - Accent3 5 4 2 4 3" xfId="30065" xr:uid="{00000000-0005-0000-0000-0000EB230000}"/>
    <cellStyle name="20% - Accent3 5 4 2 5" xfId="13114" xr:uid="{00000000-0005-0000-0000-0000EC230000}"/>
    <cellStyle name="20% - Accent3 5 4 2 5 2" xfId="35716" xr:uid="{00000000-0005-0000-0000-0000ED230000}"/>
    <cellStyle name="20% - Accent3 5 4 2 6" xfId="24415" xr:uid="{00000000-0005-0000-0000-0000EE230000}"/>
    <cellStyle name="20% - Accent3 5 4 3" xfId="2495" xr:uid="{00000000-0005-0000-0000-0000EF230000}"/>
    <cellStyle name="20% - Accent3 5 4 3 2" xfId="5514" xr:uid="{00000000-0005-0000-0000-0000F0230000}"/>
    <cellStyle name="20% - Accent3 5 4 3 2 2" xfId="11164" xr:uid="{00000000-0005-0000-0000-0000F1230000}"/>
    <cellStyle name="20% - Accent3 5 4 3 2 2 2" xfId="22465" xr:uid="{00000000-0005-0000-0000-0000F2230000}"/>
    <cellStyle name="20% - Accent3 5 4 3 2 2 2 2" xfId="45067" xr:uid="{00000000-0005-0000-0000-0000F3230000}"/>
    <cellStyle name="20% - Accent3 5 4 3 2 2 3" xfId="33766" xr:uid="{00000000-0005-0000-0000-0000F4230000}"/>
    <cellStyle name="20% - Accent3 5 4 3 2 3" xfId="16815" xr:uid="{00000000-0005-0000-0000-0000F5230000}"/>
    <cellStyle name="20% - Accent3 5 4 3 2 3 2" xfId="39417" xr:uid="{00000000-0005-0000-0000-0000F6230000}"/>
    <cellStyle name="20% - Accent3 5 4 3 2 4" xfId="28116" xr:uid="{00000000-0005-0000-0000-0000F7230000}"/>
    <cellStyle name="20% - Accent3 5 4 3 3" xfId="8331" xr:uid="{00000000-0005-0000-0000-0000F8230000}"/>
    <cellStyle name="20% - Accent3 5 4 3 3 2" xfId="19632" xr:uid="{00000000-0005-0000-0000-0000F9230000}"/>
    <cellStyle name="20% - Accent3 5 4 3 3 2 2" xfId="42234" xr:uid="{00000000-0005-0000-0000-0000FA230000}"/>
    <cellStyle name="20% - Accent3 5 4 3 3 3" xfId="30933" xr:uid="{00000000-0005-0000-0000-0000FB230000}"/>
    <cellStyle name="20% - Accent3 5 4 3 4" xfId="13982" xr:uid="{00000000-0005-0000-0000-0000FC230000}"/>
    <cellStyle name="20% - Accent3 5 4 3 4 2" xfId="36584" xr:uid="{00000000-0005-0000-0000-0000FD230000}"/>
    <cellStyle name="20% - Accent3 5 4 3 5" xfId="25283" xr:uid="{00000000-0005-0000-0000-0000FE230000}"/>
    <cellStyle name="20% - Accent3 5 4 4" xfId="4280" xr:uid="{00000000-0005-0000-0000-0000FF230000}"/>
    <cellStyle name="20% - Accent3 5 4 4 2" xfId="9930" xr:uid="{00000000-0005-0000-0000-000000240000}"/>
    <cellStyle name="20% - Accent3 5 4 4 2 2" xfId="21231" xr:uid="{00000000-0005-0000-0000-000001240000}"/>
    <cellStyle name="20% - Accent3 5 4 4 2 2 2" xfId="43833" xr:uid="{00000000-0005-0000-0000-000002240000}"/>
    <cellStyle name="20% - Accent3 5 4 4 2 3" xfId="32532" xr:uid="{00000000-0005-0000-0000-000003240000}"/>
    <cellStyle name="20% - Accent3 5 4 4 3" xfId="15581" xr:uid="{00000000-0005-0000-0000-000004240000}"/>
    <cellStyle name="20% - Accent3 5 4 4 3 2" xfId="38183" xr:uid="{00000000-0005-0000-0000-000005240000}"/>
    <cellStyle name="20% - Accent3 5 4 4 4" xfId="26882" xr:uid="{00000000-0005-0000-0000-000006240000}"/>
    <cellStyle name="20% - Accent3 5 4 5" xfId="7077" xr:uid="{00000000-0005-0000-0000-000007240000}"/>
    <cellStyle name="20% - Accent3 5 4 5 2" xfId="18378" xr:uid="{00000000-0005-0000-0000-000008240000}"/>
    <cellStyle name="20% - Accent3 5 4 5 2 2" xfId="40980" xr:uid="{00000000-0005-0000-0000-000009240000}"/>
    <cellStyle name="20% - Accent3 5 4 5 3" xfId="29679" xr:uid="{00000000-0005-0000-0000-00000A240000}"/>
    <cellStyle name="20% - Accent3 5 4 6" xfId="12728" xr:uid="{00000000-0005-0000-0000-00000B240000}"/>
    <cellStyle name="20% - Accent3 5 4 6 2" xfId="35330" xr:uid="{00000000-0005-0000-0000-00000C240000}"/>
    <cellStyle name="20% - Accent3 5 4 7" xfId="24029" xr:uid="{00000000-0005-0000-0000-00000D240000}"/>
    <cellStyle name="20% - Accent3 5 5" xfId="778" xr:uid="{00000000-0005-0000-0000-00000E240000}"/>
    <cellStyle name="20% - Accent3 5 5 2" xfId="2859" xr:uid="{00000000-0005-0000-0000-00000F240000}"/>
    <cellStyle name="20% - Accent3 5 5 2 2" xfId="5831" xr:uid="{00000000-0005-0000-0000-000010240000}"/>
    <cellStyle name="20% - Accent3 5 5 2 2 2" xfId="11481" xr:uid="{00000000-0005-0000-0000-000011240000}"/>
    <cellStyle name="20% - Accent3 5 5 2 2 2 2" xfId="22782" xr:uid="{00000000-0005-0000-0000-000012240000}"/>
    <cellStyle name="20% - Accent3 5 5 2 2 2 2 2" xfId="45384" xr:uid="{00000000-0005-0000-0000-000013240000}"/>
    <cellStyle name="20% - Accent3 5 5 2 2 2 3" xfId="34083" xr:uid="{00000000-0005-0000-0000-000014240000}"/>
    <cellStyle name="20% - Accent3 5 5 2 2 3" xfId="17132" xr:uid="{00000000-0005-0000-0000-000015240000}"/>
    <cellStyle name="20% - Accent3 5 5 2 2 3 2" xfId="39734" xr:uid="{00000000-0005-0000-0000-000016240000}"/>
    <cellStyle name="20% - Accent3 5 5 2 2 4" xfId="28433" xr:uid="{00000000-0005-0000-0000-000017240000}"/>
    <cellStyle name="20% - Accent3 5 5 2 3" xfId="8649" xr:uid="{00000000-0005-0000-0000-000018240000}"/>
    <cellStyle name="20% - Accent3 5 5 2 3 2" xfId="19950" xr:uid="{00000000-0005-0000-0000-000019240000}"/>
    <cellStyle name="20% - Accent3 5 5 2 3 2 2" xfId="42552" xr:uid="{00000000-0005-0000-0000-00001A240000}"/>
    <cellStyle name="20% - Accent3 5 5 2 3 3" xfId="31251" xr:uid="{00000000-0005-0000-0000-00001B240000}"/>
    <cellStyle name="20% - Accent3 5 5 2 4" xfId="14300" xr:uid="{00000000-0005-0000-0000-00001C240000}"/>
    <cellStyle name="20% - Accent3 5 5 2 4 2" xfId="36902" xr:uid="{00000000-0005-0000-0000-00001D240000}"/>
    <cellStyle name="20% - Accent3 5 5 2 5" xfId="25601" xr:uid="{00000000-0005-0000-0000-00001E240000}"/>
    <cellStyle name="20% - Accent3 5 5 3" xfId="4597" xr:uid="{00000000-0005-0000-0000-00001F240000}"/>
    <cellStyle name="20% - Accent3 5 5 3 2" xfId="10247" xr:uid="{00000000-0005-0000-0000-000020240000}"/>
    <cellStyle name="20% - Accent3 5 5 3 2 2" xfId="21548" xr:uid="{00000000-0005-0000-0000-000021240000}"/>
    <cellStyle name="20% - Accent3 5 5 3 2 2 2" xfId="44150" xr:uid="{00000000-0005-0000-0000-000022240000}"/>
    <cellStyle name="20% - Accent3 5 5 3 2 3" xfId="32849" xr:uid="{00000000-0005-0000-0000-000023240000}"/>
    <cellStyle name="20% - Accent3 5 5 3 3" xfId="15898" xr:uid="{00000000-0005-0000-0000-000024240000}"/>
    <cellStyle name="20% - Accent3 5 5 3 3 2" xfId="38500" xr:uid="{00000000-0005-0000-0000-000025240000}"/>
    <cellStyle name="20% - Accent3 5 5 3 4" xfId="27199" xr:uid="{00000000-0005-0000-0000-000026240000}"/>
    <cellStyle name="20% - Accent3 5 5 4" xfId="6783" xr:uid="{00000000-0005-0000-0000-000027240000}"/>
    <cellStyle name="20% - Accent3 5 5 4 2" xfId="18084" xr:uid="{00000000-0005-0000-0000-000028240000}"/>
    <cellStyle name="20% - Accent3 5 5 4 2 2" xfId="40686" xr:uid="{00000000-0005-0000-0000-000029240000}"/>
    <cellStyle name="20% - Accent3 5 5 4 3" xfId="29385" xr:uid="{00000000-0005-0000-0000-00002A240000}"/>
    <cellStyle name="20% - Accent3 5 5 5" xfId="12434" xr:uid="{00000000-0005-0000-0000-00002B240000}"/>
    <cellStyle name="20% - Accent3 5 5 5 2" xfId="35036" xr:uid="{00000000-0005-0000-0000-00002C240000}"/>
    <cellStyle name="20% - Accent3 5 5 6" xfId="23735" xr:uid="{00000000-0005-0000-0000-00002D240000}"/>
    <cellStyle name="20% - Accent3 5 6" xfId="1600" xr:uid="{00000000-0005-0000-0000-00002E240000}"/>
    <cellStyle name="20% - Accent3 5 6 2" xfId="3564" xr:uid="{00000000-0005-0000-0000-00002F240000}"/>
    <cellStyle name="20% - Accent3 5 6 2 2" xfId="9277" xr:uid="{00000000-0005-0000-0000-000030240000}"/>
    <cellStyle name="20% - Accent3 5 6 2 2 2" xfId="20578" xr:uid="{00000000-0005-0000-0000-000031240000}"/>
    <cellStyle name="20% - Accent3 5 6 2 2 2 2" xfId="43180" xr:uid="{00000000-0005-0000-0000-000032240000}"/>
    <cellStyle name="20% - Accent3 5 6 2 2 3" xfId="31879" xr:uid="{00000000-0005-0000-0000-000033240000}"/>
    <cellStyle name="20% - Accent3 5 6 2 3" xfId="14928" xr:uid="{00000000-0005-0000-0000-000034240000}"/>
    <cellStyle name="20% - Accent3 5 6 2 3 2" xfId="37530" xr:uid="{00000000-0005-0000-0000-000035240000}"/>
    <cellStyle name="20% - Accent3 5 6 2 4" xfId="26229" xr:uid="{00000000-0005-0000-0000-000036240000}"/>
    <cellStyle name="20% - Accent3 5 6 3" xfId="5207" xr:uid="{00000000-0005-0000-0000-000037240000}"/>
    <cellStyle name="20% - Accent3 5 6 3 2" xfId="10857" xr:uid="{00000000-0005-0000-0000-000038240000}"/>
    <cellStyle name="20% - Accent3 5 6 3 2 2" xfId="22158" xr:uid="{00000000-0005-0000-0000-000039240000}"/>
    <cellStyle name="20% - Accent3 5 6 3 2 2 2" xfId="44760" xr:uid="{00000000-0005-0000-0000-00003A240000}"/>
    <cellStyle name="20% - Accent3 5 6 3 2 3" xfId="33459" xr:uid="{00000000-0005-0000-0000-00003B240000}"/>
    <cellStyle name="20% - Accent3 5 6 3 3" xfId="16508" xr:uid="{00000000-0005-0000-0000-00003C240000}"/>
    <cellStyle name="20% - Accent3 5 6 3 3 2" xfId="39110" xr:uid="{00000000-0005-0000-0000-00003D240000}"/>
    <cellStyle name="20% - Accent3 5 6 3 4" xfId="27809" xr:uid="{00000000-0005-0000-0000-00003E240000}"/>
    <cellStyle name="20% - Accent3 5 6 4" xfId="7456" xr:uid="{00000000-0005-0000-0000-00003F240000}"/>
    <cellStyle name="20% - Accent3 5 6 4 2" xfId="18757" xr:uid="{00000000-0005-0000-0000-000040240000}"/>
    <cellStyle name="20% - Accent3 5 6 4 2 2" xfId="41359" xr:uid="{00000000-0005-0000-0000-000041240000}"/>
    <cellStyle name="20% - Accent3 5 6 4 3" xfId="30058" xr:uid="{00000000-0005-0000-0000-000042240000}"/>
    <cellStyle name="20% - Accent3 5 6 5" xfId="13107" xr:uid="{00000000-0005-0000-0000-000043240000}"/>
    <cellStyle name="20% - Accent3 5 6 5 2" xfId="35709" xr:uid="{00000000-0005-0000-0000-000044240000}"/>
    <cellStyle name="20% - Accent3 5 6 6" xfId="24408" xr:uid="{00000000-0005-0000-0000-000045240000}"/>
    <cellStyle name="20% - Accent3 5 7" xfId="2180" xr:uid="{00000000-0005-0000-0000-000046240000}"/>
    <cellStyle name="20% - Accent3 5 7 2" xfId="8021" xr:uid="{00000000-0005-0000-0000-000047240000}"/>
    <cellStyle name="20% - Accent3 5 7 2 2" xfId="19322" xr:uid="{00000000-0005-0000-0000-000048240000}"/>
    <cellStyle name="20% - Accent3 5 7 2 2 2" xfId="41924" xr:uid="{00000000-0005-0000-0000-000049240000}"/>
    <cellStyle name="20% - Accent3 5 7 2 3" xfId="30623" xr:uid="{00000000-0005-0000-0000-00004A240000}"/>
    <cellStyle name="20% - Accent3 5 7 3" xfId="13672" xr:uid="{00000000-0005-0000-0000-00004B240000}"/>
    <cellStyle name="20% - Accent3 5 7 3 2" xfId="36274" xr:uid="{00000000-0005-0000-0000-00004C240000}"/>
    <cellStyle name="20% - Accent3 5 7 4" xfId="24973" xr:uid="{00000000-0005-0000-0000-00004D240000}"/>
    <cellStyle name="20% - Accent3 5 8" xfId="3973" xr:uid="{00000000-0005-0000-0000-00004E240000}"/>
    <cellStyle name="20% - Accent3 5 8 2" xfId="9623" xr:uid="{00000000-0005-0000-0000-00004F240000}"/>
    <cellStyle name="20% - Accent3 5 8 2 2" xfId="20924" xr:uid="{00000000-0005-0000-0000-000050240000}"/>
    <cellStyle name="20% - Accent3 5 8 2 2 2" xfId="43526" xr:uid="{00000000-0005-0000-0000-000051240000}"/>
    <cellStyle name="20% - Accent3 5 8 2 3" xfId="32225" xr:uid="{00000000-0005-0000-0000-000052240000}"/>
    <cellStyle name="20% - Accent3 5 8 3" xfId="15274" xr:uid="{00000000-0005-0000-0000-000053240000}"/>
    <cellStyle name="20% - Accent3 5 8 3 2" xfId="37876" xr:uid="{00000000-0005-0000-0000-000054240000}"/>
    <cellStyle name="20% - Accent3 5 8 4" xfId="26575" xr:uid="{00000000-0005-0000-0000-000055240000}"/>
    <cellStyle name="20% - Accent3 5 9" xfId="6424" xr:uid="{00000000-0005-0000-0000-000056240000}"/>
    <cellStyle name="20% - Accent3 5 9 2" xfId="17725" xr:uid="{00000000-0005-0000-0000-000057240000}"/>
    <cellStyle name="20% - Accent3 5 9 2 2" xfId="40327" xr:uid="{00000000-0005-0000-0000-000058240000}"/>
    <cellStyle name="20% - Accent3 5 9 3" xfId="29026" xr:uid="{00000000-0005-0000-0000-000059240000}"/>
    <cellStyle name="20% - Accent3 6" xfId="230" xr:uid="{00000000-0005-0000-0000-00005A240000}"/>
    <cellStyle name="20% - Accent3 7" xfId="335" xr:uid="{00000000-0005-0000-0000-00005B240000}"/>
    <cellStyle name="20% - Accent3 7 10" xfId="23430" xr:uid="{00000000-0005-0000-0000-00005C240000}"/>
    <cellStyle name="20% - Accent3 7 2" xfId="580" xr:uid="{00000000-0005-0000-0000-00005D240000}"/>
    <cellStyle name="20% - Accent3 7 2 2" xfId="1290" xr:uid="{00000000-0005-0000-0000-00005E240000}"/>
    <cellStyle name="20% - Accent3 7 2 2 2" xfId="1610" xr:uid="{00000000-0005-0000-0000-00005F240000}"/>
    <cellStyle name="20% - Accent3 7 2 2 2 2" xfId="3359" xr:uid="{00000000-0005-0000-0000-000060240000}"/>
    <cellStyle name="20% - Accent3 7 2 2 2 2 2" xfId="6331" xr:uid="{00000000-0005-0000-0000-000061240000}"/>
    <cellStyle name="20% - Accent3 7 2 2 2 2 2 2" xfId="11981" xr:uid="{00000000-0005-0000-0000-000062240000}"/>
    <cellStyle name="20% - Accent3 7 2 2 2 2 2 2 2" xfId="23282" xr:uid="{00000000-0005-0000-0000-000063240000}"/>
    <cellStyle name="20% - Accent3 7 2 2 2 2 2 2 2 2" xfId="45884" xr:uid="{00000000-0005-0000-0000-000064240000}"/>
    <cellStyle name="20% - Accent3 7 2 2 2 2 2 2 3" xfId="34583" xr:uid="{00000000-0005-0000-0000-000065240000}"/>
    <cellStyle name="20% - Accent3 7 2 2 2 2 2 3" xfId="17632" xr:uid="{00000000-0005-0000-0000-000066240000}"/>
    <cellStyle name="20% - Accent3 7 2 2 2 2 2 3 2" xfId="40234" xr:uid="{00000000-0005-0000-0000-000067240000}"/>
    <cellStyle name="20% - Accent3 7 2 2 2 2 2 4" xfId="28933" xr:uid="{00000000-0005-0000-0000-000068240000}"/>
    <cellStyle name="20% - Accent3 7 2 2 2 2 3" xfId="9149" xr:uid="{00000000-0005-0000-0000-000069240000}"/>
    <cellStyle name="20% - Accent3 7 2 2 2 2 3 2" xfId="20450" xr:uid="{00000000-0005-0000-0000-00006A240000}"/>
    <cellStyle name="20% - Accent3 7 2 2 2 2 3 2 2" xfId="43052" xr:uid="{00000000-0005-0000-0000-00006B240000}"/>
    <cellStyle name="20% - Accent3 7 2 2 2 2 3 3" xfId="31751" xr:uid="{00000000-0005-0000-0000-00006C240000}"/>
    <cellStyle name="20% - Accent3 7 2 2 2 2 4" xfId="14800" xr:uid="{00000000-0005-0000-0000-00006D240000}"/>
    <cellStyle name="20% - Accent3 7 2 2 2 2 4 2" xfId="37402" xr:uid="{00000000-0005-0000-0000-00006E240000}"/>
    <cellStyle name="20% - Accent3 7 2 2 2 2 5" xfId="26101" xr:uid="{00000000-0005-0000-0000-00006F240000}"/>
    <cellStyle name="20% - Accent3 7 2 2 2 3" xfId="5097" xr:uid="{00000000-0005-0000-0000-000070240000}"/>
    <cellStyle name="20% - Accent3 7 2 2 2 3 2" xfId="10747" xr:uid="{00000000-0005-0000-0000-000071240000}"/>
    <cellStyle name="20% - Accent3 7 2 2 2 3 2 2" xfId="22048" xr:uid="{00000000-0005-0000-0000-000072240000}"/>
    <cellStyle name="20% - Accent3 7 2 2 2 3 2 2 2" xfId="44650" xr:uid="{00000000-0005-0000-0000-000073240000}"/>
    <cellStyle name="20% - Accent3 7 2 2 2 3 2 3" xfId="33349" xr:uid="{00000000-0005-0000-0000-000074240000}"/>
    <cellStyle name="20% - Accent3 7 2 2 2 3 3" xfId="16398" xr:uid="{00000000-0005-0000-0000-000075240000}"/>
    <cellStyle name="20% - Accent3 7 2 2 2 3 3 2" xfId="39000" xr:uid="{00000000-0005-0000-0000-000076240000}"/>
    <cellStyle name="20% - Accent3 7 2 2 2 3 4" xfId="27699" xr:uid="{00000000-0005-0000-0000-000077240000}"/>
    <cellStyle name="20% - Accent3 7 2 2 2 4" xfId="7466" xr:uid="{00000000-0005-0000-0000-000078240000}"/>
    <cellStyle name="20% - Accent3 7 2 2 2 4 2" xfId="18767" xr:uid="{00000000-0005-0000-0000-000079240000}"/>
    <cellStyle name="20% - Accent3 7 2 2 2 4 2 2" xfId="41369" xr:uid="{00000000-0005-0000-0000-00007A240000}"/>
    <cellStyle name="20% - Accent3 7 2 2 2 4 3" xfId="30068" xr:uid="{00000000-0005-0000-0000-00007B240000}"/>
    <cellStyle name="20% - Accent3 7 2 2 2 5" xfId="13117" xr:uid="{00000000-0005-0000-0000-00007C240000}"/>
    <cellStyle name="20% - Accent3 7 2 2 2 5 2" xfId="35719" xr:uid="{00000000-0005-0000-0000-00007D240000}"/>
    <cellStyle name="20% - Accent3 7 2 2 2 6" xfId="24418" xr:uid="{00000000-0005-0000-0000-00007E240000}"/>
    <cellStyle name="20% - Accent3 7 2 2 3" xfId="2688" xr:uid="{00000000-0005-0000-0000-00007F240000}"/>
    <cellStyle name="20% - Accent3 7 2 2 3 2" xfId="5707" xr:uid="{00000000-0005-0000-0000-000080240000}"/>
    <cellStyle name="20% - Accent3 7 2 2 3 2 2" xfId="11357" xr:uid="{00000000-0005-0000-0000-000081240000}"/>
    <cellStyle name="20% - Accent3 7 2 2 3 2 2 2" xfId="22658" xr:uid="{00000000-0005-0000-0000-000082240000}"/>
    <cellStyle name="20% - Accent3 7 2 2 3 2 2 2 2" xfId="45260" xr:uid="{00000000-0005-0000-0000-000083240000}"/>
    <cellStyle name="20% - Accent3 7 2 2 3 2 2 3" xfId="33959" xr:uid="{00000000-0005-0000-0000-000084240000}"/>
    <cellStyle name="20% - Accent3 7 2 2 3 2 3" xfId="17008" xr:uid="{00000000-0005-0000-0000-000085240000}"/>
    <cellStyle name="20% - Accent3 7 2 2 3 2 3 2" xfId="39610" xr:uid="{00000000-0005-0000-0000-000086240000}"/>
    <cellStyle name="20% - Accent3 7 2 2 3 2 4" xfId="28309" xr:uid="{00000000-0005-0000-0000-000087240000}"/>
    <cellStyle name="20% - Accent3 7 2 2 3 3" xfId="8524" xr:uid="{00000000-0005-0000-0000-000088240000}"/>
    <cellStyle name="20% - Accent3 7 2 2 3 3 2" xfId="19825" xr:uid="{00000000-0005-0000-0000-000089240000}"/>
    <cellStyle name="20% - Accent3 7 2 2 3 3 2 2" xfId="42427" xr:uid="{00000000-0005-0000-0000-00008A240000}"/>
    <cellStyle name="20% - Accent3 7 2 2 3 3 3" xfId="31126" xr:uid="{00000000-0005-0000-0000-00008B240000}"/>
    <cellStyle name="20% - Accent3 7 2 2 3 4" xfId="14175" xr:uid="{00000000-0005-0000-0000-00008C240000}"/>
    <cellStyle name="20% - Accent3 7 2 2 3 4 2" xfId="36777" xr:uid="{00000000-0005-0000-0000-00008D240000}"/>
    <cellStyle name="20% - Accent3 7 2 2 3 5" xfId="25476" xr:uid="{00000000-0005-0000-0000-00008E240000}"/>
    <cellStyle name="20% - Accent3 7 2 2 4" xfId="4473" xr:uid="{00000000-0005-0000-0000-00008F240000}"/>
    <cellStyle name="20% - Accent3 7 2 2 4 2" xfId="10123" xr:uid="{00000000-0005-0000-0000-000090240000}"/>
    <cellStyle name="20% - Accent3 7 2 2 4 2 2" xfId="21424" xr:uid="{00000000-0005-0000-0000-000091240000}"/>
    <cellStyle name="20% - Accent3 7 2 2 4 2 2 2" xfId="44026" xr:uid="{00000000-0005-0000-0000-000092240000}"/>
    <cellStyle name="20% - Accent3 7 2 2 4 2 3" xfId="32725" xr:uid="{00000000-0005-0000-0000-000093240000}"/>
    <cellStyle name="20% - Accent3 7 2 2 4 3" xfId="15774" xr:uid="{00000000-0005-0000-0000-000094240000}"/>
    <cellStyle name="20% - Accent3 7 2 2 4 3 2" xfId="38376" xr:uid="{00000000-0005-0000-0000-000095240000}"/>
    <cellStyle name="20% - Accent3 7 2 2 4 4" xfId="27075" xr:uid="{00000000-0005-0000-0000-000096240000}"/>
    <cellStyle name="20% - Accent3 7 2 2 5" xfId="7269" xr:uid="{00000000-0005-0000-0000-000097240000}"/>
    <cellStyle name="20% - Accent3 7 2 2 5 2" xfId="18570" xr:uid="{00000000-0005-0000-0000-000098240000}"/>
    <cellStyle name="20% - Accent3 7 2 2 5 2 2" xfId="41172" xr:uid="{00000000-0005-0000-0000-000099240000}"/>
    <cellStyle name="20% - Accent3 7 2 2 5 3" xfId="29871" xr:uid="{00000000-0005-0000-0000-00009A240000}"/>
    <cellStyle name="20% - Accent3 7 2 2 6" xfId="12920" xr:uid="{00000000-0005-0000-0000-00009B240000}"/>
    <cellStyle name="20% - Accent3 7 2 2 6 2" xfId="35522" xr:uid="{00000000-0005-0000-0000-00009C240000}"/>
    <cellStyle name="20% - Accent3 7 2 2 7" xfId="24221" xr:uid="{00000000-0005-0000-0000-00009D240000}"/>
    <cellStyle name="20% - Accent3 7 2 3" xfId="988" xr:uid="{00000000-0005-0000-0000-00009E240000}"/>
    <cellStyle name="20% - Accent3 7 2 3 2" xfId="3051" xr:uid="{00000000-0005-0000-0000-00009F240000}"/>
    <cellStyle name="20% - Accent3 7 2 3 2 2" xfId="6023" xr:uid="{00000000-0005-0000-0000-0000A0240000}"/>
    <cellStyle name="20% - Accent3 7 2 3 2 2 2" xfId="11673" xr:uid="{00000000-0005-0000-0000-0000A1240000}"/>
    <cellStyle name="20% - Accent3 7 2 3 2 2 2 2" xfId="22974" xr:uid="{00000000-0005-0000-0000-0000A2240000}"/>
    <cellStyle name="20% - Accent3 7 2 3 2 2 2 2 2" xfId="45576" xr:uid="{00000000-0005-0000-0000-0000A3240000}"/>
    <cellStyle name="20% - Accent3 7 2 3 2 2 2 3" xfId="34275" xr:uid="{00000000-0005-0000-0000-0000A4240000}"/>
    <cellStyle name="20% - Accent3 7 2 3 2 2 3" xfId="17324" xr:uid="{00000000-0005-0000-0000-0000A5240000}"/>
    <cellStyle name="20% - Accent3 7 2 3 2 2 3 2" xfId="39926" xr:uid="{00000000-0005-0000-0000-0000A6240000}"/>
    <cellStyle name="20% - Accent3 7 2 3 2 2 4" xfId="28625" xr:uid="{00000000-0005-0000-0000-0000A7240000}"/>
    <cellStyle name="20% - Accent3 7 2 3 2 3" xfId="8841" xr:uid="{00000000-0005-0000-0000-0000A8240000}"/>
    <cellStyle name="20% - Accent3 7 2 3 2 3 2" xfId="20142" xr:uid="{00000000-0005-0000-0000-0000A9240000}"/>
    <cellStyle name="20% - Accent3 7 2 3 2 3 2 2" xfId="42744" xr:uid="{00000000-0005-0000-0000-0000AA240000}"/>
    <cellStyle name="20% - Accent3 7 2 3 2 3 3" xfId="31443" xr:uid="{00000000-0005-0000-0000-0000AB240000}"/>
    <cellStyle name="20% - Accent3 7 2 3 2 4" xfId="14492" xr:uid="{00000000-0005-0000-0000-0000AC240000}"/>
    <cellStyle name="20% - Accent3 7 2 3 2 4 2" xfId="37094" xr:uid="{00000000-0005-0000-0000-0000AD240000}"/>
    <cellStyle name="20% - Accent3 7 2 3 2 5" xfId="25793" xr:uid="{00000000-0005-0000-0000-0000AE240000}"/>
    <cellStyle name="20% - Accent3 7 2 3 3" xfId="4789" xr:uid="{00000000-0005-0000-0000-0000AF240000}"/>
    <cellStyle name="20% - Accent3 7 2 3 3 2" xfId="10439" xr:uid="{00000000-0005-0000-0000-0000B0240000}"/>
    <cellStyle name="20% - Accent3 7 2 3 3 2 2" xfId="21740" xr:uid="{00000000-0005-0000-0000-0000B1240000}"/>
    <cellStyle name="20% - Accent3 7 2 3 3 2 2 2" xfId="44342" xr:uid="{00000000-0005-0000-0000-0000B2240000}"/>
    <cellStyle name="20% - Accent3 7 2 3 3 2 3" xfId="33041" xr:uid="{00000000-0005-0000-0000-0000B3240000}"/>
    <cellStyle name="20% - Accent3 7 2 3 3 3" xfId="16090" xr:uid="{00000000-0005-0000-0000-0000B4240000}"/>
    <cellStyle name="20% - Accent3 7 2 3 3 3 2" xfId="38692" xr:uid="{00000000-0005-0000-0000-0000B5240000}"/>
    <cellStyle name="20% - Accent3 7 2 3 3 4" xfId="27391" xr:uid="{00000000-0005-0000-0000-0000B6240000}"/>
    <cellStyle name="20% - Accent3 7 2 3 4" xfId="6976" xr:uid="{00000000-0005-0000-0000-0000B7240000}"/>
    <cellStyle name="20% - Accent3 7 2 3 4 2" xfId="18277" xr:uid="{00000000-0005-0000-0000-0000B8240000}"/>
    <cellStyle name="20% - Accent3 7 2 3 4 2 2" xfId="40879" xr:uid="{00000000-0005-0000-0000-0000B9240000}"/>
    <cellStyle name="20% - Accent3 7 2 3 4 3" xfId="29578" xr:uid="{00000000-0005-0000-0000-0000BA240000}"/>
    <cellStyle name="20% - Accent3 7 2 3 5" xfId="12627" xr:uid="{00000000-0005-0000-0000-0000BB240000}"/>
    <cellStyle name="20% - Accent3 7 2 3 5 2" xfId="35229" xr:uid="{00000000-0005-0000-0000-0000BC240000}"/>
    <cellStyle name="20% - Accent3 7 2 3 6" xfId="23928" xr:uid="{00000000-0005-0000-0000-0000BD240000}"/>
    <cellStyle name="20% - Accent3 7 2 4" xfId="1609" xr:uid="{00000000-0005-0000-0000-0000BE240000}"/>
    <cellStyle name="20% - Accent3 7 2 4 2" xfId="3569" xr:uid="{00000000-0005-0000-0000-0000BF240000}"/>
    <cellStyle name="20% - Accent3 7 2 4 2 2" xfId="9282" xr:uid="{00000000-0005-0000-0000-0000C0240000}"/>
    <cellStyle name="20% - Accent3 7 2 4 2 2 2" xfId="20583" xr:uid="{00000000-0005-0000-0000-0000C1240000}"/>
    <cellStyle name="20% - Accent3 7 2 4 2 2 2 2" xfId="43185" xr:uid="{00000000-0005-0000-0000-0000C2240000}"/>
    <cellStyle name="20% - Accent3 7 2 4 2 2 3" xfId="31884" xr:uid="{00000000-0005-0000-0000-0000C3240000}"/>
    <cellStyle name="20% - Accent3 7 2 4 2 3" xfId="14933" xr:uid="{00000000-0005-0000-0000-0000C4240000}"/>
    <cellStyle name="20% - Accent3 7 2 4 2 3 2" xfId="37535" xr:uid="{00000000-0005-0000-0000-0000C5240000}"/>
    <cellStyle name="20% - Accent3 7 2 4 2 4" xfId="26234" xr:uid="{00000000-0005-0000-0000-0000C6240000}"/>
    <cellStyle name="20% - Accent3 7 2 4 3" xfId="5399" xr:uid="{00000000-0005-0000-0000-0000C7240000}"/>
    <cellStyle name="20% - Accent3 7 2 4 3 2" xfId="11049" xr:uid="{00000000-0005-0000-0000-0000C8240000}"/>
    <cellStyle name="20% - Accent3 7 2 4 3 2 2" xfId="22350" xr:uid="{00000000-0005-0000-0000-0000C9240000}"/>
    <cellStyle name="20% - Accent3 7 2 4 3 2 2 2" xfId="44952" xr:uid="{00000000-0005-0000-0000-0000CA240000}"/>
    <cellStyle name="20% - Accent3 7 2 4 3 2 3" xfId="33651" xr:uid="{00000000-0005-0000-0000-0000CB240000}"/>
    <cellStyle name="20% - Accent3 7 2 4 3 3" xfId="16700" xr:uid="{00000000-0005-0000-0000-0000CC240000}"/>
    <cellStyle name="20% - Accent3 7 2 4 3 3 2" xfId="39302" xr:uid="{00000000-0005-0000-0000-0000CD240000}"/>
    <cellStyle name="20% - Accent3 7 2 4 3 4" xfId="28001" xr:uid="{00000000-0005-0000-0000-0000CE240000}"/>
    <cellStyle name="20% - Accent3 7 2 4 4" xfId="7465" xr:uid="{00000000-0005-0000-0000-0000CF240000}"/>
    <cellStyle name="20% - Accent3 7 2 4 4 2" xfId="18766" xr:uid="{00000000-0005-0000-0000-0000D0240000}"/>
    <cellStyle name="20% - Accent3 7 2 4 4 2 2" xfId="41368" xr:uid="{00000000-0005-0000-0000-0000D1240000}"/>
    <cellStyle name="20% - Accent3 7 2 4 4 3" xfId="30067" xr:uid="{00000000-0005-0000-0000-0000D2240000}"/>
    <cellStyle name="20% - Accent3 7 2 4 5" xfId="13116" xr:uid="{00000000-0005-0000-0000-0000D3240000}"/>
    <cellStyle name="20% - Accent3 7 2 4 5 2" xfId="35718" xr:uid="{00000000-0005-0000-0000-0000D4240000}"/>
    <cellStyle name="20% - Accent3 7 2 4 6" xfId="24417" xr:uid="{00000000-0005-0000-0000-0000D5240000}"/>
    <cellStyle name="20% - Accent3 7 2 5" xfId="2380" xr:uid="{00000000-0005-0000-0000-0000D6240000}"/>
    <cellStyle name="20% - Accent3 7 2 5 2" xfId="8216" xr:uid="{00000000-0005-0000-0000-0000D7240000}"/>
    <cellStyle name="20% - Accent3 7 2 5 2 2" xfId="19517" xr:uid="{00000000-0005-0000-0000-0000D8240000}"/>
    <cellStyle name="20% - Accent3 7 2 5 2 2 2" xfId="42119" xr:uid="{00000000-0005-0000-0000-0000D9240000}"/>
    <cellStyle name="20% - Accent3 7 2 5 2 3" xfId="30818" xr:uid="{00000000-0005-0000-0000-0000DA240000}"/>
    <cellStyle name="20% - Accent3 7 2 5 3" xfId="13867" xr:uid="{00000000-0005-0000-0000-0000DB240000}"/>
    <cellStyle name="20% - Accent3 7 2 5 3 2" xfId="36469" xr:uid="{00000000-0005-0000-0000-0000DC240000}"/>
    <cellStyle name="20% - Accent3 7 2 5 4" xfId="25168" xr:uid="{00000000-0005-0000-0000-0000DD240000}"/>
    <cellStyle name="20% - Accent3 7 2 6" xfId="4165" xr:uid="{00000000-0005-0000-0000-0000DE240000}"/>
    <cellStyle name="20% - Accent3 7 2 6 2" xfId="9815" xr:uid="{00000000-0005-0000-0000-0000DF240000}"/>
    <cellStyle name="20% - Accent3 7 2 6 2 2" xfId="21116" xr:uid="{00000000-0005-0000-0000-0000E0240000}"/>
    <cellStyle name="20% - Accent3 7 2 6 2 2 2" xfId="43718" xr:uid="{00000000-0005-0000-0000-0000E1240000}"/>
    <cellStyle name="20% - Accent3 7 2 6 2 3" xfId="32417" xr:uid="{00000000-0005-0000-0000-0000E2240000}"/>
    <cellStyle name="20% - Accent3 7 2 6 3" xfId="15466" xr:uid="{00000000-0005-0000-0000-0000E3240000}"/>
    <cellStyle name="20% - Accent3 7 2 6 3 2" xfId="38068" xr:uid="{00000000-0005-0000-0000-0000E4240000}"/>
    <cellStyle name="20% - Accent3 7 2 6 4" xfId="26767" xr:uid="{00000000-0005-0000-0000-0000E5240000}"/>
    <cellStyle name="20% - Accent3 7 2 7" xfId="6645" xr:uid="{00000000-0005-0000-0000-0000E6240000}"/>
    <cellStyle name="20% - Accent3 7 2 7 2" xfId="17946" xr:uid="{00000000-0005-0000-0000-0000E7240000}"/>
    <cellStyle name="20% - Accent3 7 2 7 2 2" xfId="40548" xr:uid="{00000000-0005-0000-0000-0000E8240000}"/>
    <cellStyle name="20% - Accent3 7 2 7 3" xfId="29247" xr:uid="{00000000-0005-0000-0000-0000E9240000}"/>
    <cellStyle name="20% - Accent3 7 2 8" xfId="12296" xr:uid="{00000000-0005-0000-0000-0000EA240000}"/>
    <cellStyle name="20% - Accent3 7 2 8 2" xfId="34898" xr:uid="{00000000-0005-0000-0000-0000EB240000}"/>
    <cellStyle name="20% - Accent3 7 2 9" xfId="23597" xr:uid="{00000000-0005-0000-0000-0000EC240000}"/>
    <cellStyle name="20% - Accent3 7 3" xfId="1152" xr:uid="{00000000-0005-0000-0000-0000ED240000}"/>
    <cellStyle name="20% - Accent3 7 3 2" xfId="1611" xr:uid="{00000000-0005-0000-0000-0000EE240000}"/>
    <cellStyle name="20% - Accent3 7 3 2 2" xfId="3220" xr:uid="{00000000-0005-0000-0000-0000EF240000}"/>
    <cellStyle name="20% - Accent3 7 3 2 2 2" xfId="6192" xr:uid="{00000000-0005-0000-0000-0000F0240000}"/>
    <cellStyle name="20% - Accent3 7 3 2 2 2 2" xfId="11842" xr:uid="{00000000-0005-0000-0000-0000F1240000}"/>
    <cellStyle name="20% - Accent3 7 3 2 2 2 2 2" xfId="23143" xr:uid="{00000000-0005-0000-0000-0000F2240000}"/>
    <cellStyle name="20% - Accent3 7 3 2 2 2 2 2 2" xfId="45745" xr:uid="{00000000-0005-0000-0000-0000F3240000}"/>
    <cellStyle name="20% - Accent3 7 3 2 2 2 2 3" xfId="34444" xr:uid="{00000000-0005-0000-0000-0000F4240000}"/>
    <cellStyle name="20% - Accent3 7 3 2 2 2 3" xfId="17493" xr:uid="{00000000-0005-0000-0000-0000F5240000}"/>
    <cellStyle name="20% - Accent3 7 3 2 2 2 3 2" xfId="40095" xr:uid="{00000000-0005-0000-0000-0000F6240000}"/>
    <cellStyle name="20% - Accent3 7 3 2 2 2 4" xfId="28794" xr:uid="{00000000-0005-0000-0000-0000F7240000}"/>
    <cellStyle name="20% - Accent3 7 3 2 2 3" xfId="9010" xr:uid="{00000000-0005-0000-0000-0000F8240000}"/>
    <cellStyle name="20% - Accent3 7 3 2 2 3 2" xfId="20311" xr:uid="{00000000-0005-0000-0000-0000F9240000}"/>
    <cellStyle name="20% - Accent3 7 3 2 2 3 2 2" xfId="42913" xr:uid="{00000000-0005-0000-0000-0000FA240000}"/>
    <cellStyle name="20% - Accent3 7 3 2 2 3 3" xfId="31612" xr:uid="{00000000-0005-0000-0000-0000FB240000}"/>
    <cellStyle name="20% - Accent3 7 3 2 2 4" xfId="14661" xr:uid="{00000000-0005-0000-0000-0000FC240000}"/>
    <cellStyle name="20% - Accent3 7 3 2 2 4 2" xfId="37263" xr:uid="{00000000-0005-0000-0000-0000FD240000}"/>
    <cellStyle name="20% - Accent3 7 3 2 2 5" xfId="25962" xr:uid="{00000000-0005-0000-0000-0000FE240000}"/>
    <cellStyle name="20% - Accent3 7 3 2 3" xfId="4958" xr:uid="{00000000-0005-0000-0000-0000FF240000}"/>
    <cellStyle name="20% - Accent3 7 3 2 3 2" xfId="10608" xr:uid="{00000000-0005-0000-0000-000000250000}"/>
    <cellStyle name="20% - Accent3 7 3 2 3 2 2" xfId="21909" xr:uid="{00000000-0005-0000-0000-000001250000}"/>
    <cellStyle name="20% - Accent3 7 3 2 3 2 2 2" xfId="44511" xr:uid="{00000000-0005-0000-0000-000002250000}"/>
    <cellStyle name="20% - Accent3 7 3 2 3 2 3" xfId="33210" xr:uid="{00000000-0005-0000-0000-000003250000}"/>
    <cellStyle name="20% - Accent3 7 3 2 3 3" xfId="16259" xr:uid="{00000000-0005-0000-0000-000004250000}"/>
    <cellStyle name="20% - Accent3 7 3 2 3 3 2" xfId="38861" xr:uid="{00000000-0005-0000-0000-000005250000}"/>
    <cellStyle name="20% - Accent3 7 3 2 3 4" xfId="27560" xr:uid="{00000000-0005-0000-0000-000006250000}"/>
    <cellStyle name="20% - Accent3 7 3 2 4" xfId="7467" xr:uid="{00000000-0005-0000-0000-000007250000}"/>
    <cellStyle name="20% - Accent3 7 3 2 4 2" xfId="18768" xr:uid="{00000000-0005-0000-0000-000008250000}"/>
    <cellStyle name="20% - Accent3 7 3 2 4 2 2" xfId="41370" xr:uid="{00000000-0005-0000-0000-000009250000}"/>
    <cellStyle name="20% - Accent3 7 3 2 4 3" xfId="30069" xr:uid="{00000000-0005-0000-0000-00000A250000}"/>
    <cellStyle name="20% - Accent3 7 3 2 5" xfId="13118" xr:uid="{00000000-0005-0000-0000-00000B250000}"/>
    <cellStyle name="20% - Accent3 7 3 2 5 2" xfId="35720" xr:uid="{00000000-0005-0000-0000-00000C250000}"/>
    <cellStyle name="20% - Accent3 7 3 2 6" xfId="24419" xr:uid="{00000000-0005-0000-0000-00000D250000}"/>
    <cellStyle name="20% - Accent3 7 3 3" xfId="2549" xr:uid="{00000000-0005-0000-0000-00000E250000}"/>
    <cellStyle name="20% - Accent3 7 3 3 2" xfId="5568" xr:uid="{00000000-0005-0000-0000-00000F250000}"/>
    <cellStyle name="20% - Accent3 7 3 3 2 2" xfId="11218" xr:uid="{00000000-0005-0000-0000-000010250000}"/>
    <cellStyle name="20% - Accent3 7 3 3 2 2 2" xfId="22519" xr:uid="{00000000-0005-0000-0000-000011250000}"/>
    <cellStyle name="20% - Accent3 7 3 3 2 2 2 2" xfId="45121" xr:uid="{00000000-0005-0000-0000-000012250000}"/>
    <cellStyle name="20% - Accent3 7 3 3 2 2 3" xfId="33820" xr:uid="{00000000-0005-0000-0000-000013250000}"/>
    <cellStyle name="20% - Accent3 7 3 3 2 3" xfId="16869" xr:uid="{00000000-0005-0000-0000-000014250000}"/>
    <cellStyle name="20% - Accent3 7 3 3 2 3 2" xfId="39471" xr:uid="{00000000-0005-0000-0000-000015250000}"/>
    <cellStyle name="20% - Accent3 7 3 3 2 4" xfId="28170" xr:uid="{00000000-0005-0000-0000-000016250000}"/>
    <cellStyle name="20% - Accent3 7 3 3 3" xfId="8385" xr:uid="{00000000-0005-0000-0000-000017250000}"/>
    <cellStyle name="20% - Accent3 7 3 3 3 2" xfId="19686" xr:uid="{00000000-0005-0000-0000-000018250000}"/>
    <cellStyle name="20% - Accent3 7 3 3 3 2 2" xfId="42288" xr:uid="{00000000-0005-0000-0000-000019250000}"/>
    <cellStyle name="20% - Accent3 7 3 3 3 3" xfId="30987" xr:uid="{00000000-0005-0000-0000-00001A250000}"/>
    <cellStyle name="20% - Accent3 7 3 3 4" xfId="14036" xr:uid="{00000000-0005-0000-0000-00001B250000}"/>
    <cellStyle name="20% - Accent3 7 3 3 4 2" xfId="36638" xr:uid="{00000000-0005-0000-0000-00001C250000}"/>
    <cellStyle name="20% - Accent3 7 3 3 5" xfId="25337" xr:uid="{00000000-0005-0000-0000-00001D250000}"/>
    <cellStyle name="20% - Accent3 7 3 4" xfId="4334" xr:uid="{00000000-0005-0000-0000-00001E250000}"/>
    <cellStyle name="20% - Accent3 7 3 4 2" xfId="9984" xr:uid="{00000000-0005-0000-0000-00001F250000}"/>
    <cellStyle name="20% - Accent3 7 3 4 2 2" xfId="21285" xr:uid="{00000000-0005-0000-0000-000020250000}"/>
    <cellStyle name="20% - Accent3 7 3 4 2 2 2" xfId="43887" xr:uid="{00000000-0005-0000-0000-000021250000}"/>
    <cellStyle name="20% - Accent3 7 3 4 2 3" xfId="32586" xr:uid="{00000000-0005-0000-0000-000022250000}"/>
    <cellStyle name="20% - Accent3 7 3 4 3" xfId="15635" xr:uid="{00000000-0005-0000-0000-000023250000}"/>
    <cellStyle name="20% - Accent3 7 3 4 3 2" xfId="38237" xr:uid="{00000000-0005-0000-0000-000024250000}"/>
    <cellStyle name="20% - Accent3 7 3 4 4" xfId="26936" xr:uid="{00000000-0005-0000-0000-000025250000}"/>
    <cellStyle name="20% - Accent3 7 3 5" xfId="7131" xr:uid="{00000000-0005-0000-0000-000026250000}"/>
    <cellStyle name="20% - Accent3 7 3 5 2" xfId="18432" xr:uid="{00000000-0005-0000-0000-000027250000}"/>
    <cellStyle name="20% - Accent3 7 3 5 2 2" xfId="41034" xr:uid="{00000000-0005-0000-0000-000028250000}"/>
    <cellStyle name="20% - Accent3 7 3 5 3" xfId="29733" xr:uid="{00000000-0005-0000-0000-000029250000}"/>
    <cellStyle name="20% - Accent3 7 3 6" xfId="12782" xr:uid="{00000000-0005-0000-0000-00002A250000}"/>
    <cellStyle name="20% - Accent3 7 3 6 2" xfId="35384" xr:uid="{00000000-0005-0000-0000-00002B250000}"/>
    <cellStyle name="20% - Accent3 7 3 7" xfId="24083" xr:uid="{00000000-0005-0000-0000-00002C250000}"/>
    <cellStyle name="20% - Accent3 7 4" xfId="843" xr:uid="{00000000-0005-0000-0000-00002D250000}"/>
    <cellStyle name="20% - Accent3 7 4 2" xfId="2913" xr:uid="{00000000-0005-0000-0000-00002E250000}"/>
    <cellStyle name="20% - Accent3 7 4 2 2" xfId="5885" xr:uid="{00000000-0005-0000-0000-00002F250000}"/>
    <cellStyle name="20% - Accent3 7 4 2 2 2" xfId="11535" xr:uid="{00000000-0005-0000-0000-000030250000}"/>
    <cellStyle name="20% - Accent3 7 4 2 2 2 2" xfId="22836" xr:uid="{00000000-0005-0000-0000-000031250000}"/>
    <cellStyle name="20% - Accent3 7 4 2 2 2 2 2" xfId="45438" xr:uid="{00000000-0005-0000-0000-000032250000}"/>
    <cellStyle name="20% - Accent3 7 4 2 2 2 3" xfId="34137" xr:uid="{00000000-0005-0000-0000-000033250000}"/>
    <cellStyle name="20% - Accent3 7 4 2 2 3" xfId="17186" xr:uid="{00000000-0005-0000-0000-000034250000}"/>
    <cellStyle name="20% - Accent3 7 4 2 2 3 2" xfId="39788" xr:uid="{00000000-0005-0000-0000-000035250000}"/>
    <cellStyle name="20% - Accent3 7 4 2 2 4" xfId="28487" xr:uid="{00000000-0005-0000-0000-000036250000}"/>
    <cellStyle name="20% - Accent3 7 4 2 3" xfId="8703" xr:uid="{00000000-0005-0000-0000-000037250000}"/>
    <cellStyle name="20% - Accent3 7 4 2 3 2" xfId="20004" xr:uid="{00000000-0005-0000-0000-000038250000}"/>
    <cellStyle name="20% - Accent3 7 4 2 3 2 2" xfId="42606" xr:uid="{00000000-0005-0000-0000-000039250000}"/>
    <cellStyle name="20% - Accent3 7 4 2 3 3" xfId="31305" xr:uid="{00000000-0005-0000-0000-00003A250000}"/>
    <cellStyle name="20% - Accent3 7 4 2 4" xfId="14354" xr:uid="{00000000-0005-0000-0000-00003B250000}"/>
    <cellStyle name="20% - Accent3 7 4 2 4 2" xfId="36956" xr:uid="{00000000-0005-0000-0000-00003C250000}"/>
    <cellStyle name="20% - Accent3 7 4 2 5" xfId="25655" xr:uid="{00000000-0005-0000-0000-00003D250000}"/>
    <cellStyle name="20% - Accent3 7 4 3" xfId="4651" xr:uid="{00000000-0005-0000-0000-00003E250000}"/>
    <cellStyle name="20% - Accent3 7 4 3 2" xfId="10301" xr:uid="{00000000-0005-0000-0000-00003F250000}"/>
    <cellStyle name="20% - Accent3 7 4 3 2 2" xfId="21602" xr:uid="{00000000-0005-0000-0000-000040250000}"/>
    <cellStyle name="20% - Accent3 7 4 3 2 2 2" xfId="44204" xr:uid="{00000000-0005-0000-0000-000041250000}"/>
    <cellStyle name="20% - Accent3 7 4 3 2 3" xfId="32903" xr:uid="{00000000-0005-0000-0000-000042250000}"/>
    <cellStyle name="20% - Accent3 7 4 3 3" xfId="15952" xr:uid="{00000000-0005-0000-0000-000043250000}"/>
    <cellStyle name="20% - Accent3 7 4 3 3 2" xfId="38554" xr:uid="{00000000-0005-0000-0000-000044250000}"/>
    <cellStyle name="20% - Accent3 7 4 3 4" xfId="27253" xr:uid="{00000000-0005-0000-0000-000045250000}"/>
    <cellStyle name="20% - Accent3 7 4 4" xfId="6838" xr:uid="{00000000-0005-0000-0000-000046250000}"/>
    <cellStyle name="20% - Accent3 7 4 4 2" xfId="18139" xr:uid="{00000000-0005-0000-0000-000047250000}"/>
    <cellStyle name="20% - Accent3 7 4 4 2 2" xfId="40741" xr:uid="{00000000-0005-0000-0000-000048250000}"/>
    <cellStyle name="20% - Accent3 7 4 4 3" xfId="29440" xr:uid="{00000000-0005-0000-0000-000049250000}"/>
    <cellStyle name="20% - Accent3 7 4 5" xfId="12489" xr:uid="{00000000-0005-0000-0000-00004A250000}"/>
    <cellStyle name="20% - Accent3 7 4 5 2" xfId="35091" xr:uid="{00000000-0005-0000-0000-00004B250000}"/>
    <cellStyle name="20% - Accent3 7 4 6" xfId="23790" xr:uid="{00000000-0005-0000-0000-00004C250000}"/>
    <cellStyle name="20% - Accent3 7 5" xfId="1608" xr:uid="{00000000-0005-0000-0000-00004D250000}"/>
    <cellStyle name="20% - Accent3 7 5 2" xfId="3568" xr:uid="{00000000-0005-0000-0000-00004E250000}"/>
    <cellStyle name="20% - Accent3 7 5 2 2" xfId="9281" xr:uid="{00000000-0005-0000-0000-00004F250000}"/>
    <cellStyle name="20% - Accent3 7 5 2 2 2" xfId="20582" xr:uid="{00000000-0005-0000-0000-000050250000}"/>
    <cellStyle name="20% - Accent3 7 5 2 2 2 2" xfId="43184" xr:uid="{00000000-0005-0000-0000-000051250000}"/>
    <cellStyle name="20% - Accent3 7 5 2 2 3" xfId="31883" xr:uid="{00000000-0005-0000-0000-000052250000}"/>
    <cellStyle name="20% - Accent3 7 5 2 3" xfId="14932" xr:uid="{00000000-0005-0000-0000-000053250000}"/>
    <cellStyle name="20% - Accent3 7 5 2 3 2" xfId="37534" xr:uid="{00000000-0005-0000-0000-000054250000}"/>
    <cellStyle name="20% - Accent3 7 5 2 4" xfId="26233" xr:uid="{00000000-0005-0000-0000-000055250000}"/>
    <cellStyle name="20% - Accent3 7 5 3" xfId="5261" xr:uid="{00000000-0005-0000-0000-000056250000}"/>
    <cellStyle name="20% - Accent3 7 5 3 2" xfId="10911" xr:uid="{00000000-0005-0000-0000-000057250000}"/>
    <cellStyle name="20% - Accent3 7 5 3 2 2" xfId="22212" xr:uid="{00000000-0005-0000-0000-000058250000}"/>
    <cellStyle name="20% - Accent3 7 5 3 2 2 2" xfId="44814" xr:uid="{00000000-0005-0000-0000-000059250000}"/>
    <cellStyle name="20% - Accent3 7 5 3 2 3" xfId="33513" xr:uid="{00000000-0005-0000-0000-00005A250000}"/>
    <cellStyle name="20% - Accent3 7 5 3 3" xfId="16562" xr:uid="{00000000-0005-0000-0000-00005B250000}"/>
    <cellStyle name="20% - Accent3 7 5 3 3 2" xfId="39164" xr:uid="{00000000-0005-0000-0000-00005C250000}"/>
    <cellStyle name="20% - Accent3 7 5 3 4" xfId="27863" xr:uid="{00000000-0005-0000-0000-00005D250000}"/>
    <cellStyle name="20% - Accent3 7 5 4" xfId="7464" xr:uid="{00000000-0005-0000-0000-00005E250000}"/>
    <cellStyle name="20% - Accent3 7 5 4 2" xfId="18765" xr:uid="{00000000-0005-0000-0000-00005F250000}"/>
    <cellStyle name="20% - Accent3 7 5 4 2 2" xfId="41367" xr:uid="{00000000-0005-0000-0000-000060250000}"/>
    <cellStyle name="20% - Accent3 7 5 4 3" xfId="30066" xr:uid="{00000000-0005-0000-0000-000061250000}"/>
    <cellStyle name="20% - Accent3 7 5 5" xfId="13115" xr:uid="{00000000-0005-0000-0000-000062250000}"/>
    <cellStyle name="20% - Accent3 7 5 5 2" xfId="35717" xr:uid="{00000000-0005-0000-0000-000063250000}"/>
    <cellStyle name="20% - Accent3 7 5 6" xfId="24416" xr:uid="{00000000-0005-0000-0000-000064250000}"/>
    <cellStyle name="20% - Accent3 7 6" xfId="2240" xr:uid="{00000000-0005-0000-0000-000065250000}"/>
    <cellStyle name="20% - Accent3 7 6 2" xfId="8076" xr:uid="{00000000-0005-0000-0000-000066250000}"/>
    <cellStyle name="20% - Accent3 7 6 2 2" xfId="19377" xr:uid="{00000000-0005-0000-0000-000067250000}"/>
    <cellStyle name="20% - Accent3 7 6 2 2 2" xfId="41979" xr:uid="{00000000-0005-0000-0000-000068250000}"/>
    <cellStyle name="20% - Accent3 7 6 2 3" xfId="30678" xr:uid="{00000000-0005-0000-0000-000069250000}"/>
    <cellStyle name="20% - Accent3 7 6 3" xfId="13727" xr:uid="{00000000-0005-0000-0000-00006A250000}"/>
    <cellStyle name="20% - Accent3 7 6 3 2" xfId="36329" xr:uid="{00000000-0005-0000-0000-00006B250000}"/>
    <cellStyle name="20% - Accent3 7 6 4" xfId="25028" xr:uid="{00000000-0005-0000-0000-00006C250000}"/>
    <cellStyle name="20% - Accent3 7 7" xfId="4027" xr:uid="{00000000-0005-0000-0000-00006D250000}"/>
    <cellStyle name="20% - Accent3 7 7 2" xfId="9677" xr:uid="{00000000-0005-0000-0000-00006E250000}"/>
    <cellStyle name="20% - Accent3 7 7 2 2" xfId="20978" xr:uid="{00000000-0005-0000-0000-00006F250000}"/>
    <cellStyle name="20% - Accent3 7 7 2 2 2" xfId="43580" xr:uid="{00000000-0005-0000-0000-000070250000}"/>
    <cellStyle name="20% - Accent3 7 7 2 3" xfId="32279" xr:uid="{00000000-0005-0000-0000-000071250000}"/>
    <cellStyle name="20% - Accent3 7 7 3" xfId="15328" xr:uid="{00000000-0005-0000-0000-000072250000}"/>
    <cellStyle name="20% - Accent3 7 7 3 2" xfId="37930" xr:uid="{00000000-0005-0000-0000-000073250000}"/>
    <cellStyle name="20% - Accent3 7 7 4" xfId="26629" xr:uid="{00000000-0005-0000-0000-000074250000}"/>
    <cellStyle name="20% - Accent3 7 8" xfId="6478" xr:uid="{00000000-0005-0000-0000-000075250000}"/>
    <cellStyle name="20% - Accent3 7 8 2" xfId="17779" xr:uid="{00000000-0005-0000-0000-000076250000}"/>
    <cellStyle name="20% - Accent3 7 8 2 2" xfId="40381" xr:uid="{00000000-0005-0000-0000-000077250000}"/>
    <cellStyle name="20% - Accent3 7 8 3" xfId="29080" xr:uid="{00000000-0005-0000-0000-000078250000}"/>
    <cellStyle name="20% - Accent3 7 9" xfId="12129" xr:uid="{00000000-0005-0000-0000-000079250000}"/>
    <cellStyle name="20% - Accent3 7 9 2" xfId="34731" xr:uid="{00000000-0005-0000-0000-00007A250000}"/>
    <cellStyle name="20% - Accent3 8" xfId="438" xr:uid="{00000000-0005-0000-0000-00007B250000}"/>
    <cellStyle name="20% - Accent3 8 2" xfId="1209" xr:uid="{00000000-0005-0000-0000-00007C250000}"/>
    <cellStyle name="20% - Accent3 8 2 2" xfId="1613" xr:uid="{00000000-0005-0000-0000-00007D250000}"/>
    <cellStyle name="20% - Accent3 8 2 2 2" xfId="3278" xr:uid="{00000000-0005-0000-0000-00007E250000}"/>
    <cellStyle name="20% - Accent3 8 2 2 2 2" xfId="6250" xr:uid="{00000000-0005-0000-0000-00007F250000}"/>
    <cellStyle name="20% - Accent3 8 2 2 2 2 2" xfId="11900" xr:uid="{00000000-0005-0000-0000-000080250000}"/>
    <cellStyle name="20% - Accent3 8 2 2 2 2 2 2" xfId="23201" xr:uid="{00000000-0005-0000-0000-000081250000}"/>
    <cellStyle name="20% - Accent3 8 2 2 2 2 2 2 2" xfId="45803" xr:uid="{00000000-0005-0000-0000-000082250000}"/>
    <cellStyle name="20% - Accent3 8 2 2 2 2 2 3" xfId="34502" xr:uid="{00000000-0005-0000-0000-000083250000}"/>
    <cellStyle name="20% - Accent3 8 2 2 2 2 3" xfId="17551" xr:uid="{00000000-0005-0000-0000-000084250000}"/>
    <cellStyle name="20% - Accent3 8 2 2 2 2 3 2" xfId="40153" xr:uid="{00000000-0005-0000-0000-000085250000}"/>
    <cellStyle name="20% - Accent3 8 2 2 2 2 4" xfId="28852" xr:uid="{00000000-0005-0000-0000-000086250000}"/>
    <cellStyle name="20% - Accent3 8 2 2 2 3" xfId="9068" xr:uid="{00000000-0005-0000-0000-000087250000}"/>
    <cellStyle name="20% - Accent3 8 2 2 2 3 2" xfId="20369" xr:uid="{00000000-0005-0000-0000-000088250000}"/>
    <cellStyle name="20% - Accent3 8 2 2 2 3 2 2" xfId="42971" xr:uid="{00000000-0005-0000-0000-000089250000}"/>
    <cellStyle name="20% - Accent3 8 2 2 2 3 3" xfId="31670" xr:uid="{00000000-0005-0000-0000-00008A250000}"/>
    <cellStyle name="20% - Accent3 8 2 2 2 4" xfId="14719" xr:uid="{00000000-0005-0000-0000-00008B250000}"/>
    <cellStyle name="20% - Accent3 8 2 2 2 4 2" xfId="37321" xr:uid="{00000000-0005-0000-0000-00008C250000}"/>
    <cellStyle name="20% - Accent3 8 2 2 2 5" xfId="26020" xr:uid="{00000000-0005-0000-0000-00008D250000}"/>
    <cellStyle name="20% - Accent3 8 2 2 3" xfId="5016" xr:uid="{00000000-0005-0000-0000-00008E250000}"/>
    <cellStyle name="20% - Accent3 8 2 2 3 2" xfId="10666" xr:uid="{00000000-0005-0000-0000-00008F250000}"/>
    <cellStyle name="20% - Accent3 8 2 2 3 2 2" xfId="21967" xr:uid="{00000000-0005-0000-0000-000090250000}"/>
    <cellStyle name="20% - Accent3 8 2 2 3 2 2 2" xfId="44569" xr:uid="{00000000-0005-0000-0000-000091250000}"/>
    <cellStyle name="20% - Accent3 8 2 2 3 2 3" xfId="33268" xr:uid="{00000000-0005-0000-0000-000092250000}"/>
    <cellStyle name="20% - Accent3 8 2 2 3 3" xfId="16317" xr:uid="{00000000-0005-0000-0000-000093250000}"/>
    <cellStyle name="20% - Accent3 8 2 2 3 3 2" xfId="38919" xr:uid="{00000000-0005-0000-0000-000094250000}"/>
    <cellStyle name="20% - Accent3 8 2 2 3 4" xfId="27618" xr:uid="{00000000-0005-0000-0000-000095250000}"/>
    <cellStyle name="20% - Accent3 8 2 2 4" xfId="7469" xr:uid="{00000000-0005-0000-0000-000096250000}"/>
    <cellStyle name="20% - Accent3 8 2 2 4 2" xfId="18770" xr:uid="{00000000-0005-0000-0000-000097250000}"/>
    <cellStyle name="20% - Accent3 8 2 2 4 2 2" xfId="41372" xr:uid="{00000000-0005-0000-0000-000098250000}"/>
    <cellStyle name="20% - Accent3 8 2 2 4 3" xfId="30071" xr:uid="{00000000-0005-0000-0000-000099250000}"/>
    <cellStyle name="20% - Accent3 8 2 2 5" xfId="13120" xr:uid="{00000000-0005-0000-0000-00009A250000}"/>
    <cellStyle name="20% - Accent3 8 2 2 5 2" xfId="35722" xr:uid="{00000000-0005-0000-0000-00009B250000}"/>
    <cellStyle name="20% - Accent3 8 2 2 6" xfId="24421" xr:uid="{00000000-0005-0000-0000-00009C250000}"/>
    <cellStyle name="20% - Accent3 8 2 3" xfId="2607" xr:uid="{00000000-0005-0000-0000-00009D250000}"/>
    <cellStyle name="20% - Accent3 8 2 3 2" xfId="5626" xr:uid="{00000000-0005-0000-0000-00009E250000}"/>
    <cellStyle name="20% - Accent3 8 2 3 2 2" xfId="11276" xr:uid="{00000000-0005-0000-0000-00009F250000}"/>
    <cellStyle name="20% - Accent3 8 2 3 2 2 2" xfId="22577" xr:uid="{00000000-0005-0000-0000-0000A0250000}"/>
    <cellStyle name="20% - Accent3 8 2 3 2 2 2 2" xfId="45179" xr:uid="{00000000-0005-0000-0000-0000A1250000}"/>
    <cellStyle name="20% - Accent3 8 2 3 2 2 3" xfId="33878" xr:uid="{00000000-0005-0000-0000-0000A2250000}"/>
    <cellStyle name="20% - Accent3 8 2 3 2 3" xfId="16927" xr:uid="{00000000-0005-0000-0000-0000A3250000}"/>
    <cellStyle name="20% - Accent3 8 2 3 2 3 2" xfId="39529" xr:uid="{00000000-0005-0000-0000-0000A4250000}"/>
    <cellStyle name="20% - Accent3 8 2 3 2 4" xfId="28228" xr:uid="{00000000-0005-0000-0000-0000A5250000}"/>
    <cellStyle name="20% - Accent3 8 2 3 3" xfId="8443" xr:uid="{00000000-0005-0000-0000-0000A6250000}"/>
    <cellStyle name="20% - Accent3 8 2 3 3 2" xfId="19744" xr:uid="{00000000-0005-0000-0000-0000A7250000}"/>
    <cellStyle name="20% - Accent3 8 2 3 3 2 2" xfId="42346" xr:uid="{00000000-0005-0000-0000-0000A8250000}"/>
    <cellStyle name="20% - Accent3 8 2 3 3 3" xfId="31045" xr:uid="{00000000-0005-0000-0000-0000A9250000}"/>
    <cellStyle name="20% - Accent3 8 2 3 4" xfId="14094" xr:uid="{00000000-0005-0000-0000-0000AA250000}"/>
    <cellStyle name="20% - Accent3 8 2 3 4 2" xfId="36696" xr:uid="{00000000-0005-0000-0000-0000AB250000}"/>
    <cellStyle name="20% - Accent3 8 2 3 5" xfId="25395" xr:uid="{00000000-0005-0000-0000-0000AC250000}"/>
    <cellStyle name="20% - Accent3 8 2 4" xfId="4392" xr:uid="{00000000-0005-0000-0000-0000AD250000}"/>
    <cellStyle name="20% - Accent3 8 2 4 2" xfId="10042" xr:uid="{00000000-0005-0000-0000-0000AE250000}"/>
    <cellStyle name="20% - Accent3 8 2 4 2 2" xfId="21343" xr:uid="{00000000-0005-0000-0000-0000AF250000}"/>
    <cellStyle name="20% - Accent3 8 2 4 2 2 2" xfId="43945" xr:uid="{00000000-0005-0000-0000-0000B0250000}"/>
    <cellStyle name="20% - Accent3 8 2 4 2 3" xfId="32644" xr:uid="{00000000-0005-0000-0000-0000B1250000}"/>
    <cellStyle name="20% - Accent3 8 2 4 3" xfId="15693" xr:uid="{00000000-0005-0000-0000-0000B2250000}"/>
    <cellStyle name="20% - Accent3 8 2 4 3 2" xfId="38295" xr:uid="{00000000-0005-0000-0000-0000B3250000}"/>
    <cellStyle name="20% - Accent3 8 2 4 4" xfId="26994" xr:uid="{00000000-0005-0000-0000-0000B4250000}"/>
    <cellStyle name="20% - Accent3 8 2 5" xfId="7188" xr:uid="{00000000-0005-0000-0000-0000B5250000}"/>
    <cellStyle name="20% - Accent3 8 2 5 2" xfId="18489" xr:uid="{00000000-0005-0000-0000-0000B6250000}"/>
    <cellStyle name="20% - Accent3 8 2 5 2 2" xfId="41091" xr:uid="{00000000-0005-0000-0000-0000B7250000}"/>
    <cellStyle name="20% - Accent3 8 2 5 3" xfId="29790" xr:uid="{00000000-0005-0000-0000-0000B8250000}"/>
    <cellStyle name="20% - Accent3 8 2 6" xfId="12839" xr:uid="{00000000-0005-0000-0000-0000B9250000}"/>
    <cellStyle name="20% - Accent3 8 2 6 2" xfId="35441" xr:uid="{00000000-0005-0000-0000-0000BA250000}"/>
    <cellStyle name="20% - Accent3 8 2 7" xfId="24140" xr:uid="{00000000-0005-0000-0000-0000BB250000}"/>
    <cellStyle name="20% - Accent3 8 3" xfId="906" xr:uid="{00000000-0005-0000-0000-0000BC250000}"/>
    <cellStyle name="20% - Accent3 8 3 2" xfId="2970" xr:uid="{00000000-0005-0000-0000-0000BD250000}"/>
    <cellStyle name="20% - Accent3 8 3 2 2" xfId="5942" xr:uid="{00000000-0005-0000-0000-0000BE250000}"/>
    <cellStyle name="20% - Accent3 8 3 2 2 2" xfId="11592" xr:uid="{00000000-0005-0000-0000-0000BF250000}"/>
    <cellStyle name="20% - Accent3 8 3 2 2 2 2" xfId="22893" xr:uid="{00000000-0005-0000-0000-0000C0250000}"/>
    <cellStyle name="20% - Accent3 8 3 2 2 2 2 2" xfId="45495" xr:uid="{00000000-0005-0000-0000-0000C1250000}"/>
    <cellStyle name="20% - Accent3 8 3 2 2 2 3" xfId="34194" xr:uid="{00000000-0005-0000-0000-0000C2250000}"/>
    <cellStyle name="20% - Accent3 8 3 2 2 3" xfId="17243" xr:uid="{00000000-0005-0000-0000-0000C3250000}"/>
    <cellStyle name="20% - Accent3 8 3 2 2 3 2" xfId="39845" xr:uid="{00000000-0005-0000-0000-0000C4250000}"/>
    <cellStyle name="20% - Accent3 8 3 2 2 4" xfId="28544" xr:uid="{00000000-0005-0000-0000-0000C5250000}"/>
    <cellStyle name="20% - Accent3 8 3 2 3" xfId="8760" xr:uid="{00000000-0005-0000-0000-0000C6250000}"/>
    <cellStyle name="20% - Accent3 8 3 2 3 2" xfId="20061" xr:uid="{00000000-0005-0000-0000-0000C7250000}"/>
    <cellStyle name="20% - Accent3 8 3 2 3 2 2" xfId="42663" xr:uid="{00000000-0005-0000-0000-0000C8250000}"/>
    <cellStyle name="20% - Accent3 8 3 2 3 3" xfId="31362" xr:uid="{00000000-0005-0000-0000-0000C9250000}"/>
    <cellStyle name="20% - Accent3 8 3 2 4" xfId="14411" xr:uid="{00000000-0005-0000-0000-0000CA250000}"/>
    <cellStyle name="20% - Accent3 8 3 2 4 2" xfId="37013" xr:uid="{00000000-0005-0000-0000-0000CB250000}"/>
    <cellStyle name="20% - Accent3 8 3 2 5" xfId="25712" xr:uid="{00000000-0005-0000-0000-0000CC250000}"/>
    <cellStyle name="20% - Accent3 8 3 3" xfId="4708" xr:uid="{00000000-0005-0000-0000-0000CD250000}"/>
    <cellStyle name="20% - Accent3 8 3 3 2" xfId="10358" xr:uid="{00000000-0005-0000-0000-0000CE250000}"/>
    <cellStyle name="20% - Accent3 8 3 3 2 2" xfId="21659" xr:uid="{00000000-0005-0000-0000-0000CF250000}"/>
    <cellStyle name="20% - Accent3 8 3 3 2 2 2" xfId="44261" xr:uid="{00000000-0005-0000-0000-0000D0250000}"/>
    <cellStyle name="20% - Accent3 8 3 3 2 3" xfId="32960" xr:uid="{00000000-0005-0000-0000-0000D1250000}"/>
    <cellStyle name="20% - Accent3 8 3 3 3" xfId="16009" xr:uid="{00000000-0005-0000-0000-0000D2250000}"/>
    <cellStyle name="20% - Accent3 8 3 3 3 2" xfId="38611" xr:uid="{00000000-0005-0000-0000-0000D3250000}"/>
    <cellStyle name="20% - Accent3 8 3 3 4" xfId="27310" xr:uid="{00000000-0005-0000-0000-0000D4250000}"/>
    <cellStyle name="20% - Accent3 8 3 4" xfId="6895" xr:uid="{00000000-0005-0000-0000-0000D5250000}"/>
    <cellStyle name="20% - Accent3 8 3 4 2" xfId="18196" xr:uid="{00000000-0005-0000-0000-0000D6250000}"/>
    <cellStyle name="20% - Accent3 8 3 4 2 2" xfId="40798" xr:uid="{00000000-0005-0000-0000-0000D7250000}"/>
    <cellStyle name="20% - Accent3 8 3 4 3" xfId="29497" xr:uid="{00000000-0005-0000-0000-0000D8250000}"/>
    <cellStyle name="20% - Accent3 8 3 5" xfId="12546" xr:uid="{00000000-0005-0000-0000-0000D9250000}"/>
    <cellStyle name="20% - Accent3 8 3 5 2" xfId="35148" xr:uid="{00000000-0005-0000-0000-0000DA250000}"/>
    <cellStyle name="20% - Accent3 8 3 6" xfId="23847" xr:uid="{00000000-0005-0000-0000-0000DB250000}"/>
    <cellStyle name="20% - Accent3 8 4" xfId="1612" xr:uid="{00000000-0005-0000-0000-0000DC250000}"/>
    <cellStyle name="20% - Accent3 8 4 2" xfId="3570" xr:uid="{00000000-0005-0000-0000-0000DD250000}"/>
    <cellStyle name="20% - Accent3 8 4 2 2" xfId="9283" xr:uid="{00000000-0005-0000-0000-0000DE250000}"/>
    <cellStyle name="20% - Accent3 8 4 2 2 2" xfId="20584" xr:uid="{00000000-0005-0000-0000-0000DF250000}"/>
    <cellStyle name="20% - Accent3 8 4 2 2 2 2" xfId="43186" xr:uid="{00000000-0005-0000-0000-0000E0250000}"/>
    <cellStyle name="20% - Accent3 8 4 2 2 3" xfId="31885" xr:uid="{00000000-0005-0000-0000-0000E1250000}"/>
    <cellStyle name="20% - Accent3 8 4 2 3" xfId="14934" xr:uid="{00000000-0005-0000-0000-0000E2250000}"/>
    <cellStyle name="20% - Accent3 8 4 2 3 2" xfId="37536" xr:uid="{00000000-0005-0000-0000-0000E3250000}"/>
    <cellStyle name="20% - Accent3 8 4 2 4" xfId="26235" xr:uid="{00000000-0005-0000-0000-0000E4250000}"/>
    <cellStyle name="20% - Accent3 8 4 3" xfId="5318" xr:uid="{00000000-0005-0000-0000-0000E5250000}"/>
    <cellStyle name="20% - Accent3 8 4 3 2" xfId="10968" xr:uid="{00000000-0005-0000-0000-0000E6250000}"/>
    <cellStyle name="20% - Accent3 8 4 3 2 2" xfId="22269" xr:uid="{00000000-0005-0000-0000-0000E7250000}"/>
    <cellStyle name="20% - Accent3 8 4 3 2 2 2" xfId="44871" xr:uid="{00000000-0005-0000-0000-0000E8250000}"/>
    <cellStyle name="20% - Accent3 8 4 3 2 3" xfId="33570" xr:uid="{00000000-0005-0000-0000-0000E9250000}"/>
    <cellStyle name="20% - Accent3 8 4 3 3" xfId="16619" xr:uid="{00000000-0005-0000-0000-0000EA250000}"/>
    <cellStyle name="20% - Accent3 8 4 3 3 2" xfId="39221" xr:uid="{00000000-0005-0000-0000-0000EB250000}"/>
    <cellStyle name="20% - Accent3 8 4 3 4" xfId="27920" xr:uid="{00000000-0005-0000-0000-0000EC250000}"/>
    <cellStyle name="20% - Accent3 8 4 4" xfId="7468" xr:uid="{00000000-0005-0000-0000-0000ED250000}"/>
    <cellStyle name="20% - Accent3 8 4 4 2" xfId="18769" xr:uid="{00000000-0005-0000-0000-0000EE250000}"/>
    <cellStyle name="20% - Accent3 8 4 4 2 2" xfId="41371" xr:uid="{00000000-0005-0000-0000-0000EF250000}"/>
    <cellStyle name="20% - Accent3 8 4 4 3" xfId="30070" xr:uid="{00000000-0005-0000-0000-0000F0250000}"/>
    <cellStyle name="20% - Accent3 8 4 5" xfId="13119" xr:uid="{00000000-0005-0000-0000-0000F1250000}"/>
    <cellStyle name="20% - Accent3 8 4 5 2" xfId="35721" xr:uid="{00000000-0005-0000-0000-0000F2250000}"/>
    <cellStyle name="20% - Accent3 8 4 6" xfId="24420" xr:uid="{00000000-0005-0000-0000-0000F3250000}"/>
    <cellStyle name="20% - Accent3 8 5" xfId="2299" xr:uid="{00000000-0005-0000-0000-0000F4250000}"/>
    <cellStyle name="20% - Accent3 8 5 2" xfId="8135" xr:uid="{00000000-0005-0000-0000-0000F5250000}"/>
    <cellStyle name="20% - Accent3 8 5 2 2" xfId="19436" xr:uid="{00000000-0005-0000-0000-0000F6250000}"/>
    <cellStyle name="20% - Accent3 8 5 2 2 2" xfId="42038" xr:uid="{00000000-0005-0000-0000-0000F7250000}"/>
    <cellStyle name="20% - Accent3 8 5 2 3" xfId="30737" xr:uid="{00000000-0005-0000-0000-0000F8250000}"/>
    <cellStyle name="20% - Accent3 8 5 3" xfId="13786" xr:uid="{00000000-0005-0000-0000-0000F9250000}"/>
    <cellStyle name="20% - Accent3 8 5 3 2" xfId="36388" xr:uid="{00000000-0005-0000-0000-0000FA250000}"/>
    <cellStyle name="20% - Accent3 8 5 4" xfId="25087" xr:uid="{00000000-0005-0000-0000-0000FB250000}"/>
    <cellStyle name="20% - Accent3 8 6" xfId="4084" xr:uid="{00000000-0005-0000-0000-0000FC250000}"/>
    <cellStyle name="20% - Accent3 8 6 2" xfId="9734" xr:uid="{00000000-0005-0000-0000-0000FD250000}"/>
    <cellStyle name="20% - Accent3 8 6 2 2" xfId="21035" xr:uid="{00000000-0005-0000-0000-0000FE250000}"/>
    <cellStyle name="20% - Accent3 8 6 2 2 2" xfId="43637" xr:uid="{00000000-0005-0000-0000-0000FF250000}"/>
    <cellStyle name="20% - Accent3 8 6 2 3" xfId="32336" xr:uid="{00000000-0005-0000-0000-000000260000}"/>
    <cellStyle name="20% - Accent3 8 6 3" xfId="15385" xr:uid="{00000000-0005-0000-0000-000001260000}"/>
    <cellStyle name="20% - Accent3 8 6 3 2" xfId="37987" xr:uid="{00000000-0005-0000-0000-000002260000}"/>
    <cellStyle name="20% - Accent3 8 6 4" xfId="26686" xr:uid="{00000000-0005-0000-0000-000003260000}"/>
    <cellStyle name="20% - Accent3 8 7" xfId="6535" xr:uid="{00000000-0005-0000-0000-000004260000}"/>
    <cellStyle name="20% - Accent3 8 7 2" xfId="17836" xr:uid="{00000000-0005-0000-0000-000005260000}"/>
    <cellStyle name="20% - Accent3 8 7 2 2" xfId="40438" xr:uid="{00000000-0005-0000-0000-000006260000}"/>
    <cellStyle name="20% - Accent3 8 7 3" xfId="29137" xr:uid="{00000000-0005-0000-0000-000007260000}"/>
    <cellStyle name="20% - Accent3 8 8" xfId="12186" xr:uid="{00000000-0005-0000-0000-000008260000}"/>
    <cellStyle name="20% - Accent3 8 8 2" xfId="34788" xr:uid="{00000000-0005-0000-0000-000009260000}"/>
    <cellStyle name="20% - Accent3 8 9" xfId="23487" xr:uid="{00000000-0005-0000-0000-00000A260000}"/>
    <cellStyle name="20% - Accent3 9" xfId="640" xr:uid="{00000000-0005-0000-0000-00000B260000}"/>
    <cellStyle name="20% - Accent3 9 2" xfId="699" xr:uid="{00000000-0005-0000-0000-00000C260000}"/>
    <cellStyle name="20% - Accent3 9 2 2" xfId="3110" xr:uid="{00000000-0005-0000-0000-00000D260000}"/>
    <cellStyle name="20% - Accent3 9 2 2 2" xfId="6082" xr:uid="{00000000-0005-0000-0000-00000E260000}"/>
    <cellStyle name="20% - Accent3 9 2 2 2 2" xfId="11732" xr:uid="{00000000-0005-0000-0000-00000F260000}"/>
    <cellStyle name="20% - Accent3 9 2 2 2 2 2" xfId="23033" xr:uid="{00000000-0005-0000-0000-000010260000}"/>
    <cellStyle name="20% - Accent3 9 2 2 2 2 2 2" xfId="45635" xr:uid="{00000000-0005-0000-0000-000011260000}"/>
    <cellStyle name="20% - Accent3 9 2 2 2 2 3" xfId="34334" xr:uid="{00000000-0005-0000-0000-000012260000}"/>
    <cellStyle name="20% - Accent3 9 2 2 2 3" xfId="17383" xr:uid="{00000000-0005-0000-0000-000013260000}"/>
    <cellStyle name="20% - Accent3 9 2 2 2 3 2" xfId="39985" xr:uid="{00000000-0005-0000-0000-000014260000}"/>
    <cellStyle name="20% - Accent3 9 2 2 2 4" xfId="28684" xr:uid="{00000000-0005-0000-0000-000015260000}"/>
    <cellStyle name="20% - Accent3 9 2 2 3" xfId="8900" xr:uid="{00000000-0005-0000-0000-000016260000}"/>
    <cellStyle name="20% - Accent3 9 2 2 3 2" xfId="20201" xr:uid="{00000000-0005-0000-0000-000017260000}"/>
    <cellStyle name="20% - Accent3 9 2 2 3 2 2" xfId="42803" xr:uid="{00000000-0005-0000-0000-000018260000}"/>
    <cellStyle name="20% - Accent3 9 2 2 3 3" xfId="31502" xr:uid="{00000000-0005-0000-0000-000019260000}"/>
    <cellStyle name="20% - Accent3 9 2 2 4" xfId="14551" xr:uid="{00000000-0005-0000-0000-00001A260000}"/>
    <cellStyle name="20% - Accent3 9 2 2 4 2" xfId="37153" xr:uid="{00000000-0005-0000-0000-00001B260000}"/>
    <cellStyle name="20% - Accent3 9 2 2 5" xfId="25852" xr:uid="{00000000-0005-0000-0000-00001C260000}"/>
    <cellStyle name="20% - Accent3 9 2 3" xfId="4848" xr:uid="{00000000-0005-0000-0000-00001D260000}"/>
    <cellStyle name="20% - Accent3 9 2 3 2" xfId="10498" xr:uid="{00000000-0005-0000-0000-00001E260000}"/>
    <cellStyle name="20% - Accent3 9 2 3 2 2" xfId="21799" xr:uid="{00000000-0005-0000-0000-00001F260000}"/>
    <cellStyle name="20% - Accent3 9 2 3 2 2 2" xfId="44401" xr:uid="{00000000-0005-0000-0000-000020260000}"/>
    <cellStyle name="20% - Accent3 9 2 3 2 3" xfId="33100" xr:uid="{00000000-0005-0000-0000-000021260000}"/>
    <cellStyle name="20% - Accent3 9 2 3 3" xfId="16149" xr:uid="{00000000-0005-0000-0000-000022260000}"/>
    <cellStyle name="20% - Accent3 9 2 3 3 2" xfId="38751" xr:uid="{00000000-0005-0000-0000-000023260000}"/>
    <cellStyle name="20% - Accent3 9 2 3 4" xfId="27450" xr:uid="{00000000-0005-0000-0000-000024260000}"/>
    <cellStyle name="20% - Accent3 9 2 4" xfId="6724" xr:uid="{00000000-0005-0000-0000-000025260000}"/>
    <cellStyle name="20% - Accent3 9 2 4 2" xfId="18025" xr:uid="{00000000-0005-0000-0000-000026260000}"/>
    <cellStyle name="20% - Accent3 9 2 4 2 2" xfId="40627" xr:uid="{00000000-0005-0000-0000-000027260000}"/>
    <cellStyle name="20% - Accent3 9 2 4 3" xfId="29326" xr:uid="{00000000-0005-0000-0000-000028260000}"/>
    <cellStyle name="20% - Accent3 9 2 5" xfId="12375" xr:uid="{00000000-0005-0000-0000-000029260000}"/>
    <cellStyle name="20% - Accent3 9 2 5 2" xfId="34977" xr:uid="{00000000-0005-0000-0000-00002A260000}"/>
    <cellStyle name="20% - Accent3 9 2 6" xfId="23676" xr:uid="{00000000-0005-0000-0000-00002B260000}"/>
    <cellStyle name="20% - Accent3 9 3" xfId="1614" xr:uid="{00000000-0005-0000-0000-00002C260000}"/>
    <cellStyle name="20% - Accent3 9 3 2" xfId="3571" xr:uid="{00000000-0005-0000-0000-00002D260000}"/>
    <cellStyle name="20% - Accent3 9 3 2 2" xfId="9284" xr:uid="{00000000-0005-0000-0000-00002E260000}"/>
    <cellStyle name="20% - Accent3 9 3 2 2 2" xfId="20585" xr:uid="{00000000-0005-0000-0000-00002F260000}"/>
    <cellStyle name="20% - Accent3 9 3 2 2 2 2" xfId="43187" xr:uid="{00000000-0005-0000-0000-000030260000}"/>
    <cellStyle name="20% - Accent3 9 3 2 2 3" xfId="31886" xr:uid="{00000000-0005-0000-0000-000031260000}"/>
    <cellStyle name="20% - Accent3 9 3 2 3" xfId="14935" xr:uid="{00000000-0005-0000-0000-000032260000}"/>
    <cellStyle name="20% - Accent3 9 3 2 3 2" xfId="37537" xr:uid="{00000000-0005-0000-0000-000033260000}"/>
    <cellStyle name="20% - Accent3 9 3 2 4" xfId="26236" xr:uid="{00000000-0005-0000-0000-000034260000}"/>
    <cellStyle name="20% - Accent3 9 3 3" xfId="5458" xr:uid="{00000000-0005-0000-0000-000035260000}"/>
    <cellStyle name="20% - Accent3 9 3 3 2" xfId="11108" xr:uid="{00000000-0005-0000-0000-000036260000}"/>
    <cellStyle name="20% - Accent3 9 3 3 2 2" xfId="22409" xr:uid="{00000000-0005-0000-0000-000037260000}"/>
    <cellStyle name="20% - Accent3 9 3 3 2 2 2" xfId="45011" xr:uid="{00000000-0005-0000-0000-000038260000}"/>
    <cellStyle name="20% - Accent3 9 3 3 2 3" xfId="33710" xr:uid="{00000000-0005-0000-0000-000039260000}"/>
    <cellStyle name="20% - Accent3 9 3 3 3" xfId="16759" xr:uid="{00000000-0005-0000-0000-00003A260000}"/>
    <cellStyle name="20% - Accent3 9 3 3 3 2" xfId="39361" xr:uid="{00000000-0005-0000-0000-00003B260000}"/>
    <cellStyle name="20% - Accent3 9 3 3 4" xfId="28060" xr:uid="{00000000-0005-0000-0000-00003C260000}"/>
    <cellStyle name="20% - Accent3 9 3 4" xfId="7470" xr:uid="{00000000-0005-0000-0000-00003D260000}"/>
    <cellStyle name="20% - Accent3 9 3 4 2" xfId="18771" xr:uid="{00000000-0005-0000-0000-00003E260000}"/>
    <cellStyle name="20% - Accent3 9 3 4 2 2" xfId="41373" xr:uid="{00000000-0005-0000-0000-00003F260000}"/>
    <cellStyle name="20% - Accent3 9 3 4 3" xfId="30072" xr:uid="{00000000-0005-0000-0000-000040260000}"/>
    <cellStyle name="20% - Accent3 9 3 5" xfId="13121" xr:uid="{00000000-0005-0000-0000-000041260000}"/>
    <cellStyle name="20% - Accent3 9 3 5 2" xfId="35723" xr:uid="{00000000-0005-0000-0000-000042260000}"/>
    <cellStyle name="20% - Accent3 9 3 6" xfId="24422" xr:uid="{00000000-0005-0000-0000-000043260000}"/>
    <cellStyle name="20% - Accent3 9 4" xfId="2439" xr:uid="{00000000-0005-0000-0000-000044260000}"/>
    <cellStyle name="20% - Accent3 9 4 2" xfId="8275" xr:uid="{00000000-0005-0000-0000-000045260000}"/>
    <cellStyle name="20% - Accent3 9 4 2 2" xfId="19576" xr:uid="{00000000-0005-0000-0000-000046260000}"/>
    <cellStyle name="20% - Accent3 9 4 2 2 2" xfId="42178" xr:uid="{00000000-0005-0000-0000-000047260000}"/>
    <cellStyle name="20% - Accent3 9 4 2 3" xfId="30877" xr:uid="{00000000-0005-0000-0000-000048260000}"/>
    <cellStyle name="20% - Accent3 9 4 3" xfId="13926" xr:uid="{00000000-0005-0000-0000-000049260000}"/>
    <cellStyle name="20% - Accent3 9 4 3 2" xfId="36528" xr:uid="{00000000-0005-0000-0000-00004A260000}"/>
    <cellStyle name="20% - Accent3 9 4 4" xfId="25227" xr:uid="{00000000-0005-0000-0000-00004B260000}"/>
    <cellStyle name="20% - Accent3 9 5" xfId="4224" xr:uid="{00000000-0005-0000-0000-00004C260000}"/>
    <cellStyle name="20% - Accent3 9 5 2" xfId="9874" xr:uid="{00000000-0005-0000-0000-00004D260000}"/>
    <cellStyle name="20% - Accent3 9 5 2 2" xfId="21175" xr:uid="{00000000-0005-0000-0000-00004E260000}"/>
    <cellStyle name="20% - Accent3 9 5 2 2 2" xfId="43777" xr:uid="{00000000-0005-0000-0000-00004F260000}"/>
    <cellStyle name="20% - Accent3 9 5 2 3" xfId="32476" xr:uid="{00000000-0005-0000-0000-000050260000}"/>
    <cellStyle name="20% - Accent3 9 5 3" xfId="15525" xr:uid="{00000000-0005-0000-0000-000051260000}"/>
    <cellStyle name="20% - Accent3 9 5 3 2" xfId="38127" xr:uid="{00000000-0005-0000-0000-000052260000}"/>
    <cellStyle name="20% - Accent3 9 5 4" xfId="26826" xr:uid="{00000000-0005-0000-0000-000053260000}"/>
    <cellStyle name="20% - Accent3 9 6" xfId="6703" xr:uid="{00000000-0005-0000-0000-000054260000}"/>
    <cellStyle name="20% - Accent3 9 6 2" xfId="18004" xr:uid="{00000000-0005-0000-0000-000055260000}"/>
    <cellStyle name="20% - Accent3 9 6 2 2" xfId="40606" xr:uid="{00000000-0005-0000-0000-000056260000}"/>
    <cellStyle name="20% - Accent3 9 6 3" xfId="29305" xr:uid="{00000000-0005-0000-0000-000057260000}"/>
    <cellStyle name="20% - Accent3 9 7" xfId="12354" xr:uid="{00000000-0005-0000-0000-000058260000}"/>
    <cellStyle name="20% - Accent3 9 7 2" xfId="34956" xr:uid="{00000000-0005-0000-0000-000059260000}"/>
    <cellStyle name="20% - Accent3 9 8" xfId="23655" xr:uid="{00000000-0005-0000-0000-00005A260000}"/>
    <cellStyle name="20% - Accent4 10" xfId="1424" xr:uid="{00000000-0005-0000-0000-00005B260000}"/>
    <cellStyle name="20% - Accent4 10 2" xfId="1615" xr:uid="{00000000-0005-0000-0000-00005C260000}"/>
    <cellStyle name="20% - Accent4 10 2 2" xfId="3272" xr:uid="{00000000-0005-0000-0000-00005D260000}"/>
    <cellStyle name="20% - Accent4 10 2 2 2" xfId="6244" xr:uid="{00000000-0005-0000-0000-00005E260000}"/>
    <cellStyle name="20% - Accent4 10 2 2 2 2" xfId="11894" xr:uid="{00000000-0005-0000-0000-00005F260000}"/>
    <cellStyle name="20% - Accent4 10 2 2 2 2 2" xfId="23195" xr:uid="{00000000-0005-0000-0000-000060260000}"/>
    <cellStyle name="20% - Accent4 10 2 2 2 2 2 2" xfId="45797" xr:uid="{00000000-0005-0000-0000-000061260000}"/>
    <cellStyle name="20% - Accent4 10 2 2 2 2 3" xfId="34496" xr:uid="{00000000-0005-0000-0000-000062260000}"/>
    <cellStyle name="20% - Accent4 10 2 2 2 3" xfId="17545" xr:uid="{00000000-0005-0000-0000-000063260000}"/>
    <cellStyle name="20% - Accent4 10 2 2 2 3 2" xfId="40147" xr:uid="{00000000-0005-0000-0000-000064260000}"/>
    <cellStyle name="20% - Accent4 10 2 2 2 4" xfId="28846" xr:uid="{00000000-0005-0000-0000-000065260000}"/>
    <cellStyle name="20% - Accent4 10 2 2 3" xfId="9062" xr:uid="{00000000-0005-0000-0000-000066260000}"/>
    <cellStyle name="20% - Accent4 10 2 2 3 2" xfId="20363" xr:uid="{00000000-0005-0000-0000-000067260000}"/>
    <cellStyle name="20% - Accent4 10 2 2 3 2 2" xfId="42965" xr:uid="{00000000-0005-0000-0000-000068260000}"/>
    <cellStyle name="20% - Accent4 10 2 2 3 3" xfId="31664" xr:uid="{00000000-0005-0000-0000-000069260000}"/>
    <cellStyle name="20% - Accent4 10 2 2 4" xfId="14713" xr:uid="{00000000-0005-0000-0000-00006A260000}"/>
    <cellStyle name="20% - Accent4 10 2 2 4 2" xfId="37315" xr:uid="{00000000-0005-0000-0000-00006B260000}"/>
    <cellStyle name="20% - Accent4 10 2 2 5" xfId="26014" xr:uid="{00000000-0005-0000-0000-00006C260000}"/>
    <cellStyle name="20% - Accent4 10 2 3" xfId="5010" xr:uid="{00000000-0005-0000-0000-00006D260000}"/>
    <cellStyle name="20% - Accent4 10 2 3 2" xfId="10660" xr:uid="{00000000-0005-0000-0000-00006E260000}"/>
    <cellStyle name="20% - Accent4 10 2 3 2 2" xfId="21961" xr:uid="{00000000-0005-0000-0000-00006F260000}"/>
    <cellStyle name="20% - Accent4 10 2 3 2 2 2" xfId="44563" xr:uid="{00000000-0005-0000-0000-000070260000}"/>
    <cellStyle name="20% - Accent4 10 2 3 2 3" xfId="33262" xr:uid="{00000000-0005-0000-0000-000071260000}"/>
    <cellStyle name="20% - Accent4 10 2 3 3" xfId="16311" xr:uid="{00000000-0005-0000-0000-000072260000}"/>
    <cellStyle name="20% - Accent4 10 2 3 3 2" xfId="38913" xr:uid="{00000000-0005-0000-0000-000073260000}"/>
    <cellStyle name="20% - Accent4 10 2 3 4" xfId="27612" xr:uid="{00000000-0005-0000-0000-000074260000}"/>
    <cellStyle name="20% - Accent4 10 2 4" xfId="7471" xr:uid="{00000000-0005-0000-0000-000075260000}"/>
    <cellStyle name="20% - Accent4 10 2 4 2" xfId="18772" xr:uid="{00000000-0005-0000-0000-000076260000}"/>
    <cellStyle name="20% - Accent4 10 2 4 2 2" xfId="41374" xr:uid="{00000000-0005-0000-0000-000077260000}"/>
    <cellStyle name="20% - Accent4 10 2 4 3" xfId="30073" xr:uid="{00000000-0005-0000-0000-000078260000}"/>
    <cellStyle name="20% - Accent4 10 2 5" xfId="13122" xr:uid="{00000000-0005-0000-0000-000079260000}"/>
    <cellStyle name="20% - Accent4 10 2 5 2" xfId="35724" xr:uid="{00000000-0005-0000-0000-00007A260000}"/>
    <cellStyle name="20% - Accent4 10 2 6" xfId="24423" xr:uid="{00000000-0005-0000-0000-00007B260000}"/>
    <cellStyle name="20% - Accent4 10 3" xfId="2601" xr:uid="{00000000-0005-0000-0000-00007C260000}"/>
    <cellStyle name="20% - Accent4 10 3 2" xfId="5620" xr:uid="{00000000-0005-0000-0000-00007D260000}"/>
    <cellStyle name="20% - Accent4 10 3 2 2" xfId="11270" xr:uid="{00000000-0005-0000-0000-00007E260000}"/>
    <cellStyle name="20% - Accent4 10 3 2 2 2" xfId="22571" xr:uid="{00000000-0005-0000-0000-00007F260000}"/>
    <cellStyle name="20% - Accent4 10 3 2 2 2 2" xfId="45173" xr:uid="{00000000-0005-0000-0000-000080260000}"/>
    <cellStyle name="20% - Accent4 10 3 2 2 3" xfId="33872" xr:uid="{00000000-0005-0000-0000-000081260000}"/>
    <cellStyle name="20% - Accent4 10 3 2 3" xfId="16921" xr:uid="{00000000-0005-0000-0000-000082260000}"/>
    <cellStyle name="20% - Accent4 10 3 2 3 2" xfId="39523" xr:uid="{00000000-0005-0000-0000-000083260000}"/>
    <cellStyle name="20% - Accent4 10 3 2 4" xfId="28222" xr:uid="{00000000-0005-0000-0000-000084260000}"/>
    <cellStyle name="20% - Accent4 10 3 3" xfId="8437" xr:uid="{00000000-0005-0000-0000-000085260000}"/>
    <cellStyle name="20% - Accent4 10 3 3 2" xfId="19738" xr:uid="{00000000-0005-0000-0000-000086260000}"/>
    <cellStyle name="20% - Accent4 10 3 3 2 2" xfId="42340" xr:uid="{00000000-0005-0000-0000-000087260000}"/>
    <cellStyle name="20% - Accent4 10 3 3 3" xfId="31039" xr:uid="{00000000-0005-0000-0000-000088260000}"/>
    <cellStyle name="20% - Accent4 10 3 4" xfId="14088" xr:uid="{00000000-0005-0000-0000-000089260000}"/>
    <cellStyle name="20% - Accent4 10 3 4 2" xfId="36690" xr:uid="{00000000-0005-0000-0000-00008A260000}"/>
    <cellStyle name="20% - Accent4 10 3 5" xfId="25389" xr:uid="{00000000-0005-0000-0000-00008B260000}"/>
    <cellStyle name="20% - Accent4 10 4" xfId="4386" xr:uid="{00000000-0005-0000-0000-00008C260000}"/>
    <cellStyle name="20% - Accent4 10 4 2" xfId="10036" xr:uid="{00000000-0005-0000-0000-00008D260000}"/>
    <cellStyle name="20% - Accent4 10 4 2 2" xfId="21337" xr:uid="{00000000-0005-0000-0000-00008E260000}"/>
    <cellStyle name="20% - Accent4 10 4 2 2 2" xfId="43939" xr:uid="{00000000-0005-0000-0000-00008F260000}"/>
    <cellStyle name="20% - Accent4 10 4 2 3" xfId="32638" xr:uid="{00000000-0005-0000-0000-000090260000}"/>
    <cellStyle name="20% - Accent4 10 4 3" xfId="15687" xr:uid="{00000000-0005-0000-0000-000091260000}"/>
    <cellStyle name="20% - Accent4 10 4 3 2" xfId="38289" xr:uid="{00000000-0005-0000-0000-000092260000}"/>
    <cellStyle name="20% - Accent4 10 4 4" xfId="26988" xr:uid="{00000000-0005-0000-0000-000093260000}"/>
    <cellStyle name="20% - Accent4 10 5" xfId="7329" xr:uid="{00000000-0005-0000-0000-000094260000}"/>
    <cellStyle name="20% - Accent4 10 5 2" xfId="18630" xr:uid="{00000000-0005-0000-0000-000095260000}"/>
    <cellStyle name="20% - Accent4 10 5 2 2" xfId="41232" xr:uid="{00000000-0005-0000-0000-000096260000}"/>
    <cellStyle name="20% - Accent4 10 5 3" xfId="29931" xr:uid="{00000000-0005-0000-0000-000097260000}"/>
    <cellStyle name="20% - Accent4 10 6" xfId="12980" xr:uid="{00000000-0005-0000-0000-000098260000}"/>
    <cellStyle name="20% - Accent4 10 6 2" xfId="35582" xr:uid="{00000000-0005-0000-0000-000099260000}"/>
    <cellStyle name="20% - Accent4 10 7" xfId="24281" xr:uid="{00000000-0005-0000-0000-00009A260000}"/>
    <cellStyle name="20% - Accent4 11" xfId="1353" xr:uid="{00000000-0005-0000-0000-00009B260000}"/>
    <cellStyle name="20% - Accent4 11 2" xfId="1616" xr:uid="{00000000-0005-0000-0000-00009C260000}"/>
    <cellStyle name="20% - Accent4 11 2 2" xfId="3572" xr:uid="{00000000-0005-0000-0000-00009D260000}"/>
    <cellStyle name="20% - Accent4 11 2 2 2" xfId="9285" xr:uid="{00000000-0005-0000-0000-00009E260000}"/>
    <cellStyle name="20% - Accent4 11 2 2 2 2" xfId="20586" xr:uid="{00000000-0005-0000-0000-00009F260000}"/>
    <cellStyle name="20% - Accent4 11 2 2 2 2 2" xfId="43188" xr:uid="{00000000-0005-0000-0000-0000A0260000}"/>
    <cellStyle name="20% - Accent4 11 2 2 2 3" xfId="31887" xr:uid="{00000000-0005-0000-0000-0000A1260000}"/>
    <cellStyle name="20% - Accent4 11 2 2 3" xfId="14936" xr:uid="{00000000-0005-0000-0000-0000A2260000}"/>
    <cellStyle name="20% - Accent4 11 2 2 3 2" xfId="37538" xr:uid="{00000000-0005-0000-0000-0000A3260000}"/>
    <cellStyle name="20% - Accent4 11 2 2 4" xfId="26237" xr:uid="{00000000-0005-0000-0000-0000A4260000}"/>
    <cellStyle name="20% - Accent4 11 2 3" xfId="7472" xr:uid="{00000000-0005-0000-0000-0000A5260000}"/>
    <cellStyle name="20% - Accent4 11 2 3 2" xfId="18773" xr:uid="{00000000-0005-0000-0000-0000A6260000}"/>
    <cellStyle name="20% - Accent4 11 2 3 2 2" xfId="41375" xr:uid="{00000000-0005-0000-0000-0000A7260000}"/>
    <cellStyle name="20% - Accent4 11 2 3 3" xfId="30074" xr:uid="{00000000-0005-0000-0000-0000A8260000}"/>
    <cellStyle name="20% - Accent4 11 2 4" xfId="13123" xr:uid="{00000000-0005-0000-0000-0000A9260000}"/>
    <cellStyle name="20% - Accent4 11 2 4 2" xfId="35725" xr:uid="{00000000-0005-0000-0000-0000AA260000}"/>
    <cellStyle name="20% - Accent4 11 2 5" xfId="24424" xr:uid="{00000000-0005-0000-0000-0000AB260000}"/>
    <cellStyle name="20% - Accent4 11 3" xfId="2123" xr:uid="{00000000-0005-0000-0000-0000AC260000}"/>
    <cellStyle name="20% - Accent4 11 3 2" xfId="7967" xr:uid="{00000000-0005-0000-0000-0000AD260000}"/>
    <cellStyle name="20% - Accent4 11 3 2 2" xfId="19268" xr:uid="{00000000-0005-0000-0000-0000AE260000}"/>
    <cellStyle name="20% - Accent4 11 3 2 2 2" xfId="41870" xr:uid="{00000000-0005-0000-0000-0000AF260000}"/>
    <cellStyle name="20% - Accent4 11 3 2 3" xfId="30569" xr:uid="{00000000-0005-0000-0000-0000B0260000}"/>
    <cellStyle name="20% - Accent4 11 3 3" xfId="13618" xr:uid="{00000000-0005-0000-0000-0000B1260000}"/>
    <cellStyle name="20% - Accent4 11 3 3 2" xfId="36220" xr:uid="{00000000-0005-0000-0000-0000B2260000}"/>
    <cellStyle name="20% - Accent4 11 3 4" xfId="24919" xr:uid="{00000000-0005-0000-0000-0000B3260000}"/>
    <cellStyle name="20% - Accent4 11 4" xfId="3919" xr:uid="{00000000-0005-0000-0000-0000B4260000}"/>
    <cellStyle name="20% - Accent4 11 4 2" xfId="9569" xr:uid="{00000000-0005-0000-0000-0000B5260000}"/>
    <cellStyle name="20% - Accent4 11 4 2 2" xfId="20870" xr:uid="{00000000-0005-0000-0000-0000B6260000}"/>
    <cellStyle name="20% - Accent4 11 4 2 2 2" xfId="43472" xr:uid="{00000000-0005-0000-0000-0000B7260000}"/>
    <cellStyle name="20% - Accent4 11 4 2 3" xfId="32171" xr:uid="{00000000-0005-0000-0000-0000B8260000}"/>
    <cellStyle name="20% - Accent4 11 4 3" xfId="15220" xr:uid="{00000000-0005-0000-0000-0000B9260000}"/>
    <cellStyle name="20% - Accent4 11 4 3 2" xfId="37822" xr:uid="{00000000-0005-0000-0000-0000BA260000}"/>
    <cellStyle name="20% - Accent4 11 4 4" xfId="26521" xr:uid="{00000000-0005-0000-0000-0000BB260000}"/>
    <cellStyle name="20% - Accent4 11 5" xfId="7322" xr:uid="{00000000-0005-0000-0000-0000BC260000}"/>
    <cellStyle name="20% - Accent4 11 5 2" xfId="18623" xr:uid="{00000000-0005-0000-0000-0000BD260000}"/>
    <cellStyle name="20% - Accent4 11 5 2 2" xfId="41225" xr:uid="{00000000-0005-0000-0000-0000BE260000}"/>
    <cellStyle name="20% - Accent4 11 5 3" xfId="29924" xr:uid="{00000000-0005-0000-0000-0000BF260000}"/>
    <cellStyle name="20% - Accent4 11 6" xfId="12973" xr:uid="{00000000-0005-0000-0000-0000C0260000}"/>
    <cellStyle name="20% - Accent4 11 6 2" xfId="35575" xr:uid="{00000000-0005-0000-0000-0000C1260000}"/>
    <cellStyle name="20% - Accent4 11 7" xfId="24274" xr:uid="{00000000-0005-0000-0000-0000C2260000}"/>
    <cellStyle name="20% - Accent4 12" xfId="1457" xr:uid="{00000000-0005-0000-0000-0000C3260000}"/>
    <cellStyle name="20% - Accent4 12 2" xfId="3880" xr:uid="{00000000-0005-0000-0000-0000C4260000}"/>
    <cellStyle name="20% - Accent4 12 2 2" xfId="9553" xr:uid="{00000000-0005-0000-0000-0000C5260000}"/>
    <cellStyle name="20% - Accent4 12 2 2 2" xfId="20854" xr:uid="{00000000-0005-0000-0000-0000C6260000}"/>
    <cellStyle name="20% - Accent4 12 2 2 2 2" xfId="43456" xr:uid="{00000000-0005-0000-0000-0000C7260000}"/>
    <cellStyle name="20% - Accent4 12 2 2 3" xfId="32155" xr:uid="{00000000-0005-0000-0000-0000C8260000}"/>
    <cellStyle name="20% - Accent4 12 2 3" xfId="15204" xr:uid="{00000000-0005-0000-0000-0000C9260000}"/>
    <cellStyle name="20% - Accent4 12 2 3 2" xfId="37806" xr:uid="{00000000-0005-0000-0000-0000CA260000}"/>
    <cellStyle name="20% - Accent4 12 2 4" xfId="26505" xr:uid="{00000000-0005-0000-0000-0000CB260000}"/>
    <cellStyle name="20% - Accent4 13" xfId="3433" xr:uid="{00000000-0005-0000-0000-0000CC260000}"/>
    <cellStyle name="20% - Accent4 14" xfId="49" xr:uid="{00000000-0005-0000-0000-0000CD260000}"/>
    <cellStyle name="20% - Accent4 2" xfId="90" xr:uid="{00000000-0005-0000-0000-0000CE260000}"/>
    <cellStyle name="20% - Accent4 2 2" xfId="311" xr:uid="{00000000-0005-0000-0000-0000CF260000}"/>
    <cellStyle name="20% - Accent4 2 2 10" xfId="23419" xr:uid="{00000000-0005-0000-0000-0000D0260000}"/>
    <cellStyle name="20% - Accent4 2 2 2" xfId="569" xr:uid="{00000000-0005-0000-0000-0000D1260000}"/>
    <cellStyle name="20% - Accent4 2 2 2 2" xfId="1279" xr:uid="{00000000-0005-0000-0000-0000D2260000}"/>
    <cellStyle name="20% - Accent4 2 2 2 2 2" xfId="1619" xr:uid="{00000000-0005-0000-0000-0000D3260000}"/>
    <cellStyle name="20% - Accent4 2 2 2 2 2 2" xfId="3348" xr:uid="{00000000-0005-0000-0000-0000D4260000}"/>
    <cellStyle name="20% - Accent4 2 2 2 2 2 2 2" xfId="6320" xr:uid="{00000000-0005-0000-0000-0000D5260000}"/>
    <cellStyle name="20% - Accent4 2 2 2 2 2 2 2 2" xfId="11970" xr:uid="{00000000-0005-0000-0000-0000D6260000}"/>
    <cellStyle name="20% - Accent4 2 2 2 2 2 2 2 2 2" xfId="23271" xr:uid="{00000000-0005-0000-0000-0000D7260000}"/>
    <cellStyle name="20% - Accent4 2 2 2 2 2 2 2 2 2 2" xfId="45873" xr:uid="{00000000-0005-0000-0000-0000D8260000}"/>
    <cellStyle name="20% - Accent4 2 2 2 2 2 2 2 2 3" xfId="34572" xr:uid="{00000000-0005-0000-0000-0000D9260000}"/>
    <cellStyle name="20% - Accent4 2 2 2 2 2 2 2 3" xfId="17621" xr:uid="{00000000-0005-0000-0000-0000DA260000}"/>
    <cellStyle name="20% - Accent4 2 2 2 2 2 2 2 3 2" xfId="40223" xr:uid="{00000000-0005-0000-0000-0000DB260000}"/>
    <cellStyle name="20% - Accent4 2 2 2 2 2 2 2 4" xfId="28922" xr:uid="{00000000-0005-0000-0000-0000DC260000}"/>
    <cellStyle name="20% - Accent4 2 2 2 2 2 2 3" xfId="9138" xr:uid="{00000000-0005-0000-0000-0000DD260000}"/>
    <cellStyle name="20% - Accent4 2 2 2 2 2 2 3 2" xfId="20439" xr:uid="{00000000-0005-0000-0000-0000DE260000}"/>
    <cellStyle name="20% - Accent4 2 2 2 2 2 2 3 2 2" xfId="43041" xr:uid="{00000000-0005-0000-0000-0000DF260000}"/>
    <cellStyle name="20% - Accent4 2 2 2 2 2 2 3 3" xfId="31740" xr:uid="{00000000-0005-0000-0000-0000E0260000}"/>
    <cellStyle name="20% - Accent4 2 2 2 2 2 2 4" xfId="14789" xr:uid="{00000000-0005-0000-0000-0000E1260000}"/>
    <cellStyle name="20% - Accent4 2 2 2 2 2 2 4 2" xfId="37391" xr:uid="{00000000-0005-0000-0000-0000E2260000}"/>
    <cellStyle name="20% - Accent4 2 2 2 2 2 2 5" xfId="26090" xr:uid="{00000000-0005-0000-0000-0000E3260000}"/>
    <cellStyle name="20% - Accent4 2 2 2 2 2 3" xfId="5086" xr:uid="{00000000-0005-0000-0000-0000E4260000}"/>
    <cellStyle name="20% - Accent4 2 2 2 2 2 3 2" xfId="10736" xr:uid="{00000000-0005-0000-0000-0000E5260000}"/>
    <cellStyle name="20% - Accent4 2 2 2 2 2 3 2 2" xfId="22037" xr:uid="{00000000-0005-0000-0000-0000E6260000}"/>
    <cellStyle name="20% - Accent4 2 2 2 2 2 3 2 2 2" xfId="44639" xr:uid="{00000000-0005-0000-0000-0000E7260000}"/>
    <cellStyle name="20% - Accent4 2 2 2 2 2 3 2 3" xfId="33338" xr:uid="{00000000-0005-0000-0000-0000E8260000}"/>
    <cellStyle name="20% - Accent4 2 2 2 2 2 3 3" xfId="16387" xr:uid="{00000000-0005-0000-0000-0000E9260000}"/>
    <cellStyle name="20% - Accent4 2 2 2 2 2 3 3 2" xfId="38989" xr:uid="{00000000-0005-0000-0000-0000EA260000}"/>
    <cellStyle name="20% - Accent4 2 2 2 2 2 3 4" xfId="27688" xr:uid="{00000000-0005-0000-0000-0000EB260000}"/>
    <cellStyle name="20% - Accent4 2 2 2 2 2 4" xfId="7475" xr:uid="{00000000-0005-0000-0000-0000EC260000}"/>
    <cellStyle name="20% - Accent4 2 2 2 2 2 4 2" xfId="18776" xr:uid="{00000000-0005-0000-0000-0000ED260000}"/>
    <cellStyle name="20% - Accent4 2 2 2 2 2 4 2 2" xfId="41378" xr:uid="{00000000-0005-0000-0000-0000EE260000}"/>
    <cellStyle name="20% - Accent4 2 2 2 2 2 4 3" xfId="30077" xr:uid="{00000000-0005-0000-0000-0000EF260000}"/>
    <cellStyle name="20% - Accent4 2 2 2 2 2 5" xfId="13126" xr:uid="{00000000-0005-0000-0000-0000F0260000}"/>
    <cellStyle name="20% - Accent4 2 2 2 2 2 5 2" xfId="35728" xr:uid="{00000000-0005-0000-0000-0000F1260000}"/>
    <cellStyle name="20% - Accent4 2 2 2 2 2 6" xfId="24427" xr:uid="{00000000-0005-0000-0000-0000F2260000}"/>
    <cellStyle name="20% - Accent4 2 2 2 2 3" xfId="2677" xr:uid="{00000000-0005-0000-0000-0000F3260000}"/>
    <cellStyle name="20% - Accent4 2 2 2 2 3 2" xfId="5696" xr:uid="{00000000-0005-0000-0000-0000F4260000}"/>
    <cellStyle name="20% - Accent4 2 2 2 2 3 2 2" xfId="11346" xr:uid="{00000000-0005-0000-0000-0000F5260000}"/>
    <cellStyle name="20% - Accent4 2 2 2 2 3 2 2 2" xfId="22647" xr:uid="{00000000-0005-0000-0000-0000F6260000}"/>
    <cellStyle name="20% - Accent4 2 2 2 2 3 2 2 2 2" xfId="45249" xr:uid="{00000000-0005-0000-0000-0000F7260000}"/>
    <cellStyle name="20% - Accent4 2 2 2 2 3 2 2 3" xfId="33948" xr:uid="{00000000-0005-0000-0000-0000F8260000}"/>
    <cellStyle name="20% - Accent4 2 2 2 2 3 2 3" xfId="16997" xr:uid="{00000000-0005-0000-0000-0000F9260000}"/>
    <cellStyle name="20% - Accent4 2 2 2 2 3 2 3 2" xfId="39599" xr:uid="{00000000-0005-0000-0000-0000FA260000}"/>
    <cellStyle name="20% - Accent4 2 2 2 2 3 2 4" xfId="28298" xr:uid="{00000000-0005-0000-0000-0000FB260000}"/>
    <cellStyle name="20% - Accent4 2 2 2 2 3 3" xfId="8513" xr:uid="{00000000-0005-0000-0000-0000FC260000}"/>
    <cellStyle name="20% - Accent4 2 2 2 2 3 3 2" xfId="19814" xr:uid="{00000000-0005-0000-0000-0000FD260000}"/>
    <cellStyle name="20% - Accent4 2 2 2 2 3 3 2 2" xfId="42416" xr:uid="{00000000-0005-0000-0000-0000FE260000}"/>
    <cellStyle name="20% - Accent4 2 2 2 2 3 3 3" xfId="31115" xr:uid="{00000000-0005-0000-0000-0000FF260000}"/>
    <cellStyle name="20% - Accent4 2 2 2 2 3 4" xfId="14164" xr:uid="{00000000-0005-0000-0000-000000270000}"/>
    <cellStyle name="20% - Accent4 2 2 2 2 3 4 2" xfId="36766" xr:uid="{00000000-0005-0000-0000-000001270000}"/>
    <cellStyle name="20% - Accent4 2 2 2 2 3 5" xfId="25465" xr:uid="{00000000-0005-0000-0000-000002270000}"/>
    <cellStyle name="20% - Accent4 2 2 2 2 4" xfId="4462" xr:uid="{00000000-0005-0000-0000-000003270000}"/>
    <cellStyle name="20% - Accent4 2 2 2 2 4 2" xfId="10112" xr:uid="{00000000-0005-0000-0000-000004270000}"/>
    <cellStyle name="20% - Accent4 2 2 2 2 4 2 2" xfId="21413" xr:uid="{00000000-0005-0000-0000-000005270000}"/>
    <cellStyle name="20% - Accent4 2 2 2 2 4 2 2 2" xfId="44015" xr:uid="{00000000-0005-0000-0000-000006270000}"/>
    <cellStyle name="20% - Accent4 2 2 2 2 4 2 3" xfId="32714" xr:uid="{00000000-0005-0000-0000-000007270000}"/>
    <cellStyle name="20% - Accent4 2 2 2 2 4 3" xfId="15763" xr:uid="{00000000-0005-0000-0000-000008270000}"/>
    <cellStyle name="20% - Accent4 2 2 2 2 4 3 2" xfId="38365" xr:uid="{00000000-0005-0000-0000-000009270000}"/>
    <cellStyle name="20% - Accent4 2 2 2 2 4 4" xfId="27064" xr:uid="{00000000-0005-0000-0000-00000A270000}"/>
    <cellStyle name="20% - Accent4 2 2 2 2 5" xfId="7258" xr:uid="{00000000-0005-0000-0000-00000B270000}"/>
    <cellStyle name="20% - Accent4 2 2 2 2 5 2" xfId="18559" xr:uid="{00000000-0005-0000-0000-00000C270000}"/>
    <cellStyle name="20% - Accent4 2 2 2 2 5 2 2" xfId="41161" xr:uid="{00000000-0005-0000-0000-00000D270000}"/>
    <cellStyle name="20% - Accent4 2 2 2 2 5 3" xfId="29860" xr:uid="{00000000-0005-0000-0000-00000E270000}"/>
    <cellStyle name="20% - Accent4 2 2 2 2 6" xfId="12909" xr:uid="{00000000-0005-0000-0000-00000F270000}"/>
    <cellStyle name="20% - Accent4 2 2 2 2 6 2" xfId="35511" xr:uid="{00000000-0005-0000-0000-000010270000}"/>
    <cellStyle name="20% - Accent4 2 2 2 2 7" xfId="24210" xr:uid="{00000000-0005-0000-0000-000011270000}"/>
    <cellStyle name="20% - Accent4 2 2 2 3" xfId="977" xr:uid="{00000000-0005-0000-0000-000012270000}"/>
    <cellStyle name="20% - Accent4 2 2 2 3 2" xfId="3040" xr:uid="{00000000-0005-0000-0000-000013270000}"/>
    <cellStyle name="20% - Accent4 2 2 2 3 2 2" xfId="6012" xr:uid="{00000000-0005-0000-0000-000014270000}"/>
    <cellStyle name="20% - Accent4 2 2 2 3 2 2 2" xfId="11662" xr:uid="{00000000-0005-0000-0000-000015270000}"/>
    <cellStyle name="20% - Accent4 2 2 2 3 2 2 2 2" xfId="22963" xr:uid="{00000000-0005-0000-0000-000016270000}"/>
    <cellStyle name="20% - Accent4 2 2 2 3 2 2 2 2 2" xfId="45565" xr:uid="{00000000-0005-0000-0000-000017270000}"/>
    <cellStyle name="20% - Accent4 2 2 2 3 2 2 2 3" xfId="34264" xr:uid="{00000000-0005-0000-0000-000018270000}"/>
    <cellStyle name="20% - Accent4 2 2 2 3 2 2 3" xfId="17313" xr:uid="{00000000-0005-0000-0000-000019270000}"/>
    <cellStyle name="20% - Accent4 2 2 2 3 2 2 3 2" xfId="39915" xr:uid="{00000000-0005-0000-0000-00001A270000}"/>
    <cellStyle name="20% - Accent4 2 2 2 3 2 2 4" xfId="28614" xr:uid="{00000000-0005-0000-0000-00001B270000}"/>
    <cellStyle name="20% - Accent4 2 2 2 3 2 3" xfId="8830" xr:uid="{00000000-0005-0000-0000-00001C270000}"/>
    <cellStyle name="20% - Accent4 2 2 2 3 2 3 2" xfId="20131" xr:uid="{00000000-0005-0000-0000-00001D270000}"/>
    <cellStyle name="20% - Accent4 2 2 2 3 2 3 2 2" xfId="42733" xr:uid="{00000000-0005-0000-0000-00001E270000}"/>
    <cellStyle name="20% - Accent4 2 2 2 3 2 3 3" xfId="31432" xr:uid="{00000000-0005-0000-0000-00001F270000}"/>
    <cellStyle name="20% - Accent4 2 2 2 3 2 4" xfId="14481" xr:uid="{00000000-0005-0000-0000-000020270000}"/>
    <cellStyle name="20% - Accent4 2 2 2 3 2 4 2" xfId="37083" xr:uid="{00000000-0005-0000-0000-000021270000}"/>
    <cellStyle name="20% - Accent4 2 2 2 3 2 5" xfId="25782" xr:uid="{00000000-0005-0000-0000-000022270000}"/>
    <cellStyle name="20% - Accent4 2 2 2 3 3" xfId="4778" xr:uid="{00000000-0005-0000-0000-000023270000}"/>
    <cellStyle name="20% - Accent4 2 2 2 3 3 2" xfId="10428" xr:uid="{00000000-0005-0000-0000-000024270000}"/>
    <cellStyle name="20% - Accent4 2 2 2 3 3 2 2" xfId="21729" xr:uid="{00000000-0005-0000-0000-000025270000}"/>
    <cellStyle name="20% - Accent4 2 2 2 3 3 2 2 2" xfId="44331" xr:uid="{00000000-0005-0000-0000-000026270000}"/>
    <cellStyle name="20% - Accent4 2 2 2 3 3 2 3" xfId="33030" xr:uid="{00000000-0005-0000-0000-000027270000}"/>
    <cellStyle name="20% - Accent4 2 2 2 3 3 3" xfId="16079" xr:uid="{00000000-0005-0000-0000-000028270000}"/>
    <cellStyle name="20% - Accent4 2 2 2 3 3 3 2" xfId="38681" xr:uid="{00000000-0005-0000-0000-000029270000}"/>
    <cellStyle name="20% - Accent4 2 2 2 3 3 4" xfId="27380" xr:uid="{00000000-0005-0000-0000-00002A270000}"/>
    <cellStyle name="20% - Accent4 2 2 2 3 4" xfId="6965" xr:uid="{00000000-0005-0000-0000-00002B270000}"/>
    <cellStyle name="20% - Accent4 2 2 2 3 4 2" xfId="18266" xr:uid="{00000000-0005-0000-0000-00002C270000}"/>
    <cellStyle name="20% - Accent4 2 2 2 3 4 2 2" xfId="40868" xr:uid="{00000000-0005-0000-0000-00002D270000}"/>
    <cellStyle name="20% - Accent4 2 2 2 3 4 3" xfId="29567" xr:uid="{00000000-0005-0000-0000-00002E270000}"/>
    <cellStyle name="20% - Accent4 2 2 2 3 5" xfId="12616" xr:uid="{00000000-0005-0000-0000-00002F270000}"/>
    <cellStyle name="20% - Accent4 2 2 2 3 5 2" xfId="35218" xr:uid="{00000000-0005-0000-0000-000030270000}"/>
    <cellStyle name="20% - Accent4 2 2 2 3 6" xfId="23917" xr:uid="{00000000-0005-0000-0000-000031270000}"/>
    <cellStyle name="20% - Accent4 2 2 2 4" xfId="1618" xr:uid="{00000000-0005-0000-0000-000032270000}"/>
    <cellStyle name="20% - Accent4 2 2 2 4 2" xfId="3574" xr:uid="{00000000-0005-0000-0000-000033270000}"/>
    <cellStyle name="20% - Accent4 2 2 2 4 2 2" xfId="9287" xr:uid="{00000000-0005-0000-0000-000034270000}"/>
    <cellStyle name="20% - Accent4 2 2 2 4 2 2 2" xfId="20588" xr:uid="{00000000-0005-0000-0000-000035270000}"/>
    <cellStyle name="20% - Accent4 2 2 2 4 2 2 2 2" xfId="43190" xr:uid="{00000000-0005-0000-0000-000036270000}"/>
    <cellStyle name="20% - Accent4 2 2 2 4 2 2 3" xfId="31889" xr:uid="{00000000-0005-0000-0000-000037270000}"/>
    <cellStyle name="20% - Accent4 2 2 2 4 2 3" xfId="14938" xr:uid="{00000000-0005-0000-0000-000038270000}"/>
    <cellStyle name="20% - Accent4 2 2 2 4 2 3 2" xfId="37540" xr:uid="{00000000-0005-0000-0000-000039270000}"/>
    <cellStyle name="20% - Accent4 2 2 2 4 2 4" xfId="26239" xr:uid="{00000000-0005-0000-0000-00003A270000}"/>
    <cellStyle name="20% - Accent4 2 2 2 4 3" xfId="5388" xr:uid="{00000000-0005-0000-0000-00003B270000}"/>
    <cellStyle name="20% - Accent4 2 2 2 4 3 2" xfId="11038" xr:uid="{00000000-0005-0000-0000-00003C270000}"/>
    <cellStyle name="20% - Accent4 2 2 2 4 3 2 2" xfId="22339" xr:uid="{00000000-0005-0000-0000-00003D270000}"/>
    <cellStyle name="20% - Accent4 2 2 2 4 3 2 2 2" xfId="44941" xr:uid="{00000000-0005-0000-0000-00003E270000}"/>
    <cellStyle name="20% - Accent4 2 2 2 4 3 2 3" xfId="33640" xr:uid="{00000000-0005-0000-0000-00003F270000}"/>
    <cellStyle name="20% - Accent4 2 2 2 4 3 3" xfId="16689" xr:uid="{00000000-0005-0000-0000-000040270000}"/>
    <cellStyle name="20% - Accent4 2 2 2 4 3 3 2" xfId="39291" xr:uid="{00000000-0005-0000-0000-000041270000}"/>
    <cellStyle name="20% - Accent4 2 2 2 4 3 4" xfId="27990" xr:uid="{00000000-0005-0000-0000-000042270000}"/>
    <cellStyle name="20% - Accent4 2 2 2 4 4" xfId="7474" xr:uid="{00000000-0005-0000-0000-000043270000}"/>
    <cellStyle name="20% - Accent4 2 2 2 4 4 2" xfId="18775" xr:uid="{00000000-0005-0000-0000-000044270000}"/>
    <cellStyle name="20% - Accent4 2 2 2 4 4 2 2" xfId="41377" xr:uid="{00000000-0005-0000-0000-000045270000}"/>
    <cellStyle name="20% - Accent4 2 2 2 4 4 3" xfId="30076" xr:uid="{00000000-0005-0000-0000-000046270000}"/>
    <cellStyle name="20% - Accent4 2 2 2 4 5" xfId="13125" xr:uid="{00000000-0005-0000-0000-000047270000}"/>
    <cellStyle name="20% - Accent4 2 2 2 4 5 2" xfId="35727" xr:uid="{00000000-0005-0000-0000-000048270000}"/>
    <cellStyle name="20% - Accent4 2 2 2 4 6" xfId="24426" xr:uid="{00000000-0005-0000-0000-000049270000}"/>
    <cellStyle name="20% - Accent4 2 2 2 5" xfId="2369" xr:uid="{00000000-0005-0000-0000-00004A270000}"/>
    <cellStyle name="20% - Accent4 2 2 2 5 2" xfId="8205" xr:uid="{00000000-0005-0000-0000-00004B270000}"/>
    <cellStyle name="20% - Accent4 2 2 2 5 2 2" xfId="19506" xr:uid="{00000000-0005-0000-0000-00004C270000}"/>
    <cellStyle name="20% - Accent4 2 2 2 5 2 2 2" xfId="42108" xr:uid="{00000000-0005-0000-0000-00004D270000}"/>
    <cellStyle name="20% - Accent4 2 2 2 5 2 3" xfId="30807" xr:uid="{00000000-0005-0000-0000-00004E270000}"/>
    <cellStyle name="20% - Accent4 2 2 2 5 3" xfId="13856" xr:uid="{00000000-0005-0000-0000-00004F270000}"/>
    <cellStyle name="20% - Accent4 2 2 2 5 3 2" xfId="36458" xr:uid="{00000000-0005-0000-0000-000050270000}"/>
    <cellStyle name="20% - Accent4 2 2 2 5 4" xfId="25157" xr:uid="{00000000-0005-0000-0000-000051270000}"/>
    <cellStyle name="20% - Accent4 2 2 2 6" xfId="4154" xr:uid="{00000000-0005-0000-0000-000052270000}"/>
    <cellStyle name="20% - Accent4 2 2 2 6 2" xfId="9804" xr:uid="{00000000-0005-0000-0000-000053270000}"/>
    <cellStyle name="20% - Accent4 2 2 2 6 2 2" xfId="21105" xr:uid="{00000000-0005-0000-0000-000054270000}"/>
    <cellStyle name="20% - Accent4 2 2 2 6 2 2 2" xfId="43707" xr:uid="{00000000-0005-0000-0000-000055270000}"/>
    <cellStyle name="20% - Accent4 2 2 2 6 2 3" xfId="32406" xr:uid="{00000000-0005-0000-0000-000056270000}"/>
    <cellStyle name="20% - Accent4 2 2 2 6 3" xfId="15455" xr:uid="{00000000-0005-0000-0000-000057270000}"/>
    <cellStyle name="20% - Accent4 2 2 2 6 3 2" xfId="38057" xr:uid="{00000000-0005-0000-0000-000058270000}"/>
    <cellStyle name="20% - Accent4 2 2 2 6 4" xfId="26756" xr:uid="{00000000-0005-0000-0000-000059270000}"/>
    <cellStyle name="20% - Accent4 2 2 2 7" xfId="6634" xr:uid="{00000000-0005-0000-0000-00005A270000}"/>
    <cellStyle name="20% - Accent4 2 2 2 7 2" xfId="17935" xr:uid="{00000000-0005-0000-0000-00005B270000}"/>
    <cellStyle name="20% - Accent4 2 2 2 7 2 2" xfId="40537" xr:uid="{00000000-0005-0000-0000-00005C270000}"/>
    <cellStyle name="20% - Accent4 2 2 2 7 3" xfId="29236" xr:uid="{00000000-0005-0000-0000-00005D270000}"/>
    <cellStyle name="20% - Accent4 2 2 2 8" xfId="12285" xr:uid="{00000000-0005-0000-0000-00005E270000}"/>
    <cellStyle name="20% - Accent4 2 2 2 8 2" xfId="34887" xr:uid="{00000000-0005-0000-0000-00005F270000}"/>
    <cellStyle name="20% - Accent4 2 2 2 9" xfId="23586" xr:uid="{00000000-0005-0000-0000-000060270000}"/>
    <cellStyle name="20% - Accent4 2 2 3" xfId="1141" xr:uid="{00000000-0005-0000-0000-000061270000}"/>
    <cellStyle name="20% - Accent4 2 2 3 2" xfId="1620" xr:uid="{00000000-0005-0000-0000-000062270000}"/>
    <cellStyle name="20% - Accent4 2 2 3 2 2" xfId="3209" xr:uid="{00000000-0005-0000-0000-000063270000}"/>
    <cellStyle name="20% - Accent4 2 2 3 2 2 2" xfId="6181" xr:uid="{00000000-0005-0000-0000-000064270000}"/>
    <cellStyle name="20% - Accent4 2 2 3 2 2 2 2" xfId="11831" xr:uid="{00000000-0005-0000-0000-000065270000}"/>
    <cellStyle name="20% - Accent4 2 2 3 2 2 2 2 2" xfId="23132" xr:uid="{00000000-0005-0000-0000-000066270000}"/>
    <cellStyle name="20% - Accent4 2 2 3 2 2 2 2 2 2" xfId="45734" xr:uid="{00000000-0005-0000-0000-000067270000}"/>
    <cellStyle name="20% - Accent4 2 2 3 2 2 2 2 3" xfId="34433" xr:uid="{00000000-0005-0000-0000-000068270000}"/>
    <cellStyle name="20% - Accent4 2 2 3 2 2 2 3" xfId="17482" xr:uid="{00000000-0005-0000-0000-000069270000}"/>
    <cellStyle name="20% - Accent4 2 2 3 2 2 2 3 2" xfId="40084" xr:uid="{00000000-0005-0000-0000-00006A270000}"/>
    <cellStyle name="20% - Accent4 2 2 3 2 2 2 4" xfId="28783" xr:uid="{00000000-0005-0000-0000-00006B270000}"/>
    <cellStyle name="20% - Accent4 2 2 3 2 2 3" xfId="8999" xr:uid="{00000000-0005-0000-0000-00006C270000}"/>
    <cellStyle name="20% - Accent4 2 2 3 2 2 3 2" xfId="20300" xr:uid="{00000000-0005-0000-0000-00006D270000}"/>
    <cellStyle name="20% - Accent4 2 2 3 2 2 3 2 2" xfId="42902" xr:uid="{00000000-0005-0000-0000-00006E270000}"/>
    <cellStyle name="20% - Accent4 2 2 3 2 2 3 3" xfId="31601" xr:uid="{00000000-0005-0000-0000-00006F270000}"/>
    <cellStyle name="20% - Accent4 2 2 3 2 2 4" xfId="14650" xr:uid="{00000000-0005-0000-0000-000070270000}"/>
    <cellStyle name="20% - Accent4 2 2 3 2 2 4 2" xfId="37252" xr:uid="{00000000-0005-0000-0000-000071270000}"/>
    <cellStyle name="20% - Accent4 2 2 3 2 2 5" xfId="25951" xr:uid="{00000000-0005-0000-0000-000072270000}"/>
    <cellStyle name="20% - Accent4 2 2 3 2 3" xfId="4947" xr:uid="{00000000-0005-0000-0000-000073270000}"/>
    <cellStyle name="20% - Accent4 2 2 3 2 3 2" xfId="10597" xr:uid="{00000000-0005-0000-0000-000074270000}"/>
    <cellStyle name="20% - Accent4 2 2 3 2 3 2 2" xfId="21898" xr:uid="{00000000-0005-0000-0000-000075270000}"/>
    <cellStyle name="20% - Accent4 2 2 3 2 3 2 2 2" xfId="44500" xr:uid="{00000000-0005-0000-0000-000076270000}"/>
    <cellStyle name="20% - Accent4 2 2 3 2 3 2 3" xfId="33199" xr:uid="{00000000-0005-0000-0000-000077270000}"/>
    <cellStyle name="20% - Accent4 2 2 3 2 3 3" xfId="16248" xr:uid="{00000000-0005-0000-0000-000078270000}"/>
    <cellStyle name="20% - Accent4 2 2 3 2 3 3 2" xfId="38850" xr:uid="{00000000-0005-0000-0000-000079270000}"/>
    <cellStyle name="20% - Accent4 2 2 3 2 3 4" xfId="27549" xr:uid="{00000000-0005-0000-0000-00007A270000}"/>
    <cellStyle name="20% - Accent4 2 2 3 2 4" xfId="7476" xr:uid="{00000000-0005-0000-0000-00007B270000}"/>
    <cellStyle name="20% - Accent4 2 2 3 2 4 2" xfId="18777" xr:uid="{00000000-0005-0000-0000-00007C270000}"/>
    <cellStyle name="20% - Accent4 2 2 3 2 4 2 2" xfId="41379" xr:uid="{00000000-0005-0000-0000-00007D270000}"/>
    <cellStyle name="20% - Accent4 2 2 3 2 4 3" xfId="30078" xr:uid="{00000000-0005-0000-0000-00007E270000}"/>
    <cellStyle name="20% - Accent4 2 2 3 2 5" xfId="13127" xr:uid="{00000000-0005-0000-0000-00007F270000}"/>
    <cellStyle name="20% - Accent4 2 2 3 2 5 2" xfId="35729" xr:uid="{00000000-0005-0000-0000-000080270000}"/>
    <cellStyle name="20% - Accent4 2 2 3 2 6" xfId="24428" xr:uid="{00000000-0005-0000-0000-000081270000}"/>
    <cellStyle name="20% - Accent4 2 2 3 3" xfId="2538" xr:uid="{00000000-0005-0000-0000-000082270000}"/>
    <cellStyle name="20% - Accent4 2 2 3 3 2" xfId="5557" xr:uid="{00000000-0005-0000-0000-000083270000}"/>
    <cellStyle name="20% - Accent4 2 2 3 3 2 2" xfId="11207" xr:uid="{00000000-0005-0000-0000-000084270000}"/>
    <cellStyle name="20% - Accent4 2 2 3 3 2 2 2" xfId="22508" xr:uid="{00000000-0005-0000-0000-000085270000}"/>
    <cellStyle name="20% - Accent4 2 2 3 3 2 2 2 2" xfId="45110" xr:uid="{00000000-0005-0000-0000-000086270000}"/>
    <cellStyle name="20% - Accent4 2 2 3 3 2 2 3" xfId="33809" xr:uid="{00000000-0005-0000-0000-000087270000}"/>
    <cellStyle name="20% - Accent4 2 2 3 3 2 3" xfId="16858" xr:uid="{00000000-0005-0000-0000-000088270000}"/>
    <cellStyle name="20% - Accent4 2 2 3 3 2 3 2" xfId="39460" xr:uid="{00000000-0005-0000-0000-000089270000}"/>
    <cellStyle name="20% - Accent4 2 2 3 3 2 4" xfId="28159" xr:uid="{00000000-0005-0000-0000-00008A270000}"/>
    <cellStyle name="20% - Accent4 2 2 3 3 3" xfId="8374" xr:uid="{00000000-0005-0000-0000-00008B270000}"/>
    <cellStyle name="20% - Accent4 2 2 3 3 3 2" xfId="19675" xr:uid="{00000000-0005-0000-0000-00008C270000}"/>
    <cellStyle name="20% - Accent4 2 2 3 3 3 2 2" xfId="42277" xr:uid="{00000000-0005-0000-0000-00008D270000}"/>
    <cellStyle name="20% - Accent4 2 2 3 3 3 3" xfId="30976" xr:uid="{00000000-0005-0000-0000-00008E270000}"/>
    <cellStyle name="20% - Accent4 2 2 3 3 4" xfId="14025" xr:uid="{00000000-0005-0000-0000-00008F270000}"/>
    <cellStyle name="20% - Accent4 2 2 3 3 4 2" xfId="36627" xr:uid="{00000000-0005-0000-0000-000090270000}"/>
    <cellStyle name="20% - Accent4 2 2 3 3 5" xfId="25326" xr:uid="{00000000-0005-0000-0000-000091270000}"/>
    <cellStyle name="20% - Accent4 2 2 3 4" xfId="4323" xr:uid="{00000000-0005-0000-0000-000092270000}"/>
    <cellStyle name="20% - Accent4 2 2 3 4 2" xfId="9973" xr:uid="{00000000-0005-0000-0000-000093270000}"/>
    <cellStyle name="20% - Accent4 2 2 3 4 2 2" xfId="21274" xr:uid="{00000000-0005-0000-0000-000094270000}"/>
    <cellStyle name="20% - Accent4 2 2 3 4 2 2 2" xfId="43876" xr:uid="{00000000-0005-0000-0000-000095270000}"/>
    <cellStyle name="20% - Accent4 2 2 3 4 2 3" xfId="32575" xr:uid="{00000000-0005-0000-0000-000096270000}"/>
    <cellStyle name="20% - Accent4 2 2 3 4 3" xfId="15624" xr:uid="{00000000-0005-0000-0000-000097270000}"/>
    <cellStyle name="20% - Accent4 2 2 3 4 3 2" xfId="38226" xr:uid="{00000000-0005-0000-0000-000098270000}"/>
    <cellStyle name="20% - Accent4 2 2 3 4 4" xfId="26925" xr:uid="{00000000-0005-0000-0000-000099270000}"/>
    <cellStyle name="20% - Accent4 2 2 3 5" xfId="7120" xr:uid="{00000000-0005-0000-0000-00009A270000}"/>
    <cellStyle name="20% - Accent4 2 2 3 5 2" xfId="18421" xr:uid="{00000000-0005-0000-0000-00009B270000}"/>
    <cellStyle name="20% - Accent4 2 2 3 5 2 2" xfId="41023" xr:uid="{00000000-0005-0000-0000-00009C270000}"/>
    <cellStyle name="20% - Accent4 2 2 3 5 3" xfId="29722" xr:uid="{00000000-0005-0000-0000-00009D270000}"/>
    <cellStyle name="20% - Accent4 2 2 3 6" xfId="12771" xr:uid="{00000000-0005-0000-0000-00009E270000}"/>
    <cellStyle name="20% - Accent4 2 2 3 6 2" xfId="35373" xr:uid="{00000000-0005-0000-0000-00009F270000}"/>
    <cellStyle name="20% - Accent4 2 2 3 7" xfId="24072" xr:uid="{00000000-0005-0000-0000-0000A0270000}"/>
    <cellStyle name="20% - Accent4 2 2 4" xfId="831" xr:uid="{00000000-0005-0000-0000-0000A1270000}"/>
    <cellStyle name="20% - Accent4 2 2 4 2" xfId="2902" xr:uid="{00000000-0005-0000-0000-0000A2270000}"/>
    <cellStyle name="20% - Accent4 2 2 4 2 2" xfId="5874" xr:uid="{00000000-0005-0000-0000-0000A3270000}"/>
    <cellStyle name="20% - Accent4 2 2 4 2 2 2" xfId="11524" xr:uid="{00000000-0005-0000-0000-0000A4270000}"/>
    <cellStyle name="20% - Accent4 2 2 4 2 2 2 2" xfId="22825" xr:uid="{00000000-0005-0000-0000-0000A5270000}"/>
    <cellStyle name="20% - Accent4 2 2 4 2 2 2 2 2" xfId="45427" xr:uid="{00000000-0005-0000-0000-0000A6270000}"/>
    <cellStyle name="20% - Accent4 2 2 4 2 2 2 3" xfId="34126" xr:uid="{00000000-0005-0000-0000-0000A7270000}"/>
    <cellStyle name="20% - Accent4 2 2 4 2 2 3" xfId="17175" xr:uid="{00000000-0005-0000-0000-0000A8270000}"/>
    <cellStyle name="20% - Accent4 2 2 4 2 2 3 2" xfId="39777" xr:uid="{00000000-0005-0000-0000-0000A9270000}"/>
    <cellStyle name="20% - Accent4 2 2 4 2 2 4" xfId="28476" xr:uid="{00000000-0005-0000-0000-0000AA270000}"/>
    <cellStyle name="20% - Accent4 2 2 4 2 3" xfId="8692" xr:uid="{00000000-0005-0000-0000-0000AB270000}"/>
    <cellStyle name="20% - Accent4 2 2 4 2 3 2" xfId="19993" xr:uid="{00000000-0005-0000-0000-0000AC270000}"/>
    <cellStyle name="20% - Accent4 2 2 4 2 3 2 2" xfId="42595" xr:uid="{00000000-0005-0000-0000-0000AD270000}"/>
    <cellStyle name="20% - Accent4 2 2 4 2 3 3" xfId="31294" xr:uid="{00000000-0005-0000-0000-0000AE270000}"/>
    <cellStyle name="20% - Accent4 2 2 4 2 4" xfId="14343" xr:uid="{00000000-0005-0000-0000-0000AF270000}"/>
    <cellStyle name="20% - Accent4 2 2 4 2 4 2" xfId="36945" xr:uid="{00000000-0005-0000-0000-0000B0270000}"/>
    <cellStyle name="20% - Accent4 2 2 4 2 5" xfId="25644" xr:uid="{00000000-0005-0000-0000-0000B1270000}"/>
    <cellStyle name="20% - Accent4 2 2 4 3" xfId="4640" xr:uid="{00000000-0005-0000-0000-0000B2270000}"/>
    <cellStyle name="20% - Accent4 2 2 4 3 2" xfId="10290" xr:uid="{00000000-0005-0000-0000-0000B3270000}"/>
    <cellStyle name="20% - Accent4 2 2 4 3 2 2" xfId="21591" xr:uid="{00000000-0005-0000-0000-0000B4270000}"/>
    <cellStyle name="20% - Accent4 2 2 4 3 2 2 2" xfId="44193" xr:uid="{00000000-0005-0000-0000-0000B5270000}"/>
    <cellStyle name="20% - Accent4 2 2 4 3 2 3" xfId="32892" xr:uid="{00000000-0005-0000-0000-0000B6270000}"/>
    <cellStyle name="20% - Accent4 2 2 4 3 3" xfId="15941" xr:uid="{00000000-0005-0000-0000-0000B7270000}"/>
    <cellStyle name="20% - Accent4 2 2 4 3 3 2" xfId="38543" xr:uid="{00000000-0005-0000-0000-0000B8270000}"/>
    <cellStyle name="20% - Accent4 2 2 4 3 4" xfId="27242" xr:uid="{00000000-0005-0000-0000-0000B9270000}"/>
    <cellStyle name="20% - Accent4 2 2 4 4" xfId="6827" xr:uid="{00000000-0005-0000-0000-0000BA270000}"/>
    <cellStyle name="20% - Accent4 2 2 4 4 2" xfId="18128" xr:uid="{00000000-0005-0000-0000-0000BB270000}"/>
    <cellStyle name="20% - Accent4 2 2 4 4 2 2" xfId="40730" xr:uid="{00000000-0005-0000-0000-0000BC270000}"/>
    <cellStyle name="20% - Accent4 2 2 4 4 3" xfId="29429" xr:uid="{00000000-0005-0000-0000-0000BD270000}"/>
    <cellStyle name="20% - Accent4 2 2 4 5" xfId="12478" xr:uid="{00000000-0005-0000-0000-0000BE270000}"/>
    <cellStyle name="20% - Accent4 2 2 4 5 2" xfId="35080" xr:uid="{00000000-0005-0000-0000-0000BF270000}"/>
    <cellStyle name="20% - Accent4 2 2 4 6" xfId="23779" xr:uid="{00000000-0005-0000-0000-0000C0270000}"/>
    <cellStyle name="20% - Accent4 2 2 5" xfId="1617" xr:uid="{00000000-0005-0000-0000-0000C1270000}"/>
    <cellStyle name="20% - Accent4 2 2 5 2" xfId="3573" xr:uid="{00000000-0005-0000-0000-0000C2270000}"/>
    <cellStyle name="20% - Accent4 2 2 5 2 2" xfId="9286" xr:uid="{00000000-0005-0000-0000-0000C3270000}"/>
    <cellStyle name="20% - Accent4 2 2 5 2 2 2" xfId="20587" xr:uid="{00000000-0005-0000-0000-0000C4270000}"/>
    <cellStyle name="20% - Accent4 2 2 5 2 2 2 2" xfId="43189" xr:uid="{00000000-0005-0000-0000-0000C5270000}"/>
    <cellStyle name="20% - Accent4 2 2 5 2 2 3" xfId="31888" xr:uid="{00000000-0005-0000-0000-0000C6270000}"/>
    <cellStyle name="20% - Accent4 2 2 5 2 3" xfId="14937" xr:uid="{00000000-0005-0000-0000-0000C7270000}"/>
    <cellStyle name="20% - Accent4 2 2 5 2 3 2" xfId="37539" xr:uid="{00000000-0005-0000-0000-0000C8270000}"/>
    <cellStyle name="20% - Accent4 2 2 5 2 4" xfId="26238" xr:uid="{00000000-0005-0000-0000-0000C9270000}"/>
    <cellStyle name="20% - Accent4 2 2 5 3" xfId="5250" xr:uid="{00000000-0005-0000-0000-0000CA270000}"/>
    <cellStyle name="20% - Accent4 2 2 5 3 2" xfId="10900" xr:uid="{00000000-0005-0000-0000-0000CB270000}"/>
    <cellStyle name="20% - Accent4 2 2 5 3 2 2" xfId="22201" xr:uid="{00000000-0005-0000-0000-0000CC270000}"/>
    <cellStyle name="20% - Accent4 2 2 5 3 2 2 2" xfId="44803" xr:uid="{00000000-0005-0000-0000-0000CD270000}"/>
    <cellStyle name="20% - Accent4 2 2 5 3 2 3" xfId="33502" xr:uid="{00000000-0005-0000-0000-0000CE270000}"/>
    <cellStyle name="20% - Accent4 2 2 5 3 3" xfId="16551" xr:uid="{00000000-0005-0000-0000-0000CF270000}"/>
    <cellStyle name="20% - Accent4 2 2 5 3 3 2" xfId="39153" xr:uid="{00000000-0005-0000-0000-0000D0270000}"/>
    <cellStyle name="20% - Accent4 2 2 5 3 4" xfId="27852" xr:uid="{00000000-0005-0000-0000-0000D1270000}"/>
    <cellStyle name="20% - Accent4 2 2 5 4" xfId="7473" xr:uid="{00000000-0005-0000-0000-0000D2270000}"/>
    <cellStyle name="20% - Accent4 2 2 5 4 2" xfId="18774" xr:uid="{00000000-0005-0000-0000-0000D3270000}"/>
    <cellStyle name="20% - Accent4 2 2 5 4 2 2" xfId="41376" xr:uid="{00000000-0005-0000-0000-0000D4270000}"/>
    <cellStyle name="20% - Accent4 2 2 5 4 3" xfId="30075" xr:uid="{00000000-0005-0000-0000-0000D5270000}"/>
    <cellStyle name="20% - Accent4 2 2 5 5" xfId="13124" xr:uid="{00000000-0005-0000-0000-0000D6270000}"/>
    <cellStyle name="20% - Accent4 2 2 5 5 2" xfId="35726" xr:uid="{00000000-0005-0000-0000-0000D7270000}"/>
    <cellStyle name="20% - Accent4 2 2 5 6" xfId="24425" xr:uid="{00000000-0005-0000-0000-0000D8270000}"/>
    <cellStyle name="20% - Accent4 2 2 6" xfId="2229" xr:uid="{00000000-0005-0000-0000-0000D9270000}"/>
    <cellStyle name="20% - Accent4 2 2 6 2" xfId="8065" xr:uid="{00000000-0005-0000-0000-0000DA270000}"/>
    <cellStyle name="20% - Accent4 2 2 6 2 2" xfId="19366" xr:uid="{00000000-0005-0000-0000-0000DB270000}"/>
    <cellStyle name="20% - Accent4 2 2 6 2 2 2" xfId="41968" xr:uid="{00000000-0005-0000-0000-0000DC270000}"/>
    <cellStyle name="20% - Accent4 2 2 6 2 3" xfId="30667" xr:uid="{00000000-0005-0000-0000-0000DD270000}"/>
    <cellStyle name="20% - Accent4 2 2 6 3" xfId="13716" xr:uid="{00000000-0005-0000-0000-0000DE270000}"/>
    <cellStyle name="20% - Accent4 2 2 6 3 2" xfId="36318" xr:uid="{00000000-0005-0000-0000-0000DF270000}"/>
    <cellStyle name="20% - Accent4 2 2 6 4" xfId="25017" xr:uid="{00000000-0005-0000-0000-0000E0270000}"/>
    <cellStyle name="20% - Accent4 2 2 7" xfId="4016" xr:uid="{00000000-0005-0000-0000-0000E1270000}"/>
    <cellStyle name="20% - Accent4 2 2 7 2" xfId="9666" xr:uid="{00000000-0005-0000-0000-0000E2270000}"/>
    <cellStyle name="20% - Accent4 2 2 7 2 2" xfId="20967" xr:uid="{00000000-0005-0000-0000-0000E3270000}"/>
    <cellStyle name="20% - Accent4 2 2 7 2 2 2" xfId="43569" xr:uid="{00000000-0005-0000-0000-0000E4270000}"/>
    <cellStyle name="20% - Accent4 2 2 7 2 3" xfId="32268" xr:uid="{00000000-0005-0000-0000-0000E5270000}"/>
    <cellStyle name="20% - Accent4 2 2 7 3" xfId="15317" xr:uid="{00000000-0005-0000-0000-0000E6270000}"/>
    <cellStyle name="20% - Accent4 2 2 7 3 2" xfId="37919" xr:uid="{00000000-0005-0000-0000-0000E7270000}"/>
    <cellStyle name="20% - Accent4 2 2 7 4" xfId="26618" xr:uid="{00000000-0005-0000-0000-0000E8270000}"/>
    <cellStyle name="20% - Accent4 2 2 8" xfId="6467" xr:uid="{00000000-0005-0000-0000-0000E9270000}"/>
    <cellStyle name="20% - Accent4 2 2 8 2" xfId="17768" xr:uid="{00000000-0005-0000-0000-0000EA270000}"/>
    <cellStyle name="20% - Accent4 2 2 8 2 2" xfId="40370" xr:uid="{00000000-0005-0000-0000-0000EB270000}"/>
    <cellStyle name="20% - Accent4 2 2 8 3" xfId="29069" xr:uid="{00000000-0005-0000-0000-0000EC270000}"/>
    <cellStyle name="20% - Accent4 2 2 9" xfId="12118" xr:uid="{00000000-0005-0000-0000-0000ED270000}"/>
    <cellStyle name="20% - Accent4 2 2 9 2" xfId="34720" xr:uid="{00000000-0005-0000-0000-0000EE270000}"/>
    <cellStyle name="20% - Accent4 2 3" xfId="2756" xr:uid="{00000000-0005-0000-0000-0000EF270000}"/>
    <cellStyle name="20% - Accent4 2 3 2" xfId="3513" xr:uid="{00000000-0005-0000-0000-0000F0270000}"/>
    <cellStyle name="20% - Accent4 2 3 2 2" xfId="5771" xr:uid="{00000000-0005-0000-0000-0000F1270000}"/>
    <cellStyle name="20% - Accent4 2 3 2 2 2" xfId="11421" xr:uid="{00000000-0005-0000-0000-0000F2270000}"/>
    <cellStyle name="20% - Accent4 2 3 2 2 2 2" xfId="22722" xr:uid="{00000000-0005-0000-0000-0000F3270000}"/>
    <cellStyle name="20% - Accent4 2 3 2 2 2 2 2" xfId="45324" xr:uid="{00000000-0005-0000-0000-0000F4270000}"/>
    <cellStyle name="20% - Accent4 2 3 2 2 2 3" xfId="34023" xr:uid="{00000000-0005-0000-0000-0000F5270000}"/>
    <cellStyle name="20% - Accent4 2 3 2 2 3" xfId="17072" xr:uid="{00000000-0005-0000-0000-0000F6270000}"/>
    <cellStyle name="20% - Accent4 2 3 2 2 3 2" xfId="39674" xr:uid="{00000000-0005-0000-0000-0000F7270000}"/>
    <cellStyle name="20% - Accent4 2 3 2 2 4" xfId="28373" xr:uid="{00000000-0005-0000-0000-0000F8270000}"/>
    <cellStyle name="20% - Accent4 2 3 2 3" xfId="9242" xr:uid="{00000000-0005-0000-0000-0000F9270000}"/>
    <cellStyle name="20% - Accent4 2 3 2 3 2" xfId="20543" xr:uid="{00000000-0005-0000-0000-0000FA270000}"/>
    <cellStyle name="20% - Accent4 2 3 2 3 2 2" xfId="43145" xr:uid="{00000000-0005-0000-0000-0000FB270000}"/>
    <cellStyle name="20% - Accent4 2 3 2 3 3" xfId="31844" xr:uid="{00000000-0005-0000-0000-0000FC270000}"/>
    <cellStyle name="20% - Accent4 2 3 2 4" xfId="14893" xr:uid="{00000000-0005-0000-0000-0000FD270000}"/>
    <cellStyle name="20% - Accent4 2 3 2 4 2" xfId="37495" xr:uid="{00000000-0005-0000-0000-0000FE270000}"/>
    <cellStyle name="20% - Accent4 2 3 2 5" xfId="26194" xr:uid="{00000000-0005-0000-0000-0000FF270000}"/>
    <cellStyle name="20% - Accent4 2 3 3" xfId="4537" xr:uid="{00000000-0005-0000-0000-000000280000}"/>
    <cellStyle name="20% - Accent4 2 3 3 2" xfId="10187" xr:uid="{00000000-0005-0000-0000-000001280000}"/>
    <cellStyle name="20% - Accent4 2 3 3 2 2" xfId="21488" xr:uid="{00000000-0005-0000-0000-000002280000}"/>
    <cellStyle name="20% - Accent4 2 3 3 2 2 2" xfId="44090" xr:uid="{00000000-0005-0000-0000-000003280000}"/>
    <cellStyle name="20% - Accent4 2 3 3 2 3" xfId="32789" xr:uid="{00000000-0005-0000-0000-000004280000}"/>
    <cellStyle name="20% - Accent4 2 3 3 3" xfId="15838" xr:uid="{00000000-0005-0000-0000-000005280000}"/>
    <cellStyle name="20% - Accent4 2 3 3 3 2" xfId="38440" xr:uid="{00000000-0005-0000-0000-000006280000}"/>
    <cellStyle name="20% - Accent4 2 3 3 4" xfId="27139" xr:uid="{00000000-0005-0000-0000-000007280000}"/>
    <cellStyle name="20% - Accent4 2 3 4" xfId="8589" xr:uid="{00000000-0005-0000-0000-000008280000}"/>
    <cellStyle name="20% - Accent4 2 3 4 2" xfId="19890" xr:uid="{00000000-0005-0000-0000-000009280000}"/>
    <cellStyle name="20% - Accent4 2 3 4 2 2" xfId="42492" xr:uid="{00000000-0005-0000-0000-00000A280000}"/>
    <cellStyle name="20% - Accent4 2 3 4 3" xfId="31191" xr:uid="{00000000-0005-0000-0000-00000B280000}"/>
    <cellStyle name="20% - Accent4 2 3 5" xfId="14240" xr:uid="{00000000-0005-0000-0000-00000C280000}"/>
    <cellStyle name="20% - Accent4 2 3 5 2" xfId="36842" xr:uid="{00000000-0005-0000-0000-00000D280000}"/>
    <cellStyle name="20% - Accent4 2 3 6" xfId="25541" xr:uid="{00000000-0005-0000-0000-00000E280000}"/>
    <cellStyle name="20% - Accent4 2 4" xfId="2770" xr:uid="{00000000-0005-0000-0000-00000F280000}"/>
    <cellStyle name="20% - Accent4 2 5" xfId="3429" xr:uid="{00000000-0005-0000-0000-000010280000}"/>
    <cellStyle name="20% - Accent4 2 5 2" xfId="9211" xr:uid="{00000000-0005-0000-0000-000011280000}"/>
    <cellStyle name="20% - Accent4 2 5 2 2" xfId="20512" xr:uid="{00000000-0005-0000-0000-000012280000}"/>
    <cellStyle name="20% - Accent4 2 5 2 2 2" xfId="43114" xr:uid="{00000000-0005-0000-0000-000013280000}"/>
    <cellStyle name="20% - Accent4 2 5 2 3" xfId="31813" xr:uid="{00000000-0005-0000-0000-000014280000}"/>
    <cellStyle name="20% - Accent4 2 5 3" xfId="14862" xr:uid="{00000000-0005-0000-0000-000015280000}"/>
    <cellStyle name="20% - Accent4 2 5 3 2" xfId="37464" xr:uid="{00000000-0005-0000-0000-000016280000}"/>
    <cellStyle name="20% - Accent4 2 5 4" xfId="26163" xr:uid="{00000000-0005-0000-0000-000017280000}"/>
    <cellStyle name="20% - Accent4 2 6" xfId="3842" xr:uid="{00000000-0005-0000-0000-000018280000}"/>
    <cellStyle name="20% - Accent4 3" xfId="162" xr:uid="{00000000-0005-0000-0000-000019280000}"/>
    <cellStyle name="20% - Accent4 3 2" xfId="289" xr:uid="{00000000-0005-0000-0000-00001A280000}"/>
    <cellStyle name="20% - Accent4 3 2 10" xfId="23399" xr:uid="{00000000-0005-0000-0000-00001B280000}"/>
    <cellStyle name="20% - Accent4 3 2 2" xfId="549" xr:uid="{00000000-0005-0000-0000-00001C280000}"/>
    <cellStyle name="20% - Accent4 3 2 2 2" xfId="1259" xr:uid="{00000000-0005-0000-0000-00001D280000}"/>
    <cellStyle name="20% - Accent4 3 2 2 2 2" xfId="1623" xr:uid="{00000000-0005-0000-0000-00001E280000}"/>
    <cellStyle name="20% - Accent4 3 2 2 2 2 2" xfId="3328" xr:uid="{00000000-0005-0000-0000-00001F280000}"/>
    <cellStyle name="20% - Accent4 3 2 2 2 2 2 2" xfId="6300" xr:uid="{00000000-0005-0000-0000-000020280000}"/>
    <cellStyle name="20% - Accent4 3 2 2 2 2 2 2 2" xfId="11950" xr:uid="{00000000-0005-0000-0000-000021280000}"/>
    <cellStyle name="20% - Accent4 3 2 2 2 2 2 2 2 2" xfId="23251" xr:uid="{00000000-0005-0000-0000-000022280000}"/>
    <cellStyle name="20% - Accent4 3 2 2 2 2 2 2 2 2 2" xfId="45853" xr:uid="{00000000-0005-0000-0000-000023280000}"/>
    <cellStyle name="20% - Accent4 3 2 2 2 2 2 2 2 3" xfId="34552" xr:uid="{00000000-0005-0000-0000-000024280000}"/>
    <cellStyle name="20% - Accent4 3 2 2 2 2 2 2 3" xfId="17601" xr:uid="{00000000-0005-0000-0000-000025280000}"/>
    <cellStyle name="20% - Accent4 3 2 2 2 2 2 2 3 2" xfId="40203" xr:uid="{00000000-0005-0000-0000-000026280000}"/>
    <cellStyle name="20% - Accent4 3 2 2 2 2 2 2 4" xfId="28902" xr:uid="{00000000-0005-0000-0000-000027280000}"/>
    <cellStyle name="20% - Accent4 3 2 2 2 2 2 3" xfId="9118" xr:uid="{00000000-0005-0000-0000-000028280000}"/>
    <cellStyle name="20% - Accent4 3 2 2 2 2 2 3 2" xfId="20419" xr:uid="{00000000-0005-0000-0000-000029280000}"/>
    <cellStyle name="20% - Accent4 3 2 2 2 2 2 3 2 2" xfId="43021" xr:uid="{00000000-0005-0000-0000-00002A280000}"/>
    <cellStyle name="20% - Accent4 3 2 2 2 2 2 3 3" xfId="31720" xr:uid="{00000000-0005-0000-0000-00002B280000}"/>
    <cellStyle name="20% - Accent4 3 2 2 2 2 2 4" xfId="14769" xr:uid="{00000000-0005-0000-0000-00002C280000}"/>
    <cellStyle name="20% - Accent4 3 2 2 2 2 2 4 2" xfId="37371" xr:uid="{00000000-0005-0000-0000-00002D280000}"/>
    <cellStyle name="20% - Accent4 3 2 2 2 2 2 5" xfId="26070" xr:uid="{00000000-0005-0000-0000-00002E280000}"/>
    <cellStyle name="20% - Accent4 3 2 2 2 2 3" xfId="5066" xr:uid="{00000000-0005-0000-0000-00002F280000}"/>
    <cellStyle name="20% - Accent4 3 2 2 2 2 3 2" xfId="10716" xr:uid="{00000000-0005-0000-0000-000030280000}"/>
    <cellStyle name="20% - Accent4 3 2 2 2 2 3 2 2" xfId="22017" xr:uid="{00000000-0005-0000-0000-000031280000}"/>
    <cellStyle name="20% - Accent4 3 2 2 2 2 3 2 2 2" xfId="44619" xr:uid="{00000000-0005-0000-0000-000032280000}"/>
    <cellStyle name="20% - Accent4 3 2 2 2 2 3 2 3" xfId="33318" xr:uid="{00000000-0005-0000-0000-000033280000}"/>
    <cellStyle name="20% - Accent4 3 2 2 2 2 3 3" xfId="16367" xr:uid="{00000000-0005-0000-0000-000034280000}"/>
    <cellStyle name="20% - Accent4 3 2 2 2 2 3 3 2" xfId="38969" xr:uid="{00000000-0005-0000-0000-000035280000}"/>
    <cellStyle name="20% - Accent4 3 2 2 2 2 3 4" xfId="27668" xr:uid="{00000000-0005-0000-0000-000036280000}"/>
    <cellStyle name="20% - Accent4 3 2 2 2 2 4" xfId="7479" xr:uid="{00000000-0005-0000-0000-000037280000}"/>
    <cellStyle name="20% - Accent4 3 2 2 2 2 4 2" xfId="18780" xr:uid="{00000000-0005-0000-0000-000038280000}"/>
    <cellStyle name="20% - Accent4 3 2 2 2 2 4 2 2" xfId="41382" xr:uid="{00000000-0005-0000-0000-000039280000}"/>
    <cellStyle name="20% - Accent4 3 2 2 2 2 4 3" xfId="30081" xr:uid="{00000000-0005-0000-0000-00003A280000}"/>
    <cellStyle name="20% - Accent4 3 2 2 2 2 5" xfId="13130" xr:uid="{00000000-0005-0000-0000-00003B280000}"/>
    <cellStyle name="20% - Accent4 3 2 2 2 2 5 2" xfId="35732" xr:uid="{00000000-0005-0000-0000-00003C280000}"/>
    <cellStyle name="20% - Accent4 3 2 2 2 2 6" xfId="24431" xr:uid="{00000000-0005-0000-0000-00003D280000}"/>
    <cellStyle name="20% - Accent4 3 2 2 2 3" xfId="2657" xr:uid="{00000000-0005-0000-0000-00003E280000}"/>
    <cellStyle name="20% - Accent4 3 2 2 2 3 2" xfId="5676" xr:uid="{00000000-0005-0000-0000-00003F280000}"/>
    <cellStyle name="20% - Accent4 3 2 2 2 3 2 2" xfId="11326" xr:uid="{00000000-0005-0000-0000-000040280000}"/>
    <cellStyle name="20% - Accent4 3 2 2 2 3 2 2 2" xfId="22627" xr:uid="{00000000-0005-0000-0000-000041280000}"/>
    <cellStyle name="20% - Accent4 3 2 2 2 3 2 2 2 2" xfId="45229" xr:uid="{00000000-0005-0000-0000-000042280000}"/>
    <cellStyle name="20% - Accent4 3 2 2 2 3 2 2 3" xfId="33928" xr:uid="{00000000-0005-0000-0000-000043280000}"/>
    <cellStyle name="20% - Accent4 3 2 2 2 3 2 3" xfId="16977" xr:uid="{00000000-0005-0000-0000-000044280000}"/>
    <cellStyle name="20% - Accent4 3 2 2 2 3 2 3 2" xfId="39579" xr:uid="{00000000-0005-0000-0000-000045280000}"/>
    <cellStyle name="20% - Accent4 3 2 2 2 3 2 4" xfId="28278" xr:uid="{00000000-0005-0000-0000-000046280000}"/>
    <cellStyle name="20% - Accent4 3 2 2 2 3 3" xfId="8493" xr:uid="{00000000-0005-0000-0000-000047280000}"/>
    <cellStyle name="20% - Accent4 3 2 2 2 3 3 2" xfId="19794" xr:uid="{00000000-0005-0000-0000-000048280000}"/>
    <cellStyle name="20% - Accent4 3 2 2 2 3 3 2 2" xfId="42396" xr:uid="{00000000-0005-0000-0000-000049280000}"/>
    <cellStyle name="20% - Accent4 3 2 2 2 3 3 3" xfId="31095" xr:uid="{00000000-0005-0000-0000-00004A280000}"/>
    <cellStyle name="20% - Accent4 3 2 2 2 3 4" xfId="14144" xr:uid="{00000000-0005-0000-0000-00004B280000}"/>
    <cellStyle name="20% - Accent4 3 2 2 2 3 4 2" xfId="36746" xr:uid="{00000000-0005-0000-0000-00004C280000}"/>
    <cellStyle name="20% - Accent4 3 2 2 2 3 5" xfId="25445" xr:uid="{00000000-0005-0000-0000-00004D280000}"/>
    <cellStyle name="20% - Accent4 3 2 2 2 4" xfId="4442" xr:uid="{00000000-0005-0000-0000-00004E280000}"/>
    <cellStyle name="20% - Accent4 3 2 2 2 4 2" xfId="10092" xr:uid="{00000000-0005-0000-0000-00004F280000}"/>
    <cellStyle name="20% - Accent4 3 2 2 2 4 2 2" xfId="21393" xr:uid="{00000000-0005-0000-0000-000050280000}"/>
    <cellStyle name="20% - Accent4 3 2 2 2 4 2 2 2" xfId="43995" xr:uid="{00000000-0005-0000-0000-000051280000}"/>
    <cellStyle name="20% - Accent4 3 2 2 2 4 2 3" xfId="32694" xr:uid="{00000000-0005-0000-0000-000052280000}"/>
    <cellStyle name="20% - Accent4 3 2 2 2 4 3" xfId="15743" xr:uid="{00000000-0005-0000-0000-000053280000}"/>
    <cellStyle name="20% - Accent4 3 2 2 2 4 3 2" xfId="38345" xr:uid="{00000000-0005-0000-0000-000054280000}"/>
    <cellStyle name="20% - Accent4 3 2 2 2 4 4" xfId="27044" xr:uid="{00000000-0005-0000-0000-000055280000}"/>
    <cellStyle name="20% - Accent4 3 2 2 2 5" xfId="7238" xr:uid="{00000000-0005-0000-0000-000056280000}"/>
    <cellStyle name="20% - Accent4 3 2 2 2 5 2" xfId="18539" xr:uid="{00000000-0005-0000-0000-000057280000}"/>
    <cellStyle name="20% - Accent4 3 2 2 2 5 2 2" xfId="41141" xr:uid="{00000000-0005-0000-0000-000058280000}"/>
    <cellStyle name="20% - Accent4 3 2 2 2 5 3" xfId="29840" xr:uid="{00000000-0005-0000-0000-000059280000}"/>
    <cellStyle name="20% - Accent4 3 2 2 2 6" xfId="12889" xr:uid="{00000000-0005-0000-0000-00005A280000}"/>
    <cellStyle name="20% - Accent4 3 2 2 2 6 2" xfId="35491" xr:uid="{00000000-0005-0000-0000-00005B280000}"/>
    <cellStyle name="20% - Accent4 3 2 2 2 7" xfId="24190" xr:uid="{00000000-0005-0000-0000-00005C280000}"/>
    <cellStyle name="20% - Accent4 3 2 2 3" xfId="957" xr:uid="{00000000-0005-0000-0000-00005D280000}"/>
    <cellStyle name="20% - Accent4 3 2 2 3 2" xfId="3020" xr:uid="{00000000-0005-0000-0000-00005E280000}"/>
    <cellStyle name="20% - Accent4 3 2 2 3 2 2" xfId="5992" xr:uid="{00000000-0005-0000-0000-00005F280000}"/>
    <cellStyle name="20% - Accent4 3 2 2 3 2 2 2" xfId="11642" xr:uid="{00000000-0005-0000-0000-000060280000}"/>
    <cellStyle name="20% - Accent4 3 2 2 3 2 2 2 2" xfId="22943" xr:uid="{00000000-0005-0000-0000-000061280000}"/>
    <cellStyle name="20% - Accent4 3 2 2 3 2 2 2 2 2" xfId="45545" xr:uid="{00000000-0005-0000-0000-000062280000}"/>
    <cellStyle name="20% - Accent4 3 2 2 3 2 2 2 3" xfId="34244" xr:uid="{00000000-0005-0000-0000-000063280000}"/>
    <cellStyle name="20% - Accent4 3 2 2 3 2 2 3" xfId="17293" xr:uid="{00000000-0005-0000-0000-000064280000}"/>
    <cellStyle name="20% - Accent4 3 2 2 3 2 2 3 2" xfId="39895" xr:uid="{00000000-0005-0000-0000-000065280000}"/>
    <cellStyle name="20% - Accent4 3 2 2 3 2 2 4" xfId="28594" xr:uid="{00000000-0005-0000-0000-000066280000}"/>
    <cellStyle name="20% - Accent4 3 2 2 3 2 3" xfId="8810" xr:uid="{00000000-0005-0000-0000-000067280000}"/>
    <cellStyle name="20% - Accent4 3 2 2 3 2 3 2" xfId="20111" xr:uid="{00000000-0005-0000-0000-000068280000}"/>
    <cellStyle name="20% - Accent4 3 2 2 3 2 3 2 2" xfId="42713" xr:uid="{00000000-0005-0000-0000-000069280000}"/>
    <cellStyle name="20% - Accent4 3 2 2 3 2 3 3" xfId="31412" xr:uid="{00000000-0005-0000-0000-00006A280000}"/>
    <cellStyle name="20% - Accent4 3 2 2 3 2 4" xfId="14461" xr:uid="{00000000-0005-0000-0000-00006B280000}"/>
    <cellStyle name="20% - Accent4 3 2 2 3 2 4 2" xfId="37063" xr:uid="{00000000-0005-0000-0000-00006C280000}"/>
    <cellStyle name="20% - Accent4 3 2 2 3 2 5" xfId="25762" xr:uid="{00000000-0005-0000-0000-00006D280000}"/>
    <cellStyle name="20% - Accent4 3 2 2 3 3" xfId="4758" xr:uid="{00000000-0005-0000-0000-00006E280000}"/>
    <cellStyle name="20% - Accent4 3 2 2 3 3 2" xfId="10408" xr:uid="{00000000-0005-0000-0000-00006F280000}"/>
    <cellStyle name="20% - Accent4 3 2 2 3 3 2 2" xfId="21709" xr:uid="{00000000-0005-0000-0000-000070280000}"/>
    <cellStyle name="20% - Accent4 3 2 2 3 3 2 2 2" xfId="44311" xr:uid="{00000000-0005-0000-0000-000071280000}"/>
    <cellStyle name="20% - Accent4 3 2 2 3 3 2 3" xfId="33010" xr:uid="{00000000-0005-0000-0000-000072280000}"/>
    <cellStyle name="20% - Accent4 3 2 2 3 3 3" xfId="16059" xr:uid="{00000000-0005-0000-0000-000073280000}"/>
    <cellStyle name="20% - Accent4 3 2 2 3 3 3 2" xfId="38661" xr:uid="{00000000-0005-0000-0000-000074280000}"/>
    <cellStyle name="20% - Accent4 3 2 2 3 3 4" xfId="27360" xr:uid="{00000000-0005-0000-0000-000075280000}"/>
    <cellStyle name="20% - Accent4 3 2 2 3 4" xfId="6945" xr:uid="{00000000-0005-0000-0000-000076280000}"/>
    <cellStyle name="20% - Accent4 3 2 2 3 4 2" xfId="18246" xr:uid="{00000000-0005-0000-0000-000077280000}"/>
    <cellStyle name="20% - Accent4 3 2 2 3 4 2 2" xfId="40848" xr:uid="{00000000-0005-0000-0000-000078280000}"/>
    <cellStyle name="20% - Accent4 3 2 2 3 4 3" xfId="29547" xr:uid="{00000000-0005-0000-0000-000079280000}"/>
    <cellStyle name="20% - Accent4 3 2 2 3 5" xfId="12596" xr:uid="{00000000-0005-0000-0000-00007A280000}"/>
    <cellStyle name="20% - Accent4 3 2 2 3 5 2" xfId="35198" xr:uid="{00000000-0005-0000-0000-00007B280000}"/>
    <cellStyle name="20% - Accent4 3 2 2 3 6" xfId="23897" xr:uid="{00000000-0005-0000-0000-00007C280000}"/>
    <cellStyle name="20% - Accent4 3 2 2 4" xfId="1622" xr:uid="{00000000-0005-0000-0000-00007D280000}"/>
    <cellStyle name="20% - Accent4 3 2 2 4 2" xfId="3577" xr:uid="{00000000-0005-0000-0000-00007E280000}"/>
    <cellStyle name="20% - Accent4 3 2 2 4 2 2" xfId="9289" xr:uid="{00000000-0005-0000-0000-00007F280000}"/>
    <cellStyle name="20% - Accent4 3 2 2 4 2 2 2" xfId="20590" xr:uid="{00000000-0005-0000-0000-000080280000}"/>
    <cellStyle name="20% - Accent4 3 2 2 4 2 2 2 2" xfId="43192" xr:uid="{00000000-0005-0000-0000-000081280000}"/>
    <cellStyle name="20% - Accent4 3 2 2 4 2 2 3" xfId="31891" xr:uid="{00000000-0005-0000-0000-000082280000}"/>
    <cellStyle name="20% - Accent4 3 2 2 4 2 3" xfId="14940" xr:uid="{00000000-0005-0000-0000-000083280000}"/>
    <cellStyle name="20% - Accent4 3 2 2 4 2 3 2" xfId="37542" xr:uid="{00000000-0005-0000-0000-000084280000}"/>
    <cellStyle name="20% - Accent4 3 2 2 4 2 4" xfId="26241" xr:uid="{00000000-0005-0000-0000-000085280000}"/>
    <cellStyle name="20% - Accent4 3 2 2 4 3" xfId="5368" xr:uid="{00000000-0005-0000-0000-000086280000}"/>
    <cellStyle name="20% - Accent4 3 2 2 4 3 2" xfId="11018" xr:uid="{00000000-0005-0000-0000-000087280000}"/>
    <cellStyle name="20% - Accent4 3 2 2 4 3 2 2" xfId="22319" xr:uid="{00000000-0005-0000-0000-000088280000}"/>
    <cellStyle name="20% - Accent4 3 2 2 4 3 2 2 2" xfId="44921" xr:uid="{00000000-0005-0000-0000-000089280000}"/>
    <cellStyle name="20% - Accent4 3 2 2 4 3 2 3" xfId="33620" xr:uid="{00000000-0005-0000-0000-00008A280000}"/>
    <cellStyle name="20% - Accent4 3 2 2 4 3 3" xfId="16669" xr:uid="{00000000-0005-0000-0000-00008B280000}"/>
    <cellStyle name="20% - Accent4 3 2 2 4 3 3 2" xfId="39271" xr:uid="{00000000-0005-0000-0000-00008C280000}"/>
    <cellStyle name="20% - Accent4 3 2 2 4 3 4" xfId="27970" xr:uid="{00000000-0005-0000-0000-00008D280000}"/>
    <cellStyle name="20% - Accent4 3 2 2 4 4" xfId="7478" xr:uid="{00000000-0005-0000-0000-00008E280000}"/>
    <cellStyle name="20% - Accent4 3 2 2 4 4 2" xfId="18779" xr:uid="{00000000-0005-0000-0000-00008F280000}"/>
    <cellStyle name="20% - Accent4 3 2 2 4 4 2 2" xfId="41381" xr:uid="{00000000-0005-0000-0000-000090280000}"/>
    <cellStyle name="20% - Accent4 3 2 2 4 4 3" xfId="30080" xr:uid="{00000000-0005-0000-0000-000091280000}"/>
    <cellStyle name="20% - Accent4 3 2 2 4 5" xfId="13129" xr:uid="{00000000-0005-0000-0000-000092280000}"/>
    <cellStyle name="20% - Accent4 3 2 2 4 5 2" xfId="35731" xr:uid="{00000000-0005-0000-0000-000093280000}"/>
    <cellStyle name="20% - Accent4 3 2 2 4 6" xfId="24430" xr:uid="{00000000-0005-0000-0000-000094280000}"/>
    <cellStyle name="20% - Accent4 3 2 2 5" xfId="2349" xr:uid="{00000000-0005-0000-0000-000095280000}"/>
    <cellStyle name="20% - Accent4 3 2 2 5 2" xfId="8185" xr:uid="{00000000-0005-0000-0000-000096280000}"/>
    <cellStyle name="20% - Accent4 3 2 2 5 2 2" xfId="19486" xr:uid="{00000000-0005-0000-0000-000097280000}"/>
    <cellStyle name="20% - Accent4 3 2 2 5 2 2 2" xfId="42088" xr:uid="{00000000-0005-0000-0000-000098280000}"/>
    <cellStyle name="20% - Accent4 3 2 2 5 2 3" xfId="30787" xr:uid="{00000000-0005-0000-0000-000099280000}"/>
    <cellStyle name="20% - Accent4 3 2 2 5 3" xfId="13836" xr:uid="{00000000-0005-0000-0000-00009A280000}"/>
    <cellStyle name="20% - Accent4 3 2 2 5 3 2" xfId="36438" xr:uid="{00000000-0005-0000-0000-00009B280000}"/>
    <cellStyle name="20% - Accent4 3 2 2 5 4" xfId="25137" xr:uid="{00000000-0005-0000-0000-00009C280000}"/>
    <cellStyle name="20% - Accent4 3 2 2 6" xfId="4134" xr:uid="{00000000-0005-0000-0000-00009D280000}"/>
    <cellStyle name="20% - Accent4 3 2 2 6 2" xfId="9784" xr:uid="{00000000-0005-0000-0000-00009E280000}"/>
    <cellStyle name="20% - Accent4 3 2 2 6 2 2" xfId="21085" xr:uid="{00000000-0005-0000-0000-00009F280000}"/>
    <cellStyle name="20% - Accent4 3 2 2 6 2 2 2" xfId="43687" xr:uid="{00000000-0005-0000-0000-0000A0280000}"/>
    <cellStyle name="20% - Accent4 3 2 2 6 2 3" xfId="32386" xr:uid="{00000000-0005-0000-0000-0000A1280000}"/>
    <cellStyle name="20% - Accent4 3 2 2 6 3" xfId="15435" xr:uid="{00000000-0005-0000-0000-0000A2280000}"/>
    <cellStyle name="20% - Accent4 3 2 2 6 3 2" xfId="38037" xr:uid="{00000000-0005-0000-0000-0000A3280000}"/>
    <cellStyle name="20% - Accent4 3 2 2 6 4" xfId="26736" xr:uid="{00000000-0005-0000-0000-0000A4280000}"/>
    <cellStyle name="20% - Accent4 3 2 2 7" xfId="6614" xr:uid="{00000000-0005-0000-0000-0000A5280000}"/>
    <cellStyle name="20% - Accent4 3 2 2 7 2" xfId="17915" xr:uid="{00000000-0005-0000-0000-0000A6280000}"/>
    <cellStyle name="20% - Accent4 3 2 2 7 2 2" xfId="40517" xr:uid="{00000000-0005-0000-0000-0000A7280000}"/>
    <cellStyle name="20% - Accent4 3 2 2 7 3" xfId="29216" xr:uid="{00000000-0005-0000-0000-0000A8280000}"/>
    <cellStyle name="20% - Accent4 3 2 2 8" xfId="12265" xr:uid="{00000000-0005-0000-0000-0000A9280000}"/>
    <cellStyle name="20% - Accent4 3 2 2 8 2" xfId="34867" xr:uid="{00000000-0005-0000-0000-0000AA280000}"/>
    <cellStyle name="20% - Accent4 3 2 2 9" xfId="23566" xr:uid="{00000000-0005-0000-0000-0000AB280000}"/>
    <cellStyle name="20% - Accent4 3 2 3" xfId="1121" xr:uid="{00000000-0005-0000-0000-0000AC280000}"/>
    <cellStyle name="20% - Accent4 3 2 3 2" xfId="1624" xr:uid="{00000000-0005-0000-0000-0000AD280000}"/>
    <cellStyle name="20% - Accent4 3 2 3 2 2" xfId="3189" xr:uid="{00000000-0005-0000-0000-0000AE280000}"/>
    <cellStyle name="20% - Accent4 3 2 3 2 2 2" xfId="6161" xr:uid="{00000000-0005-0000-0000-0000AF280000}"/>
    <cellStyle name="20% - Accent4 3 2 3 2 2 2 2" xfId="11811" xr:uid="{00000000-0005-0000-0000-0000B0280000}"/>
    <cellStyle name="20% - Accent4 3 2 3 2 2 2 2 2" xfId="23112" xr:uid="{00000000-0005-0000-0000-0000B1280000}"/>
    <cellStyle name="20% - Accent4 3 2 3 2 2 2 2 2 2" xfId="45714" xr:uid="{00000000-0005-0000-0000-0000B2280000}"/>
    <cellStyle name="20% - Accent4 3 2 3 2 2 2 2 3" xfId="34413" xr:uid="{00000000-0005-0000-0000-0000B3280000}"/>
    <cellStyle name="20% - Accent4 3 2 3 2 2 2 3" xfId="17462" xr:uid="{00000000-0005-0000-0000-0000B4280000}"/>
    <cellStyle name="20% - Accent4 3 2 3 2 2 2 3 2" xfId="40064" xr:uid="{00000000-0005-0000-0000-0000B5280000}"/>
    <cellStyle name="20% - Accent4 3 2 3 2 2 2 4" xfId="28763" xr:uid="{00000000-0005-0000-0000-0000B6280000}"/>
    <cellStyle name="20% - Accent4 3 2 3 2 2 3" xfId="8979" xr:uid="{00000000-0005-0000-0000-0000B7280000}"/>
    <cellStyle name="20% - Accent4 3 2 3 2 2 3 2" xfId="20280" xr:uid="{00000000-0005-0000-0000-0000B8280000}"/>
    <cellStyle name="20% - Accent4 3 2 3 2 2 3 2 2" xfId="42882" xr:uid="{00000000-0005-0000-0000-0000B9280000}"/>
    <cellStyle name="20% - Accent4 3 2 3 2 2 3 3" xfId="31581" xr:uid="{00000000-0005-0000-0000-0000BA280000}"/>
    <cellStyle name="20% - Accent4 3 2 3 2 2 4" xfId="14630" xr:uid="{00000000-0005-0000-0000-0000BB280000}"/>
    <cellStyle name="20% - Accent4 3 2 3 2 2 4 2" xfId="37232" xr:uid="{00000000-0005-0000-0000-0000BC280000}"/>
    <cellStyle name="20% - Accent4 3 2 3 2 2 5" xfId="25931" xr:uid="{00000000-0005-0000-0000-0000BD280000}"/>
    <cellStyle name="20% - Accent4 3 2 3 2 3" xfId="4927" xr:uid="{00000000-0005-0000-0000-0000BE280000}"/>
    <cellStyle name="20% - Accent4 3 2 3 2 3 2" xfId="10577" xr:uid="{00000000-0005-0000-0000-0000BF280000}"/>
    <cellStyle name="20% - Accent4 3 2 3 2 3 2 2" xfId="21878" xr:uid="{00000000-0005-0000-0000-0000C0280000}"/>
    <cellStyle name="20% - Accent4 3 2 3 2 3 2 2 2" xfId="44480" xr:uid="{00000000-0005-0000-0000-0000C1280000}"/>
    <cellStyle name="20% - Accent4 3 2 3 2 3 2 3" xfId="33179" xr:uid="{00000000-0005-0000-0000-0000C2280000}"/>
    <cellStyle name="20% - Accent4 3 2 3 2 3 3" xfId="16228" xr:uid="{00000000-0005-0000-0000-0000C3280000}"/>
    <cellStyle name="20% - Accent4 3 2 3 2 3 3 2" xfId="38830" xr:uid="{00000000-0005-0000-0000-0000C4280000}"/>
    <cellStyle name="20% - Accent4 3 2 3 2 3 4" xfId="27529" xr:uid="{00000000-0005-0000-0000-0000C5280000}"/>
    <cellStyle name="20% - Accent4 3 2 3 2 4" xfId="7480" xr:uid="{00000000-0005-0000-0000-0000C6280000}"/>
    <cellStyle name="20% - Accent4 3 2 3 2 4 2" xfId="18781" xr:uid="{00000000-0005-0000-0000-0000C7280000}"/>
    <cellStyle name="20% - Accent4 3 2 3 2 4 2 2" xfId="41383" xr:uid="{00000000-0005-0000-0000-0000C8280000}"/>
    <cellStyle name="20% - Accent4 3 2 3 2 4 3" xfId="30082" xr:uid="{00000000-0005-0000-0000-0000C9280000}"/>
    <cellStyle name="20% - Accent4 3 2 3 2 5" xfId="13131" xr:uid="{00000000-0005-0000-0000-0000CA280000}"/>
    <cellStyle name="20% - Accent4 3 2 3 2 5 2" xfId="35733" xr:uid="{00000000-0005-0000-0000-0000CB280000}"/>
    <cellStyle name="20% - Accent4 3 2 3 2 6" xfId="24432" xr:uid="{00000000-0005-0000-0000-0000CC280000}"/>
    <cellStyle name="20% - Accent4 3 2 3 3" xfId="2518" xr:uid="{00000000-0005-0000-0000-0000CD280000}"/>
    <cellStyle name="20% - Accent4 3 2 3 3 2" xfId="5537" xr:uid="{00000000-0005-0000-0000-0000CE280000}"/>
    <cellStyle name="20% - Accent4 3 2 3 3 2 2" xfId="11187" xr:uid="{00000000-0005-0000-0000-0000CF280000}"/>
    <cellStyle name="20% - Accent4 3 2 3 3 2 2 2" xfId="22488" xr:uid="{00000000-0005-0000-0000-0000D0280000}"/>
    <cellStyle name="20% - Accent4 3 2 3 3 2 2 2 2" xfId="45090" xr:uid="{00000000-0005-0000-0000-0000D1280000}"/>
    <cellStyle name="20% - Accent4 3 2 3 3 2 2 3" xfId="33789" xr:uid="{00000000-0005-0000-0000-0000D2280000}"/>
    <cellStyle name="20% - Accent4 3 2 3 3 2 3" xfId="16838" xr:uid="{00000000-0005-0000-0000-0000D3280000}"/>
    <cellStyle name="20% - Accent4 3 2 3 3 2 3 2" xfId="39440" xr:uid="{00000000-0005-0000-0000-0000D4280000}"/>
    <cellStyle name="20% - Accent4 3 2 3 3 2 4" xfId="28139" xr:uid="{00000000-0005-0000-0000-0000D5280000}"/>
    <cellStyle name="20% - Accent4 3 2 3 3 3" xfId="8354" xr:uid="{00000000-0005-0000-0000-0000D6280000}"/>
    <cellStyle name="20% - Accent4 3 2 3 3 3 2" xfId="19655" xr:uid="{00000000-0005-0000-0000-0000D7280000}"/>
    <cellStyle name="20% - Accent4 3 2 3 3 3 2 2" xfId="42257" xr:uid="{00000000-0005-0000-0000-0000D8280000}"/>
    <cellStyle name="20% - Accent4 3 2 3 3 3 3" xfId="30956" xr:uid="{00000000-0005-0000-0000-0000D9280000}"/>
    <cellStyle name="20% - Accent4 3 2 3 3 4" xfId="14005" xr:uid="{00000000-0005-0000-0000-0000DA280000}"/>
    <cellStyle name="20% - Accent4 3 2 3 3 4 2" xfId="36607" xr:uid="{00000000-0005-0000-0000-0000DB280000}"/>
    <cellStyle name="20% - Accent4 3 2 3 3 5" xfId="25306" xr:uid="{00000000-0005-0000-0000-0000DC280000}"/>
    <cellStyle name="20% - Accent4 3 2 3 4" xfId="4303" xr:uid="{00000000-0005-0000-0000-0000DD280000}"/>
    <cellStyle name="20% - Accent4 3 2 3 4 2" xfId="9953" xr:uid="{00000000-0005-0000-0000-0000DE280000}"/>
    <cellStyle name="20% - Accent4 3 2 3 4 2 2" xfId="21254" xr:uid="{00000000-0005-0000-0000-0000DF280000}"/>
    <cellStyle name="20% - Accent4 3 2 3 4 2 2 2" xfId="43856" xr:uid="{00000000-0005-0000-0000-0000E0280000}"/>
    <cellStyle name="20% - Accent4 3 2 3 4 2 3" xfId="32555" xr:uid="{00000000-0005-0000-0000-0000E1280000}"/>
    <cellStyle name="20% - Accent4 3 2 3 4 3" xfId="15604" xr:uid="{00000000-0005-0000-0000-0000E2280000}"/>
    <cellStyle name="20% - Accent4 3 2 3 4 3 2" xfId="38206" xr:uid="{00000000-0005-0000-0000-0000E3280000}"/>
    <cellStyle name="20% - Accent4 3 2 3 4 4" xfId="26905" xr:uid="{00000000-0005-0000-0000-0000E4280000}"/>
    <cellStyle name="20% - Accent4 3 2 3 5" xfId="7100" xr:uid="{00000000-0005-0000-0000-0000E5280000}"/>
    <cellStyle name="20% - Accent4 3 2 3 5 2" xfId="18401" xr:uid="{00000000-0005-0000-0000-0000E6280000}"/>
    <cellStyle name="20% - Accent4 3 2 3 5 2 2" xfId="41003" xr:uid="{00000000-0005-0000-0000-0000E7280000}"/>
    <cellStyle name="20% - Accent4 3 2 3 5 3" xfId="29702" xr:uid="{00000000-0005-0000-0000-0000E8280000}"/>
    <cellStyle name="20% - Accent4 3 2 3 6" xfId="12751" xr:uid="{00000000-0005-0000-0000-0000E9280000}"/>
    <cellStyle name="20% - Accent4 3 2 3 6 2" xfId="35353" xr:uid="{00000000-0005-0000-0000-0000EA280000}"/>
    <cellStyle name="20% - Accent4 3 2 3 7" xfId="24052" xr:uid="{00000000-0005-0000-0000-0000EB280000}"/>
    <cellStyle name="20% - Accent4 3 2 4" xfId="810" xr:uid="{00000000-0005-0000-0000-0000EC280000}"/>
    <cellStyle name="20% - Accent4 3 2 4 2" xfId="2882" xr:uid="{00000000-0005-0000-0000-0000ED280000}"/>
    <cellStyle name="20% - Accent4 3 2 4 2 2" xfId="5854" xr:uid="{00000000-0005-0000-0000-0000EE280000}"/>
    <cellStyle name="20% - Accent4 3 2 4 2 2 2" xfId="11504" xr:uid="{00000000-0005-0000-0000-0000EF280000}"/>
    <cellStyle name="20% - Accent4 3 2 4 2 2 2 2" xfId="22805" xr:uid="{00000000-0005-0000-0000-0000F0280000}"/>
    <cellStyle name="20% - Accent4 3 2 4 2 2 2 2 2" xfId="45407" xr:uid="{00000000-0005-0000-0000-0000F1280000}"/>
    <cellStyle name="20% - Accent4 3 2 4 2 2 2 3" xfId="34106" xr:uid="{00000000-0005-0000-0000-0000F2280000}"/>
    <cellStyle name="20% - Accent4 3 2 4 2 2 3" xfId="17155" xr:uid="{00000000-0005-0000-0000-0000F3280000}"/>
    <cellStyle name="20% - Accent4 3 2 4 2 2 3 2" xfId="39757" xr:uid="{00000000-0005-0000-0000-0000F4280000}"/>
    <cellStyle name="20% - Accent4 3 2 4 2 2 4" xfId="28456" xr:uid="{00000000-0005-0000-0000-0000F5280000}"/>
    <cellStyle name="20% - Accent4 3 2 4 2 3" xfId="8672" xr:uid="{00000000-0005-0000-0000-0000F6280000}"/>
    <cellStyle name="20% - Accent4 3 2 4 2 3 2" xfId="19973" xr:uid="{00000000-0005-0000-0000-0000F7280000}"/>
    <cellStyle name="20% - Accent4 3 2 4 2 3 2 2" xfId="42575" xr:uid="{00000000-0005-0000-0000-0000F8280000}"/>
    <cellStyle name="20% - Accent4 3 2 4 2 3 3" xfId="31274" xr:uid="{00000000-0005-0000-0000-0000F9280000}"/>
    <cellStyle name="20% - Accent4 3 2 4 2 4" xfId="14323" xr:uid="{00000000-0005-0000-0000-0000FA280000}"/>
    <cellStyle name="20% - Accent4 3 2 4 2 4 2" xfId="36925" xr:uid="{00000000-0005-0000-0000-0000FB280000}"/>
    <cellStyle name="20% - Accent4 3 2 4 2 5" xfId="25624" xr:uid="{00000000-0005-0000-0000-0000FC280000}"/>
    <cellStyle name="20% - Accent4 3 2 4 3" xfId="4620" xr:uid="{00000000-0005-0000-0000-0000FD280000}"/>
    <cellStyle name="20% - Accent4 3 2 4 3 2" xfId="10270" xr:uid="{00000000-0005-0000-0000-0000FE280000}"/>
    <cellStyle name="20% - Accent4 3 2 4 3 2 2" xfId="21571" xr:uid="{00000000-0005-0000-0000-0000FF280000}"/>
    <cellStyle name="20% - Accent4 3 2 4 3 2 2 2" xfId="44173" xr:uid="{00000000-0005-0000-0000-000000290000}"/>
    <cellStyle name="20% - Accent4 3 2 4 3 2 3" xfId="32872" xr:uid="{00000000-0005-0000-0000-000001290000}"/>
    <cellStyle name="20% - Accent4 3 2 4 3 3" xfId="15921" xr:uid="{00000000-0005-0000-0000-000002290000}"/>
    <cellStyle name="20% - Accent4 3 2 4 3 3 2" xfId="38523" xr:uid="{00000000-0005-0000-0000-000003290000}"/>
    <cellStyle name="20% - Accent4 3 2 4 3 4" xfId="27222" xr:uid="{00000000-0005-0000-0000-000004290000}"/>
    <cellStyle name="20% - Accent4 3 2 4 4" xfId="6807" xr:uid="{00000000-0005-0000-0000-000005290000}"/>
    <cellStyle name="20% - Accent4 3 2 4 4 2" xfId="18108" xr:uid="{00000000-0005-0000-0000-000006290000}"/>
    <cellStyle name="20% - Accent4 3 2 4 4 2 2" xfId="40710" xr:uid="{00000000-0005-0000-0000-000007290000}"/>
    <cellStyle name="20% - Accent4 3 2 4 4 3" xfId="29409" xr:uid="{00000000-0005-0000-0000-000008290000}"/>
    <cellStyle name="20% - Accent4 3 2 4 5" xfId="12458" xr:uid="{00000000-0005-0000-0000-000009290000}"/>
    <cellStyle name="20% - Accent4 3 2 4 5 2" xfId="35060" xr:uid="{00000000-0005-0000-0000-00000A290000}"/>
    <cellStyle name="20% - Accent4 3 2 4 6" xfId="23759" xr:uid="{00000000-0005-0000-0000-00000B290000}"/>
    <cellStyle name="20% - Accent4 3 2 5" xfId="1621" xr:uid="{00000000-0005-0000-0000-00000C290000}"/>
    <cellStyle name="20% - Accent4 3 2 5 2" xfId="3576" xr:uid="{00000000-0005-0000-0000-00000D290000}"/>
    <cellStyle name="20% - Accent4 3 2 5 2 2" xfId="9288" xr:uid="{00000000-0005-0000-0000-00000E290000}"/>
    <cellStyle name="20% - Accent4 3 2 5 2 2 2" xfId="20589" xr:uid="{00000000-0005-0000-0000-00000F290000}"/>
    <cellStyle name="20% - Accent4 3 2 5 2 2 2 2" xfId="43191" xr:uid="{00000000-0005-0000-0000-000010290000}"/>
    <cellStyle name="20% - Accent4 3 2 5 2 2 3" xfId="31890" xr:uid="{00000000-0005-0000-0000-000011290000}"/>
    <cellStyle name="20% - Accent4 3 2 5 2 3" xfId="14939" xr:uid="{00000000-0005-0000-0000-000012290000}"/>
    <cellStyle name="20% - Accent4 3 2 5 2 3 2" xfId="37541" xr:uid="{00000000-0005-0000-0000-000013290000}"/>
    <cellStyle name="20% - Accent4 3 2 5 2 4" xfId="26240" xr:uid="{00000000-0005-0000-0000-000014290000}"/>
    <cellStyle name="20% - Accent4 3 2 5 3" xfId="5230" xr:uid="{00000000-0005-0000-0000-000015290000}"/>
    <cellStyle name="20% - Accent4 3 2 5 3 2" xfId="10880" xr:uid="{00000000-0005-0000-0000-000016290000}"/>
    <cellStyle name="20% - Accent4 3 2 5 3 2 2" xfId="22181" xr:uid="{00000000-0005-0000-0000-000017290000}"/>
    <cellStyle name="20% - Accent4 3 2 5 3 2 2 2" xfId="44783" xr:uid="{00000000-0005-0000-0000-000018290000}"/>
    <cellStyle name="20% - Accent4 3 2 5 3 2 3" xfId="33482" xr:uid="{00000000-0005-0000-0000-000019290000}"/>
    <cellStyle name="20% - Accent4 3 2 5 3 3" xfId="16531" xr:uid="{00000000-0005-0000-0000-00001A290000}"/>
    <cellStyle name="20% - Accent4 3 2 5 3 3 2" xfId="39133" xr:uid="{00000000-0005-0000-0000-00001B290000}"/>
    <cellStyle name="20% - Accent4 3 2 5 3 4" xfId="27832" xr:uid="{00000000-0005-0000-0000-00001C290000}"/>
    <cellStyle name="20% - Accent4 3 2 5 4" xfId="7477" xr:uid="{00000000-0005-0000-0000-00001D290000}"/>
    <cellStyle name="20% - Accent4 3 2 5 4 2" xfId="18778" xr:uid="{00000000-0005-0000-0000-00001E290000}"/>
    <cellStyle name="20% - Accent4 3 2 5 4 2 2" xfId="41380" xr:uid="{00000000-0005-0000-0000-00001F290000}"/>
    <cellStyle name="20% - Accent4 3 2 5 4 3" xfId="30079" xr:uid="{00000000-0005-0000-0000-000020290000}"/>
    <cellStyle name="20% - Accent4 3 2 5 5" xfId="13128" xr:uid="{00000000-0005-0000-0000-000021290000}"/>
    <cellStyle name="20% - Accent4 3 2 5 5 2" xfId="35730" xr:uid="{00000000-0005-0000-0000-000022290000}"/>
    <cellStyle name="20% - Accent4 3 2 5 6" xfId="24429" xr:uid="{00000000-0005-0000-0000-000023290000}"/>
    <cellStyle name="20% - Accent4 3 2 6" xfId="2208" xr:uid="{00000000-0005-0000-0000-000024290000}"/>
    <cellStyle name="20% - Accent4 3 2 6 2" xfId="8044" xr:uid="{00000000-0005-0000-0000-000025290000}"/>
    <cellStyle name="20% - Accent4 3 2 6 2 2" xfId="19345" xr:uid="{00000000-0005-0000-0000-000026290000}"/>
    <cellStyle name="20% - Accent4 3 2 6 2 2 2" xfId="41947" xr:uid="{00000000-0005-0000-0000-000027290000}"/>
    <cellStyle name="20% - Accent4 3 2 6 2 3" xfId="30646" xr:uid="{00000000-0005-0000-0000-000028290000}"/>
    <cellStyle name="20% - Accent4 3 2 6 3" xfId="13695" xr:uid="{00000000-0005-0000-0000-000029290000}"/>
    <cellStyle name="20% - Accent4 3 2 6 3 2" xfId="36297" xr:uid="{00000000-0005-0000-0000-00002A290000}"/>
    <cellStyle name="20% - Accent4 3 2 6 4" xfId="24996" xr:uid="{00000000-0005-0000-0000-00002B290000}"/>
    <cellStyle name="20% - Accent4 3 2 7" xfId="3996" xr:uid="{00000000-0005-0000-0000-00002C290000}"/>
    <cellStyle name="20% - Accent4 3 2 7 2" xfId="9646" xr:uid="{00000000-0005-0000-0000-00002D290000}"/>
    <cellStyle name="20% - Accent4 3 2 7 2 2" xfId="20947" xr:uid="{00000000-0005-0000-0000-00002E290000}"/>
    <cellStyle name="20% - Accent4 3 2 7 2 2 2" xfId="43549" xr:uid="{00000000-0005-0000-0000-00002F290000}"/>
    <cellStyle name="20% - Accent4 3 2 7 2 3" xfId="32248" xr:uid="{00000000-0005-0000-0000-000030290000}"/>
    <cellStyle name="20% - Accent4 3 2 7 3" xfId="15297" xr:uid="{00000000-0005-0000-0000-000031290000}"/>
    <cellStyle name="20% - Accent4 3 2 7 3 2" xfId="37899" xr:uid="{00000000-0005-0000-0000-000032290000}"/>
    <cellStyle name="20% - Accent4 3 2 7 4" xfId="26598" xr:uid="{00000000-0005-0000-0000-000033290000}"/>
    <cellStyle name="20% - Accent4 3 2 8" xfId="6447" xr:uid="{00000000-0005-0000-0000-000034290000}"/>
    <cellStyle name="20% - Accent4 3 2 8 2" xfId="17748" xr:uid="{00000000-0005-0000-0000-000035290000}"/>
    <cellStyle name="20% - Accent4 3 2 8 2 2" xfId="40350" xr:uid="{00000000-0005-0000-0000-000036290000}"/>
    <cellStyle name="20% - Accent4 3 2 8 3" xfId="29049" xr:uid="{00000000-0005-0000-0000-000037290000}"/>
    <cellStyle name="20% - Accent4 3 2 9" xfId="12098" xr:uid="{00000000-0005-0000-0000-000038290000}"/>
    <cellStyle name="20% - Accent4 3 2 9 2" xfId="34700" xr:uid="{00000000-0005-0000-0000-000039290000}"/>
    <cellStyle name="20% - Accent4 3 3" xfId="353" xr:uid="{00000000-0005-0000-0000-00003A290000}"/>
    <cellStyle name="20% - Accent4 3 3 10" xfId="23448" xr:uid="{00000000-0005-0000-0000-00003B290000}"/>
    <cellStyle name="20% - Accent4 3 3 2" xfId="598" xr:uid="{00000000-0005-0000-0000-00003C290000}"/>
    <cellStyle name="20% - Accent4 3 3 2 2" xfId="1308" xr:uid="{00000000-0005-0000-0000-00003D290000}"/>
    <cellStyle name="20% - Accent4 3 3 2 2 2" xfId="1627" xr:uid="{00000000-0005-0000-0000-00003E290000}"/>
    <cellStyle name="20% - Accent4 3 3 2 2 2 2" xfId="3377" xr:uid="{00000000-0005-0000-0000-00003F290000}"/>
    <cellStyle name="20% - Accent4 3 3 2 2 2 2 2" xfId="6349" xr:uid="{00000000-0005-0000-0000-000040290000}"/>
    <cellStyle name="20% - Accent4 3 3 2 2 2 2 2 2" xfId="11999" xr:uid="{00000000-0005-0000-0000-000041290000}"/>
    <cellStyle name="20% - Accent4 3 3 2 2 2 2 2 2 2" xfId="23300" xr:uid="{00000000-0005-0000-0000-000042290000}"/>
    <cellStyle name="20% - Accent4 3 3 2 2 2 2 2 2 2 2" xfId="45902" xr:uid="{00000000-0005-0000-0000-000043290000}"/>
    <cellStyle name="20% - Accent4 3 3 2 2 2 2 2 2 3" xfId="34601" xr:uid="{00000000-0005-0000-0000-000044290000}"/>
    <cellStyle name="20% - Accent4 3 3 2 2 2 2 2 3" xfId="17650" xr:uid="{00000000-0005-0000-0000-000045290000}"/>
    <cellStyle name="20% - Accent4 3 3 2 2 2 2 2 3 2" xfId="40252" xr:uid="{00000000-0005-0000-0000-000046290000}"/>
    <cellStyle name="20% - Accent4 3 3 2 2 2 2 2 4" xfId="28951" xr:uid="{00000000-0005-0000-0000-000047290000}"/>
    <cellStyle name="20% - Accent4 3 3 2 2 2 2 3" xfId="9167" xr:uid="{00000000-0005-0000-0000-000048290000}"/>
    <cellStyle name="20% - Accent4 3 3 2 2 2 2 3 2" xfId="20468" xr:uid="{00000000-0005-0000-0000-000049290000}"/>
    <cellStyle name="20% - Accent4 3 3 2 2 2 2 3 2 2" xfId="43070" xr:uid="{00000000-0005-0000-0000-00004A290000}"/>
    <cellStyle name="20% - Accent4 3 3 2 2 2 2 3 3" xfId="31769" xr:uid="{00000000-0005-0000-0000-00004B290000}"/>
    <cellStyle name="20% - Accent4 3 3 2 2 2 2 4" xfId="14818" xr:uid="{00000000-0005-0000-0000-00004C290000}"/>
    <cellStyle name="20% - Accent4 3 3 2 2 2 2 4 2" xfId="37420" xr:uid="{00000000-0005-0000-0000-00004D290000}"/>
    <cellStyle name="20% - Accent4 3 3 2 2 2 2 5" xfId="26119" xr:uid="{00000000-0005-0000-0000-00004E290000}"/>
    <cellStyle name="20% - Accent4 3 3 2 2 2 3" xfId="5115" xr:uid="{00000000-0005-0000-0000-00004F290000}"/>
    <cellStyle name="20% - Accent4 3 3 2 2 2 3 2" xfId="10765" xr:uid="{00000000-0005-0000-0000-000050290000}"/>
    <cellStyle name="20% - Accent4 3 3 2 2 2 3 2 2" xfId="22066" xr:uid="{00000000-0005-0000-0000-000051290000}"/>
    <cellStyle name="20% - Accent4 3 3 2 2 2 3 2 2 2" xfId="44668" xr:uid="{00000000-0005-0000-0000-000052290000}"/>
    <cellStyle name="20% - Accent4 3 3 2 2 2 3 2 3" xfId="33367" xr:uid="{00000000-0005-0000-0000-000053290000}"/>
    <cellStyle name="20% - Accent4 3 3 2 2 2 3 3" xfId="16416" xr:uid="{00000000-0005-0000-0000-000054290000}"/>
    <cellStyle name="20% - Accent4 3 3 2 2 2 3 3 2" xfId="39018" xr:uid="{00000000-0005-0000-0000-000055290000}"/>
    <cellStyle name="20% - Accent4 3 3 2 2 2 3 4" xfId="27717" xr:uid="{00000000-0005-0000-0000-000056290000}"/>
    <cellStyle name="20% - Accent4 3 3 2 2 2 4" xfId="7483" xr:uid="{00000000-0005-0000-0000-000057290000}"/>
    <cellStyle name="20% - Accent4 3 3 2 2 2 4 2" xfId="18784" xr:uid="{00000000-0005-0000-0000-000058290000}"/>
    <cellStyle name="20% - Accent4 3 3 2 2 2 4 2 2" xfId="41386" xr:uid="{00000000-0005-0000-0000-000059290000}"/>
    <cellStyle name="20% - Accent4 3 3 2 2 2 4 3" xfId="30085" xr:uid="{00000000-0005-0000-0000-00005A290000}"/>
    <cellStyle name="20% - Accent4 3 3 2 2 2 5" xfId="13134" xr:uid="{00000000-0005-0000-0000-00005B290000}"/>
    <cellStyle name="20% - Accent4 3 3 2 2 2 5 2" xfId="35736" xr:uid="{00000000-0005-0000-0000-00005C290000}"/>
    <cellStyle name="20% - Accent4 3 3 2 2 2 6" xfId="24435" xr:uid="{00000000-0005-0000-0000-00005D290000}"/>
    <cellStyle name="20% - Accent4 3 3 2 2 3" xfId="2706" xr:uid="{00000000-0005-0000-0000-00005E290000}"/>
    <cellStyle name="20% - Accent4 3 3 2 2 3 2" xfId="5725" xr:uid="{00000000-0005-0000-0000-00005F290000}"/>
    <cellStyle name="20% - Accent4 3 3 2 2 3 2 2" xfId="11375" xr:uid="{00000000-0005-0000-0000-000060290000}"/>
    <cellStyle name="20% - Accent4 3 3 2 2 3 2 2 2" xfId="22676" xr:uid="{00000000-0005-0000-0000-000061290000}"/>
    <cellStyle name="20% - Accent4 3 3 2 2 3 2 2 2 2" xfId="45278" xr:uid="{00000000-0005-0000-0000-000062290000}"/>
    <cellStyle name="20% - Accent4 3 3 2 2 3 2 2 3" xfId="33977" xr:uid="{00000000-0005-0000-0000-000063290000}"/>
    <cellStyle name="20% - Accent4 3 3 2 2 3 2 3" xfId="17026" xr:uid="{00000000-0005-0000-0000-000064290000}"/>
    <cellStyle name="20% - Accent4 3 3 2 2 3 2 3 2" xfId="39628" xr:uid="{00000000-0005-0000-0000-000065290000}"/>
    <cellStyle name="20% - Accent4 3 3 2 2 3 2 4" xfId="28327" xr:uid="{00000000-0005-0000-0000-000066290000}"/>
    <cellStyle name="20% - Accent4 3 3 2 2 3 3" xfId="8542" xr:uid="{00000000-0005-0000-0000-000067290000}"/>
    <cellStyle name="20% - Accent4 3 3 2 2 3 3 2" xfId="19843" xr:uid="{00000000-0005-0000-0000-000068290000}"/>
    <cellStyle name="20% - Accent4 3 3 2 2 3 3 2 2" xfId="42445" xr:uid="{00000000-0005-0000-0000-000069290000}"/>
    <cellStyle name="20% - Accent4 3 3 2 2 3 3 3" xfId="31144" xr:uid="{00000000-0005-0000-0000-00006A290000}"/>
    <cellStyle name="20% - Accent4 3 3 2 2 3 4" xfId="14193" xr:uid="{00000000-0005-0000-0000-00006B290000}"/>
    <cellStyle name="20% - Accent4 3 3 2 2 3 4 2" xfId="36795" xr:uid="{00000000-0005-0000-0000-00006C290000}"/>
    <cellStyle name="20% - Accent4 3 3 2 2 3 5" xfId="25494" xr:uid="{00000000-0005-0000-0000-00006D290000}"/>
    <cellStyle name="20% - Accent4 3 3 2 2 4" xfId="4491" xr:uid="{00000000-0005-0000-0000-00006E290000}"/>
    <cellStyle name="20% - Accent4 3 3 2 2 4 2" xfId="10141" xr:uid="{00000000-0005-0000-0000-00006F290000}"/>
    <cellStyle name="20% - Accent4 3 3 2 2 4 2 2" xfId="21442" xr:uid="{00000000-0005-0000-0000-000070290000}"/>
    <cellStyle name="20% - Accent4 3 3 2 2 4 2 2 2" xfId="44044" xr:uid="{00000000-0005-0000-0000-000071290000}"/>
    <cellStyle name="20% - Accent4 3 3 2 2 4 2 3" xfId="32743" xr:uid="{00000000-0005-0000-0000-000072290000}"/>
    <cellStyle name="20% - Accent4 3 3 2 2 4 3" xfId="15792" xr:uid="{00000000-0005-0000-0000-000073290000}"/>
    <cellStyle name="20% - Accent4 3 3 2 2 4 3 2" xfId="38394" xr:uid="{00000000-0005-0000-0000-000074290000}"/>
    <cellStyle name="20% - Accent4 3 3 2 2 4 4" xfId="27093" xr:uid="{00000000-0005-0000-0000-000075290000}"/>
    <cellStyle name="20% - Accent4 3 3 2 2 5" xfId="7287" xr:uid="{00000000-0005-0000-0000-000076290000}"/>
    <cellStyle name="20% - Accent4 3 3 2 2 5 2" xfId="18588" xr:uid="{00000000-0005-0000-0000-000077290000}"/>
    <cellStyle name="20% - Accent4 3 3 2 2 5 2 2" xfId="41190" xr:uid="{00000000-0005-0000-0000-000078290000}"/>
    <cellStyle name="20% - Accent4 3 3 2 2 5 3" xfId="29889" xr:uid="{00000000-0005-0000-0000-000079290000}"/>
    <cellStyle name="20% - Accent4 3 3 2 2 6" xfId="12938" xr:uid="{00000000-0005-0000-0000-00007A290000}"/>
    <cellStyle name="20% - Accent4 3 3 2 2 6 2" xfId="35540" xr:uid="{00000000-0005-0000-0000-00007B290000}"/>
    <cellStyle name="20% - Accent4 3 3 2 2 7" xfId="24239" xr:uid="{00000000-0005-0000-0000-00007C290000}"/>
    <cellStyle name="20% - Accent4 3 3 2 3" xfId="1006" xr:uid="{00000000-0005-0000-0000-00007D290000}"/>
    <cellStyle name="20% - Accent4 3 3 2 3 2" xfId="3069" xr:uid="{00000000-0005-0000-0000-00007E290000}"/>
    <cellStyle name="20% - Accent4 3 3 2 3 2 2" xfId="6041" xr:uid="{00000000-0005-0000-0000-00007F290000}"/>
    <cellStyle name="20% - Accent4 3 3 2 3 2 2 2" xfId="11691" xr:uid="{00000000-0005-0000-0000-000080290000}"/>
    <cellStyle name="20% - Accent4 3 3 2 3 2 2 2 2" xfId="22992" xr:uid="{00000000-0005-0000-0000-000081290000}"/>
    <cellStyle name="20% - Accent4 3 3 2 3 2 2 2 2 2" xfId="45594" xr:uid="{00000000-0005-0000-0000-000082290000}"/>
    <cellStyle name="20% - Accent4 3 3 2 3 2 2 2 3" xfId="34293" xr:uid="{00000000-0005-0000-0000-000083290000}"/>
    <cellStyle name="20% - Accent4 3 3 2 3 2 2 3" xfId="17342" xr:uid="{00000000-0005-0000-0000-000084290000}"/>
    <cellStyle name="20% - Accent4 3 3 2 3 2 2 3 2" xfId="39944" xr:uid="{00000000-0005-0000-0000-000085290000}"/>
    <cellStyle name="20% - Accent4 3 3 2 3 2 2 4" xfId="28643" xr:uid="{00000000-0005-0000-0000-000086290000}"/>
    <cellStyle name="20% - Accent4 3 3 2 3 2 3" xfId="8859" xr:uid="{00000000-0005-0000-0000-000087290000}"/>
    <cellStyle name="20% - Accent4 3 3 2 3 2 3 2" xfId="20160" xr:uid="{00000000-0005-0000-0000-000088290000}"/>
    <cellStyle name="20% - Accent4 3 3 2 3 2 3 2 2" xfId="42762" xr:uid="{00000000-0005-0000-0000-000089290000}"/>
    <cellStyle name="20% - Accent4 3 3 2 3 2 3 3" xfId="31461" xr:uid="{00000000-0005-0000-0000-00008A290000}"/>
    <cellStyle name="20% - Accent4 3 3 2 3 2 4" xfId="14510" xr:uid="{00000000-0005-0000-0000-00008B290000}"/>
    <cellStyle name="20% - Accent4 3 3 2 3 2 4 2" xfId="37112" xr:uid="{00000000-0005-0000-0000-00008C290000}"/>
    <cellStyle name="20% - Accent4 3 3 2 3 2 5" xfId="25811" xr:uid="{00000000-0005-0000-0000-00008D290000}"/>
    <cellStyle name="20% - Accent4 3 3 2 3 3" xfId="4807" xr:uid="{00000000-0005-0000-0000-00008E290000}"/>
    <cellStyle name="20% - Accent4 3 3 2 3 3 2" xfId="10457" xr:uid="{00000000-0005-0000-0000-00008F290000}"/>
    <cellStyle name="20% - Accent4 3 3 2 3 3 2 2" xfId="21758" xr:uid="{00000000-0005-0000-0000-000090290000}"/>
    <cellStyle name="20% - Accent4 3 3 2 3 3 2 2 2" xfId="44360" xr:uid="{00000000-0005-0000-0000-000091290000}"/>
    <cellStyle name="20% - Accent4 3 3 2 3 3 2 3" xfId="33059" xr:uid="{00000000-0005-0000-0000-000092290000}"/>
    <cellStyle name="20% - Accent4 3 3 2 3 3 3" xfId="16108" xr:uid="{00000000-0005-0000-0000-000093290000}"/>
    <cellStyle name="20% - Accent4 3 3 2 3 3 3 2" xfId="38710" xr:uid="{00000000-0005-0000-0000-000094290000}"/>
    <cellStyle name="20% - Accent4 3 3 2 3 3 4" xfId="27409" xr:uid="{00000000-0005-0000-0000-000095290000}"/>
    <cellStyle name="20% - Accent4 3 3 2 3 4" xfId="6994" xr:uid="{00000000-0005-0000-0000-000096290000}"/>
    <cellStyle name="20% - Accent4 3 3 2 3 4 2" xfId="18295" xr:uid="{00000000-0005-0000-0000-000097290000}"/>
    <cellStyle name="20% - Accent4 3 3 2 3 4 2 2" xfId="40897" xr:uid="{00000000-0005-0000-0000-000098290000}"/>
    <cellStyle name="20% - Accent4 3 3 2 3 4 3" xfId="29596" xr:uid="{00000000-0005-0000-0000-000099290000}"/>
    <cellStyle name="20% - Accent4 3 3 2 3 5" xfId="12645" xr:uid="{00000000-0005-0000-0000-00009A290000}"/>
    <cellStyle name="20% - Accent4 3 3 2 3 5 2" xfId="35247" xr:uid="{00000000-0005-0000-0000-00009B290000}"/>
    <cellStyle name="20% - Accent4 3 3 2 3 6" xfId="23946" xr:uid="{00000000-0005-0000-0000-00009C290000}"/>
    <cellStyle name="20% - Accent4 3 3 2 4" xfId="1626" xr:uid="{00000000-0005-0000-0000-00009D290000}"/>
    <cellStyle name="20% - Accent4 3 3 2 4 2" xfId="3579" xr:uid="{00000000-0005-0000-0000-00009E290000}"/>
    <cellStyle name="20% - Accent4 3 3 2 4 2 2" xfId="9291" xr:uid="{00000000-0005-0000-0000-00009F290000}"/>
    <cellStyle name="20% - Accent4 3 3 2 4 2 2 2" xfId="20592" xr:uid="{00000000-0005-0000-0000-0000A0290000}"/>
    <cellStyle name="20% - Accent4 3 3 2 4 2 2 2 2" xfId="43194" xr:uid="{00000000-0005-0000-0000-0000A1290000}"/>
    <cellStyle name="20% - Accent4 3 3 2 4 2 2 3" xfId="31893" xr:uid="{00000000-0005-0000-0000-0000A2290000}"/>
    <cellStyle name="20% - Accent4 3 3 2 4 2 3" xfId="14942" xr:uid="{00000000-0005-0000-0000-0000A3290000}"/>
    <cellStyle name="20% - Accent4 3 3 2 4 2 3 2" xfId="37544" xr:uid="{00000000-0005-0000-0000-0000A4290000}"/>
    <cellStyle name="20% - Accent4 3 3 2 4 2 4" xfId="26243" xr:uid="{00000000-0005-0000-0000-0000A5290000}"/>
    <cellStyle name="20% - Accent4 3 3 2 4 3" xfId="5417" xr:uid="{00000000-0005-0000-0000-0000A6290000}"/>
    <cellStyle name="20% - Accent4 3 3 2 4 3 2" xfId="11067" xr:uid="{00000000-0005-0000-0000-0000A7290000}"/>
    <cellStyle name="20% - Accent4 3 3 2 4 3 2 2" xfId="22368" xr:uid="{00000000-0005-0000-0000-0000A8290000}"/>
    <cellStyle name="20% - Accent4 3 3 2 4 3 2 2 2" xfId="44970" xr:uid="{00000000-0005-0000-0000-0000A9290000}"/>
    <cellStyle name="20% - Accent4 3 3 2 4 3 2 3" xfId="33669" xr:uid="{00000000-0005-0000-0000-0000AA290000}"/>
    <cellStyle name="20% - Accent4 3 3 2 4 3 3" xfId="16718" xr:uid="{00000000-0005-0000-0000-0000AB290000}"/>
    <cellStyle name="20% - Accent4 3 3 2 4 3 3 2" xfId="39320" xr:uid="{00000000-0005-0000-0000-0000AC290000}"/>
    <cellStyle name="20% - Accent4 3 3 2 4 3 4" xfId="28019" xr:uid="{00000000-0005-0000-0000-0000AD290000}"/>
    <cellStyle name="20% - Accent4 3 3 2 4 4" xfId="7482" xr:uid="{00000000-0005-0000-0000-0000AE290000}"/>
    <cellStyle name="20% - Accent4 3 3 2 4 4 2" xfId="18783" xr:uid="{00000000-0005-0000-0000-0000AF290000}"/>
    <cellStyle name="20% - Accent4 3 3 2 4 4 2 2" xfId="41385" xr:uid="{00000000-0005-0000-0000-0000B0290000}"/>
    <cellStyle name="20% - Accent4 3 3 2 4 4 3" xfId="30084" xr:uid="{00000000-0005-0000-0000-0000B1290000}"/>
    <cellStyle name="20% - Accent4 3 3 2 4 5" xfId="13133" xr:uid="{00000000-0005-0000-0000-0000B2290000}"/>
    <cellStyle name="20% - Accent4 3 3 2 4 5 2" xfId="35735" xr:uid="{00000000-0005-0000-0000-0000B3290000}"/>
    <cellStyle name="20% - Accent4 3 3 2 4 6" xfId="24434" xr:uid="{00000000-0005-0000-0000-0000B4290000}"/>
    <cellStyle name="20% - Accent4 3 3 2 5" xfId="2398" xr:uid="{00000000-0005-0000-0000-0000B5290000}"/>
    <cellStyle name="20% - Accent4 3 3 2 5 2" xfId="8234" xr:uid="{00000000-0005-0000-0000-0000B6290000}"/>
    <cellStyle name="20% - Accent4 3 3 2 5 2 2" xfId="19535" xr:uid="{00000000-0005-0000-0000-0000B7290000}"/>
    <cellStyle name="20% - Accent4 3 3 2 5 2 2 2" xfId="42137" xr:uid="{00000000-0005-0000-0000-0000B8290000}"/>
    <cellStyle name="20% - Accent4 3 3 2 5 2 3" xfId="30836" xr:uid="{00000000-0005-0000-0000-0000B9290000}"/>
    <cellStyle name="20% - Accent4 3 3 2 5 3" xfId="13885" xr:uid="{00000000-0005-0000-0000-0000BA290000}"/>
    <cellStyle name="20% - Accent4 3 3 2 5 3 2" xfId="36487" xr:uid="{00000000-0005-0000-0000-0000BB290000}"/>
    <cellStyle name="20% - Accent4 3 3 2 5 4" xfId="25186" xr:uid="{00000000-0005-0000-0000-0000BC290000}"/>
    <cellStyle name="20% - Accent4 3 3 2 6" xfId="4183" xr:uid="{00000000-0005-0000-0000-0000BD290000}"/>
    <cellStyle name="20% - Accent4 3 3 2 6 2" xfId="9833" xr:uid="{00000000-0005-0000-0000-0000BE290000}"/>
    <cellStyle name="20% - Accent4 3 3 2 6 2 2" xfId="21134" xr:uid="{00000000-0005-0000-0000-0000BF290000}"/>
    <cellStyle name="20% - Accent4 3 3 2 6 2 2 2" xfId="43736" xr:uid="{00000000-0005-0000-0000-0000C0290000}"/>
    <cellStyle name="20% - Accent4 3 3 2 6 2 3" xfId="32435" xr:uid="{00000000-0005-0000-0000-0000C1290000}"/>
    <cellStyle name="20% - Accent4 3 3 2 6 3" xfId="15484" xr:uid="{00000000-0005-0000-0000-0000C2290000}"/>
    <cellStyle name="20% - Accent4 3 3 2 6 3 2" xfId="38086" xr:uid="{00000000-0005-0000-0000-0000C3290000}"/>
    <cellStyle name="20% - Accent4 3 3 2 6 4" xfId="26785" xr:uid="{00000000-0005-0000-0000-0000C4290000}"/>
    <cellStyle name="20% - Accent4 3 3 2 7" xfId="6663" xr:uid="{00000000-0005-0000-0000-0000C5290000}"/>
    <cellStyle name="20% - Accent4 3 3 2 7 2" xfId="17964" xr:uid="{00000000-0005-0000-0000-0000C6290000}"/>
    <cellStyle name="20% - Accent4 3 3 2 7 2 2" xfId="40566" xr:uid="{00000000-0005-0000-0000-0000C7290000}"/>
    <cellStyle name="20% - Accent4 3 3 2 7 3" xfId="29265" xr:uid="{00000000-0005-0000-0000-0000C8290000}"/>
    <cellStyle name="20% - Accent4 3 3 2 8" xfId="12314" xr:uid="{00000000-0005-0000-0000-0000C9290000}"/>
    <cellStyle name="20% - Accent4 3 3 2 8 2" xfId="34916" xr:uid="{00000000-0005-0000-0000-0000CA290000}"/>
    <cellStyle name="20% - Accent4 3 3 2 9" xfId="23615" xr:uid="{00000000-0005-0000-0000-0000CB290000}"/>
    <cellStyle name="20% - Accent4 3 3 3" xfId="1170" xr:uid="{00000000-0005-0000-0000-0000CC290000}"/>
    <cellStyle name="20% - Accent4 3 3 3 2" xfId="1628" xr:uid="{00000000-0005-0000-0000-0000CD290000}"/>
    <cellStyle name="20% - Accent4 3 3 3 2 2" xfId="3238" xr:uid="{00000000-0005-0000-0000-0000CE290000}"/>
    <cellStyle name="20% - Accent4 3 3 3 2 2 2" xfId="6210" xr:uid="{00000000-0005-0000-0000-0000CF290000}"/>
    <cellStyle name="20% - Accent4 3 3 3 2 2 2 2" xfId="11860" xr:uid="{00000000-0005-0000-0000-0000D0290000}"/>
    <cellStyle name="20% - Accent4 3 3 3 2 2 2 2 2" xfId="23161" xr:uid="{00000000-0005-0000-0000-0000D1290000}"/>
    <cellStyle name="20% - Accent4 3 3 3 2 2 2 2 2 2" xfId="45763" xr:uid="{00000000-0005-0000-0000-0000D2290000}"/>
    <cellStyle name="20% - Accent4 3 3 3 2 2 2 2 3" xfId="34462" xr:uid="{00000000-0005-0000-0000-0000D3290000}"/>
    <cellStyle name="20% - Accent4 3 3 3 2 2 2 3" xfId="17511" xr:uid="{00000000-0005-0000-0000-0000D4290000}"/>
    <cellStyle name="20% - Accent4 3 3 3 2 2 2 3 2" xfId="40113" xr:uid="{00000000-0005-0000-0000-0000D5290000}"/>
    <cellStyle name="20% - Accent4 3 3 3 2 2 2 4" xfId="28812" xr:uid="{00000000-0005-0000-0000-0000D6290000}"/>
    <cellStyle name="20% - Accent4 3 3 3 2 2 3" xfId="9028" xr:uid="{00000000-0005-0000-0000-0000D7290000}"/>
    <cellStyle name="20% - Accent4 3 3 3 2 2 3 2" xfId="20329" xr:uid="{00000000-0005-0000-0000-0000D8290000}"/>
    <cellStyle name="20% - Accent4 3 3 3 2 2 3 2 2" xfId="42931" xr:uid="{00000000-0005-0000-0000-0000D9290000}"/>
    <cellStyle name="20% - Accent4 3 3 3 2 2 3 3" xfId="31630" xr:uid="{00000000-0005-0000-0000-0000DA290000}"/>
    <cellStyle name="20% - Accent4 3 3 3 2 2 4" xfId="14679" xr:uid="{00000000-0005-0000-0000-0000DB290000}"/>
    <cellStyle name="20% - Accent4 3 3 3 2 2 4 2" xfId="37281" xr:uid="{00000000-0005-0000-0000-0000DC290000}"/>
    <cellStyle name="20% - Accent4 3 3 3 2 2 5" xfId="25980" xr:uid="{00000000-0005-0000-0000-0000DD290000}"/>
    <cellStyle name="20% - Accent4 3 3 3 2 3" xfId="4976" xr:uid="{00000000-0005-0000-0000-0000DE290000}"/>
    <cellStyle name="20% - Accent4 3 3 3 2 3 2" xfId="10626" xr:uid="{00000000-0005-0000-0000-0000DF290000}"/>
    <cellStyle name="20% - Accent4 3 3 3 2 3 2 2" xfId="21927" xr:uid="{00000000-0005-0000-0000-0000E0290000}"/>
    <cellStyle name="20% - Accent4 3 3 3 2 3 2 2 2" xfId="44529" xr:uid="{00000000-0005-0000-0000-0000E1290000}"/>
    <cellStyle name="20% - Accent4 3 3 3 2 3 2 3" xfId="33228" xr:uid="{00000000-0005-0000-0000-0000E2290000}"/>
    <cellStyle name="20% - Accent4 3 3 3 2 3 3" xfId="16277" xr:uid="{00000000-0005-0000-0000-0000E3290000}"/>
    <cellStyle name="20% - Accent4 3 3 3 2 3 3 2" xfId="38879" xr:uid="{00000000-0005-0000-0000-0000E4290000}"/>
    <cellStyle name="20% - Accent4 3 3 3 2 3 4" xfId="27578" xr:uid="{00000000-0005-0000-0000-0000E5290000}"/>
    <cellStyle name="20% - Accent4 3 3 3 2 4" xfId="7484" xr:uid="{00000000-0005-0000-0000-0000E6290000}"/>
    <cellStyle name="20% - Accent4 3 3 3 2 4 2" xfId="18785" xr:uid="{00000000-0005-0000-0000-0000E7290000}"/>
    <cellStyle name="20% - Accent4 3 3 3 2 4 2 2" xfId="41387" xr:uid="{00000000-0005-0000-0000-0000E8290000}"/>
    <cellStyle name="20% - Accent4 3 3 3 2 4 3" xfId="30086" xr:uid="{00000000-0005-0000-0000-0000E9290000}"/>
    <cellStyle name="20% - Accent4 3 3 3 2 5" xfId="13135" xr:uid="{00000000-0005-0000-0000-0000EA290000}"/>
    <cellStyle name="20% - Accent4 3 3 3 2 5 2" xfId="35737" xr:uid="{00000000-0005-0000-0000-0000EB290000}"/>
    <cellStyle name="20% - Accent4 3 3 3 2 6" xfId="24436" xr:uid="{00000000-0005-0000-0000-0000EC290000}"/>
    <cellStyle name="20% - Accent4 3 3 3 3" xfId="2567" xr:uid="{00000000-0005-0000-0000-0000ED290000}"/>
    <cellStyle name="20% - Accent4 3 3 3 3 2" xfId="5586" xr:uid="{00000000-0005-0000-0000-0000EE290000}"/>
    <cellStyle name="20% - Accent4 3 3 3 3 2 2" xfId="11236" xr:uid="{00000000-0005-0000-0000-0000EF290000}"/>
    <cellStyle name="20% - Accent4 3 3 3 3 2 2 2" xfId="22537" xr:uid="{00000000-0005-0000-0000-0000F0290000}"/>
    <cellStyle name="20% - Accent4 3 3 3 3 2 2 2 2" xfId="45139" xr:uid="{00000000-0005-0000-0000-0000F1290000}"/>
    <cellStyle name="20% - Accent4 3 3 3 3 2 2 3" xfId="33838" xr:uid="{00000000-0005-0000-0000-0000F2290000}"/>
    <cellStyle name="20% - Accent4 3 3 3 3 2 3" xfId="16887" xr:uid="{00000000-0005-0000-0000-0000F3290000}"/>
    <cellStyle name="20% - Accent4 3 3 3 3 2 3 2" xfId="39489" xr:uid="{00000000-0005-0000-0000-0000F4290000}"/>
    <cellStyle name="20% - Accent4 3 3 3 3 2 4" xfId="28188" xr:uid="{00000000-0005-0000-0000-0000F5290000}"/>
    <cellStyle name="20% - Accent4 3 3 3 3 3" xfId="8403" xr:uid="{00000000-0005-0000-0000-0000F6290000}"/>
    <cellStyle name="20% - Accent4 3 3 3 3 3 2" xfId="19704" xr:uid="{00000000-0005-0000-0000-0000F7290000}"/>
    <cellStyle name="20% - Accent4 3 3 3 3 3 2 2" xfId="42306" xr:uid="{00000000-0005-0000-0000-0000F8290000}"/>
    <cellStyle name="20% - Accent4 3 3 3 3 3 3" xfId="31005" xr:uid="{00000000-0005-0000-0000-0000F9290000}"/>
    <cellStyle name="20% - Accent4 3 3 3 3 4" xfId="14054" xr:uid="{00000000-0005-0000-0000-0000FA290000}"/>
    <cellStyle name="20% - Accent4 3 3 3 3 4 2" xfId="36656" xr:uid="{00000000-0005-0000-0000-0000FB290000}"/>
    <cellStyle name="20% - Accent4 3 3 3 3 5" xfId="25355" xr:uid="{00000000-0005-0000-0000-0000FC290000}"/>
    <cellStyle name="20% - Accent4 3 3 3 4" xfId="4352" xr:uid="{00000000-0005-0000-0000-0000FD290000}"/>
    <cellStyle name="20% - Accent4 3 3 3 4 2" xfId="10002" xr:uid="{00000000-0005-0000-0000-0000FE290000}"/>
    <cellStyle name="20% - Accent4 3 3 3 4 2 2" xfId="21303" xr:uid="{00000000-0005-0000-0000-0000FF290000}"/>
    <cellStyle name="20% - Accent4 3 3 3 4 2 2 2" xfId="43905" xr:uid="{00000000-0005-0000-0000-0000002A0000}"/>
    <cellStyle name="20% - Accent4 3 3 3 4 2 3" xfId="32604" xr:uid="{00000000-0005-0000-0000-0000012A0000}"/>
    <cellStyle name="20% - Accent4 3 3 3 4 3" xfId="15653" xr:uid="{00000000-0005-0000-0000-0000022A0000}"/>
    <cellStyle name="20% - Accent4 3 3 3 4 3 2" xfId="38255" xr:uid="{00000000-0005-0000-0000-0000032A0000}"/>
    <cellStyle name="20% - Accent4 3 3 3 4 4" xfId="26954" xr:uid="{00000000-0005-0000-0000-0000042A0000}"/>
    <cellStyle name="20% - Accent4 3 3 3 5" xfId="7149" xr:uid="{00000000-0005-0000-0000-0000052A0000}"/>
    <cellStyle name="20% - Accent4 3 3 3 5 2" xfId="18450" xr:uid="{00000000-0005-0000-0000-0000062A0000}"/>
    <cellStyle name="20% - Accent4 3 3 3 5 2 2" xfId="41052" xr:uid="{00000000-0005-0000-0000-0000072A0000}"/>
    <cellStyle name="20% - Accent4 3 3 3 5 3" xfId="29751" xr:uid="{00000000-0005-0000-0000-0000082A0000}"/>
    <cellStyle name="20% - Accent4 3 3 3 6" xfId="12800" xr:uid="{00000000-0005-0000-0000-0000092A0000}"/>
    <cellStyle name="20% - Accent4 3 3 3 6 2" xfId="35402" xr:uid="{00000000-0005-0000-0000-00000A2A0000}"/>
    <cellStyle name="20% - Accent4 3 3 3 7" xfId="24101" xr:uid="{00000000-0005-0000-0000-00000B2A0000}"/>
    <cellStyle name="20% - Accent4 3 3 4" xfId="861" xr:uid="{00000000-0005-0000-0000-00000C2A0000}"/>
    <cellStyle name="20% - Accent4 3 3 4 2" xfId="2931" xr:uid="{00000000-0005-0000-0000-00000D2A0000}"/>
    <cellStyle name="20% - Accent4 3 3 4 2 2" xfId="5903" xr:uid="{00000000-0005-0000-0000-00000E2A0000}"/>
    <cellStyle name="20% - Accent4 3 3 4 2 2 2" xfId="11553" xr:uid="{00000000-0005-0000-0000-00000F2A0000}"/>
    <cellStyle name="20% - Accent4 3 3 4 2 2 2 2" xfId="22854" xr:uid="{00000000-0005-0000-0000-0000102A0000}"/>
    <cellStyle name="20% - Accent4 3 3 4 2 2 2 2 2" xfId="45456" xr:uid="{00000000-0005-0000-0000-0000112A0000}"/>
    <cellStyle name="20% - Accent4 3 3 4 2 2 2 3" xfId="34155" xr:uid="{00000000-0005-0000-0000-0000122A0000}"/>
    <cellStyle name="20% - Accent4 3 3 4 2 2 3" xfId="17204" xr:uid="{00000000-0005-0000-0000-0000132A0000}"/>
    <cellStyle name="20% - Accent4 3 3 4 2 2 3 2" xfId="39806" xr:uid="{00000000-0005-0000-0000-0000142A0000}"/>
    <cellStyle name="20% - Accent4 3 3 4 2 2 4" xfId="28505" xr:uid="{00000000-0005-0000-0000-0000152A0000}"/>
    <cellStyle name="20% - Accent4 3 3 4 2 3" xfId="8721" xr:uid="{00000000-0005-0000-0000-0000162A0000}"/>
    <cellStyle name="20% - Accent4 3 3 4 2 3 2" xfId="20022" xr:uid="{00000000-0005-0000-0000-0000172A0000}"/>
    <cellStyle name="20% - Accent4 3 3 4 2 3 2 2" xfId="42624" xr:uid="{00000000-0005-0000-0000-0000182A0000}"/>
    <cellStyle name="20% - Accent4 3 3 4 2 3 3" xfId="31323" xr:uid="{00000000-0005-0000-0000-0000192A0000}"/>
    <cellStyle name="20% - Accent4 3 3 4 2 4" xfId="14372" xr:uid="{00000000-0005-0000-0000-00001A2A0000}"/>
    <cellStyle name="20% - Accent4 3 3 4 2 4 2" xfId="36974" xr:uid="{00000000-0005-0000-0000-00001B2A0000}"/>
    <cellStyle name="20% - Accent4 3 3 4 2 5" xfId="25673" xr:uid="{00000000-0005-0000-0000-00001C2A0000}"/>
    <cellStyle name="20% - Accent4 3 3 4 3" xfId="4669" xr:uid="{00000000-0005-0000-0000-00001D2A0000}"/>
    <cellStyle name="20% - Accent4 3 3 4 3 2" xfId="10319" xr:uid="{00000000-0005-0000-0000-00001E2A0000}"/>
    <cellStyle name="20% - Accent4 3 3 4 3 2 2" xfId="21620" xr:uid="{00000000-0005-0000-0000-00001F2A0000}"/>
    <cellStyle name="20% - Accent4 3 3 4 3 2 2 2" xfId="44222" xr:uid="{00000000-0005-0000-0000-0000202A0000}"/>
    <cellStyle name="20% - Accent4 3 3 4 3 2 3" xfId="32921" xr:uid="{00000000-0005-0000-0000-0000212A0000}"/>
    <cellStyle name="20% - Accent4 3 3 4 3 3" xfId="15970" xr:uid="{00000000-0005-0000-0000-0000222A0000}"/>
    <cellStyle name="20% - Accent4 3 3 4 3 3 2" xfId="38572" xr:uid="{00000000-0005-0000-0000-0000232A0000}"/>
    <cellStyle name="20% - Accent4 3 3 4 3 4" xfId="27271" xr:uid="{00000000-0005-0000-0000-0000242A0000}"/>
    <cellStyle name="20% - Accent4 3 3 4 4" xfId="6856" xr:uid="{00000000-0005-0000-0000-0000252A0000}"/>
    <cellStyle name="20% - Accent4 3 3 4 4 2" xfId="18157" xr:uid="{00000000-0005-0000-0000-0000262A0000}"/>
    <cellStyle name="20% - Accent4 3 3 4 4 2 2" xfId="40759" xr:uid="{00000000-0005-0000-0000-0000272A0000}"/>
    <cellStyle name="20% - Accent4 3 3 4 4 3" xfId="29458" xr:uid="{00000000-0005-0000-0000-0000282A0000}"/>
    <cellStyle name="20% - Accent4 3 3 4 5" xfId="12507" xr:uid="{00000000-0005-0000-0000-0000292A0000}"/>
    <cellStyle name="20% - Accent4 3 3 4 5 2" xfId="35109" xr:uid="{00000000-0005-0000-0000-00002A2A0000}"/>
    <cellStyle name="20% - Accent4 3 3 4 6" xfId="23808" xr:uid="{00000000-0005-0000-0000-00002B2A0000}"/>
    <cellStyle name="20% - Accent4 3 3 5" xfId="1625" xr:uid="{00000000-0005-0000-0000-00002C2A0000}"/>
    <cellStyle name="20% - Accent4 3 3 5 2" xfId="3578" xr:uid="{00000000-0005-0000-0000-00002D2A0000}"/>
    <cellStyle name="20% - Accent4 3 3 5 2 2" xfId="9290" xr:uid="{00000000-0005-0000-0000-00002E2A0000}"/>
    <cellStyle name="20% - Accent4 3 3 5 2 2 2" xfId="20591" xr:uid="{00000000-0005-0000-0000-00002F2A0000}"/>
    <cellStyle name="20% - Accent4 3 3 5 2 2 2 2" xfId="43193" xr:uid="{00000000-0005-0000-0000-0000302A0000}"/>
    <cellStyle name="20% - Accent4 3 3 5 2 2 3" xfId="31892" xr:uid="{00000000-0005-0000-0000-0000312A0000}"/>
    <cellStyle name="20% - Accent4 3 3 5 2 3" xfId="14941" xr:uid="{00000000-0005-0000-0000-0000322A0000}"/>
    <cellStyle name="20% - Accent4 3 3 5 2 3 2" xfId="37543" xr:uid="{00000000-0005-0000-0000-0000332A0000}"/>
    <cellStyle name="20% - Accent4 3 3 5 2 4" xfId="26242" xr:uid="{00000000-0005-0000-0000-0000342A0000}"/>
    <cellStyle name="20% - Accent4 3 3 5 3" xfId="5279" xr:uid="{00000000-0005-0000-0000-0000352A0000}"/>
    <cellStyle name="20% - Accent4 3 3 5 3 2" xfId="10929" xr:uid="{00000000-0005-0000-0000-0000362A0000}"/>
    <cellStyle name="20% - Accent4 3 3 5 3 2 2" xfId="22230" xr:uid="{00000000-0005-0000-0000-0000372A0000}"/>
    <cellStyle name="20% - Accent4 3 3 5 3 2 2 2" xfId="44832" xr:uid="{00000000-0005-0000-0000-0000382A0000}"/>
    <cellStyle name="20% - Accent4 3 3 5 3 2 3" xfId="33531" xr:uid="{00000000-0005-0000-0000-0000392A0000}"/>
    <cellStyle name="20% - Accent4 3 3 5 3 3" xfId="16580" xr:uid="{00000000-0005-0000-0000-00003A2A0000}"/>
    <cellStyle name="20% - Accent4 3 3 5 3 3 2" xfId="39182" xr:uid="{00000000-0005-0000-0000-00003B2A0000}"/>
    <cellStyle name="20% - Accent4 3 3 5 3 4" xfId="27881" xr:uid="{00000000-0005-0000-0000-00003C2A0000}"/>
    <cellStyle name="20% - Accent4 3 3 5 4" xfId="7481" xr:uid="{00000000-0005-0000-0000-00003D2A0000}"/>
    <cellStyle name="20% - Accent4 3 3 5 4 2" xfId="18782" xr:uid="{00000000-0005-0000-0000-00003E2A0000}"/>
    <cellStyle name="20% - Accent4 3 3 5 4 2 2" xfId="41384" xr:uid="{00000000-0005-0000-0000-00003F2A0000}"/>
    <cellStyle name="20% - Accent4 3 3 5 4 3" xfId="30083" xr:uid="{00000000-0005-0000-0000-0000402A0000}"/>
    <cellStyle name="20% - Accent4 3 3 5 5" xfId="13132" xr:uid="{00000000-0005-0000-0000-0000412A0000}"/>
    <cellStyle name="20% - Accent4 3 3 5 5 2" xfId="35734" xr:uid="{00000000-0005-0000-0000-0000422A0000}"/>
    <cellStyle name="20% - Accent4 3 3 5 6" xfId="24433" xr:uid="{00000000-0005-0000-0000-0000432A0000}"/>
    <cellStyle name="20% - Accent4 3 3 6" xfId="2258" xr:uid="{00000000-0005-0000-0000-0000442A0000}"/>
    <cellStyle name="20% - Accent4 3 3 6 2" xfId="8094" xr:uid="{00000000-0005-0000-0000-0000452A0000}"/>
    <cellStyle name="20% - Accent4 3 3 6 2 2" xfId="19395" xr:uid="{00000000-0005-0000-0000-0000462A0000}"/>
    <cellStyle name="20% - Accent4 3 3 6 2 2 2" xfId="41997" xr:uid="{00000000-0005-0000-0000-0000472A0000}"/>
    <cellStyle name="20% - Accent4 3 3 6 2 3" xfId="30696" xr:uid="{00000000-0005-0000-0000-0000482A0000}"/>
    <cellStyle name="20% - Accent4 3 3 6 3" xfId="13745" xr:uid="{00000000-0005-0000-0000-0000492A0000}"/>
    <cellStyle name="20% - Accent4 3 3 6 3 2" xfId="36347" xr:uid="{00000000-0005-0000-0000-00004A2A0000}"/>
    <cellStyle name="20% - Accent4 3 3 6 4" xfId="25046" xr:uid="{00000000-0005-0000-0000-00004B2A0000}"/>
    <cellStyle name="20% - Accent4 3 3 7" xfId="4045" xr:uid="{00000000-0005-0000-0000-00004C2A0000}"/>
    <cellStyle name="20% - Accent4 3 3 7 2" xfId="9695" xr:uid="{00000000-0005-0000-0000-00004D2A0000}"/>
    <cellStyle name="20% - Accent4 3 3 7 2 2" xfId="20996" xr:uid="{00000000-0005-0000-0000-00004E2A0000}"/>
    <cellStyle name="20% - Accent4 3 3 7 2 2 2" xfId="43598" xr:uid="{00000000-0005-0000-0000-00004F2A0000}"/>
    <cellStyle name="20% - Accent4 3 3 7 2 3" xfId="32297" xr:uid="{00000000-0005-0000-0000-0000502A0000}"/>
    <cellStyle name="20% - Accent4 3 3 7 3" xfId="15346" xr:uid="{00000000-0005-0000-0000-0000512A0000}"/>
    <cellStyle name="20% - Accent4 3 3 7 3 2" xfId="37948" xr:uid="{00000000-0005-0000-0000-0000522A0000}"/>
    <cellStyle name="20% - Accent4 3 3 7 4" xfId="26647" xr:uid="{00000000-0005-0000-0000-0000532A0000}"/>
    <cellStyle name="20% - Accent4 3 3 8" xfId="6496" xr:uid="{00000000-0005-0000-0000-0000542A0000}"/>
    <cellStyle name="20% - Accent4 3 3 8 2" xfId="17797" xr:uid="{00000000-0005-0000-0000-0000552A0000}"/>
    <cellStyle name="20% - Accent4 3 3 8 2 2" xfId="40399" xr:uid="{00000000-0005-0000-0000-0000562A0000}"/>
    <cellStyle name="20% - Accent4 3 3 8 3" xfId="29098" xr:uid="{00000000-0005-0000-0000-0000572A0000}"/>
    <cellStyle name="20% - Accent4 3 3 9" xfId="12147" xr:uid="{00000000-0005-0000-0000-0000582A0000}"/>
    <cellStyle name="20% - Accent4 3 3 9 2" xfId="34749" xr:uid="{00000000-0005-0000-0000-0000592A0000}"/>
    <cellStyle name="20% - Accent4 3 4" xfId="495" xr:uid="{00000000-0005-0000-0000-00005A2A0000}"/>
    <cellStyle name="20% - Accent4 3 4 2" xfId="1074" xr:uid="{00000000-0005-0000-0000-00005B2A0000}"/>
    <cellStyle name="20% - Accent4 3 4 2 2" xfId="1630" xr:uid="{00000000-0005-0000-0000-00005C2A0000}"/>
    <cellStyle name="20% - Accent4 3 4 2 2 2" xfId="3141" xr:uid="{00000000-0005-0000-0000-00005D2A0000}"/>
    <cellStyle name="20% - Accent4 3 4 2 2 2 2" xfId="6113" xr:uid="{00000000-0005-0000-0000-00005E2A0000}"/>
    <cellStyle name="20% - Accent4 3 4 2 2 2 2 2" xfId="11763" xr:uid="{00000000-0005-0000-0000-00005F2A0000}"/>
    <cellStyle name="20% - Accent4 3 4 2 2 2 2 2 2" xfId="23064" xr:uid="{00000000-0005-0000-0000-0000602A0000}"/>
    <cellStyle name="20% - Accent4 3 4 2 2 2 2 2 2 2" xfId="45666" xr:uid="{00000000-0005-0000-0000-0000612A0000}"/>
    <cellStyle name="20% - Accent4 3 4 2 2 2 2 2 3" xfId="34365" xr:uid="{00000000-0005-0000-0000-0000622A0000}"/>
    <cellStyle name="20% - Accent4 3 4 2 2 2 2 3" xfId="17414" xr:uid="{00000000-0005-0000-0000-0000632A0000}"/>
    <cellStyle name="20% - Accent4 3 4 2 2 2 2 3 2" xfId="40016" xr:uid="{00000000-0005-0000-0000-0000642A0000}"/>
    <cellStyle name="20% - Accent4 3 4 2 2 2 2 4" xfId="28715" xr:uid="{00000000-0005-0000-0000-0000652A0000}"/>
    <cellStyle name="20% - Accent4 3 4 2 2 2 3" xfId="8931" xr:uid="{00000000-0005-0000-0000-0000662A0000}"/>
    <cellStyle name="20% - Accent4 3 4 2 2 2 3 2" xfId="20232" xr:uid="{00000000-0005-0000-0000-0000672A0000}"/>
    <cellStyle name="20% - Accent4 3 4 2 2 2 3 2 2" xfId="42834" xr:uid="{00000000-0005-0000-0000-0000682A0000}"/>
    <cellStyle name="20% - Accent4 3 4 2 2 2 3 3" xfId="31533" xr:uid="{00000000-0005-0000-0000-0000692A0000}"/>
    <cellStyle name="20% - Accent4 3 4 2 2 2 4" xfId="14582" xr:uid="{00000000-0005-0000-0000-00006A2A0000}"/>
    <cellStyle name="20% - Accent4 3 4 2 2 2 4 2" xfId="37184" xr:uid="{00000000-0005-0000-0000-00006B2A0000}"/>
    <cellStyle name="20% - Accent4 3 4 2 2 2 5" xfId="25883" xr:uid="{00000000-0005-0000-0000-00006C2A0000}"/>
    <cellStyle name="20% - Accent4 3 4 2 2 3" xfId="4879" xr:uid="{00000000-0005-0000-0000-00006D2A0000}"/>
    <cellStyle name="20% - Accent4 3 4 2 2 3 2" xfId="10529" xr:uid="{00000000-0005-0000-0000-00006E2A0000}"/>
    <cellStyle name="20% - Accent4 3 4 2 2 3 2 2" xfId="21830" xr:uid="{00000000-0005-0000-0000-00006F2A0000}"/>
    <cellStyle name="20% - Accent4 3 4 2 2 3 2 2 2" xfId="44432" xr:uid="{00000000-0005-0000-0000-0000702A0000}"/>
    <cellStyle name="20% - Accent4 3 4 2 2 3 2 3" xfId="33131" xr:uid="{00000000-0005-0000-0000-0000712A0000}"/>
    <cellStyle name="20% - Accent4 3 4 2 2 3 3" xfId="16180" xr:uid="{00000000-0005-0000-0000-0000722A0000}"/>
    <cellStyle name="20% - Accent4 3 4 2 2 3 3 2" xfId="38782" xr:uid="{00000000-0005-0000-0000-0000732A0000}"/>
    <cellStyle name="20% - Accent4 3 4 2 2 3 4" xfId="27481" xr:uid="{00000000-0005-0000-0000-0000742A0000}"/>
    <cellStyle name="20% - Accent4 3 4 2 2 4" xfId="7486" xr:uid="{00000000-0005-0000-0000-0000752A0000}"/>
    <cellStyle name="20% - Accent4 3 4 2 2 4 2" xfId="18787" xr:uid="{00000000-0005-0000-0000-0000762A0000}"/>
    <cellStyle name="20% - Accent4 3 4 2 2 4 2 2" xfId="41389" xr:uid="{00000000-0005-0000-0000-0000772A0000}"/>
    <cellStyle name="20% - Accent4 3 4 2 2 4 3" xfId="30088" xr:uid="{00000000-0005-0000-0000-0000782A0000}"/>
    <cellStyle name="20% - Accent4 3 4 2 2 5" xfId="13137" xr:uid="{00000000-0005-0000-0000-0000792A0000}"/>
    <cellStyle name="20% - Accent4 3 4 2 2 5 2" xfId="35739" xr:uid="{00000000-0005-0000-0000-00007A2A0000}"/>
    <cellStyle name="20% - Accent4 3 4 2 2 6" xfId="24438" xr:uid="{00000000-0005-0000-0000-00007B2A0000}"/>
    <cellStyle name="20% - Accent4 3 4 2 3" xfId="2470" xr:uid="{00000000-0005-0000-0000-00007C2A0000}"/>
    <cellStyle name="20% - Accent4 3 4 2 3 2" xfId="5489" xr:uid="{00000000-0005-0000-0000-00007D2A0000}"/>
    <cellStyle name="20% - Accent4 3 4 2 3 2 2" xfId="11139" xr:uid="{00000000-0005-0000-0000-00007E2A0000}"/>
    <cellStyle name="20% - Accent4 3 4 2 3 2 2 2" xfId="22440" xr:uid="{00000000-0005-0000-0000-00007F2A0000}"/>
    <cellStyle name="20% - Accent4 3 4 2 3 2 2 2 2" xfId="45042" xr:uid="{00000000-0005-0000-0000-0000802A0000}"/>
    <cellStyle name="20% - Accent4 3 4 2 3 2 2 3" xfId="33741" xr:uid="{00000000-0005-0000-0000-0000812A0000}"/>
    <cellStyle name="20% - Accent4 3 4 2 3 2 3" xfId="16790" xr:uid="{00000000-0005-0000-0000-0000822A0000}"/>
    <cellStyle name="20% - Accent4 3 4 2 3 2 3 2" xfId="39392" xr:uid="{00000000-0005-0000-0000-0000832A0000}"/>
    <cellStyle name="20% - Accent4 3 4 2 3 2 4" xfId="28091" xr:uid="{00000000-0005-0000-0000-0000842A0000}"/>
    <cellStyle name="20% - Accent4 3 4 2 3 3" xfId="8306" xr:uid="{00000000-0005-0000-0000-0000852A0000}"/>
    <cellStyle name="20% - Accent4 3 4 2 3 3 2" xfId="19607" xr:uid="{00000000-0005-0000-0000-0000862A0000}"/>
    <cellStyle name="20% - Accent4 3 4 2 3 3 2 2" xfId="42209" xr:uid="{00000000-0005-0000-0000-0000872A0000}"/>
    <cellStyle name="20% - Accent4 3 4 2 3 3 3" xfId="30908" xr:uid="{00000000-0005-0000-0000-0000882A0000}"/>
    <cellStyle name="20% - Accent4 3 4 2 3 4" xfId="13957" xr:uid="{00000000-0005-0000-0000-0000892A0000}"/>
    <cellStyle name="20% - Accent4 3 4 2 3 4 2" xfId="36559" xr:uid="{00000000-0005-0000-0000-00008A2A0000}"/>
    <cellStyle name="20% - Accent4 3 4 2 3 5" xfId="25258" xr:uid="{00000000-0005-0000-0000-00008B2A0000}"/>
    <cellStyle name="20% - Accent4 3 4 2 4" xfId="4255" xr:uid="{00000000-0005-0000-0000-00008C2A0000}"/>
    <cellStyle name="20% - Accent4 3 4 2 4 2" xfId="9905" xr:uid="{00000000-0005-0000-0000-00008D2A0000}"/>
    <cellStyle name="20% - Accent4 3 4 2 4 2 2" xfId="21206" xr:uid="{00000000-0005-0000-0000-00008E2A0000}"/>
    <cellStyle name="20% - Accent4 3 4 2 4 2 2 2" xfId="43808" xr:uid="{00000000-0005-0000-0000-00008F2A0000}"/>
    <cellStyle name="20% - Accent4 3 4 2 4 2 3" xfId="32507" xr:uid="{00000000-0005-0000-0000-0000902A0000}"/>
    <cellStyle name="20% - Accent4 3 4 2 4 3" xfId="15556" xr:uid="{00000000-0005-0000-0000-0000912A0000}"/>
    <cellStyle name="20% - Accent4 3 4 2 4 3 2" xfId="38158" xr:uid="{00000000-0005-0000-0000-0000922A0000}"/>
    <cellStyle name="20% - Accent4 3 4 2 4 4" xfId="26857" xr:uid="{00000000-0005-0000-0000-0000932A0000}"/>
    <cellStyle name="20% - Accent4 3 4 2 5" xfId="7053" xr:uid="{00000000-0005-0000-0000-0000942A0000}"/>
    <cellStyle name="20% - Accent4 3 4 2 5 2" xfId="18354" xr:uid="{00000000-0005-0000-0000-0000952A0000}"/>
    <cellStyle name="20% - Accent4 3 4 2 5 2 2" xfId="40956" xr:uid="{00000000-0005-0000-0000-0000962A0000}"/>
    <cellStyle name="20% - Accent4 3 4 2 5 3" xfId="29655" xr:uid="{00000000-0005-0000-0000-0000972A0000}"/>
    <cellStyle name="20% - Accent4 3 4 2 6" xfId="12704" xr:uid="{00000000-0005-0000-0000-0000982A0000}"/>
    <cellStyle name="20% - Accent4 3 4 2 6 2" xfId="35306" xr:uid="{00000000-0005-0000-0000-0000992A0000}"/>
    <cellStyle name="20% - Accent4 3 4 2 7" xfId="24005" xr:uid="{00000000-0005-0000-0000-00009A2A0000}"/>
    <cellStyle name="20% - Accent4 3 4 3" xfId="747" xr:uid="{00000000-0005-0000-0000-00009B2A0000}"/>
    <cellStyle name="20% - Accent4 3 4 3 2" xfId="2835" xr:uid="{00000000-0005-0000-0000-00009C2A0000}"/>
    <cellStyle name="20% - Accent4 3 4 3 2 2" xfId="5807" xr:uid="{00000000-0005-0000-0000-00009D2A0000}"/>
    <cellStyle name="20% - Accent4 3 4 3 2 2 2" xfId="11457" xr:uid="{00000000-0005-0000-0000-00009E2A0000}"/>
    <cellStyle name="20% - Accent4 3 4 3 2 2 2 2" xfId="22758" xr:uid="{00000000-0005-0000-0000-00009F2A0000}"/>
    <cellStyle name="20% - Accent4 3 4 3 2 2 2 2 2" xfId="45360" xr:uid="{00000000-0005-0000-0000-0000A02A0000}"/>
    <cellStyle name="20% - Accent4 3 4 3 2 2 2 3" xfId="34059" xr:uid="{00000000-0005-0000-0000-0000A12A0000}"/>
    <cellStyle name="20% - Accent4 3 4 3 2 2 3" xfId="17108" xr:uid="{00000000-0005-0000-0000-0000A22A0000}"/>
    <cellStyle name="20% - Accent4 3 4 3 2 2 3 2" xfId="39710" xr:uid="{00000000-0005-0000-0000-0000A32A0000}"/>
    <cellStyle name="20% - Accent4 3 4 3 2 2 4" xfId="28409" xr:uid="{00000000-0005-0000-0000-0000A42A0000}"/>
    <cellStyle name="20% - Accent4 3 4 3 2 3" xfId="8625" xr:uid="{00000000-0005-0000-0000-0000A52A0000}"/>
    <cellStyle name="20% - Accent4 3 4 3 2 3 2" xfId="19926" xr:uid="{00000000-0005-0000-0000-0000A62A0000}"/>
    <cellStyle name="20% - Accent4 3 4 3 2 3 2 2" xfId="42528" xr:uid="{00000000-0005-0000-0000-0000A72A0000}"/>
    <cellStyle name="20% - Accent4 3 4 3 2 3 3" xfId="31227" xr:uid="{00000000-0005-0000-0000-0000A82A0000}"/>
    <cellStyle name="20% - Accent4 3 4 3 2 4" xfId="14276" xr:uid="{00000000-0005-0000-0000-0000A92A0000}"/>
    <cellStyle name="20% - Accent4 3 4 3 2 4 2" xfId="36878" xr:uid="{00000000-0005-0000-0000-0000AA2A0000}"/>
    <cellStyle name="20% - Accent4 3 4 3 2 5" xfId="25577" xr:uid="{00000000-0005-0000-0000-0000AB2A0000}"/>
    <cellStyle name="20% - Accent4 3 4 3 3" xfId="4573" xr:uid="{00000000-0005-0000-0000-0000AC2A0000}"/>
    <cellStyle name="20% - Accent4 3 4 3 3 2" xfId="10223" xr:uid="{00000000-0005-0000-0000-0000AD2A0000}"/>
    <cellStyle name="20% - Accent4 3 4 3 3 2 2" xfId="21524" xr:uid="{00000000-0005-0000-0000-0000AE2A0000}"/>
    <cellStyle name="20% - Accent4 3 4 3 3 2 2 2" xfId="44126" xr:uid="{00000000-0005-0000-0000-0000AF2A0000}"/>
    <cellStyle name="20% - Accent4 3 4 3 3 2 3" xfId="32825" xr:uid="{00000000-0005-0000-0000-0000B02A0000}"/>
    <cellStyle name="20% - Accent4 3 4 3 3 3" xfId="15874" xr:uid="{00000000-0005-0000-0000-0000B12A0000}"/>
    <cellStyle name="20% - Accent4 3 4 3 3 3 2" xfId="38476" xr:uid="{00000000-0005-0000-0000-0000B22A0000}"/>
    <cellStyle name="20% - Accent4 3 4 3 3 4" xfId="27175" xr:uid="{00000000-0005-0000-0000-0000B32A0000}"/>
    <cellStyle name="20% - Accent4 3 4 3 4" xfId="6756" xr:uid="{00000000-0005-0000-0000-0000B42A0000}"/>
    <cellStyle name="20% - Accent4 3 4 3 4 2" xfId="18057" xr:uid="{00000000-0005-0000-0000-0000B52A0000}"/>
    <cellStyle name="20% - Accent4 3 4 3 4 2 2" xfId="40659" xr:uid="{00000000-0005-0000-0000-0000B62A0000}"/>
    <cellStyle name="20% - Accent4 3 4 3 4 3" xfId="29358" xr:uid="{00000000-0005-0000-0000-0000B72A0000}"/>
    <cellStyle name="20% - Accent4 3 4 3 5" xfId="12407" xr:uid="{00000000-0005-0000-0000-0000B82A0000}"/>
    <cellStyle name="20% - Accent4 3 4 3 5 2" xfId="35009" xr:uid="{00000000-0005-0000-0000-0000B92A0000}"/>
    <cellStyle name="20% - Accent4 3 4 3 6" xfId="23708" xr:uid="{00000000-0005-0000-0000-0000BA2A0000}"/>
    <cellStyle name="20% - Accent4 3 4 4" xfId="1629" xr:uid="{00000000-0005-0000-0000-0000BB2A0000}"/>
    <cellStyle name="20% - Accent4 3 4 4 2" xfId="3580" xr:uid="{00000000-0005-0000-0000-0000BC2A0000}"/>
    <cellStyle name="20% - Accent4 3 4 4 2 2" xfId="9292" xr:uid="{00000000-0005-0000-0000-0000BD2A0000}"/>
    <cellStyle name="20% - Accent4 3 4 4 2 2 2" xfId="20593" xr:uid="{00000000-0005-0000-0000-0000BE2A0000}"/>
    <cellStyle name="20% - Accent4 3 4 4 2 2 2 2" xfId="43195" xr:uid="{00000000-0005-0000-0000-0000BF2A0000}"/>
    <cellStyle name="20% - Accent4 3 4 4 2 2 3" xfId="31894" xr:uid="{00000000-0005-0000-0000-0000C02A0000}"/>
    <cellStyle name="20% - Accent4 3 4 4 2 3" xfId="14943" xr:uid="{00000000-0005-0000-0000-0000C12A0000}"/>
    <cellStyle name="20% - Accent4 3 4 4 2 3 2" xfId="37545" xr:uid="{00000000-0005-0000-0000-0000C22A0000}"/>
    <cellStyle name="20% - Accent4 3 4 4 2 4" xfId="26244" xr:uid="{00000000-0005-0000-0000-0000C32A0000}"/>
    <cellStyle name="20% - Accent4 3 4 4 3" xfId="5183" xr:uid="{00000000-0005-0000-0000-0000C42A0000}"/>
    <cellStyle name="20% - Accent4 3 4 4 3 2" xfId="10833" xr:uid="{00000000-0005-0000-0000-0000C52A0000}"/>
    <cellStyle name="20% - Accent4 3 4 4 3 2 2" xfId="22134" xr:uid="{00000000-0005-0000-0000-0000C62A0000}"/>
    <cellStyle name="20% - Accent4 3 4 4 3 2 2 2" xfId="44736" xr:uid="{00000000-0005-0000-0000-0000C72A0000}"/>
    <cellStyle name="20% - Accent4 3 4 4 3 2 3" xfId="33435" xr:uid="{00000000-0005-0000-0000-0000C82A0000}"/>
    <cellStyle name="20% - Accent4 3 4 4 3 3" xfId="16484" xr:uid="{00000000-0005-0000-0000-0000C92A0000}"/>
    <cellStyle name="20% - Accent4 3 4 4 3 3 2" xfId="39086" xr:uid="{00000000-0005-0000-0000-0000CA2A0000}"/>
    <cellStyle name="20% - Accent4 3 4 4 3 4" xfId="27785" xr:uid="{00000000-0005-0000-0000-0000CB2A0000}"/>
    <cellStyle name="20% - Accent4 3 4 4 4" xfId="7485" xr:uid="{00000000-0005-0000-0000-0000CC2A0000}"/>
    <cellStyle name="20% - Accent4 3 4 4 4 2" xfId="18786" xr:uid="{00000000-0005-0000-0000-0000CD2A0000}"/>
    <cellStyle name="20% - Accent4 3 4 4 4 2 2" xfId="41388" xr:uid="{00000000-0005-0000-0000-0000CE2A0000}"/>
    <cellStyle name="20% - Accent4 3 4 4 4 3" xfId="30087" xr:uid="{00000000-0005-0000-0000-0000CF2A0000}"/>
    <cellStyle name="20% - Accent4 3 4 4 5" xfId="13136" xr:uid="{00000000-0005-0000-0000-0000D02A0000}"/>
    <cellStyle name="20% - Accent4 3 4 4 5 2" xfId="35738" xr:uid="{00000000-0005-0000-0000-0000D12A0000}"/>
    <cellStyle name="20% - Accent4 3 4 4 6" xfId="24437" xr:uid="{00000000-0005-0000-0000-0000D22A0000}"/>
    <cellStyle name="20% - Accent4 3 4 5" xfId="2155" xr:uid="{00000000-0005-0000-0000-0000D32A0000}"/>
    <cellStyle name="20% - Accent4 3 4 5 2" xfId="7997" xr:uid="{00000000-0005-0000-0000-0000D42A0000}"/>
    <cellStyle name="20% - Accent4 3 4 5 2 2" xfId="19298" xr:uid="{00000000-0005-0000-0000-0000D52A0000}"/>
    <cellStyle name="20% - Accent4 3 4 5 2 2 2" xfId="41900" xr:uid="{00000000-0005-0000-0000-0000D62A0000}"/>
    <cellStyle name="20% - Accent4 3 4 5 2 3" xfId="30599" xr:uid="{00000000-0005-0000-0000-0000D72A0000}"/>
    <cellStyle name="20% - Accent4 3 4 5 3" xfId="13648" xr:uid="{00000000-0005-0000-0000-0000D82A0000}"/>
    <cellStyle name="20% - Accent4 3 4 5 3 2" xfId="36250" xr:uid="{00000000-0005-0000-0000-0000D92A0000}"/>
    <cellStyle name="20% - Accent4 3 4 5 4" xfId="24949" xr:uid="{00000000-0005-0000-0000-0000DA2A0000}"/>
    <cellStyle name="20% - Accent4 3 4 6" xfId="3949" xr:uid="{00000000-0005-0000-0000-0000DB2A0000}"/>
    <cellStyle name="20% - Accent4 3 4 6 2" xfId="9599" xr:uid="{00000000-0005-0000-0000-0000DC2A0000}"/>
    <cellStyle name="20% - Accent4 3 4 6 2 2" xfId="20900" xr:uid="{00000000-0005-0000-0000-0000DD2A0000}"/>
    <cellStyle name="20% - Accent4 3 4 6 2 2 2" xfId="43502" xr:uid="{00000000-0005-0000-0000-0000DE2A0000}"/>
    <cellStyle name="20% - Accent4 3 4 6 2 3" xfId="32201" xr:uid="{00000000-0005-0000-0000-0000DF2A0000}"/>
    <cellStyle name="20% - Accent4 3 4 6 3" xfId="15250" xr:uid="{00000000-0005-0000-0000-0000E02A0000}"/>
    <cellStyle name="20% - Accent4 3 4 6 3 2" xfId="37852" xr:uid="{00000000-0005-0000-0000-0000E12A0000}"/>
    <cellStyle name="20% - Accent4 3 4 6 4" xfId="26551" xr:uid="{00000000-0005-0000-0000-0000E22A0000}"/>
    <cellStyle name="20% - Accent4 3 4 7" xfId="6567" xr:uid="{00000000-0005-0000-0000-0000E32A0000}"/>
    <cellStyle name="20% - Accent4 3 4 7 2" xfId="17868" xr:uid="{00000000-0005-0000-0000-0000E42A0000}"/>
    <cellStyle name="20% - Accent4 3 4 7 2 2" xfId="40470" xr:uid="{00000000-0005-0000-0000-0000E52A0000}"/>
    <cellStyle name="20% - Accent4 3 4 7 3" xfId="29169" xr:uid="{00000000-0005-0000-0000-0000E62A0000}"/>
    <cellStyle name="20% - Accent4 3 4 8" xfId="12218" xr:uid="{00000000-0005-0000-0000-0000E72A0000}"/>
    <cellStyle name="20% - Accent4 3 4 8 2" xfId="34820" xr:uid="{00000000-0005-0000-0000-0000E82A0000}"/>
    <cellStyle name="20% - Accent4 3 4 9" xfId="23519" xr:uid="{00000000-0005-0000-0000-0000E92A0000}"/>
    <cellStyle name="20% - Accent4 3 5" xfId="392" xr:uid="{00000000-0005-0000-0000-0000EA2A0000}"/>
    <cellStyle name="20% - Accent4 3 6" xfId="1446" xr:uid="{00000000-0005-0000-0000-0000EB2A0000}"/>
    <cellStyle name="20% - Accent4 3 7" xfId="6400" xr:uid="{00000000-0005-0000-0000-0000EC2A0000}"/>
    <cellStyle name="20% - Accent4 3 7 2" xfId="17701" xr:uid="{00000000-0005-0000-0000-0000ED2A0000}"/>
    <cellStyle name="20% - Accent4 3 7 2 2" xfId="40303" xr:uid="{00000000-0005-0000-0000-0000EE2A0000}"/>
    <cellStyle name="20% - Accent4 3 7 3" xfId="29002" xr:uid="{00000000-0005-0000-0000-0000EF2A0000}"/>
    <cellStyle name="20% - Accent4 3 8" xfId="12051" xr:uid="{00000000-0005-0000-0000-0000F02A0000}"/>
    <cellStyle name="20% - Accent4 3 8 2" xfId="34653" xr:uid="{00000000-0005-0000-0000-0000F12A0000}"/>
    <cellStyle name="20% - Accent4 3 9" xfId="23352" xr:uid="{00000000-0005-0000-0000-0000F22A0000}"/>
    <cellStyle name="20% - Accent4 4" xfId="182" xr:uid="{00000000-0005-0000-0000-0000F32A0000}"/>
    <cellStyle name="20% - Accent4 4 10" xfId="3935" xr:uid="{00000000-0005-0000-0000-0000F42A0000}"/>
    <cellStyle name="20% - Accent4 4 10 2" xfId="9585" xr:uid="{00000000-0005-0000-0000-0000F52A0000}"/>
    <cellStyle name="20% - Accent4 4 10 2 2" xfId="20886" xr:uid="{00000000-0005-0000-0000-0000F62A0000}"/>
    <cellStyle name="20% - Accent4 4 10 2 2 2" xfId="43488" xr:uid="{00000000-0005-0000-0000-0000F72A0000}"/>
    <cellStyle name="20% - Accent4 4 10 2 3" xfId="32187" xr:uid="{00000000-0005-0000-0000-0000F82A0000}"/>
    <cellStyle name="20% - Accent4 4 10 3" xfId="15236" xr:uid="{00000000-0005-0000-0000-0000F92A0000}"/>
    <cellStyle name="20% - Accent4 4 10 3 2" xfId="37838" xr:uid="{00000000-0005-0000-0000-0000FA2A0000}"/>
    <cellStyle name="20% - Accent4 4 10 4" xfId="26537" xr:uid="{00000000-0005-0000-0000-0000FB2A0000}"/>
    <cellStyle name="20% - Accent4 4 11" xfId="6414" xr:uid="{00000000-0005-0000-0000-0000FC2A0000}"/>
    <cellStyle name="20% - Accent4 4 11 2" xfId="17715" xr:uid="{00000000-0005-0000-0000-0000FD2A0000}"/>
    <cellStyle name="20% - Accent4 4 11 2 2" xfId="40317" xr:uid="{00000000-0005-0000-0000-0000FE2A0000}"/>
    <cellStyle name="20% - Accent4 4 11 3" xfId="29016" xr:uid="{00000000-0005-0000-0000-0000FF2A0000}"/>
    <cellStyle name="20% - Accent4 4 12" xfId="12065" xr:uid="{00000000-0005-0000-0000-0000002B0000}"/>
    <cellStyle name="20% - Accent4 4 12 2" xfId="34667" xr:uid="{00000000-0005-0000-0000-0000012B0000}"/>
    <cellStyle name="20% - Accent4 4 13" xfId="23366" xr:uid="{00000000-0005-0000-0000-0000022B0000}"/>
    <cellStyle name="20% - Accent4 4 2" xfId="305" xr:uid="{00000000-0005-0000-0000-0000032B0000}"/>
    <cellStyle name="20% - Accent4 4 2 10" xfId="23413" xr:uid="{00000000-0005-0000-0000-0000042B0000}"/>
    <cellStyle name="20% - Accent4 4 2 2" xfId="563" xr:uid="{00000000-0005-0000-0000-0000052B0000}"/>
    <cellStyle name="20% - Accent4 4 2 2 2" xfId="1273" xr:uid="{00000000-0005-0000-0000-0000062B0000}"/>
    <cellStyle name="20% - Accent4 4 2 2 2 2" xfId="1634" xr:uid="{00000000-0005-0000-0000-0000072B0000}"/>
    <cellStyle name="20% - Accent4 4 2 2 2 2 2" xfId="3342" xr:uid="{00000000-0005-0000-0000-0000082B0000}"/>
    <cellStyle name="20% - Accent4 4 2 2 2 2 2 2" xfId="6314" xr:uid="{00000000-0005-0000-0000-0000092B0000}"/>
    <cellStyle name="20% - Accent4 4 2 2 2 2 2 2 2" xfId="11964" xr:uid="{00000000-0005-0000-0000-00000A2B0000}"/>
    <cellStyle name="20% - Accent4 4 2 2 2 2 2 2 2 2" xfId="23265" xr:uid="{00000000-0005-0000-0000-00000B2B0000}"/>
    <cellStyle name="20% - Accent4 4 2 2 2 2 2 2 2 2 2" xfId="45867" xr:uid="{00000000-0005-0000-0000-00000C2B0000}"/>
    <cellStyle name="20% - Accent4 4 2 2 2 2 2 2 2 3" xfId="34566" xr:uid="{00000000-0005-0000-0000-00000D2B0000}"/>
    <cellStyle name="20% - Accent4 4 2 2 2 2 2 2 3" xfId="17615" xr:uid="{00000000-0005-0000-0000-00000E2B0000}"/>
    <cellStyle name="20% - Accent4 4 2 2 2 2 2 2 3 2" xfId="40217" xr:uid="{00000000-0005-0000-0000-00000F2B0000}"/>
    <cellStyle name="20% - Accent4 4 2 2 2 2 2 2 4" xfId="28916" xr:uid="{00000000-0005-0000-0000-0000102B0000}"/>
    <cellStyle name="20% - Accent4 4 2 2 2 2 2 3" xfId="9132" xr:uid="{00000000-0005-0000-0000-0000112B0000}"/>
    <cellStyle name="20% - Accent4 4 2 2 2 2 2 3 2" xfId="20433" xr:uid="{00000000-0005-0000-0000-0000122B0000}"/>
    <cellStyle name="20% - Accent4 4 2 2 2 2 2 3 2 2" xfId="43035" xr:uid="{00000000-0005-0000-0000-0000132B0000}"/>
    <cellStyle name="20% - Accent4 4 2 2 2 2 2 3 3" xfId="31734" xr:uid="{00000000-0005-0000-0000-0000142B0000}"/>
    <cellStyle name="20% - Accent4 4 2 2 2 2 2 4" xfId="14783" xr:uid="{00000000-0005-0000-0000-0000152B0000}"/>
    <cellStyle name="20% - Accent4 4 2 2 2 2 2 4 2" xfId="37385" xr:uid="{00000000-0005-0000-0000-0000162B0000}"/>
    <cellStyle name="20% - Accent4 4 2 2 2 2 2 5" xfId="26084" xr:uid="{00000000-0005-0000-0000-0000172B0000}"/>
    <cellStyle name="20% - Accent4 4 2 2 2 2 3" xfId="5080" xr:uid="{00000000-0005-0000-0000-0000182B0000}"/>
    <cellStyle name="20% - Accent4 4 2 2 2 2 3 2" xfId="10730" xr:uid="{00000000-0005-0000-0000-0000192B0000}"/>
    <cellStyle name="20% - Accent4 4 2 2 2 2 3 2 2" xfId="22031" xr:uid="{00000000-0005-0000-0000-00001A2B0000}"/>
    <cellStyle name="20% - Accent4 4 2 2 2 2 3 2 2 2" xfId="44633" xr:uid="{00000000-0005-0000-0000-00001B2B0000}"/>
    <cellStyle name="20% - Accent4 4 2 2 2 2 3 2 3" xfId="33332" xr:uid="{00000000-0005-0000-0000-00001C2B0000}"/>
    <cellStyle name="20% - Accent4 4 2 2 2 2 3 3" xfId="16381" xr:uid="{00000000-0005-0000-0000-00001D2B0000}"/>
    <cellStyle name="20% - Accent4 4 2 2 2 2 3 3 2" xfId="38983" xr:uid="{00000000-0005-0000-0000-00001E2B0000}"/>
    <cellStyle name="20% - Accent4 4 2 2 2 2 3 4" xfId="27682" xr:uid="{00000000-0005-0000-0000-00001F2B0000}"/>
    <cellStyle name="20% - Accent4 4 2 2 2 2 4" xfId="7490" xr:uid="{00000000-0005-0000-0000-0000202B0000}"/>
    <cellStyle name="20% - Accent4 4 2 2 2 2 4 2" xfId="18791" xr:uid="{00000000-0005-0000-0000-0000212B0000}"/>
    <cellStyle name="20% - Accent4 4 2 2 2 2 4 2 2" xfId="41393" xr:uid="{00000000-0005-0000-0000-0000222B0000}"/>
    <cellStyle name="20% - Accent4 4 2 2 2 2 4 3" xfId="30092" xr:uid="{00000000-0005-0000-0000-0000232B0000}"/>
    <cellStyle name="20% - Accent4 4 2 2 2 2 5" xfId="13141" xr:uid="{00000000-0005-0000-0000-0000242B0000}"/>
    <cellStyle name="20% - Accent4 4 2 2 2 2 5 2" xfId="35743" xr:uid="{00000000-0005-0000-0000-0000252B0000}"/>
    <cellStyle name="20% - Accent4 4 2 2 2 2 6" xfId="24442" xr:uid="{00000000-0005-0000-0000-0000262B0000}"/>
    <cellStyle name="20% - Accent4 4 2 2 2 3" xfId="2671" xr:uid="{00000000-0005-0000-0000-0000272B0000}"/>
    <cellStyle name="20% - Accent4 4 2 2 2 3 2" xfId="5690" xr:uid="{00000000-0005-0000-0000-0000282B0000}"/>
    <cellStyle name="20% - Accent4 4 2 2 2 3 2 2" xfId="11340" xr:uid="{00000000-0005-0000-0000-0000292B0000}"/>
    <cellStyle name="20% - Accent4 4 2 2 2 3 2 2 2" xfId="22641" xr:uid="{00000000-0005-0000-0000-00002A2B0000}"/>
    <cellStyle name="20% - Accent4 4 2 2 2 3 2 2 2 2" xfId="45243" xr:uid="{00000000-0005-0000-0000-00002B2B0000}"/>
    <cellStyle name="20% - Accent4 4 2 2 2 3 2 2 3" xfId="33942" xr:uid="{00000000-0005-0000-0000-00002C2B0000}"/>
    <cellStyle name="20% - Accent4 4 2 2 2 3 2 3" xfId="16991" xr:uid="{00000000-0005-0000-0000-00002D2B0000}"/>
    <cellStyle name="20% - Accent4 4 2 2 2 3 2 3 2" xfId="39593" xr:uid="{00000000-0005-0000-0000-00002E2B0000}"/>
    <cellStyle name="20% - Accent4 4 2 2 2 3 2 4" xfId="28292" xr:uid="{00000000-0005-0000-0000-00002F2B0000}"/>
    <cellStyle name="20% - Accent4 4 2 2 2 3 3" xfId="8507" xr:uid="{00000000-0005-0000-0000-0000302B0000}"/>
    <cellStyle name="20% - Accent4 4 2 2 2 3 3 2" xfId="19808" xr:uid="{00000000-0005-0000-0000-0000312B0000}"/>
    <cellStyle name="20% - Accent4 4 2 2 2 3 3 2 2" xfId="42410" xr:uid="{00000000-0005-0000-0000-0000322B0000}"/>
    <cellStyle name="20% - Accent4 4 2 2 2 3 3 3" xfId="31109" xr:uid="{00000000-0005-0000-0000-0000332B0000}"/>
    <cellStyle name="20% - Accent4 4 2 2 2 3 4" xfId="14158" xr:uid="{00000000-0005-0000-0000-0000342B0000}"/>
    <cellStyle name="20% - Accent4 4 2 2 2 3 4 2" xfId="36760" xr:uid="{00000000-0005-0000-0000-0000352B0000}"/>
    <cellStyle name="20% - Accent4 4 2 2 2 3 5" xfId="25459" xr:uid="{00000000-0005-0000-0000-0000362B0000}"/>
    <cellStyle name="20% - Accent4 4 2 2 2 4" xfId="4456" xr:uid="{00000000-0005-0000-0000-0000372B0000}"/>
    <cellStyle name="20% - Accent4 4 2 2 2 4 2" xfId="10106" xr:uid="{00000000-0005-0000-0000-0000382B0000}"/>
    <cellStyle name="20% - Accent4 4 2 2 2 4 2 2" xfId="21407" xr:uid="{00000000-0005-0000-0000-0000392B0000}"/>
    <cellStyle name="20% - Accent4 4 2 2 2 4 2 2 2" xfId="44009" xr:uid="{00000000-0005-0000-0000-00003A2B0000}"/>
    <cellStyle name="20% - Accent4 4 2 2 2 4 2 3" xfId="32708" xr:uid="{00000000-0005-0000-0000-00003B2B0000}"/>
    <cellStyle name="20% - Accent4 4 2 2 2 4 3" xfId="15757" xr:uid="{00000000-0005-0000-0000-00003C2B0000}"/>
    <cellStyle name="20% - Accent4 4 2 2 2 4 3 2" xfId="38359" xr:uid="{00000000-0005-0000-0000-00003D2B0000}"/>
    <cellStyle name="20% - Accent4 4 2 2 2 4 4" xfId="27058" xr:uid="{00000000-0005-0000-0000-00003E2B0000}"/>
    <cellStyle name="20% - Accent4 4 2 2 2 5" xfId="7252" xr:uid="{00000000-0005-0000-0000-00003F2B0000}"/>
    <cellStyle name="20% - Accent4 4 2 2 2 5 2" xfId="18553" xr:uid="{00000000-0005-0000-0000-0000402B0000}"/>
    <cellStyle name="20% - Accent4 4 2 2 2 5 2 2" xfId="41155" xr:uid="{00000000-0005-0000-0000-0000412B0000}"/>
    <cellStyle name="20% - Accent4 4 2 2 2 5 3" xfId="29854" xr:uid="{00000000-0005-0000-0000-0000422B0000}"/>
    <cellStyle name="20% - Accent4 4 2 2 2 6" xfId="12903" xr:uid="{00000000-0005-0000-0000-0000432B0000}"/>
    <cellStyle name="20% - Accent4 4 2 2 2 6 2" xfId="35505" xr:uid="{00000000-0005-0000-0000-0000442B0000}"/>
    <cellStyle name="20% - Accent4 4 2 2 2 7" xfId="24204" xr:uid="{00000000-0005-0000-0000-0000452B0000}"/>
    <cellStyle name="20% - Accent4 4 2 2 3" xfId="971" xr:uid="{00000000-0005-0000-0000-0000462B0000}"/>
    <cellStyle name="20% - Accent4 4 2 2 3 2" xfId="3034" xr:uid="{00000000-0005-0000-0000-0000472B0000}"/>
    <cellStyle name="20% - Accent4 4 2 2 3 2 2" xfId="6006" xr:uid="{00000000-0005-0000-0000-0000482B0000}"/>
    <cellStyle name="20% - Accent4 4 2 2 3 2 2 2" xfId="11656" xr:uid="{00000000-0005-0000-0000-0000492B0000}"/>
    <cellStyle name="20% - Accent4 4 2 2 3 2 2 2 2" xfId="22957" xr:uid="{00000000-0005-0000-0000-00004A2B0000}"/>
    <cellStyle name="20% - Accent4 4 2 2 3 2 2 2 2 2" xfId="45559" xr:uid="{00000000-0005-0000-0000-00004B2B0000}"/>
    <cellStyle name="20% - Accent4 4 2 2 3 2 2 2 3" xfId="34258" xr:uid="{00000000-0005-0000-0000-00004C2B0000}"/>
    <cellStyle name="20% - Accent4 4 2 2 3 2 2 3" xfId="17307" xr:uid="{00000000-0005-0000-0000-00004D2B0000}"/>
    <cellStyle name="20% - Accent4 4 2 2 3 2 2 3 2" xfId="39909" xr:uid="{00000000-0005-0000-0000-00004E2B0000}"/>
    <cellStyle name="20% - Accent4 4 2 2 3 2 2 4" xfId="28608" xr:uid="{00000000-0005-0000-0000-00004F2B0000}"/>
    <cellStyle name="20% - Accent4 4 2 2 3 2 3" xfId="8824" xr:uid="{00000000-0005-0000-0000-0000502B0000}"/>
    <cellStyle name="20% - Accent4 4 2 2 3 2 3 2" xfId="20125" xr:uid="{00000000-0005-0000-0000-0000512B0000}"/>
    <cellStyle name="20% - Accent4 4 2 2 3 2 3 2 2" xfId="42727" xr:uid="{00000000-0005-0000-0000-0000522B0000}"/>
    <cellStyle name="20% - Accent4 4 2 2 3 2 3 3" xfId="31426" xr:uid="{00000000-0005-0000-0000-0000532B0000}"/>
    <cellStyle name="20% - Accent4 4 2 2 3 2 4" xfId="14475" xr:uid="{00000000-0005-0000-0000-0000542B0000}"/>
    <cellStyle name="20% - Accent4 4 2 2 3 2 4 2" xfId="37077" xr:uid="{00000000-0005-0000-0000-0000552B0000}"/>
    <cellStyle name="20% - Accent4 4 2 2 3 2 5" xfId="25776" xr:uid="{00000000-0005-0000-0000-0000562B0000}"/>
    <cellStyle name="20% - Accent4 4 2 2 3 3" xfId="4772" xr:uid="{00000000-0005-0000-0000-0000572B0000}"/>
    <cellStyle name="20% - Accent4 4 2 2 3 3 2" xfId="10422" xr:uid="{00000000-0005-0000-0000-0000582B0000}"/>
    <cellStyle name="20% - Accent4 4 2 2 3 3 2 2" xfId="21723" xr:uid="{00000000-0005-0000-0000-0000592B0000}"/>
    <cellStyle name="20% - Accent4 4 2 2 3 3 2 2 2" xfId="44325" xr:uid="{00000000-0005-0000-0000-00005A2B0000}"/>
    <cellStyle name="20% - Accent4 4 2 2 3 3 2 3" xfId="33024" xr:uid="{00000000-0005-0000-0000-00005B2B0000}"/>
    <cellStyle name="20% - Accent4 4 2 2 3 3 3" xfId="16073" xr:uid="{00000000-0005-0000-0000-00005C2B0000}"/>
    <cellStyle name="20% - Accent4 4 2 2 3 3 3 2" xfId="38675" xr:uid="{00000000-0005-0000-0000-00005D2B0000}"/>
    <cellStyle name="20% - Accent4 4 2 2 3 3 4" xfId="27374" xr:uid="{00000000-0005-0000-0000-00005E2B0000}"/>
    <cellStyle name="20% - Accent4 4 2 2 3 4" xfId="6959" xr:uid="{00000000-0005-0000-0000-00005F2B0000}"/>
    <cellStyle name="20% - Accent4 4 2 2 3 4 2" xfId="18260" xr:uid="{00000000-0005-0000-0000-0000602B0000}"/>
    <cellStyle name="20% - Accent4 4 2 2 3 4 2 2" xfId="40862" xr:uid="{00000000-0005-0000-0000-0000612B0000}"/>
    <cellStyle name="20% - Accent4 4 2 2 3 4 3" xfId="29561" xr:uid="{00000000-0005-0000-0000-0000622B0000}"/>
    <cellStyle name="20% - Accent4 4 2 2 3 5" xfId="12610" xr:uid="{00000000-0005-0000-0000-0000632B0000}"/>
    <cellStyle name="20% - Accent4 4 2 2 3 5 2" xfId="35212" xr:uid="{00000000-0005-0000-0000-0000642B0000}"/>
    <cellStyle name="20% - Accent4 4 2 2 3 6" xfId="23911" xr:uid="{00000000-0005-0000-0000-0000652B0000}"/>
    <cellStyle name="20% - Accent4 4 2 2 4" xfId="1633" xr:uid="{00000000-0005-0000-0000-0000662B0000}"/>
    <cellStyle name="20% - Accent4 4 2 2 4 2" xfId="3583" xr:uid="{00000000-0005-0000-0000-0000672B0000}"/>
    <cellStyle name="20% - Accent4 4 2 2 4 2 2" xfId="9295" xr:uid="{00000000-0005-0000-0000-0000682B0000}"/>
    <cellStyle name="20% - Accent4 4 2 2 4 2 2 2" xfId="20596" xr:uid="{00000000-0005-0000-0000-0000692B0000}"/>
    <cellStyle name="20% - Accent4 4 2 2 4 2 2 2 2" xfId="43198" xr:uid="{00000000-0005-0000-0000-00006A2B0000}"/>
    <cellStyle name="20% - Accent4 4 2 2 4 2 2 3" xfId="31897" xr:uid="{00000000-0005-0000-0000-00006B2B0000}"/>
    <cellStyle name="20% - Accent4 4 2 2 4 2 3" xfId="14946" xr:uid="{00000000-0005-0000-0000-00006C2B0000}"/>
    <cellStyle name="20% - Accent4 4 2 2 4 2 3 2" xfId="37548" xr:uid="{00000000-0005-0000-0000-00006D2B0000}"/>
    <cellStyle name="20% - Accent4 4 2 2 4 2 4" xfId="26247" xr:uid="{00000000-0005-0000-0000-00006E2B0000}"/>
    <cellStyle name="20% - Accent4 4 2 2 4 3" xfId="5382" xr:uid="{00000000-0005-0000-0000-00006F2B0000}"/>
    <cellStyle name="20% - Accent4 4 2 2 4 3 2" xfId="11032" xr:uid="{00000000-0005-0000-0000-0000702B0000}"/>
    <cellStyle name="20% - Accent4 4 2 2 4 3 2 2" xfId="22333" xr:uid="{00000000-0005-0000-0000-0000712B0000}"/>
    <cellStyle name="20% - Accent4 4 2 2 4 3 2 2 2" xfId="44935" xr:uid="{00000000-0005-0000-0000-0000722B0000}"/>
    <cellStyle name="20% - Accent4 4 2 2 4 3 2 3" xfId="33634" xr:uid="{00000000-0005-0000-0000-0000732B0000}"/>
    <cellStyle name="20% - Accent4 4 2 2 4 3 3" xfId="16683" xr:uid="{00000000-0005-0000-0000-0000742B0000}"/>
    <cellStyle name="20% - Accent4 4 2 2 4 3 3 2" xfId="39285" xr:uid="{00000000-0005-0000-0000-0000752B0000}"/>
    <cellStyle name="20% - Accent4 4 2 2 4 3 4" xfId="27984" xr:uid="{00000000-0005-0000-0000-0000762B0000}"/>
    <cellStyle name="20% - Accent4 4 2 2 4 4" xfId="7489" xr:uid="{00000000-0005-0000-0000-0000772B0000}"/>
    <cellStyle name="20% - Accent4 4 2 2 4 4 2" xfId="18790" xr:uid="{00000000-0005-0000-0000-0000782B0000}"/>
    <cellStyle name="20% - Accent4 4 2 2 4 4 2 2" xfId="41392" xr:uid="{00000000-0005-0000-0000-0000792B0000}"/>
    <cellStyle name="20% - Accent4 4 2 2 4 4 3" xfId="30091" xr:uid="{00000000-0005-0000-0000-00007A2B0000}"/>
    <cellStyle name="20% - Accent4 4 2 2 4 5" xfId="13140" xr:uid="{00000000-0005-0000-0000-00007B2B0000}"/>
    <cellStyle name="20% - Accent4 4 2 2 4 5 2" xfId="35742" xr:uid="{00000000-0005-0000-0000-00007C2B0000}"/>
    <cellStyle name="20% - Accent4 4 2 2 4 6" xfId="24441" xr:uid="{00000000-0005-0000-0000-00007D2B0000}"/>
    <cellStyle name="20% - Accent4 4 2 2 5" xfId="2363" xr:uid="{00000000-0005-0000-0000-00007E2B0000}"/>
    <cellStyle name="20% - Accent4 4 2 2 5 2" xfId="8199" xr:uid="{00000000-0005-0000-0000-00007F2B0000}"/>
    <cellStyle name="20% - Accent4 4 2 2 5 2 2" xfId="19500" xr:uid="{00000000-0005-0000-0000-0000802B0000}"/>
    <cellStyle name="20% - Accent4 4 2 2 5 2 2 2" xfId="42102" xr:uid="{00000000-0005-0000-0000-0000812B0000}"/>
    <cellStyle name="20% - Accent4 4 2 2 5 2 3" xfId="30801" xr:uid="{00000000-0005-0000-0000-0000822B0000}"/>
    <cellStyle name="20% - Accent4 4 2 2 5 3" xfId="13850" xr:uid="{00000000-0005-0000-0000-0000832B0000}"/>
    <cellStyle name="20% - Accent4 4 2 2 5 3 2" xfId="36452" xr:uid="{00000000-0005-0000-0000-0000842B0000}"/>
    <cellStyle name="20% - Accent4 4 2 2 5 4" xfId="25151" xr:uid="{00000000-0005-0000-0000-0000852B0000}"/>
    <cellStyle name="20% - Accent4 4 2 2 6" xfId="4148" xr:uid="{00000000-0005-0000-0000-0000862B0000}"/>
    <cellStyle name="20% - Accent4 4 2 2 6 2" xfId="9798" xr:uid="{00000000-0005-0000-0000-0000872B0000}"/>
    <cellStyle name="20% - Accent4 4 2 2 6 2 2" xfId="21099" xr:uid="{00000000-0005-0000-0000-0000882B0000}"/>
    <cellStyle name="20% - Accent4 4 2 2 6 2 2 2" xfId="43701" xr:uid="{00000000-0005-0000-0000-0000892B0000}"/>
    <cellStyle name="20% - Accent4 4 2 2 6 2 3" xfId="32400" xr:uid="{00000000-0005-0000-0000-00008A2B0000}"/>
    <cellStyle name="20% - Accent4 4 2 2 6 3" xfId="15449" xr:uid="{00000000-0005-0000-0000-00008B2B0000}"/>
    <cellStyle name="20% - Accent4 4 2 2 6 3 2" xfId="38051" xr:uid="{00000000-0005-0000-0000-00008C2B0000}"/>
    <cellStyle name="20% - Accent4 4 2 2 6 4" xfId="26750" xr:uid="{00000000-0005-0000-0000-00008D2B0000}"/>
    <cellStyle name="20% - Accent4 4 2 2 7" xfId="6628" xr:uid="{00000000-0005-0000-0000-00008E2B0000}"/>
    <cellStyle name="20% - Accent4 4 2 2 7 2" xfId="17929" xr:uid="{00000000-0005-0000-0000-00008F2B0000}"/>
    <cellStyle name="20% - Accent4 4 2 2 7 2 2" xfId="40531" xr:uid="{00000000-0005-0000-0000-0000902B0000}"/>
    <cellStyle name="20% - Accent4 4 2 2 7 3" xfId="29230" xr:uid="{00000000-0005-0000-0000-0000912B0000}"/>
    <cellStyle name="20% - Accent4 4 2 2 8" xfId="12279" xr:uid="{00000000-0005-0000-0000-0000922B0000}"/>
    <cellStyle name="20% - Accent4 4 2 2 8 2" xfId="34881" xr:uid="{00000000-0005-0000-0000-0000932B0000}"/>
    <cellStyle name="20% - Accent4 4 2 2 9" xfId="23580" xr:uid="{00000000-0005-0000-0000-0000942B0000}"/>
    <cellStyle name="20% - Accent4 4 2 3" xfId="1135" xr:uid="{00000000-0005-0000-0000-0000952B0000}"/>
    <cellStyle name="20% - Accent4 4 2 3 2" xfId="1635" xr:uid="{00000000-0005-0000-0000-0000962B0000}"/>
    <cellStyle name="20% - Accent4 4 2 3 2 2" xfId="3203" xr:uid="{00000000-0005-0000-0000-0000972B0000}"/>
    <cellStyle name="20% - Accent4 4 2 3 2 2 2" xfId="6175" xr:uid="{00000000-0005-0000-0000-0000982B0000}"/>
    <cellStyle name="20% - Accent4 4 2 3 2 2 2 2" xfId="11825" xr:uid="{00000000-0005-0000-0000-0000992B0000}"/>
    <cellStyle name="20% - Accent4 4 2 3 2 2 2 2 2" xfId="23126" xr:uid="{00000000-0005-0000-0000-00009A2B0000}"/>
    <cellStyle name="20% - Accent4 4 2 3 2 2 2 2 2 2" xfId="45728" xr:uid="{00000000-0005-0000-0000-00009B2B0000}"/>
    <cellStyle name="20% - Accent4 4 2 3 2 2 2 2 3" xfId="34427" xr:uid="{00000000-0005-0000-0000-00009C2B0000}"/>
    <cellStyle name="20% - Accent4 4 2 3 2 2 2 3" xfId="17476" xr:uid="{00000000-0005-0000-0000-00009D2B0000}"/>
    <cellStyle name="20% - Accent4 4 2 3 2 2 2 3 2" xfId="40078" xr:uid="{00000000-0005-0000-0000-00009E2B0000}"/>
    <cellStyle name="20% - Accent4 4 2 3 2 2 2 4" xfId="28777" xr:uid="{00000000-0005-0000-0000-00009F2B0000}"/>
    <cellStyle name="20% - Accent4 4 2 3 2 2 3" xfId="8993" xr:uid="{00000000-0005-0000-0000-0000A02B0000}"/>
    <cellStyle name="20% - Accent4 4 2 3 2 2 3 2" xfId="20294" xr:uid="{00000000-0005-0000-0000-0000A12B0000}"/>
    <cellStyle name="20% - Accent4 4 2 3 2 2 3 2 2" xfId="42896" xr:uid="{00000000-0005-0000-0000-0000A22B0000}"/>
    <cellStyle name="20% - Accent4 4 2 3 2 2 3 3" xfId="31595" xr:uid="{00000000-0005-0000-0000-0000A32B0000}"/>
    <cellStyle name="20% - Accent4 4 2 3 2 2 4" xfId="14644" xr:uid="{00000000-0005-0000-0000-0000A42B0000}"/>
    <cellStyle name="20% - Accent4 4 2 3 2 2 4 2" xfId="37246" xr:uid="{00000000-0005-0000-0000-0000A52B0000}"/>
    <cellStyle name="20% - Accent4 4 2 3 2 2 5" xfId="25945" xr:uid="{00000000-0005-0000-0000-0000A62B0000}"/>
    <cellStyle name="20% - Accent4 4 2 3 2 3" xfId="4941" xr:uid="{00000000-0005-0000-0000-0000A72B0000}"/>
    <cellStyle name="20% - Accent4 4 2 3 2 3 2" xfId="10591" xr:uid="{00000000-0005-0000-0000-0000A82B0000}"/>
    <cellStyle name="20% - Accent4 4 2 3 2 3 2 2" xfId="21892" xr:uid="{00000000-0005-0000-0000-0000A92B0000}"/>
    <cellStyle name="20% - Accent4 4 2 3 2 3 2 2 2" xfId="44494" xr:uid="{00000000-0005-0000-0000-0000AA2B0000}"/>
    <cellStyle name="20% - Accent4 4 2 3 2 3 2 3" xfId="33193" xr:uid="{00000000-0005-0000-0000-0000AB2B0000}"/>
    <cellStyle name="20% - Accent4 4 2 3 2 3 3" xfId="16242" xr:uid="{00000000-0005-0000-0000-0000AC2B0000}"/>
    <cellStyle name="20% - Accent4 4 2 3 2 3 3 2" xfId="38844" xr:uid="{00000000-0005-0000-0000-0000AD2B0000}"/>
    <cellStyle name="20% - Accent4 4 2 3 2 3 4" xfId="27543" xr:uid="{00000000-0005-0000-0000-0000AE2B0000}"/>
    <cellStyle name="20% - Accent4 4 2 3 2 4" xfId="7491" xr:uid="{00000000-0005-0000-0000-0000AF2B0000}"/>
    <cellStyle name="20% - Accent4 4 2 3 2 4 2" xfId="18792" xr:uid="{00000000-0005-0000-0000-0000B02B0000}"/>
    <cellStyle name="20% - Accent4 4 2 3 2 4 2 2" xfId="41394" xr:uid="{00000000-0005-0000-0000-0000B12B0000}"/>
    <cellStyle name="20% - Accent4 4 2 3 2 4 3" xfId="30093" xr:uid="{00000000-0005-0000-0000-0000B22B0000}"/>
    <cellStyle name="20% - Accent4 4 2 3 2 5" xfId="13142" xr:uid="{00000000-0005-0000-0000-0000B32B0000}"/>
    <cellStyle name="20% - Accent4 4 2 3 2 5 2" xfId="35744" xr:uid="{00000000-0005-0000-0000-0000B42B0000}"/>
    <cellStyle name="20% - Accent4 4 2 3 2 6" xfId="24443" xr:uid="{00000000-0005-0000-0000-0000B52B0000}"/>
    <cellStyle name="20% - Accent4 4 2 3 3" xfId="2532" xr:uid="{00000000-0005-0000-0000-0000B62B0000}"/>
    <cellStyle name="20% - Accent4 4 2 3 3 2" xfId="5551" xr:uid="{00000000-0005-0000-0000-0000B72B0000}"/>
    <cellStyle name="20% - Accent4 4 2 3 3 2 2" xfId="11201" xr:uid="{00000000-0005-0000-0000-0000B82B0000}"/>
    <cellStyle name="20% - Accent4 4 2 3 3 2 2 2" xfId="22502" xr:uid="{00000000-0005-0000-0000-0000B92B0000}"/>
    <cellStyle name="20% - Accent4 4 2 3 3 2 2 2 2" xfId="45104" xr:uid="{00000000-0005-0000-0000-0000BA2B0000}"/>
    <cellStyle name="20% - Accent4 4 2 3 3 2 2 3" xfId="33803" xr:uid="{00000000-0005-0000-0000-0000BB2B0000}"/>
    <cellStyle name="20% - Accent4 4 2 3 3 2 3" xfId="16852" xr:uid="{00000000-0005-0000-0000-0000BC2B0000}"/>
    <cellStyle name="20% - Accent4 4 2 3 3 2 3 2" xfId="39454" xr:uid="{00000000-0005-0000-0000-0000BD2B0000}"/>
    <cellStyle name="20% - Accent4 4 2 3 3 2 4" xfId="28153" xr:uid="{00000000-0005-0000-0000-0000BE2B0000}"/>
    <cellStyle name="20% - Accent4 4 2 3 3 3" xfId="8368" xr:uid="{00000000-0005-0000-0000-0000BF2B0000}"/>
    <cellStyle name="20% - Accent4 4 2 3 3 3 2" xfId="19669" xr:uid="{00000000-0005-0000-0000-0000C02B0000}"/>
    <cellStyle name="20% - Accent4 4 2 3 3 3 2 2" xfId="42271" xr:uid="{00000000-0005-0000-0000-0000C12B0000}"/>
    <cellStyle name="20% - Accent4 4 2 3 3 3 3" xfId="30970" xr:uid="{00000000-0005-0000-0000-0000C22B0000}"/>
    <cellStyle name="20% - Accent4 4 2 3 3 4" xfId="14019" xr:uid="{00000000-0005-0000-0000-0000C32B0000}"/>
    <cellStyle name="20% - Accent4 4 2 3 3 4 2" xfId="36621" xr:uid="{00000000-0005-0000-0000-0000C42B0000}"/>
    <cellStyle name="20% - Accent4 4 2 3 3 5" xfId="25320" xr:uid="{00000000-0005-0000-0000-0000C52B0000}"/>
    <cellStyle name="20% - Accent4 4 2 3 4" xfId="4317" xr:uid="{00000000-0005-0000-0000-0000C62B0000}"/>
    <cellStyle name="20% - Accent4 4 2 3 4 2" xfId="9967" xr:uid="{00000000-0005-0000-0000-0000C72B0000}"/>
    <cellStyle name="20% - Accent4 4 2 3 4 2 2" xfId="21268" xr:uid="{00000000-0005-0000-0000-0000C82B0000}"/>
    <cellStyle name="20% - Accent4 4 2 3 4 2 2 2" xfId="43870" xr:uid="{00000000-0005-0000-0000-0000C92B0000}"/>
    <cellStyle name="20% - Accent4 4 2 3 4 2 3" xfId="32569" xr:uid="{00000000-0005-0000-0000-0000CA2B0000}"/>
    <cellStyle name="20% - Accent4 4 2 3 4 3" xfId="15618" xr:uid="{00000000-0005-0000-0000-0000CB2B0000}"/>
    <cellStyle name="20% - Accent4 4 2 3 4 3 2" xfId="38220" xr:uid="{00000000-0005-0000-0000-0000CC2B0000}"/>
    <cellStyle name="20% - Accent4 4 2 3 4 4" xfId="26919" xr:uid="{00000000-0005-0000-0000-0000CD2B0000}"/>
    <cellStyle name="20% - Accent4 4 2 3 5" xfId="7114" xr:uid="{00000000-0005-0000-0000-0000CE2B0000}"/>
    <cellStyle name="20% - Accent4 4 2 3 5 2" xfId="18415" xr:uid="{00000000-0005-0000-0000-0000CF2B0000}"/>
    <cellStyle name="20% - Accent4 4 2 3 5 2 2" xfId="41017" xr:uid="{00000000-0005-0000-0000-0000D02B0000}"/>
    <cellStyle name="20% - Accent4 4 2 3 5 3" xfId="29716" xr:uid="{00000000-0005-0000-0000-0000D12B0000}"/>
    <cellStyle name="20% - Accent4 4 2 3 6" xfId="12765" xr:uid="{00000000-0005-0000-0000-0000D22B0000}"/>
    <cellStyle name="20% - Accent4 4 2 3 6 2" xfId="35367" xr:uid="{00000000-0005-0000-0000-0000D32B0000}"/>
    <cellStyle name="20% - Accent4 4 2 3 7" xfId="24066" xr:uid="{00000000-0005-0000-0000-0000D42B0000}"/>
    <cellStyle name="20% - Accent4 4 2 4" xfId="825" xr:uid="{00000000-0005-0000-0000-0000D52B0000}"/>
    <cellStyle name="20% - Accent4 4 2 4 2" xfId="2896" xr:uid="{00000000-0005-0000-0000-0000D62B0000}"/>
    <cellStyle name="20% - Accent4 4 2 4 2 2" xfId="5868" xr:uid="{00000000-0005-0000-0000-0000D72B0000}"/>
    <cellStyle name="20% - Accent4 4 2 4 2 2 2" xfId="11518" xr:uid="{00000000-0005-0000-0000-0000D82B0000}"/>
    <cellStyle name="20% - Accent4 4 2 4 2 2 2 2" xfId="22819" xr:uid="{00000000-0005-0000-0000-0000D92B0000}"/>
    <cellStyle name="20% - Accent4 4 2 4 2 2 2 2 2" xfId="45421" xr:uid="{00000000-0005-0000-0000-0000DA2B0000}"/>
    <cellStyle name="20% - Accent4 4 2 4 2 2 2 3" xfId="34120" xr:uid="{00000000-0005-0000-0000-0000DB2B0000}"/>
    <cellStyle name="20% - Accent4 4 2 4 2 2 3" xfId="17169" xr:uid="{00000000-0005-0000-0000-0000DC2B0000}"/>
    <cellStyle name="20% - Accent4 4 2 4 2 2 3 2" xfId="39771" xr:uid="{00000000-0005-0000-0000-0000DD2B0000}"/>
    <cellStyle name="20% - Accent4 4 2 4 2 2 4" xfId="28470" xr:uid="{00000000-0005-0000-0000-0000DE2B0000}"/>
    <cellStyle name="20% - Accent4 4 2 4 2 3" xfId="8686" xr:uid="{00000000-0005-0000-0000-0000DF2B0000}"/>
    <cellStyle name="20% - Accent4 4 2 4 2 3 2" xfId="19987" xr:uid="{00000000-0005-0000-0000-0000E02B0000}"/>
    <cellStyle name="20% - Accent4 4 2 4 2 3 2 2" xfId="42589" xr:uid="{00000000-0005-0000-0000-0000E12B0000}"/>
    <cellStyle name="20% - Accent4 4 2 4 2 3 3" xfId="31288" xr:uid="{00000000-0005-0000-0000-0000E22B0000}"/>
    <cellStyle name="20% - Accent4 4 2 4 2 4" xfId="14337" xr:uid="{00000000-0005-0000-0000-0000E32B0000}"/>
    <cellStyle name="20% - Accent4 4 2 4 2 4 2" xfId="36939" xr:uid="{00000000-0005-0000-0000-0000E42B0000}"/>
    <cellStyle name="20% - Accent4 4 2 4 2 5" xfId="25638" xr:uid="{00000000-0005-0000-0000-0000E52B0000}"/>
    <cellStyle name="20% - Accent4 4 2 4 3" xfId="4634" xr:uid="{00000000-0005-0000-0000-0000E62B0000}"/>
    <cellStyle name="20% - Accent4 4 2 4 3 2" xfId="10284" xr:uid="{00000000-0005-0000-0000-0000E72B0000}"/>
    <cellStyle name="20% - Accent4 4 2 4 3 2 2" xfId="21585" xr:uid="{00000000-0005-0000-0000-0000E82B0000}"/>
    <cellStyle name="20% - Accent4 4 2 4 3 2 2 2" xfId="44187" xr:uid="{00000000-0005-0000-0000-0000E92B0000}"/>
    <cellStyle name="20% - Accent4 4 2 4 3 2 3" xfId="32886" xr:uid="{00000000-0005-0000-0000-0000EA2B0000}"/>
    <cellStyle name="20% - Accent4 4 2 4 3 3" xfId="15935" xr:uid="{00000000-0005-0000-0000-0000EB2B0000}"/>
    <cellStyle name="20% - Accent4 4 2 4 3 3 2" xfId="38537" xr:uid="{00000000-0005-0000-0000-0000EC2B0000}"/>
    <cellStyle name="20% - Accent4 4 2 4 3 4" xfId="27236" xr:uid="{00000000-0005-0000-0000-0000ED2B0000}"/>
    <cellStyle name="20% - Accent4 4 2 4 4" xfId="6821" xr:uid="{00000000-0005-0000-0000-0000EE2B0000}"/>
    <cellStyle name="20% - Accent4 4 2 4 4 2" xfId="18122" xr:uid="{00000000-0005-0000-0000-0000EF2B0000}"/>
    <cellStyle name="20% - Accent4 4 2 4 4 2 2" xfId="40724" xr:uid="{00000000-0005-0000-0000-0000F02B0000}"/>
    <cellStyle name="20% - Accent4 4 2 4 4 3" xfId="29423" xr:uid="{00000000-0005-0000-0000-0000F12B0000}"/>
    <cellStyle name="20% - Accent4 4 2 4 5" xfId="12472" xr:uid="{00000000-0005-0000-0000-0000F22B0000}"/>
    <cellStyle name="20% - Accent4 4 2 4 5 2" xfId="35074" xr:uid="{00000000-0005-0000-0000-0000F32B0000}"/>
    <cellStyle name="20% - Accent4 4 2 4 6" xfId="23773" xr:uid="{00000000-0005-0000-0000-0000F42B0000}"/>
    <cellStyle name="20% - Accent4 4 2 5" xfId="1632" xr:uid="{00000000-0005-0000-0000-0000F52B0000}"/>
    <cellStyle name="20% - Accent4 4 2 5 2" xfId="3582" xr:uid="{00000000-0005-0000-0000-0000F62B0000}"/>
    <cellStyle name="20% - Accent4 4 2 5 2 2" xfId="9294" xr:uid="{00000000-0005-0000-0000-0000F72B0000}"/>
    <cellStyle name="20% - Accent4 4 2 5 2 2 2" xfId="20595" xr:uid="{00000000-0005-0000-0000-0000F82B0000}"/>
    <cellStyle name="20% - Accent4 4 2 5 2 2 2 2" xfId="43197" xr:uid="{00000000-0005-0000-0000-0000F92B0000}"/>
    <cellStyle name="20% - Accent4 4 2 5 2 2 3" xfId="31896" xr:uid="{00000000-0005-0000-0000-0000FA2B0000}"/>
    <cellStyle name="20% - Accent4 4 2 5 2 3" xfId="14945" xr:uid="{00000000-0005-0000-0000-0000FB2B0000}"/>
    <cellStyle name="20% - Accent4 4 2 5 2 3 2" xfId="37547" xr:uid="{00000000-0005-0000-0000-0000FC2B0000}"/>
    <cellStyle name="20% - Accent4 4 2 5 2 4" xfId="26246" xr:uid="{00000000-0005-0000-0000-0000FD2B0000}"/>
    <cellStyle name="20% - Accent4 4 2 5 3" xfId="5244" xr:uid="{00000000-0005-0000-0000-0000FE2B0000}"/>
    <cellStyle name="20% - Accent4 4 2 5 3 2" xfId="10894" xr:uid="{00000000-0005-0000-0000-0000FF2B0000}"/>
    <cellStyle name="20% - Accent4 4 2 5 3 2 2" xfId="22195" xr:uid="{00000000-0005-0000-0000-0000002C0000}"/>
    <cellStyle name="20% - Accent4 4 2 5 3 2 2 2" xfId="44797" xr:uid="{00000000-0005-0000-0000-0000012C0000}"/>
    <cellStyle name="20% - Accent4 4 2 5 3 2 3" xfId="33496" xr:uid="{00000000-0005-0000-0000-0000022C0000}"/>
    <cellStyle name="20% - Accent4 4 2 5 3 3" xfId="16545" xr:uid="{00000000-0005-0000-0000-0000032C0000}"/>
    <cellStyle name="20% - Accent4 4 2 5 3 3 2" xfId="39147" xr:uid="{00000000-0005-0000-0000-0000042C0000}"/>
    <cellStyle name="20% - Accent4 4 2 5 3 4" xfId="27846" xr:uid="{00000000-0005-0000-0000-0000052C0000}"/>
    <cellStyle name="20% - Accent4 4 2 5 4" xfId="7488" xr:uid="{00000000-0005-0000-0000-0000062C0000}"/>
    <cellStyle name="20% - Accent4 4 2 5 4 2" xfId="18789" xr:uid="{00000000-0005-0000-0000-0000072C0000}"/>
    <cellStyle name="20% - Accent4 4 2 5 4 2 2" xfId="41391" xr:uid="{00000000-0005-0000-0000-0000082C0000}"/>
    <cellStyle name="20% - Accent4 4 2 5 4 3" xfId="30090" xr:uid="{00000000-0005-0000-0000-0000092C0000}"/>
    <cellStyle name="20% - Accent4 4 2 5 5" xfId="13139" xr:uid="{00000000-0005-0000-0000-00000A2C0000}"/>
    <cellStyle name="20% - Accent4 4 2 5 5 2" xfId="35741" xr:uid="{00000000-0005-0000-0000-00000B2C0000}"/>
    <cellStyle name="20% - Accent4 4 2 5 6" xfId="24440" xr:uid="{00000000-0005-0000-0000-00000C2C0000}"/>
    <cellStyle name="20% - Accent4 4 2 6" xfId="2223" xr:uid="{00000000-0005-0000-0000-00000D2C0000}"/>
    <cellStyle name="20% - Accent4 4 2 6 2" xfId="8059" xr:uid="{00000000-0005-0000-0000-00000E2C0000}"/>
    <cellStyle name="20% - Accent4 4 2 6 2 2" xfId="19360" xr:uid="{00000000-0005-0000-0000-00000F2C0000}"/>
    <cellStyle name="20% - Accent4 4 2 6 2 2 2" xfId="41962" xr:uid="{00000000-0005-0000-0000-0000102C0000}"/>
    <cellStyle name="20% - Accent4 4 2 6 2 3" xfId="30661" xr:uid="{00000000-0005-0000-0000-0000112C0000}"/>
    <cellStyle name="20% - Accent4 4 2 6 3" xfId="13710" xr:uid="{00000000-0005-0000-0000-0000122C0000}"/>
    <cellStyle name="20% - Accent4 4 2 6 3 2" xfId="36312" xr:uid="{00000000-0005-0000-0000-0000132C0000}"/>
    <cellStyle name="20% - Accent4 4 2 6 4" xfId="25011" xr:uid="{00000000-0005-0000-0000-0000142C0000}"/>
    <cellStyle name="20% - Accent4 4 2 7" xfId="4010" xr:uid="{00000000-0005-0000-0000-0000152C0000}"/>
    <cellStyle name="20% - Accent4 4 2 7 2" xfId="9660" xr:uid="{00000000-0005-0000-0000-0000162C0000}"/>
    <cellStyle name="20% - Accent4 4 2 7 2 2" xfId="20961" xr:uid="{00000000-0005-0000-0000-0000172C0000}"/>
    <cellStyle name="20% - Accent4 4 2 7 2 2 2" xfId="43563" xr:uid="{00000000-0005-0000-0000-0000182C0000}"/>
    <cellStyle name="20% - Accent4 4 2 7 2 3" xfId="32262" xr:uid="{00000000-0005-0000-0000-0000192C0000}"/>
    <cellStyle name="20% - Accent4 4 2 7 3" xfId="15311" xr:uid="{00000000-0005-0000-0000-00001A2C0000}"/>
    <cellStyle name="20% - Accent4 4 2 7 3 2" xfId="37913" xr:uid="{00000000-0005-0000-0000-00001B2C0000}"/>
    <cellStyle name="20% - Accent4 4 2 7 4" xfId="26612" xr:uid="{00000000-0005-0000-0000-00001C2C0000}"/>
    <cellStyle name="20% - Accent4 4 2 8" xfId="6461" xr:uid="{00000000-0005-0000-0000-00001D2C0000}"/>
    <cellStyle name="20% - Accent4 4 2 8 2" xfId="17762" xr:uid="{00000000-0005-0000-0000-00001E2C0000}"/>
    <cellStyle name="20% - Accent4 4 2 8 2 2" xfId="40364" xr:uid="{00000000-0005-0000-0000-00001F2C0000}"/>
    <cellStyle name="20% - Accent4 4 2 8 3" xfId="29063" xr:uid="{00000000-0005-0000-0000-0000202C0000}"/>
    <cellStyle name="20% - Accent4 4 2 9" xfId="12112" xr:uid="{00000000-0005-0000-0000-0000212C0000}"/>
    <cellStyle name="20% - Accent4 4 2 9 2" xfId="34714" xr:uid="{00000000-0005-0000-0000-0000222C0000}"/>
    <cellStyle name="20% - Accent4 4 3" xfId="367" xr:uid="{00000000-0005-0000-0000-0000232C0000}"/>
    <cellStyle name="20% - Accent4 4 3 10" xfId="23462" xr:uid="{00000000-0005-0000-0000-0000242C0000}"/>
    <cellStyle name="20% - Accent4 4 3 2" xfId="612" xr:uid="{00000000-0005-0000-0000-0000252C0000}"/>
    <cellStyle name="20% - Accent4 4 3 2 2" xfId="1322" xr:uid="{00000000-0005-0000-0000-0000262C0000}"/>
    <cellStyle name="20% - Accent4 4 3 2 2 2" xfId="1638" xr:uid="{00000000-0005-0000-0000-0000272C0000}"/>
    <cellStyle name="20% - Accent4 4 3 2 2 2 2" xfId="3391" xr:uid="{00000000-0005-0000-0000-0000282C0000}"/>
    <cellStyle name="20% - Accent4 4 3 2 2 2 2 2" xfId="6363" xr:uid="{00000000-0005-0000-0000-0000292C0000}"/>
    <cellStyle name="20% - Accent4 4 3 2 2 2 2 2 2" xfId="12013" xr:uid="{00000000-0005-0000-0000-00002A2C0000}"/>
    <cellStyle name="20% - Accent4 4 3 2 2 2 2 2 2 2" xfId="23314" xr:uid="{00000000-0005-0000-0000-00002B2C0000}"/>
    <cellStyle name="20% - Accent4 4 3 2 2 2 2 2 2 2 2" xfId="45916" xr:uid="{00000000-0005-0000-0000-00002C2C0000}"/>
    <cellStyle name="20% - Accent4 4 3 2 2 2 2 2 2 3" xfId="34615" xr:uid="{00000000-0005-0000-0000-00002D2C0000}"/>
    <cellStyle name="20% - Accent4 4 3 2 2 2 2 2 3" xfId="17664" xr:uid="{00000000-0005-0000-0000-00002E2C0000}"/>
    <cellStyle name="20% - Accent4 4 3 2 2 2 2 2 3 2" xfId="40266" xr:uid="{00000000-0005-0000-0000-00002F2C0000}"/>
    <cellStyle name="20% - Accent4 4 3 2 2 2 2 2 4" xfId="28965" xr:uid="{00000000-0005-0000-0000-0000302C0000}"/>
    <cellStyle name="20% - Accent4 4 3 2 2 2 2 3" xfId="9181" xr:uid="{00000000-0005-0000-0000-0000312C0000}"/>
    <cellStyle name="20% - Accent4 4 3 2 2 2 2 3 2" xfId="20482" xr:uid="{00000000-0005-0000-0000-0000322C0000}"/>
    <cellStyle name="20% - Accent4 4 3 2 2 2 2 3 2 2" xfId="43084" xr:uid="{00000000-0005-0000-0000-0000332C0000}"/>
    <cellStyle name="20% - Accent4 4 3 2 2 2 2 3 3" xfId="31783" xr:uid="{00000000-0005-0000-0000-0000342C0000}"/>
    <cellStyle name="20% - Accent4 4 3 2 2 2 2 4" xfId="14832" xr:uid="{00000000-0005-0000-0000-0000352C0000}"/>
    <cellStyle name="20% - Accent4 4 3 2 2 2 2 4 2" xfId="37434" xr:uid="{00000000-0005-0000-0000-0000362C0000}"/>
    <cellStyle name="20% - Accent4 4 3 2 2 2 2 5" xfId="26133" xr:uid="{00000000-0005-0000-0000-0000372C0000}"/>
    <cellStyle name="20% - Accent4 4 3 2 2 2 3" xfId="5129" xr:uid="{00000000-0005-0000-0000-0000382C0000}"/>
    <cellStyle name="20% - Accent4 4 3 2 2 2 3 2" xfId="10779" xr:uid="{00000000-0005-0000-0000-0000392C0000}"/>
    <cellStyle name="20% - Accent4 4 3 2 2 2 3 2 2" xfId="22080" xr:uid="{00000000-0005-0000-0000-00003A2C0000}"/>
    <cellStyle name="20% - Accent4 4 3 2 2 2 3 2 2 2" xfId="44682" xr:uid="{00000000-0005-0000-0000-00003B2C0000}"/>
    <cellStyle name="20% - Accent4 4 3 2 2 2 3 2 3" xfId="33381" xr:uid="{00000000-0005-0000-0000-00003C2C0000}"/>
    <cellStyle name="20% - Accent4 4 3 2 2 2 3 3" xfId="16430" xr:uid="{00000000-0005-0000-0000-00003D2C0000}"/>
    <cellStyle name="20% - Accent4 4 3 2 2 2 3 3 2" xfId="39032" xr:uid="{00000000-0005-0000-0000-00003E2C0000}"/>
    <cellStyle name="20% - Accent4 4 3 2 2 2 3 4" xfId="27731" xr:uid="{00000000-0005-0000-0000-00003F2C0000}"/>
    <cellStyle name="20% - Accent4 4 3 2 2 2 4" xfId="7494" xr:uid="{00000000-0005-0000-0000-0000402C0000}"/>
    <cellStyle name="20% - Accent4 4 3 2 2 2 4 2" xfId="18795" xr:uid="{00000000-0005-0000-0000-0000412C0000}"/>
    <cellStyle name="20% - Accent4 4 3 2 2 2 4 2 2" xfId="41397" xr:uid="{00000000-0005-0000-0000-0000422C0000}"/>
    <cellStyle name="20% - Accent4 4 3 2 2 2 4 3" xfId="30096" xr:uid="{00000000-0005-0000-0000-0000432C0000}"/>
    <cellStyle name="20% - Accent4 4 3 2 2 2 5" xfId="13145" xr:uid="{00000000-0005-0000-0000-0000442C0000}"/>
    <cellStyle name="20% - Accent4 4 3 2 2 2 5 2" xfId="35747" xr:uid="{00000000-0005-0000-0000-0000452C0000}"/>
    <cellStyle name="20% - Accent4 4 3 2 2 2 6" xfId="24446" xr:uid="{00000000-0005-0000-0000-0000462C0000}"/>
    <cellStyle name="20% - Accent4 4 3 2 2 3" xfId="2720" xr:uid="{00000000-0005-0000-0000-0000472C0000}"/>
    <cellStyle name="20% - Accent4 4 3 2 2 3 2" xfId="5739" xr:uid="{00000000-0005-0000-0000-0000482C0000}"/>
    <cellStyle name="20% - Accent4 4 3 2 2 3 2 2" xfId="11389" xr:uid="{00000000-0005-0000-0000-0000492C0000}"/>
    <cellStyle name="20% - Accent4 4 3 2 2 3 2 2 2" xfId="22690" xr:uid="{00000000-0005-0000-0000-00004A2C0000}"/>
    <cellStyle name="20% - Accent4 4 3 2 2 3 2 2 2 2" xfId="45292" xr:uid="{00000000-0005-0000-0000-00004B2C0000}"/>
    <cellStyle name="20% - Accent4 4 3 2 2 3 2 2 3" xfId="33991" xr:uid="{00000000-0005-0000-0000-00004C2C0000}"/>
    <cellStyle name="20% - Accent4 4 3 2 2 3 2 3" xfId="17040" xr:uid="{00000000-0005-0000-0000-00004D2C0000}"/>
    <cellStyle name="20% - Accent4 4 3 2 2 3 2 3 2" xfId="39642" xr:uid="{00000000-0005-0000-0000-00004E2C0000}"/>
    <cellStyle name="20% - Accent4 4 3 2 2 3 2 4" xfId="28341" xr:uid="{00000000-0005-0000-0000-00004F2C0000}"/>
    <cellStyle name="20% - Accent4 4 3 2 2 3 3" xfId="8556" xr:uid="{00000000-0005-0000-0000-0000502C0000}"/>
    <cellStyle name="20% - Accent4 4 3 2 2 3 3 2" xfId="19857" xr:uid="{00000000-0005-0000-0000-0000512C0000}"/>
    <cellStyle name="20% - Accent4 4 3 2 2 3 3 2 2" xfId="42459" xr:uid="{00000000-0005-0000-0000-0000522C0000}"/>
    <cellStyle name="20% - Accent4 4 3 2 2 3 3 3" xfId="31158" xr:uid="{00000000-0005-0000-0000-0000532C0000}"/>
    <cellStyle name="20% - Accent4 4 3 2 2 3 4" xfId="14207" xr:uid="{00000000-0005-0000-0000-0000542C0000}"/>
    <cellStyle name="20% - Accent4 4 3 2 2 3 4 2" xfId="36809" xr:uid="{00000000-0005-0000-0000-0000552C0000}"/>
    <cellStyle name="20% - Accent4 4 3 2 2 3 5" xfId="25508" xr:uid="{00000000-0005-0000-0000-0000562C0000}"/>
    <cellStyle name="20% - Accent4 4 3 2 2 4" xfId="4505" xr:uid="{00000000-0005-0000-0000-0000572C0000}"/>
    <cellStyle name="20% - Accent4 4 3 2 2 4 2" xfId="10155" xr:uid="{00000000-0005-0000-0000-0000582C0000}"/>
    <cellStyle name="20% - Accent4 4 3 2 2 4 2 2" xfId="21456" xr:uid="{00000000-0005-0000-0000-0000592C0000}"/>
    <cellStyle name="20% - Accent4 4 3 2 2 4 2 2 2" xfId="44058" xr:uid="{00000000-0005-0000-0000-00005A2C0000}"/>
    <cellStyle name="20% - Accent4 4 3 2 2 4 2 3" xfId="32757" xr:uid="{00000000-0005-0000-0000-00005B2C0000}"/>
    <cellStyle name="20% - Accent4 4 3 2 2 4 3" xfId="15806" xr:uid="{00000000-0005-0000-0000-00005C2C0000}"/>
    <cellStyle name="20% - Accent4 4 3 2 2 4 3 2" xfId="38408" xr:uid="{00000000-0005-0000-0000-00005D2C0000}"/>
    <cellStyle name="20% - Accent4 4 3 2 2 4 4" xfId="27107" xr:uid="{00000000-0005-0000-0000-00005E2C0000}"/>
    <cellStyle name="20% - Accent4 4 3 2 2 5" xfId="7301" xr:uid="{00000000-0005-0000-0000-00005F2C0000}"/>
    <cellStyle name="20% - Accent4 4 3 2 2 5 2" xfId="18602" xr:uid="{00000000-0005-0000-0000-0000602C0000}"/>
    <cellStyle name="20% - Accent4 4 3 2 2 5 2 2" xfId="41204" xr:uid="{00000000-0005-0000-0000-0000612C0000}"/>
    <cellStyle name="20% - Accent4 4 3 2 2 5 3" xfId="29903" xr:uid="{00000000-0005-0000-0000-0000622C0000}"/>
    <cellStyle name="20% - Accent4 4 3 2 2 6" xfId="12952" xr:uid="{00000000-0005-0000-0000-0000632C0000}"/>
    <cellStyle name="20% - Accent4 4 3 2 2 6 2" xfId="35554" xr:uid="{00000000-0005-0000-0000-0000642C0000}"/>
    <cellStyle name="20% - Accent4 4 3 2 2 7" xfId="24253" xr:uid="{00000000-0005-0000-0000-0000652C0000}"/>
    <cellStyle name="20% - Accent4 4 3 2 3" xfId="1020" xr:uid="{00000000-0005-0000-0000-0000662C0000}"/>
    <cellStyle name="20% - Accent4 4 3 2 3 2" xfId="3083" xr:uid="{00000000-0005-0000-0000-0000672C0000}"/>
    <cellStyle name="20% - Accent4 4 3 2 3 2 2" xfId="6055" xr:uid="{00000000-0005-0000-0000-0000682C0000}"/>
    <cellStyle name="20% - Accent4 4 3 2 3 2 2 2" xfId="11705" xr:uid="{00000000-0005-0000-0000-0000692C0000}"/>
    <cellStyle name="20% - Accent4 4 3 2 3 2 2 2 2" xfId="23006" xr:uid="{00000000-0005-0000-0000-00006A2C0000}"/>
    <cellStyle name="20% - Accent4 4 3 2 3 2 2 2 2 2" xfId="45608" xr:uid="{00000000-0005-0000-0000-00006B2C0000}"/>
    <cellStyle name="20% - Accent4 4 3 2 3 2 2 2 3" xfId="34307" xr:uid="{00000000-0005-0000-0000-00006C2C0000}"/>
    <cellStyle name="20% - Accent4 4 3 2 3 2 2 3" xfId="17356" xr:uid="{00000000-0005-0000-0000-00006D2C0000}"/>
    <cellStyle name="20% - Accent4 4 3 2 3 2 2 3 2" xfId="39958" xr:uid="{00000000-0005-0000-0000-00006E2C0000}"/>
    <cellStyle name="20% - Accent4 4 3 2 3 2 2 4" xfId="28657" xr:uid="{00000000-0005-0000-0000-00006F2C0000}"/>
    <cellStyle name="20% - Accent4 4 3 2 3 2 3" xfId="8873" xr:uid="{00000000-0005-0000-0000-0000702C0000}"/>
    <cellStyle name="20% - Accent4 4 3 2 3 2 3 2" xfId="20174" xr:uid="{00000000-0005-0000-0000-0000712C0000}"/>
    <cellStyle name="20% - Accent4 4 3 2 3 2 3 2 2" xfId="42776" xr:uid="{00000000-0005-0000-0000-0000722C0000}"/>
    <cellStyle name="20% - Accent4 4 3 2 3 2 3 3" xfId="31475" xr:uid="{00000000-0005-0000-0000-0000732C0000}"/>
    <cellStyle name="20% - Accent4 4 3 2 3 2 4" xfId="14524" xr:uid="{00000000-0005-0000-0000-0000742C0000}"/>
    <cellStyle name="20% - Accent4 4 3 2 3 2 4 2" xfId="37126" xr:uid="{00000000-0005-0000-0000-0000752C0000}"/>
    <cellStyle name="20% - Accent4 4 3 2 3 2 5" xfId="25825" xr:uid="{00000000-0005-0000-0000-0000762C0000}"/>
    <cellStyle name="20% - Accent4 4 3 2 3 3" xfId="4821" xr:uid="{00000000-0005-0000-0000-0000772C0000}"/>
    <cellStyle name="20% - Accent4 4 3 2 3 3 2" xfId="10471" xr:uid="{00000000-0005-0000-0000-0000782C0000}"/>
    <cellStyle name="20% - Accent4 4 3 2 3 3 2 2" xfId="21772" xr:uid="{00000000-0005-0000-0000-0000792C0000}"/>
    <cellStyle name="20% - Accent4 4 3 2 3 3 2 2 2" xfId="44374" xr:uid="{00000000-0005-0000-0000-00007A2C0000}"/>
    <cellStyle name="20% - Accent4 4 3 2 3 3 2 3" xfId="33073" xr:uid="{00000000-0005-0000-0000-00007B2C0000}"/>
    <cellStyle name="20% - Accent4 4 3 2 3 3 3" xfId="16122" xr:uid="{00000000-0005-0000-0000-00007C2C0000}"/>
    <cellStyle name="20% - Accent4 4 3 2 3 3 3 2" xfId="38724" xr:uid="{00000000-0005-0000-0000-00007D2C0000}"/>
    <cellStyle name="20% - Accent4 4 3 2 3 3 4" xfId="27423" xr:uid="{00000000-0005-0000-0000-00007E2C0000}"/>
    <cellStyle name="20% - Accent4 4 3 2 3 4" xfId="7008" xr:uid="{00000000-0005-0000-0000-00007F2C0000}"/>
    <cellStyle name="20% - Accent4 4 3 2 3 4 2" xfId="18309" xr:uid="{00000000-0005-0000-0000-0000802C0000}"/>
    <cellStyle name="20% - Accent4 4 3 2 3 4 2 2" xfId="40911" xr:uid="{00000000-0005-0000-0000-0000812C0000}"/>
    <cellStyle name="20% - Accent4 4 3 2 3 4 3" xfId="29610" xr:uid="{00000000-0005-0000-0000-0000822C0000}"/>
    <cellStyle name="20% - Accent4 4 3 2 3 5" xfId="12659" xr:uid="{00000000-0005-0000-0000-0000832C0000}"/>
    <cellStyle name="20% - Accent4 4 3 2 3 5 2" xfId="35261" xr:uid="{00000000-0005-0000-0000-0000842C0000}"/>
    <cellStyle name="20% - Accent4 4 3 2 3 6" xfId="23960" xr:uid="{00000000-0005-0000-0000-0000852C0000}"/>
    <cellStyle name="20% - Accent4 4 3 2 4" xfId="1637" xr:uid="{00000000-0005-0000-0000-0000862C0000}"/>
    <cellStyle name="20% - Accent4 4 3 2 4 2" xfId="3585" xr:uid="{00000000-0005-0000-0000-0000872C0000}"/>
    <cellStyle name="20% - Accent4 4 3 2 4 2 2" xfId="9297" xr:uid="{00000000-0005-0000-0000-0000882C0000}"/>
    <cellStyle name="20% - Accent4 4 3 2 4 2 2 2" xfId="20598" xr:uid="{00000000-0005-0000-0000-0000892C0000}"/>
    <cellStyle name="20% - Accent4 4 3 2 4 2 2 2 2" xfId="43200" xr:uid="{00000000-0005-0000-0000-00008A2C0000}"/>
    <cellStyle name="20% - Accent4 4 3 2 4 2 2 3" xfId="31899" xr:uid="{00000000-0005-0000-0000-00008B2C0000}"/>
    <cellStyle name="20% - Accent4 4 3 2 4 2 3" xfId="14948" xr:uid="{00000000-0005-0000-0000-00008C2C0000}"/>
    <cellStyle name="20% - Accent4 4 3 2 4 2 3 2" xfId="37550" xr:uid="{00000000-0005-0000-0000-00008D2C0000}"/>
    <cellStyle name="20% - Accent4 4 3 2 4 2 4" xfId="26249" xr:uid="{00000000-0005-0000-0000-00008E2C0000}"/>
    <cellStyle name="20% - Accent4 4 3 2 4 3" xfId="5431" xr:uid="{00000000-0005-0000-0000-00008F2C0000}"/>
    <cellStyle name="20% - Accent4 4 3 2 4 3 2" xfId="11081" xr:uid="{00000000-0005-0000-0000-0000902C0000}"/>
    <cellStyle name="20% - Accent4 4 3 2 4 3 2 2" xfId="22382" xr:uid="{00000000-0005-0000-0000-0000912C0000}"/>
    <cellStyle name="20% - Accent4 4 3 2 4 3 2 2 2" xfId="44984" xr:uid="{00000000-0005-0000-0000-0000922C0000}"/>
    <cellStyle name="20% - Accent4 4 3 2 4 3 2 3" xfId="33683" xr:uid="{00000000-0005-0000-0000-0000932C0000}"/>
    <cellStyle name="20% - Accent4 4 3 2 4 3 3" xfId="16732" xr:uid="{00000000-0005-0000-0000-0000942C0000}"/>
    <cellStyle name="20% - Accent4 4 3 2 4 3 3 2" xfId="39334" xr:uid="{00000000-0005-0000-0000-0000952C0000}"/>
    <cellStyle name="20% - Accent4 4 3 2 4 3 4" xfId="28033" xr:uid="{00000000-0005-0000-0000-0000962C0000}"/>
    <cellStyle name="20% - Accent4 4 3 2 4 4" xfId="7493" xr:uid="{00000000-0005-0000-0000-0000972C0000}"/>
    <cellStyle name="20% - Accent4 4 3 2 4 4 2" xfId="18794" xr:uid="{00000000-0005-0000-0000-0000982C0000}"/>
    <cellStyle name="20% - Accent4 4 3 2 4 4 2 2" xfId="41396" xr:uid="{00000000-0005-0000-0000-0000992C0000}"/>
    <cellStyle name="20% - Accent4 4 3 2 4 4 3" xfId="30095" xr:uid="{00000000-0005-0000-0000-00009A2C0000}"/>
    <cellStyle name="20% - Accent4 4 3 2 4 5" xfId="13144" xr:uid="{00000000-0005-0000-0000-00009B2C0000}"/>
    <cellStyle name="20% - Accent4 4 3 2 4 5 2" xfId="35746" xr:uid="{00000000-0005-0000-0000-00009C2C0000}"/>
    <cellStyle name="20% - Accent4 4 3 2 4 6" xfId="24445" xr:uid="{00000000-0005-0000-0000-00009D2C0000}"/>
    <cellStyle name="20% - Accent4 4 3 2 5" xfId="2412" xr:uid="{00000000-0005-0000-0000-00009E2C0000}"/>
    <cellStyle name="20% - Accent4 4 3 2 5 2" xfId="8248" xr:uid="{00000000-0005-0000-0000-00009F2C0000}"/>
    <cellStyle name="20% - Accent4 4 3 2 5 2 2" xfId="19549" xr:uid="{00000000-0005-0000-0000-0000A02C0000}"/>
    <cellStyle name="20% - Accent4 4 3 2 5 2 2 2" xfId="42151" xr:uid="{00000000-0005-0000-0000-0000A12C0000}"/>
    <cellStyle name="20% - Accent4 4 3 2 5 2 3" xfId="30850" xr:uid="{00000000-0005-0000-0000-0000A22C0000}"/>
    <cellStyle name="20% - Accent4 4 3 2 5 3" xfId="13899" xr:uid="{00000000-0005-0000-0000-0000A32C0000}"/>
    <cellStyle name="20% - Accent4 4 3 2 5 3 2" xfId="36501" xr:uid="{00000000-0005-0000-0000-0000A42C0000}"/>
    <cellStyle name="20% - Accent4 4 3 2 5 4" xfId="25200" xr:uid="{00000000-0005-0000-0000-0000A52C0000}"/>
    <cellStyle name="20% - Accent4 4 3 2 6" xfId="4197" xr:uid="{00000000-0005-0000-0000-0000A62C0000}"/>
    <cellStyle name="20% - Accent4 4 3 2 6 2" xfId="9847" xr:uid="{00000000-0005-0000-0000-0000A72C0000}"/>
    <cellStyle name="20% - Accent4 4 3 2 6 2 2" xfId="21148" xr:uid="{00000000-0005-0000-0000-0000A82C0000}"/>
    <cellStyle name="20% - Accent4 4 3 2 6 2 2 2" xfId="43750" xr:uid="{00000000-0005-0000-0000-0000A92C0000}"/>
    <cellStyle name="20% - Accent4 4 3 2 6 2 3" xfId="32449" xr:uid="{00000000-0005-0000-0000-0000AA2C0000}"/>
    <cellStyle name="20% - Accent4 4 3 2 6 3" xfId="15498" xr:uid="{00000000-0005-0000-0000-0000AB2C0000}"/>
    <cellStyle name="20% - Accent4 4 3 2 6 3 2" xfId="38100" xr:uid="{00000000-0005-0000-0000-0000AC2C0000}"/>
    <cellStyle name="20% - Accent4 4 3 2 6 4" xfId="26799" xr:uid="{00000000-0005-0000-0000-0000AD2C0000}"/>
    <cellStyle name="20% - Accent4 4 3 2 7" xfId="6677" xr:uid="{00000000-0005-0000-0000-0000AE2C0000}"/>
    <cellStyle name="20% - Accent4 4 3 2 7 2" xfId="17978" xr:uid="{00000000-0005-0000-0000-0000AF2C0000}"/>
    <cellStyle name="20% - Accent4 4 3 2 7 2 2" xfId="40580" xr:uid="{00000000-0005-0000-0000-0000B02C0000}"/>
    <cellStyle name="20% - Accent4 4 3 2 7 3" xfId="29279" xr:uid="{00000000-0005-0000-0000-0000B12C0000}"/>
    <cellStyle name="20% - Accent4 4 3 2 8" xfId="12328" xr:uid="{00000000-0005-0000-0000-0000B22C0000}"/>
    <cellStyle name="20% - Accent4 4 3 2 8 2" xfId="34930" xr:uid="{00000000-0005-0000-0000-0000B32C0000}"/>
    <cellStyle name="20% - Accent4 4 3 2 9" xfId="23629" xr:uid="{00000000-0005-0000-0000-0000B42C0000}"/>
    <cellStyle name="20% - Accent4 4 3 3" xfId="1184" xr:uid="{00000000-0005-0000-0000-0000B52C0000}"/>
    <cellStyle name="20% - Accent4 4 3 3 2" xfId="1639" xr:uid="{00000000-0005-0000-0000-0000B62C0000}"/>
    <cellStyle name="20% - Accent4 4 3 3 2 2" xfId="3252" xr:uid="{00000000-0005-0000-0000-0000B72C0000}"/>
    <cellStyle name="20% - Accent4 4 3 3 2 2 2" xfId="6224" xr:uid="{00000000-0005-0000-0000-0000B82C0000}"/>
    <cellStyle name="20% - Accent4 4 3 3 2 2 2 2" xfId="11874" xr:uid="{00000000-0005-0000-0000-0000B92C0000}"/>
    <cellStyle name="20% - Accent4 4 3 3 2 2 2 2 2" xfId="23175" xr:uid="{00000000-0005-0000-0000-0000BA2C0000}"/>
    <cellStyle name="20% - Accent4 4 3 3 2 2 2 2 2 2" xfId="45777" xr:uid="{00000000-0005-0000-0000-0000BB2C0000}"/>
    <cellStyle name="20% - Accent4 4 3 3 2 2 2 2 3" xfId="34476" xr:uid="{00000000-0005-0000-0000-0000BC2C0000}"/>
    <cellStyle name="20% - Accent4 4 3 3 2 2 2 3" xfId="17525" xr:uid="{00000000-0005-0000-0000-0000BD2C0000}"/>
    <cellStyle name="20% - Accent4 4 3 3 2 2 2 3 2" xfId="40127" xr:uid="{00000000-0005-0000-0000-0000BE2C0000}"/>
    <cellStyle name="20% - Accent4 4 3 3 2 2 2 4" xfId="28826" xr:uid="{00000000-0005-0000-0000-0000BF2C0000}"/>
    <cellStyle name="20% - Accent4 4 3 3 2 2 3" xfId="9042" xr:uid="{00000000-0005-0000-0000-0000C02C0000}"/>
    <cellStyle name="20% - Accent4 4 3 3 2 2 3 2" xfId="20343" xr:uid="{00000000-0005-0000-0000-0000C12C0000}"/>
    <cellStyle name="20% - Accent4 4 3 3 2 2 3 2 2" xfId="42945" xr:uid="{00000000-0005-0000-0000-0000C22C0000}"/>
    <cellStyle name="20% - Accent4 4 3 3 2 2 3 3" xfId="31644" xr:uid="{00000000-0005-0000-0000-0000C32C0000}"/>
    <cellStyle name="20% - Accent4 4 3 3 2 2 4" xfId="14693" xr:uid="{00000000-0005-0000-0000-0000C42C0000}"/>
    <cellStyle name="20% - Accent4 4 3 3 2 2 4 2" xfId="37295" xr:uid="{00000000-0005-0000-0000-0000C52C0000}"/>
    <cellStyle name="20% - Accent4 4 3 3 2 2 5" xfId="25994" xr:uid="{00000000-0005-0000-0000-0000C62C0000}"/>
    <cellStyle name="20% - Accent4 4 3 3 2 3" xfId="4990" xr:uid="{00000000-0005-0000-0000-0000C72C0000}"/>
    <cellStyle name="20% - Accent4 4 3 3 2 3 2" xfId="10640" xr:uid="{00000000-0005-0000-0000-0000C82C0000}"/>
    <cellStyle name="20% - Accent4 4 3 3 2 3 2 2" xfId="21941" xr:uid="{00000000-0005-0000-0000-0000C92C0000}"/>
    <cellStyle name="20% - Accent4 4 3 3 2 3 2 2 2" xfId="44543" xr:uid="{00000000-0005-0000-0000-0000CA2C0000}"/>
    <cellStyle name="20% - Accent4 4 3 3 2 3 2 3" xfId="33242" xr:uid="{00000000-0005-0000-0000-0000CB2C0000}"/>
    <cellStyle name="20% - Accent4 4 3 3 2 3 3" xfId="16291" xr:uid="{00000000-0005-0000-0000-0000CC2C0000}"/>
    <cellStyle name="20% - Accent4 4 3 3 2 3 3 2" xfId="38893" xr:uid="{00000000-0005-0000-0000-0000CD2C0000}"/>
    <cellStyle name="20% - Accent4 4 3 3 2 3 4" xfId="27592" xr:uid="{00000000-0005-0000-0000-0000CE2C0000}"/>
    <cellStyle name="20% - Accent4 4 3 3 2 4" xfId="7495" xr:uid="{00000000-0005-0000-0000-0000CF2C0000}"/>
    <cellStyle name="20% - Accent4 4 3 3 2 4 2" xfId="18796" xr:uid="{00000000-0005-0000-0000-0000D02C0000}"/>
    <cellStyle name="20% - Accent4 4 3 3 2 4 2 2" xfId="41398" xr:uid="{00000000-0005-0000-0000-0000D12C0000}"/>
    <cellStyle name="20% - Accent4 4 3 3 2 4 3" xfId="30097" xr:uid="{00000000-0005-0000-0000-0000D22C0000}"/>
    <cellStyle name="20% - Accent4 4 3 3 2 5" xfId="13146" xr:uid="{00000000-0005-0000-0000-0000D32C0000}"/>
    <cellStyle name="20% - Accent4 4 3 3 2 5 2" xfId="35748" xr:uid="{00000000-0005-0000-0000-0000D42C0000}"/>
    <cellStyle name="20% - Accent4 4 3 3 2 6" xfId="24447" xr:uid="{00000000-0005-0000-0000-0000D52C0000}"/>
    <cellStyle name="20% - Accent4 4 3 3 3" xfId="2581" xr:uid="{00000000-0005-0000-0000-0000D62C0000}"/>
    <cellStyle name="20% - Accent4 4 3 3 3 2" xfId="5600" xr:uid="{00000000-0005-0000-0000-0000D72C0000}"/>
    <cellStyle name="20% - Accent4 4 3 3 3 2 2" xfId="11250" xr:uid="{00000000-0005-0000-0000-0000D82C0000}"/>
    <cellStyle name="20% - Accent4 4 3 3 3 2 2 2" xfId="22551" xr:uid="{00000000-0005-0000-0000-0000D92C0000}"/>
    <cellStyle name="20% - Accent4 4 3 3 3 2 2 2 2" xfId="45153" xr:uid="{00000000-0005-0000-0000-0000DA2C0000}"/>
    <cellStyle name="20% - Accent4 4 3 3 3 2 2 3" xfId="33852" xr:uid="{00000000-0005-0000-0000-0000DB2C0000}"/>
    <cellStyle name="20% - Accent4 4 3 3 3 2 3" xfId="16901" xr:uid="{00000000-0005-0000-0000-0000DC2C0000}"/>
    <cellStyle name="20% - Accent4 4 3 3 3 2 3 2" xfId="39503" xr:uid="{00000000-0005-0000-0000-0000DD2C0000}"/>
    <cellStyle name="20% - Accent4 4 3 3 3 2 4" xfId="28202" xr:uid="{00000000-0005-0000-0000-0000DE2C0000}"/>
    <cellStyle name="20% - Accent4 4 3 3 3 3" xfId="8417" xr:uid="{00000000-0005-0000-0000-0000DF2C0000}"/>
    <cellStyle name="20% - Accent4 4 3 3 3 3 2" xfId="19718" xr:uid="{00000000-0005-0000-0000-0000E02C0000}"/>
    <cellStyle name="20% - Accent4 4 3 3 3 3 2 2" xfId="42320" xr:uid="{00000000-0005-0000-0000-0000E12C0000}"/>
    <cellStyle name="20% - Accent4 4 3 3 3 3 3" xfId="31019" xr:uid="{00000000-0005-0000-0000-0000E22C0000}"/>
    <cellStyle name="20% - Accent4 4 3 3 3 4" xfId="14068" xr:uid="{00000000-0005-0000-0000-0000E32C0000}"/>
    <cellStyle name="20% - Accent4 4 3 3 3 4 2" xfId="36670" xr:uid="{00000000-0005-0000-0000-0000E42C0000}"/>
    <cellStyle name="20% - Accent4 4 3 3 3 5" xfId="25369" xr:uid="{00000000-0005-0000-0000-0000E52C0000}"/>
    <cellStyle name="20% - Accent4 4 3 3 4" xfId="4366" xr:uid="{00000000-0005-0000-0000-0000E62C0000}"/>
    <cellStyle name="20% - Accent4 4 3 3 4 2" xfId="10016" xr:uid="{00000000-0005-0000-0000-0000E72C0000}"/>
    <cellStyle name="20% - Accent4 4 3 3 4 2 2" xfId="21317" xr:uid="{00000000-0005-0000-0000-0000E82C0000}"/>
    <cellStyle name="20% - Accent4 4 3 3 4 2 2 2" xfId="43919" xr:uid="{00000000-0005-0000-0000-0000E92C0000}"/>
    <cellStyle name="20% - Accent4 4 3 3 4 2 3" xfId="32618" xr:uid="{00000000-0005-0000-0000-0000EA2C0000}"/>
    <cellStyle name="20% - Accent4 4 3 3 4 3" xfId="15667" xr:uid="{00000000-0005-0000-0000-0000EB2C0000}"/>
    <cellStyle name="20% - Accent4 4 3 3 4 3 2" xfId="38269" xr:uid="{00000000-0005-0000-0000-0000EC2C0000}"/>
    <cellStyle name="20% - Accent4 4 3 3 4 4" xfId="26968" xr:uid="{00000000-0005-0000-0000-0000ED2C0000}"/>
    <cellStyle name="20% - Accent4 4 3 3 5" xfId="7163" xr:uid="{00000000-0005-0000-0000-0000EE2C0000}"/>
    <cellStyle name="20% - Accent4 4 3 3 5 2" xfId="18464" xr:uid="{00000000-0005-0000-0000-0000EF2C0000}"/>
    <cellStyle name="20% - Accent4 4 3 3 5 2 2" xfId="41066" xr:uid="{00000000-0005-0000-0000-0000F02C0000}"/>
    <cellStyle name="20% - Accent4 4 3 3 5 3" xfId="29765" xr:uid="{00000000-0005-0000-0000-0000F12C0000}"/>
    <cellStyle name="20% - Accent4 4 3 3 6" xfId="12814" xr:uid="{00000000-0005-0000-0000-0000F22C0000}"/>
    <cellStyle name="20% - Accent4 4 3 3 6 2" xfId="35416" xr:uid="{00000000-0005-0000-0000-0000F32C0000}"/>
    <cellStyle name="20% - Accent4 4 3 3 7" xfId="24115" xr:uid="{00000000-0005-0000-0000-0000F42C0000}"/>
    <cellStyle name="20% - Accent4 4 3 4" xfId="875" xr:uid="{00000000-0005-0000-0000-0000F52C0000}"/>
    <cellStyle name="20% - Accent4 4 3 4 2" xfId="2945" xr:uid="{00000000-0005-0000-0000-0000F62C0000}"/>
    <cellStyle name="20% - Accent4 4 3 4 2 2" xfId="5917" xr:uid="{00000000-0005-0000-0000-0000F72C0000}"/>
    <cellStyle name="20% - Accent4 4 3 4 2 2 2" xfId="11567" xr:uid="{00000000-0005-0000-0000-0000F82C0000}"/>
    <cellStyle name="20% - Accent4 4 3 4 2 2 2 2" xfId="22868" xr:uid="{00000000-0005-0000-0000-0000F92C0000}"/>
    <cellStyle name="20% - Accent4 4 3 4 2 2 2 2 2" xfId="45470" xr:uid="{00000000-0005-0000-0000-0000FA2C0000}"/>
    <cellStyle name="20% - Accent4 4 3 4 2 2 2 3" xfId="34169" xr:uid="{00000000-0005-0000-0000-0000FB2C0000}"/>
    <cellStyle name="20% - Accent4 4 3 4 2 2 3" xfId="17218" xr:uid="{00000000-0005-0000-0000-0000FC2C0000}"/>
    <cellStyle name="20% - Accent4 4 3 4 2 2 3 2" xfId="39820" xr:uid="{00000000-0005-0000-0000-0000FD2C0000}"/>
    <cellStyle name="20% - Accent4 4 3 4 2 2 4" xfId="28519" xr:uid="{00000000-0005-0000-0000-0000FE2C0000}"/>
    <cellStyle name="20% - Accent4 4 3 4 2 3" xfId="8735" xr:uid="{00000000-0005-0000-0000-0000FF2C0000}"/>
    <cellStyle name="20% - Accent4 4 3 4 2 3 2" xfId="20036" xr:uid="{00000000-0005-0000-0000-0000002D0000}"/>
    <cellStyle name="20% - Accent4 4 3 4 2 3 2 2" xfId="42638" xr:uid="{00000000-0005-0000-0000-0000012D0000}"/>
    <cellStyle name="20% - Accent4 4 3 4 2 3 3" xfId="31337" xr:uid="{00000000-0005-0000-0000-0000022D0000}"/>
    <cellStyle name="20% - Accent4 4 3 4 2 4" xfId="14386" xr:uid="{00000000-0005-0000-0000-0000032D0000}"/>
    <cellStyle name="20% - Accent4 4 3 4 2 4 2" xfId="36988" xr:uid="{00000000-0005-0000-0000-0000042D0000}"/>
    <cellStyle name="20% - Accent4 4 3 4 2 5" xfId="25687" xr:uid="{00000000-0005-0000-0000-0000052D0000}"/>
    <cellStyle name="20% - Accent4 4 3 4 3" xfId="4683" xr:uid="{00000000-0005-0000-0000-0000062D0000}"/>
    <cellStyle name="20% - Accent4 4 3 4 3 2" xfId="10333" xr:uid="{00000000-0005-0000-0000-0000072D0000}"/>
    <cellStyle name="20% - Accent4 4 3 4 3 2 2" xfId="21634" xr:uid="{00000000-0005-0000-0000-0000082D0000}"/>
    <cellStyle name="20% - Accent4 4 3 4 3 2 2 2" xfId="44236" xr:uid="{00000000-0005-0000-0000-0000092D0000}"/>
    <cellStyle name="20% - Accent4 4 3 4 3 2 3" xfId="32935" xr:uid="{00000000-0005-0000-0000-00000A2D0000}"/>
    <cellStyle name="20% - Accent4 4 3 4 3 3" xfId="15984" xr:uid="{00000000-0005-0000-0000-00000B2D0000}"/>
    <cellStyle name="20% - Accent4 4 3 4 3 3 2" xfId="38586" xr:uid="{00000000-0005-0000-0000-00000C2D0000}"/>
    <cellStyle name="20% - Accent4 4 3 4 3 4" xfId="27285" xr:uid="{00000000-0005-0000-0000-00000D2D0000}"/>
    <cellStyle name="20% - Accent4 4 3 4 4" xfId="6870" xr:uid="{00000000-0005-0000-0000-00000E2D0000}"/>
    <cellStyle name="20% - Accent4 4 3 4 4 2" xfId="18171" xr:uid="{00000000-0005-0000-0000-00000F2D0000}"/>
    <cellStyle name="20% - Accent4 4 3 4 4 2 2" xfId="40773" xr:uid="{00000000-0005-0000-0000-0000102D0000}"/>
    <cellStyle name="20% - Accent4 4 3 4 4 3" xfId="29472" xr:uid="{00000000-0005-0000-0000-0000112D0000}"/>
    <cellStyle name="20% - Accent4 4 3 4 5" xfId="12521" xr:uid="{00000000-0005-0000-0000-0000122D0000}"/>
    <cellStyle name="20% - Accent4 4 3 4 5 2" xfId="35123" xr:uid="{00000000-0005-0000-0000-0000132D0000}"/>
    <cellStyle name="20% - Accent4 4 3 4 6" xfId="23822" xr:uid="{00000000-0005-0000-0000-0000142D0000}"/>
    <cellStyle name="20% - Accent4 4 3 5" xfId="1636" xr:uid="{00000000-0005-0000-0000-0000152D0000}"/>
    <cellStyle name="20% - Accent4 4 3 5 2" xfId="3584" xr:uid="{00000000-0005-0000-0000-0000162D0000}"/>
    <cellStyle name="20% - Accent4 4 3 5 2 2" xfId="9296" xr:uid="{00000000-0005-0000-0000-0000172D0000}"/>
    <cellStyle name="20% - Accent4 4 3 5 2 2 2" xfId="20597" xr:uid="{00000000-0005-0000-0000-0000182D0000}"/>
    <cellStyle name="20% - Accent4 4 3 5 2 2 2 2" xfId="43199" xr:uid="{00000000-0005-0000-0000-0000192D0000}"/>
    <cellStyle name="20% - Accent4 4 3 5 2 2 3" xfId="31898" xr:uid="{00000000-0005-0000-0000-00001A2D0000}"/>
    <cellStyle name="20% - Accent4 4 3 5 2 3" xfId="14947" xr:uid="{00000000-0005-0000-0000-00001B2D0000}"/>
    <cellStyle name="20% - Accent4 4 3 5 2 3 2" xfId="37549" xr:uid="{00000000-0005-0000-0000-00001C2D0000}"/>
    <cellStyle name="20% - Accent4 4 3 5 2 4" xfId="26248" xr:uid="{00000000-0005-0000-0000-00001D2D0000}"/>
    <cellStyle name="20% - Accent4 4 3 5 3" xfId="5293" xr:uid="{00000000-0005-0000-0000-00001E2D0000}"/>
    <cellStyle name="20% - Accent4 4 3 5 3 2" xfId="10943" xr:uid="{00000000-0005-0000-0000-00001F2D0000}"/>
    <cellStyle name="20% - Accent4 4 3 5 3 2 2" xfId="22244" xr:uid="{00000000-0005-0000-0000-0000202D0000}"/>
    <cellStyle name="20% - Accent4 4 3 5 3 2 2 2" xfId="44846" xr:uid="{00000000-0005-0000-0000-0000212D0000}"/>
    <cellStyle name="20% - Accent4 4 3 5 3 2 3" xfId="33545" xr:uid="{00000000-0005-0000-0000-0000222D0000}"/>
    <cellStyle name="20% - Accent4 4 3 5 3 3" xfId="16594" xr:uid="{00000000-0005-0000-0000-0000232D0000}"/>
    <cellStyle name="20% - Accent4 4 3 5 3 3 2" xfId="39196" xr:uid="{00000000-0005-0000-0000-0000242D0000}"/>
    <cellStyle name="20% - Accent4 4 3 5 3 4" xfId="27895" xr:uid="{00000000-0005-0000-0000-0000252D0000}"/>
    <cellStyle name="20% - Accent4 4 3 5 4" xfId="7492" xr:uid="{00000000-0005-0000-0000-0000262D0000}"/>
    <cellStyle name="20% - Accent4 4 3 5 4 2" xfId="18793" xr:uid="{00000000-0005-0000-0000-0000272D0000}"/>
    <cellStyle name="20% - Accent4 4 3 5 4 2 2" xfId="41395" xr:uid="{00000000-0005-0000-0000-0000282D0000}"/>
    <cellStyle name="20% - Accent4 4 3 5 4 3" xfId="30094" xr:uid="{00000000-0005-0000-0000-0000292D0000}"/>
    <cellStyle name="20% - Accent4 4 3 5 5" xfId="13143" xr:uid="{00000000-0005-0000-0000-00002A2D0000}"/>
    <cellStyle name="20% - Accent4 4 3 5 5 2" xfId="35745" xr:uid="{00000000-0005-0000-0000-00002B2D0000}"/>
    <cellStyle name="20% - Accent4 4 3 5 6" xfId="24444" xr:uid="{00000000-0005-0000-0000-00002C2D0000}"/>
    <cellStyle name="20% - Accent4 4 3 6" xfId="2272" xr:uid="{00000000-0005-0000-0000-00002D2D0000}"/>
    <cellStyle name="20% - Accent4 4 3 6 2" xfId="8108" xr:uid="{00000000-0005-0000-0000-00002E2D0000}"/>
    <cellStyle name="20% - Accent4 4 3 6 2 2" xfId="19409" xr:uid="{00000000-0005-0000-0000-00002F2D0000}"/>
    <cellStyle name="20% - Accent4 4 3 6 2 2 2" xfId="42011" xr:uid="{00000000-0005-0000-0000-0000302D0000}"/>
    <cellStyle name="20% - Accent4 4 3 6 2 3" xfId="30710" xr:uid="{00000000-0005-0000-0000-0000312D0000}"/>
    <cellStyle name="20% - Accent4 4 3 6 3" xfId="13759" xr:uid="{00000000-0005-0000-0000-0000322D0000}"/>
    <cellStyle name="20% - Accent4 4 3 6 3 2" xfId="36361" xr:uid="{00000000-0005-0000-0000-0000332D0000}"/>
    <cellStyle name="20% - Accent4 4 3 6 4" xfId="25060" xr:uid="{00000000-0005-0000-0000-0000342D0000}"/>
    <cellStyle name="20% - Accent4 4 3 7" xfId="4059" xr:uid="{00000000-0005-0000-0000-0000352D0000}"/>
    <cellStyle name="20% - Accent4 4 3 7 2" xfId="9709" xr:uid="{00000000-0005-0000-0000-0000362D0000}"/>
    <cellStyle name="20% - Accent4 4 3 7 2 2" xfId="21010" xr:uid="{00000000-0005-0000-0000-0000372D0000}"/>
    <cellStyle name="20% - Accent4 4 3 7 2 2 2" xfId="43612" xr:uid="{00000000-0005-0000-0000-0000382D0000}"/>
    <cellStyle name="20% - Accent4 4 3 7 2 3" xfId="32311" xr:uid="{00000000-0005-0000-0000-0000392D0000}"/>
    <cellStyle name="20% - Accent4 4 3 7 3" xfId="15360" xr:uid="{00000000-0005-0000-0000-00003A2D0000}"/>
    <cellStyle name="20% - Accent4 4 3 7 3 2" xfId="37962" xr:uid="{00000000-0005-0000-0000-00003B2D0000}"/>
    <cellStyle name="20% - Accent4 4 3 7 4" xfId="26661" xr:uid="{00000000-0005-0000-0000-00003C2D0000}"/>
    <cellStyle name="20% - Accent4 4 3 8" xfId="6510" xr:uid="{00000000-0005-0000-0000-00003D2D0000}"/>
    <cellStyle name="20% - Accent4 4 3 8 2" xfId="17811" xr:uid="{00000000-0005-0000-0000-00003E2D0000}"/>
    <cellStyle name="20% - Accent4 4 3 8 2 2" xfId="40413" xr:uid="{00000000-0005-0000-0000-00003F2D0000}"/>
    <cellStyle name="20% - Accent4 4 3 8 3" xfId="29112" xr:uid="{00000000-0005-0000-0000-0000402D0000}"/>
    <cellStyle name="20% - Accent4 4 3 9" xfId="12161" xr:uid="{00000000-0005-0000-0000-0000412D0000}"/>
    <cellStyle name="20% - Accent4 4 3 9 2" xfId="34763" xr:uid="{00000000-0005-0000-0000-0000422D0000}"/>
    <cellStyle name="20% - Accent4 4 4" xfId="514" xr:uid="{00000000-0005-0000-0000-0000432D0000}"/>
    <cellStyle name="20% - Accent4 4 4 2" xfId="1088" xr:uid="{00000000-0005-0000-0000-0000442D0000}"/>
    <cellStyle name="20% - Accent4 4 4 2 2" xfId="1641" xr:uid="{00000000-0005-0000-0000-0000452D0000}"/>
    <cellStyle name="20% - Accent4 4 4 2 2 2" xfId="3156" xr:uid="{00000000-0005-0000-0000-0000462D0000}"/>
    <cellStyle name="20% - Accent4 4 4 2 2 2 2" xfId="6128" xr:uid="{00000000-0005-0000-0000-0000472D0000}"/>
    <cellStyle name="20% - Accent4 4 4 2 2 2 2 2" xfId="11778" xr:uid="{00000000-0005-0000-0000-0000482D0000}"/>
    <cellStyle name="20% - Accent4 4 4 2 2 2 2 2 2" xfId="23079" xr:uid="{00000000-0005-0000-0000-0000492D0000}"/>
    <cellStyle name="20% - Accent4 4 4 2 2 2 2 2 2 2" xfId="45681" xr:uid="{00000000-0005-0000-0000-00004A2D0000}"/>
    <cellStyle name="20% - Accent4 4 4 2 2 2 2 2 3" xfId="34380" xr:uid="{00000000-0005-0000-0000-00004B2D0000}"/>
    <cellStyle name="20% - Accent4 4 4 2 2 2 2 3" xfId="17429" xr:uid="{00000000-0005-0000-0000-00004C2D0000}"/>
    <cellStyle name="20% - Accent4 4 4 2 2 2 2 3 2" xfId="40031" xr:uid="{00000000-0005-0000-0000-00004D2D0000}"/>
    <cellStyle name="20% - Accent4 4 4 2 2 2 2 4" xfId="28730" xr:uid="{00000000-0005-0000-0000-00004E2D0000}"/>
    <cellStyle name="20% - Accent4 4 4 2 2 2 3" xfId="8946" xr:uid="{00000000-0005-0000-0000-00004F2D0000}"/>
    <cellStyle name="20% - Accent4 4 4 2 2 2 3 2" xfId="20247" xr:uid="{00000000-0005-0000-0000-0000502D0000}"/>
    <cellStyle name="20% - Accent4 4 4 2 2 2 3 2 2" xfId="42849" xr:uid="{00000000-0005-0000-0000-0000512D0000}"/>
    <cellStyle name="20% - Accent4 4 4 2 2 2 3 3" xfId="31548" xr:uid="{00000000-0005-0000-0000-0000522D0000}"/>
    <cellStyle name="20% - Accent4 4 4 2 2 2 4" xfId="14597" xr:uid="{00000000-0005-0000-0000-0000532D0000}"/>
    <cellStyle name="20% - Accent4 4 4 2 2 2 4 2" xfId="37199" xr:uid="{00000000-0005-0000-0000-0000542D0000}"/>
    <cellStyle name="20% - Accent4 4 4 2 2 2 5" xfId="25898" xr:uid="{00000000-0005-0000-0000-0000552D0000}"/>
    <cellStyle name="20% - Accent4 4 4 2 2 3" xfId="4894" xr:uid="{00000000-0005-0000-0000-0000562D0000}"/>
    <cellStyle name="20% - Accent4 4 4 2 2 3 2" xfId="10544" xr:uid="{00000000-0005-0000-0000-0000572D0000}"/>
    <cellStyle name="20% - Accent4 4 4 2 2 3 2 2" xfId="21845" xr:uid="{00000000-0005-0000-0000-0000582D0000}"/>
    <cellStyle name="20% - Accent4 4 4 2 2 3 2 2 2" xfId="44447" xr:uid="{00000000-0005-0000-0000-0000592D0000}"/>
    <cellStyle name="20% - Accent4 4 4 2 2 3 2 3" xfId="33146" xr:uid="{00000000-0005-0000-0000-00005A2D0000}"/>
    <cellStyle name="20% - Accent4 4 4 2 2 3 3" xfId="16195" xr:uid="{00000000-0005-0000-0000-00005B2D0000}"/>
    <cellStyle name="20% - Accent4 4 4 2 2 3 3 2" xfId="38797" xr:uid="{00000000-0005-0000-0000-00005C2D0000}"/>
    <cellStyle name="20% - Accent4 4 4 2 2 3 4" xfId="27496" xr:uid="{00000000-0005-0000-0000-00005D2D0000}"/>
    <cellStyle name="20% - Accent4 4 4 2 2 4" xfId="7497" xr:uid="{00000000-0005-0000-0000-00005E2D0000}"/>
    <cellStyle name="20% - Accent4 4 4 2 2 4 2" xfId="18798" xr:uid="{00000000-0005-0000-0000-00005F2D0000}"/>
    <cellStyle name="20% - Accent4 4 4 2 2 4 2 2" xfId="41400" xr:uid="{00000000-0005-0000-0000-0000602D0000}"/>
    <cellStyle name="20% - Accent4 4 4 2 2 4 3" xfId="30099" xr:uid="{00000000-0005-0000-0000-0000612D0000}"/>
    <cellStyle name="20% - Accent4 4 4 2 2 5" xfId="13148" xr:uid="{00000000-0005-0000-0000-0000622D0000}"/>
    <cellStyle name="20% - Accent4 4 4 2 2 5 2" xfId="35750" xr:uid="{00000000-0005-0000-0000-0000632D0000}"/>
    <cellStyle name="20% - Accent4 4 4 2 2 6" xfId="24449" xr:uid="{00000000-0005-0000-0000-0000642D0000}"/>
    <cellStyle name="20% - Accent4 4 4 2 3" xfId="2485" xr:uid="{00000000-0005-0000-0000-0000652D0000}"/>
    <cellStyle name="20% - Accent4 4 4 2 3 2" xfId="5504" xr:uid="{00000000-0005-0000-0000-0000662D0000}"/>
    <cellStyle name="20% - Accent4 4 4 2 3 2 2" xfId="11154" xr:uid="{00000000-0005-0000-0000-0000672D0000}"/>
    <cellStyle name="20% - Accent4 4 4 2 3 2 2 2" xfId="22455" xr:uid="{00000000-0005-0000-0000-0000682D0000}"/>
    <cellStyle name="20% - Accent4 4 4 2 3 2 2 2 2" xfId="45057" xr:uid="{00000000-0005-0000-0000-0000692D0000}"/>
    <cellStyle name="20% - Accent4 4 4 2 3 2 2 3" xfId="33756" xr:uid="{00000000-0005-0000-0000-00006A2D0000}"/>
    <cellStyle name="20% - Accent4 4 4 2 3 2 3" xfId="16805" xr:uid="{00000000-0005-0000-0000-00006B2D0000}"/>
    <cellStyle name="20% - Accent4 4 4 2 3 2 3 2" xfId="39407" xr:uid="{00000000-0005-0000-0000-00006C2D0000}"/>
    <cellStyle name="20% - Accent4 4 4 2 3 2 4" xfId="28106" xr:uid="{00000000-0005-0000-0000-00006D2D0000}"/>
    <cellStyle name="20% - Accent4 4 4 2 3 3" xfId="8321" xr:uid="{00000000-0005-0000-0000-00006E2D0000}"/>
    <cellStyle name="20% - Accent4 4 4 2 3 3 2" xfId="19622" xr:uid="{00000000-0005-0000-0000-00006F2D0000}"/>
    <cellStyle name="20% - Accent4 4 4 2 3 3 2 2" xfId="42224" xr:uid="{00000000-0005-0000-0000-0000702D0000}"/>
    <cellStyle name="20% - Accent4 4 4 2 3 3 3" xfId="30923" xr:uid="{00000000-0005-0000-0000-0000712D0000}"/>
    <cellStyle name="20% - Accent4 4 4 2 3 4" xfId="13972" xr:uid="{00000000-0005-0000-0000-0000722D0000}"/>
    <cellStyle name="20% - Accent4 4 4 2 3 4 2" xfId="36574" xr:uid="{00000000-0005-0000-0000-0000732D0000}"/>
    <cellStyle name="20% - Accent4 4 4 2 3 5" xfId="25273" xr:uid="{00000000-0005-0000-0000-0000742D0000}"/>
    <cellStyle name="20% - Accent4 4 4 2 4" xfId="4270" xr:uid="{00000000-0005-0000-0000-0000752D0000}"/>
    <cellStyle name="20% - Accent4 4 4 2 4 2" xfId="9920" xr:uid="{00000000-0005-0000-0000-0000762D0000}"/>
    <cellStyle name="20% - Accent4 4 4 2 4 2 2" xfId="21221" xr:uid="{00000000-0005-0000-0000-0000772D0000}"/>
    <cellStyle name="20% - Accent4 4 4 2 4 2 2 2" xfId="43823" xr:uid="{00000000-0005-0000-0000-0000782D0000}"/>
    <cellStyle name="20% - Accent4 4 4 2 4 2 3" xfId="32522" xr:uid="{00000000-0005-0000-0000-0000792D0000}"/>
    <cellStyle name="20% - Accent4 4 4 2 4 3" xfId="15571" xr:uid="{00000000-0005-0000-0000-00007A2D0000}"/>
    <cellStyle name="20% - Accent4 4 4 2 4 3 2" xfId="38173" xr:uid="{00000000-0005-0000-0000-00007B2D0000}"/>
    <cellStyle name="20% - Accent4 4 4 2 4 4" xfId="26872" xr:uid="{00000000-0005-0000-0000-00007C2D0000}"/>
    <cellStyle name="20% - Accent4 4 4 2 5" xfId="7067" xr:uid="{00000000-0005-0000-0000-00007D2D0000}"/>
    <cellStyle name="20% - Accent4 4 4 2 5 2" xfId="18368" xr:uid="{00000000-0005-0000-0000-00007E2D0000}"/>
    <cellStyle name="20% - Accent4 4 4 2 5 2 2" xfId="40970" xr:uid="{00000000-0005-0000-0000-00007F2D0000}"/>
    <cellStyle name="20% - Accent4 4 4 2 5 3" xfId="29669" xr:uid="{00000000-0005-0000-0000-0000802D0000}"/>
    <cellStyle name="20% - Accent4 4 4 2 6" xfId="12718" xr:uid="{00000000-0005-0000-0000-0000812D0000}"/>
    <cellStyle name="20% - Accent4 4 4 2 6 2" xfId="35320" xr:uid="{00000000-0005-0000-0000-0000822D0000}"/>
    <cellStyle name="20% - Accent4 4 4 2 7" xfId="24019" xr:uid="{00000000-0005-0000-0000-0000832D0000}"/>
    <cellStyle name="20% - Accent4 4 4 3" xfId="762" xr:uid="{00000000-0005-0000-0000-0000842D0000}"/>
    <cellStyle name="20% - Accent4 4 4 3 2" xfId="2849" xr:uid="{00000000-0005-0000-0000-0000852D0000}"/>
    <cellStyle name="20% - Accent4 4 4 3 2 2" xfId="5821" xr:uid="{00000000-0005-0000-0000-0000862D0000}"/>
    <cellStyle name="20% - Accent4 4 4 3 2 2 2" xfId="11471" xr:uid="{00000000-0005-0000-0000-0000872D0000}"/>
    <cellStyle name="20% - Accent4 4 4 3 2 2 2 2" xfId="22772" xr:uid="{00000000-0005-0000-0000-0000882D0000}"/>
    <cellStyle name="20% - Accent4 4 4 3 2 2 2 2 2" xfId="45374" xr:uid="{00000000-0005-0000-0000-0000892D0000}"/>
    <cellStyle name="20% - Accent4 4 4 3 2 2 2 3" xfId="34073" xr:uid="{00000000-0005-0000-0000-00008A2D0000}"/>
    <cellStyle name="20% - Accent4 4 4 3 2 2 3" xfId="17122" xr:uid="{00000000-0005-0000-0000-00008B2D0000}"/>
    <cellStyle name="20% - Accent4 4 4 3 2 2 3 2" xfId="39724" xr:uid="{00000000-0005-0000-0000-00008C2D0000}"/>
    <cellStyle name="20% - Accent4 4 4 3 2 2 4" xfId="28423" xr:uid="{00000000-0005-0000-0000-00008D2D0000}"/>
    <cellStyle name="20% - Accent4 4 4 3 2 3" xfId="8639" xr:uid="{00000000-0005-0000-0000-00008E2D0000}"/>
    <cellStyle name="20% - Accent4 4 4 3 2 3 2" xfId="19940" xr:uid="{00000000-0005-0000-0000-00008F2D0000}"/>
    <cellStyle name="20% - Accent4 4 4 3 2 3 2 2" xfId="42542" xr:uid="{00000000-0005-0000-0000-0000902D0000}"/>
    <cellStyle name="20% - Accent4 4 4 3 2 3 3" xfId="31241" xr:uid="{00000000-0005-0000-0000-0000912D0000}"/>
    <cellStyle name="20% - Accent4 4 4 3 2 4" xfId="14290" xr:uid="{00000000-0005-0000-0000-0000922D0000}"/>
    <cellStyle name="20% - Accent4 4 4 3 2 4 2" xfId="36892" xr:uid="{00000000-0005-0000-0000-0000932D0000}"/>
    <cellStyle name="20% - Accent4 4 4 3 2 5" xfId="25591" xr:uid="{00000000-0005-0000-0000-0000942D0000}"/>
    <cellStyle name="20% - Accent4 4 4 3 3" xfId="4587" xr:uid="{00000000-0005-0000-0000-0000952D0000}"/>
    <cellStyle name="20% - Accent4 4 4 3 3 2" xfId="10237" xr:uid="{00000000-0005-0000-0000-0000962D0000}"/>
    <cellStyle name="20% - Accent4 4 4 3 3 2 2" xfId="21538" xr:uid="{00000000-0005-0000-0000-0000972D0000}"/>
    <cellStyle name="20% - Accent4 4 4 3 3 2 2 2" xfId="44140" xr:uid="{00000000-0005-0000-0000-0000982D0000}"/>
    <cellStyle name="20% - Accent4 4 4 3 3 2 3" xfId="32839" xr:uid="{00000000-0005-0000-0000-0000992D0000}"/>
    <cellStyle name="20% - Accent4 4 4 3 3 3" xfId="15888" xr:uid="{00000000-0005-0000-0000-00009A2D0000}"/>
    <cellStyle name="20% - Accent4 4 4 3 3 3 2" xfId="38490" xr:uid="{00000000-0005-0000-0000-00009B2D0000}"/>
    <cellStyle name="20% - Accent4 4 4 3 3 4" xfId="27189" xr:uid="{00000000-0005-0000-0000-00009C2D0000}"/>
    <cellStyle name="20% - Accent4 4 4 3 4" xfId="6770" xr:uid="{00000000-0005-0000-0000-00009D2D0000}"/>
    <cellStyle name="20% - Accent4 4 4 3 4 2" xfId="18071" xr:uid="{00000000-0005-0000-0000-00009E2D0000}"/>
    <cellStyle name="20% - Accent4 4 4 3 4 2 2" xfId="40673" xr:uid="{00000000-0005-0000-0000-00009F2D0000}"/>
    <cellStyle name="20% - Accent4 4 4 3 4 3" xfId="29372" xr:uid="{00000000-0005-0000-0000-0000A02D0000}"/>
    <cellStyle name="20% - Accent4 4 4 3 5" xfId="12421" xr:uid="{00000000-0005-0000-0000-0000A12D0000}"/>
    <cellStyle name="20% - Accent4 4 4 3 5 2" xfId="35023" xr:uid="{00000000-0005-0000-0000-0000A22D0000}"/>
    <cellStyle name="20% - Accent4 4 4 3 6" xfId="23722" xr:uid="{00000000-0005-0000-0000-0000A32D0000}"/>
    <cellStyle name="20% - Accent4 4 4 4" xfId="1640" xr:uid="{00000000-0005-0000-0000-0000A42D0000}"/>
    <cellStyle name="20% - Accent4 4 4 4 2" xfId="3586" xr:uid="{00000000-0005-0000-0000-0000A52D0000}"/>
    <cellStyle name="20% - Accent4 4 4 4 2 2" xfId="9298" xr:uid="{00000000-0005-0000-0000-0000A62D0000}"/>
    <cellStyle name="20% - Accent4 4 4 4 2 2 2" xfId="20599" xr:uid="{00000000-0005-0000-0000-0000A72D0000}"/>
    <cellStyle name="20% - Accent4 4 4 4 2 2 2 2" xfId="43201" xr:uid="{00000000-0005-0000-0000-0000A82D0000}"/>
    <cellStyle name="20% - Accent4 4 4 4 2 2 3" xfId="31900" xr:uid="{00000000-0005-0000-0000-0000A92D0000}"/>
    <cellStyle name="20% - Accent4 4 4 4 2 3" xfId="14949" xr:uid="{00000000-0005-0000-0000-0000AA2D0000}"/>
    <cellStyle name="20% - Accent4 4 4 4 2 3 2" xfId="37551" xr:uid="{00000000-0005-0000-0000-0000AB2D0000}"/>
    <cellStyle name="20% - Accent4 4 4 4 2 4" xfId="26250" xr:uid="{00000000-0005-0000-0000-0000AC2D0000}"/>
    <cellStyle name="20% - Accent4 4 4 4 3" xfId="5197" xr:uid="{00000000-0005-0000-0000-0000AD2D0000}"/>
    <cellStyle name="20% - Accent4 4 4 4 3 2" xfId="10847" xr:uid="{00000000-0005-0000-0000-0000AE2D0000}"/>
    <cellStyle name="20% - Accent4 4 4 4 3 2 2" xfId="22148" xr:uid="{00000000-0005-0000-0000-0000AF2D0000}"/>
    <cellStyle name="20% - Accent4 4 4 4 3 2 2 2" xfId="44750" xr:uid="{00000000-0005-0000-0000-0000B02D0000}"/>
    <cellStyle name="20% - Accent4 4 4 4 3 2 3" xfId="33449" xr:uid="{00000000-0005-0000-0000-0000B12D0000}"/>
    <cellStyle name="20% - Accent4 4 4 4 3 3" xfId="16498" xr:uid="{00000000-0005-0000-0000-0000B22D0000}"/>
    <cellStyle name="20% - Accent4 4 4 4 3 3 2" xfId="39100" xr:uid="{00000000-0005-0000-0000-0000B32D0000}"/>
    <cellStyle name="20% - Accent4 4 4 4 3 4" xfId="27799" xr:uid="{00000000-0005-0000-0000-0000B42D0000}"/>
    <cellStyle name="20% - Accent4 4 4 4 4" xfId="7496" xr:uid="{00000000-0005-0000-0000-0000B52D0000}"/>
    <cellStyle name="20% - Accent4 4 4 4 4 2" xfId="18797" xr:uid="{00000000-0005-0000-0000-0000B62D0000}"/>
    <cellStyle name="20% - Accent4 4 4 4 4 2 2" xfId="41399" xr:uid="{00000000-0005-0000-0000-0000B72D0000}"/>
    <cellStyle name="20% - Accent4 4 4 4 4 3" xfId="30098" xr:uid="{00000000-0005-0000-0000-0000B82D0000}"/>
    <cellStyle name="20% - Accent4 4 4 4 5" xfId="13147" xr:uid="{00000000-0005-0000-0000-0000B92D0000}"/>
    <cellStyle name="20% - Accent4 4 4 4 5 2" xfId="35749" xr:uid="{00000000-0005-0000-0000-0000BA2D0000}"/>
    <cellStyle name="20% - Accent4 4 4 4 6" xfId="24448" xr:uid="{00000000-0005-0000-0000-0000BB2D0000}"/>
    <cellStyle name="20% - Accent4 4 4 5" xfId="2169" xr:uid="{00000000-0005-0000-0000-0000BC2D0000}"/>
    <cellStyle name="20% - Accent4 4 4 5 2" xfId="8011" xr:uid="{00000000-0005-0000-0000-0000BD2D0000}"/>
    <cellStyle name="20% - Accent4 4 4 5 2 2" xfId="19312" xr:uid="{00000000-0005-0000-0000-0000BE2D0000}"/>
    <cellStyle name="20% - Accent4 4 4 5 2 2 2" xfId="41914" xr:uid="{00000000-0005-0000-0000-0000BF2D0000}"/>
    <cellStyle name="20% - Accent4 4 4 5 2 3" xfId="30613" xr:uid="{00000000-0005-0000-0000-0000C02D0000}"/>
    <cellStyle name="20% - Accent4 4 4 5 3" xfId="13662" xr:uid="{00000000-0005-0000-0000-0000C12D0000}"/>
    <cellStyle name="20% - Accent4 4 4 5 3 2" xfId="36264" xr:uid="{00000000-0005-0000-0000-0000C22D0000}"/>
    <cellStyle name="20% - Accent4 4 4 5 4" xfId="24963" xr:uid="{00000000-0005-0000-0000-0000C32D0000}"/>
    <cellStyle name="20% - Accent4 4 4 6" xfId="3963" xr:uid="{00000000-0005-0000-0000-0000C42D0000}"/>
    <cellStyle name="20% - Accent4 4 4 6 2" xfId="9613" xr:uid="{00000000-0005-0000-0000-0000C52D0000}"/>
    <cellStyle name="20% - Accent4 4 4 6 2 2" xfId="20914" xr:uid="{00000000-0005-0000-0000-0000C62D0000}"/>
    <cellStyle name="20% - Accent4 4 4 6 2 2 2" xfId="43516" xr:uid="{00000000-0005-0000-0000-0000C72D0000}"/>
    <cellStyle name="20% - Accent4 4 4 6 2 3" xfId="32215" xr:uid="{00000000-0005-0000-0000-0000C82D0000}"/>
    <cellStyle name="20% - Accent4 4 4 6 3" xfId="15264" xr:uid="{00000000-0005-0000-0000-0000C92D0000}"/>
    <cellStyle name="20% - Accent4 4 4 6 3 2" xfId="37866" xr:uid="{00000000-0005-0000-0000-0000CA2D0000}"/>
    <cellStyle name="20% - Accent4 4 4 6 4" xfId="26565" xr:uid="{00000000-0005-0000-0000-0000CB2D0000}"/>
    <cellStyle name="20% - Accent4 4 4 7" xfId="6581" xr:uid="{00000000-0005-0000-0000-0000CC2D0000}"/>
    <cellStyle name="20% - Accent4 4 4 7 2" xfId="17882" xr:uid="{00000000-0005-0000-0000-0000CD2D0000}"/>
    <cellStyle name="20% - Accent4 4 4 7 2 2" xfId="40484" xr:uid="{00000000-0005-0000-0000-0000CE2D0000}"/>
    <cellStyle name="20% - Accent4 4 4 7 3" xfId="29183" xr:uid="{00000000-0005-0000-0000-0000CF2D0000}"/>
    <cellStyle name="20% - Accent4 4 4 8" xfId="12232" xr:uid="{00000000-0005-0000-0000-0000D02D0000}"/>
    <cellStyle name="20% - Accent4 4 4 8 2" xfId="34834" xr:uid="{00000000-0005-0000-0000-0000D12D0000}"/>
    <cellStyle name="20% - Accent4 4 4 9" xfId="23533" xr:uid="{00000000-0005-0000-0000-0000D22D0000}"/>
    <cellStyle name="20% - Accent4 4 5" xfId="458" xr:uid="{00000000-0005-0000-0000-0000D32D0000}"/>
    <cellStyle name="20% - Accent4 4 5 2" xfId="1227" xr:uid="{00000000-0005-0000-0000-0000D42D0000}"/>
    <cellStyle name="20% - Accent4 4 5 2 2" xfId="1643" xr:uid="{00000000-0005-0000-0000-0000D52D0000}"/>
    <cellStyle name="20% - Accent4 4 5 2 2 2" xfId="3296" xr:uid="{00000000-0005-0000-0000-0000D62D0000}"/>
    <cellStyle name="20% - Accent4 4 5 2 2 2 2" xfId="6268" xr:uid="{00000000-0005-0000-0000-0000D72D0000}"/>
    <cellStyle name="20% - Accent4 4 5 2 2 2 2 2" xfId="11918" xr:uid="{00000000-0005-0000-0000-0000D82D0000}"/>
    <cellStyle name="20% - Accent4 4 5 2 2 2 2 2 2" xfId="23219" xr:uid="{00000000-0005-0000-0000-0000D92D0000}"/>
    <cellStyle name="20% - Accent4 4 5 2 2 2 2 2 2 2" xfId="45821" xr:uid="{00000000-0005-0000-0000-0000DA2D0000}"/>
    <cellStyle name="20% - Accent4 4 5 2 2 2 2 2 3" xfId="34520" xr:uid="{00000000-0005-0000-0000-0000DB2D0000}"/>
    <cellStyle name="20% - Accent4 4 5 2 2 2 2 3" xfId="17569" xr:uid="{00000000-0005-0000-0000-0000DC2D0000}"/>
    <cellStyle name="20% - Accent4 4 5 2 2 2 2 3 2" xfId="40171" xr:uid="{00000000-0005-0000-0000-0000DD2D0000}"/>
    <cellStyle name="20% - Accent4 4 5 2 2 2 2 4" xfId="28870" xr:uid="{00000000-0005-0000-0000-0000DE2D0000}"/>
    <cellStyle name="20% - Accent4 4 5 2 2 2 3" xfId="9086" xr:uid="{00000000-0005-0000-0000-0000DF2D0000}"/>
    <cellStyle name="20% - Accent4 4 5 2 2 2 3 2" xfId="20387" xr:uid="{00000000-0005-0000-0000-0000E02D0000}"/>
    <cellStyle name="20% - Accent4 4 5 2 2 2 3 2 2" xfId="42989" xr:uid="{00000000-0005-0000-0000-0000E12D0000}"/>
    <cellStyle name="20% - Accent4 4 5 2 2 2 3 3" xfId="31688" xr:uid="{00000000-0005-0000-0000-0000E22D0000}"/>
    <cellStyle name="20% - Accent4 4 5 2 2 2 4" xfId="14737" xr:uid="{00000000-0005-0000-0000-0000E32D0000}"/>
    <cellStyle name="20% - Accent4 4 5 2 2 2 4 2" xfId="37339" xr:uid="{00000000-0005-0000-0000-0000E42D0000}"/>
    <cellStyle name="20% - Accent4 4 5 2 2 2 5" xfId="26038" xr:uid="{00000000-0005-0000-0000-0000E52D0000}"/>
    <cellStyle name="20% - Accent4 4 5 2 2 3" xfId="5034" xr:uid="{00000000-0005-0000-0000-0000E62D0000}"/>
    <cellStyle name="20% - Accent4 4 5 2 2 3 2" xfId="10684" xr:uid="{00000000-0005-0000-0000-0000E72D0000}"/>
    <cellStyle name="20% - Accent4 4 5 2 2 3 2 2" xfId="21985" xr:uid="{00000000-0005-0000-0000-0000E82D0000}"/>
    <cellStyle name="20% - Accent4 4 5 2 2 3 2 2 2" xfId="44587" xr:uid="{00000000-0005-0000-0000-0000E92D0000}"/>
    <cellStyle name="20% - Accent4 4 5 2 2 3 2 3" xfId="33286" xr:uid="{00000000-0005-0000-0000-0000EA2D0000}"/>
    <cellStyle name="20% - Accent4 4 5 2 2 3 3" xfId="16335" xr:uid="{00000000-0005-0000-0000-0000EB2D0000}"/>
    <cellStyle name="20% - Accent4 4 5 2 2 3 3 2" xfId="38937" xr:uid="{00000000-0005-0000-0000-0000EC2D0000}"/>
    <cellStyle name="20% - Accent4 4 5 2 2 3 4" xfId="27636" xr:uid="{00000000-0005-0000-0000-0000ED2D0000}"/>
    <cellStyle name="20% - Accent4 4 5 2 2 4" xfId="7499" xr:uid="{00000000-0005-0000-0000-0000EE2D0000}"/>
    <cellStyle name="20% - Accent4 4 5 2 2 4 2" xfId="18800" xr:uid="{00000000-0005-0000-0000-0000EF2D0000}"/>
    <cellStyle name="20% - Accent4 4 5 2 2 4 2 2" xfId="41402" xr:uid="{00000000-0005-0000-0000-0000F02D0000}"/>
    <cellStyle name="20% - Accent4 4 5 2 2 4 3" xfId="30101" xr:uid="{00000000-0005-0000-0000-0000F12D0000}"/>
    <cellStyle name="20% - Accent4 4 5 2 2 5" xfId="13150" xr:uid="{00000000-0005-0000-0000-0000F22D0000}"/>
    <cellStyle name="20% - Accent4 4 5 2 2 5 2" xfId="35752" xr:uid="{00000000-0005-0000-0000-0000F32D0000}"/>
    <cellStyle name="20% - Accent4 4 5 2 2 6" xfId="24451" xr:uid="{00000000-0005-0000-0000-0000F42D0000}"/>
    <cellStyle name="20% - Accent4 4 5 2 3" xfId="2625" xr:uid="{00000000-0005-0000-0000-0000F52D0000}"/>
    <cellStyle name="20% - Accent4 4 5 2 3 2" xfId="5644" xr:uid="{00000000-0005-0000-0000-0000F62D0000}"/>
    <cellStyle name="20% - Accent4 4 5 2 3 2 2" xfId="11294" xr:uid="{00000000-0005-0000-0000-0000F72D0000}"/>
    <cellStyle name="20% - Accent4 4 5 2 3 2 2 2" xfId="22595" xr:uid="{00000000-0005-0000-0000-0000F82D0000}"/>
    <cellStyle name="20% - Accent4 4 5 2 3 2 2 2 2" xfId="45197" xr:uid="{00000000-0005-0000-0000-0000F92D0000}"/>
    <cellStyle name="20% - Accent4 4 5 2 3 2 2 3" xfId="33896" xr:uid="{00000000-0005-0000-0000-0000FA2D0000}"/>
    <cellStyle name="20% - Accent4 4 5 2 3 2 3" xfId="16945" xr:uid="{00000000-0005-0000-0000-0000FB2D0000}"/>
    <cellStyle name="20% - Accent4 4 5 2 3 2 3 2" xfId="39547" xr:uid="{00000000-0005-0000-0000-0000FC2D0000}"/>
    <cellStyle name="20% - Accent4 4 5 2 3 2 4" xfId="28246" xr:uid="{00000000-0005-0000-0000-0000FD2D0000}"/>
    <cellStyle name="20% - Accent4 4 5 2 3 3" xfId="8461" xr:uid="{00000000-0005-0000-0000-0000FE2D0000}"/>
    <cellStyle name="20% - Accent4 4 5 2 3 3 2" xfId="19762" xr:uid="{00000000-0005-0000-0000-0000FF2D0000}"/>
    <cellStyle name="20% - Accent4 4 5 2 3 3 2 2" xfId="42364" xr:uid="{00000000-0005-0000-0000-0000002E0000}"/>
    <cellStyle name="20% - Accent4 4 5 2 3 3 3" xfId="31063" xr:uid="{00000000-0005-0000-0000-0000012E0000}"/>
    <cellStyle name="20% - Accent4 4 5 2 3 4" xfId="14112" xr:uid="{00000000-0005-0000-0000-0000022E0000}"/>
    <cellStyle name="20% - Accent4 4 5 2 3 4 2" xfId="36714" xr:uid="{00000000-0005-0000-0000-0000032E0000}"/>
    <cellStyle name="20% - Accent4 4 5 2 3 5" xfId="25413" xr:uid="{00000000-0005-0000-0000-0000042E0000}"/>
    <cellStyle name="20% - Accent4 4 5 2 4" xfId="4410" xr:uid="{00000000-0005-0000-0000-0000052E0000}"/>
    <cellStyle name="20% - Accent4 4 5 2 4 2" xfId="10060" xr:uid="{00000000-0005-0000-0000-0000062E0000}"/>
    <cellStyle name="20% - Accent4 4 5 2 4 2 2" xfId="21361" xr:uid="{00000000-0005-0000-0000-0000072E0000}"/>
    <cellStyle name="20% - Accent4 4 5 2 4 2 2 2" xfId="43963" xr:uid="{00000000-0005-0000-0000-0000082E0000}"/>
    <cellStyle name="20% - Accent4 4 5 2 4 2 3" xfId="32662" xr:uid="{00000000-0005-0000-0000-0000092E0000}"/>
    <cellStyle name="20% - Accent4 4 5 2 4 3" xfId="15711" xr:uid="{00000000-0005-0000-0000-00000A2E0000}"/>
    <cellStyle name="20% - Accent4 4 5 2 4 3 2" xfId="38313" xr:uid="{00000000-0005-0000-0000-00000B2E0000}"/>
    <cellStyle name="20% - Accent4 4 5 2 4 4" xfId="27012" xr:uid="{00000000-0005-0000-0000-00000C2E0000}"/>
    <cellStyle name="20% - Accent4 4 5 2 5" xfId="7206" xr:uid="{00000000-0005-0000-0000-00000D2E0000}"/>
    <cellStyle name="20% - Accent4 4 5 2 5 2" xfId="18507" xr:uid="{00000000-0005-0000-0000-00000E2E0000}"/>
    <cellStyle name="20% - Accent4 4 5 2 5 2 2" xfId="41109" xr:uid="{00000000-0005-0000-0000-00000F2E0000}"/>
    <cellStyle name="20% - Accent4 4 5 2 5 3" xfId="29808" xr:uid="{00000000-0005-0000-0000-0000102E0000}"/>
    <cellStyle name="20% - Accent4 4 5 2 6" xfId="12857" xr:uid="{00000000-0005-0000-0000-0000112E0000}"/>
    <cellStyle name="20% - Accent4 4 5 2 6 2" xfId="35459" xr:uid="{00000000-0005-0000-0000-0000122E0000}"/>
    <cellStyle name="20% - Accent4 4 5 2 7" xfId="24158" xr:uid="{00000000-0005-0000-0000-0000132E0000}"/>
    <cellStyle name="20% - Accent4 4 5 3" xfId="925" xr:uid="{00000000-0005-0000-0000-0000142E0000}"/>
    <cellStyle name="20% - Accent4 4 5 3 2" xfId="2988" xr:uid="{00000000-0005-0000-0000-0000152E0000}"/>
    <cellStyle name="20% - Accent4 4 5 3 2 2" xfId="5960" xr:uid="{00000000-0005-0000-0000-0000162E0000}"/>
    <cellStyle name="20% - Accent4 4 5 3 2 2 2" xfId="11610" xr:uid="{00000000-0005-0000-0000-0000172E0000}"/>
    <cellStyle name="20% - Accent4 4 5 3 2 2 2 2" xfId="22911" xr:uid="{00000000-0005-0000-0000-0000182E0000}"/>
    <cellStyle name="20% - Accent4 4 5 3 2 2 2 2 2" xfId="45513" xr:uid="{00000000-0005-0000-0000-0000192E0000}"/>
    <cellStyle name="20% - Accent4 4 5 3 2 2 2 3" xfId="34212" xr:uid="{00000000-0005-0000-0000-00001A2E0000}"/>
    <cellStyle name="20% - Accent4 4 5 3 2 2 3" xfId="17261" xr:uid="{00000000-0005-0000-0000-00001B2E0000}"/>
    <cellStyle name="20% - Accent4 4 5 3 2 2 3 2" xfId="39863" xr:uid="{00000000-0005-0000-0000-00001C2E0000}"/>
    <cellStyle name="20% - Accent4 4 5 3 2 2 4" xfId="28562" xr:uid="{00000000-0005-0000-0000-00001D2E0000}"/>
    <cellStyle name="20% - Accent4 4 5 3 2 3" xfId="8778" xr:uid="{00000000-0005-0000-0000-00001E2E0000}"/>
    <cellStyle name="20% - Accent4 4 5 3 2 3 2" xfId="20079" xr:uid="{00000000-0005-0000-0000-00001F2E0000}"/>
    <cellStyle name="20% - Accent4 4 5 3 2 3 2 2" xfId="42681" xr:uid="{00000000-0005-0000-0000-0000202E0000}"/>
    <cellStyle name="20% - Accent4 4 5 3 2 3 3" xfId="31380" xr:uid="{00000000-0005-0000-0000-0000212E0000}"/>
    <cellStyle name="20% - Accent4 4 5 3 2 4" xfId="14429" xr:uid="{00000000-0005-0000-0000-0000222E0000}"/>
    <cellStyle name="20% - Accent4 4 5 3 2 4 2" xfId="37031" xr:uid="{00000000-0005-0000-0000-0000232E0000}"/>
    <cellStyle name="20% - Accent4 4 5 3 2 5" xfId="25730" xr:uid="{00000000-0005-0000-0000-0000242E0000}"/>
    <cellStyle name="20% - Accent4 4 5 3 3" xfId="4726" xr:uid="{00000000-0005-0000-0000-0000252E0000}"/>
    <cellStyle name="20% - Accent4 4 5 3 3 2" xfId="10376" xr:uid="{00000000-0005-0000-0000-0000262E0000}"/>
    <cellStyle name="20% - Accent4 4 5 3 3 2 2" xfId="21677" xr:uid="{00000000-0005-0000-0000-0000272E0000}"/>
    <cellStyle name="20% - Accent4 4 5 3 3 2 2 2" xfId="44279" xr:uid="{00000000-0005-0000-0000-0000282E0000}"/>
    <cellStyle name="20% - Accent4 4 5 3 3 2 3" xfId="32978" xr:uid="{00000000-0005-0000-0000-0000292E0000}"/>
    <cellStyle name="20% - Accent4 4 5 3 3 3" xfId="16027" xr:uid="{00000000-0005-0000-0000-00002A2E0000}"/>
    <cellStyle name="20% - Accent4 4 5 3 3 3 2" xfId="38629" xr:uid="{00000000-0005-0000-0000-00002B2E0000}"/>
    <cellStyle name="20% - Accent4 4 5 3 3 4" xfId="27328" xr:uid="{00000000-0005-0000-0000-00002C2E0000}"/>
    <cellStyle name="20% - Accent4 4 5 3 4" xfId="6913" xr:uid="{00000000-0005-0000-0000-00002D2E0000}"/>
    <cellStyle name="20% - Accent4 4 5 3 4 2" xfId="18214" xr:uid="{00000000-0005-0000-0000-00002E2E0000}"/>
    <cellStyle name="20% - Accent4 4 5 3 4 2 2" xfId="40816" xr:uid="{00000000-0005-0000-0000-00002F2E0000}"/>
    <cellStyle name="20% - Accent4 4 5 3 4 3" xfId="29515" xr:uid="{00000000-0005-0000-0000-0000302E0000}"/>
    <cellStyle name="20% - Accent4 4 5 3 5" xfId="12564" xr:uid="{00000000-0005-0000-0000-0000312E0000}"/>
    <cellStyle name="20% - Accent4 4 5 3 5 2" xfId="35166" xr:uid="{00000000-0005-0000-0000-0000322E0000}"/>
    <cellStyle name="20% - Accent4 4 5 3 6" xfId="23865" xr:uid="{00000000-0005-0000-0000-0000332E0000}"/>
    <cellStyle name="20% - Accent4 4 5 4" xfId="1642" xr:uid="{00000000-0005-0000-0000-0000342E0000}"/>
    <cellStyle name="20% - Accent4 4 5 4 2" xfId="3587" xr:uid="{00000000-0005-0000-0000-0000352E0000}"/>
    <cellStyle name="20% - Accent4 4 5 4 2 2" xfId="9299" xr:uid="{00000000-0005-0000-0000-0000362E0000}"/>
    <cellStyle name="20% - Accent4 4 5 4 2 2 2" xfId="20600" xr:uid="{00000000-0005-0000-0000-0000372E0000}"/>
    <cellStyle name="20% - Accent4 4 5 4 2 2 2 2" xfId="43202" xr:uid="{00000000-0005-0000-0000-0000382E0000}"/>
    <cellStyle name="20% - Accent4 4 5 4 2 2 3" xfId="31901" xr:uid="{00000000-0005-0000-0000-0000392E0000}"/>
    <cellStyle name="20% - Accent4 4 5 4 2 3" xfId="14950" xr:uid="{00000000-0005-0000-0000-00003A2E0000}"/>
    <cellStyle name="20% - Accent4 4 5 4 2 3 2" xfId="37552" xr:uid="{00000000-0005-0000-0000-00003B2E0000}"/>
    <cellStyle name="20% - Accent4 4 5 4 2 4" xfId="26251" xr:uid="{00000000-0005-0000-0000-00003C2E0000}"/>
    <cellStyle name="20% - Accent4 4 5 4 3" xfId="5336" xr:uid="{00000000-0005-0000-0000-00003D2E0000}"/>
    <cellStyle name="20% - Accent4 4 5 4 3 2" xfId="10986" xr:uid="{00000000-0005-0000-0000-00003E2E0000}"/>
    <cellStyle name="20% - Accent4 4 5 4 3 2 2" xfId="22287" xr:uid="{00000000-0005-0000-0000-00003F2E0000}"/>
    <cellStyle name="20% - Accent4 4 5 4 3 2 2 2" xfId="44889" xr:uid="{00000000-0005-0000-0000-0000402E0000}"/>
    <cellStyle name="20% - Accent4 4 5 4 3 2 3" xfId="33588" xr:uid="{00000000-0005-0000-0000-0000412E0000}"/>
    <cellStyle name="20% - Accent4 4 5 4 3 3" xfId="16637" xr:uid="{00000000-0005-0000-0000-0000422E0000}"/>
    <cellStyle name="20% - Accent4 4 5 4 3 3 2" xfId="39239" xr:uid="{00000000-0005-0000-0000-0000432E0000}"/>
    <cellStyle name="20% - Accent4 4 5 4 3 4" xfId="27938" xr:uid="{00000000-0005-0000-0000-0000442E0000}"/>
    <cellStyle name="20% - Accent4 4 5 4 4" xfId="7498" xr:uid="{00000000-0005-0000-0000-0000452E0000}"/>
    <cellStyle name="20% - Accent4 4 5 4 4 2" xfId="18799" xr:uid="{00000000-0005-0000-0000-0000462E0000}"/>
    <cellStyle name="20% - Accent4 4 5 4 4 2 2" xfId="41401" xr:uid="{00000000-0005-0000-0000-0000472E0000}"/>
    <cellStyle name="20% - Accent4 4 5 4 4 3" xfId="30100" xr:uid="{00000000-0005-0000-0000-0000482E0000}"/>
    <cellStyle name="20% - Accent4 4 5 4 5" xfId="13149" xr:uid="{00000000-0005-0000-0000-0000492E0000}"/>
    <cellStyle name="20% - Accent4 4 5 4 5 2" xfId="35751" xr:uid="{00000000-0005-0000-0000-00004A2E0000}"/>
    <cellStyle name="20% - Accent4 4 5 4 6" xfId="24450" xr:uid="{00000000-0005-0000-0000-00004B2E0000}"/>
    <cellStyle name="20% - Accent4 4 5 5" xfId="2317" xr:uid="{00000000-0005-0000-0000-00004C2E0000}"/>
    <cellStyle name="20% - Accent4 4 5 5 2" xfId="8153" xr:uid="{00000000-0005-0000-0000-00004D2E0000}"/>
    <cellStyle name="20% - Accent4 4 5 5 2 2" xfId="19454" xr:uid="{00000000-0005-0000-0000-00004E2E0000}"/>
    <cellStyle name="20% - Accent4 4 5 5 2 2 2" xfId="42056" xr:uid="{00000000-0005-0000-0000-00004F2E0000}"/>
    <cellStyle name="20% - Accent4 4 5 5 2 3" xfId="30755" xr:uid="{00000000-0005-0000-0000-0000502E0000}"/>
    <cellStyle name="20% - Accent4 4 5 5 3" xfId="13804" xr:uid="{00000000-0005-0000-0000-0000512E0000}"/>
    <cellStyle name="20% - Accent4 4 5 5 3 2" xfId="36406" xr:uid="{00000000-0005-0000-0000-0000522E0000}"/>
    <cellStyle name="20% - Accent4 4 5 5 4" xfId="25105" xr:uid="{00000000-0005-0000-0000-0000532E0000}"/>
    <cellStyle name="20% - Accent4 4 5 6" xfId="4102" xr:uid="{00000000-0005-0000-0000-0000542E0000}"/>
    <cellStyle name="20% - Accent4 4 5 6 2" xfId="9752" xr:uid="{00000000-0005-0000-0000-0000552E0000}"/>
    <cellStyle name="20% - Accent4 4 5 6 2 2" xfId="21053" xr:uid="{00000000-0005-0000-0000-0000562E0000}"/>
    <cellStyle name="20% - Accent4 4 5 6 2 2 2" xfId="43655" xr:uid="{00000000-0005-0000-0000-0000572E0000}"/>
    <cellStyle name="20% - Accent4 4 5 6 2 3" xfId="32354" xr:uid="{00000000-0005-0000-0000-0000582E0000}"/>
    <cellStyle name="20% - Accent4 4 5 6 3" xfId="15403" xr:uid="{00000000-0005-0000-0000-0000592E0000}"/>
    <cellStyle name="20% - Accent4 4 5 6 3 2" xfId="38005" xr:uid="{00000000-0005-0000-0000-00005A2E0000}"/>
    <cellStyle name="20% - Accent4 4 5 6 4" xfId="26704" xr:uid="{00000000-0005-0000-0000-00005B2E0000}"/>
    <cellStyle name="20% - Accent4 4 5 7" xfId="6553" xr:uid="{00000000-0005-0000-0000-00005C2E0000}"/>
    <cellStyle name="20% - Accent4 4 5 7 2" xfId="17854" xr:uid="{00000000-0005-0000-0000-00005D2E0000}"/>
    <cellStyle name="20% - Accent4 4 5 7 2 2" xfId="40456" xr:uid="{00000000-0005-0000-0000-00005E2E0000}"/>
    <cellStyle name="20% - Accent4 4 5 7 3" xfId="29155" xr:uid="{00000000-0005-0000-0000-00005F2E0000}"/>
    <cellStyle name="20% - Accent4 4 5 8" xfId="12204" xr:uid="{00000000-0005-0000-0000-0000602E0000}"/>
    <cellStyle name="20% - Accent4 4 5 8 2" xfId="34806" xr:uid="{00000000-0005-0000-0000-0000612E0000}"/>
    <cellStyle name="20% - Accent4 4 5 9" xfId="23505" xr:uid="{00000000-0005-0000-0000-0000622E0000}"/>
    <cellStyle name="20% - Accent4 4 6" xfId="1060" xr:uid="{00000000-0005-0000-0000-0000632E0000}"/>
    <cellStyle name="20% - Accent4 4 6 2" xfId="1644" xr:uid="{00000000-0005-0000-0000-0000642E0000}"/>
    <cellStyle name="20% - Accent4 4 6 2 2" xfId="3127" xr:uid="{00000000-0005-0000-0000-0000652E0000}"/>
    <cellStyle name="20% - Accent4 4 6 2 2 2" xfId="6099" xr:uid="{00000000-0005-0000-0000-0000662E0000}"/>
    <cellStyle name="20% - Accent4 4 6 2 2 2 2" xfId="11749" xr:uid="{00000000-0005-0000-0000-0000672E0000}"/>
    <cellStyle name="20% - Accent4 4 6 2 2 2 2 2" xfId="23050" xr:uid="{00000000-0005-0000-0000-0000682E0000}"/>
    <cellStyle name="20% - Accent4 4 6 2 2 2 2 2 2" xfId="45652" xr:uid="{00000000-0005-0000-0000-0000692E0000}"/>
    <cellStyle name="20% - Accent4 4 6 2 2 2 2 3" xfId="34351" xr:uid="{00000000-0005-0000-0000-00006A2E0000}"/>
    <cellStyle name="20% - Accent4 4 6 2 2 2 3" xfId="17400" xr:uid="{00000000-0005-0000-0000-00006B2E0000}"/>
    <cellStyle name="20% - Accent4 4 6 2 2 2 3 2" xfId="40002" xr:uid="{00000000-0005-0000-0000-00006C2E0000}"/>
    <cellStyle name="20% - Accent4 4 6 2 2 2 4" xfId="28701" xr:uid="{00000000-0005-0000-0000-00006D2E0000}"/>
    <cellStyle name="20% - Accent4 4 6 2 2 3" xfId="8917" xr:uid="{00000000-0005-0000-0000-00006E2E0000}"/>
    <cellStyle name="20% - Accent4 4 6 2 2 3 2" xfId="20218" xr:uid="{00000000-0005-0000-0000-00006F2E0000}"/>
    <cellStyle name="20% - Accent4 4 6 2 2 3 2 2" xfId="42820" xr:uid="{00000000-0005-0000-0000-0000702E0000}"/>
    <cellStyle name="20% - Accent4 4 6 2 2 3 3" xfId="31519" xr:uid="{00000000-0005-0000-0000-0000712E0000}"/>
    <cellStyle name="20% - Accent4 4 6 2 2 4" xfId="14568" xr:uid="{00000000-0005-0000-0000-0000722E0000}"/>
    <cellStyle name="20% - Accent4 4 6 2 2 4 2" xfId="37170" xr:uid="{00000000-0005-0000-0000-0000732E0000}"/>
    <cellStyle name="20% - Accent4 4 6 2 2 5" xfId="25869" xr:uid="{00000000-0005-0000-0000-0000742E0000}"/>
    <cellStyle name="20% - Accent4 4 6 2 3" xfId="4865" xr:uid="{00000000-0005-0000-0000-0000752E0000}"/>
    <cellStyle name="20% - Accent4 4 6 2 3 2" xfId="10515" xr:uid="{00000000-0005-0000-0000-0000762E0000}"/>
    <cellStyle name="20% - Accent4 4 6 2 3 2 2" xfId="21816" xr:uid="{00000000-0005-0000-0000-0000772E0000}"/>
    <cellStyle name="20% - Accent4 4 6 2 3 2 2 2" xfId="44418" xr:uid="{00000000-0005-0000-0000-0000782E0000}"/>
    <cellStyle name="20% - Accent4 4 6 2 3 2 3" xfId="33117" xr:uid="{00000000-0005-0000-0000-0000792E0000}"/>
    <cellStyle name="20% - Accent4 4 6 2 3 3" xfId="16166" xr:uid="{00000000-0005-0000-0000-00007A2E0000}"/>
    <cellStyle name="20% - Accent4 4 6 2 3 3 2" xfId="38768" xr:uid="{00000000-0005-0000-0000-00007B2E0000}"/>
    <cellStyle name="20% - Accent4 4 6 2 3 4" xfId="27467" xr:uid="{00000000-0005-0000-0000-00007C2E0000}"/>
    <cellStyle name="20% - Accent4 4 6 2 4" xfId="7500" xr:uid="{00000000-0005-0000-0000-00007D2E0000}"/>
    <cellStyle name="20% - Accent4 4 6 2 4 2" xfId="18801" xr:uid="{00000000-0005-0000-0000-00007E2E0000}"/>
    <cellStyle name="20% - Accent4 4 6 2 4 2 2" xfId="41403" xr:uid="{00000000-0005-0000-0000-00007F2E0000}"/>
    <cellStyle name="20% - Accent4 4 6 2 4 3" xfId="30102" xr:uid="{00000000-0005-0000-0000-0000802E0000}"/>
    <cellStyle name="20% - Accent4 4 6 2 5" xfId="13151" xr:uid="{00000000-0005-0000-0000-0000812E0000}"/>
    <cellStyle name="20% - Accent4 4 6 2 5 2" xfId="35753" xr:uid="{00000000-0005-0000-0000-0000822E0000}"/>
    <cellStyle name="20% - Accent4 4 6 2 6" xfId="24452" xr:uid="{00000000-0005-0000-0000-0000832E0000}"/>
    <cellStyle name="20% - Accent4 4 6 3" xfId="2456" xr:uid="{00000000-0005-0000-0000-0000842E0000}"/>
    <cellStyle name="20% - Accent4 4 6 3 2" xfId="5475" xr:uid="{00000000-0005-0000-0000-0000852E0000}"/>
    <cellStyle name="20% - Accent4 4 6 3 2 2" xfId="11125" xr:uid="{00000000-0005-0000-0000-0000862E0000}"/>
    <cellStyle name="20% - Accent4 4 6 3 2 2 2" xfId="22426" xr:uid="{00000000-0005-0000-0000-0000872E0000}"/>
    <cellStyle name="20% - Accent4 4 6 3 2 2 2 2" xfId="45028" xr:uid="{00000000-0005-0000-0000-0000882E0000}"/>
    <cellStyle name="20% - Accent4 4 6 3 2 2 3" xfId="33727" xr:uid="{00000000-0005-0000-0000-0000892E0000}"/>
    <cellStyle name="20% - Accent4 4 6 3 2 3" xfId="16776" xr:uid="{00000000-0005-0000-0000-00008A2E0000}"/>
    <cellStyle name="20% - Accent4 4 6 3 2 3 2" xfId="39378" xr:uid="{00000000-0005-0000-0000-00008B2E0000}"/>
    <cellStyle name="20% - Accent4 4 6 3 2 4" xfId="28077" xr:uid="{00000000-0005-0000-0000-00008C2E0000}"/>
    <cellStyle name="20% - Accent4 4 6 3 3" xfId="8292" xr:uid="{00000000-0005-0000-0000-00008D2E0000}"/>
    <cellStyle name="20% - Accent4 4 6 3 3 2" xfId="19593" xr:uid="{00000000-0005-0000-0000-00008E2E0000}"/>
    <cellStyle name="20% - Accent4 4 6 3 3 2 2" xfId="42195" xr:uid="{00000000-0005-0000-0000-00008F2E0000}"/>
    <cellStyle name="20% - Accent4 4 6 3 3 3" xfId="30894" xr:uid="{00000000-0005-0000-0000-0000902E0000}"/>
    <cellStyle name="20% - Accent4 4 6 3 4" xfId="13943" xr:uid="{00000000-0005-0000-0000-0000912E0000}"/>
    <cellStyle name="20% - Accent4 4 6 3 4 2" xfId="36545" xr:uid="{00000000-0005-0000-0000-0000922E0000}"/>
    <cellStyle name="20% - Accent4 4 6 3 5" xfId="25244" xr:uid="{00000000-0005-0000-0000-0000932E0000}"/>
    <cellStyle name="20% - Accent4 4 6 4" xfId="4241" xr:uid="{00000000-0005-0000-0000-0000942E0000}"/>
    <cellStyle name="20% - Accent4 4 6 4 2" xfId="9891" xr:uid="{00000000-0005-0000-0000-0000952E0000}"/>
    <cellStyle name="20% - Accent4 4 6 4 2 2" xfId="21192" xr:uid="{00000000-0005-0000-0000-0000962E0000}"/>
    <cellStyle name="20% - Accent4 4 6 4 2 2 2" xfId="43794" xr:uid="{00000000-0005-0000-0000-0000972E0000}"/>
    <cellStyle name="20% - Accent4 4 6 4 2 3" xfId="32493" xr:uid="{00000000-0005-0000-0000-0000982E0000}"/>
    <cellStyle name="20% - Accent4 4 6 4 3" xfId="15542" xr:uid="{00000000-0005-0000-0000-0000992E0000}"/>
    <cellStyle name="20% - Accent4 4 6 4 3 2" xfId="38144" xr:uid="{00000000-0005-0000-0000-00009A2E0000}"/>
    <cellStyle name="20% - Accent4 4 6 4 4" xfId="26843" xr:uid="{00000000-0005-0000-0000-00009B2E0000}"/>
    <cellStyle name="20% - Accent4 4 6 5" xfId="7039" xr:uid="{00000000-0005-0000-0000-00009C2E0000}"/>
    <cellStyle name="20% - Accent4 4 6 5 2" xfId="18340" xr:uid="{00000000-0005-0000-0000-00009D2E0000}"/>
    <cellStyle name="20% - Accent4 4 6 5 2 2" xfId="40942" xr:uid="{00000000-0005-0000-0000-00009E2E0000}"/>
    <cellStyle name="20% - Accent4 4 6 5 3" xfId="29641" xr:uid="{00000000-0005-0000-0000-00009F2E0000}"/>
    <cellStyle name="20% - Accent4 4 6 6" xfId="12690" xr:uid="{00000000-0005-0000-0000-0000A02E0000}"/>
    <cellStyle name="20% - Accent4 4 6 6 2" xfId="35292" xr:uid="{00000000-0005-0000-0000-0000A12E0000}"/>
    <cellStyle name="20% - Accent4 4 6 7" xfId="23991" xr:uid="{00000000-0005-0000-0000-0000A22E0000}"/>
    <cellStyle name="20% - Accent4 4 7" xfId="724" xr:uid="{00000000-0005-0000-0000-0000A32E0000}"/>
    <cellStyle name="20% - Accent4 4 7 2" xfId="2821" xr:uid="{00000000-0005-0000-0000-0000A42E0000}"/>
    <cellStyle name="20% - Accent4 4 7 2 2" xfId="5793" xr:uid="{00000000-0005-0000-0000-0000A52E0000}"/>
    <cellStyle name="20% - Accent4 4 7 2 2 2" xfId="11443" xr:uid="{00000000-0005-0000-0000-0000A62E0000}"/>
    <cellStyle name="20% - Accent4 4 7 2 2 2 2" xfId="22744" xr:uid="{00000000-0005-0000-0000-0000A72E0000}"/>
    <cellStyle name="20% - Accent4 4 7 2 2 2 2 2" xfId="45346" xr:uid="{00000000-0005-0000-0000-0000A82E0000}"/>
    <cellStyle name="20% - Accent4 4 7 2 2 2 3" xfId="34045" xr:uid="{00000000-0005-0000-0000-0000A92E0000}"/>
    <cellStyle name="20% - Accent4 4 7 2 2 3" xfId="17094" xr:uid="{00000000-0005-0000-0000-0000AA2E0000}"/>
    <cellStyle name="20% - Accent4 4 7 2 2 3 2" xfId="39696" xr:uid="{00000000-0005-0000-0000-0000AB2E0000}"/>
    <cellStyle name="20% - Accent4 4 7 2 2 4" xfId="28395" xr:uid="{00000000-0005-0000-0000-0000AC2E0000}"/>
    <cellStyle name="20% - Accent4 4 7 2 3" xfId="8611" xr:uid="{00000000-0005-0000-0000-0000AD2E0000}"/>
    <cellStyle name="20% - Accent4 4 7 2 3 2" xfId="19912" xr:uid="{00000000-0005-0000-0000-0000AE2E0000}"/>
    <cellStyle name="20% - Accent4 4 7 2 3 2 2" xfId="42514" xr:uid="{00000000-0005-0000-0000-0000AF2E0000}"/>
    <cellStyle name="20% - Accent4 4 7 2 3 3" xfId="31213" xr:uid="{00000000-0005-0000-0000-0000B02E0000}"/>
    <cellStyle name="20% - Accent4 4 7 2 4" xfId="14262" xr:uid="{00000000-0005-0000-0000-0000B12E0000}"/>
    <cellStyle name="20% - Accent4 4 7 2 4 2" xfId="36864" xr:uid="{00000000-0005-0000-0000-0000B22E0000}"/>
    <cellStyle name="20% - Accent4 4 7 2 5" xfId="25563" xr:uid="{00000000-0005-0000-0000-0000B32E0000}"/>
    <cellStyle name="20% - Accent4 4 7 3" xfId="4559" xr:uid="{00000000-0005-0000-0000-0000B42E0000}"/>
    <cellStyle name="20% - Accent4 4 7 3 2" xfId="10209" xr:uid="{00000000-0005-0000-0000-0000B52E0000}"/>
    <cellStyle name="20% - Accent4 4 7 3 2 2" xfId="21510" xr:uid="{00000000-0005-0000-0000-0000B62E0000}"/>
    <cellStyle name="20% - Accent4 4 7 3 2 2 2" xfId="44112" xr:uid="{00000000-0005-0000-0000-0000B72E0000}"/>
    <cellStyle name="20% - Accent4 4 7 3 2 3" xfId="32811" xr:uid="{00000000-0005-0000-0000-0000B82E0000}"/>
    <cellStyle name="20% - Accent4 4 7 3 3" xfId="15860" xr:uid="{00000000-0005-0000-0000-0000B92E0000}"/>
    <cellStyle name="20% - Accent4 4 7 3 3 2" xfId="38462" xr:uid="{00000000-0005-0000-0000-0000BA2E0000}"/>
    <cellStyle name="20% - Accent4 4 7 3 4" xfId="27161" xr:uid="{00000000-0005-0000-0000-0000BB2E0000}"/>
    <cellStyle name="20% - Accent4 4 7 4" xfId="6741" xr:uid="{00000000-0005-0000-0000-0000BC2E0000}"/>
    <cellStyle name="20% - Accent4 4 7 4 2" xfId="18042" xr:uid="{00000000-0005-0000-0000-0000BD2E0000}"/>
    <cellStyle name="20% - Accent4 4 7 4 2 2" xfId="40644" xr:uid="{00000000-0005-0000-0000-0000BE2E0000}"/>
    <cellStyle name="20% - Accent4 4 7 4 3" xfId="29343" xr:uid="{00000000-0005-0000-0000-0000BF2E0000}"/>
    <cellStyle name="20% - Accent4 4 7 5" xfId="12392" xr:uid="{00000000-0005-0000-0000-0000C02E0000}"/>
    <cellStyle name="20% - Accent4 4 7 5 2" xfId="34994" xr:uid="{00000000-0005-0000-0000-0000C12E0000}"/>
    <cellStyle name="20% - Accent4 4 7 6" xfId="23693" xr:uid="{00000000-0005-0000-0000-0000C22E0000}"/>
    <cellStyle name="20% - Accent4 4 8" xfId="1631" xr:uid="{00000000-0005-0000-0000-0000C32E0000}"/>
    <cellStyle name="20% - Accent4 4 8 2" xfId="3581" xr:uid="{00000000-0005-0000-0000-0000C42E0000}"/>
    <cellStyle name="20% - Accent4 4 8 2 2" xfId="9293" xr:uid="{00000000-0005-0000-0000-0000C52E0000}"/>
    <cellStyle name="20% - Accent4 4 8 2 2 2" xfId="20594" xr:uid="{00000000-0005-0000-0000-0000C62E0000}"/>
    <cellStyle name="20% - Accent4 4 8 2 2 2 2" xfId="43196" xr:uid="{00000000-0005-0000-0000-0000C72E0000}"/>
    <cellStyle name="20% - Accent4 4 8 2 2 3" xfId="31895" xr:uid="{00000000-0005-0000-0000-0000C82E0000}"/>
    <cellStyle name="20% - Accent4 4 8 2 3" xfId="14944" xr:uid="{00000000-0005-0000-0000-0000C92E0000}"/>
    <cellStyle name="20% - Accent4 4 8 2 3 2" xfId="37546" xr:uid="{00000000-0005-0000-0000-0000CA2E0000}"/>
    <cellStyle name="20% - Accent4 4 8 2 4" xfId="26245" xr:uid="{00000000-0005-0000-0000-0000CB2E0000}"/>
    <cellStyle name="20% - Accent4 4 8 3" xfId="5169" xr:uid="{00000000-0005-0000-0000-0000CC2E0000}"/>
    <cellStyle name="20% - Accent4 4 8 3 2" xfId="10819" xr:uid="{00000000-0005-0000-0000-0000CD2E0000}"/>
    <cellStyle name="20% - Accent4 4 8 3 2 2" xfId="22120" xr:uid="{00000000-0005-0000-0000-0000CE2E0000}"/>
    <cellStyle name="20% - Accent4 4 8 3 2 2 2" xfId="44722" xr:uid="{00000000-0005-0000-0000-0000CF2E0000}"/>
    <cellStyle name="20% - Accent4 4 8 3 2 3" xfId="33421" xr:uid="{00000000-0005-0000-0000-0000D02E0000}"/>
    <cellStyle name="20% - Accent4 4 8 3 3" xfId="16470" xr:uid="{00000000-0005-0000-0000-0000D12E0000}"/>
    <cellStyle name="20% - Accent4 4 8 3 3 2" xfId="39072" xr:uid="{00000000-0005-0000-0000-0000D22E0000}"/>
    <cellStyle name="20% - Accent4 4 8 3 4" xfId="27771" xr:uid="{00000000-0005-0000-0000-0000D32E0000}"/>
    <cellStyle name="20% - Accent4 4 8 4" xfId="7487" xr:uid="{00000000-0005-0000-0000-0000D42E0000}"/>
    <cellStyle name="20% - Accent4 4 8 4 2" xfId="18788" xr:uid="{00000000-0005-0000-0000-0000D52E0000}"/>
    <cellStyle name="20% - Accent4 4 8 4 2 2" xfId="41390" xr:uid="{00000000-0005-0000-0000-0000D62E0000}"/>
    <cellStyle name="20% - Accent4 4 8 4 3" xfId="30089" xr:uid="{00000000-0005-0000-0000-0000D72E0000}"/>
    <cellStyle name="20% - Accent4 4 8 5" xfId="13138" xr:uid="{00000000-0005-0000-0000-0000D82E0000}"/>
    <cellStyle name="20% - Accent4 4 8 5 2" xfId="35740" xr:uid="{00000000-0005-0000-0000-0000D92E0000}"/>
    <cellStyle name="20% - Accent4 4 8 6" xfId="24439" xr:uid="{00000000-0005-0000-0000-0000DA2E0000}"/>
    <cellStyle name="20% - Accent4 4 9" xfId="2140" xr:uid="{00000000-0005-0000-0000-0000DB2E0000}"/>
    <cellStyle name="20% - Accent4 4 9 2" xfId="7983" xr:uid="{00000000-0005-0000-0000-0000DC2E0000}"/>
    <cellStyle name="20% - Accent4 4 9 2 2" xfId="19284" xr:uid="{00000000-0005-0000-0000-0000DD2E0000}"/>
    <cellStyle name="20% - Accent4 4 9 2 2 2" xfId="41886" xr:uid="{00000000-0005-0000-0000-0000DE2E0000}"/>
    <cellStyle name="20% - Accent4 4 9 2 3" xfId="30585" xr:uid="{00000000-0005-0000-0000-0000DF2E0000}"/>
    <cellStyle name="20% - Accent4 4 9 3" xfId="13634" xr:uid="{00000000-0005-0000-0000-0000E02E0000}"/>
    <cellStyle name="20% - Accent4 4 9 3 2" xfId="36236" xr:uid="{00000000-0005-0000-0000-0000E12E0000}"/>
    <cellStyle name="20% - Accent4 4 9 4" xfId="24935" xr:uid="{00000000-0005-0000-0000-0000E22E0000}"/>
    <cellStyle name="20% - Accent4 5" xfId="212" xr:uid="{00000000-0005-0000-0000-0000E32E0000}"/>
    <cellStyle name="20% - Accent4 5 10" xfId="12077" xr:uid="{00000000-0005-0000-0000-0000E42E0000}"/>
    <cellStyle name="20% - Accent4 5 10 2" xfId="34679" xr:uid="{00000000-0005-0000-0000-0000E52E0000}"/>
    <cellStyle name="20% - Accent4 5 11" xfId="23378" xr:uid="{00000000-0005-0000-0000-0000E62E0000}"/>
    <cellStyle name="20% - Accent4 5 2" xfId="379" xr:uid="{00000000-0005-0000-0000-0000E72E0000}"/>
    <cellStyle name="20% - Accent4 5 2 10" xfId="23474" xr:uid="{00000000-0005-0000-0000-0000E82E0000}"/>
    <cellStyle name="20% - Accent4 5 2 2" xfId="624" xr:uid="{00000000-0005-0000-0000-0000E92E0000}"/>
    <cellStyle name="20% - Accent4 5 2 2 2" xfId="1334" xr:uid="{00000000-0005-0000-0000-0000EA2E0000}"/>
    <cellStyle name="20% - Accent4 5 2 2 2 2" xfId="1648" xr:uid="{00000000-0005-0000-0000-0000EB2E0000}"/>
    <cellStyle name="20% - Accent4 5 2 2 2 2 2" xfId="3403" xr:uid="{00000000-0005-0000-0000-0000EC2E0000}"/>
    <cellStyle name="20% - Accent4 5 2 2 2 2 2 2" xfId="6375" xr:uid="{00000000-0005-0000-0000-0000ED2E0000}"/>
    <cellStyle name="20% - Accent4 5 2 2 2 2 2 2 2" xfId="12025" xr:uid="{00000000-0005-0000-0000-0000EE2E0000}"/>
    <cellStyle name="20% - Accent4 5 2 2 2 2 2 2 2 2" xfId="23326" xr:uid="{00000000-0005-0000-0000-0000EF2E0000}"/>
    <cellStyle name="20% - Accent4 5 2 2 2 2 2 2 2 2 2" xfId="45928" xr:uid="{00000000-0005-0000-0000-0000F02E0000}"/>
    <cellStyle name="20% - Accent4 5 2 2 2 2 2 2 2 3" xfId="34627" xr:uid="{00000000-0005-0000-0000-0000F12E0000}"/>
    <cellStyle name="20% - Accent4 5 2 2 2 2 2 2 3" xfId="17676" xr:uid="{00000000-0005-0000-0000-0000F22E0000}"/>
    <cellStyle name="20% - Accent4 5 2 2 2 2 2 2 3 2" xfId="40278" xr:uid="{00000000-0005-0000-0000-0000F32E0000}"/>
    <cellStyle name="20% - Accent4 5 2 2 2 2 2 2 4" xfId="28977" xr:uid="{00000000-0005-0000-0000-0000F42E0000}"/>
    <cellStyle name="20% - Accent4 5 2 2 2 2 2 3" xfId="9193" xr:uid="{00000000-0005-0000-0000-0000F52E0000}"/>
    <cellStyle name="20% - Accent4 5 2 2 2 2 2 3 2" xfId="20494" xr:uid="{00000000-0005-0000-0000-0000F62E0000}"/>
    <cellStyle name="20% - Accent4 5 2 2 2 2 2 3 2 2" xfId="43096" xr:uid="{00000000-0005-0000-0000-0000F72E0000}"/>
    <cellStyle name="20% - Accent4 5 2 2 2 2 2 3 3" xfId="31795" xr:uid="{00000000-0005-0000-0000-0000F82E0000}"/>
    <cellStyle name="20% - Accent4 5 2 2 2 2 2 4" xfId="14844" xr:uid="{00000000-0005-0000-0000-0000F92E0000}"/>
    <cellStyle name="20% - Accent4 5 2 2 2 2 2 4 2" xfId="37446" xr:uid="{00000000-0005-0000-0000-0000FA2E0000}"/>
    <cellStyle name="20% - Accent4 5 2 2 2 2 2 5" xfId="26145" xr:uid="{00000000-0005-0000-0000-0000FB2E0000}"/>
    <cellStyle name="20% - Accent4 5 2 2 2 2 3" xfId="5141" xr:uid="{00000000-0005-0000-0000-0000FC2E0000}"/>
    <cellStyle name="20% - Accent4 5 2 2 2 2 3 2" xfId="10791" xr:uid="{00000000-0005-0000-0000-0000FD2E0000}"/>
    <cellStyle name="20% - Accent4 5 2 2 2 2 3 2 2" xfId="22092" xr:uid="{00000000-0005-0000-0000-0000FE2E0000}"/>
    <cellStyle name="20% - Accent4 5 2 2 2 2 3 2 2 2" xfId="44694" xr:uid="{00000000-0005-0000-0000-0000FF2E0000}"/>
    <cellStyle name="20% - Accent4 5 2 2 2 2 3 2 3" xfId="33393" xr:uid="{00000000-0005-0000-0000-0000002F0000}"/>
    <cellStyle name="20% - Accent4 5 2 2 2 2 3 3" xfId="16442" xr:uid="{00000000-0005-0000-0000-0000012F0000}"/>
    <cellStyle name="20% - Accent4 5 2 2 2 2 3 3 2" xfId="39044" xr:uid="{00000000-0005-0000-0000-0000022F0000}"/>
    <cellStyle name="20% - Accent4 5 2 2 2 2 3 4" xfId="27743" xr:uid="{00000000-0005-0000-0000-0000032F0000}"/>
    <cellStyle name="20% - Accent4 5 2 2 2 2 4" xfId="7504" xr:uid="{00000000-0005-0000-0000-0000042F0000}"/>
    <cellStyle name="20% - Accent4 5 2 2 2 2 4 2" xfId="18805" xr:uid="{00000000-0005-0000-0000-0000052F0000}"/>
    <cellStyle name="20% - Accent4 5 2 2 2 2 4 2 2" xfId="41407" xr:uid="{00000000-0005-0000-0000-0000062F0000}"/>
    <cellStyle name="20% - Accent4 5 2 2 2 2 4 3" xfId="30106" xr:uid="{00000000-0005-0000-0000-0000072F0000}"/>
    <cellStyle name="20% - Accent4 5 2 2 2 2 5" xfId="13155" xr:uid="{00000000-0005-0000-0000-0000082F0000}"/>
    <cellStyle name="20% - Accent4 5 2 2 2 2 5 2" xfId="35757" xr:uid="{00000000-0005-0000-0000-0000092F0000}"/>
    <cellStyle name="20% - Accent4 5 2 2 2 2 6" xfId="24456" xr:uid="{00000000-0005-0000-0000-00000A2F0000}"/>
    <cellStyle name="20% - Accent4 5 2 2 2 3" xfId="2732" xr:uid="{00000000-0005-0000-0000-00000B2F0000}"/>
    <cellStyle name="20% - Accent4 5 2 2 2 3 2" xfId="5751" xr:uid="{00000000-0005-0000-0000-00000C2F0000}"/>
    <cellStyle name="20% - Accent4 5 2 2 2 3 2 2" xfId="11401" xr:uid="{00000000-0005-0000-0000-00000D2F0000}"/>
    <cellStyle name="20% - Accent4 5 2 2 2 3 2 2 2" xfId="22702" xr:uid="{00000000-0005-0000-0000-00000E2F0000}"/>
    <cellStyle name="20% - Accent4 5 2 2 2 3 2 2 2 2" xfId="45304" xr:uid="{00000000-0005-0000-0000-00000F2F0000}"/>
    <cellStyle name="20% - Accent4 5 2 2 2 3 2 2 3" xfId="34003" xr:uid="{00000000-0005-0000-0000-0000102F0000}"/>
    <cellStyle name="20% - Accent4 5 2 2 2 3 2 3" xfId="17052" xr:uid="{00000000-0005-0000-0000-0000112F0000}"/>
    <cellStyle name="20% - Accent4 5 2 2 2 3 2 3 2" xfId="39654" xr:uid="{00000000-0005-0000-0000-0000122F0000}"/>
    <cellStyle name="20% - Accent4 5 2 2 2 3 2 4" xfId="28353" xr:uid="{00000000-0005-0000-0000-0000132F0000}"/>
    <cellStyle name="20% - Accent4 5 2 2 2 3 3" xfId="8568" xr:uid="{00000000-0005-0000-0000-0000142F0000}"/>
    <cellStyle name="20% - Accent4 5 2 2 2 3 3 2" xfId="19869" xr:uid="{00000000-0005-0000-0000-0000152F0000}"/>
    <cellStyle name="20% - Accent4 5 2 2 2 3 3 2 2" xfId="42471" xr:uid="{00000000-0005-0000-0000-0000162F0000}"/>
    <cellStyle name="20% - Accent4 5 2 2 2 3 3 3" xfId="31170" xr:uid="{00000000-0005-0000-0000-0000172F0000}"/>
    <cellStyle name="20% - Accent4 5 2 2 2 3 4" xfId="14219" xr:uid="{00000000-0005-0000-0000-0000182F0000}"/>
    <cellStyle name="20% - Accent4 5 2 2 2 3 4 2" xfId="36821" xr:uid="{00000000-0005-0000-0000-0000192F0000}"/>
    <cellStyle name="20% - Accent4 5 2 2 2 3 5" xfId="25520" xr:uid="{00000000-0005-0000-0000-00001A2F0000}"/>
    <cellStyle name="20% - Accent4 5 2 2 2 4" xfId="4517" xr:uid="{00000000-0005-0000-0000-00001B2F0000}"/>
    <cellStyle name="20% - Accent4 5 2 2 2 4 2" xfId="10167" xr:uid="{00000000-0005-0000-0000-00001C2F0000}"/>
    <cellStyle name="20% - Accent4 5 2 2 2 4 2 2" xfId="21468" xr:uid="{00000000-0005-0000-0000-00001D2F0000}"/>
    <cellStyle name="20% - Accent4 5 2 2 2 4 2 2 2" xfId="44070" xr:uid="{00000000-0005-0000-0000-00001E2F0000}"/>
    <cellStyle name="20% - Accent4 5 2 2 2 4 2 3" xfId="32769" xr:uid="{00000000-0005-0000-0000-00001F2F0000}"/>
    <cellStyle name="20% - Accent4 5 2 2 2 4 3" xfId="15818" xr:uid="{00000000-0005-0000-0000-0000202F0000}"/>
    <cellStyle name="20% - Accent4 5 2 2 2 4 3 2" xfId="38420" xr:uid="{00000000-0005-0000-0000-0000212F0000}"/>
    <cellStyle name="20% - Accent4 5 2 2 2 4 4" xfId="27119" xr:uid="{00000000-0005-0000-0000-0000222F0000}"/>
    <cellStyle name="20% - Accent4 5 2 2 2 5" xfId="7313" xr:uid="{00000000-0005-0000-0000-0000232F0000}"/>
    <cellStyle name="20% - Accent4 5 2 2 2 5 2" xfId="18614" xr:uid="{00000000-0005-0000-0000-0000242F0000}"/>
    <cellStyle name="20% - Accent4 5 2 2 2 5 2 2" xfId="41216" xr:uid="{00000000-0005-0000-0000-0000252F0000}"/>
    <cellStyle name="20% - Accent4 5 2 2 2 5 3" xfId="29915" xr:uid="{00000000-0005-0000-0000-0000262F0000}"/>
    <cellStyle name="20% - Accent4 5 2 2 2 6" xfId="12964" xr:uid="{00000000-0005-0000-0000-0000272F0000}"/>
    <cellStyle name="20% - Accent4 5 2 2 2 6 2" xfId="35566" xr:uid="{00000000-0005-0000-0000-0000282F0000}"/>
    <cellStyle name="20% - Accent4 5 2 2 2 7" xfId="24265" xr:uid="{00000000-0005-0000-0000-0000292F0000}"/>
    <cellStyle name="20% - Accent4 5 2 2 3" xfId="1032" xr:uid="{00000000-0005-0000-0000-00002A2F0000}"/>
    <cellStyle name="20% - Accent4 5 2 2 3 2" xfId="3095" xr:uid="{00000000-0005-0000-0000-00002B2F0000}"/>
    <cellStyle name="20% - Accent4 5 2 2 3 2 2" xfId="6067" xr:uid="{00000000-0005-0000-0000-00002C2F0000}"/>
    <cellStyle name="20% - Accent4 5 2 2 3 2 2 2" xfId="11717" xr:uid="{00000000-0005-0000-0000-00002D2F0000}"/>
    <cellStyle name="20% - Accent4 5 2 2 3 2 2 2 2" xfId="23018" xr:uid="{00000000-0005-0000-0000-00002E2F0000}"/>
    <cellStyle name="20% - Accent4 5 2 2 3 2 2 2 2 2" xfId="45620" xr:uid="{00000000-0005-0000-0000-00002F2F0000}"/>
    <cellStyle name="20% - Accent4 5 2 2 3 2 2 2 3" xfId="34319" xr:uid="{00000000-0005-0000-0000-0000302F0000}"/>
    <cellStyle name="20% - Accent4 5 2 2 3 2 2 3" xfId="17368" xr:uid="{00000000-0005-0000-0000-0000312F0000}"/>
    <cellStyle name="20% - Accent4 5 2 2 3 2 2 3 2" xfId="39970" xr:uid="{00000000-0005-0000-0000-0000322F0000}"/>
    <cellStyle name="20% - Accent4 5 2 2 3 2 2 4" xfId="28669" xr:uid="{00000000-0005-0000-0000-0000332F0000}"/>
    <cellStyle name="20% - Accent4 5 2 2 3 2 3" xfId="8885" xr:uid="{00000000-0005-0000-0000-0000342F0000}"/>
    <cellStyle name="20% - Accent4 5 2 2 3 2 3 2" xfId="20186" xr:uid="{00000000-0005-0000-0000-0000352F0000}"/>
    <cellStyle name="20% - Accent4 5 2 2 3 2 3 2 2" xfId="42788" xr:uid="{00000000-0005-0000-0000-0000362F0000}"/>
    <cellStyle name="20% - Accent4 5 2 2 3 2 3 3" xfId="31487" xr:uid="{00000000-0005-0000-0000-0000372F0000}"/>
    <cellStyle name="20% - Accent4 5 2 2 3 2 4" xfId="14536" xr:uid="{00000000-0005-0000-0000-0000382F0000}"/>
    <cellStyle name="20% - Accent4 5 2 2 3 2 4 2" xfId="37138" xr:uid="{00000000-0005-0000-0000-0000392F0000}"/>
    <cellStyle name="20% - Accent4 5 2 2 3 2 5" xfId="25837" xr:uid="{00000000-0005-0000-0000-00003A2F0000}"/>
    <cellStyle name="20% - Accent4 5 2 2 3 3" xfId="4833" xr:uid="{00000000-0005-0000-0000-00003B2F0000}"/>
    <cellStyle name="20% - Accent4 5 2 2 3 3 2" xfId="10483" xr:uid="{00000000-0005-0000-0000-00003C2F0000}"/>
    <cellStyle name="20% - Accent4 5 2 2 3 3 2 2" xfId="21784" xr:uid="{00000000-0005-0000-0000-00003D2F0000}"/>
    <cellStyle name="20% - Accent4 5 2 2 3 3 2 2 2" xfId="44386" xr:uid="{00000000-0005-0000-0000-00003E2F0000}"/>
    <cellStyle name="20% - Accent4 5 2 2 3 3 2 3" xfId="33085" xr:uid="{00000000-0005-0000-0000-00003F2F0000}"/>
    <cellStyle name="20% - Accent4 5 2 2 3 3 3" xfId="16134" xr:uid="{00000000-0005-0000-0000-0000402F0000}"/>
    <cellStyle name="20% - Accent4 5 2 2 3 3 3 2" xfId="38736" xr:uid="{00000000-0005-0000-0000-0000412F0000}"/>
    <cellStyle name="20% - Accent4 5 2 2 3 3 4" xfId="27435" xr:uid="{00000000-0005-0000-0000-0000422F0000}"/>
    <cellStyle name="20% - Accent4 5 2 2 3 4" xfId="7020" xr:uid="{00000000-0005-0000-0000-0000432F0000}"/>
    <cellStyle name="20% - Accent4 5 2 2 3 4 2" xfId="18321" xr:uid="{00000000-0005-0000-0000-0000442F0000}"/>
    <cellStyle name="20% - Accent4 5 2 2 3 4 2 2" xfId="40923" xr:uid="{00000000-0005-0000-0000-0000452F0000}"/>
    <cellStyle name="20% - Accent4 5 2 2 3 4 3" xfId="29622" xr:uid="{00000000-0005-0000-0000-0000462F0000}"/>
    <cellStyle name="20% - Accent4 5 2 2 3 5" xfId="12671" xr:uid="{00000000-0005-0000-0000-0000472F0000}"/>
    <cellStyle name="20% - Accent4 5 2 2 3 5 2" xfId="35273" xr:uid="{00000000-0005-0000-0000-0000482F0000}"/>
    <cellStyle name="20% - Accent4 5 2 2 3 6" xfId="23972" xr:uid="{00000000-0005-0000-0000-0000492F0000}"/>
    <cellStyle name="20% - Accent4 5 2 2 4" xfId="1647" xr:uid="{00000000-0005-0000-0000-00004A2F0000}"/>
    <cellStyle name="20% - Accent4 5 2 2 4 2" xfId="3590" xr:uid="{00000000-0005-0000-0000-00004B2F0000}"/>
    <cellStyle name="20% - Accent4 5 2 2 4 2 2" xfId="9302" xr:uid="{00000000-0005-0000-0000-00004C2F0000}"/>
    <cellStyle name="20% - Accent4 5 2 2 4 2 2 2" xfId="20603" xr:uid="{00000000-0005-0000-0000-00004D2F0000}"/>
    <cellStyle name="20% - Accent4 5 2 2 4 2 2 2 2" xfId="43205" xr:uid="{00000000-0005-0000-0000-00004E2F0000}"/>
    <cellStyle name="20% - Accent4 5 2 2 4 2 2 3" xfId="31904" xr:uid="{00000000-0005-0000-0000-00004F2F0000}"/>
    <cellStyle name="20% - Accent4 5 2 2 4 2 3" xfId="14953" xr:uid="{00000000-0005-0000-0000-0000502F0000}"/>
    <cellStyle name="20% - Accent4 5 2 2 4 2 3 2" xfId="37555" xr:uid="{00000000-0005-0000-0000-0000512F0000}"/>
    <cellStyle name="20% - Accent4 5 2 2 4 2 4" xfId="26254" xr:uid="{00000000-0005-0000-0000-0000522F0000}"/>
    <cellStyle name="20% - Accent4 5 2 2 4 3" xfId="5443" xr:uid="{00000000-0005-0000-0000-0000532F0000}"/>
    <cellStyle name="20% - Accent4 5 2 2 4 3 2" xfId="11093" xr:uid="{00000000-0005-0000-0000-0000542F0000}"/>
    <cellStyle name="20% - Accent4 5 2 2 4 3 2 2" xfId="22394" xr:uid="{00000000-0005-0000-0000-0000552F0000}"/>
    <cellStyle name="20% - Accent4 5 2 2 4 3 2 2 2" xfId="44996" xr:uid="{00000000-0005-0000-0000-0000562F0000}"/>
    <cellStyle name="20% - Accent4 5 2 2 4 3 2 3" xfId="33695" xr:uid="{00000000-0005-0000-0000-0000572F0000}"/>
    <cellStyle name="20% - Accent4 5 2 2 4 3 3" xfId="16744" xr:uid="{00000000-0005-0000-0000-0000582F0000}"/>
    <cellStyle name="20% - Accent4 5 2 2 4 3 3 2" xfId="39346" xr:uid="{00000000-0005-0000-0000-0000592F0000}"/>
    <cellStyle name="20% - Accent4 5 2 2 4 3 4" xfId="28045" xr:uid="{00000000-0005-0000-0000-00005A2F0000}"/>
    <cellStyle name="20% - Accent4 5 2 2 4 4" xfId="7503" xr:uid="{00000000-0005-0000-0000-00005B2F0000}"/>
    <cellStyle name="20% - Accent4 5 2 2 4 4 2" xfId="18804" xr:uid="{00000000-0005-0000-0000-00005C2F0000}"/>
    <cellStyle name="20% - Accent4 5 2 2 4 4 2 2" xfId="41406" xr:uid="{00000000-0005-0000-0000-00005D2F0000}"/>
    <cellStyle name="20% - Accent4 5 2 2 4 4 3" xfId="30105" xr:uid="{00000000-0005-0000-0000-00005E2F0000}"/>
    <cellStyle name="20% - Accent4 5 2 2 4 5" xfId="13154" xr:uid="{00000000-0005-0000-0000-00005F2F0000}"/>
    <cellStyle name="20% - Accent4 5 2 2 4 5 2" xfId="35756" xr:uid="{00000000-0005-0000-0000-0000602F0000}"/>
    <cellStyle name="20% - Accent4 5 2 2 4 6" xfId="24455" xr:uid="{00000000-0005-0000-0000-0000612F0000}"/>
    <cellStyle name="20% - Accent4 5 2 2 5" xfId="2424" xr:uid="{00000000-0005-0000-0000-0000622F0000}"/>
    <cellStyle name="20% - Accent4 5 2 2 5 2" xfId="8260" xr:uid="{00000000-0005-0000-0000-0000632F0000}"/>
    <cellStyle name="20% - Accent4 5 2 2 5 2 2" xfId="19561" xr:uid="{00000000-0005-0000-0000-0000642F0000}"/>
    <cellStyle name="20% - Accent4 5 2 2 5 2 2 2" xfId="42163" xr:uid="{00000000-0005-0000-0000-0000652F0000}"/>
    <cellStyle name="20% - Accent4 5 2 2 5 2 3" xfId="30862" xr:uid="{00000000-0005-0000-0000-0000662F0000}"/>
    <cellStyle name="20% - Accent4 5 2 2 5 3" xfId="13911" xr:uid="{00000000-0005-0000-0000-0000672F0000}"/>
    <cellStyle name="20% - Accent4 5 2 2 5 3 2" xfId="36513" xr:uid="{00000000-0005-0000-0000-0000682F0000}"/>
    <cellStyle name="20% - Accent4 5 2 2 5 4" xfId="25212" xr:uid="{00000000-0005-0000-0000-0000692F0000}"/>
    <cellStyle name="20% - Accent4 5 2 2 6" xfId="4209" xr:uid="{00000000-0005-0000-0000-00006A2F0000}"/>
    <cellStyle name="20% - Accent4 5 2 2 6 2" xfId="9859" xr:uid="{00000000-0005-0000-0000-00006B2F0000}"/>
    <cellStyle name="20% - Accent4 5 2 2 6 2 2" xfId="21160" xr:uid="{00000000-0005-0000-0000-00006C2F0000}"/>
    <cellStyle name="20% - Accent4 5 2 2 6 2 2 2" xfId="43762" xr:uid="{00000000-0005-0000-0000-00006D2F0000}"/>
    <cellStyle name="20% - Accent4 5 2 2 6 2 3" xfId="32461" xr:uid="{00000000-0005-0000-0000-00006E2F0000}"/>
    <cellStyle name="20% - Accent4 5 2 2 6 3" xfId="15510" xr:uid="{00000000-0005-0000-0000-00006F2F0000}"/>
    <cellStyle name="20% - Accent4 5 2 2 6 3 2" xfId="38112" xr:uid="{00000000-0005-0000-0000-0000702F0000}"/>
    <cellStyle name="20% - Accent4 5 2 2 6 4" xfId="26811" xr:uid="{00000000-0005-0000-0000-0000712F0000}"/>
    <cellStyle name="20% - Accent4 5 2 2 7" xfId="6689" xr:uid="{00000000-0005-0000-0000-0000722F0000}"/>
    <cellStyle name="20% - Accent4 5 2 2 7 2" xfId="17990" xr:uid="{00000000-0005-0000-0000-0000732F0000}"/>
    <cellStyle name="20% - Accent4 5 2 2 7 2 2" xfId="40592" xr:uid="{00000000-0005-0000-0000-0000742F0000}"/>
    <cellStyle name="20% - Accent4 5 2 2 7 3" xfId="29291" xr:uid="{00000000-0005-0000-0000-0000752F0000}"/>
    <cellStyle name="20% - Accent4 5 2 2 8" xfId="12340" xr:uid="{00000000-0005-0000-0000-0000762F0000}"/>
    <cellStyle name="20% - Accent4 5 2 2 8 2" xfId="34942" xr:uid="{00000000-0005-0000-0000-0000772F0000}"/>
    <cellStyle name="20% - Accent4 5 2 2 9" xfId="23641" xr:uid="{00000000-0005-0000-0000-0000782F0000}"/>
    <cellStyle name="20% - Accent4 5 2 3" xfId="1196" xr:uid="{00000000-0005-0000-0000-0000792F0000}"/>
    <cellStyle name="20% - Accent4 5 2 3 2" xfId="1649" xr:uid="{00000000-0005-0000-0000-00007A2F0000}"/>
    <cellStyle name="20% - Accent4 5 2 3 2 2" xfId="3264" xr:uid="{00000000-0005-0000-0000-00007B2F0000}"/>
    <cellStyle name="20% - Accent4 5 2 3 2 2 2" xfId="6236" xr:uid="{00000000-0005-0000-0000-00007C2F0000}"/>
    <cellStyle name="20% - Accent4 5 2 3 2 2 2 2" xfId="11886" xr:uid="{00000000-0005-0000-0000-00007D2F0000}"/>
    <cellStyle name="20% - Accent4 5 2 3 2 2 2 2 2" xfId="23187" xr:uid="{00000000-0005-0000-0000-00007E2F0000}"/>
    <cellStyle name="20% - Accent4 5 2 3 2 2 2 2 2 2" xfId="45789" xr:uid="{00000000-0005-0000-0000-00007F2F0000}"/>
    <cellStyle name="20% - Accent4 5 2 3 2 2 2 2 3" xfId="34488" xr:uid="{00000000-0005-0000-0000-0000802F0000}"/>
    <cellStyle name="20% - Accent4 5 2 3 2 2 2 3" xfId="17537" xr:uid="{00000000-0005-0000-0000-0000812F0000}"/>
    <cellStyle name="20% - Accent4 5 2 3 2 2 2 3 2" xfId="40139" xr:uid="{00000000-0005-0000-0000-0000822F0000}"/>
    <cellStyle name="20% - Accent4 5 2 3 2 2 2 4" xfId="28838" xr:uid="{00000000-0005-0000-0000-0000832F0000}"/>
    <cellStyle name="20% - Accent4 5 2 3 2 2 3" xfId="9054" xr:uid="{00000000-0005-0000-0000-0000842F0000}"/>
    <cellStyle name="20% - Accent4 5 2 3 2 2 3 2" xfId="20355" xr:uid="{00000000-0005-0000-0000-0000852F0000}"/>
    <cellStyle name="20% - Accent4 5 2 3 2 2 3 2 2" xfId="42957" xr:uid="{00000000-0005-0000-0000-0000862F0000}"/>
    <cellStyle name="20% - Accent4 5 2 3 2 2 3 3" xfId="31656" xr:uid="{00000000-0005-0000-0000-0000872F0000}"/>
    <cellStyle name="20% - Accent4 5 2 3 2 2 4" xfId="14705" xr:uid="{00000000-0005-0000-0000-0000882F0000}"/>
    <cellStyle name="20% - Accent4 5 2 3 2 2 4 2" xfId="37307" xr:uid="{00000000-0005-0000-0000-0000892F0000}"/>
    <cellStyle name="20% - Accent4 5 2 3 2 2 5" xfId="26006" xr:uid="{00000000-0005-0000-0000-00008A2F0000}"/>
    <cellStyle name="20% - Accent4 5 2 3 2 3" xfId="5002" xr:uid="{00000000-0005-0000-0000-00008B2F0000}"/>
    <cellStyle name="20% - Accent4 5 2 3 2 3 2" xfId="10652" xr:uid="{00000000-0005-0000-0000-00008C2F0000}"/>
    <cellStyle name="20% - Accent4 5 2 3 2 3 2 2" xfId="21953" xr:uid="{00000000-0005-0000-0000-00008D2F0000}"/>
    <cellStyle name="20% - Accent4 5 2 3 2 3 2 2 2" xfId="44555" xr:uid="{00000000-0005-0000-0000-00008E2F0000}"/>
    <cellStyle name="20% - Accent4 5 2 3 2 3 2 3" xfId="33254" xr:uid="{00000000-0005-0000-0000-00008F2F0000}"/>
    <cellStyle name="20% - Accent4 5 2 3 2 3 3" xfId="16303" xr:uid="{00000000-0005-0000-0000-0000902F0000}"/>
    <cellStyle name="20% - Accent4 5 2 3 2 3 3 2" xfId="38905" xr:uid="{00000000-0005-0000-0000-0000912F0000}"/>
    <cellStyle name="20% - Accent4 5 2 3 2 3 4" xfId="27604" xr:uid="{00000000-0005-0000-0000-0000922F0000}"/>
    <cellStyle name="20% - Accent4 5 2 3 2 4" xfId="7505" xr:uid="{00000000-0005-0000-0000-0000932F0000}"/>
    <cellStyle name="20% - Accent4 5 2 3 2 4 2" xfId="18806" xr:uid="{00000000-0005-0000-0000-0000942F0000}"/>
    <cellStyle name="20% - Accent4 5 2 3 2 4 2 2" xfId="41408" xr:uid="{00000000-0005-0000-0000-0000952F0000}"/>
    <cellStyle name="20% - Accent4 5 2 3 2 4 3" xfId="30107" xr:uid="{00000000-0005-0000-0000-0000962F0000}"/>
    <cellStyle name="20% - Accent4 5 2 3 2 5" xfId="13156" xr:uid="{00000000-0005-0000-0000-0000972F0000}"/>
    <cellStyle name="20% - Accent4 5 2 3 2 5 2" xfId="35758" xr:uid="{00000000-0005-0000-0000-0000982F0000}"/>
    <cellStyle name="20% - Accent4 5 2 3 2 6" xfId="24457" xr:uid="{00000000-0005-0000-0000-0000992F0000}"/>
    <cellStyle name="20% - Accent4 5 2 3 3" xfId="2593" xr:uid="{00000000-0005-0000-0000-00009A2F0000}"/>
    <cellStyle name="20% - Accent4 5 2 3 3 2" xfId="5612" xr:uid="{00000000-0005-0000-0000-00009B2F0000}"/>
    <cellStyle name="20% - Accent4 5 2 3 3 2 2" xfId="11262" xr:uid="{00000000-0005-0000-0000-00009C2F0000}"/>
    <cellStyle name="20% - Accent4 5 2 3 3 2 2 2" xfId="22563" xr:uid="{00000000-0005-0000-0000-00009D2F0000}"/>
    <cellStyle name="20% - Accent4 5 2 3 3 2 2 2 2" xfId="45165" xr:uid="{00000000-0005-0000-0000-00009E2F0000}"/>
    <cellStyle name="20% - Accent4 5 2 3 3 2 2 3" xfId="33864" xr:uid="{00000000-0005-0000-0000-00009F2F0000}"/>
    <cellStyle name="20% - Accent4 5 2 3 3 2 3" xfId="16913" xr:uid="{00000000-0005-0000-0000-0000A02F0000}"/>
    <cellStyle name="20% - Accent4 5 2 3 3 2 3 2" xfId="39515" xr:uid="{00000000-0005-0000-0000-0000A12F0000}"/>
    <cellStyle name="20% - Accent4 5 2 3 3 2 4" xfId="28214" xr:uid="{00000000-0005-0000-0000-0000A22F0000}"/>
    <cellStyle name="20% - Accent4 5 2 3 3 3" xfId="8429" xr:uid="{00000000-0005-0000-0000-0000A32F0000}"/>
    <cellStyle name="20% - Accent4 5 2 3 3 3 2" xfId="19730" xr:uid="{00000000-0005-0000-0000-0000A42F0000}"/>
    <cellStyle name="20% - Accent4 5 2 3 3 3 2 2" xfId="42332" xr:uid="{00000000-0005-0000-0000-0000A52F0000}"/>
    <cellStyle name="20% - Accent4 5 2 3 3 3 3" xfId="31031" xr:uid="{00000000-0005-0000-0000-0000A62F0000}"/>
    <cellStyle name="20% - Accent4 5 2 3 3 4" xfId="14080" xr:uid="{00000000-0005-0000-0000-0000A72F0000}"/>
    <cellStyle name="20% - Accent4 5 2 3 3 4 2" xfId="36682" xr:uid="{00000000-0005-0000-0000-0000A82F0000}"/>
    <cellStyle name="20% - Accent4 5 2 3 3 5" xfId="25381" xr:uid="{00000000-0005-0000-0000-0000A92F0000}"/>
    <cellStyle name="20% - Accent4 5 2 3 4" xfId="4378" xr:uid="{00000000-0005-0000-0000-0000AA2F0000}"/>
    <cellStyle name="20% - Accent4 5 2 3 4 2" xfId="10028" xr:uid="{00000000-0005-0000-0000-0000AB2F0000}"/>
    <cellStyle name="20% - Accent4 5 2 3 4 2 2" xfId="21329" xr:uid="{00000000-0005-0000-0000-0000AC2F0000}"/>
    <cellStyle name="20% - Accent4 5 2 3 4 2 2 2" xfId="43931" xr:uid="{00000000-0005-0000-0000-0000AD2F0000}"/>
    <cellStyle name="20% - Accent4 5 2 3 4 2 3" xfId="32630" xr:uid="{00000000-0005-0000-0000-0000AE2F0000}"/>
    <cellStyle name="20% - Accent4 5 2 3 4 3" xfId="15679" xr:uid="{00000000-0005-0000-0000-0000AF2F0000}"/>
    <cellStyle name="20% - Accent4 5 2 3 4 3 2" xfId="38281" xr:uid="{00000000-0005-0000-0000-0000B02F0000}"/>
    <cellStyle name="20% - Accent4 5 2 3 4 4" xfId="26980" xr:uid="{00000000-0005-0000-0000-0000B12F0000}"/>
    <cellStyle name="20% - Accent4 5 2 3 5" xfId="7175" xr:uid="{00000000-0005-0000-0000-0000B22F0000}"/>
    <cellStyle name="20% - Accent4 5 2 3 5 2" xfId="18476" xr:uid="{00000000-0005-0000-0000-0000B32F0000}"/>
    <cellStyle name="20% - Accent4 5 2 3 5 2 2" xfId="41078" xr:uid="{00000000-0005-0000-0000-0000B42F0000}"/>
    <cellStyle name="20% - Accent4 5 2 3 5 3" xfId="29777" xr:uid="{00000000-0005-0000-0000-0000B52F0000}"/>
    <cellStyle name="20% - Accent4 5 2 3 6" xfId="12826" xr:uid="{00000000-0005-0000-0000-0000B62F0000}"/>
    <cellStyle name="20% - Accent4 5 2 3 6 2" xfId="35428" xr:uid="{00000000-0005-0000-0000-0000B72F0000}"/>
    <cellStyle name="20% - Accent4 5 2 3 7" xfId="24127" xr:uid="{00000000-0005-0000-0000-0000B82F0000}"/>
    <cellStyle name="20% - Accent4 5 2 4" xfId="887" xr:uid="{00000000-0005-0000-0000-0000B92F0000}"/>
    <cellStyle name="20% - Accent4 5 2 4 2" xfId="2957" xr:uid="{00000000-0005-0000-0000-0000BA2F0000}"/>
    <cellStyle name="20% - Accent4 5 2 4 2 2" xfId="5929" xr:uid="{00000000-0005-0000-0000-0000BB2F0000}"/>
    <cellStyle name="20% - Accent4 5 2 4 2 2 2" xfId="11579" xr:uid="{00000000-0005-0000-0000-0000BC2F0000}"/>
    <cellStyle name="20% - Accent4 5 2 4 2 2 2 2" xfId="22880" xr:uid="{00000000-0005-0000-0000-0000BD2F0000}"/>
    <cellStyle name="20% - Accent4 5 2 4 2 2 2 2 2" xfId="45482" xr:uid="{00000000-0005-0000-0000-0000BE2F0000}"/>
    <cellStyle name="20% - Accent4 5 2 4 2 2 2 3" xfId="34181" xr:uid="{00000000-0005-0000-0000-0000BF2F0000}"/>
    <cellStyle name="20% - Accent4 5 2 4 2 2 3" xfId="17230" xr:uid="{00000000-0005-0000-0000-0000C02F0000}"/>
    <cellStyle name="20% - Accent4 5 2 4 2 2 3 2" xfId="39832" xr:uid="{00000000-0005-0000-0000-0000C12F0000}"/>
    <cellStyle name="20% - Accent4 5 2 4 2 2 4" xfId="28531" xr:uid="{00000000-0005-0000-0000-0000C22F0000}"/>
    <cellStyle name="20% - Accent4 5 2 4 2 3" xfId="8747" xr:uid="{00000000-0005-0000-0000-0000C32F0000}"/>
    <cellStyle name="20% - Accent4 5 2 4 2 3 2" xfId="20048" xr:uid="{00000000-0005-0000-0000-0000C42F0000}"/>
    <cellStyle name="20% - Accent4 5 2 4 2 3 2 2" xfId="42650" xr:uid="{00000000-0005-0000-0000-0000C52F0000}"/>
    <cellStyle name="20% - Accent4 5 2 4 2 3 3" xfId="31349" xr:uid="{00000000-0005-0000-0000-0000C62F0000}"/>
    <cellStyle name="20% - Accent4 5 2 4 2 4" xfId="14398" xr:uid="{00000000-0005-0000-0000-0000C72F0000}"/>
    <cellStyle name="20% - Accent4 5 2 4 2 4 2" xfId="37000" xr:uid="{00000000-0005-0000-0000-0000C82F0000}"/>
    <cellStyle name="20% - Accent4 5 2 4 2 5" xfId="25699" xr:uid="{00000000-0005-0000-0000-0000C92F0000}"/>
    <cellStyle name="20% - Accent4 5 2 4 3" xfId="4695" xr:uid="{00000000-0005-0000-0000-0000CA2F0000}"/>
    <cellStyle name="20% - Accent4 5 2 4 3 2" xfId="10345" xr:uid="{00000000-0005-0000-0000-0000CB2F0000}"/>
    <cellStyle name="20% - Accent4 5 2 4 3 2 2" xfId="21646" xr:uid="{00000000-0005-0000-0000-0000CC2F0000}"/>
    <cellStyle name="20% - Accent4 5 2 4 3 2 2 2" xfId="44248" xr:uid="{00000000-0005-0000-0000-0000CD2F0000}"/>
    <cellStyle name="20% - Accent4 5 2 4 3 2 3" xfId="32947" xr:uid="{00000000-0005-0000-0000-0000CE2F0000}"/>
    <cellStyle name="20% - Accent4 5 2 4 3 3" xfId="15996" xr:uid="{00000000-0005-0000-0000-0000CF2F0000}"/>
    <cellStyle name="20% - Accent4 5 2 4 3 3 2" xfId="38598" xr:uid="{00000000-0005-0000-0000-0000D02F0000}"/>
    <cellStyle name="20% - Accent4 5 2 4 3 4" xfId="27297" xr:uid="{00000000-0005-0000-0000-0000D12F0000}"/>
    <cellStyle name="20% - Accent4 5 2 4 4" xfId="6882" xr:uid="{00000000-0005-0000-0000-0000D22F0000}"/>
    <cellStyle name="20% - Accent4 5 2 4 4 2" xfId="18183" xr:uid="{00000000-0005-0000-0000-0000D32F0000}"/>
    <cellStyle name="20% - Accent4 5 2 4 4 2 2" xfId="40785" xr:uid="{00000000-0005-0000-0000-0000D42F0000}"/>
    <cellStyle name="20% - Accent4 5 2 4 4 3" xfId="29484" xr:uid="{00000000-0005-0000-0000-0000D52F0000}"/>
    <cellStyle name="20% - Accent4 5 2 4 5" xfId="12533" xr:uid="{00000000-0005-0000-0000-0000D62F0000}"/>
    <cellStyle name="20% - Accent4 5 2 4 5 2" xfId="35135" xr:uid="{00000000-0005-0000-0000-0000D72F0000}"/>
    <cellStyle name="20% - Accent4 5 2 4 6" xfId="23834" xr:uid="{00000000-0005-0000-0000-0000D82F0000}"/>
    <cellStyle name="20% - Accent4 5 2 5" xfId="1646" xr:uid="{00000000-0005-0000-0000-0000D92F0000}"/>
    <cellStyle name="20% - Accent4 5 2 5 2" xfId="3589" xr:uid="{00000000-0005-0000-0000-0000DA2F0000}"/>
    <cellStyle name="20% - Accent4 5 2 5 2 2" xfId="9301" xr:uid="{00000000-0005-0000-0000-0000DB2F0000}"/>
    <cellStyle name="20% - Accent4 5 2 5 2 2 2" xfId="20602" xr:uid="{00000000-0005-0000-0000-0000DC2F0000}"/>
    <cellStyle name="20% - Accent4 5 2 5 2 2 2 2" xfId="43204" xr:uid="{00000000-0005-0000-0000-0000DD2F0000}"/>
    <cellStyle name="20% - Accent4 5 2 5 2 2 3" xfId="31903" xr:uid="{00000000-0005-0000-0000-0000DE2F0000}"/>
    <cellStyle name="20% - Accent4 5 2 5 2 3" xfId="14952" xr:uid="{00000000-0005-0000-0000-0000DF2F0000}"/>
    <cellStyle name="20% - Accent4 5 2 5 2 3 2" xfId="37554" xr:uid="{00000000-0005-0000-0000-0000E02F0000}"/>
    <cellStyle name="20% - Accent4 5 2 5 2 4" xfId="26253" xr:uid="{00000000-0005-0000-0000-0000E12F0000}"/>
    <cellStyle name="20% - Accent4 5 2 5 3" xfId="5305" xr:uid="{00000000-0005-0000-0000-0000E22F0000}"/>
    <cellStyle name="20% - Accent4 5 2 5 3 2" xfId="10955" xr:uid="{00000000-0005-0000-0000-0000E32F0000}"/>
    <cellStyle name="20% - Accent4 5 2 5 3 2 2" xfId="22256" xr:uid="{00000000-0005-0000-0000-0000E42F0000}"/>
    <cellStyle name="20% - Accent4 5 2 5 3 2 2 2" xfId="44858" xr:uid="{00000000-0005-0000-0000-0000E52F0000}"/>
    <cellStyle name="20% - Accent4 5 2 5 3 2 3" xfId="33557" xr:uid="{00000000-0005-0000-0000-0000E62F0000}"/>
    <cellStyle name="20% - Accent4 5 2 5 3 3" xfId="16606" xr:uid="{00000000-0005-0000-0000-0000E72F0000}"/>
    <cellStyle name="20% - Accent4 5 2 5 3 3 2" xfId="39208" xr:uid="{00000000-0005-0000-0000-0000E82F0000}"/>
    <cellStyle name="20% - Accent4 5 2 5 3 4" xfId="27907" xr:uid="{00000000-0005-0000-0000-0000E92F0000}"/>
    <cellStyle name="20% - Accent4 5 2 5 4" xfId="7502" xr:uid="{00000000-0005-0000-0000-0000EA2F0000}"/>
    <cellStyle name="20% - Accent4 5 2 5 4 2" xfId="18803" xr:uid="{00000000-0005-0000-0000-0000EB2F0000}"/>
    <cellStyle name="20% - Accent4 5 2 5 4 2 2" xfId="41405" xr:uid="{00000000-0005-0000-0000-0000EC2F0000}"/>
    <cellStyle name="20% - Accent4 5 2 5 4 3" xfId="30104" xr:uid="{00000000-0005-0000-0000-0000ED2F0000}"/>
    <cellStyle name="20% - Accent4 5 2 5 5" xfId="13153" xr:uid="{00000000-0005-0000-0000-0000EE2F0000}"/>
    <cellStyle name="20% - Accent4 5 2 5 5 2" xfId="35755" xr:uid="{00000000-0005-0000-0000-0000EF2F0000}"/>
    <cellStyle name="20% - Accent4 5 2 5 6" xfId="24454" xr:uid="{00000000-0005-0000-0000-0000F02F0000}"/>
    <cellStyle name="20% - Accent4 5 2 6" xfId="2284" xr:uid="{00000000-0005-0000-0000-0000F12F0000}"/>
    <cellStyle name="20% - Accent4 5 2 6 2" xfId="8120" xr:uid="{00000000-0005-0000-0000-0000F22F0000}"/>
    <cellStyle name="20% - Accent4 5 2 6 2 2" xfId="19421" xr:uid="{00000000-0005-0000-0000-0000F32F0000}"/>
    <cellStyle name="20% - Accent4 5 2 6 2 2 2" xfId="42023" xr:uid="{00000000-0005-0000-0000-0000F42F0000}"/>
    <cellStyle name="20% - Accent4 5 2 6 2 3" xfId="30722" xr:uid="{00000000-0005-0000-0000-0000F52F0000}"/>
    <cellStyle name="20% - Accent4 5 2 6 3" xfId="13771" xr:uid="{00000000-0005-0000-0000-0000F62F0000}"/>
    <cellStyle name="20% - Accent4 5 2 6 3 2" xfId="36373" xr:uid="{00000000-0005-0000-0000-0000F72F0000}"/>
    <cellStyle name="20% - Accent4 5 2 6 4" xfId="25072" xr:uid="{00000000-0005-0000-0000-0000F82F0000}"/>
    <cellStyle name="20% - Accent4 5 2 7" xfId="4071" xr:uid="{00000000-0005-0000-0000-0000F92F0000}"/>
    <cellStyle name="20% - Accent4 5 2 7 2" xfId="9721" xr:uid="{00000000-0005-0000-0000-0000FA2F0000}"/>
    <cellStyle name="20% - Accent4 5 2 7 2 2" xfId="21022" xr:uid="{00000000-0005-0000-0000-0000FB2F0000}"/>
    <cellStyle name="20% - Accent4 5 2 7 2 2 2" xfId="43624" xr:uid="{00000000-0005-0000-0000-0000FC2F0000}"/>
    <cellStyle name="20% - Accent4 5 2 7 2 3" xfId="32323" xr:uid="{00000000-0005-0000-0000-0000FD2F0000}"/>
    <cellStyle name="20% - Accent4 5 2 7 3" xfId="15372" xr:uid="{00000000-0005-0000-0000-0000FE2F0000}"/>
    <cellStyle name="20% - Accent4 5 2 7 3 2" xfId="37974" xr:uid="{00000000-0005-0000-0000-0000FF2F0000}"/>
    <cellStyle name="20% - Accent4 5 2 7 4" xfId="26673" xr:uid="{00000000-0005-0000-0000-000000300000}"/>
    <cellStyle name="20% - Accent4 5 2 8" xfId="6522" xr:uid="{00000000-0005-0000-0000-000001300000}"/>
    <cellStyle name="20% - Accent4 5 2 8 2" xfId="17823" xr:uid="{00000000-0005-0000-0000-000002300000}"/>
    <cellStyle name="20% - Accent4 5 2 8 2 2" xfId="40425" xr:uid="{00000000-0005-0000-0000-000003300000}"/>
    <cellStyle name="20% - Accent4 5 2 8 3" xfId="29124" xr:uid="{00000000-0005-0000-0000-000004300000}"/>
    <cellStyle name="20% - Accent4 5 2 9" xfId="12173" xr:uid="{00000000-0005-0000-0000-000005300000}"/>
    <cellStyle name="20% - Accent4 5 2 9 2" xfId="34775" xr:uid="{00000000-0005-0000-0000-000006300000}"/>
    <cellStyle name="20% - Accent4 5 3" xfId="527" xr:uid="{00000000-0005-0000-0000-000007300000}"/>
    <cellStyle name="20% - Accent4 5 3 2" xfId="1240" xr:uid="{00000000-0005-0000-0000-000008300000}"/>
    <cellStyle name="20% - Accent4 5 3 2 2" xfId="1651" xr:uid="{00000000-0005-0000-0000-000009300000}"/>
    <cellStyle name="20% - Accent4 5 3 2 2 2" xfId="3309" xr:uid="{00000000-0005-0000-0000-00000A300000}"/>
    <cellStyle name="20% - Accent4 5 3 2 2 2 2" xfId="6281" xr:uid="{00000000-0005-0000-0000-00000B300000}"/>
    <cellStyle name="20% - Accent4 5 3 2 2 2 2 2" xfId="11931" xr:uid="{00000000-0005-0000-0000-00000C300000}"/>
    <cellStyle name="20% - Accent4 5 3 2 2 2 2 2 2" xfId="23232" xr:uid="{00000000-0005-0000-0000-00000D300000}"/>
    <cellStyle name="20% - Accent4 5 3 2 2 2 2 2 2 2" xfId="45834" xr:uid="{00000000-0005-0000-0000-00000E300000}"/>
    <cellStyle name="20% - Accent4 5 3 2 2 2 2 2 3" xfId="34533" xr:uid="{00000000-0005-0000-0000-00000F300000}"/>
    <cellStyle name="20% - Accent4 5 3 2 2 2 2 3" xfId="17582" xr:uid="{00000000-0005-0000-0000-000010300000}"/>
    <cellStyle name="20% - Accent4 5 3 2 2 2 2 3 2" xfId="40184" xr:uid="{00000000-0005-0000-0000-000011300000}"/>
    <cellStyle name="20% - Accent4 5 3 2 2 2 2 4" xfId="28883" xr:uid="{00000000-0005-0000-0000-000012300000}"/>
    <cellStyle name="20% - Accent4 5 3 2 2 2 3" xfId="9099" xr:uid="{00000000-0005-0000-0000-000013300000}"/>
    <cellStyle name="20% - Accent4 5 3 2 2 2 3 2" xfId="20400" xr:uid="{00000000-0005-0000-0000-000014300000}"/>
    <cellStyle name="20% - Accent4 5 3 2 2 2 3 2 2" xfId="43002" xr:uid="{00000000-0005-0000-0000-000015300000}"/>
    <cellStyle name="20% - Accent4 5 3 2 2 2 3 3" xfId="31701" xr:uid="{00000000-0005-0000-0000-000016300000}"/>
    <cellStyle name="20% - Accent4 5 3 2 2 2 4" xfId="14750" xr:uid="{00000000-0005-0000-0000-000017300000}"/>
    <cellStyle name="20% - Accent4 5 3 2 2 2 4 2" xfId="37352" xr:uid="{00000000-0005-0000-0000-000018300000}"/>
    <cellStyle name="20% - Accent4 5 3 2 2 2 5" xfId="26051" xr:uid="{00000000-0005-0000-0000-000019300000}"/>
    <cellStyle name="20% - Accent4 5 3 2 2 3" xfId="5047" xr:uid="{00000000-0005-0000-0000-00001A300000}"/>
    <cellStyle name="20% - Accent4 5 3 2 2 3 2" xfId="10697" xr:uid="{00000000-0005-0000-0000-00001B300000}"/>
    <cellStyle name="20% - Accent4 5 3 2 2 3 2 2" xfId="21998" xr:uid="{00000000-0005-0000-0000-00001C300000}"/>
    <cellStyle name="20% - Accent4 5 3 2 2 3 2 2 2" xfId="44600" xr:uid="{00000000-0005-0000-0000-00001D300000}"/>
    <cellStyle name="20% - Accent4 5 3 2 2 3 2 3" xfId="33299" xr:uid="{00000000-0005-0000-0000-00001E300000}"/>
    <cellStyle name="20% - Accent4 5 3 2 2 3 3" xfId="16348" xr:uid="{00000000-0005-0000-0000-00001F300000}"/>
    <cellStyle name="20% - Accent4 5 3 2 2 3 3 2" xfId="38950" xr:uid="{00000000-0005-0000-0000-000020300000}"/>
    <cellStyle name="20% - Accent4 5 3 2 2 3 4" xfId="27649" xr:uid="{00000000-0005-0000-0000-000021300000}"/>
    <cellStyle name="20% - Accent4 5 3 2 2 4" xfId="7507" xr:uid="{00000000-0005-0000-0000-000022300000}"/>
    <cellStyle name="20% - Accent4 5 3 2 2 4 2" xfId="18808" xr:uid="{00000000-0005-0000-0000-000023300000}"/>
    <cellStyle name="20% - Accent4 5 3 2 2 4 2 2" xfId="41410" xr:uid="{00000000-0005-0000-0000-000024300000}"/>
    <cellStyle name="20% - Accent4 5 3 2 2 4 3" xfId="30109" xr:uid="{00000000-0005-0000-0000-000025300000}"/>
    <cellStyle name="20% - Accent4 5 3 2 2 5" xfId="13158" xr:uid="{00000000-0005-0000-0000-000026300000}"/>
    <cellStyle name="20% - Accent4 5 3 2 2 5 2" xfId="35760" xr:uid="{00000000-0005-0000-0000-000027300000}"/>
    <cellStyle name="20% - Accent4 5 3 2 2 6" xfId="24459" xr:uid="{00000000-0005-0000-0000-000028300000}"/>
    <cellStyle name="20% - Accent4 5 3 2 3" xfId="2638" xr:uid="{00000000-0005-0000-0000-000029300000}"/>
    <cellStyle name="20% - Accent4 5 3 2 3 2" xfId="5657" xr:uid="{00000000-0005-0000-0000-00002A300000}"/>
    <cellStyle name="20% - Accent4 5 3 2 3 2 2" xfId="11307" xr:uid="{00000000-0005-0000-0000-00002B300000}"/>
    <cellStyle name="20% - Accent4 5 3 2 3 2 2 2" xfId="22608" xr:uid="{00000000-0005-0000-0000-00002C300000}"/>
    <cellStyle name="20% - Accent4 5 3 2 3 2 2 2 2" xfId="45210" xr:uid="{00000000-0005-0000-0000-00002D300000}"/>
    <cellStyle name="20% - Accent4 5 3 2 3 2 2 3" xfId="33909" xr:uid="{00000000-0005-0000-0000-00002E300000}"/>
    <cellStyle name="20% - Accent4 5 3 2 3 2 3" xfId="16958" xr:uid="{00000000-0005-0000-0000-00002F300000}"/>
    <cellStyle name="20% - Accent4 5 3 2 3 2 3 2" xfId="39560" xr:uid="{00000000-0005-0000-0000-000030300000}"/>
    <cellStyle name="20% - Accent4 5 3 2 3 2 4" xfId="28259" xr:uid="{00000000-0005-0000-0000-000031300000}"/>
    <cellStyle name="20% - Accent4 5 3 2 3 3" xfId="8474" xr:uid="{00000000-0005-0000-0000-000032300000}"/>
    <cellStyle name="20% - Accent4 5 3 2 3 3 2" xfId="19775" xr:uid="{00000000-0005-0000-0000-000033300000}"/>
    <cellStyle name="20% - Accent4 5 3 2 3 3 2 2" xfId="42377" xr:uid="{00000000-0005-0000-0000-000034300000}"/>
    <cellStyle name="20% - Accent4 5 3 2 3 3 3" xfId="31076" xr:uid="{00000000-0005-0000-0000-000035300000}"/>
    <cellStyle name="20% - Accent4 5 3 2 3 4" xfId="14125" xr:uid="{00000000-0005-0000-0000-000036300000}"/>
    <cellStyle name="20% - Accent4 5 3 2 3 4 2" xfId="36727" xr:uid="{00000000-0005-0000-0000-000037300000}"/>
    <cellStyle name="20% - Accent4 5 3 2 3 5" xfId="25426" xr:uid="{00000000-0005-0000-0000-000038300000}"/>
    <cellStyle name="20% - Accent4 5 3 2 4" xfId="4423" xr:uid="{00000000-0005-0000-0000-000039300000}"/>
    <cellStyle name="20% - Accent4 5 3 2 4 2" xfId="10073" xr:uid="{00000000-0005-0000-0000-00003A300000}"/>
    <cellStyle name="20% - Accent4 5 3 2 4 2 2" xfId="21374" xr:uid="{00000000-0005-0000-0000-00003B300000}"/>
    <cellStyle name="20% - Accent4 5 3 2 4 2 2 2" xfId="43976" xr:uid="{00000000-0005-0000-0000-00003C300000}"/>
    <cellStyle name="20% - Accent4 5 3 2 4 2 3" xfId="32675" xr:uid="{00000000-0005-0000-0000-00003D300000}"/>
    <cellStyle name="20% - Accent4 5 3 2 4 3" xfId="15724" xr:uid="{00000000-0005-0000-0000-00003E300000}"/>
    <cellStyle name="20% - Accent4 5 3 2 4 3 2" xfId="38326" xr:uid="{00000000-0005-0000-0000-00003F300000}"/>
    <cellStyle name="20% - Accent4 5 3 2 4 4" xfId="27025" xr:uid="{00000000-0005-0000-0000-000040300000}"/>
    <cellStyle name="20% - Accent4 5 3 2 5" xfId="7219" xr:uid="{00000000-0005-0000-0000-000041300000}"/>
    <cellStyle name="20% - Accent4 5 3 2 5 2" xfId="18520" xr:uid="{00000000-0005-0000-0000-000042300000}"/>
    <cellStyle name="20% - Accent4 5 3 2 5 2 2" xfId="41122" xr:uid="{00000000-0005-0000-0000-000043300000}"/>
    <cellStyle name="20% - Accent4 5 3 2 5 3" xfId="29821" xr:uid="{00000000-0005-0000-0000-000044300000}"/>
    <cellStyle name="20% - Accent4 5 3 2 6" xfId="12870" xr:uid="{00000000-0005-0000-0000-000045300000}"/>
    <cellStyle name="20% - Accent4 5 3 2 6 2" xfId="35472" xr:uid="{00000000-0005-0000-0000-000046300000}"/>
    <cellStyle name="20% - Accent4 5 3 2 7" xfId="24171" xr:uid="{00000000-0005-0000-0000-000047300000}"/>
    <cellStyle name="20% - Accent4 5 3 3" xfId="938" xr:uid="{00000000-0005-0000-0000-000048300000}"/>
    <cellStyle name="20% - Accent4 5 3 3 2" xfId="3001" xr:uid="{00000000-0005-0000-0000-000049300000}"/>
    <cellStyle name="20% - Accent4 5 3 3 2 2" xfId="5973" xr:uid="{00000000-0005-0000-0000-00004A300000}"/>
    <cellStyle name="20% - Accent4 5 3 3 2 2 2" xfId="11623" xr:uid="{00000000-0005-0000-0000-00004B300000}"/>
    <cellStyle name="20% - Accent4 5 3 3 2 2 2 2" xfId="22924" xr:uid="{00000000-0005-0000-0000-00004C300000}"/>
    <cellStyle name="20% - Accent4 5 3 3 2 2 2 2 2" xfId="45526" xr:uid="{00000000-0005-0000-0000-00004D300000}"/>
    <cellStyle name="20% - Accent4 5 3 3 2 2 2 3" xfId="34225" xr:uid="{00000000-0005-0000-0000-00004E300000}"/>
    <cellStyle name="20% - Accent4 5 3 3 2 2 3" xfId="17274" xr:uid="{00000000-0005-0000-0000-00004F300000}"/>
    <cellStyle name="20% - Accent4 5 3 3 2 2 3 2" xfId="39876" xr:uid="{00000000-0005-0000-0000-000050300000}"/>
    <cellStyle name="20% - Accent4 5 3 3 2 2 4" xfId="28575" xr:uid="{00000000-0005-0000-0000-000051300000}"/>
    <cellStyle name="20% - Accent4 5 3 3 2 3" xfId="8791" xr:uid="{00000000-0005-0000-0000-000052300000}"/>
    <cellStyle name="20% - Accent4 5 3 3 2 3 2" xfId="20092" xr:uid="{00000000-0005-0000-0000-000053300000}"/>
    <cellStyle name="20% - Accent4 5 3 3 2 3 2 2" xfId="42694" xr:uid="{00000000-0005-0000-0000-000054300000}"/>
    <cellStyle name="20% - Accent4 5 3 3 2 3 3" xfId="31393" xr:uid="{00000000-0005-0000-0000-000055300000}"/>
    <cellStyle name="20% - Accent4 5 3 3 2 4" xfId="14442" xr:uid="{00000000-0005-0000-0000-000056300000}"/>
    <cellStyle name="20% - Accent4 5 3 3 2 4 2" xfId="37044" xr:uid="{00000000-0005-0000-0000-000057300000}"/>
    <cellStyle name="20% - Accent4 5 3 3 2 5" xfId="25743" xr:uid="{00000000-0005-0000-0000-000058300000}"/>
    <cellStyle name="20% - Accent4 5 3 3 3" xfId="4739" xr:uid="{00000000-0005-0000-0000-000059300000}"/>
    <cellStyle name="20% - Accent4 5 3 3 3 2" xfId="10389" xr:uid="{00000000-0005-0000-0000-00005A300000}"/>
    <cellStyle name="20% - Accent4 5 3 3 3 2 2" xfId="21690" xr:uid="{00000000-0005-0000-0000-00005B300000}"/>
    <cellStyle name="20% - Accent4 5 3 3 3 2 2 2" xfId="44292" xr:uid="{00000000-0005-0000-0000-00005C300000}"/>
    <cellStyle name="20% - Accent4 5 3 3 3 2 3" xfId="32991" xr:uid="{00000000-0005-0000-0000-00005D300000}"/>
    <cellStyle name="20% - Accent4 5 3 3 3 3" xfId="16040" xr:uid="{00000000-0005-0000-0000-00005E300000}"/>
    <cellStyle name="20% - Accent4 5 3 3 3 3 2" xfId="38642" xr:uid="{00000000-0005-0000-0000-00005F300000}"/>
    <cellStyle name="20% - Accent4 5 3 3 3 4" xfId="27341" xr:uid="{00000000-0005-0000-0000-000060300000}"/>
    <cellStyle name="20% - Accent4 5 3 3 4" xfId="6926" xr:uid="{00000000-0005-0000-0000-000061300000}"/>
    <cellStyle name="20% - Accent4 5 3 3 4 2" xfId="18227" xr:uid="{00000000-0005-0000-0000-000062300000}"/>
    <cellStyle name="20% - Accent4 5 3 3 4 2 2" xfId="40829" xr:uid="{00000000-0005-0000-0000-000063300000}"/>
    <cellStyle name="20% - Accent4 5 3 3 4 3" xfId="29528" xr:uid="{00000000-0005-0000-0000-000064300000}"/>
    <cellStyle name="20% - Accent4 5 3 3 5" xfId="12577" xr:uid="{00000000-0005-0000-0000-000065300000}"/>
    <cellStyle name="20% - Accent4 5 3 3 5 2" xfId="35179" xr:uid="{00000000-0005-0000-0000-000066300000}"/>
    <cellStyle name="20% - Accent4 5 3 3 6" xfId="23878" xr:uid="{00000000-0005-0000-0000-000067300000}"/>
    <cellStyle name="20% - Accent4 5 3 4" xfId="1650" xr:uid="{00000000-0005-0000-0000-000068300000}"/>
    <cellStyle name="20% - Accent4 5 3 4 2" xfId="3591" xr:uid="{00000000-0005-0000-0000-000069300000}"/>
    <cellStyle name="20% - Accent4 5 3 4 2 2" xfId="9303" xr:uid="{00000000-0005-0000-0000-00006A300000}"/>
    <cellStyle name="20% - Accent4 5 3 4 2 2 2" xfId="20604" xr:uid="{00000000-0005-0000-0000-00006B300000}"/>
    <cellStyle name="20% - Accent4 5 3 4 2 2 2 2" xfId="43206" xr:uid="{00000000-0005-0000-0000-00006C300000}"/>
    <cellStyle name="20% - Accent4 5 3 4 2 2 3" xfId="31905" xr:uid="{00000000-0005-0000-0000-00006D300000}"/>
    <cellStyle name="20% - Accent4 5 3 4 2 3" xfId="14954" xr:uid="{00000000-0005-0000-0000-00006E300000}"/>
    <cellStyle name="20% - Accent4 5 3 4 2 3 2" xfId="37556" xr:uid="{00000000-0005-0000-0000-00006F300000}"/>
    <cellStyle name="20% - Accent4 5 3 4 2 4" xfId="26255" xr:uid="{00000000-0005-0000-0000-000070300000}"/>
    <cellStyle name="20% - Accent4 5 3 4 3" xfId="5349" xr:uid="{00000000-0005-0000-0000-000071300000}"/>
    <cellStyle name="20% - Accent4 5 3 4 3 2" xfId="10999" xr:uid="{00000000-0005-0000-0000-000072300000}"/>
    <cellStyle name="20% - Accent4 5 3 4 3 2 2" xfId="22300" xr:uid="{00000000-0005-0000-0000-000073300000}"/>
    <cellStyle name="20% - Accent4 5 3 4 3 2 2 2" xfId="44902" xr:uid="{00000000-0005-0000-0000-000074300000}"/>
    <cellStyle name="20% - Accent4 5 3 4 3 2 3" xfId="33601" xr:uid="{00000000-0005-0000-0000-000075300000}"/>
    <cellStyle name="20% - Accent4 5 3 4 3 3" xfId="16650" xr:uid="{00000000-0005-0000-0000-000076300000}"/>
    <cellStyle name="20% - Accent4 5 3 4 3 3 2" xfId="39252" xr:uid="{00000000-0005-0000-0000-000077300000}"/>
    <cellStyle name="20% - Accent4 5 3 4 3 4" xfId="27951" xr:uid="{00000000-0005-0000-0000-000078300000}"/>
    <cellStyle name="20% - Accent4 5 3 4 4" xfId="7506" xr:uid="{00000000-0005-0000-0000-000079300000}"/>
    <cellStyle name="20% - Accent4 5 3 4 4 2" xfId="18807" xr:uid="{00000000-0005-0000-0000-00007A300000}"/>
    <cellStyle name="20% - Accent4 5 3 4 4 2 2" xfId="41409" xr:uid="{00000000-0005-0000-0000-00007B300000}"/>
    <cellStyle name="20% - Accent4 5 3 4 4 3" xfId="30108" xr:uid="{00000000-0005-0000-0000-00007C300000}"/>
    <cellStyle name="20% - Accent4 5 3 4 5" xfId="13157" xr:uid="{00000000-0005-0000-0000-00007D300000}"/>
    <cellStyle name="20% - Accent4 5 3 4 5 2" xfId="35759" xr:uid="{00000000-0005-0000-0000-00007E300000}"/>
    <cellStyle name="20% - Accent4 5 3 4 6" xfId="24458" xr:uid="{00000000-0005-0000-0000-00007F300000}"/>
    <cellStyle name="20% - Accent4 5 3 5" xfId="2330" xr:uid="{00000000-0005-0000-0000-000080300000}"/>
    <cellStyle name="20% - Accent4 5 3 5 2" xfId="8166" xr:uid="{00000000-0005-0000-0000-000081300000}"/>
    <cellStyle name="20% - Accent4 5 3 5 2 2" xfId="19467" xr:uid="{00000000-0005-0000-0000-000082300000}"/>
    <cellStyle name="20% - Accent4 5 3 5 2 2 2" xfId="42069" xr:uid="{00000000-0005-0000-0000-000083300000}"/>
    <cellStyle name="20% - Accent4 5 3 5 2 3" xfId="30768" xr:uid="{00000000-0005-0000-0000-000084300000}"/>
    <cellStyle name="20% - Accent4 5 3 5 3" xfId="13817" xr:uid="{00000000-0005-0000-0000-000085300000}"/>
    <cellStyle name="20% - Accent4 5 3 5 3 2" xfId="36419" xr:uid="{00000000-0005-0000-0000-000086300000}"/>
    <cellStyle name="20% - Accent4 5 3 5 4" xfId="25118" xr:uid="{00000000-0005-0000-0000-000087300000}"/>
    <cellStyle name="20% - Accent4 5 3 6" xfId="4115" xr:uid="{00000000-0005-0000-0000-000088300000}"/>
    <cellStyle name="20% - Accent4 5 3 6 2" xfId="9765" xr:uid="{00000000-0005-0000-0000-000089300000}"/>
    <cellStyle name="20% - Accent4 5 3 6 2 2" xfId="21066" xr:uid="{00000000-0005-0000-0000-00008A300000}"/>
    <cellStyle name="20% - Accent4 5 3 6 2 2 2" xfId="43668" xr:uid="{00000000-0005-0000-0000-00008B300000}"/>
    <cellStyle name="20% - Accent4 5 3 6 2 3" xfId="32367" xr:uid="{00000000-0005-0000-0000-00008C300000}"/>
    <cellStyle name="20% - Accent4 5 3 6 3" xfId="15416" xr:uid="{00000000-0005-0000-0000-00008D300000}"/>
    <cellStyle name="20% - Accent4 5 3 6 3 2" xfId="38018" xr:uid="{00000000-0005-0000-0000-00008E300000}"/>
    <cellStyle name="20% - Accent4 5 3 6 4" xfId="26717" xr:uid="{00000000-0005-0000-0000-00008F300000}"/>
    <cellStyle name="20% - Accent4 5 3 7" xfId="6593" xr:uid="{00000000-0005-0000-0000-000090300000}"/>
    <cellStyle name="20% - Accent4 5 3 7 2" xfId="17894" xr:uid="{00000000-0005-0000-0000-000091300000}"/>
    <cellStyle name="20% - Accent4 5 3 7 2 2" xfId="40496" xr:uid="{00000000-0005-0000-0000-000092300000}"/>
    <cellStyle name="20% - Accent4 5 3 7 3" xfId="29195" xr:uid="{00000000-0005-0000-0000-000093300000}"/>
    <cellStyle name="20% - Accent4 5 3 8" xfId="12244" xr:uid="{00000000-0005-0000-0000-000094300000}"/>
    <cellStyle name="20% - Accent4 5 3 8 2" xfId="34846" xr:uid="{00000000-0005-0000-0000-000095300000}"/>
    <cellStyle name="20% - Accent4 5 3 9" xfId="23545" xr:uid="{00000000-0005-0000-0000-000096300000}"/>
    <cellStyle name="20% - Accent4 5 4" xfId="1100" xr:uid="{00000000-0005-0000-0000-000097300000}"/>
    <cellStyle name="20% - Accent4 5 4 2" xfId="1652" xr:uid="{00000000-0005-0000-0000-000098300000}"/>
    <cellStyle name="20% - Accent4 5 4 2 2" xfId="3168" xr:uid="{00000000-0005-0000-0000-000099300000}"/>
    <cellStyle name="20% - Accent4 5 4 2 2 2" xfId="6140" xr:uid="{00000000-0005-0000-0000-00009A300000}"/>
    <cellStyle name="20% - Accent4 5 4 2 2 2 2" xfId="11790" xr:uid="{00000000-0005-0000-0000-00009B300000}"/>
    <cellStyle name="20% - Accent4 5 4 2 2 2 2 2" xfId="23091" xr:uid="{00000000-0005-0000-0000-00009C300000}"/>
    <cellStyle name="20% - Accent4 5 4 2 2 2 2 2 2" xfId="45693" xr:uid="{00000000-0005-0000-0000-00009D300000}"/>
    <cellStyle name="20% - Accent4 5 4 2 2 2 2 3" xfId="34392" xr:uid="{00000000-0005-0000-0000-00009E300000}"/>
    <cellStyle name="20% - Accent4 5 4 2 2 2 3" xfId="17441" xr:uid="{00000000-0005-0000-0000-00009F300000}"/>
    <cellStyle name="20% - Accent4 5 4 2 2 2 3 2" xfId="40043" xr:uid="{00000000-0005-0000-0000-0000A0300000}"/>
    <cellStyle name="20% - Accent4 5 4 2 2 2 4" xfId="28742" xr:uid="{00000000-0005-0000-0000-0000A1300000}"/>
    <cellStyle name="20% - Accent4 5 4 2 2 3" xfId="8958" xr:uid="{00000000-0005-0000-0000-0000A2300000}"/>
    <cellStyle name="20% - Accent4 5 4 2 2 3 2" xfId="20259" xr:uid="{00000000-0005-0000-0000-0000A3300000}"/>
    <cellStyle name="20% - Accent4 5 4 2 2 3 2 2" xfId="42861" xr:uid="{00000000-0005-0000-0000-0000A4300000}"/>
    <cellStyle name="20% - Accent4 5 4 2 2 3 3" xfId="31560" xr:uid="{00000000-0005-0000-0000-0000A5300000}"/>
    <cellStyle name="20% - Accent4 5 4 2 2 4" xfId="14609" xr:uid="{00000000-0005-0000-0000-0000A6300000}"/>
    <cellStyle name="20% - Accent4 5 4 2 2 4 2" xfId="37211" xr:uid="{00000000-0005-0000-0000-0000A7300000}"/>
    <cellStyle name="20% - Accent4 5 4 2 2 5" xfId="25910" xr:uid="{00000000-0005-0000-0000-0000A8300000}"/>
    <cellStyle name="20% - Accent4 5 4 2 3" xfId="4906" xr:uid="{00000000-0005-0000-0000-0000A9300000}"/>
    <cellStyle name="20% - Accent4 5 4 2 3 2" xfId="10556" xr:uid="{00000000-0005-0000-0000-0000AA300000}"/>
    <cellStyle name="20% - Accent4 5 4 2 3 2 2" xfId="21857" xr:uid="{00000000-0005-0000-0000-0000AB300000}"/>
    <cellStyle name="20% - Accent4 5 4 2 3 2 2 2" xfId="44459" xr:uid="{00000000-0005-0000-0000-0000AC300000}"/>
    <cellStyle name="20% - Accent4 5 4 2 3 2 3" xfId="33158" xr:uid="{00000000-0005-0000-0000-0000AD300000}"/>
    <cellStyle name="20% - Accent4 5 4 2 3 3" xfId="16207" xr:uid="{00000000-0005-0000-0000-0000AE300000}"/>
    <cellStyle name="20% - Accent4 5 4 2 3 3 2" xfId="38809" xr:uid="{00000000-0005-0000-0000-0000AF300000}"/>
    <cellStyle name="20% - Accent4 5 4 2 3 4" xfId="27508" xr:uid="{00000000-0005-0000-0000-0000B0300000}"/>
    <cellStyle name="20% - Accent4 5 4 2 4" xfId="7508" xr:uid="{00000000-0005-0000-0000-0000B1300000}"/>
    <cellStyle name="20% - Accent4 5 4 2 4 2" xfId="18809" xr:uid="{00000000-0005-0000-0000-0000B2300000}"/>
    <cellStyle name="20% - Accent4 5 4 2 4 2 2" xfId="41411" xr:uid="{00000000-0005-0000-0000-0000B3300000}"/>
    <cellStyle name="20% - Accent4 5 4 2 4 3" xfId="30110" xr:uid="{00000000-0005-0000-0000-0000B4300000}"/>
    <cellStyle name="20% - Accent4 5 4 2 5" xfId="13159" xr:uid="{00000000-0005-0000-0000-0000B5300000}"/>
    <cellStyle name="20% - Accent4 5 4 2 5 2" xfId="35761" xr:uid="{00000000-0005-0000-0000-0000B6300000}"/>
    <cellStyle name="20% - Accent4 5 4 2 6" xfId="24460" xr:uid="{00000000-0005-0000-0000-0000B7300000}"/>
    <cellStyle name="20% - Accent4 5 4 3" xfId="2497" xr:uid="{00000000-0005-0000-0000-0000B8300000}"/>
    <cellStyle name="20% - Accent4 5 4 3 2" xfId="5516" xr:uid="{00000000-0005-0000-0000-0000B9300000}"/>
    <cellStyle name="20% - Accent4 5 4 3 2 2" xfId="11166" xr:uid="{00000000-0005-0000-0000-0000BA300000}"/>
    <cellStyle name="20% - Accent4 5 4 3 2 2 2" xfId="22467" xr:uid="{00000000-0005-0000-0000-0000BB300000}"/>
    <cellStyle name="20% - Accent4 5 4 3 2 2 2 2" xfId="45069" xr:uid="{00000000-0005-0000-0000-0000BC300000}"/>
    <cellStyle name="20% - Accent4 5 4 3 2 2 3" xfId="33768" xr:uid="{00000000-0005-0000-0000-0000BD300000}"/>
    <cellStyle name="20% - Accent4 5 4 3 2 3" xfId="16817" xr:uid="{00000000-0005-0000-0000-0000BE300000}"/>
    <cellStyle name="20% - Accent4 5 4 3 2 3 2" xfId="39419" xr:uid="{00000000-0005-0000-0000-0000BF300000}"/>
    <cellStyle name="20% - Accent4 5 4 3 2 4" xfId="28118" xr:uid="{00000000-0005-0000-0000-0000C0300000}"/>
    <cellStyle name="20% - Accent4 5 4 3 3" xfId="8333" xr:uid="{00000000-0005-0000-0000-0000C1300000}"/>
    <cellStyle name="20% - Accent4 5 4 3 3 2" xfId="19634" xr:uid="{00000000-0005-0000-0000-0000C2300000}"/>
    <cellStyle name="20% - Accent4 5 4 3 3 2 2" xfId="42236" xr:uid="{00000000-0005-0000-0000-0000C3300000}"/>
    <cellStyle name="20% - Accent4 5 4 3 3 3" xfId="30935" xr:uid="{00000000-0005-0000-0000-0000C4300000}"/>
    <cellStyle name="20% - Accent4 5 4 3 4" xfId="13984" xr:uid="{00000000-0005-0000-0000-0000C5300000}"/>
    <cellStyle name="20% - Accent4 5 4 3 4 2" xfId="36586" xr:uid="{00000000-0005-0000-0000-0000C6300000}"/>
    <cellStyle name="20% - Accent4 5 4 3 5" xfId="25285" xr:uid="{00000000-0005-0000-0000-0000C7300000}"/>
    <cellStyle name="20% - Accent4 5 4 4" xfId="4282" xr:uid="{00000000-0005-0000-0000-0000C8300000}"/>
    <cellStyle name="20% - Accent4 5 4 4 2" xfId="9932" xr:uid="{00000000-0005-0000-0000-0000C9300000}"/>
    <cellStyle name="20% - Accent4 5 4 4 2 2" xfId="21233" xr:uid="{00000000-0005-0000-0000-0000CA300000}"/>
    <cellStyle name="20% - Accent4 5 4 4 2 2 2" xfId="43835" xr:uid="{00000000-0005-0000-0000-0000CB300000}"/>
    <cellStyle name="20% - Accent4 5 4 4 2 3" xfId="32534" xr:uid="{00000000-0005-0000-0000-0000CC300000}"/>
    <cellStyle name="20% - Accent4 5 4 4 3" xfId="15583" xr:uid="{00000000-0005-0000-0000-0000CD300000}"/>
    <cellStyle name="20% - Accent4 5 4 4 3 2" xfId="38185" xr:uid="{00000000-0005-0000-0000-0000CE300000}"/>
    <cellStyle name="20% - Accent4 5 4 4 4" xfId="26884" xr:uid="{00000000-0005-0000-0000-0000CF300000}"/>
    <cellStyle name="20% - Accent4 5 4 5" xfId="7079" xr:uid="{00000000-0005-0000-0000-0000D0300000}"/>
    <cellStyle name="20% - Accent4 5 4 5 2" xfId="18380" xr:uid="{00000000-0005-0000-0000-0000D1300000}"/>
    <cellStyle name="20% - Accent4 5 4 5 2 2" xfId="40982" xr:uid="{00000000-0005-0000-0000-0000D2300000}"/>
    <cellStyle name="20% - Accent4 5 4 5 3" xfId="29681" xr:uid="{00000000-0005-0000-0000-0000D3300000}"/>
    <cellStyle name="20% - Accent4 5 4 6" xfId="12730" xr:uid="{00000000-0005-0000-0000-0000D4300000}"/>
    <cellStyle name="20% - Accent4 5 4 6 2" xfId="35332" xr:uid="{00000000-0005-0000-0000-0000D5300000}"/>
    <cellStyle name="20% - Accent4 5 4 7" xfId="24031" xr:uid="{00000000-0005-0000-0000-0000D6300000}"/>
    <cellStyle name="20% - Accent4 5 5" xfId="780" xr:uid="{00000000-0005-0000-0000-0000D7300000}"/>
    <cellStyle name="20% - Accent4 5 5 2" xfId="2861" xr:uid="{00000000-0005-0000-0000-0000D8300000}"/>
    <cellStyle name="20% - Accent4 5 5 2 2" xfId="5833" xr:uid="{00000000-0005-0000-0000-0000D9300000}"/>
    <cellStyle name="20% - Accent4 5 5 2 2 2" xfId="11483" xr:uid="{00000000-0005-0000-0000-0000DA300000}"/>
    <cellStyle name="20% - Accent4 5 5 2 2 2 2" xfId="22784" xr:uid="{00000000-0005-0000-0000-0000DB300000}"/>
    <cellStyle name="20% - Accent4 5 5 2 2 2 2 2" xfId="45386" xr:uid="{00000000-0005-0000-0000-0000DC300000}"/>
    <cellStyle name="20% - Accent4 5 5 2 2 2 3" xfId="34085" xr:uid="{00000000-0005-0000-0000-0000DD300000}"/>
    <cellStyle name="20% - Accent4 5 5 2 2 3" xfId="17134" xr:uid="{00000000-0005-0000-0000-0000DE300000}"/>
    <cellStyle name="20% - Accent4 5 5 2 2 3 2" xfId="39736" xr:uid="{00000000-0005-0000-0000-0000DF300000}"/>
    <cellStyle name="20% - Accent4 5 5 2 2 4" xfId="28435" xr:uid="{00000000-0005-0000-0000-0000E0300000}"/>
    <cellStyle name="20% - Accent4 5 5 2 3" xfId="8651" xr:uid="{00000000-0005-0000-0000-0000E1300000}"/>
    <cellStyle name="20% - Accent4 5 5 2 3 2" xfId="19952" xr:uid="{00000000-0005-0000-0000-0000E2300000}"/>
    <cellStyle name="20% - Accent4 5 5 2 3 2 2" xfId="42554" xr:uid="{00000000-0005-0000-0000-0000E3300000}"/>
    <cellStyle name="20% - Accent4 5 5 2 3 3" xfId="31253" xr:uid="{00000000-0005-0000-0000-0000E4300000}"/>
    <cellStyle name="20% - Accent4 5 5 2 4" xfId="14302" xr:uid="{00000000-0005-0000-0000-0000E5300000}"/>
    <cellStyle name="20% - Accent4 5 5 2 4 2" xfId="36904" xr:uid="{00000000-0005-0000-0000-0000E6300000}"/>
    <cellStyle name="20% - Accent4 5 5 2 5" xfId="25603" xr:uid="{00000000-0005-0000-0000-0000E7300000}"/>
    <cellStyle name="20% - Accent4 5 5 3" xfId="4599" xr:uid="{00000000-0005-0000-0000-0000E8300000}"/>
    <cellStyle name="20% - Accent4 5 5 3 2" xfId="10249" xr:uid="{00000000-0005-0000-0000-0000E9300000}"/>
    <cellStyle name="20% - Accent4 5 5 3 2 2" xfId="21550" xr:uid="{00000000-0005-0000-0000-0000EA300000}"/>
    <cellStyle name="20% - Accent4 5 5 3 2 2 2" xfId="44152" xr:uid="{00000000-0005-0000-0000-0000EB300000}"/>
    <cellStyle name="20% - Accent4 5 5 3 2 3" xfId="32851" xr:uid="{00000000-0005-0000-0000-0000EC300000}"/>
    <cellStyle name="20% - Accent4 5 5 3 3" xfId="15900" xr:uid="{00000000-0005-0000-0000-0000ED300000}"/>
    <cellStyle name="20% - Accent4 5 5 3 3 2" xfId="38502" xr:uid="{00000000-0005-0000-0000-0000EE300000}"/>
    <cellStyle name="20% - Accent4 5 5 3 4" xfId="27201" xr:uid="{00000000-0005-0000-0000-0000EF300000}"/>
    <cellStyle name="20% - Accent4 5 5 4" xfId="6785" xr:uid="{00000000-0005-0000-0000-0000F0300000}"/>
    <cellStyle name="20% - Accent4 5 5 4 2" xfId="18086" xr:uid="{00000000-0005-0000-0000-0000F1300000}"/>
    <cellStyle name="20% - Accent4 5 5 4 2 2" xfId="40688" xr:uid="{00000000-0005-0000-0000-0000F2300000}"/>
    <cellStyle name="20% - Accent4 5 5 4 3" xfId="29387" xr:uid="{00000000-0005-0000-0000-0000F3300000}"/>
    <cellStyle name="20% - Accent4 5 5 5" xfId="12436" xr:uid="{00000000-0005-0000-0000-0000F4300000}"/>
    <cellStyle name="20% - Accent4 5 5 5 2" xfId="35038" xr:uid="{00000000-0005-0000-0000-0000F5300000}"/>
    <cellStyle name="20% - Accent4 5 5 6" xfId="23737" xr:uid="{00000000-0005-0000-0000-0000F6300000}"/>
    <cellStyle name="20% - Accent4 5 6" xfId="1645" xr:uid="{00000000-0005-0000-0000-0000F7300000}"/>
    <cellStyle name="20% - Accent4 5 6 2" xfId="3588" xr:uid="{00000000-0005-0000-0000-0000F8300000}"/>
    <cellStyle name="20% - Accent4 5 6 2 2" xfId="9300" xr:uid="{00000000-0005-0000-0000-0000F9300000}"/>
    <cellStyle name="20% - Accent4 5 6 2 2 2" xfId="20601" xr:uid="{00000000-0005-0000-0000-0000FA300000}"/>
    <cellStyle name="20% - Accent4 5 6 2 2 2 2" xfId="43203" xr:uid="{00000000-0005-0000-0000-0000FB300000}"/>
    <cellStyle name="20% - Accent4 5 6 2 2 3" xfId="31902" xr:uid="{00000000-0005-0000-0000-0000FC300000}"/>
    <cellStyle name="20% - Accent4 5 6 2 3" xfId="14951" xr:uid="{00000000-0005-0000-0000-0000FD300000}"/>
    <cellStyle name="20% - Accent4 5 6 2 3 2" xfId="37553" xr:uid="{00000000-0005-0000-0000-0000FE300000}"/>
    <cellStyle name="20% - Accent4 5 6 2 4" xfId="26252" xr:uid="{00000000-0005-0000-0000-0000FF300000}"/>
    <cellStyle name="20% - Accent4 5 6 3" xfId="5209" xr:uid="{00000000-0005-0000-0000-000000310000}"/>
    <cellStyle name="20% - Accent4 5 6 3 2" xfId="10859" xr:uid="{00000000-0005-0000-0000-000001310000}"/>
    <cellStyle name="20% - Accent4 5 6 3 2 2" xfId="22160" xr:uid="{00000000-0005-0000-0000-000002310000}"/>
    <cellStyle name="20% - Accent4 5 6 3 2 2 2" xfId="44762" xr:uid="{00000000-0005-0000-0000-000003310000}"/>
    <cellStyle name="20% - Accent4 5 6 3 2 3" xfId="33461" xr:uid="{00000000-0005-0000-0000-000004310000}"/>
    <cellStyle name="20% - Accent4 5 6 3 3" xfId="16510" xr:uid="{00000000-0005-0000-0000-000005310000}"/>
    <cellStyle name="20% - Accent4 5 6 3 3 2" xfId="39112" xr:uid="{00000000-0005-0000-0000-000006310000}"/>
    <cellStyle name="20% - Accent4 5 6 3 4" xfId="27811" xr:uid="{00000000-0005-0000-0000-000007310000}"/>
    <cellStyle name="20% - Accent4 5 6 4" xfId="7501" xr:uid="{00000000-0005-0000-0000-000008310000}"/>
    <cellStyle name="20% - Accent4 5 6 4 2" xfId="18802" xr:uid="{00000000-0005-0000-0000-000009310000}"/>
    <cellStyle name="20% - Accent4 5 6 4 2 2" xfId="41404" xr:uid="{00000000-0005-0000-0000-00000A310000}"/>
    <cellStyle name="20% - Accent4 5 6 4 3" xfId="30103" xr:uid="{00000000-0005-0000-0000-00000B310000}"/>
    <cellStyle name="20% - Accent4 5 6 5" xfId="13152" xr:uid="{00000000-0005-0000-0000-00000C310000}"/>
    <cellStyle name="20% - Accent4 5 6 5 2" xfId="35754" xr:uid="{00000000-0005-0000-0000-00000D310000}"/>
    <cellStyle name="20% - Accent4 5 6 6" xfId="24453" xr:uid="{00000000-0005-0000-0000-00000E310000}"/>
    <cellStyle name="20% - Accent4 5 7" xfId="2182" xr:uid="{00000000-0005-0000-0000-00000F310000}"/>
    <cellStyle name="20% - Accent4 5 7 2" xfId="8023" xr:uid="{00000000-0005-0000-0000-000010310000}"/>
    <cellStyle name="20% - Accent4 5 7 2 2" xfId="19324" xr:uid="{00000000-0005-0000-0000-000011310000}"/>
    <cellStyle name="20% - Accent4 5 7 2 2 2" xfId="41926" xr:uid="{00000000-0005-0000-0000-000012310000}"/>
    <cellStyle name="20% - Accent4 5 7 2 3" xfId="30625" xr:uid="{00000000-0005-0000-0000-000013310000}"/>
    <cellStyle name="20% - Accent4 5 7 3" xfId="13674" xr:uid="{00000000-0005-0000-0000-000014310000}"/>
    <cellStyle name="20% - Accent4 5 7 3 2" xfId="36276" xr:uid="{00000000-0005-0000-0000-000015310000}"/>
    <cellStyle name="20% - Accent4 5 7 4" xfId="24975" xr:uid="{00000000-0005-0000-0000-000016310000}"/>
    <cellStyle name="20% - Accent4 5 8" xfId="3975" xr:uid="{00000000-0005-0000-0000-000017310000}"/>
    <cellStyle name="20% - Accent4 5 8 2" xfId="9625" xr:uid="{00000000-0005-0000-0000-000018310000}"/>
    <cellStyle name="20% - Accent4 5 8 2 2" xfId="20926" xr:uid="{00000000-0005-0000-0000-000019310000}"/>
    <cellStyle name="20% - Accent4 5 8 2 2 2" xfId="43528" xr:uid="{00000000-0005-0000-0000-00001A310000}"/>
    <cellStyle name="20% - Accent4 5 8 2 3" xfId="32227" xr:uid="{00000000-0005-0000-0000-00001B310000}"/>
    <cellStyle name="20% - Accent4 5 8 3" xfId="15276" xr:uid="{00000000-0005-0000-0000-00001C310000}"/>
    <cellStyle name="20% - Accent4 5 8 3 2" xfId="37878" xr:uid="{00000000-0005-0000-0000-00001D310000}"/>
    <cellStyle name="20% - Accent4 5 8 4" xfId="26577" xr:uid="{00000000-0005-0000-0000-00001E310000}"/>
    <cellStyle name="20% - Accent4 5 9" xfId="6426" xr:uid="{00000000-0005-0000-0000-00001F310000}"/>
    <cellStyle name="20% - Accent4 5 9 2" xfId="17727" xr:uid="{00000000-0005-0000-0000-000020310000}"/>
    <cellStyle name="20% - Accent4 5 9 2 2" xfId="40329" xr:uid="{00000000-0005-0000-0000-000021310000}"/>
    <cellStyle name="20% - Accent4 5 9 3" xfId="29028" xr:uid="{00000000-0005-0000-0000-000022310000}"/>
    <cellStyle name="20% - Accent4 6" xfId="231" xr:uid="{00000000-0005-0000-0000-000023310000}"/>
    <cellStyle name="20% - Accent4 7" xfId="337" xr:uid="{00000000-0005-0000-0000-000024310000}"/>
    <cellStyle name="20% - Accent4 7 10" xfId="23432" xr:uid="{00000000-0005-0000-0000-000025310000}"/>
    <cellStyle name="20% - Accent4 7 2" xfId="582" xr:uid="{00000000-0005-0000-0000-000026310000}"/>
    <cellStyle name="20% - Accent4 7 2 2" xfId="1292" xr:uid="{00000000-0005-0000-0000-000027310000}"/>
    <cellStyle name="20% - Accent4 7 2 2 2" xfId="1655" xr:uid="{00000000-0005-0000-0000-000028310000}"/>
    <cellStyle name="20% - Accent4 7 2 2 2 2" xfId="3361" xr:uid="{00000000-0005-0000-0000-000029310000}"/>
    <cellStyle name="20% - Accent4 7 2 2 2 2 2" xfId="6333" xr:uid="{00000000-0005-0000-0000-00002A310000}"/>
    <cellStyle name="20% - Accent4 7 2 2 2 2 2 2" xfId="11983" xr:uid="{00000000-0005-0000-0000-00002B310000}"/>
    <cellStyle name="20% - Accent4 7 2 2 2 2 2 2 2" xfId="23284" xr:uid="{00000000-0005-0000-0000-00002C310000}"/>
    <cellStyle name="20% - Accent4 7 2 2 2 2 2 2 2 2" xfId="45886" xr:uid="{00000000-0005-0000-0000-00002D310000}"/>
    <cellStyle name="20% - Accent4 7 2 2 2 2 2 2 3" xfId="34585" xr:uid="{00000000-0005-0000-0000-00002E310000}"/>
    <cellStyle name="20% - Accent4 7 2 2 2 2 2 3" xfId="17634" xr:uid="{00000000-0005-0000-0000-00002F310000}"/>
    <cellStyle name="20% - Accent4 7 2 2 2 2 2 3 2" xfId="40236" xr:uid="{00000000-0005-0000-0000-000030310000}"/>
    <cellStyle name="20% - Accent4 7 2 2 2 2 2 4" xfId="28935" xr:uid="{00000000-0005-0000-0000-000031310000}"/>
    <cellStyle name="20% - Accent4 7 2 2 2 2 3" xfId="9151" xr:uid="{00000000-0005-0000-0000-000032310000}"/>
    <cellStyle name="20% - Accent4 7 2 2 2 2 3 2" xfId="20452" xr:uid="{00000000-0005-0000-0000-000033310000}"/>
    <cellStyle name="20% - Accent4 7 2 2 2 2 3 2 2" xfId="43054" xr:uid="{00000000-0005-0000-0000-000034310000}"/>
    <cellStyle name="20% - Accent4 7 2 2 2 2 3 3" xfId="31753" xr:uid="{00000000-0005-0000-0000-000035310000}"/>
    <cellStyle name="20% - Accent4 7 2 2 2 2 4" xfId="14802" xr:uid="{00000000-0005-0000-0000-000036310000}"/>
    <cellStyle name="20% - Accent4 7 2 2 2 2 4 2" xfId="37404" xr:uid="{00000000-0005-0000-0000-000037310000}"/>
    <cellStyle name="20% - Accent4 7 2 2 2 2 5" xfId="26103" xr:uid="{00000000-0005-0000-0000-000038310000}"/>
    <cellStyle name="20% - Accent4 7 2 2 2 3" xfId="5099" xr:uid="{00000000-0005-0000-0000-000039310000}"/>
    <cellStyle name="20% - Accent4 7 2 2 2 3 2" xfId="10749" xr:uid="{00000000-0005-0000-0000-00003A310000}"/>
    <cellStyle name="20% - Accent4 7 2 2 2 3 2 2" xfId="22050" xr:uid="{00000000-0005-0000-0000-00003B310000}"/>
    <cellStyle name="20% - Accent4 7 2 2 2 3 2 2 2" xfId="44652" xr:uid="{00000000-0005-0000-0000-00003C310000}"/>
    <cellStyle name="20% - Accent4 7 2 2 2 3 2 3" xfId="33351" xr:uid="{00000000-0005-0000-0000-00003D310000}"/>
    <cellStyle name="20% - Accent4 7 2 2 2 3 3" xfId="16400" xr:uid="{00000000-0005-0000-0000-00003E310000}"/>
    <cellStyle name="20% - Accent4 7 2 2 2 3 3 2" xfId="39002" xr:uid="{00000000-0005-0000-0000-00003F310000}"/>
    <cellStyle name="20% - Accent4 7 2 2 2 3 4" xfId="27701" xr:uid="{00000000-0005-0000-0000-000040310000}"/>
    <cellStyle name="20% - Accent4 7 2 2 2 4" xfId="7511" xr:uid="{00000000-0005-0000-0000-000041310000}"/>
    <cellStyle name="20% - Accent4 7 2 2 2 4 2" xfId="18812" xr:uid="{00000000-0005-0000-0000-000042310000}"/>
    <cellStyle name="20% - Accent4 7 2 2 2 4 2 2" xfId="41414" xr:uid="{00000000-0005-0000-0000-000043310000}"/>
    <cellStyle name="20% - Accent4 7 2 2 2 4 3" xfId="30113" xr:uid="{00000000-0005-0000-0000-000044310000}"/>
    <cellStyle name="20% - Accent4 7 2 2 2 5" xfId="13162" xr:uid="{00000000-0005-0000-0000-000045310000}"/>
    <cellStyle name="20% - Accent4 7 2 2 2 5 2" xfId="35764" xr:uid="{00000000-0005-0000-0000-000046310000}"/>
    <cellStyle name="20% - Accent4 7 2 2 2 6" xfId="24463" xr:uid="{00000000-0005-0000-0000-000047310000}"/>
    <cellStyle name="20% - Accent4 7 2 2 3" xfId="2690" xr:uid="{00000000-0005-0000-0000-000048310000}"/>
    <cellStyle name="20% - Accent4 7 2 2 3 2" xfId="5709" xr:uid="{00000000-0005-0000-0000-000049310000}"/>
    <cellStyle name="20% - Accent4 7 2 2 3 2 2" xfId="11359" xr:uid="{00000000-0005-0000-0000-00004A310000}"/>
    <cellStyle name="20% - Accent4 7 2 2 3 2 2 2" xfId="22660" xr:uid="{00000000-0005-0000-0000-00004B310000}"/>
    <cellStyle name="20% - Accent4 7 2 2 3 2 2 2 2" xfId="45262" xr:uid="{00000000-0005-0000-0000-00004C310000}"/>
    <cellStyle name="20% - Accent4 7 2 2 3 2 2 3" xfId="33961" xr:uid="{00000000-0005-0000-0000-00004D310000}"/>
    <cellStyle name="20% - Accent4 7 2 2 3 2 3" xfId="17010" xr:uid="{00000000-0005-0000-0000-00004E310000}"/>
    <cellStyle name="20% - Accent4 7 2 2 3 2 3 2" xfId="39612" xr:uid="{00000000-0005-0000-0000-00004F310000}"/>
    <cellStyle name="20% - Accent4 7 2 2 3 2 4" xfId="28311" xr:uid="{00000000-0005-0000-0000-000050310000}"/>
    <cellStyle name="20% - Accent4 7 2 2 3 3" xfId="8526" xr:uid="{00000000-0005-0000-0000-000051310000}"/>
    <cellStyle name="20% - Accent4 7 2 2 3 3 2" xfId="19827" xr:uid="{00000000-0005-0000-0000-000052310000}"/>
    <cellStyle name="20% - Accent4 7 2 2 3 3 2 2" xfId="42429" xr:uid="{00000000-0005-0000-0000-000053310000}"/>
    <cellStyle name="20% - Accent4 7 2 2 3 3 3" xfId="31128" xr:uid="{00000000-0005-0000-0000-000054310000}"/>
    <cellStyle name="20% - Accent4 7 2 2 3 4" xfId="14177" xr:uid="{00000000-0005-0000-0000-000055310000}"/>
    <cellStyle name="20% - Accent4 7 2 2 3 4 2" xfId="36779" xr:uid="{00000000-0005-0000-0000-000056310000}"/>
    <cellStyle name="20% - Accent4 7 2 2 3 5" xfId="25478" xr:uid="{00000000-0005-0000-0000-000057310000}"/>
    <cellStyle name="20% - Accent4 7 2 2 4" xfId="4475" xr:uid="{00000000-0005-0000-0000-000058310000}"/>
    <cellStyle name="20% - Accent4 7 2 2 4 2" xfId="10125" xr:uid="{00000000-0005-0000-0000-000059310000}"/>
    <cellStyle name="20% - Accent4 7 2 2 4 2 2" xfId="21426" xr:uid="{00000000-0005-0000-0000-00005A310000}"/>
    <cellStyle name="20% - Accent4 7 2 2 4 2 2 2" xfId="44028" xr:uid="{00000000-0005-0000-0000-00005B310000}"/>
    <cellStyle name="20% - Accent4 7 2 2 4 2 3" xfId="32727" xr:uid="{00000000-0005-0000-0000-00005C310000}"/>
    <cellStyle name="20% - Accent4 7 2 2 4 3" xfId="15776" xr:uid="{00000000-0005-0000-0000-00005D310000}"/>
    <cellStyle name="20% - Accent4 7 2 2 4 3 2" xfId="38378" xr:uid="{00000000-0005-0000-0000-00005E310000}"/>
    <cellStyle name="20% - Accent4 7 2 2 4 4" xfId="27077" xr:uid="{00000000-0005-0000-0000-00005F310000}"/>
    <cellStyle name="20% - Accent4 7 2 2 5" xfId="7271" xr:uid="{00000000-0005-0000-0000-000060310000}"/>
    <cellStyle name="20% - Accent4 7 2 2 5 2" xfId="18572" xr:uid="{00000000-0005-0000-0000-000061310000}"/>
    <cellStyle name="20% - Accent4 7 2 2 5 2 2" xfId="41174" xr:uid="{00000000-0005-0000-0000-000062310000}"/>
    <cellStyle name="20% - Accent4 7 2 2 5 3" xfId="29873" xr:uid="{00000000-0005-0000-0000-000063310000}"/>
    <cellStyle name="20% - Accent4 7 2 2 6" xfId="12922" xr:uid="{00000000-0005-0000-0000-000064310000}"/>
    <cellStyle name="20% - Accent4 7 2 2 6 2" xfId="35524" xr:uid="{00000000-0005-0000-0000-000065310000}"/>
    <cellStyle name="20% - Accent4 7 2 2 7" xfId="24223" xr:uid="{00000000-0005-0000-0000-000066310000}"/>
    <cellStyle name="20% - Accent4 7 2 3" xfId="990" xr:uid="{00000000-0005-0000-0000-000067310000}"/>
    <cellStyle name="20% - Accent4 7 2 3 2" xfId="3053" xr:uid="{00000000-0005-0000-0000-000068310000}"/>
    <cellStyle name="20% - Accent4 7 2 3 2 2" xfId="6025" xr:uid="{00000000-0005-0000-0000-000069310000}"/>
    <cellStyle name="20% - Accent4 7 2 3 2 2 2" xfId="11675" xr:uid="{00000000-0005-0000-0000-00006A310000}"/>
    <cellStyle name="20% - Accent4 7 2 3 2 2 2 2" xfId="22976" xr:uid="{00000000-0005-0000-0000-00006B310000}"/>
    <cellStyle name="20% - Accent4 7 2 3 2 2 2 2 2" xfId="45578" xr:uid="{00000000-0005-0000-0000-00006C310000}"/>
    <cellStyle name="20% - Accent4 7 2 3 2 2 2 3" xfId="34277" xr:uid="{00000000-0005-0000-0000-00006D310000}"/>
    <cellStyle name="20% - Accent4 7 2 3 2 2 3" xfId="17326" xr:uid="{00000000-0005-0000-0000-00006E310000}"/>
    <cellStyle name="20% - Accent4 7 2 3 2 2 3 2" xfId="39928" xr:uid="{00000000-0005-0000-0000-00006F310000}"/>
    <cellStyle name="20% - Accent4 7 2 3 2 2 4" xfId="28627" xr:uid="{00000000-0005-0000-0000-000070310000}"/>
    <cellStyle name="20% - Accent4 7 2 3 2 3" xfId="8843" xr:uid="{00000000-0005-0000-0000-000071310000}"/>
    <cellStyle name="20% - Accent4 7 2 3 2 3 2" xfId="20144" xr:uid="{00000000-0005-0000-0000-000072310000}"/>
    <cellStyle name="20% - Accent4 7 2 3 2 3 2 2" xfId="42746" xr:uid="{00000000-0005-0000-0000-000073310000}"/>
    <cellStyle name="20% - Accent4 7 2 3 2 3 3" xfId="31445" xr:uid="{00000000-0005-0000-0000-000074310000}"/>
    <cellStyle name="20% - Accent4 7 2 3 2 4" xfId="14494" xr:uid="{00000000-0005-0000-0000-000075310000}"/>
    <cellStyle name="20% - Accent4 7 2 3 2 4 2" xfId="37096" xr:uid="{00000000-0005-0000-0000-000076310000}"/>
    <cellStyle name="20% - Accent4 7 2 3 2 5" xfId="25795" xr:uid="{00000000-0005-0000-0000-000077310000}"/>
    <cellStyle name="20% - Accent4 7 2 3 3" xfId="4791" xr:uid="{00000000-0005-0000-0000-000078310000}"/>
    <cellStyle name="20% - Accent4 7 2 3 3 2" xfId="10441" xr:uid="{00000000-0005-0000-0000-000079310000}"/>
    <cellStyle name="20% - Accent4 7 2 3 3 2 2" xfId="21742" xr:uid="{00000000-0005-0000-0000-00007A310000}"/>
    <cellStyle name="20% - Accent4 7 2 3 3 2 2 2" xfId="44344" xr:uid="{00000000-0005-0000-0000-00007B310000}"/>
    <cellStyle name="20% - Accent4 7 2 3 3 2 3" xfId="33043" xr:uid="{00000000-0005-0000-0000-00007C310000}"/>
    <cellStyle name="20% - Accent4 7 2 3 3 3" xfId="16092" xr:uid="{00000000-0005-0000-0000-00007D310000}"/>
    <cellStyle name="20% - Accent4 7 2 3 3 3 2" xfId="38694" xr:uid="{00000000-0005-0000-0000-00007E310000}"/>
    <cellStyle name="20% - Accent4 7 2 3 3 4" xfId="27393" xr:uid="{00000000-0005-0000-0000-00007F310000}"/>
    <cellStyle name="20% - Accent4 7 2 3 4" xfId="6978" xr:uid="{00000000-0005-0000-0000-000080310000}"/>
    <cellStyle name="20% - Accent4 7 2 3 4 2" xfId="18279" xr:uid="{00000000-0005-0000-0000-000081310000}"/>
    <cellStyle name="20% - Accent4 7 2 3 4 2 2" xfId="40881" xr:uid="{00000000-0005-0000-0000-000082310000}"/>
    <cellStyle name="20% - Accent4 7 2 3 4 3" xfId="29580" xr:uid="{00000000-0005-0000-0000-000083310000}"/>
    <cellStyle name="20% - Accent4 7 2 3 5" xfId="12629" xr:uid="{00000000-0005-0000-0000-000084310000}"/>
    <cellStyle name="20% - Accent4 7 2 3 5 2" xfId="35231" xr:uid="{00000000-0005-0000-0000-000085310000}"/>
    <cellStyle name="20% - Accent4 7 2 3 6" xfId="23930" xr:uid="{00000000-0005-0000-0000-000086310000}"/>
    <cellStyle name="20% - Accent4 7 2 4" xfId="1654" xr:uid="{00000000-0005-0000-0000-000087310000}"/>
    <cellStyle name="20% - Accent4 7 2 4 2" xfId="3593" xr:uid="{00000000-0005-0000-0000-000088310000}"/>
    <cellStyle name="20% - Accent4 7 2 4 2 2" xfId="9305" xr:uid="{00000000-0005-0000-0000-000089310000}"/>
    <cellStyle name="20% - Accent4 7 2 4 2 2 2" xfId="20606" xr:uid="{00000000-0005-0000-0000-00008A310000}"/>
    <cellStyle name="20% - Accent4 7 2 4 2 2 2 2" xfId="43208" xr:uid="{00000000-0005-0000-0000-00008B310000}"/>
    <cellStyle name="20% - Accent4 7 2 4 2 2 3" xfId="31907" xr:uid="{00000000-0005-0000-0000-00008C310000}"/>
    <cellStyle name="20% - Accent4 7 2 4 2 3" xfId="14956" xr:uid="{00000000-0005-0000-0000-00008D310000}"/>
    <cellStyle name="20% - Accent4 7 2 4 2 3 2" xfId="37558" xr:uid="{00000000-0005-0000-0000-00008E310000}"/>
    <cellStyle name="20% - Accent4 7 2 4 2 4" xfId="26257" xr:uid="{00000000-0005-0000-0000-00008F310000}"/>
    <cellStyle name="20% - Accent4 7 2 4 3" xfId="5401" xr:uid="{00000000-0005-0000-0000-000090310000}"/>
    <cellStyle name="20% - Accent4 7 2 4 3 2" xfId="11051" xr:uid="{00000000-0005-0000-0000-000091310000}"/>
    <cellStyle name="20% - Accent4 7 2 4 3 2 2" xfId="22352" xr:uid="{00000000-0005-0000-0000-000092310000}"/>
    <cellStyle name="20% - Accent4 7 2 4 3 2 2 2" xfId="44954" xr:uid="{00000000-0005-0000-0000-000093310000}"/>
    <cellStyle name="20% - Accent4 7 2 4 3 2 3" xfId="33653" xr:uid="{00000000-0005-0000-0000-000094310000}"/>
    <cellStyle name="20% - Accent4 7 2 4 3 3" xfId="16702" xr:uid="{00000000-0005-0000-0000-000095310000}"/>
    <cellStyle name="20% - Accent4 7 2 4 3 3 2" xfId="39304" xr:uid="{00000000-0005-0000-0000-000096310000}"/>
    <cellStyle name="20% - Accent4 7 2 4 3 4" xfId="28003" xr:uid="{00000000-0005-0000-0000-000097310000}"/>
    <cellStyle name="20% - Accent4 7 2 4 4" xfId="7510" xr:uid="{00000000-0005-0000-0000-000098310000}"/>
    <cellStyle name="20% - Accent4 7 2 4 4 2" xfId="18811" xr:uid="{00000000-0005-0000-0000-000099310000}"/>
    <cellStyle name="20% - Accent4 7 2 4 4 2 2" xfId="41413" xr:uid="{00000000-0005-0000-0000-00009A310000}"/>
    <cellStyle name="20% - Accent4 7 2 4 4 3" xfId="30112" xr:uid="{00000000-0005-0000-0000-00009B310000}"/>
    <cellStyle name="20% - Accent4 7 2 4 5" xfId="13161" xr:uid="{00000000-0005-0000-0000-00009C310000}"/>
    <cellStyle name="20% - Accent4 7 2 4 5 2" xfId="35763" xr:uid="{00000000-0005-0000-0000-00009D310000}"/>
    <cellStyle name="20% - Accent4 7 2 4 6" xfId="24462" xr:uid="{00000000-0005-0000-0000-00009E310000}"/>
    <cellStyle name="20% - Accent4 7 2 5" xfId="2382" xr:uid="{00000000-0005-0000-0000-00009F310000}"/>
    <cellStyle name="20% - Accent4 7 2 5 2" xfId="8218" xr:uid="{00000000-0005-0000-0000-0000A0310000}"/>
    <cellStyle name="20% - Accent4 7 2 5 2 2" xfId="19519" xr:uid="{00000000-0005-0000-0000-0000A1310000}"/>
    <cellStyle name="20% - Accent4 7 2 5 2 2 2" xfId="42121" xr:uid="{00000000-0005-0000-0000-0000A2310000}"/>
    <cellStyle name="20% - Accent4 7 2 5 2 3" xfId="30820" xr:uid="{00000000-0005-0000-0000-0000A3310000}"/>
    <cellStyle name="20% - Accent4 7 2 5 3" xfId="13869" xr:uid="{00000000-0005-0000-0000-0000A4310000}"/>
    <cellStyle name="20% - Accent4 7 2 5 3 2" xfId="36471" xr:uid="{00000000-0005-0000-0000-0000A5310000}"/>
    <cellStyle name="20% - Accent4 7 2 5 4" xfId="25170" xr:uid="{00000000-0005-0000-0000-0000A6310000}"/>
    <cellStyle name="20% - Accent4 7 2 6" xfId="4167" xr:uid="{00000000-0005-0000-0000-0000A7310000}"/>
    <cellStyle name="20% - Accent4 7 2 6 2" xfId="9817" xr:uid="{00000000-0005-0000-0000-0000A8310000}"/>
    <cellStyle name="20% - Accent4 7 2 6 2 2" xfId="21118" xr:uid="{00000000-0005-0000-0000-0000A9310000}"/>
    <cellStyle name="20% - Accent4 7 2 6 2 2 2" xfId="43720" xr:uid="{00000000-0005-0000-0000-0000AA310000}"/>
    <cellStyle name="20% - Accent4 7 2 6 2 3" xfId="32419" xr:uid="{00000000-0005-0000-0000-0000AB310000}"/>
    <cellStyle name="20% - Accent4 7 2 6 3" xfId="15468" xr:uid="{00000000-0005-0000-0000-0000AC310000}"/>
    <cellStyle name="20% - Accent4 7 2 6 3 2" xfId="38070" xr:uid="{00000000-0005-0000-0000-0000AD310000}"/>
    <cellStyle name="20% - Accent4 7 2 6 4" xfId="26769" xr:uid="{00000000-0005-0000-0000-0000AE310000}"/>
    <cellStyle name="20% - Accent4 7 2 7" xfId="6647" xr:uid="{00000000-0005-0000-0000-0000AF310000}"/>
    <cellStyle name="20% - Accent4 7 2 7 2" xfId="17948" xr:uid="{00000000-0005-0000-0000-0000B0310000}"/>
    <cellStyle name="20% - Accent4 7 2 7 2 2" xfId="40550" xr:uid="{00000000-0005-0000-0000-0000B1310000}"/>
    <cellStyle name="20% - Accent4 7 2 7 3" xfId="29249" xr:uid="{00000000-0005-0000-0000-0000B2310000}"/>
    <cellStyle name="20% - Accent4 7 2 8" xfId="12298" xr:uid="{00000000-0005-0000-0000-0000B3310000}"/>
    <cellStyle name="20% - Accent4 7 2 8 2" xfId="34900" xr:uid="{00000000-0005-0000-0000-0000B4310000}"/>
    <cellStyle name="20% - Accent4 7 2 9" xfId="23599" xr:uid="{00000000-0005-0000-0000-0000B5310000}"/>
    <cellStyle name="20% - Accent4 7 3" xfId="1154" xr:uid="{00000000-0005-0000-0000-0000B6310000}"/>
    <cellStyle name="20% - Accent4 7 3 2" xfId="1656" xr:uid="{00000000-0005-0000-0000-0000B7310000}"/>
    <cellStyle name="20% - Accent4 7 3 2 2" xfId="3222" xr:uid="{00000000-0005-0000-0000-0000B8310000}"/>
    <cellStyle name="20% - Accent4 7 3 2 2 2" xfId="6194" xr:uid="{00000000-0005-0000-0000-0000B9310000}"/>
    <cellStyle name="20% - Accent4 7 3 2 2 2 2" xfId="11844" xr:uid="{00000000-0005-0000-0000-0000BA310000}"/>
    <cellStyle name="20% - Accent4 7 3 2 2 2 2 2" xfId="23145" xr:uid="{00000000-0005-0000-0000-0000BB310000}"/>
    <cellStyle name="20% - Accent4 7 3 2 2 2 2 2 2" xfId="45747" xr:uid="{00000000-0005-0000-0000-0000BC310000}"/>
    <cellStyle name="20% - Accent4 7 3 2 2 2 2 3" xfId="34446" xr:uid="{00000000-0005-0000-0000-0000BD310000}"/>
    <cellStyle name="20% - Accent4 7 3 2 2 2 3" xfId="17495" xr:uid="{00000000-0005-0000-0000-0000BE310000}"/>
    <cellStyle name="20% - Accent4 7 3 2 2 2 3 2" xfId="40097" xr:uid="{00000000-0005-0000-0000-0000BF310000}"/>
    <cellStyle name="20% - Accent4 7 3 2 2 2 4" xfId="28796" xr:uid="{00000000-0005-0000-0000-0000C0310000}"/>
    <cellStyle name="20% - Accent4 7 3 2 2 3" xfId="9012" xr:uid="{00000000-0005-0000-0000-0000C1310000}"/>
    <cellStyle name="20% - Accent4 7 3 2 2 3 2" xfId="20313" xr:uid="{00000000-0005-0000-0000-0000C2310000}"/>
    <cellStyle name="20% - Accent4 7 3 2 2 3 2 2" xfId="42915" xr:uid="{00000000-0005-0000-0000-0000C3310000}"/>
    <cellStyle name="20% - Accent4 7 3 2 2 3 3" xfId="31614" xr:uid="{00000000-0005-0000-0000-0000C4310000}"/>
    <cellStyle name="20% - Accent4 7 3 2 2 4" xfId="14663" xr:uid="{00000000-0005-0000-0000-0000C5310000}"/>
    <cellStyle name="20% - Accent4 7 3 2 2 4 2" xfId="37265" xr:uid="{00000000-0005-0000-0000-0000C6310000}"/>
    <cellStyle name="20% - Accent4 7 3 2 2 5" xfId="25964" xr:uid="{00000000-0005-0000-0000-0000C7310000}"/>
    <cellStyle name="20% - Accent4 7 3 2 3" xfId="4960" xr:uid="{00000000-0005-0000-0000-0000C8310000}"/>
    <cellStyle name="20% - Accent4 7 3 2 3 2" xfId="10610" xr:uid="{00000000-0005-0000-0000-0000C9310000}"/>
    <cellStyle name="20% - Accent4 7 3 2 3 2 2" xfId="21911" xr:uid="{00000000-0005-0000-0000-0000CA310000}"/>
    <cellStyle name="20% - Accent4 7 3 2 3 2 2 2" xfId="44513" xr:uid="{00000000-0005-0000-0000-0000CB310000}"/>
    <cellStyle name="20% - Accent4 7 3 2 3 2 3" xfId="33212" xr:uid="{00000000-0005-0000-0000-0000CC310000}"/>
    <cellStyle name="20% - Accent4 7 3 2 3 3" xfId="16261" xr:uid="{00000000-0005-0000-0000-0000CD310000}"/>
    <cellStyle name="20% - Accent4 7 3 2 3 3 2" xfId="38863" xr:uid="{00000000-0005-0000-0000-0000CE310000}"/>
    <cellStyle name="20% - Accent4 7 3 2 3 4" xfId="27562" xr:uid="{00000000-0005-0000-0000-0000CF310000}"/>
    <cellStyle name="20% - Accent4 7 3 2 4" xfId="7512" xr:uid="{00000000-0005-0000-0000-0000D0310000}"/>
    <cellStyle name="20% - Accent4 7 3 2 4 2" xfId="18813" xr:uid="{00000000-0005-0000-0000-0000D1310000}"/>
    <cellStyle name="20% - Accent4 7 3 2 4 2 2" xfId="41415" xr:uid="{00000000-0005-0000-0000-0000D2310000}"/>
    <cellStyle name="20% - Accent4 7 3 2 4 3" xfId="30114" xr:uid="{00000000-0005-0000-0000-0000D3310000}"/>
    <cellStyle name="20% - Accent4 7 3 2 5" xfId="13163" xr:uid="{00000000-0005-0000-0000-0000D4310000}"/>
    <cellStyle name="20% - Accent4 7 3 2 5 2" xfId="35765" xr:uid="{00000000-0005-0000-0000-0000D5310000}"/>
    <cellStyle name="20% - Accent4 7 3 2 6" xfId="24464" xr:uid="{00000000-0005-0000-0000-0000D6310000}"/>
    <cellStyle name="20% - Accent4 7 3 3" xfId="2551" xr:uid="{00000000-0005-0000-0000-0000D7310000}"/>
    <cellStyle name="20% - Accent4 7 3 3 2" xfId="5570" xr:uid="{00000000-0005-0000-0000-0000D8310000}"/>
    <cellStyle name="20% - Accent4 7 3 3 2 2" xfId="11220" xr:uid="{00000000-0005-0000-0000-0000D9310000}"/>
    <cellStyle name="20% - Accent4 7 3 3 2 2 2" xfId="22521" xr:uid="{00000000-0005-0000-0000-0000DA310000}"/>
    <cellStyle name="20% - Accent4 7 3 3 2 2 2 2" xfId="45123" xr:uid="{00000000-0005-0000-0000-0000DB310000}"/>
    <cellStyle name="20% - Accent4 7 3 3 2 2 3" xfId="33822" xr:uid="{00000000-0005-0000-0000-0000DC310000}"/>
    <cellStyle name="20% - Accent4 7 3 3 2 3" xfId="16871" xr:uid="{00000000-0005-0000-0000-0000DD310000}"/>
    <cellStyle name="20% - Accent4 7 3 3 2 3 2" xfId="39473" xr:uid="{00000000-0005-0000-0000-0000DE310000}"/>
    <cellStyle name="20% - Accent4 7 3 3 2 4" xfId="28172" xr:uid="{00000000-0005-0000-0000-0000DF310000}"/>
    <cellStyle name="20% - Accent4 7 3 3 3" xfId="8387" xr:uid="{00000000-0005-0000-0000-0000E0310000}"/>
    <cellStyle name="20% - Accent4 7 3 3 3 2" xfId="19688" xr:uid="{00000000-0005-0000-0000-0000E1310000}"/>
    <cellStyle name="20% - Accent4 7 3 3 3 2 2" xfId="42290" xr:uid="{00000000-0005-0000-0000-0000E2310000}"/>
    <cellStyle name="20% - Accent4 7 3 3 3 3" xfId="30989" xr:uid="{00000000-0005-0000-0000-0000E3310000}"/>
    <cellStyle name="20% - Accent4 7 3 3 4" xfId="14038" xr:uid="{00000000-0005-0000-0000-0000E4310000}"/>
    <cellStyle name="20% - Accent4 7 3 3 4 2" xfId="36640" xr:uid="{00000000-0005-0000-0000-0000E5310000}"/>
    <cellStyle name="20% - Accent4 7 3 3 5" xfId="25339" xr:uid="{00000000-0005-0000-0000-0000E6310000}"/>
    <cellStyle name="20% - Accent4 7 3 4" xfId="4336" xr:uid="{00000000-0005-0000-0000-0000E7310000}"/>
    <cellStyle name="20% - Accent4 7 3 4 2" xfId="9986" xr:uid="{00000000-0005-0000-0000-0000E8310000}"/>
    <cellStyle name="20% - Accent4 7 3 4 2 2" xfId="21287" xr:uid="{00000000-0005-0000-0000-0000E9310000}"/>
    <cellStyle name="20% - Accent4 7 3 4 2 2 2" xfId="43889" xr:uid="{00000000-0005-0000-0000-0000EA310000}"/>
    <cellStyle name="20% - Accent4 7 3 4 2 3" xfId="32588" xr:uid="{00000000-0005-0000-0000-0000EB310000}"/>
    <cellStyle name="20% - Accent4 7 3 4 3" xfId="15637" xr:uid="{00000000-0005-0000-0000-0000EC310000}"/>
    <cellStyle name="20% - Accent4 7 3 4 3 2" xfId="38239" xr:uid="{00000000-0005-0000-0000-0000ED310000}"/>
    <cellStyle name="20% - Accent4 7 3 4 4" xfId="26938" xr:uid="{00000000-0005-0000-0000-0000EE310000}"/>
    <cellStyle name="20% - Accent4 7 3 5" xfId="7133" xr:uid="{00000000-0005-0000-0000-0000EF310000}"/>
    <cellStyle name="20% - Accent4 7 3 5 2" xfId="18434" xr:uid="{00000000-0005-0000-0000-0000F0310000}"/>
    <cellStyle name="20% - Accent4 7 3 5 2 2" xfId="41036" xr:uid="{00000000-0005-0000-0000-0000F1310000}"/>
    <cellStyle name="20% - Accent4 7 3 5 3" xfId="29735" xr:uid="{00000000-0005-0000-0000-0000F2310000}"/>
    <cellStyle name="20% - Accent4 7 3 6" xfId="12784" xr:uid="{00000000-0005-0000-0000-0000F3310000}"/>
    <cellStyle name="20% - Accent4 7 3 6 2" xfId="35386" xr:uid="{00000000-0005-0000-0000-0000F4310000}"/>
    <cellStyle name="20% - Accent4 7 3 7" xfId="24085" xr:uid="{00000000-0005-0000-0000-0000F5310000}"/>
    <cellStyle name="20% - Accent4 7 4" xfId="845" xr:uid="{00000000-0005-0000-0000-0000F6310000}"/>
    <cellStyle name="20% - Accent4 7 4 2" xfId="2915" xr:uid="{00000000-0005-0000-0000-0000F7310000}"/>
    <cellStyle name="20% - Accent4 7 4 2 2" xfId="5887" xr:uid="{00000000-0005-0000-0000-0000F8310000}"/>
    <cellStyle name="20% - Accent4 7 4 2 2 2" xfId="11537" xr:uid="{00000000-0005-0000-0000-0000F9310000}"/>
    <cellStyle name="20% - Accent4 7 4 2 2 2 2" xfId="22838" xr:uid="{00000000-0005-0000-0000-0000FA310000}"/>
    <cellStyle name="20% - Accent4 7 4 2 2 2 2 2" xfId="45440" xr:uid="{00000000-0005-0000-0000-0000FB310000}"/>
    <cellStyle name="20% - Accent4 7 4 2 2 2 3" xfId="34139" xr:uid="{00000000-0005-0000-0000-0000FC310000}"/>
    <cellStyle name="20% - Accent4 7 4 2 2 3" xfId="17188" xr:uid="{00000000-0005-0000-0000-0000FD310000}"/>
    <cellStyle name="20% - Accent4 7 4 2 2 3 2" xfId="39790" xr:uid="{00000000-0005-0000-0000-0000FE310000}"/>
    <cellStyle name="20% - Accent4 7 4 2 2 4" xfId="28489" xr:uid="{00000000-0005-0000-0000-0000FF310000}"/>
    <cellStyle name="20% - Accent4 7 4 2 3" xfId="8705" xr:uid="{00000000-0005-0000-0000-000000320000}"/>
    <cellStyle name="20% - Accent4 7 4 2 3 2" xfId="20006" xr:uid="{00000000-0005-0000-0000-000001320000}"/>
    <cellStyle name="20% - Accent4 7 4 2 3 2 2" xfId="42608" xr:uid="{00000000-0005-0000-0000-000002320000}"/>
    <cellStyle name="20% - Accent4 7 4 2 3 3" xfId="31307" xr:uid="{00000000-0005-0000-0000-000003320000}"/>
    <cellStyle name="20% - Accent4 7 4 2 4" xfId="14356" xr:uid="{00000000-0005-0000-0000-000004320000}"/>
    <cellStyle name="20% - Accent4 7 4 2 4 2" xfId="36958" xr:uid="{00000000-0005-0000-0000-000005320000}"/>
    <cellStyle name="20% - Accent4 7 4 2 5" xfId="25657" xr:uid="{00000000-0005-0000-0000-000006320000}"/>
    <cellStyle name="20% - Accent4 7 4 3" xfId="4653" xr:uid="{00000000-0005-0000-0000-000007320000}"/>
    <cellStyle name="20% - Accent4 7 4 3 2" xfId="10303" xr:uid="{00000000-0005-0000-0000-000008320000}"/>
    <cellStyle name="20% - Accent4 7 4 3 2 2" xfId="21604" xr:uid="{00000000-0005-0000-0000-000009320000}"/>
    <cellStyle name="20% - Accent4 7 4 3 2 2 2" xfId="44206" xr:uid="{00000000-0005-0000-0000-00000A320000}"/>
    <cellStyle name="20% - Accent4 7 4 3 2 3" xfId="32905" xr:uid="{00000000-0005-0000-0000-00000B320000}"/>
    <cellStyle name="20% - Accent4 7 4 3 3" xfId="15954" xr:uid="{00000000-0005-0000-0000-00000C320000}"/>
    <cellStyle name="20% - Accent4 7 4 3 3 2" xfId="38556" xr:uid="{00000000-0005-0000-0000-00000D320000}"/>
    <cellStyle name="20% - Accent4 7 4 3 4" xfId="27255" xr:uid="{00000000-0005-0000-0000-00000E320000}"/>
    <cellStyle name="20% - Accent4 7 4 4" xfId="6840" xr:uid="{00000000-0005-0000-0000-00000F320000}"/>
    <cellStyle name="20% - Accent4 7 4 4 2" xfId="18141" xr:uid="{00000000-0005-0000-0000-000010320000}"/>
    <cellStyle name="20% - Accent4 7 4 4 2 2" xfId="40743" xr:uid="{00000000-0005-0000-0000-000011320000}"/>
    <cellStyle name="20% - Accent4 7 4 4 3" xfId="29442" xr:uid="{00000000-0005-0000-0000-000012320000}"/>
    <cellStyle name="20% - Accent4 7 4 5" xfId="12491" xr:uid="{00000000-0005-0000-0000-000013320000}"/>
    <cellStyle name="20% - Accent4 7 4 5 2" xfId="35093" xr:uid="{00000000-0005-0000-0000-000014320000}"/>
    <cellStyle name="20% - Accent4 7 4 6" xfId="23792" xr:uid="{00000000-0005-0000-0000-000015320000}"/>
    <cellStyle name="20% - Accent4 7 5" xfId="1653" xr:uid="{00000000-0005-0000-0000-000016320000}"/>
    <cellStyle name="20% - Accent4 7 5 2" xfId="3592" xr:uid="{00000000-0005-0000-0000-000017320000}"/>
    <cellStyle name="20% - Accent4 7 5 2 2" xfId="9304" xr:uid="{00000000-0005-0000-0000-000018320000}"/>
    <cellStyle name="20% - Accent4 7 5 2 2 2" xfId="20605" xr:uid="{00000000-0005-0000-0000-000019320000}"/>
    <cellStyle name="20% - Accent4 7 5 2 2 2 2" xfId="43207" xr:uid="{00000000-0005-0000-0000-00001A320000}"/>
    <cellStyle name="20% - Accent4 7 5 2 2 3" xfId="31906" xr:uid="{00000000-0005-0000-0000-00001B320000}"/>
    <cellStyle name="20% - Accent4 7 5 2 3" xfId="14955" xr:uid="{00000000-0005-0000-0000-00001C320000}"/>
    <cellStyle name="20% - Accent4 7 5 2 3 2" xfId="37557" xr:uid="{00000000-0005-0000-0000-00001D320000}"/>
    <cellStyle name="20% - Accent4 7 5 2 4" xfId="26256" xr:uid="{00000000-0005-0000-0000-00001E320000}"/>
    <cellStyle name="20% - Accent4 7 5 3" xfId="5263" xr:uid="{00000000-0005-0000-0000-00001F320000}"/>
    <cellStyle name="20% - Accent4 7 5 3 2" xfId="10913" xr:uid="{00000000-0005-0000-0000-000020320000}"/>
    <cellStyle name="20% - Accent4 7 5 3 2 2" xfId="22214" xr:uid="{00000000-0005-0000-0000-000021320000}"/>
    <cellStyle name="20% - Accent4 7 5 3 2 2 2" xfId="44816" xr:uid="{00000000-0005-0000-0000-000022320000}"/>
    <cellStyle name="20% - Accent4 7 5 3 2 3" xfId="33515" xr:uid="{00000000-0005-0000-0000-000023320000}"/>
    <cellStyle name="20% - Accent4 7 5 3 3" xfId="16564" xr:uid="{00000000-0005-0000-0000-000024320000}"/>
    <cellStyle name="20% - Accent4 7 5 3 3 2" xfId="39166" xr:uid="{00000000-0005-0000-0000-000025320000}"/>
    <cellStyle name="20% - Accent4 7 5 3 4" xfId="27865" xr:uid="{00000000-0005-0000-0000-000026320000}"/>
    <cellStyle name="20% - Accent4 7 5 4" xfId="7509" xr:uid="{00000000-0005-0000-0000-000027320000}"/>
    <cellStyle name="20% - Accent4 7 5 4 2" xfId="18810" xr:uid="{00000000-0005-0000-0000-000028320000}"/>
    <cellStyle name="20% - Accent4 7 5 4 2 2" xfId="41412" xr:uid="{00000000-0005-0000-0000-000029320000}"/>
    <cellStyle name="20% - Accent4 7 5 4 3" xfId="30111" xr:uid="{00000000-0005-0000-0000-00002A320000}"/>
    <cellStyle name="20% - Accent4 7 5 5" xfId="13160" xr:uid="{00000000-0005-0000-0000-00002B320000}"/>
    <cellStyle name="20% - Accent4 7 5 5 2" xfId="35762" xr:uid="{00000000-0005-0000-0000-00002C320000}"/>
    <cellStyle name="20% - Accent4 7 5 6" xfId="24461" xr:uid="{00000000-0005-0000-0000-00002D320000}"/>
    <cellStyle name="20% - Accent4 7 6" xfId="2242" xr:uid="{00000000-0005-0000-0000-00002E320000}"/>
    <cellStyle name="20% - Accent4 7 6 2" xfId="8078" xr:uid="{00000000-0005-0000-0000-00002F320000}"/>
    <cellStyle name="20% - Accent4 7 6 2 2" xfId="19379" xr:uid="{00000000-0005-0000-0000-000030320000}"/>
    <cellStyle name="20% - Accent4 7 6 2 2 2" xfId="41981" xr:uid="{00000000-0005-0000-0000-000031320000}"/>
    <cellStyle name="20% - Accent4 7 6 2 3" xfId="30680" xr:uid="{00000000-0005-0000-0000-000032320000}"/>
    <cellStyle name="20% - Accent4 7 6 3" xfId="13729" xr:uid="{00000000-0005-0000-0000-000033320000}"/>
    <cellStyle name="20% - Accent4 7 6 3 2" xfId="36331" xr:uid="{00000000-0005-0000-0000-000034320000}"/>
    <cellStyle name="20% - Accent4 7 6 4" xfId="25030" xr:uid="{00000000-0005-0000-0000-000035320000}"/>
    <cellStyle name="20% - Accent4 7 7" xfId="4029" xr:uid="{00000000-0005-0000-0000-000036320000}"/>
    <cellStyle name="20% - Accent4 7 7 2" xfId="9679" xr:uid="{00000000-0005-0000-0000-000037320000}"/>
    <cellStyle name="20% - Accent4 7 7 2 2" xfId="20980" xr:uid="{00000000-0005-0000-0000-000038320000}"/>
    <cellStyle name="20% - Accent4 7 7 2 2 2" xfId="43582" xr:uid="{00000000-0005-0000-0000-000039320000}"/>
    <cellStyle name="20% - Accent4 7 7 2 3" xfId="32281" xr:uid="{00000000-0005-0000-0000-00003A320000}"/>
    <cellStyle name="20% - Accent4 7 7 3" xfId="15330" xr:uid="{00000000-0005-0000-0000-00003B320000}"/>
    <cellStyle name="20% - Accent4 7 7 3 2" xfId="37932" xr:uid="{00000000-0005-0000-0000-00003C320000}"/>
    <cellStyle name="20% - Accent4 7 7 4" xfId="26631" xr:uid="{00000000-0005-0000-0000-00003D320000}"/>
    <cellStyle name="20% - Accent4 7 8" xfId="6480" xr:uid="{00000000-0005-0000-0000-00003E320000}"/>
    <cellStyle name="20% - Accent4 7 8 2" xfId="17781" xr:uid="{00000000-0005-0000-0000-00003F320000}"/>
    <cellStyle name="20% - Accent4 7 8 2 2" xfId="40383" xr:uid="{00000000-0005-0000-0000-000040320000}"/>
    <cellStyle name="20% - Accent4 7 8 3" xfId="29082" xr:uid="{00000000-0005-0000-0000-000041320000}"/>
    <cellStyle name="20% - Accent4 7 9" xfId="12131" xr:uid="{00000000-0005-0000-0000-000042320000}"/>
    <cellStyle name="20% - Accent4 7 9 2" xfId="34733" xr:uid="{00000000-0005-0000-0000-000043320000}"/>
    <cellStyle name="20% - Accent4 8" xfId="440" xr:uid="{00000000-0005-0000-0000-000044320000}"/>
    <cellStyle name="20% - Accent4 8 2" xfId="1211" xr:uid="{00000000-0005-0000-0000-000045320000}"/>
    <cellStyle name="20% - Accent4 8 2 2" xfId="1658" xr:uid="{00000000-0005-0000-0000-000046320000}"/>
    <cellStyle name="20% - Accent4 8 2 2 2" xfId="3280" xr:uid="{00000000-0005-0000-0000-000047320000}"/>
    <cellStyle name="20% - Accent4 8 2 2 2 2" xfId="6252" xr:uid="{00000000-0005-0000-0000-000048320000}"/>
    <cellStyle name="20% - Accent4 8 2 2 2 2 2" xfId="11902" xr:uid="{00000000-0005-0000-0000-000049320000}"/>
    <cellStyle name="20% - Accent4 8 2 2 2 2 2 2" xfId="23203" xr:uid="{00000000-0005-0000-0000-00004A320000}"/>
    <cellStyle name="20% - Accent4 8 2 2 2 2 2 2 2" xfId="45805" xr:uid="{00000000-0005-0000-0000-00004B320000}"/>
    <cellStyle name="20% - Accent4 8 2 2 2 2 2 3" xfId="34504" xr:uid="{00000000-0005-0000-0000-00004C320000}"/>
    <cellStyle name="20% - Accent4 8 2 2 2 2 3" xfId="17553" xr:uid="{00000000-0005-0000-0000-00004D320000}"/>
    <cellStyle name="20% - Accent4 8 2 2 2 2 3 2" xfId="40155" xr:uid="{00000000-0005-0000-0000-00004E320000}"/>
    <cellStyle name="20% - Accent4 8 2 2 2 2 4" xfId="28854" xr:uid="{00000000-0005-0000-0000-00004F320000}"/>
    <cellStyle name="20% - Accent4 8 2 2 2 3" xfId="9070" xr:uid="{00000000-0005-0000-0000-000050320000}"/>
    <cellStyle name="20% - Accent4 8 2 2 2 3 2" xfId="20371" xr:uid="{00000000-0005-0000-0000-000051320000}"/>
    <cellStyle name="20% - Accent4 8 2 2 2 3 2 2" xfId="42973" xr:uid="{00000000-0005-0000-0000-000052320000}"/>
    <cellStyle name="20% - Accent4 8 2 2 2 3 3" xfId="31672" xr:uid="{00000000-0005-0000-0000-000053320000}"/>
    <cellStyle name="20% - Accent4 8 2 2 2 4" xfId="14721" xr:uid="{00000000-0005-0000-0000-000054320000}"/>
    <cellStyle name="20% - Accent4 8 2 2 2 4 2" xfId="37323" xr:uid="{00000000-0005-0000-0000-000055320000}"/>
    <cellStyle name="20% - Accent4 8 2 2 2 5" xfId="26022" xr:uid="{00000000-0005-0000-0000-000056320000}"/>
    <cellStyle name="20% - Accent4 8 2 2 3" xfId="5018" xr:uid="{00000000-0005-0000-0000-000057320000}"/>
    <cellStyle name="20% - Accent4 8 2 2 3 2" xfId="10668" xr:uid="{00000000-0005-0000-0000-000058320000}"/>
    <cellStyle name="20% - Accent4 8 2 2 3 2 2" xfId="21969" xr:uid="{00000000-0005-0000-0000-000059320000}"/>
    <cellStyle name="20% - Accent4 8 2 2 3 2 2 2" xfId="44571" xr:uid="{00000000-0005-0000-0000-00005A320000}"/>
    <cellStyle name="20% - Accent4 8 2 2 3 2 3" xfId="33270" xr:uid="{00000000-0005-0000-0000-00005B320000}"/>
    <cellStyle name="20% - Accent4 8 2 2 3 3" xfId="16319" xr:uid="{00000000-0005-0000-0000-00005C320000}"/>
    <cellStyle name="20% - Accent4 8 2 2 3 3 2" xfId="38921" xr:uid="{00000000-0005-0000-0000-00005D320000}"/>
    <cellStyle name="20% - Accent4 8 2 2 3 4" xfId="27620" xr:uid="{00000000-0005-0000-0000-00005E320000}"/>
    <cellStyle name="20% - Accent4 8 2 2 4" xfId="7514" xr:uid="{00000000-0005-0000-0000-00005F320000}"/>
    <cellStyle name="20% - Accent4 8 2 2 4 2" xfId="18815" xr:uid="{00000000-0005-0000-0000-000060320000}"/>
    <cellStyle name="20% - Accent4 8 2 2 4 2 2" xfId="41417" xr:uid="{00000000-0005-0000-0000-000061320000}"/>
    <cellStyle name="20% - Accent4 8 2 2 4 3" xfId="30116" xr:uid="{00000000-0005-0000-0000-000062320000}"/>
    <cellStyle name="20% - Accent4 8 2 2 5" xfId="13165" xr:uid="{00000000-0005-0000-0000-000063320000}"/>
    <cellStyle name="20% - Accent4 8 2 2 5 2" xfId="35767" xr:uid="{00000000-0005-0000-0000-000064320000}"/>
    <cellStyle name="20% - Accent4 8 2 2 6" xfId="24466" xr:uid="{00000000-0005-0000-0000-000065320000}"/>
    <cellStyle name="20% - Accent4 8 2 3" xfId="2609" xr:uid="{00000000-0005-0000-0000-000066320000}"/>
    <cellStyle name="20% - Accent4 8 2 3 2" xfId="5628" xr:uid="{00000000-0005-0000-0000-000067320000}"/>
    <cellStyle name="20% - Accent4 8 2 3 2 2" xfId="11278" xr:uid="{00000000-0005-0000-0000-000068320000}"/>
    <cellStyle name="20% - Accent4 8 2 3 2 2 2" xfId="22579" xr:uid="{00000000-0005-0000-0000-000069320000}"/>
    <cellStyle name="20% - Accent4 8 2 3 2 2 2 2" xfId="45181" xr:uid="{00000000-0005-0000-0000-00006A320000}"/>
    <cellStyle name="20% - Accent4 8 2 3 2 2 3" xfId="33880" xr:uid="{00000000-0005-0000-0000-00006B320000}"/>
    <cellStyle name="20% - Accent4 8 2 3 2 3" xfId="16929" xr:uid="{00000000-0005-0000-0000-00006C320000}"/>
    <cellStyle name="20% - Accent4 8 2 3 2 3 2" xfId="39531" xr:uid="{00000000-0005-0000-0000-00006D320000}"/>
    <cellStyle name="20% - Accent4 8 2 3 2 4" xfId="28230" xr:uid="{00000000-0005-0000-0000-00006E320000}"/>
    <cellStyle name="20% - Accent4 8 2 3 3" xfId="8445" xr:uid="{00000000-0005-0000-0000-00006F320000}"/>
    <cellStyle name="20% - Accent4 8 2 3 3 2" xfId="19746" xr:uid="{00000000-0005-0000-0000-000070320000}"/>
    <cellStyle name="20% - Accent4 8 2 3 3 2 2" xfId="42348" xr:uid="{00000000-0005-0000-0000-000071320000}"/>
    <cellStyle name="20% - Accent4 8 2 3 3 3" xfId="31047" xr:uid="{00000000-0005-0000-0000-000072320000}"/>
    <cellStyle name="20% - Accent4 8 2 3 4" xfId="14096" xr:uid="{00000000-0005-0000-0000-000073320000}"/>
    <cellStyle name="20% - Accent4 8 2 3 4 2" xfId="36698" xr:uid="{00000000-0005-0000-0000-000074320000}"/>
    <cellStyle name="20% - Accent4 8 2 3 5" xfId="25397" xr:uid="{00000000-0005-0000-0000-000075320000}"/>
    <cellStyle name="20% - Accent4 8 2 4" xfId="4394" xr:uid="{00000000-0005-0000-0000-000076320000}"/>
    <cellStyle name="20% - Accent4 8 2 4 2" xfId="10044" xr:uid="{00000000-0005-0000-0000-000077320000}"/>
    <cellStyle name="20% - Accent4 8 2 4 2 2" xfId="21345" xr:uid="{00000000-0005-0000-0000-000078320000}"/>
    <cellStyle name="20% - Accent4 8 2 4 2 2 2" xfId="43947" xr:uid="{00000000-0005-0000-0000-000079320000}"/>
    <cellStyle name="20% - Accent4 8 2 4 2 3" xfId="32646" xr:uid="{00000000-0005-0000-0000-00007A320000}"/>
    <cellStyle name="20% - Accent4 8 2 4 3" xfId="15695" xr:uid="{00000000-0005-0000-0000-00007B320000}"/>
    <cellStyle name="20% - Accent4 8 2 4 3 2" xfId="38297" xr:uid="{00000000-0005-0000-0000-00007C320000}"/>
    <cellStyle name="20% - Accent4 8 2 4 4" xfId="26996" xr:uid="{00000000-0005-0000-0000-00007D320000}"/>
    <cellStyle name="20% - Accent4 8 2 5" xfId="7190" xr:uid="{00000000-0005-0000-0000-00007E320000}"/>
    <cellStyle name="20% - Accent4 8 2 5 2" xfId="18491" xr:uid="{00000000-0005-0000-0000-00007F320000}"/>
    <cellStyle name="20% - Accent4 8 2 5 2 2" xfId="41093" xr:uid="{00000000-0005-0000-0000-000080320000}"/>
    <cellStyle name="20% - Accent4 8 2 5 3" xfId="29792" xr:uid="{00000000-0005-0000-0000-000081320000}"/>
    <cellStyle name="20% - Accent4 8 2 6" xfId="12841" xr:uid="{00000000-0005-0000-0000-000082320000}"/>
    <cellStyle name="20% - Accent4 8 2 6 2" xfId="35443" xr:uid="{00000000-0005-0000-0000-000083320000}"/>
    <cellStyle name="20% - Accent4 8 2 7" xfId="24142" xr:uid="{00000000-0005-0000-0000-000084320000}"/>
    <cellStyle name="20% - Accent4 8 3" xfId="908" xr:uid="{00000000-0005-0000-0000-000085320000}"/>
    <cellStyle name="20% - Accent4 8 3 2" xfId="2972" xr:uid="{00000000-0005-0000-0000-000086320000}"/>
    <cellStyle name="20% - Accent4 8 3 2 2" xfId="5944" xr:uid="{00000000-0005-0000-0000-000087320000}"/>
    <cellStyle name="20% - Accent4 8 3 2 2 2" xfId="11594" xr:uid="{00000000-0005-0000-0000-000088320000}"/>
    <cellStyle name="20% - Accent4 8 3 2 2 2 2" xfId="22895" xr:uid="{00000000-0005-0000-0000-000089320000}"/>
    <cellStyle name="20% - Accent4 8 3 2 2 2 2 2" xfId="45497" xr:uid="{00000000-0005-0000-0000-00008A320000}"/>
    <cellStyle name="20% - Accent4 8 3 2 2 2 3" xfId="34196" xr:uid="{00000000-0005-0000-0000-00008B320000}"/>
    <cellStyle name="20% - Accent4 8 3 2 2 3" xfId="17245" xr:uid="{00000000-0005-0000-0000-00008C320000}"/>
    <cellStyle name="20% - Accent4 8 3 2 2 3 2" xfId="39847" xr:uid="{00000000-0005-0000-0000-00008D320000}"/>
    <cellStyle name="20% - Accent4 8 3 2 2 4" xfId="28546" xr:uid="{00000000-0005-0000-0000-00008E320000}"/>
    <cellStyle name="20% - Accent4 8 3 2 3" xfId="8762" xr:uid="{00000000-0005-0000-0000-00008F320000}"/>
    <cellStyle name="20% - Accent4 8 3 2 3 2" xfId="20063" xr:uid="{00000000-0005-0000-0000-000090320000}"/>
    <cellStyle name="20% - Accent4 8 3 2 3 2 2" xfId="42665" xr:uid="{00000000-0005-0000-0000-000091320000}"/>
    <cellStyle name="20% - Accent4 8 3 2 3 3" xfId="31364" xr:uid="{00000000-0005-0000-0000-000092320000}"/>
    <cellStyle name="20% - Accent4 8 3 2 4" xfId="14413" xr:uid="{00000000-0005-0000-0000-000093320000}"/>
    <cellStyle name="20% - Accent4 8 3 2 4 2" xfId="37015" xr:uid="{00000000-0005-0000-0000-000094320000}"/>
    <cellStyle name="20% - Accent4 8 3 2 5" xfId="25714" xr:uid="{00000000-0005-0000-0000-000095320000}"/>
    <cellStyle name="20% - Accent4 8 3 3" xfId="4710" xr:uid="{00000000-0005-0000-0000-000096320000}"/>
    <cellStyle name="20% - Accent4 8 3 3 2" xfId="10360" xr:uid="{00000000-0005-0000-0000-000097320000}"/>
    <cellStyle name="20% - Accent4 8 3 3 2 2" xfId="21661" xr:uid="{00000000-0005-0000-0000-000098320000}"/>
    <cellStyle name="20% - Accent4 8 3 3 2 2 2" xfId="44263" xr:uid="{00000000-0005-0000-0000-000099320000}"/>
    <cellStyle name="20% - Accent4 8 3 3 2 3" xfId="32962" xr:uid="{00000000-0005-0000-0000-00009A320000}"/>
    <cellStyle name="20% - Accent4 8 3 3 3" xfId="16011" xr:uid="{00000000-0005-0000-0000-00009B320000}"/>
    <cellStyle name="20% - Accent4 8 3 3 3 2" xfId="38613" xr:uid="{00000000-0005-0000-0000-00009C320000}"/>
    <cellStyle name="20% - Accent4 8 3 3 4" xfId="27312" xr:uid="{00000000-0005-0000-0000-00009D320000}"/>
    <cellStyle name="20% - Accent4 8 3 4" xfId="6897" xr:uid="{00000000-0005-0000-0000-00009E320000}"/>
    <cellStyle name="20% - Accent4 8 3 4 2" xfId="18198" xr:uid="{00000000-0005-0000-0000-00009F320000}"/>
    <cellStyle name="20% - Accent4 8 3 4 2 2" xfId="40800" xr:uid="{00000000-0005-0000-0000-0000A0320000}"/>
    <cellStyle name="20% - Accent4 8 3 4 3" xfId="29499" xr:uid="{00000000-0005-0000-0000-0000A1320000}"/>
    <cellStyle name="20% - Accent4 8 3 5" xfId="12548" xr:uid="{00000000-0005-0000-0000-0000A2320000}"/>
    <cellStyle name="20% - Accent4 8 3 5 2" xfId="35150" xr:uid="{00000000-0005-0000-0000-0000A3320000}"/>
    <cellStyle name="20% - Accent4 8 3 6" xfId="23849" xr:uid="{00000000-0005-0000-0000-0000A4320000}"/>
    <cellStyle name="20% - Accent4 8 4" xfId="1657" xr:uid="{00000000-0005-0000-0000-0000A5320000}"/>
    <cellStyle name="20% - Accent4 8 4 2" xfId="3594" xr:uid="{00000000-0005-0000-0000-0000A6320000}"/>
    <cellStyle name="20% - Accent4 8 4 2 2" xfId="9306" xr:uid="{00000000-0005-0000-0000-0000A7320000}"/>
    <cellStyle name="20% - Accent4 8 4 2 2 2" xfId="20607" xr:uid="{00000000-0005-0000-0000-0000A8320000}"/>
    <cellStyle name="20% - Accent4 8 4 2 2 2 2" xfId="43209" xr:uid="{00000000-0005-0000-0000-0000A9320000}"/>
    <cellStyle name="20% - Accent4 8 4 2 2 3" xfId="31908" xr:uid="{00000000-0005-0000-0000-0000AA320000}"/>
    <cellStyle name="20% - Accent4 8 4 2 3" xfId="14957" xr:uid="{00000000-0005-0000-0000-0000AB320000}"/>
    <cellStyle name="20% - Accent4 8 4 2 3 2" xfId="37559" xr:uid="{00000000-0005-0000-0000-0000AC320000}"/>
    <cellStyle name="20% - Accent4 8 4 2 4" xfId="26258" xr:uid="{00000000-0005-0000-0000-0000AD320000}"/>
    <cellStyle name="20% - Accent4 8 4 3" xfId="5320" xr:uid="{00000000-0005-0000-0000-0000AE320000}"/>
    <cellStyle name="20% - Accent4 8 4 3 2" xfId="10970" xr:uid="{00000000-0005-0000-0000-0000AF320000}"/>
    <cellStyle name="20% - Accent4 8 4 3 2 2" xfId="22271" xr:uid="{00000000-0005-0000-0000-0000B0320000}"/>
    <cellStyle name="20% - Accent4 8 4 3 2 2 2" xfId="44873" xr:uid="{00000000-0005-0000-0000-0000B1320000}"/>
    <cellStyle name="20% - Accent4 8 4 3 2 3" xfId="33572" xr:uid="{00000000-0005-0000-0000-0000B2320000}"/>
    <cellStyle name="20% - Accent4 8 4 3 3" xfId="16621" xr:uid="{00000000-0005-0000-0000-0000B3320000}"/>
    <cellStyle name="20% - Accent4 8 4 3 3 2" xfId="39223" xr:uid="{00000000-0005-0000-0000-0000B4320000}"/>
    <cellStyle name="20% - Accent4 8 4 3 4" xfId="27922" xr:uid="{00000000-0005-0000-0000-0000B5320000}"/>
    <cellStyle name="20% - Accent4 8 4 4" xfId="7513" xr:uid="{00000000-0005-0000-0000-0000B6320000}"/>
    <cellStyle name="20% - Accent4 8 4 4 2" xfId="18814" xr:uid="{00000000-0005-0000-0000-0000B7320000}"/>
    <cellStyle name="20% - Accent4 8 4 4 2 2" xfId="41416" xr:uid="{00000000-0005-0000-0000-0000B8320000}"/>
    <cellStyle name="20% - Accent4 8 4 4 3" xfId="30115" xr:uid="{00000000-0005-0000-0000-0000B9320000}"/>
    <cellStyle name="20% - Accent4 8 4 5" xfId="13164" xr:uid="{00000000-0005-0000-0000-0000BA320000}"/>
    <cellStyle name="20% - Accent4 8 4 5 2" xfId="35766" xr:uid="{00000000-0005-0000-0000-0000BB320000}"/>
    <cellStyle name="20% - Accent4 8 4 6" xfId="24465" xr:uid="{00000000-0005-0000-0000-0000BC320000}"/>
    <cellStyle name="20% - Accent4 8 5" xfId="2301" xr:uid="{00000000-0005-0000-0000-0000BD320000}"/>
    <cellStyle name="20% - Accent4 8 5 2" xfId="8137" xr:uid="{00000000-0005-0000-0000-0000BE320000}"/>
    <cellStyle name="20% - Accent4 8 5 2 2" xfId="19438" xr:uid="{00000000-0005-0000-0000-0000BF320000}"/>
    <cellStyle name="20% - Accent4 8 5 2 2 2" xfId="42040" xr:uid="{00000000-0005-0000-0000-0000C0320000}"/>
    <cellStyle name="20% - Accent4 8 5 2 3" xfId="30739" xr:uid="{00000000-0005-0000-0000-0000C1320000}"/>
    <cellStyle name="20% - Accent4 8 5 3" xfId="13788" xr:uid="{00000000-0005-0000-0000-0000C2320000}"/>
    <cellStyle name="20% - Accent4 8 5 3 2" xfId="36390" xr:uid="{00000000-0005-0000-0000-0000C3320000}"/>
    <cellStyle name="20% - Accent4 8 5 4" xfId="25089" xr:uid="{00000000-0005-0000-0000-0000C4320000}"/>
    <cellStyle name="20% - Accent4 8 6" xfId="4086" xr:uid="{00000000-0005-0000-0000-0000C5320000}"/>
    <cellStyle name="20% - Accent4 8 6 2" xfId="9736" xr:uid="{00000000-0005-0000-0000-0000C6320000}"/>
    <cellStyle name="20% - Accent4 8 6 2 2" xfId="21037" xr:uid="{00000000-0005-0000-0000-0000C7320000}"/>
    <cellStyle name="20% - Accent4 8 6 2 2 2" xfId="43639" xr:uid="{00000000-0005-0000-0000-0000C8320000}"/>
    <cellStyle name="20% - Accent4 8 6 2 3" xfId="32338" xr:uid="{00000000-0005-0000-0000-0000C9320000}"/>
    <cellStyle name="20% - Accent4 8 6 3" xfId="15387" xr:uid="{00000000-0005-0000-0000-0000CA320000}"/>
    <cellStyle name="20% - Accent4 8 6 3 2" xfId="37989" xr:uid="{00000000-0005-0000-0000-0000CB320000}"/>
    <cellStyle name="20% - Accent4 8 6 4" xfId="26688" xr:uid="{00000000-0005-0000-0000-0000CC320000}"/>
    <cellStyle name="20% - Accent4 8 7" xfId="6537" xr:uid="{00000000-0005-0000-0000-0000CD320000}"/>
    <cellStyle name="20% - Accent4 8 7 2" xfId="17838" xr:uid="{00000000-0005-0000-0000-0000CE320000}"/>
    <cellStyle name="20% - Accent4 8 7 2 2" xfId="40440" xr:uid="{00000000-0005-0000-0000-0000CF320000}"/>
    <cellStyle name="20% - Accent4 8 7 3" xfId="29139" xr:uid="{00000000-0005-0000-0000-0000D0320000}"/>
    <cellStyle name="20% - Accent4 8 8" xfId="12188" xr:uid="{00000000-0005-0000-0000-0000D1320000}"/>
    <cellStyle name="20% - Accent4 8 8 2" xfId="34790" xr:uid="{00000000-0005-0000-0000-0000D2320000}"/>
    <cellStyle name="20% - Accent4 8 9" xfId="23489" xr:uid="{00000000-0005-0000-0000-0000D3320000}"/>
    <cellStyle name="20% - Accent4 9" xfId="642" xr:uid="{00000000-0005-0000-0000-0000D4320000}"/>
    <cellStyle name="20% - Accent4 9 2" xfId="703" xr:uid="{00000000-0005-0000-0000-0000D5320000}"/>
    <cellStyle name="20% - Accent4 9 2 2" xfId="3112" xr:uid="{00000000-0005-0000-0000-0000D6320000}"/>
    <cellStyle name="20% - Accent4 9 2 2 2" xfId="6084" xr:uid="{00000000-0005-0000-0000-0000D7320000}"/>
    <cellStyle name="20% - Accent4 9 2 2 2 2" xfId="11734" xr:uid="{00000000-0005-0000-0000-0000D8320000}"/>
    <cellStyle name="20% - Accent4 9 2 2 2 2 2" xfId="23035" xr:uid="{00000000-0005-0000-0000-0000D9320000}"/>
    <cellStyle name="20% - Accent4 9 2 2 2 2 2 2" xfId="45637" xr:uid="{00000000-0005-0000-0000-0000DA320000}"/>
    <cellStyle name="20% - Accent4 9 2 2 2 2 3" xfId="34336" xr:uid="{00000000-0005-0000-0000-0000DB320000}"/>
    <cellStyle name="20% - Accent4 9 2 2 2 3" xfId="17385" xr:uid="{00000000-0005-0000-0000-0000DC320000}"/>
    <cellStyle name="20% - Accent4 9 2 2 2 3 2" xfId="39987" xr:uid="{00000000-0005-0000-0000-0000DD320000}"/>
    <cellStyle name="20% - Accent4 9 2 2 2 4" xfId="28686" xr:uid="{00000000-0005-0000-0000-0000DE320000}"/>
    <cellStyle name="20% - Accent4 9 2 2 3" xfId="8902" xr:uid="{00000000-0005-0000-0000-0000DF320000}"/>
    <cellStyle name="20% - Accent4 9 2 2 3 2" xfId="20203" xr:uid="{00000000-0005-0000-0000-0000E0320000}"/>
    <cellStyle name="20% - Accent4 9 2 2 3 2 2" xfId="42805" xr:uid="{00000000-0005-0000-0000-0000E1320000}"/>
    <cellStyle name="20% - Accent4 9 2 2 3 3" xfId="31504" xr:uid="{00000000-0005-0000-0000-0000E2320000}"/>
    <cellStyle name="20% - Accent4 9 2 2 4" xfId="14553" xr:uid="{00000000-0005-0000-0000-0000E3320000}"/>
    <cellStyle name="20% - Accent4 9 2 2 4 2" xfId="37155" xr:uid="{00000000-0005-0000-0000-0000E4320000}"/>
    <cellStyle name="20% - Accent4 9 2 2 5" xfId="25854" xr:uid="{00000000-0005-0000-0000-0000E5320000}"/>
    <cellStyle name="20% - Accent4 9 2 3" xfId="4850" xr:uid="{00000000-0005-0000-0000-0000E6320000}"/>
    <cellStyle name="20% - Accent4 9 2 3 2" xfId="10500" xr:uid="{00000000-0005-0000-0000-0000E7320000}"/>
    <cellStyle name="20% - Accent4 9 2 3 2 2" xfId="21801" xr:uid="{00000000-0005-0000-0000-0000E8320000}"/>
    <cellStyle name="20% - Accent4 9 2 3 2 2 2" xfId="44403" xr:uid="{00000000-0005-0000-0000-0000E9320000}"/>
    <cellStyle name="20% - Accent4 9 2 3 2 3" xfId="33102" xr:uid="{00000000-0005-0000-0000-0000EA320000}"/>
    <cellStyle name="20% - Accent4 9 2 3 3" xfId="16151" xr:uid="{00000000-0005-0000-0000-0000EB320000}"/>
    <cellStyle name="20% - Accent4 9 2 3 3 2" xfId="38753" xr:uid="{00000000-0005-0000-0000-0000EC320000}"/>
    <cellStyle name="20% - Accent4 9 2 3 4" xfId="27452" xr:uid="{00000000-0005-0000-0000-0000ED320000}"/>
    <cellStyle name="20% - Accent4 9 2 4" xfId="6726" xr:uid="{00000000-0005-0000-0000-0000EE320000}"/>
    <cellStyle name="20% - Accent4 9 2 4 2" xfId="18027" xr:uid="{00000000-0005-0000-0000-0000EF320000}"/>
    <cellStyle name="20% - Accent4 9 2 4 2 2" xfId="40629" xr:uid="{00000000-0005-0000-0000-0000F0320000}"/>
    <cellStyle name="20% - Accent4 9 2 4 3" xfId="29328" xr:uid="{00000000-0005-0000-0000-0000F1320000}"/>
    <cellStyle name="20% - Accent4 9 2 5" xfId="12377" xr:uid="{00000000-0005-0000-0000-0000F2320000}"/>
    <cellStyle name="20% - Accent4 9 2 5 2" xfId="34979" xr:uid="{00000000-0005-0000-0000-0000F3320000}"/>
    <cellStyle name="20% - Accent4 9 2 6" xfId="23678" xr:uid="{00000000-0005-0000-0000-0000F4320000}"/>
    <cellStyle name="20% - Accent4 9 3" xfId="1659" xr:uid="{00000000-0005-0000-0000-0000F5320000}"/>
    <cellStyle name="20% - Accent4 9 3 2" xfId="3595" xr:uid="{00000000-0005-0000-0000-0000F6320000}"/>
    <cellStyle name="20% - Accent4 9 3 2 2" xfId="9307" xr:uid="{00000000-0005-0000-0000-0000F7320000}"/>
    <cellStyle name="20% - Accent4 9 3 2 2 2" xfId="20608" xr:uid="{00000000-0005-0000-0000-0000F8320000}"/>
    <cellStyle name="20% - Accent4 9 3 2 2 2 2" xfId="43210" xr:uid="{00000000-0005-0000-0000-0000F9320000}"/>
    <cellStyle name="20% - Accent4 9 3 2 2 3" xfId="31909" xr:uid="{00000000-0005-0000-0000-0000FA320000}"/>
    <cellStyle name="20% - Accent4 9 3 2 3" xfId="14958" xr:uid="{00000000-0005-0000-0000-0000FB320000}"/>
    <cellStyle name="20% - Accent4 9 3 2 3 2" xfId="37560" xr:uid="{00000000-0005-0000-0000-0000FC320000}"/>
    <cellStyle name="20% - Accent4 9 3 2 4" xfId="26259" xr:uid="{00000000-0005-0000-0000-0000FD320000}"/>
    <cellStyle name="20% - Accent4 9 3 3" xfId="5460" xr:uid="{00000000-0005-0000-0000-0000FE320000}"/>
    <cellStyle name="20% - Accent4 9 3 3 2" xfId="11110" xr:uid="{00000000-0005-0000-0000-0000FF320000}"/>
    <cellStyle name="20% - Accent4 9 3 3 2 2" xfId="22411" xr:uid="{00000000-0005-0000-0000-000000330000}"/>
    <cellStyle name="20% - Accent4 9 3 3 2 2 2" xfId="45013" xr:uid="{00000000-0005-0000-0000-000001330000}"/>
    <cellStyle name="20% - Accent4 9 3 3 2 3" xfId="33712" xr:uid="{00000000-0005-0000-0000-000002330000}"/>
    <cellStyle name="20% - Accent4 9 3 3 3" xfId="16761" xr:uid="{00000000-0005-0000-0000-000003330000}"/>
    <cellStyle name="20% - Accent4 9 3 3 3 2" xfId="39363" xr:uid="{00000000-0005-0000-0000-000004330000}"/>
    <cellStyle name="20% - Accent4 9 3 3 4" xfId="28062" xr:uid="{00000000-0005-0000-0000-000005330000}"/>
    <cellStyle name="20% - Accent4 9 3 4" xfId="7515" xr:uid="{00000000-0005-0000-0000-000006330000}"/>
    <cellStyle name="20% - Accent4 9 3 4 2" xfId="18816" xr:uid="{00000000-0005-0000-0000-000007330000}"/>
    <cellStyle name="20% - Accent4 9 3 4 2 2" xfId="41418" xr:uid="{00000000-0005-0000-0000-000008330000}"/>
    <cellStyle name="20% - Accent4 9 3 4 3" xfId="30117" xr:uid="{00000000-0005-0000-0000-000009330000}"/>
    <cellStyle name="20% - Accent4 9 3 5" xfId="13166" xr:uid="{00000000-0005-0000-0000-00000A330000}"/>
    <cellStyle name="20% - Accent4 9 3 5 2" xfId="35768" xr:uid="{00000000-0005-0000-0000-00000B330000}"/>
    <cellStyle name="20% - Accent4 9 3 6" xfId="24467" xr:uid="{00000000-0005-0000-0000-00000C330000}"/>
    <cellStyle name="20% - Accent4 9 4" xfId="2441" xr:uid="{00000000-0005-0000-0000-00000D330000}"/>
    <cellStyle name="20% - Accent4 9 4 2" xfId="8277" xr:uid="{00000000-0005-0000-0000-00000E330000}"/>
    <cellStyle name="20% - Accent4 9 4 2 2" xfId="19578" xr:uid="{00000000-0005-0000-0000-00000F330000}"/>
    <cellStyle name="20% - Accent4 9 4 2 2 2" xfId="42180" xr:uid="{00000000-0005-0000-0000-000010330000}"/>
    <cellStyle name="20% - Accent4 9 4 2 3" xfId="30879" xr:uid="{00000000-0005-0000-0000-000011330000}"/>
    <cellStyle name="20% - Accent4 9 4 3" xfId="13928" xr:uid="{00000000-0005-0000-0000-000012330000}"/>
    <cellStyle name="20% - Accent4 9 4 3 2" xfId="36530" xr:uid="{00000000-0005-0000-0000-000013330000}"/>
    <cellStyle name="20% - Accent4 9 4 4" xfId="25229" xr:uid="{00000000-0005-0000-0000-000014330000}"/>
    <cellStyle name="20% - Accent4 9 5" xfId="4226" xr:uid="{00000000-0005-0000-0000-000015330000}"/>
    <cellStyle name="20% - Accent4 9 5 2" xfId="9876" xr:uid="{00000000-0005-0000-0000-000016330000}"/>
    <cellStyle name="20% - Accent4 9 5 2 2" xfId="21177" xr:uid="{00000000-0005-0000-0000-000017330000}"/>
    <cellStyle name="20% - Accent4 9 5 2 2 2" xfId="43779" xr:uid="{00000000-0005-0000-0000-000018330000}"/>
    <cellStyle name="20% - Accent4 9 5 2 3" xfId="32478" xr:uid="{00000000-0005-0000-0000-000019330000}"/>
    <cellStyle name="20% - Accent4 9 5 3" xfId="15527" xr:uid="{00000000-0005-0000-0000-00001A330000}"/>
    <cellStyle name="20% - Accent4 9 5 3 2" xfId="38129" xr:uid="{00000000-0005-0000-0000-00001B330000}"/>
    <cellStyle name="20% - Accent4 9 5 4" xfId="26828" xr:uid="{00000000-0005-0000-0000-00001C330000}"/>
    <cellStyle name="20% - Accent4 9 6" xfId="6705" xr:uid="{00000000-0005-0000-0000-00001D330000}"/>
    <cellStyle name="20% - Accent4 9 6 2" xfId="18006" xr:uid="{00000000-0005-0000-0000-00001E330000}"/>
    <cellStyle name="20% - Accent4 9 6 2 2" xfId="40608" xr:uid="{00000000-0005-0000-0000-00001F330000}"/>
    <cellStyle name="20% - Accent4 9 6 3" xfId="29307" xr:uid="{00000000-0005-0000-0000-000020330000}"/>
    <cellStyle name="20% - Accent4 9 7" xfId="12356" xr:uid="{00000000-0005-0000-0000-000021330000}"/>
    <cellStyle name="20% - Accent4 9 7 2" xfId="34958" xr:uid="{00000000-0005-0000-0000-000022330000}"/>
    <cellStyle name="20% - Accent4 9 8" xfId="23657" xr:uid="{00000000-0005-0000-0000-000023330000}"/>
    <cellStyle name="20% - Accent5 10" xfId="1421" xr:uid="{00000000-0005-0000-0000-000024330000}"/>
    <cellStyle name="20% - Accent5 10 2" xfId="1660" xr:uid="{00000000-0005-0000-0000-000025330000}"/>
    <cellStyle name="20% - Accent5 10 2 2" xfId="3411" xr:uid="{00000000-0005-0000-0000-000026330000}"/>
    <cellStyle name="20% - Accent5 10 2 2 2" xfId="6383" xr:uid="{00000000-0005-0000-0000-000027330000}"/>
    <cellStyle name="20% - Accent5 10 2 2 2 2" xfId="12033" xr:uid="{00000000-0005-0000-0000-000028330000}"/>
    <cellStyle name="20% - Accent5 10 2 2 2 2 2" xfId="23334" xr:uid="{00000000-0005-0000-0000-000029330000}"/>
    <cellStyle name="20% - Accent5 10 2 2 2 2 2 2" xfId="45936" xr:uid="{00000000-0005-0000-0000-00002A330000}"/>
    <cellStyle name="20% - Accent5 10 2 2 2 2 3" xfId="34635" xr:uid="{00000000-0005-0000-0000-00002B330000}"/>
    <cellStyle name="20% - Accent5 10 2 2 2 3" xfId="17684" xr:uid="{00000000-0005-0000-0000-00002C330000}"/>
    <cellStyle name="20% - Accent5 10 2 2 2 3 2" xfId="40286" xr:uid="{00000000-0005-0000-0000-00002D330000}"/>
    <cellStyle name="20% - Accent5 10 2 2 2 4" xfId="28985" xr:uid="{00000000-0005-0000-0000-00002E330000}"/>
    <cellStyle name="20% - Accent5 10 2 2 3" xfId="9201" xr:uid="{00000000-0005-0000-0000-00002F330000}"/>
    <cellStyle name="20% - Accent5 10 2 2 3 2" xfId="20502" xr:uid="{00000000-0005-0000-0000-000030330000}"/>
    <cellStyle name="20% - Accent5 10 2 2 3 2 2" xfId="43104" xr:uid="{00000000-0005-0000-0000-000031330000}"/>
    <cellStyle name="20% - Accent5 10 2 2 3 3" xfId="31803" xr:uid="{00000000-0005-0000-0000-000032330000}"/>
    <cellStyle name="20% - Accent5 10 2 2 4" xfId="14852" xr:uid="{00000000-0005-0000-0000-000033330000}"/>
    <cellStyle name="20% - Accent5 10 2 2 4 2" xfId="37454" xr:uid="{00000000-0005-0000-0000-000034330000}"/>
    <cellStyle name="20% - Accent5 10 2 2 5" xfId="26153" xr:uid="{00000000-0005-0000-0000-000035330000}"/>
    <cellStyle name="20% - Accent5 10 2 3" xfId="5149" xr:uid="{00000000-0005-0000-0000-000036330000}"/>
    <cellStyle name="20% - Accent5 10 2 3 2" xfId="10799" xr:uid="{00000000-0005-0000-0000-000037330000}"/>
    <cellStyle name="20% - Accent5 10 2 3 2 2" xfId="22100" xr:uid="{00000000-0005-0000-0000-000038330000}"/>
    <cellStyle name="20% - Accent5 10 2 3 2 2 2" xfId="44702" xr:uid="{00000000-0005-0000-0000-000039330000}"/>
    <cellStyle name="20% - Accent5 10 2 3 2 3" xfId="33401" xr:uid="{00000000-0005-0000-0000-00003A330000}"/>
    <cellStyle name="20% - Accent5 10 2 3 3" xfId="16450" xr:uid="{00000000-0005-0000-0000-00003B330000}"/>
    <cellStyle name="20% - Accent5 10 2 3 3 2" xfId="39052" xr:uid="{00000000-0005-0000-0000-00003C330000}"/>
    <cellStyle name="20% - Accent5 10 2 3 4" xfId="27751" xr:uid="{00000000-0005-0000-0000-00003D330000}"/>
    <cellStyle name="20% - Accent5 10 2 4" xfId="7516" xr:uid="{00000000-0005-0000-0000-00003E330000}"/>
    <cellStyle name="20% - Accent5 10 2 4 2" xfId="18817" xr:uid="{00000000-0005-0000-0000-00003F330000}"/>
    <cellStyle name="20% - Accent5 10 2 4 2 2" xfId="41419" xr:uid="{00000000-0005-0000-0000-000040330000}"/>
    <cellStyle name="20% - Accent5 10 2 4 3" xfId="30118" xr:uid="{00000000-0005-0000-0000-000041330000}"/>
    <cellStyle name="20% - Accent5 10 2 5" xfId="13167" xr:uid="{00000000-0005-0000-0000-000042330000}"/>
    <cellStyle name="20% - Accent5 10 2 5 2" xfId="35769" xr:uid="{00000000-0005-0000-0000-000043330000}"/>
    <cellStyle name="20% - Accent5 10 2 6" xfId="24468" xr:uid="{00000000-0005-0000-0000-000044330000}"/>
    <cellStyle name="20% - Accent5 10 3" xfId="2742" xr:uid="{00000000-0005-0000-0000-000045330000}"/>
    <cellStyle name="20% - Accent5 10 3 2" xfId="5759" xr:uid="{00000000-0005-0000-0000-000046330000}"/>
    <cellStyle name="20% - Accent5 10 3 2 2" xfId="11409" xr:uid="{00000000-0005-0000-0000-000047330000}"/>
    <cellStyle name="20% - Accent5 10 3 2 2 2" xfId="22710" xr:uid="{00000000-0005-0000-0000-000048330000}"/>
    <cellStyle name="20% - Accent5 10 3 2 2 2 2" xfId="45312" xr:uid="{00000000-0005-0000-0000-000049330000}"/>
    <cellStyle name="20% - Accent5 10 3 2 2 3" xfId="34011" xr:uid="{00000000-0005-0000-0000-00004A330000}"/>
    <cellStyle name="20% - Accent5 10 3 2 3" xfId="17060" xr:uid="{00000000-0005-0000-0000-00004B330000}"/>
    <cellStyle name="20% - Accent5 10 3 2 3 2" xfId="39662" xr:uid="{00000000-0005-0000-0000-00004C330000}"/>
    <cellStyle name="20% - Accent5 10 3 2 4" xfId="28361" xr:uid="{00000000-0005-0000-0000-00004D330000}"/>
    <cellStyle name="20% - Accent5 10 3 3" xfId="8576" xr:uid="{00000000-0005-0000-0000-00004E330000}"/>
    <cellStyle name="20% - Accent5 10 3 3 2" xfId="19877" xr:uid="{00000000-0005-0000-0000-00004F330000}"/>
    <cellStyle name="20% - Accent5 10 3 3 2 2" xfId="42479" xr:uid="{00000000-0005-0000-0000-000050330000}"/>
    <cellStyle name="20% - Accent5 10 3 3 3" xfId="31178" xr:uid="{00000000-0005-0000-0000-000051330000}"/>
    <cellStyle name="20% - Accent5 10 3 4" xfId="14227" xr:uid="{00000000-0005-0000-0000-000052330000}"/>
    <cellStyle name="20% - Accent5 10 3 4 2" xfId="36829" xr:uid="{00000000-0005-0000-0000-000053330000}"/>
    <cellStyle name="20% - Accent5 10 3 5" xfId="25528" xr:uid="{00000000-0005-0000-0000-000054330000}"/>
    <cellStyle name="20% - Accent5 10 4" xfId="4525" xr:uid="{00000000-0005-0000-0000-000055330000}"/>
    <cellStyle name="20% - Accent5 10 4 2" xfId="10175" xr:uid="{00000000-0005-0000-0000-000056330000}"/>
    <cellStyle name="20% - Accent5 10 4 2 2" xfId="21476" xr:uid="{00000000-0005-0000-0000-000057330000}"/>
    <cellStyle name="20% - Accent5 10 4 2 2 2" xfId="44078" xr:uid="{00000000-0005-0000-0000-000058330000}"/>
    <cellStyle name="20% - Accent5 10 4 2 3" xfId="32777" xr:uid="{00000000-0005-0000-0000-000059330000}"/>
    <cellStyle name="20% - Accent5 10 4 3" xfId="15826" xr:uid="{00000000-0005-0000-0000-00005A330000}"/>
    <cellStyle name="20% - Accent5 10 4 3 2" xfId="38428" xr:uid="{00000000-0005-0000-0000-00005B330000}"/>
    <cellStyle name="20% - Accent5 10 4 4" xfId="27127" xr:uid="{00000000-0005-0000-0000-00005C330000}"/>
    <cellStyle name="20% - Accent5 10 5" xfId="7328" xr:uid="{00000000-0005-0000-0000-00005D330000}"/>
    <cellStyle name="20% - Accent5 10 5 2" xfId="18629" xr:uid="{00000000-0005-0000-0000-00005E330000}"/>
    <cellStyle name="20% - Accent5 10 5 2 2" xfId="41231" xr:uid="{00000000-0005-0000-0000-00005F330000}"/>
    <cellStyle name="20% - Accent5 10 5 3" xfId="29930" xr:uid="{00000000-0005-0000-0000-000060330000}"/>
    <cellStyle name="20% - Accent5 10 6" xfId="12979" xr:uid="{00000000-0005-0000-0000-000061330000}"/>
    <cellStyle name="20% - Accent5 10 6 2" xfId="35581" xr:uid="{00000000-0005-0000-0000-000062330000}"/>
    <cellStyle name="20% - Accent5 10 7" xfId="24280" xr:uid="{00000000-0005-0000-0000-000063330000}"/>
    <cellStyle name="20% - Accent5 11" xfId="1385" xr:uid="{00000000-0005-0000-0000-000064330000}"/>
    <cellStyle name="20% - Accent5 11 2" xfId="1661" xr:uid="{00000000-0005-0000-0000-000065330000}"/>
    <cellStyle name="20% - Accent5 11 2 2" xfId="3596" xr:uid="{00000000-0005-0000-0000-000066330000}"/>
    <cellStyle name="20% - Accent5 11 2 2 2" xfId="9308" xr:uid="{00000000-0005-0000-0000-000067330000}"/>
    <cellStyle name="20% - Accent5 11 2 2 2 2" xfId="20609" xr:uid="{00000000-0005-0000-0000-000068330000}"/>
    <cellStyle name="20% - Accent5 11 2 2 2 2 2" xfId="43211" xr:uid="{00000000-0005-0000-0000-000069330000}"/>
    <cellStyle name="20% - Accent5 11 2 2 2 3" xfId="31910" xr:uid="{00000000-0005-0000-0000-00006A330000}"/>
    <cellStyle name="20% - Accent5 11 2 2 3" xfId="14959" xr:uid="{00000000-0005-0000-0000-00006B330000}"/>
    <cellStyle name="20% - Accent5 11 2 2 3 2" xfId="37561" xr:uid="{00000000-0005-0000-0000-00006C330000}"/>
    <cellStyle name="20% - Accent5 11 2 2 4" xfId="26260" xr:uid="{00000000-0005-0000-0000-00006D330000}"/>
    <cellStyle name="20% - Accent5 11 2 3" xfId="7517" xr:uid="{00000000-0005-0000-0000-00006E330000}"/>
    <cellStyle name="20% - Accent5 11 2 3 2" xfId="18818" xr:uid="{00000000-0005-0000-0000-00006F330000}"/>
    <cellStyle name="20% - Accent5 11 2 3 2 2" xfId="41420" xr:uid="{00000000-0005-0000-0000-000070330000}"/>
    <cellStyle name="20% - Accent5 11 2 3 3" xfId="30119" xr:uid="{00000000-0005-0000-0000-000071330000}"/>
    <cellStyle name="20% - Accent5 11 2 4" xfId="13168" xr:uid="{00000000-0005-0000-0000-000072330000}"/>
    <cellStyle name="20% - Accent5 11 2 4 2" xfId="35770" xr:uid="{00000000-0005-0000-0000-000073330000}"/>
    <cellStyle name="20% - Accent5 11 2 5" xfId="24469" xr:uid="{00000000-0005-0000-0000-000074330000}"/>
    <cellStyle name="20% - Accent5 11 3" xfId="2125" xr:uid="{00000000-0005-0000-0000-000075330000}"/>
    <cellStyle name="20% - Accent5 11 3 2" xfId="7969" xr:uid="{00000000-0005-0000-0000-000076330000}"/>
    <cellStyle name="20% - Accent5 11 3 2 2" xfId="19270" xr:uid="{00000000-0005-0000-0000-000077330000}"/>
    <cellStyle name="20% - Accent5 11 3 2 2 2" xfId="41872" xr:uid="{00000000-0005-0000-0000-000078330000}"/>
    <cellStyle name="20% - Accent5 11 3 2 3" xfId="30571" xr:uid="{00000000-0005-0000-0000-000079330000}"/>
    <cellStyle name="20% - Accent5 11 3 3" xfId="13620" xr:uid="{00000000-0005-0000-0000-00007A330000}"/>
    <cellStyle name="20% - Accent5 11 3 3 2" xfId="36222" xr:uid="{00000000-0005-0000-0000-00007B330000}"/>
    <cellStyle name="20% - Accent5 11 3 4" xfId="24921" xr:uid="{00000000-0005-0000-0000-00007C330000}"/>
    <cellStyle name="20% - Accent5 11 4" xfId="3921" xr:uid="{00000000-0005-0000-0000-00007D330000}"/>
    <cellStyle name="20% - Accent5 11 4 2" xfId="9571" xr:uid="{00000000-0005-0000-0000-00007E330000}"/>
    <cellStyle name="20% - Accent5 11 4 2 2" xfId="20872" xr:uid="{00000000-0005-0000-0000-00007F330000}"/>
    <cellStyle name="20% - Accent5 11 4 2 2 2" xfId="43474" xr:uid="{00000000-0005-0000-0000-000080330000}"/>
    <cellStyle name="20% - Accent5 11 4 2 3" xfId="32173" xr:uid="{00000000-0005-0000-0000-000081330000}"/>
    <cellStyle name="20% - Accent5 11 4 3" xfId="15222" xr:uid="{00000000-0005-0000-0000-000082330000}"/>
    <cellStyle name="20% - Accent5 11 4 3 2" xfId="37824" xr:uid="{00000000-0005-0000-0000-000083330000}"/>
    <cellStyle name="20% - Accent5 11 4 4" xfId="26523" xr:uid="{00000000-0005-0000-0000-000084330000}"/>
    <cellStyle name="20% - Accent5 11 5" xfId="7324" xr:uid="{00000000-0005-0000-0000-000085330000}"/>
    <cellStyle name="20% - Accent5 11 5 2" xfId="18625" xr:uid="{00000000-0005-0000-0000-000086330000}"/>
    <cellStyle name="20% - Accent5 11 5 2 2" xfId="41227" xr:uid="{00000000-0005-0000-0000-000087330000}"/>
    <cellStyle name="20% - Accent5 11 5 3" xfId="29926" xr:uid="{00000000-0005-0000-0000-000088330000}"/>
    <cellStyle name="20% - Accent5 11 6" xfId="12975" xr:uid="{00000000-0005-0000-0000-000089330000}"/>
    <cellStyle name="20% - Accent5 11 6 2" xfId="35577" xr:uid="{00000000-0005-0000-0000-00008A330000}"/>
    <cellStyle name="20% - Accent5 11 7" xfId="24276" xr:uid="{00000000-0005-0000-0000-00008B330000}"/>
    <cellStyle name="20% - Accent5 12" xfId="1379" xr:uid="{00000000-0005-0000-0000-00008C330000}"/>
    <cellStyle name="20% - Accent5 12 2" xfId="3488" xr:uid="{00000000-0005-0000-0000-00008D330000}"/>
    <cellStyle name="20% - Accent5 12 2 2" xfId="9234" xr:uid="{00000000-0005-0000-0000-00008E330000}"/>
    <cellStyle name="20% - Accent5 12 2 2 2" xfId="20535" xr:uid="{00000000-0005-0000-0000-00008F330000}"/>
    <cellStyle name="20% - Accent5 12 2 2 2 2" xfId="43137" xr:uid="{00000000-0005-0000-0000-000090330000}"/>
    <cellStyle name="20% - Accent5 12 2 2 3" xfId="31836" xr:uid="{00000000-0005-0000-0000-000091330000}"/>
    <cellStyle name="20% - Accent5 12 2 3" xfId="14885" xr:uid="{00000000-0005-0000-0000-000092330000}"/>
    <cellStyle name="20% - Accent5 12 2 3 2" xfId="37487" xr:uid="{00000000-0005-0000-0000-000093330000}"/>
    <cellStyle name="20% - Accent5 12 2 4" xfId="26186" xr:uid="{00000000-0005-0000-0000-000094330000}"/>
    <cellStyle name="20% - Accent5 13" xfId="2107" xr:uid="{00000000-0005-0000-0000-000095330000}"/>
    <cellStyle name="20% - Accent5 14" xfId="50" xr:uid="{00000000-0005-0000-0000-000096330000}"/>
    <cellStyle name="20% - Accent5 2" xfId="97" xr:uid="{00000000-0005-0000-0000-000097330000}"/>
    <cellStyle name="20% - Accent5 2 2" xfId="214" xr:uid="{00000000-0005-0000-0000-000098330000}"/>
    <cellStyle name="20% - Accent5 2 2 10" xfId="23380" xr:uid="{00000000-0005-0000-0000-000099330000}"/>
    <cellStyle name="20% - Accent5 2 2 2" xfId="529" xr:uid="{00000000-0005-0000-0000-00009A330000}"/>
    <cellStyle name="20% - Accent5 2 2 2 2" xfId="1242" xr:uid="{00000000-0005-0000-0000-00009B330000}"/>
    <cellStyle name="20% - Accent5 2 2 2 2 2" xfId="1664" xr:uid="{00000000-0005-0000-0000-00009C330000}"/>
    <cellStyle name="20% - Accent5 2 2 2 2 2 2" xfId="3311" xr:uid="{00000000-0005-0000-0000-00009D330000}"/>
    <cellStyle name="20% - Accent5 2 2 2 2 2 2 2" xfId="6283" xr:uid="{00000000-0005-0000-0000-00009E330000}"/>
    <cellStyle name="20% - Accent5 2 2 2 2 2 2 2 2" xfId="11933" xr:uid="{00000000-0005-0000-0000-00009F330000}"/>
    <cellStyle name="20% - Accent5 2 2 2 2 2 2 2 2 2" xfId="23234" xr:uid="{00000000-0005-0000-0000-0000A0330000}"/>
    <cellStyle name="20% - Accent5 2 2 2 2 2 2 2 2 2 2" xfId="45836" xr:uid="{00000000-0005-0000-0000-0000A1330000}"/>
    <cellStyle name="20% - Accent5 2 2 2 2 2 2 2 2 3" xfId="34535" xr:uid="{00000000-0005-0000-0000-0000A2330000}"/>
    <cellStyle name="20% - Accent5 2 2 2 2 2 2 2 3" xfId="17584" xr:uid="{00000000-0005-0000-0000-0000A3330000}"/>
    <cellStyle name="20% - Accent5 2 2 2 2 2 2 2 3 2" xfId="40186" xr:uid="{00000000-0005-0000-0000-0000A4330000}"/>
    <cellStyle name="20% - Accent5 2 2 2 2 2 2 2 4" xfId="28885" xr:uid="{00000000-0005-0000-0000-0000A5330000}"/>
    <cellStyle name="20% - Accent5 2 2 2 2 2 2 3" xfId="9101" xr:uid="{00000000-0005-0000-0000-0000A6330000}"/>
    <cellStyle name="20% - Accent5 2 2 2 2 2 2 3 2" xfId="20402" xr:uid="{00000000-0005-0000-0000-0000A7330000}"/>
    <cellStyle name="20% - Accent5 2 2 2 2 2 2 3 2 2" xfId="43004" xr:uid="{00000000-0005-0000-0000-0000A8330000}"/>
    <cellStyle name="20% - Accent5 2 2 2 2 2 2 3 3" xfId="31703" xr:uid="{00000000-0005-0000-0000-0000A9330000}"/>
    <cellStyle name="20% - Accent5 2 2 2 2 2 2 4" xfId="14752" xr:uid="{00000000-0005-0000-0000-0000AA330000}"/>
    <cellStyle name="20% - Accent5 2 2 2 2 2 2 4 2" xfId="37354" xr:uid="{00000000-0005-0000-0000-0000AB330000}"/>
    <cellStyle name="20% - Accent5 2 2 2 2 2 2 5" xfId="26053" xr:uid="{00000000-0005-0000-0000-0000AC330000}"/>
    <cellStyle name="20% - Accent5 2 2 2 2 2 3" xfId="5049" xr:uid="{00000000-0005-0000-0000-0000AD330000}"/>
    <cellStyle name="20% - Accent5 2 2 2 2 2 3 2" xfId="10699" xr:uid="{00000000-0005-0000-0000-0000AE330000}"/>
    <cellStyle name="20% - Accent5 2 2 2 2 2 3 2 2" xfId="22000" xr:uid="{00000000-0005-0000-0000-0000AF330000}"/>
    <cellStyle name="20% - Accent5 2 2 2 2 2 3 2 2 2" xfId="44602" xr:uid="{00000000-0005-0000-0000-0000B0330000}"/>
    <cellStyle name="20% - Accent5 2 2 2 2 2 3 2 3" xfId="33301" xr:uid="{00000000-0005-0000-0000-0000B1330000}"/>
    <cellStyle name="20% - Accent5 2 2 2 2 2 3 3" xfId="16350" xr:uid="{00000000-0005-0000-0000-0000B2330000}"/>
    <cellStyle name="20% - Accent5 2 2 2 2 2 3 3 2" xfId="38952" xr:uid="{00000000-0005-0000-0000-0000B3330000}"/>
    <cellStyle name="20% - Accent5 2 2 2 2 2 3 4" xfId="27651" xr:uid="{00000000-0005-0000-0000-0000B4330000}"/>
    <cellStyle name="20% - Accent5 2 2 2 2 2 4" xfId="7520" xr:uid="{00000000-0005-0000-0000-0000B5330000}"/>
    <cellStyle name="20% - Accent5 2 2 2 2 2 4 2" xfId="18821" xr:uid="{00000000-0005-0000-0000-0000B6330000}"/>
    <cellStyle name="20% - Accent5 2 2 2 2 2 4 2 2" xfId="41423" xr:uid="{00000000-0005-0000-0000-0000B7330000}"/>
    <cellStyle name="20% - Accent5 2 2 2 2 2 4 3" xfId="30122" xr:uid="{00000000-0005-0000-0000-0000B8330000}"/>
    <cellStyle name="20% - Accent5 2 2 2 2 2 5" xfId="13171" xr:uid="{00000000-0005-0000-0000-0000B9330000}"/>
    <cellStyle name="20% - Accent5 2 2 2 2 2 5 2" xfId="35773" xr:uid="{00000000-0005-0000-0000-0000BA330000}"/>
    <cellStyle name="20% - Accent5 2 2 2 2 2 6" xfId="24472" xr:uid="{00000000-0005-0000-0000-0000BB330000}"/>
    <cellStyle name="20% - Accent5 2 2 2 2 3" xfId="2640" xr:uid="{00000000-0005-0000-0000-0000BC330000}"/>
    <cellStyle name="20% - Accent5 2 2 2 2 3 2" xfId="5659" xr:uid="{00000000-0005-0000-0000-0000BD330000}"/>
    <cellStyle name="20% - Accent5 2 2 2 2 3 2 2" xfId="11309" xr:uid="{00000000-0005-0000-0000-0000BE330000}"/>
    <cellStyle name="20% - Accent5 2 2 2 2 3 2 2 2" xfId="22610" xr:uid="{00000000-0005-0000-0000-0000BF330000}"/>
    <cellStyle name="20% - Accent5 2 2 2 2 3 2 2 2 2" xfId="45212" xr:uid="{00000000-0005-0000-0000-0000C0330000}"/>
    <cellStyle name="20% - Accent5 2 2 2 2 3 2 2 3" xfId="33911" xr:uid="{00000000-0005-0000-0000-0000C1330000}"/>
    <cellStyle name="20% - Accent5 2 2 2 2 3 2 3" xfId="16960" xr:uid="{00000000-0005-0000-0000-0000C2330000}"/>
    <cellStyle name="20% - Accent5 2 2 2 2 3 2 3 2" xfId="39562" xr:uid="{00000000-0005-0000-0000-0000C3330000}"/>
    <cellStyle name="20% - Accent5 2 2 2 2 3 2 4" xfId="28261" xr:uid="{00000000-0005-0000-0000-0000C4330000}"/>
    <cellStyle name="20% - Accent5 2 2 2 2 3 3" xfId="8476" xr:uid="{00000000-0005-0000-0000-0000C5330000}"/>
    <cellStyle name="20% - Accent5 2 2 2 2 3 3 2" xfId="19777" xr:uid="{00000000-0005-0000-0000-0000C6330000}"/>
    <cellStyle name="20% - Accent5 2 2 2 2 3 3 2 2" xfId="42379" xr:uid="{00000000-0005-0000-0000-0000C7330000}"/>
    <cellStyle name="20% - Accent5 2 2 2 2 3 3 3" xfId="31078" xr:uid="{00000000-0005-0000-0000-0000C8330000}"/>
    <cellStyle name="20% - Accent5 2 2 2 2 3 4" xfId="14127" xr:uid="{00000000-0005-0000-0000-0000C9330000}"/>
    <cellStyle name="20% - Accent5 2 2 2 2 3 4 2" xfId="36729" xr:uid="{00000000-0005-0000-0000-0000CA330000}"/>
    <cellStyle name="20% - Accent5 2 2 2 2 3 5" xfId="25428" xr:uid="{00000000-0005-0000-0000-0000CB330000}"/>
    <cellStyle name="20% - Accent5 2 2 2 2 4" xfId="4425" xr:uid="{00000000-0005-0000-0000-0000CC330000}"/>
    <cellStyle name="20% - Accent5 2 2 2 2 4 2" xfId="10075" xr:uid="{00000000-0005-0000-0000-0000CD330000}"/>
    <cellStyle name="20% - Accent5 2 2 2 2 4 2 2" xfId="21376" xr:uid="{00000000-0005-0000-0000-0000CE330000}"/>
    <cellStyle name="20% - Accent5 2 2 2 2 4 2 2 2" xfId="43978" xr:uid="{00000000-0005-0000-0000-0000CF330000}"/>
    <cellStyle name="20% - Accent5 2 2 2 2 4 2 3" xfId="32677" xr:uid="{00000000-0005-0000-0000-0000D0330000}"/>
    <cellStyle name="20% - Accent5 2 2 2 2 4 3" xfId="15726" xr:uid="{00000000-0005-0000-0000-0000D1330000}"/>
    <cellStyle name="20% - Accent5 2 2 2 2 4 3 2" xfId="38328" xr:uid="{00000000-0005-0000-0000-0000D2330000}"/>
    <cellStyle name="20% - Accent5 2 2 2 2 4 4" xfId="27027" xr:uid="{00000000-0005-0000-0000-0000D3330000}"/>
    <cellStyle name="20% - Accent5 2 2 2 2 5" xfId="7221" xr:uid="{00000000-0005-0000-0000-0000D4330000}"/>
    <cellStyle name="20% - Accent5 2 2 2 2 5 2" xfId="18522" xr:uid="{00000000-0005-0000-0000-0000D5330000}"/>
    <cellStyle name="20% - Accent5 2 2 2 2 5 2 2" xfId="41124" xr:uid="{00000000-0005-0000-0000-0000D6330000}"/>
    <cellStyle name="20% - Accent5 2 2 2 2 5 3" xfId="29823" xr:uid="{00000000-0005-0000-0000-0000D7330000}"/>
    <cellStyle name="20% - Accent5 2 2 2 2 6" xfId="12872" xr:uid="{00000000-0005-0000-0000-0000D8330000}"/>
    <cellStyle name="20% - Accent5 2 2 2 2 6 2" xfId="35474" xr:uid="{00000000-0005-0000-0000-0000D9330000}"/>
    <cellStyle name="20% - Accent5 2 2 2 2 7" xfId="24173" xr:uid="{00000000-0005-0000-0000-0000DA330000}"/>
    <cellStyle name="20% - Accent5 2 2 2 3" xfId="940" xr:uid="{00000000-0005-0000-0000-0000DB330000}"/>
    <cellStyle name="20% - Accent5 2 2 2 3 2" xfId="3003" xr:uid="{00000000-0005-0000-0000-0000DC330000}"/>
    <cellStyle name="20% - Accent5 2 2 2 3 2 2" xfId="5975" xr:uid="{00000000-0005-0000-0000-0000DD330000}"/>
    <cellStyle name="20% - Accent5 2 2 2 3 2 2 2" xfId="11625" xr:uid="{00000000-0005-0000-0000-0000DE330000}"/>
    <cellStyle name="20% - Accent5 2 2 2 3 2 2 2 2" xfId="22926" xr:uid="{00000000-0005-0000-0000-0000DF330000}"/>
    <cellStyle name="20% - Accent5 2 2 2 3 2 2 2 2 2" xfId="45528" xr:uid="{00000000-0005-0000-0000-0000E0330000}"/>
    <cellStyle name="20% - Accent5 2 2 2 3 2 2 2 3" xfId="34227" xr:uid="{00000000-0005-0000-0000-0000E1330000}"/>
    <cellStyle name="20% - Accent5 2 2 2 3 2 2 3" xfId="17276" xr:uid="{00000000-0005-0000-0000-0000E2330000}"/>
    <cellStyle name="20% - Accent5 2 2 2 3 2 2 3 2" xfId="39878" xr:uid="{00000000-0005-0000-0000-0000E3330000}"/>
    <cellStyle name="20% - Accent5 2 2 2 3 2 2 4" xfId="28577" xr:uid="{00000000-0005-0000-0000-0000E4330000}"/>
    <cellStyle name="20% - Accent5 2 2 2 3 2 3" xfId="8793" xr:uid="{00000000-0005-0000-0000-0000E5330000}"/>
    <cellStyle name="20% - Accent5 2 2 2 3 2 3 2" xfId="20094" xr:uid="{00000000-0005-0000-0000-0000E6330000}"/>
    <cellStyle name="20% - Accent5 2 2 2 3 2 3 2 2" xfId="42696" xr:uid="{00000000-0005-0000-0000-0000E7330000}"/>
    <cellStyle name="20% - Accent5 2 2 2 3 2 3 3" xfId="31395" xr:uid="{00000000-0005-0000-0000-0000E8330000}"/>
    <cellStyle name="20% - Accent5 2 2 2 3 2 4" xfId="14444" xr:uid="{00000000-0005-0000-0000-0000E9330000}"/>
    <cellStyle name="20% - Accent5 2 2 2 3 2 4 2" xfId="37046" xr:uid="{00000000-0005-0000-0000-0000EA330000}"/>
    <cellStyle name="20% - Accent5 2 2 2 3 2 5" xfId="25745" xr:uid="{00000000-0005-0000-0000-0000EB330000}"/>
    <cellStyle name="20% - Accent5 2 2 2 3 3" xfId="4741" xr:uid="{00000000-0005-0000-0000-0000EC330000}"/>
    <cellStyle name="20% - Accent5 2 2 2 3 3 2" xfId="10391" xr:uid="{00000000-0005-0000-0000-0000ED330000}"/>
    <cellStyle name="20% - Accent5 2 2 2 3 3 2 2" xfId="21692" xr:uid="{00000000-0005-0000-0000-0000EE330000}"/>
    <cellStyle name="20% - Accent5 2 2 2 3 3 2 2 2" xfId="44294" xr:uid="{00000000-0005-0000-0000-0000EF330000}"/>
    <cellStyle name="20% - Accent5 2 2 2 3 3 2 3" xfId="32993" xr:uid="{00000000-0005-0000-0000-0000F0330000}"/>
    <cellStyle name="20% - Accent5 2 2 2 3 3 3" xfId="16042" xr:uid="{00000000-0005-0000-0000-0000F1330000}"/>
    <cellStyle name="20% - Accent5 2 2 2 3 3 3 2" xfId="38644" xr:uid="{00000000-0005-0000-0000-0000F2330000}"/>
    <cellStyle name="20% - Accent5 2 2 2 3 3 4" xfId="27343" xr:uid="{00000000-0005-0000-0000-0000F3330000}"/>
    <cellStyle name="20% - Accent5 2 2 2 3 4" xfId="6928" xr:uid="{00000000-0005-0000-0000-0000F4330000}"/>
    <cellStyle name="20% - Accent5 2 2 2 3 4 2" xfId="18229" xr:uid="{00000000-0005-0000-0000-0000F5330000}"/>
    <cellStyle name="20% - Accent5 2 2 2 3 4 2 2" xfId="40831" xr:uid="{00000000-0005-0000-0000-0000F6330000}"/>
    <cellStyle name="20% - Accent5 2 2 2 3 4 3" xfId="29530" xr:uid="{00000000-0005-0000-0000-0000F7330000}"/>
    <cellStyle name="20% - Accent5 2 2 2 3 5" xfId="12579" xr:uid="{00000000-0005-0000-0000-0000F8330000}"/>
    <cellStyle name="20% - Accent5 2 2 2 3 5 2" xfId="35181" xr:uid="{00000000-0005-0000-0000-0000F9330000}"/>
    <cellStyle name="20% - Accent5 2 2 2 3 6" xfId="23880" xr:uid="{00000000-0005-0000-0000-0000FA330000}"/>
    <cellStyle name="20% - Accent5 2 2 2 4" xfId="1663" xr:uid="{00000000-0005-0000-0000-0000FB330000}"/>
    <cellStyle name="20% - Accent5 2 2 2 4 2" xfId="3598" xr:uid="{00000000-0005-0000-0000-0000FC330000}"/>
    <cellStyle name="20% - Accent5 2 2 2 4 2 2" xfId="9310" xr:uid="{00000000-0005-0000-0000-0000FD330000}"/>
    <cellStyle name="20% - Accent5 2 2 2 4 2 2 2" xfId="20611" xr:uid="{00000000-0005-0000-0000-0000FE330000}"/>
    <cellStyle name="20% - Accent5 2 2 2 4 2 2 2 2" xfId="43213" xr:uid="{00000000-0005-0000-0000-0000FF330000}"/>
    <cellStyle name="20% - Accent5 2 2 2 4 2 2 3" xfId="31912" xr:uid="{00000000-0005-0000-0000-000000340000}"/>
    <cellStyle name="20% - Accent5 2 2 2 4 2 3" xfId="14961" xr:uid="{00000000-0005-0000-0000-000001340000}"/>
    <cellStyle name="20% - Accent5 2 2 2 4 2 3 2" xfId="37563" xr:uid="{00000000-0005-0000-0000-000002340000}"/>
    <cellStyle name="20% - Accent5 2 2 2 4 2 4" xfId="26262" xr:uid="{00000000-0005-0000-0000-000003340000}"/>
    <cellStyle name="20% - Accent5 2 2 2 4 3" xfId="5351" xr:uid="{00000000-0005-0000-0000-000004340000}"/>
    <cellStyle name="20% - Accent5 2 2 2 4 3 2" xfId="11001" xr:uid="{00000000-0005-0000-0000-000005340000}"/>
    <cellStyle name="20% - Accent5 2 2 2 4 3 2 2" xfId="22302" xr:uid="{00000000-0005-0000-0000-000006340000}"/>
    <cellStyle name="20% - Accent5 2 2 2 4 3 2 2 2" xfId="44904" xr:uid="{00000000-0005-0000-0000-000007340000}"/>
    <cellStyle name="20% - Accent5 2 2 2 4 3 2 3" xfId="33603" xr:uid="{00000000-0005-0000-0000-000008340000}"/>
    <cellStyle name="20% - Accent5 2 2 2 4 3 3" xfId="16652" xr:uid="{00000000-0005-0000-0000-000009340000}"/>
    <cellStyle name="20% - Accent5 2 2 2 4 3 3 2" xfId="39254" xr:uid="{00000000-0005-0000-0000-00000A340000}"/>
    <cellStyle name="20% - Accent5 2 2 2 4 3 4" xfId="27953" xr:uid="{00000000-0005-0000-0000-00000B340000}"/>
    <cellStyle name="20% - Accent5 2 2 2 4 4" xfId="7519" xr:uid="{00000000-0005-0000-0000-00000C340000}"/>
    <cellStyle name="20% - Accent5 2 2 2 4 4 2" xfId="18820" xr:uid="{00000000-0005-0000-0000-00000D340000}"/>
    <cellStyle name="20% - Accent5 2 2 2 4 4 2 2" xfId="41422" xr:uid="{00000000-0005-0000-0000-00000E340000}"/>
    <cellStyle name="20% - Accent5 2 2 2 4 4 3" xfId="30121" xr:uid="{00000000-0005-0000-0000-00000F340000}"/>
    <cellStyle name="20% - Accent5 2 2 2 4 5" xfId="13170" xr:uid="{00000000-0005-0000-0000-000010340000}"/>
    <cellStyle name="20% - Accent5 2 2 2 4 5 2" xfId="35772" xr:uid="{00000000-0005-0000-0000-000011340000}"/>
    <cellStyle name="20% - Accent5 2 2 2 4 6" xfId="24471" xr:uid="{00000000-0005-0000-0000-000012340000}"/>
    <cellStyle name="20% - Accent5 2 2 2 5" xfId="2332" xr:uid="{00000000-0005-0000-0000-000013340000}"/>
    <cellStyle name="20% - Accent5 2 2 2 5 2" xfId="8168" xr:uid="{00000000-0005-0000-0000-000014340000}"/>
    <cellStyle name="20% - Accent5 2 2 2 5 2 2" xfId="19469" xr:uid="{00000000-0005-0000-0000-000015340000}"/>
    <cellStyle name="20% - Accent5 2 2 2 5 2 2 2" xfId="42071" xr:uid="{00000000-0005-0000-0000-000016340000}"/>
    <cellStyle name="20% - Accent5 2 2 2 5 2 3" xfId="30770" xr:uid="{00000000-0005-0000-0000-000017340000}"/>
    <cellStyle name="20% - Accent5 2 2 2 5 3" xfId="13819" xr:uid="{00000000-0005-0000-0000-000018340000}"/>
    <cellStyle name="20% - Accent5 2 2 2 5 3 2" xfId="36421" xr:uid="{00000000-0005-0000-0000-000019340000}"/>
    <cellStyle name="20% - Accent5 2 2 2 5 4" xfId="25120" xr:uid="{00000000-0005-0000-0000-00001A340000}"/>
    <cellStyle name="20% - Accent5 2 2 2 6" xfId="4117" xr:uid="{00000000-0005-0000-0000-00001B340000}"/>
    <cellStyle name="20% - Accent5 2 2 2 6 2" xfId="9767" xr:uid="{00000000-0005-0000-0000-00001C340000}"/>
    <cellStyle name="20% - Accent5 2 2 2 6 2 2" xfId="21068" xr:uid="{00000000-0005-0000-0000-00001D340000}"/>
    <cellStyle name="20% - Accent5 2 2 2 6 2 2 2" xfId="43670" xr:uid="{00000000-0005-0000-0000-00001E340000}"/>
    <cellStyle name="20% - Accent5 2 2 2 6 2 3" xfId="32369" xr:uid="{00000000-0005-0000-0000-00001F340000}"/>
    <cellStyle name="20% - Accent5 2 2 2 6 3" xfId="15418" xr:uid="{00000000-0005-0000-0000-000020340000}"/>
    <cellStyle name="20% - Accent5 2 2 2 6 3 2" xfId="38020" xr:uid="{00000000-0005-0000-0000-000021340000}"/>
    <cellStyle name="20% - Accent5 2 2 2 6 4" xfId="26719" xr:uid="{00000000-0005-0000-0000-000022340000}"/>
    <cellStyle name="20% - Accent5 2 2 2 7" xfId="6595" xr:uid="{00000000-0005-0000-0000-000023340000}"/>
    <cellStyle name="20% - Accent5 2 2 2 7 2" xfId="17896" xr:uid="{00000000-0005-0000-0000-000024340000}"/>
    <cellStyle name="20% - Accent5 2 2 2 7 2 2" xfId="40498" xr:uid="{00000000-0005-0000-0000-000025340000}"/>
    <cellStyle name="20% - Accent5 2 2 2 7 3" xfId="29197" xr:uid="{00000000-0005-0000-0000-000026340000}"/>
    <cellStyle name="20% - Accent5 2 2 2 8" xfId="12246" xr:uid="{00000000-0005-0000-0000-000027340000}"/>
    <cellStyle name="20% - Accent5 2 2 2 8 2" xfId="34848" xr:uid="{00000000-0005-0000-0000-000028340000}"/>
    <cellStyle name="20% - Accent5 2 2 2 9" xfId="23547" xr:uid="{00000000-0005-0000-0000-000029340000}"/>
    <cellStyle name="20% - Accent5 2 2 3" xfId="1102" xr:uid="{00000000-0005-0000-0000-00002A340000}"/>
    <cellStyle name="20% - Accent5 2 2 3 2" xfId="1665" xr:uid="{00000000-0005-0000-0000-00002B340000}"/>
    <cellStyle name="20% - Accent5 2 2 3 2 2" xfId="3170" xr:uid="{00000000-0005-0000-0000-00002C340000}"/>
    <cellStyle name="20% - Accent5 2 2 3 2 2 2" xfId="6142" xr:uid="{00000000-0005-0000-0000-00002D340000}"/>
    <cellStyle name="20% - Accent5 2 2 3 2 2 2 2" xfId="11792" xr:uid="{00000000-0005-0000-0000-00002E340000}"/>
    <cellStyle name="20% - Accent5 2 2 3 2 2 2 2 2" xfId="23093" xr:uid="{00000000-0005-0000-0000-00002F340000}"/>
    <cellStyle name="20% - Accent5 2 2 3 2 2 2 2 2 2" xfId="45695" xr:uid="{00000000-0005-0000-0000-000030340000}"/>
    <cellStyle name="20% - Accent5 2 2 3 2 2 2 2 3" xfId="34394" xr:uid="{00000000-0005-0000-0000-000031340000}"/>
    <cellStyle name="20% - Accent5 2 2 3 2 2 2 3" xfId="17443" xr:uid="{00000000-0005-0000-0000-000032340000}"/>
    <cellStyle name="20% - Accent5 2 2 3 2 2 2 3 2" xfId="40045" xr:uid="{00000000-0005-0000-0000-000033340000}"/>
    <cellStyle name="20% - Accent5 2 2 3 2 2 2 4" xfId="28744" xr:uid="{00000000-0005-0000-0000-000034340000}"/>
    <cellStyle name="20% - Accent5 2 2 3 2 2 3" xfId="8960" xr:uid="{00000000-0005-0000-0000-000035340000}"/>
    <cellStyle name="20% - Accent5 2 2 3 2 2 3 2" xfId="20261" xr:uid="{00000000-0005-0000-0000-000036340000}"/>
    <cellStyle name="20% - Accent5 2 2 3 2 2 3 2 2" xfId="42863" xr:uid="{00000000-0005-0000-0000-000037340000}"/>
    <cellStyle name="20% - Accent5 2 2 3 2 2 3 3" xfId="31562" xr:uid="{00000000-0005-0000-0000-000038340000}"/>
    <cellStyle name="20% - Accent5 2 2 3 2 2 4" xfId="14611" xr:uid="{00000000-0005-0000-0000-000039340000}"/>
    <cellStyle name="20% - Accent5 2 2 3 2 2 4 2" xfId="37213" xr:uid="{00000000-0005-0000-0000-00003A340000}"/>
    <cellStyle name="20% - Accent5 2 2 3 2 2 5" xfId="25912" xr:uid="{00000000-0005-0000-0000-00003B340000}"/>
    <cellStyle name="20% - Accent5 2 2 3 2 3" xfId="4908" xr:uid="{00000000-0005-0000-0000-00003C340000}"/>
    <cellStyle name="20% - Accent5 2 2 3 2 3 2" xfId="10558" xr:uid="{00000000-0005-0000-0000-00003D340000}"/>
    <cellStyle name="20% - Accent5 2 2 3 2 3 2 2" xfId="21859" xr:uid="{00000000-0005-0000-0000-00003E340000}"/>
    <cellStyle name="20% - Accent5 2 2 3 2 3 2 2 2" xfId="44461" xr:uid="{00000000-0005-0000-0000-00003F340000}"/>
    <cellStyle name="20% - Accent5 2 2 3 2 3 2 3" xfId="33160" xr:uid="{00000000-0005-0000-0000-000040340000}"/>
    <cellStyle name="20% - Accent5 2 2 3 2 3 3" xfId="16209" xr:uid="{00000000-0005-0000-0000-000041340000}"/>
    <cellStyle name="20% - Accent5 2 2 3 2 3 3 2" xfId="38811" xr:uid="{00000000-0005-0000-0000-000042340000}"/>
    <cellStyle name="20% - Accent5 2 2 3 2 3 4" xfId="27510" xr:uid="{00000000-0005-0000-0000-000043340000}"/>
    <cellStyle name="20% - Accent5 2 2 3 2 4" xfId="7521" xr:uid="{00000000-0005-0000-0000-000044340000}"/>
    <cellStyle name="20% - Accent5 2 2 3 2 4 2" xfId="18822" xr:uid="{00000000-0005-0000-0000-000045340000}"/>
    <cellStyle name="20% - Accent5 2 2 3 2 4 2 2" xfId="41424" xr:uid="{00000000-0005-0000-0000-000046340000}"/>
    <cellStyle name="20% - Accent5 2 2 3 2 4 3" xfId="30123" xr:uid="{00000000-0005-0000-0000-000047340000}"/>
    <cellStyle name="20% - Accent5 2 2 3 2 5" xfId="13172" xr:uid="{00000000-0005-0000-0000-000048340000}"/>
    <cellStyle name="20% - Accent5 2 2 3 2 5 2" xfId="35774" xr:uid="{00000000-0005-0000-0000-000049340000}"/>
    <cellStyle name="20% - Accent5 2 2 3 2 6" xfId="24473" xr:uid="{00000000-0005-0000-0000-00004A340000}"/>
    <cellStyle name="20% - Accent5 2 2 3 3" xfId="2499" xr:uid="{00000000-0005-0000-0000-00004B340000}"/>
    <cellStyle name="20% - Accent5 2 2 3 3 2" xfId="5518" xr:uid="{00000000-0005-0000-0000-00004C340000}"/>
    <cellStyle name="20% - Accent5 2 2 3 3 2 2" xfId="11168" xr:uid="{00000000-0005-0000-0000-00004D340000}"/>
    <cellStyle name="20% - Accent5 2 2 3 3 2 2 2" xfId="22469" xr:uid="{00000000-0005-0000-0000-00004E340000}"/>
    <cellStyle name="20% - Accent5 2 2 3 3 2 2 2 2" xfId="45071" xr:uid="{00000000-0005-0000-0000-00004F340000}"/>
    <cellStyle name="20% - Accent5 2 2 3 3 2 2 3" xfId="33770" xr:uid="{00000000-0005-0000-0000-000050340000}"/>
    <cellStyle name="20% - Accent5 2 2 3 3 2 3" xfId="16819" xr:uid="{00000000-0005-0000-0000-000051340000}"/>
    <cellStyle name="20% - Accent5 2 2 3 3 2 3 2" xfId="39421" xr:uid="{00000000-0005-0000-0000-000052340000}"/>
    <cellStyle name="20% - Accent5 2 2 3 3 2 4" xfId="28120" xr:uid="{00000000-0005-0000-0000-000053340000}"/>
    <cellStyle name="20% - Accent5 2 2 3 3 3" xfId="8335" xr:uid="{00000000-0005-0000-0000-000054340000}"/>
    <cellStyle name="20% - Accent5 2 2 3 3 3 2" xfId="19636" xr:uid="{00000000-0005-0000-0000-000055340000}"/>
    <cellStyle name="20% - Accent5 2 2 3 3 3 2 2" xfId="42238" xr:uid="{00000000-0005-0000-0000-000056340000}"/>
    <cellStyle name="20% - Accent5 2 2 3 3 3 3" xfId="30937" xr:uid="{00000000-0005-0000-0000-000057340000}"/>
    <cellStyle name="20% - Accent5 2 2 3 3 4" xfId="13986" xr:uid="{00000000-0005-0000-0000-000058340000}"/>
    <cellStyle name="20% - Accent5 2 2 3 3 4 2" xfId="36588" xr:uid="{00000000-0005-0000-0000-000059340000}"/>
    <cellStyle name="20% - Accent5 2 2 3 3 5" xfId="25287" xr:uid="{00000000-0005-0000-0000-00005A340000}"/>
    <cellStyle name="20% - Accent5 2 2 3 4" xfId="4284" xr:uid="{00000000-0005-0000-0000-00005B340000}"/>
    <cellStyle name="20% - Accent5 2 2 3 4 2" xfId="9934" xr:uid="{00000000-0005-0000-0000-00005C340000}"/>
    <cellStyle name="20% - Accent5 2 2 3 4 2 2" xfId="21235" xr:uid="{00000000-0005-0000-0000-00005D340000}"/>
    <cellStyle name="20% - Accent5 2 2 3 4 2 2 2" xfId="43837" xr:uid="{00000000-0005-0000-0000-00005E340000}"/>
    <cellStyle name="20% - Accent5 2 2 3 4 2 3" xfId="32536" xr:uid="{00000000-0005-0000-0000-00005F340000}"/>
    <cellStyle name="20% - Accent5 2 2 3 4 3" xfId="15585" xr:uid="{00000000-0005-0000-0000-000060340000}"/>
    <cellStyle name="20% - Accent5 2 2 3 4 3 2" xfId="38187" xr:uid="{00000000-0005-0000-0000-000061340000}"/>
    <cellStyle name="20% - Accent5 2 2 3 4 4" xfId="26886" xr:uid="{00000000-0005-0000-0000-000062340000}"/>
    <cellStyle name="20% - Accent5 2 2 3 5" xfId="7081" xr:uid="{00000000-0005-0000-0000-000063340000}"/>
    <cellStyle name="20% - Accent5 2 2 3 5 2" xfId="18382" xr:uid="{00000000-0005-0000-0000-000064340000}"/>
    <cellStyle name="20% - Accent5 2 2 3 5 2 2" xfId="40984" xr:uid="{00000000-0005-0000-0000-000065340000}"/>
    <cellStyle name="20% - Accent5 2 2 3 5 3" xfId="29683" xr:uid="{00000000-0005-0000-0000-000066340000}"/>
    <cellStyle name="20% - Accent5 2 2 3 6" xfId="12732" xr:uid="{00000000-0005-0000-0000-000067340000}"/>
    <cellStyle name="20% - Accent5 2 2 3 6 2" xfId="35334" xr:uid="{00000000-0005-0000-0000-000068340000}"/>
    <cellStyle name="20% - Accent5 2 2 3 7" xfId="24033" xr:uid="{00000000-0005-0000-0000-000069340000}"/>
    <cellStyle name="20% - Accent5 2 2 4" xfId="782" xr:uid="{00000000-0005-0000-0000-00006A340000}"/>
    <cellStyle name="20% - Accent5 2 2 4 2" xfId="2863" xr:uid="{00000000-0005-0000-0000-00006B340000}"/>
    <cellStyle name="20% - Accent5 2 2 4 2 2" xfId="5835" xr:uid="{00000000-0005-0000-0000-00006C340000}"/>
    <cellStyle name="20% - Accent5 2 2 4 2 2 2" xfId="11485" xr:uid="{00000000-0005-0000-0000-00006D340000}"/>
    <cellStyle name="20% - Accent5 2 2 4 2 2 2 2" xfId="22786" xr:uid="{00000000-0005-0000-0000-00006E340000}"/>
    <cellStyle name="20% - Accent5 2 2 4 2 2 2 2 2" xfId="45388" xr:uid="{00000000-0005-0000-0000-00006F340000}"/>
    <cellStyle name="20% - Accent5 2 2 4 2 2 2 3" xfId="34087" xr:uid="{00000000-0005-0000-0000-000070340000}"/>
    <cellStyle name="20% - Accent5 2 2 4 2 2 3" xfId="17136" xr:uid="{00000000-0005-0000-0000-000071340000}"/>
    <cellStyle name="20% - Accent5 2 2 4 2 2 3 2" xfId="39738" xr:uid="{00000000-0005-0000-0000-000072340000}"/>
    <cellStyle name="20% - Accent5 2 2 4 2 2 4" xfId="28437" xr:uid="{00000000-0005-0000-0000-000073340000}"/>
    <cellStyle name="20% - Accent5 2 2 4 2 3" xfId="8653" xr:uid="{00000000-0005-0000-0000-000074340000}"/>
    <cellStyle name="20% - Accent5 2 2 4 2 3 2" xfId="19954" xr:uid="{00000000-0005-0000-0000-000075340000}"/>
    <cellStyle name="20% - Accent5 2 2 4 2 3 2 2" xfId="42556" xr:uid="{00000000-0005-0000-0000-000076340000}"/>
    <cellStyle name="20% - Accent5 2 2 4 2 3 3" xfId="31255" xr:uid="{00000000-0005-0000-0000-000077340000}"/>
    <cellStyle name="20% - Accent5 2 2 4 2 4" xfId="14304" xr:uid="{00000000-0005-0000-0000-000078340000}"/>
    <cellStyle name="20% - Accent5 2 2 4 2 4 2" xfId="36906" xr:uid="{00000000-0005-0000-0000-000079340000}"/>
    <cellStyle name="20% - Accent5 2 2 4 2 5" xfId="25605" xr:uid="{00000000-0005-0000-0000-00007A340000}"/>
    <cellStyle name="20% - Accent5 2 2 4 3" xfId="4601" xr:uid="{00000000-0005-0000-0000-00007B340000}"/>
    <cellStyle name="20% - Accent5 2 2 4 3 2" xfId="10251" xr:uid="{00000000-0005-0000-0000-00007C340000}"/>
    <cellStyle name="20% - Accent5 2 2 4 3 2 2" xfId="21552" xr:uid="{00000000-0005-0000-0000-00007D340000}"/>
    <cellStyle name="20% - Accent5 2 2 4 3 2 2 2" xfId="44154" xr:uid="{00000000-0005-0000-0000-00007E340000}"/>
    <cellStyle name="20% - Accent5 2 2 4 3 2 3" xfId="32853" xr:uid="{00000000-0005-0000-0000-00007F340000}"/>
    <cellStyle name="20% - Accent5 2 2 4 3 3" xfId="15902" xr:uid="{00000000-0005-0000-0000-000080340000}"/>
    <cellStyle name="20% - Accent5 2 2 4 3 3 2" xfId="38504" xr:uid="{00000000-0005-0000-0000-000081340000}"/>
    <cellStyle name="20% - Accent5 2 2 4 3 4" xfId="27203" xr:uid="{00000000-0005-0000-0000-000082340000}"/>
    <cellStyle name="20% - Accent5 2 2 4 4" xfId="6787" xr:uid="{00000000-0005-0000-0000-000083340000}"/>
    <cellStyle name="20% - Accent5 2 2 4 4 2" xfId="18088" xr:uid="{00000000-0005-0000-0000-000084340000}"/>
    <cellStyle name="20% - Accent5 2 2 4 4 2 2" xfId="40690" xr:uid="{00000000-0005-0000-0000-000085340000}"/>
    <cellStyle name="20% - Accent5 2 2 4 4 3" xfId="29389" xr:uid="{00000000-0005-0000-0000-000086340000}"/>
    <cellStyle name="20% - Accent5 2 2 4 5" xfId="12438" xr:uid="{00000000-0005-0000-0000-000087340000}"/>
    <cellStyle name="20% - Accent5 2 2 4 5 2" xfId="35040" xr:uid="{00000000-0005-0000-0000-000088340000}"/>
    <cellStyle name="20% - Accent5 2 2 4 6" xfId="23739" xr:uid="{00000000-0005-0000-0000-000089340000}"/>
    <cellStyle name="20% - Accent5 2 2 5" xfId="1662" xr:uid="{00000000-0005-0000-0000-00008A340000}"/>
    <cellStyle name="20% - Accent5 2 2 5 2" xfId="3597" xr:uid="{00000000-0005-0000-0000-00008B340000}"/>
    <cellStyle name="20% - Accent5 2 2 5 2 2" xfId="9309" xr:uid="{00000000-0005-0000-0000-00008C340000}"/>
    <cellStyle name="20% - Accent5 2 2 5 2 2 2" xfId="20610" xr:uid="{00000000-0005-0000-0000-00008D340000}"/>
    <cellStyle name="20% - Accent5 2 2 5 2 2 2 2" xfId="43212" xr:uid="{00000000-0005-0000-0000-00008E340000}"/>
    <cellStyle name="20% - Accent5 2 2 5 2 2 3" xfId="31911" xr:uid="{00000000-0005-0000-0000-00008F340000}"/>
    <cellStyle name="20% - Accent5 2 2 5 2 3" xfId="14960" xr:uid="{00000000-0005-0000-0000-000090340000}"/>
    <cellStyle name="20% - Accent5 2 2 5 2 3 2" xfId="37562" xr:uid="{00000000-0005-0000-0000-000091340000}"/>
    <cellStyle name="20% - Accent5 2 2 5 2 4" xfId="26261" xr:uid="{00000000-0005-0000-0000-000092340000}"/>
    <cellStyle name="20% - Accent5 2 2 5 3" xfId="5211" xr:uid="{00000000-0005-0000-0000-000093340000}"/>
    <cellStyle name="20% - Accent5 2 2 5 3 2" xfId="10861" xr:uid="{00000000-0005-0000-0000-000094340000}"/>
    <cellStyle name="20% - Accent5 2 2 5 3 2 2" xfId="22162" xr:uid="{00000000-0005-0000-0000-000095340000}"/>
    <cellStyle name="20% - Accent5 2 2 5 3 2 2 2" xfId="44764" xr:uid="{00000000-0005-0000-0000-000096340000}"/>
    <cellStyle name="20% - Accent5 2 2 5 3 2 3" xfId="33463" xr:uid="{00000000-0005-0000-0000-000097340000}"/>
    <cellStyle name="20% - Accent5 2 2 5 3 3" xfId="16512" xr:uid="{00000000-0005-0000-0000-000098340000}"/>
    <cellStyle name="20% - Accent5 2 2 5 3 3 2" xfId="39114" xr:uid="{00000000-0005-0000-0000-000099340000}"/>
    <cellStyle name="20% - Accent5 2 2 5 3 4" xfId="27813" xr:uid="{00000000-0005-0000-0000-00009A340000}"/>
    <cellStyle name="20% - Accent5 2 2 5 4" xfId="7518" xr:uid="{00000000-0005-0000-0000-00009B340000}"/>
    <cellStyle name="20% - Accent5 2 2 5 4 2" xfId="18819" xr:uid="{00000000-0005-0000-0000-00009C340000}"/>
    <cellStyle name="20% - Accent5 2 2 5 4 2 2" xfId="41421" xr:uid="{00000000-0005-0000-0000-00009D340000}"/>
    <cellStyle name="20% - Accent5 2 2 5 4 3" xfId="30120" xr:uid="{00000000-0005-0000-0000-00009E340000}"/>
    <cellStyle name="20% - Accent5 2 2 5 5" xfId="13169" xr:uid="{00000000-0005-0000-0000-00009F340000}"/>
    <cellStyle name="20% - Accent5 2 2 5 5 2" xfId="35771" xr:uid="{00000000-0005-0000-0000-0000A0340000}"/>
    <cellStyle name="20% - Accent5 2 2 5 6" xfId="24470" xr:uid="{00000000-0005-0000-0000-0000A1340000}"/>
    <cellStyle name="20% - Accent5 2 2 6" xfId="2184" xr:uid="{00000000-0005-0000-0000-0000A2340000}"/>
    <cellStyle name="20% - Accent5 2 2 6 2" xfId="8025" xr:uid="{00000000-0005-0000-0000-0000A3340000}"/>
    <cellStyle name="20% - Accent5 2 2 6 2 2" xfId="19326" xr:uid="{00000000-0005-0000-0000-0000A4340000}"/>
    <cellStyle name="20% - Accent5 2 2 6 2 2 2" xfId="41928" xr:uid="{00000000-0005-0000-0000-0000A5340000}"/>
    <cellStyle name="20% - Accent5 2 2 6 2 3" xfId="30627" xr:uid="{00000000-0005-0000-0000-0000A6340000}"/>
    <cellStyle name="20% - Accent5 2 2 6 3" xfId="13676" xr:uid="{00000000-0005-0000-0000-0000A7340000}"/>
    <cellStyle name="20% - Accent5 2 2 6 3 2" xfId="36278" xr:uid="{00000000-0005-0000-0000-0000A8340000}"/>
    <cellStyle name="20% - Accent5 2 2 6 4" xfId="24977" xr:uid="{00000000-0005-0000-0000-0000A9340000}"/>
    <cellStyle name="20% - Accent5 2 2 7" xfId="3977" xr:uid="{00000000-0005-0000-0000-0000AA340000}"/>
    <cellStyle name="20% - Accent5 2 2 7 2" xfId="9627" xr:uid="{00000000-0005-0000-0000-0000AB340000}"/>
    <cellStyle name="20% - Accent5 2 2 7 2 2" xfId="20928" xr:uid="{00000000-0005-0000-0000-0000AC340000}"/>
    <cellStyle name="20% - Accent5 2 2 7 2 2 2" xfId="43530" xr:uid="{00000000-0005-0000-0000-0000AD340000}"/>
    <cellStyle name="20% - Accent5 2 2 7 2 3" xfId="32229" xr:uid="{00000000-0005-0000-0000-0000AE340000}"/>
    <cellStyle name="20% - Accent5 2 2 7 3" xfId="15278" xr:uid="{00000000-0005-0000-0000-0000AF340000}"/>
    <cellStyle name="20% - Accent5 2 2 7 3 2" xfId="37880" xr:uid="{00000000-0005-0000-0000-0000B0340000}"/>
    <cellStyle name="20% - Accent5 2 2 7 4" xfId="26579" xr:uid="{00000000-0005-0000-0000-0000B1340000}"/>
    <cellStyle name="20% - Accent5 2 2 8" xfId="6428" xr:uid="{00000000-0005-0000-0000-0000B2340000}"/>
    <cellStyle name="20% - Accent5 2 2 8 2" xfId="17729" xr:uid="{00000000-0005-0000-0000-0000B3340000}"/>
    <cellStyle name="20% - Accent5 2 2 8 2 2" xfId="40331" xr:uid="{00000000-0005-0000-0000-0000B4340000}"/>
    <cellStyle name="20% - Accent5 2 2 8 3" xfId="29030" xr:uid="{00000000-0005-0000-0000-0000B5340000}"/>
    <cellStyle name="20% - Accent5 2 2 9" xfId="12079" xr:uid="{00000000-0005-0000-0000-0000B6340000}"/>
    <cellStyle name="20% - Accent5 2 2 9 2" xfId="34681" xr:uid="{00000000-0005-0000-0000-0000B7340000}"/>
    <cellStyle name="20% - Accent5 2 3" xfId="2755" xr:uid="{00000000-0005-0000-0000-0000B8340000}"/>
    <cellStyle name="20% - Accent5 2 3 2" xfId="3843" xr:uid="{00000000-0005-0000-0000-0000B9340000}"/>
    <cellStyle name="20% - Accent5 2 3 2 2" xfId="5770" xr:uid="{00000000-0005-0000-0000-0000BA340000}"/>
    <cellStyle name="20% - Accent5 2 3 2 2 2" xfId="11420" xr:uid="{00000000-0005-0000-0000-0000BB340000}"/>
    <cellStyle name="20% - Accent5 2 3 2 2 2 2" xfId="22721" xr:uid="{00000000-0005-0000-0000-0000BC340000}"/>
    <cellStyle name="20% - Accent5 2 3 2 2 2 2 2" xfId="45323" xr:uid="{00000000-0005-0000-0000-0000BD340000}"/>
    <cellStyle name="20% - Accent5 2 3 2 2 2 3" xfId="34022" xr:uid="{00000000-0005-0000-0000-0000BE340000}"/>
    <cellStyle name="20% - Accent5 2 3 2 2 3" xfId="17071" xr:uid="{00000000-0005-0000-0000-0000BF340000}"/>
    <cellStyle name="20% - Accent5 2 3 2 2 3 2" xfId="39673" xr:uid="{00000000-0005-0000-0000-0000C0340000}"/>
    <cellStyle name="20% - Accent5 2 3 2 2 4" xfId="28372" xr:uid="{00000000-0005-0000-0000-0000C1340000}"/>
    <cellStyle name="20% - Accent5 2 3 2 3" xfId="9542" xr:uid="{00000000-0005-0000-0000-0000C2340000}"/>
    <cellStyle name="20% - Accent5 2 3 2 3 2" xfId="20843" xr:uid="{00000000-0005-0000-0000-0000C3340000}"/>
    <cellStyle name="20% - Accent5 2 3 2 3 2 2" xfId="43445" xr:uid="{00000000-0005-0000-0000-0000C4340000}"/>
    <cellStyle name="20% - Accent5 2 3 2 3 3" xfId="32144" xr:uid="{00000000-0005-0000-0000-0000C5340000}"/>
    <cellStyle name="20% - Accent5 2 3 2 4" xfId="15193" xr:uid="{00000000-0005-0000-0000-0000C6340000}"/>
    <cellStyle name="20% - Accent5 2 3 2 4 2" xfId="37795" xr:uid="{00000000-0005-0000-0000-0000C7340000}"/>
    <cellStyle name="20% - Accent5 2 3 2 5" xfId="26494" xr:uid="{00000000-0005-0000-0000-0000C8340000}"/>
    <cellStyle name="20% - Accent5 2 3 3" xfId="4536" xr:uid="{00000000-0005-0000-0000-0000C9340000}"/>
    <cellStyle name="20% - Accent5 2 3 3 2" xfId="10186" xr:uid="{00000000-0005-0000-0000-0000CA340000}"/>
    <cellStyle name="20% - Accent5 2 3 3 2 2" xfId="21487" xr:uid="{00000000-0005-0000-0000-0000CB340000}"/>
    <cellStyle name="20% - Accent5 2 3 3 2 2 2" xfId="44089" xr:uid="{00000000-0005-0000-0000-0000CC340000}"/>
    <cellStyle name="20% - Accent5 2 3 3 2 3" xfId="32788" xr:uid="{00000000-0005-0000-0000-0000CD340000}"/>
    <cellStyle name="20% - Accent5 2 3 3 3" xfId="15837" xr:uid="{00000000-0005-0000-0000-0000CE340000}"/>
    <cellStyle name="20% - Accent5 2 3 3 3 2" xfId="38439" xr:uid="{00000000-0005-0000-0000-0000CF340000}"/>
    <cellStyle name="20% - Accent5 2 3 3 4" xfId="27138" xr:uid="{00000000-0005-0000-0000-0000D0340000}"/>
    <cellStyle name="20% - Accent5 2 3 4" xfId="8588" xr:uid="{00000000-0005-0000-0000-0000D1340000}"/>
    <cellStyle name="20% - Accent5 2 3 4 2" xfId="19889" xr:uid="{00000000-0005-0000-0000-0000D2340000}"/>
    <cellStyle name="20% - Accent5 2 3 4 2 2" xfId="42491" xr:uid="{00000000-0005-0000-0000-0000D3340000}"/>
    <cellStyle name="20% - Accent5 2 3 4 3" xfId="31190" xr:uid="{00000000-0005-0000-0000-0000D4340000}"/>
    <cellStyle name="20% - Accent5 2 3 5" xfId="14239" xr:uid="{00000000-0005-0000-0000-0000D5340000}"/>
    <cellStyle name="20% - Accent5 2 3 5 2" xfId="36841" xr:uid="{00000000-0005-0000-0000-0000D6340000}"/>
    <cellStyle name="20% - Accent5 2 3 6" xfId="25540" xr:uid="{00000000-0005-0000-0000-0000D7340000}"/>
    <cellStyle name="20% - Accent5 2 4" xfId="2777" xr:uid="{00000000-0005-0000-0000-0000D8340000}"/>
    <cellStyle name="20% - Accent5 2 5" xfId="3844" xr:uid="{00000000-0005-0000-0000-0000D9340000}"/>
    <cellStyle name="20% - Accent5 2 5 2" xfId="9543" xr:uid="{00000000-0005-0000-0000-0000DA340000}"/>
    <cellStyle name="20% - Accent5 2 5 2 2" xfId="20844" xr:uid="{00000000-0005-0000-0000-0000DB340000}"/>
    <cellStyle name="20% - Accent5 2 5 2 2 2" xfId="43446" xr:uid="{00000000-0005-0000-0000-0000DC340000}"/>
    <cellStyle name="20% - Accent5 2 5 2 3" xfId="32145" xr:uid="{00000000-0005-0000-0000-0000DD340000}"/>
    <cellStyle name="20% - Accent5 2 5 3" xfId="15194" xr:uid="{00000000-0005-0000-0000-0000DE340000}"/>
    <cellStyle name="20% - Accent5 2 5 3 2" xfId="37796" xr:uid="{00000000-0005-0000-0000-0000DF340000}"/>
    <cellStyle name="20% - Accent5 2 5 4" xfId="26495" xr:uid="{00000000-0005-0000-0000-0000E0340000}"/>
    <cellStyle name="20% - Accent5 2 6" xfId="3859" xr:uid="{00000000-0005-0000-0000-0000E1340000}"/>
    <cellStyle name="20% - Accent5 3" xfId="166" xr:uid="{00000000-0005-0000-0000-0000E2340000}"/>
    <cellStyle name="20% - Accent5 3 2" xfId="291" xr:uid="{00000000-0005-0000-0000-0000E3340000}"/>
    <cellStyle name="20% - Accent5 3 2 10" xfId="23401" xr:uid="{00000000-0005-0000-0000-0000E4340000}"/>
    <cellStyle name="20% - Accent5 3 2 2" xfId="551" xr:uid="{00000000-0005-0000-0000-0000E5340000}"/>
    <cellStyle name="20% - Accent5 3 2 2 2" xfId="1261" xr:uid="{00000000-0005-0000-0000-0000E6340000}"/>
    <cellStyle name="20% - Accent5 3 2 2 2 2" xfId="1668" xr:uid="{00000000-0005-0000-0000-0000E7340000}"/>
    <cellStyle name="20% - Accent5 3 2 2 2 2 2" xfId="3330" xr:uid="{00000000-0005-0000-0000-0000E8340000}"/>
    <cellStyle name="20% - Accent5 3 2 2 2 2 2 2" xfId="6302" xr:uid="{00000000-0005-0000-0000-0000E9340000}"/>
    <cellStyle name="20% - Accent5 3 2 2 2 2 2 2 2" xfId="11952" xr:uid="{00000000-0005-0000-0000-0000EA340000}"/>
    <cellStyle name="20% - Accent5 3 2 2 2 2 2 2 2 2" xfId="23253" xr:uid="{00000000-0005-0000-0000-0000EB340000}"/>
    <cellStyle name="20% - Accent5 3 2 2 2 2 2 2 2 2 2" xfId="45855" xr:uid="{00000000-0005-0000-0000-0000EC340000}"/>
    <cellStyle name="20% - Accent5 3 2 2 2 2 2 2 2 3" xfId="34554" xr:uid="{00000000-0005-0000-0000-0000ED340000}"/>
    <cellStyle name="20% - Accent5 3 2 2 2 2 2 2 3" xfId="17603" xr:uid="{00000000-0005-0000-0000-0000EE340000}"/>
    <cellStyle name="20% - Accent5 3 2 2 2 2 2 2 3 2" xfId="40205" xr:uid="{00000000-0005-0000-0000-0000EF340000}"/>
    <cellStyle name="20% - Accent5 3 2 2 2 2 2 2 4" xfId="28904" xr:uid="{00000000-0005-0000-0000-0000F0340000}"/>
    <cellStyle name="20% - Accent5 3 2 2 2 2 2 3" xfId="9120" xr:uid="{00000000-0005-0000-0000-0000F1340000}"/>
    <cellStyle name="20% - Accent5 3 2 2 2 2 2 3 2" xfId="20421" xr:uid="{00000000-0005-0000-0000-0000F2340000}"/>
    <cellStyle name="20% - Accent5 3 2 2 2 2 2 3 2 2" xfId="43023" xr:uid="{00000000-0005-0000-0000-0000F3340000}"/>
    <cellStyle name="20% - Accent5 3 2 2 2 2 2 3 3" xfId="31722" xr:uid="{00000000-0005-0000-0000-0000F4340000}"/>
    <cellStyle name="20% - Accent5 3 2 2 2 2 2 4" xfId="14771" xr:uid="{00000000-0005-0000-0000-0000F5340000}"/>
    <cellStyle name="20% - Accent5 3 2 2 2 2 2 4 2" xfId="37373" xr:uid="{00000000-0005-0000-0000-0000F6340000}"/>
    <cellStyle name="20% - Accent5 3 2 2 2 2 2 5" xfId="26072" xr:uid="{00000000-0005-0000-0000-0000F7340000}"/>
    <cellStyle name="20% - Accent5 3 2 2 2 2 3" xfId="5068" xr:uid="{00000000-0005-0000-0000-0000F8340000}"/>
    <cellStyle name="20% - Accent5 3 2 2 2 2 3 2" xfId="10718" xr:uid="{00000000-0005-0000-0000-0000F9340000}"/>
    <cellStyle name="20% - Accent5 3 2 2 2 2 3 2 2" xfId="22019" xr:uid="{00000000-0005-0000-0000-0000FA340000}"/>
    <cellStyle name="20% - Accent5 3 2 2 2 2 3 2 2 2" xfId="44621" xr:uid="{00000000-0005-0000-0000-0000FB340000}"/>
    <cellStyle name="20% - Accent5 3 2 2 2 2 3 2 3" xfId="33320" xr:uid="{00000000-0005-0000-0000-0000FC340000}"/>
    <cellStyle name="20% - Accent5 3 2 2 2 2 3 3" xfId="16369" xr:uid="{00000000-0005-0000-0000-0000FD340000}"/>
    <cellStyle name="20% - Accent5 3 2 2 2 2 3 3 2" xfId="38971" xr:uid="{00000000-0005-0000-0000-0000FE340000}"/>
    <cellStyle name="20% - Accent5 3 2 2 2 2 3 4" xfId="27670" xr:uid="{00000000-0005-0000-0000-0000FF340000}"/>
    <cellStyle name="20% - Accent5 3 2 2 2 2 4" xfId="7524" xr:uid="{00000000-0005-0000-0000-000000350000}"/>
    <cellStyle name="20% - Accent5 3 2 2 2 2 4 2" xfId="18825" xr:uid="{00000000-0005-0000-0000-000001350000}"/>
    <cellStyle name="20% - Accent5 3 2 2 2 2 4 2 2" xfId="41427" xr:uid="{00000000-0005-0000-0000-000002350000}"/>
    <cellStyle name="20% - Accent5 3 2 2 2 2 4 3" xfId="30126" xr:uid="{00000000-0005-0000-0000-000003350000}"/>
    <cellStyle name="20% - Accent5 3 2 2 2 2 5" xfId="13175" xr:uid="{00000000-0005-0000-0000-000004350000}"/>
    <cellStyle name="20% - Accent5 3 2 2 2 2 5 2" xfId="35777" xr:uid="{00000000-0005-0000-0000-000005350000}"/>
    <cellStyle name="20% - Accent5 3 2 2 2 2 6" xfId="24476" xr:uid="{00000000-0005-0000-0000-000006350000}"/>
    <cellStyle name="20% - Accent5 3 2 2 2 3" xfId="2659" xr:uid="{00000000-0005-0000-0000-000007350000}"/>
    <cellStyle name="20% - Accent5 3 2 2 2 3 2" xfId="5678" xr:uid="{00000000-0005-0000-0000-000008350000}"/>
    <cellStyle name="20% - Accent5 3 2 2 2 3 2 2" xfId="11328" xr:uid="{00000000-0005-0000-0000-000009350000}"/>
    <cellStyle name="20% - Accent5 3 2 2 2 3 2 2 2" xfId="22629" xr:uid="{00000000-0005-0000-0000-00000A350000}"/>
    <cellStyle name="20% - Accent5 3 2 2 2 3 2 2 2 2" xfId="45231" xr:uid="{00000000-0005-0000-0000-00000B350000}"/>
    <cellStyle name="20% - Accent5 3 2 2 2 3 2 2 3" xfId="33930" xr:uid="{00000000-0005-0000-0000-00000C350000}"/>
    <cellStyle name="20% - Accent5 3 2 2 2 3 2 3" xfId="16979" xr:uid="{00000000-0005-0000-0000-00000D350000}"/>
    <cellStyle name="20% - Accent5 3 2 2 2 3 2 3 2" xfId="39581" xr:uid="{00000000-0005-0000-0000-00000E350000}"/>
    <cellStyle name="20% - Accent5 3 2 2 2 3 2 4" xfId="28280" xr:uid="{00000000-0005-0000-0000-00000F350000}"/>
    <cellStyle name="20% - Accent5 3 2 2 2 3 3" xfId="8495" xr:uid="{00000000-0005-0000-0000-000010350000}"/>
    <cellStyle name="20% - Accent5 3 2 2 2 3 3 2" xfId="19796" xr:uid="{00000000-0005-0000-0000-000011350000}"/>
    <cellStyle name="20% - Accent5 3 2 2 2 3 3 2 2" xfId="42398" xr:uid="{00000000-0005-0000-0000-000012350000}"/>
    <cellStyle name="20% - Accent5 3 2 2 2 3 3 3" xfId="31097" xr:uid="{00000000-0005-0000-0000-000013350000}"/>
    <cellStyle name="20% - Accent5 3 2 2 2 3 4" xfId="14146" xr:uid="{00000000-0005-0000-0000-000014350000}"/>
    <cellStyle name="20% - Accent5 3 2 2 2 3 4 2" xfId="36748" xr:uid="{00000000-0005-0000-0000-000015350000}"/>
    <cellStyle name="20% - Accent5 3 2 2 2 3 5" xfId="25447" xr:uid="{00000000-0005-0000-0000-000016350000}"/>
    <cellStyle name="20% - Accent5 3 2 2 2 4" xfId="4444" xr:uid="{00000000-0005-0000-0000-000017350000}"/>
    <cellStyle name="20% - Accent5 3 2 2 2 4 2" xfId="10094" xr:uid="{00000000-0005-0000-0000-000018350000}"/>
    <cellStyle name="20% - Accent5 3 2 2 2 4 2 2" xfId="21395" xr:uid="{00000000-0005-0000-0000-000019350000}"/>
    <cellStyle name="20% - Accent5 3 2 2 2 4 2 2 2" xfId="43997" xr:uid="{00000000-0005-0000-0000-00001A350000}"/>
    <cellStyle name="20% - Accent5 3 2 2 2 4 2 3" xfId="32696" xr:uid="{00000000-0005-0000-0000-00001B350000}"/>
    <cellStyle name="20% - Accent5 3 2 2 2 4 3" xfId="15745" xr:uid="{00000000-0005-0000-0000-00001C350000}"/>
    <cellStyle name="20% - Accent5 3 2 2 2 4 3 2" xfId="38347" xr:uid="{00000000-0005-0000-0000-00001D350000}"/>
    <cellStyle name="20% - Accent5 3 2 2 2 4 4" xfId="27046" xr:uid="{00000000-0005-0000-0000-00001E350000}"/>
    <cellStyle name="20% - Accent5 3 2 2 2 5" xfId="7240" xr:uid="{00000000-0005-0000-0000-00001F350000}"/>
    <cellStyle name="20% - Accent5 3 2 2 2 5 2" xfId="18541" xr:uid="{00000000-0005-0000-0000-000020350000}"/>
    <cellStyle name="20% - Accent5 3 2 2 2 5 2 2" xfId="41143" xr:uid="{00000000-0005-0000-0000-000021350000}"/>
    <cellStyle name="20% - Accent5 3 2 2 2 5 3" xfId="29842" xr:uid="{00000000-0005-0000-0000-000022350000}"/>
    <cellStyle name="20% - Accent5 3 2 2 2 6" xfId="12891" xr:uid="{00000000-0005-0000-0000-000023350000}"/>
    <cellStyle name="20% - Accent5 3 2 2 2 6 2" xfId="35493" xr:uid="{00000000-0005-0000-0000-000024350000}"/>
    <cellStyle name="20% - Accent5 3 2 2 2 7" xfId="24192" xr:uid="{00000000-0005-0000-0000-000025350000}"/>
    <cellStyle name="20% - Accent5 3 2 2 3" xfId="959" xr:uid="{00000000-0005-0000-0000-000026350000}"/>
    <cellStyle name="20% - Accent5 3 2 2 3 2" xfId="3022" xr:uid="{00000000-0005-0000-0000-000027350000}"/>
    <cellStyle name="20% - Accent5 3 2 2 3 2 2" xfId="5994" xr:uid="{00000000-0005-0000-0000-000028350000}"/>
    <cellStyle name="20% - Accent5 3 2 2 3 2 2 2" xfId="11644" xr:uid="{00000000-0005-0000-0000-000029350000}"/>
    <cellStyle name="20% - Accent5 3 2 2 3 2 2 2 2" xfId="22945" xr:uid="{00000000-0005-0000-0000-00002A350000}"/>
    <cellStyle name="20% - Accent5 3 2 2 3 2 2 2 2 2" xfId="45547" xr:uid="{00000000-0005-0000-0000-00002B350000}"/>
    <cellStyle name="20% - Accent5 3 2 2 3 2 2 2 3" xfId="34246" xr:uid="{00000000-0005-0000-0000-00002C350000}"/>
    <cellStyle name="20% - Accent5 3 2 2 3 2 2 3" xfId="17295" xr:uid="{00000000-0005-0000-0000-00002D350000}"/>
    <cellStyle name="20% - Accent5 3 2 2 3 2 2 3 2" xfId="39897" xr:uid="{00000000-0005-0000-0000-00002E350000}"/>
    <cellStyle name="20% - Accent5 3 2 2 3 2 2 4" xfId="28596" xr:uid="{00000000-0005-0000-0000-00002F350000}"/>
    <cellStyle name="20% - Accent5 3 2 2 3 2 3" xfId="8812" xr:uid="{00000000-0005-0000-0000-000030350000}"/>
    <cellStyle name="20% - Accent5 3 2 2 3 2 3 2" xfId="20113" xr:uid="{00000000-0005-0000-0000-000031350000}"/>
    <cellStyle name="20% - Accent5 3 2 2 3 2 3 2 2" xfId="42715" xr:uid="{00000000-0005-0000-0000-000032350000}"/>
    <cellStyle name="20% - Accent5 3 2 2 3 2 3 3" xfId="31414" xr:uid="{00000000-0005-0000-0000-000033350000}"/>
    <cellStyle name="20% - Accent5 3 2 2 3 2 4" xfId="14463" xr:uid="{00000000-0005-0000-0000-000034350000}"/>
    <cellStyle name="20% - Accent5 3 2 2 3 2 4 2" xfId="37065" xr:uid="{00000000-0005-0000-0000-000035350000}"/>
    <cellStyle name="20% - Accent5 3 2 2 3 2 5" xfId="25764" xr:uid="{00000000-0005-0000-0000-000036350000}"/>
    <cellStyle name="20% - Accent5 3 2 2 3 3" xfId="4760" xr:uid="{00000000-0005-0000-0000-000037350000}"/>
    <cellStyle name="20% - Accent5 3 2 2 3 3 2" xfId="10410" xr:uid="{00000000-0005-0000-0000-000038350000}"/>
    <cellStyle name="20% - Accent5 3 2 2 3 3 2 2" xfId="21711" xr:uid="{00000000-0005-0000-0000-000039350000}"/>
    <cellStyle name="20% - Accent5 3 2 2 3 3 2 2 2" xfId="44313" xr:uid="{00000000-0005-0000-0000-00003A350000}"/>
    <cellStyle name="20% - Accent5 3 2 2 3 3 2 3" xfId="33012" xr:uid="{00000000-0005-0000-0000-00003B350000}"/>
    <cellStyle name="20% - Accent5 3 2 2 3 3 3" xfId="16061" xr:uid="{00000000-0005-0000-0000-00003C350000}"/>
    <cellStyle name="20% - Accent5 3 2 2 3 3 3 2" xfId="38663" xr:uid="{00000000-0005-0000-0000-00003D350000}"/>
    <cellStyle name="20% - Accent5 3 2 2 3 3 4" xfId="27362" xr:uid="{00000000-0005-0000-0000-00003E350000}"/>
    <cellStyle name="20% - Accent5 3 2 2 3 4" xfId="6947" xr:uid="{00000000-0005-0000-0000-00003F350000}"/>
    <cellStyle name="20% - Accent5 3 2 2 3 4 2" xfId="18248" xr:uid="{00000000-0005-0000-0000-000040350000}"/>
    <cellStyle name="20% - Accent5 3 2 2 3 4 2 2" xfId="40850" xr:uid="{00000000-0005-0000-0000-000041350000}"/>
    <cellStyle name="20% - Accent5 3 2 2 3 4 3" xfId="29549" xr:uid="{00000000-0005-0000-0000-000042350000}"/>
    <cellStyle name="20% - Accent5 3 2 2 3 5" xfId="12598" xr:uid="{00000000-0005-0000-0000-000043350000}"/>
    <cellStyle name="20% - Accent5 3 2 2 3 5 2" xfId="35200" xr:uid="{00000000-0005-0000-0000-000044350000}"/>
    <cellStyle name="20% - Accent5 3 2 2 3 6" xfId="23899" xr:uid="{00000000-0005-0000-0000-000045350000}"/>
    <cellStyle name="20% - Accent5 3 2 2 4" xfId="1667" xr:uid="{00000000-0005-0000-0000-000046350000}"/>
    <cellStyle name="20% - Accent5 3 2 2 4 2" xfId="3600" xr:uid="{00000000-0005-0000-0000-000047350000}"/>
    <cellStyle name="20% - Accent5 3 2 2 4 2 2" xfId="9312" xr:uid="{00000000-0005-0000-0000-000048350000}"/>
    <cellStyle name="20% - Accent5 3 2 2 4 2 2 2" xfId="20613" xr:uid="{00000000-0005-0000-0000-000049350000}"/>
    <cellStyle name="20% - Accent5 3 2 2 4 2 2 2 2" xfId="43215" xr:uid="{00000000-0005-0000-0000-00004A350000}"/>
    <cellStyle name="20% - Accent5 3 2 2 4 2 2 3" xfId="31914" xr:uid="{00000000-0005-0000-0000-00004B350000}"/>
    <cellStyle name="20% - Accent5 3 2 2 4 2 3" xfId="14963" xr:uid="{00000000-0005-0000-0000-00004C350000}"/>
    <cellStyle name="20% - Accent5 3 2 2 4 2 3 2" xfId="37565" xr:uid="{00000000-0005-0000-0000-00004D350000}"/>
    <cellStyle name="20% - Accent5 3 2 2 4 2 4" xfId="26264" xr:uid="{00000000-0005-0000-0000-00004E350000}"/>
    <cellStyle name="20% - Accent5 3 2 2 4 3" xfId="5370" xr:uid="{00000000-0005-0000-0000-00004F350000}"/>
    <cellStyle name="20% - Accent5 3 2 2 4 3 2" xfId="11020" xr:uid="{00000000-0005-0000-0000-000050350000}"/>
    <cellStyle name="20% - Accent5 3 2 2 4 3 2 2" xfId="22321" xr:uid="{00000000-0005-0000-0000-000051350000}"/>
    <cellStyle name="20% - Accent5 3 2 2 4 3 2 2 2" xfId="44923" xr:uid="{00000000-0005-0000-0000-000052350000}"/>
    <cellStyle name="20% - Accent5 3 2 2 4 3 2 3" xfId="33622" xr:uid="{00000000-0005-0000-0000-000053350000}"/>
    <cellStyle name="20% - Accent5 3 2 2 4 3 3" xfId="16671" xr:uid="{00000000-0005-0000-0000-000054350000}"/>
    <cellStyle name="20% - Accent5 3 2 2 4 3 3 2" xfId="39273" xr:uid="{00000000-0005-0000-0000-000055350000}"/>
    <cellStyle name="20% - Accent5 3 2 2 4 3 4" xfId="27972" xr:uid="{00000000-0005-0000-0000-000056350000}"/>
    <cellStyle name="20% - Accent5 3 2 2 4 4" xfId="7523" xr:uid="{00000000-0005-0000-0000-000057350000}"/>
    <cellStyle name="20% - Accent5 3 2 2 4 4 2" xfId="18824" xr:uid="{00000000-0005-0000-0000-000058350000}"/>
    <cellStyle name="20% - Accent5 3 2 2 4 4 2 2" xfId="41426" xr:uid="{00000000-0005-0000-0000-000059350000}"/>
    <cellStyle name="20% - Accent5 3 2 2 4 4 3" xfId="30125" xr:uid="{00000000-0005-0000-0000-00005A350000}"/>
    <cellStyle name="20% - Accent5 3 2 2 4 5" xfId="13174" xr:uid="{00000000-0005-0000-0000-00005B350000}"/>
    <cellStyle name="20% - Accent5 3 2 2 4 5 2" xfId="35776" xr:uid="{00000000-0005-0000-0000-00005C350000}"/>
    <cellStyle name="20% - Accent5 3 2 2 4 6" xfId="24475" xr:uid="{00000000-0005-0000-0000-00005D350000}"/>
    <cellStyle name="20% - Accent5 3 2 2 5" xfId="2351" xr:uid="{00000000-0005-0000-0000-00005E350000}"/>
    <cellStyle name="20% - Accent5 3 2 2 5 2" xfId="8187" xr:uid="{00000000-0005-0000-0000-00005F350000}"/>
    <cellStyle name="20% - Accent5 3 2 2 5 2 2" xfId="19488" xr:uid="{00000000-0005-0000-0000-000060350000}"/>
    <cellStyle name="20% - Accent5 3 2 2 5 2 2 2" xfId="42090" xr:uid="{00000000-0005-0000-0000-000061350000}"/>
    <cellStyle name="20% - Accent5 3 2 2 5 2 3" xfId="30789" xr:uid="{00000000-0005-0000-0000-000062350000}"/>
    <cellStyle name="20% - Accent5 3 2 2 5 3" xfId="13838" xr:uid="{00000000-0005-0000-0000-000063350000}"/>
    <cellStyle name="20% - Accent5 3 2 2 5 3 2" xfId="36440" xr:uid="{00000000-0005-0000-0000-000064350000}"/>
    <cellStyle name="20% - Accent5 3 2 2 5 4" xfId="25139" xr:uid="{00000000-0005-0000-0000-000065350000}"/>
    <cellStyle name="20% - Accent5 3 2 2 6" xfId="4136" xr:uid="{00000000-0005-0000-0000-000066350000}"/>
    <cellStyle name="20% - Accent5 3 2 2 6 2" xfId="9786" xr:uid="{00000000-0005-0000-0000-000067350000}"/>
    <cellStyle name="20% - Accent5 3 2 2 6 2 2" xfId="21087" xr:uid="{00000000-0005-0000-0000-000068350000}"/>
    <cellStyle name="20% - Accent5 3 2 2 6 2 2 2" xfId="43689" xr:uid="{00000000-0005-0000-0000-000069350000}"/>
    <cellStyle name="20% - Accent5 3 2 2 6 2 3" xfId="32388" xr:uid="{00000000-0005-0000-0000-00006A350000}"/>
    <cellStyle name="20% - Accent5 3 2 2 6 3" xfId="15437" xr:uid="{00000000-0005-0000-0000-00006B350000}"/>
    <cellStyle name="20% - Accent5 3 2 2 6 3 2" xfId="38039" xr:uid="{00000000-0005-0000-0000-00006C350000}"/>
    <cellStyle name="20% - Accent5 3 2 2 6 4" xfId="26738" xr:uid="{00000000-0005-0000-0000-00006D350000}"/>
    <cellStyle name="20% - Accent5 3 2 2 7" xfId="6616" xr:uid="{00000000-0005-0000-0000-00006E350000}"/>
    <cellStyle name="20% - Accent5 3 2 2 7 2" xfId="17917" xr:uid="{00000000-0005-0000-0000-00006F350000}"/>
    <cellStyle name="20% - Accent5 3 2 2 7 2 2" xfId="40519" xr:uid="{00000000-0005-0000-0000-000070350000}"/>
    <cellStyle name="20% - Accent5 3 2 2 7 3" xfId="29218" xr:uid="{00000000-0005-0000-0000-000071350000}"/>
    <cellStyle name="20% - Accent5 3 2 2 8" xfId="12267" xr:uid="{00000000-0005-0000-0000-000072350000}"/>
    <cellStyle name="20% - Accent5 3 2 2 8 2" xfId="34869" xr:uid="{00000000-0005-0000-0000-000073350000}"/>
    <cellStyle name="20% - Accent5 3 2 2 9" xfId="23568" xr:uid="{00000000-0005-0000-0000-000074350000}"/>
    <cellStyle name="20% - Accent5 3 2 3" xfId="1123" xr:uid="{00000000-0005-0000-0000-000075350000}"/>
    <cellStyle name="20% - Accent5 3 2 3 2" xfId="1669" xr:uid="{00000000-0005-0000-0000-000076350000}"/>
    <cellStyle name="20% - Accent5 3 2 3 2 2" xfId="3191" xr:uid="{00000000-0005-0000-0000-000077350000}"/>
    <cellStyle name="20% - Accent5 3 2 3 2 2 2" xfId="6163" xr:uid="{00000000-0005-0000-0000-000078350000}"/>
    <cellStyle name="20% - Accent5 3 2 3 2 2 2 2" xfId="11813" xr:uid="{00000000-0005-0000-0000-000079350000}"/>
    <cellStyle name="20% - Accent5 3 2 3 2 2 2 2 2" xfId="23114" xr:uid="{00000000-0005-0000-0000-00007A350000}"/>
    <cellStyle name="20% - Accent5 3 2 3 2 2 2 2 2 2" xfId="45716" xr:uid="{00000000-0005-0000-0000-00007B350000}"/>
    <cellStyle name="20% - Accent5 3 2 3 2 2 2 2 3" xfId="34415" xr:uid="{00000000-0005-0000-0000-00007C350000}"/>
    <cellStyle name="20% - Accent5 3 2 3 2 2 2 3" xfId="17464" xr:uid="{00000000-0005-0000-0000-00007D350000}"/>
    <cellStyle name="20% - Accent5 3 2 3 2 2 2 3 2" xfId="40066" xr:uid="{00000000-0005-0000-0000-00007E350000}"/>
    <cellStyle name="20% - Accent5 3 2 3 2 2 2 4" xfId="28765" xr:uid="{00000000-0005-0000-0000-00007F350000}"/>
    <cellStyle name="20% - Accent5 3 2 3 2 2 3" xfId="8981" xr:uid="{00000000-0005-0000-0000-000080350000}"/>
    <cellStyle name="20% - Accent5 3 2 3 2 2 3 2" xfId="20282" xr:uid="{00000000-0005-0000-0000-000081350000}"/>
    <cellStyle name="20% - Accent5 3 2 3 2 2 3 2 2" xfId="42884" xr:uid="{00000000-0005-0000-0000-000082350000}"/>
    <cellStyle name="20% - Accent5 3 2 3 2 2 3 3" xfId="31583" xr:uid="{00000000-0005-0000-0000-000083350000}"/>
    <cellStyle name="20% - Accent5 3 2 3 2 2 4" xfId="14632" xr:uid="{00000000-0005-0000-0000-000084350000}"/>
    <cellStyle name="20% - Accent5 3 2 3 2 2 4 2" xfId="37234" xr:uid="{00000000-0005-0000-0000-000085350000}"/>
    <cellStyle name="20% - Accent5 3 2 3 2 2 5" xfId="25933" xr:uid="{00000000-0005-0000-0000-000086350000}"/>
    <cellStyle name="20% - Accent5 3 2 3 2 3" xfId="4929" xr:uid="{00000000-0005-0000-0000-000087350000}"/>
    <cellStyle name="20% - Accent5 3 2 3 2 3 2" xfId="10579" xr:uid="{00000000-0005-0000-0000-000088350000}"/>
    <cellStyle name="20% - Accent5 3 2 3 2 3 2 2" xfId="21880" xr:uid="{00000000-0005-0000-0000-000089350000}"/>
    <cellStyle name="20% - Accent5 3 2 3 2 3 2 2 2" xfId="44482" xr:uid="{00000000-0005-0000-0000-00008A350000}"/>
    <cellStyle name="20% - Accent5 3 2 3 2 3 2 3" xfId="33181" xr:uid="{00000000-0005-0000-0000-00008B350000}"/>
    <cellStyle name="20% - Accent5 3 2 3 2 3 3" xfId="16230" xr:uid="{00000000-0005-0000-0000-00008C350000}"/>
    <cellStyle name="20% - Accent5 3 2 3 2 3 3 2" xfId="38832" xr:uid="{00000000-0005-0000-0000-00008D350000}"/>
    <cellStyle name="20% - Accent5 3 2 3 2 3 4" xfId="27531" xr:uid="{00000000-0005-0000-0000-00008E350000}"/>
    <cellStyle name="20% - Accent5 3 2 3 2 4" xfId="7525" xr:uid="{00000000-0005-0000-0000-00008F350000}"/>
    <cellStyle name="20% - Accent5 3 2 3 2 4 2" xfId="18826" xr:uid="{00000000-0005-0000-0000-000090350000}"/>
    <cellStyle name="20% - Accent5 3 2 3 2 4 2 2" xfId="41428" xr:uid="{00000000-0005-0000-0000-000091350000}"/>
    <cellStyle name="20% - Accent5 3 2 3 2 4 3" xfId="30127" xr:uid="{00000000-0005-0000-0000-000092350000}"/>
    <cellStyle name="20% - Accent5 3 2 3 2 5" xfId="13176" xr:uid="{00000000-0005-0000-0000-000093350000}"/>
    <cellStyle name="20% - Accent5 3 2 3 2 5 2" xfId="35778" xr:uid="{00000000-0005-0000-0000-000094350000}"/>
    <cellStyle name="20% - Accent5 3 2 3 2 6" xfId="24477" xr:uid="{00000000-0005-0000-0000-000095350000}"/>
    <cellStyle name="20% - Accent5 3 2 3 3" xfId="2520" xr:uid="{00000000-0005-0000-0000-000096350000}"/>
    <cellStyle name="20% - Accent5 3 2 3 3 2" xfId="5539" xr:uid="{00000000-0005-0000-0000-000097350000}"/>
    <cellStyle name="20% - Accent5 3 2 3 3 2 2" xfId="11189" xr:uid="{00000000-0005-0000-0000-000098350000}"/>
    <cellStyle name="20% - Accent5 3 2 3 3 2 2 2" xfId="22490" xr:uid="{00000000-0005-0000-0000-000099350000}"/>
    <cellStyle name="20% - Accent5 3 2 3 3 2 2 2 2" xfId="45092" xr:uid="{00000000-0005-0000-0000-00009A350000}"/>
    <cellStyle name="20% - Accent5 3 2 3 3 2 2 3" xfId="33791" xr:uid="{00000000-0005-0000-0000-00009B350000}"/>
    <cellStyle name="20% - Accent5 3 2 3 3 2 3" xfId="16840" xr:uid="{00000000-0005-0000-0000-00009C350000}"/>
    <cellStyle name="20% - Accent5 3 2 3 3 2 3 2" xfId="39442" xr:uid="{00000000-0005-0000-0000-00009D350000}"/>
    <cellStyle name="20% - Accent5 3 2 3 3 2 4" xfId="28141" xr:uid="{00000000-0005-0000-0000-00009E350000}"/>
    <cellStyle name="20% - Accent5 3 2 3 3 3" xfId="8356" xr:uid="{00000000-0005-0000-0000-00009F350000}"/>
    <cellStyle name="20% - Accent5 3 2 3 3 3 2" xfId="19657" xr:uid="{00000000-0005-0000-0000-0000A0350000}"/>
    <cellStyle name="20% - Accent5 3 2 3 3 3 2 2" xfId="42259" xr:uid="{00000000-0005-0000-0000-0000A1350000}"/>
    <cellStyle name="20% - Accent5 3 2 3 3 3 3" xfId="30958" xr:uid="{00000000-0005-0000-0000-0000A2350000}"/>
    <cellStyle name="20% - Accent5 3 2 3 3 4" xfId="14007" xr:uid="{00000000-0005-0000-0000-0000A3350000}"/>
    <cellStyle name="20% - Accent5 3 2 3 3 4 2" xfId="36609" xr:uid="{00000000-0005-0000-0000-0000A4350000}"/>
    <cellStyle name="20% - Accent5 3 2 3 3 5" xfId="25308" xr:uid="{00000000-0005-0000-0000-0000A5350000}"/>
    <cellStyle name="20% - Accent5 3 2 3 4" xfId="4305" xr:uid="{00000000-0005-0000-0000-0000A6350000}"/>
    <cellStyle name="20% - Accent5 3 2 3 4 2" xfId="9955" xr:uid="{00000000-0005-0000-0000-0000A7350000}"/>
    <cellStyle name="20% - Accent5 3 2 3 4 2 2" xfId="21256" xr:uid="{00000000-0005-0000-0000-0000A8350000}"/>
    <cellStyle name="20% - Accent5 3 2 3 4 2 2 2" xfId="43858" xr:uid="{00000000-0005-0000-0000-0000A9350000}"/>
    <cellStyle name="20% - Accent5 3 2 3 4 2 3" xfId="32557" xr:uid="{00000000-0005-0000-0000-0000AA350000}"/>
    <cellStyle name="20% - Accent5 3 2 3 4 3" xfId="15606" xr:uid="{00000000-0005-0000-0000-0000AB350000}"/>
    <cellStyle name="20% - Accent5 3 2 3 4 3 2" xfId="38208" xr:uid="{00000000-0005-0000-0000-0000AC350000}"/>
    <cellStyle name="20% - Accent5 3 2 3 4 4" xfId="26907" xr:uid="{00000000-0005-0000-0000-0000AD350000}"/>
    <cellStyle name="20% - Accent5 3 2 3 5" xfId="7102" xr:uid="{00000000-0005-0000-0000-0000AE350000}"/>
    <cellStyle name="20% - Accent5 3 2 3 5 2" xfId="18403" xr:uid="{00000000-0005-0000-0000-0000AF350000}"/>
    <cellStyle name="20% - Accent5 3 2 3 5 2 2" xfId="41005" xr:uid="{00000000-0005-0000-0000-0000B0350000}"/>
    <cellStyle name="20% - Accent5 3 2 3 5 3" xfId="29704" xr:uid="{00000000-0005-0000-0000-0000B1350000}"/>
    <cellStyle name="20% - Accent5 3 2 3 6" xfId="12753" xr:uid="{00000000-0005-0000-0000-0000B2350000}"/>
    <cellStyle name="20% - Accent5 3 2 3 6 2" xfId="35355" xr:uid="{00000000-0005-0000-0000-0000B3350000}"/>
    <cellStyle name="20% - Accent5 3 2 3 7" xfId="24054" xr:uid="{00000000-0005-0000-0000-0000B4350000}"/>
    <cellStyle name="20% - Accent5 3 2 4" xfId="812" xr:uid="{00000000-0005-0000-0000-0000B5350000}"/>
    <cellStyle name="20% - Accent5 3 2 4 2" xfId="2884" xr:uid="{00000000-0005-0000-0000-0000B6350000}"/>
    <cellStyle name="20% - Accent5 3 2 4 2 2" xfId="5856" xr:uid="{00000000-0005-0000-0000-0000B7350000}"/>
    <cellStyle name="20% - Accent5 3 2 4 2 2 2" xfId="11506" xr:uid="{00000000-0005-0000-0000-0000B8350000}"/>
    <cellStyle name="20% - Accent5 3 2 4 2 2 2 2" xfId="22807" xr:uid="{00000000-0005-0000-0000-0000B9350000}"/>
    <cellStyle name="20% - Accent5 3 2 4 2 2 2 2 2" xfId="45409" xr:uid="{00000000-0005-0000-0000-0000BA350000}"/>
    <cellStyle name="20% - Accent5 3 2 4 2 2 2 3" xfId="34108" xr:uid="{00000000-0005-0000-0000-0000BB350000}"/>
    <cellStyle name="20% - Accent5 3 2 4 2 2 3" xfId="17157" xr:uid="{00000000-0005-0000-0000-0000BC350000}"/>
    <cellStyle name="20% - Accent5 3 2 4 2 2 3 2" xfId="39759" xr:uid="{00000000-0005-0000-0000-0000BD350000}"/>
    <cellStyle name="20% - Accent5 3 2 4 2 2 4" xfId="28458" xr:uid="{00000000-0005-0000-0000-0000BE350000}"/>
    <cellStyle name="20% - Accent5 3 2 4 2 3" xfId="8674" xr:uid="{00000000-0005-0000-0000-0000BF350000}"/>
    <cellStyle name="20% - Accent5 3 2 4 2 3 2" xfId="19975" xr:uid="{00000000-0005-0000-0000-0000C0350000}"/>
    <cellStyle name="20% - Accent5 3 2 4 2 3 2 2" xfId="42577" xr:uid="{00000000-0005-0000-0000-0000C1350000}"/>
    <cellStyle name="20% - Accent5 3 2 4 2 3 3" xfId="31276" xr:uid="{00000000-0005-0000-0000-0000C2350000}"/>
    <cellStyle name="20% - Accent5 3 2 4 2 4" xfId="14325" xr:uid="{00000000-0005-0000-0000-0000C3350000}"/>
    <cellStyle name="20% - Accent5 3 2 4 2 4 2" xfId="36927" xr:uid="{00000000-0005-0000-0000-0000C4350000}"/>
    <cellStyle name="20% - Accent5 3 2 4 2 5" xfId="25626" xr:uid="{00000000-0005-0000-0000-0000C5350000}"/>
    <cellStyle name="20% - Accent5 3 2 4 3" xfId="4622" xr:uid="{00000000-0005-0000-0000-0000C6350000}"/>
    <cellStyle name="20% - Accent5 3 2 4 3 2" xfId="10272" xr:uid="{00000000-0005-0000-0000-0000C7350000}"/>
    <cellStyle name="20% - Accent5 3 2 4 3 2 2" xfId="21573" xr:uid="{00000000-0005-0000-0000-0000C8350000}"/>
    <cellStyle name="20% - Accent5 3 2 4 3 2 2 2" xfId="44175" xr:uid="{00000000-0005-0000-0000-0000C9350000}"/>
    <cellStyle name="20% - Accent5 3 2 4 3 2 3" xfId="32874" xr:uid="{00000000-0005-0000-0000-0000CA350000}"/>
    <cellStyle name="20% - Accent5 3 2 4 3 3" xfId="15923" xr:uid="{00000000-0005-0000-0000-0000CB350000}"/>
    <cellStyle name="20% - Accent5 3 2 4 3 3 2" xfId="38525" xr:uid="{00000000-0005-0000-0000-0000CC350000}"/>
    <cellStyle name="20% - Accent5 3 2 4 3 4" xfId="27224" xr:uid="{00000000-0005-0000-0000-0000CD350000}"/>
    <cellStyle name="20% - Accent5 3 2 4 4" xfId="6809" xr:uid="{00000000-0005-0000-0000-0000CE350000}"/>
    <cellStyle name="20% - Accent5 3 2 4 4 2" xfId="18110" xr:uid="{00000000-0005-0000-0000-0000CF350000}"/>
    <cellStyle name="20% - Accent5 3 2 4 4 2 2" xfId="40712" xr:uid="{00000000-0005-0000-0000-0000D0350000}"/>
    <cellStyle name="20% - Accent5 3 2 4 4 3" xfId="29411" xr:uid="{00000000-0005-0000-0000-0000D1350000}"/>
    <cellStyle name="20% - Accent5 3 2 4 5" xfId="12460" xr:uid="{00000000-0005-0000-0000-0000D2350000}"/>
    <cellStyle name="20% - Accent5 3 2 4 5 2" xfId="35062" xr:uid="{00000000-0005-0000-0000-0000D3350000}"/>
    <cellStyle name="20% - Accent5 3 2 4 6" xfId="23761" xr:uid="{00000000-0005-0000-0000-0000D4350000}"/>
    <cellStyle name="20% - Accent5 3 2 5" xfId="1666" xr:uid="{00000000-0005-0000-0000-0000D5350000}"/>
    <cellStyle name="20% - Accent5 3 2 5 2" xfId="3599" xr:uid="{00000000-0005-0000-0000-0000D6350000}"/>
    <cellStyle name="20% - Accent5 3 2 5 2 2" xfId="9311" xr:uid="{00000000-0005-0000-0000-0000D7350000}"/>
    <cellStyle name="20% - Accent5 3 2 5 2 2 2" xfId="20612" xr:uid="{00000000-0005-0000-0000-0000D8350000}"/>
    <cellStyle name="20% - Accent5 3 2 5 2 2 2 2" xfId="43214" xr:uid="{00000000-0005-0000-0000-0000D9350000}"/>
    <cellStyle name="20% - Accent5 3 2 5 2 2 3" xfId="31913" xr:uid="{00000000-0005-0000-0000-0000DA350000}"/>
    <cellStyle name="20% - Accent5 3 2 5 2 3" xfId="14962" xr:uid="{00000000-0005-0000-0000-0000DB350000}"/>
    <cellStyle name="20% - Accent5 3 2 5 2 3 2" xfId="37564" xr:uid="{00000000-0005-0000-0000-0000DC350000}"/>
    <cellStyle name="20% - Accent5 3 2 5 2 4" xfId="26263" xr:uid="{00000000-0005-0000-0000-0000DD350000}"/>
    <cellStyle name="20% - Accent5 3 2 5 3" xfId="5232" xr:uid="{00000000-0005-0000-0000-0000DE350000}"/>
    <cellStyle name="20% - Accent5 3 2 5 3 2" xfId="10882" xr:uid="{00000000-0005-0000-0000-0000DF350000}"/>
    <cellStyle name="20% - Accent5 3 2 5 3 2 2" xfId="22183" xr:uid="{00000000-0005-0000-0000-0000E0350000}"/>
    <cellStyle name="20% - Accent5 3 2 5 3 2 2 2" xfId="44785" xr:uid="{00000000-0005-0000-0000-0000E1350000}"/>
    <cellStyle name="20% - Accent5 3 2 5 3 2 3" xfId="33484" xr:uid="{00000000-0005-0000-0000-0000E2350000}"/>
    <cellStyle name="20% - Accent5 3 2 5 3 3" xfId="16533" xr:uid="{00000000-0005-0000-0000-0000E3350000}"/>
    <cellStyle name="20% - Accent5 3 2 5 3 3 2" xfId="39135" xr:uid="{00000000-0005-0000-0000-0000E4350000}"/>
    <cellStyle name="20% - Accent5 3 2 5 3 4" xfId="27834" xr:uid="{00000000-0005-0000-0000-0000E5350000}"/>
    <cellStyle name="20% - Accent5 3 2 5 4" xfId="7522" xr:uid="{00000000-0005-0000-0000-0000E6350000}"/>
    <cellStyle name="20% - Accent5 3 2 5 4 2" xfId="18823" xr:uid="{00000000-0005-0000-0000-0000E7350000}"/>
    <cellStyle name="20% - Accent5 3 2 5 4 2 2" xfId="41425" xr:uid="{00000000-0005-0000-0000-0000E8350000}"/>
    <cellStyle name="20% - Accent5 3 2 5 4 3" xfId="30124" xr:uid="{00000000-0005-0000-0000-0000E9350000}"/>
    <cellStyle name="20% - Accent5 3 2 5 5" xfId="13173" xr:uid="{00000000-0005-0000-0000-0000EA350000}"/>
    <cellStyle name="20% - Accent5 3 2 5 5 2" xfId="35775" xr:uid="{00000000-0005-0000-0000-0000EB350000}"/>
    <cellStyle name="20% - Accent5 3 2 5 6" xfId="24474" xr:uid="{00000000-0005-0000-0000-0000EC350000}"/>
    <cellStyle name="20% - Accent5 3 2 6" xfId="2210" xr:uid="{00000000-0005-0000-0000-0000ED350000}"/>
    <cellStyle name="20% - Accent5 3 2 6 2" xfId="8046" xr:uid="{00000000-0005-0000-0000-0000EE350000}"/>
    <cellStyle name="20% - Accent5 3 2 6 2 2" xfId="19347" xr:uid="{00000000-0005-0000-0000-0000EF350000}"/>
    <cellStyle name="20% - Accent5 3 2 6 2 2 2" xfId="41949" xr:uid="{00000000-0005-0000-0000-0000F0350000}"/>
    <cellStyle name="20% - Accent5 3 2 6 2 3" xfId="30648" xr:uid="{00000000-0005-0000-0000-0000F1350000}"/>
    <cellStyle name="20% - Accent5 3 2 6 3" xfId="13697" xr:uid="{00000000-0005-0000-0000-0000F2350000}"/>
    <cellStyle name="20% - Accent5 3 2 6 3 2" xfId="36299" xr:uid="{00000000-0005-0000-0000-0000F3350000}"/>
    <cellStyle name="20% - Accent5 3 2 6 4" xfId="24998" xr:uid="{00000000-0005-0000-0000-0000F4350000}"/>
    <cellStyle name="20% - Accent5 3 2 7" xfId="3998" xr:uid="{00000000-0005-0000-0000-0000F5350000}"/>
    <cellStyle name="20% - Accent5 3 2 7 2" xfId="9648" xr:uid="{00000000-0005-0000-0000-0000F6350000}"/>
    <cellStyle name="20% - Accent5 3 2 7 2 2" xfId="20949" xr:uid="{00000000-0005-0000-0000-0000F7350000}"/>
    <cellStyle name="20% - Accent5 3 2 7 2 2 2" xfId="43551" xr:uid="{00000000-0005-0000-0000-0000F8350000}"/>
    <cellStyle name="20% - Accent5 3 2 7 2 3" xfId="32250" xr:uid="{00000000-0005-0000-0000-0000F9350000}"/>
    <cellStyle name="20% - Accent5 3 2 7 3" xfId="15299" xr:uid="{00000000-0005-0000-0000-0000FA350000}"/>
    <cellStyle name="20% - Accent5 3 2 7 3 2" xfId="37901" xr:uid="{00000000-0005-0000-0000-0000FB350000}"/>
    <cellStyle name="20% - Accent5 3 2 7 4" xfId="26600" xr:uid="{00000000-0005-0000-0000-0000FC350000}"/>
    <cellStyle name="20% - Accent5 3 2 8" xfId="6449" xr:uid="{00000000-0005-0000-0000-0000FD350000}"/>
    <cellStyle name="20% - Accent5 3 2 8 2" xfId="17750" xr:uid="{00000000-0005-0000-0000-0000FE350000}"/>
    <cellStyle name="20% - Accent5 3 2 8 2 2" xfId="40352" xr:uid="{00000000-0005-0000-0000-0000FF350000}"/>
    <cellStyle name="20% - Accent5 3 2 8 3" xfId="29051" xr:uid="{00000000-0005-0000-0000-000000360000}"/>
    <cellStyle name="20% - Accent5 3 2 9" xfId="12100" xr:uid="{00000000-0005-0000-0000-000001360000}"/>
    <cellStyle name="20% - Accent5 3 2 9 2" xfId="34702" xr:uid="{00000000-0005-0000-0000-000002360000}"/>
    <cellStyle name="20% - Accent5 3 3" xfId="355" xr:uid="{00000000-0005-0000-0000-000003360000}"/>
    <cellStyle name="20% - Accent5 3 3 10" xfId="23450" xr:uid="{00000000-0005-0000-0000-000004360000}"/>
    <cellStyle name="20% - Accent5 3 3 2" xfId="600" xr:uid="{00000000-0005-0000-0000-000005360000}"/>
    <cellStyle name="20% - Accent5 3 3 2 2" xfId="1310" xr:uid="{00000000-0005-0000-0000-000006360000}"/>
    <cellStyle name="20% - Accent5 3 3 2 2 2" xfId="1672" xr:uid="{00000000-0005-0000-0000-000007360000}"/>
    <cellStyle name="20% - Accent5 3 3 2 2 2 2" xfId="3379" xr:uid="{00000000-0005-0000-0000-000008360000}"/>
    <cellStyle name="20% - Accent5 3 3 2 2 2 2 2" xfId="6351" xr:uid="{00000000-0005-0000-0000-000009360000}"/>
    <cellStyle name="20% - Accent5 3 3 2 2 2 2 2 2" xfId="12001" xr:uid="{00000000-0005-0000-0000-00000A360000}"/>
    <cellStyle name="20% - Accent5 3 3 2 2 2 2 2 2 2" xfId="23302" xr:uid="{00000000-0005-0000-0000-00000B360000}"/>
    <cellStyle name="20% - Accent5 3 3 2 2 2 2 2 2 2 2" xfId="45904" xr:uid="{00000000-0005-0000-0000-00000C360000}"/>
    <cellStyle name="20% - Accent5 3 3 2 2 2 2 2 2 3" xfId="34603" xr:uid="{00000000-0005-0000-0000-00000D360000}"/>
    <cellStyle name="20% - Accent5 3 3 2 2 2 2 2 3" xfId="17652" xr:uid="{00000000-0005-0000-0000-00000E360000}"/>
    <cellStyle name="20% - Accent5 3 3 2 2 2 2 2 3 2" xfId="40254" xr:uid="{00000000-0005-0000-0000-00000F360000}"/>
    <cellStyle name="20% - Accent5 3 3 2 2 2 2 2 4" xfId="28953" xr:uid="{00000000-0005-0000-0000-000010360000}"/>
    <cellStyle name="20% - Accent5 3 3 2 2 2 2 3" xfId="9169" xr:uid="{00000000-0005-0000-0000-000011360000}"/>
    <cellStyle name="20% - Accent5 3 3 2 2 2 2 3 2" xfId="20470" xr:uid="{00000000-0005-0000-0000-000012360000}"/>
    <cellStyle name="20% - Accent5 3 3 2 2 2 2 3 2 2" xfId="43072" xr:uid="{00000000-0005-0000-0000-000013360000}"/>
    <cellStyle name="20% - Accent5 3 3 2 2 2 2 3 3" xfId="31771" xr:uid="{00000000-0005-0000-0000-000014360000}"/>
    <cellStyle name="20% - Accent5 3 3 2 2 2 2 4" xfId="14820" xr:uid="{00000000-0005-0000-0000-000015360000}"/>
    <cellStyle name="20% - Accent5 3 3 2 2 2 2 4 2" xfId="37422" xr:uid="{00000000-0005-0000-0000-000016360000}"/>
    <cellStyle name="20% - Accent5 3 3 2 2 2 2 5" xfId="26121" xr:uid="{00000000-0005-0000-0000-000017360000}"/>
    <cellStyle name="20% - Accent5 3 3 2 2 2 3" xfId="5117" xr:uid="{00000000-0005-0000-0000-000018360000}"/>
    <cellStyle name="20% - Accent5 3 3 2 2 2 3 2" xfId="10767" xr:uid="{00000000-0005-0000-0000-000019360000}"/>
    <cellStyle name="20% - Accent5 3 3 2 2 2 3 2 2" xfId="22068" xr:uid="{00000000-0005-0000-0000-00001A360000}"/>
    <cellStyle name="20% - Accent5 3 3 2 2 2 3 2 2 2" xfId="44670" xr:uid="{00000000-0005-0000-0000-00001B360000}"/>
    <cellStyle name="20% - Accent5 3 3 2 2 2 3 2 3" xfId="33369" xr:uid="{00000000-0005-0000-0000-00001C360000}"/>
    <cellStyle name="20% - Accent5 3 3 2 2 2 3 3" xfId="16418" xr:uid="{00000000-0005-0000-0000-00001D360000}"/>
    <cellStyle name="20% - Accent5 3 3 2 2 2 3 3 2" xfId="39020" xr:uid="{00000000-0005-0000-0000-00001E360000}"/>
    <cellStyle name="20% - Accent5 3 3 2 2 2 3 4" xfId="27719" xr:uid="{00000000-0005-0000-0000-00001F360000}"/>
    <cellStyle name="20% - Accent5 3 3 2 2 2 4" xfId="7528" xr:uid="{00000000-0005-0000-0000-000020360000}"/>
    <cellStyle name="20% - Accent5 3 3 2 2 2 4 2" xfId="18829" xr:uid="{00000000-0005-0000-0000-000021360000}"/>
    <cellStyle name="20% - Accent5 3 3 2 2 2 4 2 2" xfId="41431" xr:uid="{00000000-0005-0000-0000-000022360000}"/>
    <cellStyle name="20% - Accent5 3 3 2 2 2 4 3" xfId="30130" xr:uid="{00000000-0005-0000-0000-000023360000}"/>
    <cellStyle name="20% - Accent5 3 3 2 2 2 5" xfId="13179" xr:uid="{00000000-0005-0000-0000-000024360000}"/>
    <cellStyle name="20% - Accent5 3 3 2 2 2 5 2" xfId="35781" xr:uid="{00000000-0005-0000-0000-000025360000}"/>
    <cellStyle name="20% - Accent5 3 3 2 2 2 6" xfId="24480" xr:uid="{00000000-0005-0000-0000-000026360000}"/>
    <cellStyle name="20% - Accent5 3 3 2 2 3" xfId="2708" xr:uid="{00000000-0005-0000-0000-000027360000}"/>
    <cellStyle name="20% - Accent5 3 3 2 2 3 2" xfId="5727" xr:uid="{00000000-0005-0000-0000-000028360000}"/>
    <cellStyle name="20% - Accent5 3 3 2 2 3 2 2" xfId="11377" xr:uid="{00000000-0005-0000-0000-000029360000}"/>
    <cellStyle name="20% - Accent5 3 3 2 2 3 2 2 2" xfId="22678" xr:uid="{00000000-0005-0000-0000-00002A360000}"/>
    <cellStyle name="20% - Accent5 3 3 2 2 3 2 2 2 2" xfId="45280" xr:uid="{00000000-0005-0000-0000-00002B360000}"/>
    <cellStyle name="20% - Accent5 3 3 2 2 3 2 2 3" xfId="33979" xr:uid="{00000000-0005-0000-0000-00002C360000}"/>
    <cellStyle name="20% - Accent5 3 3 2 2 3 2 3" xfId="17028" xr:uid="{00000000-0005-0000-0000-00002D360000}"/>
    <cellStyle name="20% - Accent5 3 3 2 2 3 2 3 2" xfId="39630" xr:uid="{00000000-0005-0000-0000-00002E360000}"/>
    <cellStyle name="20% - Accent5 3 3 2 2 3 2 4" xfId="28329" xr:uid="{00000000-0005-0000-0000-00002F360000}"/>
    <cellStyle name="20% - Accent5 3 3 2 2 3 3" xfId="8544" xr:uid="{00000000-0005-0000-0000-000030360000}"/>
    <cellStyle name="20% - Accent5 3 3 2 2 3 3 2" xfId="19845" xr:uid="{00000000-0005-0000-0000-000031360000}"/>
    <cellStyle name="20% - Accent5 3 3 2 2 3 3 2 2" xfId="42447" xr:uid="{00000000-0005-0000-0000-000032360000}"/>
    <cellStyle name="20% - Accent5 3 3 2 2 3 3 3" xfId="31146" xr:uid="{00000000-0005-0000-0000-000033360000}"/>
    <cellStyle name="20% - Accent5 3 3 2 2 3 4" xfId="14195" xr:uid="{00000000-0005-0000-0000-000034360000}"/>
    <cellStyle name="20% - Accent5 3 3 2 2 3 4 2" xfId="36797" xr:uid="{00000000-0005-0000-0000-000035360000}"/>
    <cellStyle name="20% - Accent5 3 3 2 2 3 5" xfId="25496" xr:uid="{00000000-0005-0000-0000-000036360000}"/>
    <cellStyle name="20% - Accent5 3 3 2 2 4" xfId="4493" xr:uid="{00000000-0005-0000-0000-000037360000}"/>
    <cellStyle name="20% - Accent5 3 3 2 2 4 2" xfId="10143" xr:uid="{00000000-0005-0000-0000-000038360000}"/>
    <cellStyle name="20% - Accent5 3 3 2 2 4 2 2" xfId="21444" xr:uid="{00000000-0005-0000-0000-000039360000}"/>
    <cellStyle name="20% - Accent5 3 3 2 2 4 2 2 2" xfId="44046" xr:uid="{00000000-0005-0000-0000-00003A360000}"/>
    <cellStyle name="20% - Accent5 3 3 2 2 4 2 3" xfId="32745" xr:uid="{00000000-0005-0000-0000-00003B360000}"/>
    <cellStyle name="20% - Accent5 3 3 2 2 4 3" xfId="15794" xr:uid="{00000000-0005-0000-0000-00003C360000}"/>
    <cellStyle name="20% - Accent5 3 3 2 2 4 3 2" xfId="38396" xr:uid="{00000000-0005-0000-0000-00003D360000}"/>
    <cellStyle name="20% - Accent5 3 3 2 2 4 4" xfId="27095" xr:uid="{00000000-0005-0000-0000-00003E360000}"/>
    <cellStyle name="20% - Accent5 3 3 2 2 5" xfId="7289" xr:uid="{00000000-0005-0000-0000-00003F360000}"/>
    <cellStyle name="20% - Accent5 3 3 2 2 5 2" xfId="18590" xr:uid="{00000000-0005-0000-0000-000040360000}"/>
    <cellStyle name="20% - Accent5 3 3 2 2 5 2 2" xfId="41192" xr:uid="{00000000-0005-0000-0000-000041360000}"/>
    <cellStyle name="20% - Accent5 3 3 2 2 5 3" xfId="29891" xr:uid="{00000000-0005-0000-0000-000042360000}"/>
    <cellStyle name="20% - Accent5 3 3 2 2 6" xfId="12940" xr:uid="{00000000-0005-0000-0000-000043360000}"/>
    <cellStyle name="20% - Accent5 3 3 2 2 6 2" xfId="35542" xr:uid="{00000000-0005-0000-0000-000044360000}"/>
    <cellStyle name="20% - Accent5 3 3 2 2 7" xfId="24241" xr:uid="{00000000-0005-0000-0000-000045360000}"/>
    <cellStyle name="20% - Accent5 3 3 2 3" xfId="1008" xr:uid="{00000000-0005-0000-0000-000046360000}"/>
    <cellStyle name="20% - Accent5 3 3 2 3 2" xfId="3071" xr:uid="{00000000-0005-0000-0000-000047360000}"/>
    <cellStyle name="20% - Accent5 3 3 2 3 2 2" xfId="6043" xr:uid="{00000000-0005-0000-0000-000048360000}"/>
    <cellStyle name="20% - Accent5 3 3 2 3 2 2 2" xfId="11693" xr:uid="{00000000-0005-0000-0000-000049360000}"/>
    <cellStyle name="20% - Accent5 3 3 2 3 2 2 2 2" xfId="22994" xr:uid="{00000000-0005-0000-0000-00004A360000}"/>
    <cellStyle name="20% - Accent5 3 3 2 3 2 2 2 2 2" xfId="45596" xr:uid="{00000000-0005-0000-0000-00004B360000}"/>
    <cellStyle name="20% - Accent5 3 3 2 3 2 2 2 3" xfId="34295" xr:uid="{00000000-0005-0000-0000-00004C360000}"/>
    <cellStyle name="20% - Accent5 3 3 2 3 2 2 3" xfId="17344" xr:uid="{00000000-0005-0000-0000-00004D360000}"/>
    <cellStyle name="20% - Accent5 3 3 2 3 2 2 3 2" xfId="39946" xr:uid="{00000000-0005-0000-0000-00004E360000}"/>
    <cellStyle name="20% - Accent5 3 3 2 3 2 2 4" xfId="28645" xr:uid="{00000000-0005-0000-0000-00004F360000}"/>
    <cellStyle name="20% - Accent5 3 3 2 3 2 3" xfId="8861" xr:uid="{00000000-0005-0000-0000-000050360000}"/>
    <cellStyle name="20% - Accent5 3 3 2 3 2 3 2" xfId="20162" xr:uid="{00000000-0005-0000-0000-000051360000}"/>
    <cellStyle name="20% - Accent5 3 3 2 3 2 3 2 2" xfId="42764" xr:uid="{00000000-0005-0000-0000-000052360000}"/>
    <cellStyle name="20% - Accent5 3 3 2 3 2 3 3" xfId="31463" xr:uid="{00000000-0005-0000-0000-000053360000}"/>
    <cellStyle name="20% - Accent5 3 3 2 3 2 4" xfId="14512" xr:uid="{00000000-0005-0000-0000-000054360000}"/>
    <cellStyle name="20% - Accent5 3 3 2 3 2 4 2" xfId="37114" xr:uid="{00000000-0005-0000-0000-000055360000}"/>
    <cellStyle name="20% - Accent5 3 3 2 3 2 5" xfId="25813" xr:uid="{00000000-0005-0000-0000-000056360000}"/>
    <cellStyle name="20% - Accent5 3 3 2 3 3" xfId="4809" xr:uid="{00000000-0005-0000-0000-000057360000}"/>
    <cellStyle name="20% - Accent5 3 3 2 3 3 2" xfId="10459" xr:uid="{00000000-0005-0000-0000-000058360000}"/>
    <cellStyle name="20% - Accent5 3 3 2 3 3 2 2" xfId="21760" xr:uid="{00000000-0005-0000-0000-000059360000}"/>
    <cellStyle name="20% - Accent5 3 3 2 3 3 2 2 2" xfId="44362" xr:uid="{00000000-0005-0000-0000-00005A360000}"/>
    <cellStyle name="20% - Accent5 3 3 2 3 3 2 3" xfId="33061" xr:uid="{00000000-0005-0000-0000-00005B360000}"/>
    <cellStyle name="20% - Accent5 3 3 2 3 3 3" xfId="16110" xr:uid="{00000000-0005-0000-0000-00005C360000}"/>
    <cellStyle name="20% - Accent5 3 3 2 3 3 3 2" xfId="38712" xr:uid="{00000000-0005-0000-0000-00005D360000}"/>
    <cellStyle name="20% - Accent5 3 3 2 3 3 4" xfId="27411" xr:uid="{00000000-0005-0000-0000-00005E360000}"/>
    <cellStyle name="20% - Accent5 3 3 2 3 4" xfId="6996" xr:uid="{00000000-0005-0000-0000-00005F360000}"/>
    <cellStyle name="20% - Accent5 3 3 2 3 4 2" xfId="18297" xr:uid="{00000000-0005-0000-0000-000060360000}"/>
    <cellStyle name="20% - Accent5 3 3 2 3 4 2 2" xfId="40899" xr:uid="{00000000-0005-0000-0000-000061360000}"/>
    <cellStyle name="20% - Accent5 3 3 2 3 4 3" xfId="29598" xr:uid="{00000000-0005-0000-0000-000062360000}"/>
    <cellStyle name="20% - Accent5 3 3 2 3 5" xfId="12647" xr:uid="{00000000-0005-0000-0000-000063360000}"/>
    <cellStyle name="20% - Accent5 3 3 2 3 5 2" xfId="35249" xr:uid="{00000000-0005-0000-0000-000064360000}"/>
    <cellStyle name="20% - Accent5 3 3 2 3 6" xfId="23948" xr:uid="{00000000-0005-0000-0000-000065360000}"/>
    <cellStyle name="20% - Accent5 3 3 2 4" xfId="1671" xr:uid="{00000000-0005-0000-0000-000066360000}"/>
    <cellStyle name="20% - Accent5 3 3 2 4 2" xfId="3602" xr:uid="{00000000-0005-0000-0000-000067360000}"/>
    <cellStyle name="20% - Accent5 3 3 2 4 2 2" xfId="9314" xr:uid="{00000000-0005-0000-0000-000068360000}"/>
    <cellStyle name="20% - Accent5 3 3 2 4 2 2 2" xfId="20615" xr:uid="{00000000-0005-0000-0000-000069360000}"/>
    <cellStyle name="20% - Accent5 3 3 2 4 2 2 2 2" xfId="43217" xr:uid="{00000000-0005-0000-0000-00006A360000}"/>
    <cellStyle name="20% - Accent5 3 3 2 4 2 2 3" xfId="31916" xr:uid="{00000000-0005-0000-0000-00006B360000}"/>
    <cellStyle name="20% - Accent5 3 3 2 4 2 3" xfId="14965" xr:uid="{00000000-0005-0000-0000-00006C360000}"/>
    <cellStyle name="20% - Accent5 3 3 2 4 2 3 2" xfId="37567" xr:uid="{00000000-0005-0000-0000-00006D360000}"/>
    <cellStyle name="20% - Accent5 3 3 2 4 2 4" xfId="26266" xr:uid="{00000000-0005-0000-0000-00006E360000}"/>
    <cellStyle name="20% - Accent5 3 3 2 4 3" xfId="5419" xr:uid="{00000000-0005-0000-0000-00006F360000}"/>
    <cellStyle name="20% - Accent5 3 3 2 4 3 2" xfId="11069" xr:uid="{00000000-0005-0000-0000-000070360000}"/>
    <cellStyle name="20% - Accent5 3 3 2 4 3 2 2" xfId="22370" xr:uid="{00000000-0005-0000-0000-000071360000}"/>
    <cellStyle name="20% - Accent5 3 3 2 4 3 2 2 2" xfId="44972" xr:uid="{00000000-0005-0000-0000-000072360000}"/>
    <cellStyle name="20% - Accent5 3 3 2 4 3 2 3" xfId="33671" xr:uid="{00000000-0005-0000-0000-000073360000}"/>
    <cellStyle name="20% - Accent5 3 3 2 4 3 3" xfId="16720" xr:uid="{00000000-0005-0000-0000-000074360000}"/>
    <cellStyle name="20% - Accent5 3 3 2 4 3 3 2" xfId="39322" xr:uid="{00000000-0005-0000-0000-000075360000}"/>
    <cellStyle name="20% - Accent5 3 3 2 4 3 4" xfId="28021" xr:uid="{00000000-0005-0000-0000-000076360000}"/>
    <cellStyle name="20% - Accent5 3 3 2 4 4" xfId="7527" xr:uid="{00000000-0005-0000-0000-000077360000}"/>
    <cellStyle name="20% - Accent5 3 3 2 4 4 2" xfId="18828" xr:uid="{00000000-0005-0000-0000-000078360000}"/>
    <cellStyle name="20% - Accent5 3 3 2 4 4 2 2" xfId="41430" xr:uid="{00000000-0005-0000-0000-000079360000}"/>
    <cellStyle name="20% - Accent5 3 3 2 4 4 3" xfId="30129" xr:uid="{00000000-0005-0000-0000-00007A360000}"/>
    <cellStyle name="20% - Accent5 3 3 2 4 5" xfId="13178" xr:uid="{00000000-0005-0000-0000-00007B360000}"/>
    <cellStyle name="20% - Accent5 3 3 2 4 5 2" xfId="35780" xr:uid="{00000000-0005-0000-0000-00007C360000}"/>
    <cellStyle name="20% - Accent5 3 3 2 4 6" xfId="24479" xr:uid="{00000000-0005-0000-0000-00007D360000}"/>
    <cellStyle name="20% - Accent5 3 3 2 5" xfId="2400" xr:uid="{00000000-0005-0000-0000-00007E360000}"/>
    <cellStyle name="20% - Accent5 3 3 2 5 2" xfId="8236" xr:uid="{00000000-0005-0000-0000-00007F360000}"/>
    <cellStyle name="20% - Accent5 3 3 2 5 2 2" xfId="19537" xr:uid="{00000000-0005-0000-0000-000080360000}"/>
    <cellStyle name="20% - Accent5 3 3 2 5 2 2 2" xfId="42139" xr:uid="{00000000-0005-0000-0000-000081360000}"/>
    <cellStyle name="20% - Accent5 3 3 2 5 2 3" xfId="30838" xr:uid="{00000000-0005-0000-0000-000082360000}"/>
    <cellStyle name="20% - Accent5 3 3 2 5 3" xfId="13887" xr:uid="{00000000-0005-0000-0000-000083360000}"/>
    <cellStyle name="20% - Accent5 3 3 2 5 3 2" xfId="36489" xr:uid="{00000000-0005-0000-0000-000084360000}"/>
    <cellStyle name="20% - Accent5 3 3 2 5 4" xfId="25188" xr:uid="{00000000-0005-0000-0000-000085360000}"/>
    <cellStyle name="20% - Accent5 3 3 2 6" xfId="4185" xr:uid="{00000000-0005-0000-0000-000086360000}"/>
    <cellStyle name="20% - Accent5 3 3 2 6 2" xfId="9835" xr:uid="{00000000-0005-0000-0000-000087360000}"/>
    <cellStyle name="20% - Accent5 3 3 2 6 2 2" xfId="21136" xr:uid="{00000000-0005-0000-0000-000088360000}"/>
    <cellStyle name="20% - Accent5 3 3 2 6 2 2 2" xfId="43738" xr:uid="{00000000-0005-0000-0000-000089360000}"/>
    <cellStyle name="20% - Accent5 3 3 2 6 2 3" xfId="32437" xr:uid="{00000000-0005-0000-0000-00008A360000}"/>
    <cellStyle name="20% - Accent5 3 3 2 6 3" xfId="15486" xr:uid="{00000000-0005-0000-0000-00008B360000}"/>
    <cellStyle name="20% - Accent5 3 3 2 6 3 2" xfId="38088" xr:uid="{00000000-0005-0000-0000-00008C360000}"/>
    <cellStyle name="20% - Accent5 3 3 2 6 4" xfId="26787" xr:uid="{00000000-0005-0000-0000-00008D360000}"/>
    <cellStyle name="20% - Accent5 3 3 2 7" xfId="6665" xr:uid="{00000000-0005-0000-0000-00008E360000}"/>
    <cellStyle name="20% - Accent5 3 3 2 7 2" xfId="17966" xr:uid="{00000000-0005-0000-0000-00008F360000}"/>
    <cellStyle name="20% - Accent5 3 3 2 7 2 2" xfId="40568" xr:uid="{00000000-0005-0000-0000-000090360000}"/>
    <cellStyle name="20% - Accent5 3 3 2 7 3" xfId="29267" xr:uid="{00000000-0005-0000-0000-000091360000}"/>
    <cellStyle name="20% - Accent5 3 3 2 8" xfId="12316" xr:uid="{00000000-0005-0000-0000-000092360000}"/>
    <cellStyle name="20% - Accent5 3 3 2 8 2" xfId="34918" xr:uid="{00000000-0005-0000-0000-000093360000}"/>
    <cellStyle name="20% - Accent5 3 3 2 9" xfId="23617" xr:uid="{00000000-0005-0000-0000-000094360000}"/>
    <cellStyle name="20% - Accent5 3 3 3" xfId="1172" xr:uid="{00000000-0005-0000-0000-000095360000}"/>
    <cellStyle name="20% - Accent5 3 3 3 2" xfId="1673" xr:uid="{00000000-0005-0000-0000-000096360000}"/>
    <cellStyle name="20% - Accent5 3 3 3 2 2" xfId="3240" xr:uid="{00000000-0005-0000-0000-000097360000}"/>
    <cellStyle name="20% - Accent5 3 3 3 2 2 2" xfId="6212" xr:uid="{00000000-0005-0000-0000-000098360000}"/>
    <cellStyle name="20% - Accent5 3 3 3 2 2 2 2" xfId="11862" xr:uid="{00000000-0005-0000-0000-000099360000}"/>
    <cellStyle name="20% - Accent5 3 3 3 2 2 2 2 2" xfId="23163" xr:uid="{00000000-0005-0000-0000-00009A360000}"/>
    <cellStyle name="20% - Accent5 3 3 3 2 2 2 2 2 2" xfId="45765" xr:uid="{00000000-0005-0000-0000-00009B360000}"/>
    <cellStyle name="20% - Accent5 3 3 3 2 2 2 2 3" xfId="34464" xr:uid="{00000000-0005-0000-0000-00009C360000}"/>
    <cellStyle name="20% - Accent5 3 3 3 2 2 2 3" xfId="17513" xr:uid="{00000000-0005-0000-0000-00009D360000}"/>
    <cellStyle name="20% - Accent5 3 3 3 2 2 2 3 2" xfId="40115" xr:uid="{00000000-0005-0000-0000-00009E360000}"/>
    <cellStyle name="20% - Accent5 3 3 3 2 2 2 4" xfId="28814" xr:uid="{00000000-0005-0000-0000-00009F360000}"/>
    <cellStyle name="20% - Accent5 3 3 3 2 2 3" xfId="9030" xr:uid="{00000000-0005-0000-0000-0000A0360000}"/>
    <cellStyle name="20% - Accent5 3 3 3 2 2 3 2" xfId="20331" xr:uid="{00000000-0005-0000-0000-0000A1360000}"/>
    <cellStyle name="20% - Accent5 3 3 3 2 2 3 2 2" xfId="42933" xr:uid="{00000000-0005-0000-0000-0000A2360000}"/>
    <cellStyle name="20% - Accent5 3 3 3 2 2 3 3" xfId="31632" xr:uid="{00000000-0005-0000-0000-0000A3360000}"/>
    <cellStyle name="20% - Accent5 3 3 3 2 2 4" xfId="14681" xr:uid="{00000000-0005-0000-0000-0000A4360000}"/>
    <cellStyle name="20% - Accent5 3 3 3 2 2 4 2" xfId="37283" xr:uid="{00000000-0005-0000-0000-0000A5360000}"/>
    <cellStyle name="20% - Accent5 3 3 3 2 2 5" xfId="25982" xr:uid="{00000000-0005-0000-0000-0000A6360000}"/>
    <cellStyle name="20% - Accent5 3 3 3 2 3" xfId="4978" xr:uid="{00000000-0005-0000-0000-0000A7360000}"/>
    <cellStyle name="20% - Accent5 3 3 3 2 3 2" xfId="10628" xr:uid="{00000000-0005-0000-0000-0000A8360000}"/>
    <cellStyle name="20% - Accent5 3 3 3 2 3 2 2" xfId="21929" xr:uid="{00000000-0005-0000-0000-0000A9360000}"/>
    <cellStyle name="20% - Accent5 3 3 3 2 3 2 2 2" xfId="44531" xr:uid="{00000000-0005-0000-0000-0000AA360000}"/>
    <cellStyle name="20% - Accent5 3 3 3 2 3 2 3" xfId="33230" xr:uid="{00000000-0005-0000-0000-0000AB360000}"/>
    <cellStyle name="20% - Accent5 3 3 3 2 3 3" xfId="16279" xr:uid="{00000000-0005-0000-0000-0000AC360000}"/>
    <cellStyle name="20% - Accent5 3 3 3 2 3 3 2" xfId="38881" xr:uid="{00000000-0005-0000-0000-0000AD360000}"/>
    <cellStyle name="20% - Accent5 3 3 3 2 3 4" xfId="27580" xr:uid="{00000000-0005-0000-0000-0000AE360000}"/>
    <cellStyle name="20% - Accent5 3 3 3 2 4" xfId="7529" xr:uid="{00000000-0005-0000-0000-0000AF360000}"/>
    <cellStyle name="20% - Accent5 3 3 3 2 4 2" xfId="18830" xr:uid="{00000000-0005-0000-0000-0000B0360000}"/>
    <cellStyle name="20% - Accent5 3 3 3 2 4 2 2" xfId="41432" xr:uid="{00000000-0005-0000-0000-0000B1360000}"/>
    <cellStyle name="20% - Accent5 3 3 3 2 4 3" xfId="30131" xr:uid="{00000000-0005-0000-0000-0000B2360000}"/>
    <cellStyle name="20% - Accent5 3 3 3 2 5" xfId="13180" xr:uid="{00000000-0005-0000-0000-0000B3360000}"/>
    <cellStyle name="20% - Accent5 3 3 3 2 5 2" xfId="35782" xr:uid="{00000000-0005-0000-0000-0000B4360000}"/>
    <cellStyle name="20% - Accent5 3 3 3 2 6" xfId="24481" xr:uid="{00000000-0005-0000-0000-0000B5360000}"/>
    <cellStyle name="20% - Accent5 3 3 3 3" xfId="2569" xr:uid="{00000000-0005-0000-0000-0000B6360000}"/>
    <cellStyle name="20% - Accent5 3 3 3 3 2" xfId="5588" xr:uid="{00000000-0005-0000-0000-0000B7360000}"/>
    <cellStyle name="20% - Accent5 3 3 3 3 2 2" xfId="11238" xr:uid="{00000000-0005-0000-0000-0000B8360000}"/>
    <cellStyle name="20% - Accent5 3 3 3 3 2 2 2" xfId="22539" xr:uid="{00000000-0005-0000-0000-0000B9360000}"/>
    <cellStyle name="20% - Accent5 3 3 3 3 2 2 2 2" xfId="45141" xr:uid="{00000000-0005-0000-0000-0000BA360000}"/>
    <cellStyle name="20% - Accent5 3 3 3 3 2 2 3" xfId="33840" xr:uid="{00000000-0005-0000-0000-0000BB360000}"/>
    <cellStyle name="20% - Accent5 3 3 3 3 2 3" xfId="16889" xr:uid="{00000000-0005-0000-0000-0000BC360000}"/>
    <cellStyle name="20% - Accent5 3 3 3 3 2 3 2" xfId="39491" xr:uid="{00000000-0005-0000-0000-0000BD360000}"/>
    <cellStyle name="20% - Accent5 3 3 3 3 2 4" xfId="28190" xr:uid="{00000000-0005-0000-0000-0000BE360000}"/>
    <cellStyle name="20% - Accent5 3 3 3 3 3" xfId="8405" xr:uid="{00000000-0005-0000-0000-0000BF360000}"/>
    <cellStyle name="20% - Accent5 3 3 3 3 3 2" xfId="19706" xr:uid="{00000000-0005-0000-0000-0000C0360000}"/>
    <cellStyle name="20% - Accent5 3 3 3 3 3 2 2" xfId="42308" xr:uid="{00000000-0005-0000-0000-0000C1360000}"/>
    <cellStyle name="20% - Accent5 3 3 3 3 3 3" xfId="31007" xr:uid="{00000000-0005-0000-0000-0000C2360000}"/>
    <cellStyle name="20% - Accent5 3 3 3 3 4" xfId="14056" xr:uid="{00000000-0005-0000-0000-0000C3360000}"/>
    <cellStyle name="20% - Accent5 3 3 3 3 4 2" xfId="36658" xr:uid="{00000000-0005-0000-0000-0000C4360000}"/>
    <cellStyle name="20% - Accent5 3 3 3 3 5" xfId="25357" xr:uid="{00000000-0005-0000-0000-0000C5360000}"/>
    <cellStyle name="20% - Accent5 3 3 3 4" xfId="4354" xr:uid="{00000000-0005-0000-0000-0000C6360000}"/>
    <cellStyle name="20% - Accent5 3 3 3 4 2" xfId="10004" xr:uid="{00000000-0005-0000-0000-0000C7360000}"/>
    <cellStyle name="20% - Accent5 3 3 3 4 2 2" xfId="21305" xr:uid="{00000000-0005-0000-0000-0000C8360000}"/>
    <cellStyle name="20% - Accent5 3 3 3 4 2 2 2" xfId="43907" xr:uid="{00000000-0005-0000-0000-0000C9360000}"/>
    <cellStyle name="20% - Accent5 3 3 3 4 2 3" xfId="32606" xr:uid="{00000000-0005-0000-0000-0000CA360000}"/>
    <cellStyle name="20% - Accent5 3 3 3 4 3" xfId="15655" xr:uid="{00000000-0005-0000-0000-0000CB360000}"/>
    <cellStyle name="20% - Accent5 3 3 3 4 3 2" xfId="38257" xr:uid="{00000000-0005-0000-0000-0000CC360000}"/>
    <cellStyle name="20% - Accent5 3 3 3 4 4" xfId="26956" xr:uid="{00000000-0005-0000-0000-0000CD360000}"/>
    <cellStyle name="20% - Accent5 3 3 3 5" xfId="7151" xr:uid="{00000000-0005-0000-0000-0000CE360000}"/>
    <cellStyle name="20% - Accent5 3 3 3 5 2" xfId="18452" xr:uid="{00000000-0005-0000-0000-0000CF360000}"/>
    <cellStyle name="20% - Accent5 3 3 3 5 2 2" xfId="41054" xr:uid="{00000000-0005-0000-0000-0000D0360000}"/>
    <cellStyle name="20% - Accent5 3 3 3 5 3" xfId="29753" xr:uid="{00000000-0005-0000-0000-0000D1360000}"/>
    <cellStyle name="20% - Accent5 3 3 3 6" xfId="12802" xr:uid="{00000000-0005-0000-0000-0000D2360000}"/>
    <cellStyle name="20% - Accent5 3 3 3 6 2" xfId="35404" xr:uid="{00000000-0005-0000-0000-0000D3360000}"/>
    <cellStyle name="20% - Accent5 3 3 3 7" xfId="24103" xr:uid="{00000000-0005-0000-0000-0000D4360000}"/>
    <cellStyle name="20% - Accent5 3 3 4" xfId="863" xr:uid="{00000000-0005-0000-0000-0000D5360000}"/>
    <cellStyle name="20% - Accent5 3 3 4 2" xfId="2933" xr:uid="{00000000-0005-0000-0000-0000D6360000}"/>
    <cellStyle name="20% - Accent5 3 3 4 2 2" xfId="5905" xr:uid="{00000000-0005-0000-0000-0000D7360000}"/>
    <cellStyle name="20% - Accent5 3 3 4 2 2 2" xfId="11555" xr:uid="{00000000-0005-0000-0000-0000D8360000}"/>
    <cellStyle name="20% - Accent5 3 3 4 2 2 2 2" xfId="22856" xr:uid="{00000000-0005-0000-0000-0000D9360000}"/>
    <cellStyle name="20% - Accent5 3 3 4 2 2 2 2 2" xfId="45458" xr:uid="{00000000-0005-0000-0000-0000DA360000}"/>
    <cellStyle name="20% - Accent5 3 3 4 2 2 2 3" xfId="34157" xr:uid="{00000000-0005-0000-0000-0000DB360000}"/>
    <cellStyle name="20% - Accent5 3 3 4 2 2 3" xfId="17206" xr:uid="{00000000-0005-0000-0000-0000DC360000}"/>
    <cellStyle name="20% - Accent5 3 3 4 2 2 3 2" xfId="39808" xr:uid="{00000000-0005-0000-0000-0000DD360000}"/>
    <cellStyle name="20% - Accent5 3 3 4 2 2 4" xfId="28507" xr:uid="{00000000-0005-0000-0000-0000DE360000}"/>
    <cellStyle name="20% - Accent5 3 3 4 2 3" xfId="8723" xr:uid="{00000000-0005-0000-0000-0000DF360000}"/>
    <cellStyle name="20% - Accent5 3 3 4 2 3 2" xfId="20024" xr:uid="{00000000-0005-0000-0000-0000E0360000}"/>
    <cellStyle name="20% - Accent5 3 3 4 2 3 2 2" xfId="42626" xr:uid="{00000000-0005-0000-0000-0000E1360000}"/>
    <cellStyle name="20% - Accent5 3 3 4 2 3 3" xfId="31325" xr:uid="{00000000-0005-0000-0000-0000E2360000}"/>
    <cellStyle name="20% - Accent5 3 3 4 2 4" xfId="14374" xr:uid="{00000000-0005-0000-0000-0000E3360000}"/>
    <cellStyle name="20% - Accent5 3 3 4 2 4 2" xfId="36976" xr:uid="{00000000-0005-0000-0000-0000E4360000}"/>
    <cellStyle name="20% - Accent5 3 3 4 2 5" xfId="25675" xr:uid="{00000000-0005-0000-0000-0000E5360000}"/>
    <cellStyle name="20% - Accent5 3 3 4 3" xfId="4671" xr:uid="{00000000-0005-0000-0000-0000E6360000}"/>
    <cellStyle name="20% - Accent5 3 3 4 3 2" xfId="10321" xr:uid="{00000000-0005-0000-0000-0000E7360000}"/>
    <cellStyle name="20% - Accent5 3 3 4 3 2 2" xfId="21622" xr:uid="{00000000-0005-0000-0000-0000E8360000}"/>
    <cellStyle name="20% - Accent5 3 3 4 3 2 2 2" xfId="44224" xr:uid="{00000000-0005-0000-0000-0000E9360000}"/>
    <cellStyle name="20% - Accent5 3 3 4 3 2 3" xfId="32923" xr:uid="{00000000-0005-0000-0000-0000EA360000}"/>
    <cellStyle name="20% - Accent5 3 3 4 3 3" xfId="15972" xr:uid="{00000000-0005-0000-0000-0000EB360000}"/>
    <cellStyle name="20% - Accent5 3 3 4 3 3 2" xfId="38574" xr:uid="{00000000-0005-0000-0000-0000EC360000}"/>
    <cellStyle name="20% - Accent5 3 3 4 3 4" xfId="27273" xr:uid="{00000000-0005-0000-0000-0000ED360000}"/>
    <cellStyle name="20% - Accent5 3 3 4 4" xfId="6858" xr:uid="{00000000-0005-0000-0000-0000EE360000}"/>
    <cellStyle name="20% - Accent5 3 3 4 4 2" xfId="18159" xr:uid="{00000000-0005-0000-0000-0000EF360000}"/>
    <cellStyle name="20% - Accent5 3 3 4 4 2 2" xfId="40761" xr:uid="{00000000-0005-0000-0000-0000F0360000}"/>
    <cellStyle name="20% - Accent5 3 3 4 4 3" xfId="29460" xr:uid="{00000000-0005-0000-0000-0000F1360000}"/>
    <cellStyle name="20% - Accent5 3 3 4 5" xfId="12509" xr:uid="{00000000-0005-0000-0000-0000F2360000}"/>
    <cellStyle name="20% - Accent5 3 3 4 5 2" xfId="35111" xr:uid="{00000000-0005-0000-0000-0000F3360000}"/>
    <cellStyle name="20% - Accent5 3 3 4 6" xfId="23810" xr:uid="{00000000-0005-0000-0000-0000F4360000}"/>
    <cellStyle name="20% - Accent5 3 3 5" xfId="1670" xr:uid="{00000000-0005-0000-0000-0000F5360000}"/>
    <cellStyle name="20% - Accent5 3 3 5 2" xfId="3601" xr:uid="{00000000-0005-0000-0000-0000F6360000}"/>
    <cellStyle name="20% - Accent5 3 3 5 2 2" xfId="9313" xr:uid="{00000000-0005-0000-0000-0000F7360000}"/>
    <cellStyle name="20% - Accent5 3 3 5 2 2 2" xfId="20614" xr:uid="{00000000-0005-0000-0000-0000F8360000}"/>
    <cellStyle name="20% - Accent5 3 3 5 2 2 2 2" xfId="43216" xr:uid="{00000000-0005-0000-0000-0000F9360000}"/>
    <cellStyle name="20% - Accent5 3 3 5 2 2 3" xfId="31915" xr:uid="{00000000-0005-0000-0000-0000FA360000}"/>
    <cellStyle name="20% - Accent5 3 3 5 2 3" xfId="14964" xr:uid="{00000000-0005-0000-0000-0000FB360000}"/>
    <cellStyle name="20% - Accent5 3 3 5 2 3 2" xfId="37566" xr:uid="{00000000-0005-0000-0000-0000FC360000}"/>
    <cellStyle name="20% - Accent5 3 3 5 2 4" xfId="26265" xr:uid="{00000000-0005-0000-0000-0000FD360000}"/>
    <cellStyle name="20% - Accent5 3 3 5 3" xfId="5281" xr:uid="{00000000-0005-0000-0000-0000FE360000}"/>
    <cellStyle name="20% - Accent5 3 3 5 3 2" xfId="10931" xr:uid="{00000000-0005-0000-0000-0000FF360000}"/>
    <cellStyle name="20% - Accent5 3 3 5 3 2 2" xfId="22232" xr:uid="{00000000-0005-0000-0000-000000370000}"/>
    <cellStyle name="20% - Accent5 3 3 5 3 2 2 2" xfId="44834" xr:uid="{00000000-0005-0000-0000-000001370000}"/>
    <cellStyle name="20% - Accent5 3 3 5 3 2 3" xfId="33533" xr:uid="{00000000-0005-0000-0000-000002370000}"/>
    <cellStyle name="20% - Accent5 3 3 5 3 3" xfId="16582" xr:uid="{00000000-0005-0000-0000-000003370000}"/>
    <cellStyle name="20% - Accent5 3 3 5 3 3 2" xfId="39184" xr:uid="{00000000-0005-0000-0000-000004370000}"/>
    <cellStyle name="20% - Accent5 3 3 5 3 4" xfId="27883" xr:uid="{00000000-0005-0000-0000-000005370000}"/>
    <cellStyle name="20% - Accent5 3 3 5 4" xfId="7526" xr:uid="{00000000-0005-0000-0000-000006370000}"/>
    <cellStyle name="20% - Accent5 3 3 5 4 2" xfId="18827" xr:uid="{00000000-0005-0000-0000-000007370000}"/>
    <cellStyle name="20% - Accent5 3 3 5 4 2 2" xfId="41429" xr:uid="{00000000-0005-0000-0000-000008370000}"/>
    <cellStyle name="20% - Accent5 3 3 5 4 3" xfId="30128" xr:uid="{00000000-0005-0000-0000-000009370000}"/>
    <cellStyle name="20% - Accent5 3 3 5 5" xfId="13177" xr:uid="{00000000-0005-0000-0000-00000A370000}"/>
    <cellStyle name="20% - Accent5 3 3 5 5 2" xfId="35779" xr:uid="{00000000-0005-0000-0000-00000B370000}"/>
    <cellStyle name="20% - Accent5 3 3 5 6" xfId="24478" xr:uid="{00000000-0005-0000-0000-00000C370000}"/>
    <cellStyle name="20% - Accent5 3 3 6" xfId="2260" xr:uid="{00000000-0005-0000-0000-00000D370000}"/>
    <cellStyle name="20% - Accent5 3 3 6 2" xfId="8096" xr:uid="{00000000-0005-0000-0000-00000E370000}"/>
    <cellStyle name="20% - Accent5 3 3 6 2 2" xfId="19397" xr:uid="{00000000-0005-0000-0000-00000F370000}"/>
    <cellStyle name="20% - Accent5 3 3 6 2 2 2" xfId="41999" xr:uid="{00000000-0005-0000-0000-000010370000}"/>
    <cellStyle name="20% - Accent5 3 3 6 2 3" xfId="30698" xr:uid="{00000000-0005-0000-0000-000011370000}"/>
    <cellStyle name="20% - Accent5 3 3 6 3" xfId="13747" xr:uid="{00000000-0005-0000-0000-000012370000}"/>
    <cellStyle name="20% - Accent5 3 3 6 3 2" xfId="36349" xr:uid="{00000000-0005-0000-0000-000013370000}"/>
    <cellStyle name="20% - Accent5 3 3 6 4" xfId="25048" xr:uid="{00000000-0005-0000-0000-000014370000}"/>
    <cellStyle name="20% - Accent5 3 3 7" xfId="4047" xr:uid="{00000000-0005-0000-0000-000015370000}"/>
    <cellStyle name="20% - Accent5 3 3 7 2" xfId="9697" xr:uid="{00000000-0005-0000-0000-000016370000}"/>
    <cellStyle name="20% - Accent5 3 3 7 2 2" xfId="20998" xr:uid="{00000000-0005-0000-0000-000017370000}"/>
    <cellStyle name="20% - Accent5 3 3 7 2 2 2" xfId="43600" xr:uid="{00000000-0005-0000-0000-000018370000}"/>
    <cellStyle name="20% - Accent5 3 3 7 2 3" xfId="32299" xr:uid="{00000000-0005-0000-0000-000019370000}"/>
    <cellStyle name="20% - Accent5 3 3 7 3" xfId="15348" xr:uid="{00000000-0005-0000-0000-00001A370000}"/>
    <cellStyle name="20% - Accent5 3 3 7 3 2" xfId="37950" xr:uid="{00000000-0005-0000-0000-00001B370000}"/>
    <cellStyle name="20% - Accent5 3 3 7 4" xfId="26649" xr:uid="{00000000-0005-0000-0000-00001C370000}"/>
    <cellStyle name="20% - Accent5 3 3 8" xfId="6498" xr:uid="{00000000-0005-0000-0000-00001D370000}"/>
    <cellStyle name="20% - Accent5 3 3 8 2" xfId="17799" xr:uid="{00000000-0005-0000-0000-00001E370000}"/>
    <cellStyle name="20% - Accent5 3 3 8 2 2" xfId="40401" xr:uid="{00000000-0005-0000-0000-00001F370000}"/>
    <cellStyle name="20% - Accent5 3 3 8 3" xfId="29100" xr:uid="{00000000-0005-0000-0000-000020370000}"/>
    <cellStyle name="20% - Accent5 3 3 9" xfId="12149" xr:uid="{00000000-0005-0000-0000-000021370000}"/>
    <cellStyle name="20% - Accent5 3 3 9 2" xfId="34751" xr:uid="{00000000-0005-0000-0000-000022370000}"/>
    <cellStyle name="20% - Accent5 3 4" xfId="499" xr:uid="{00000000-0005-0000-0000-000023370000}"/>
    <cellStyle name="20% - Accent5 3 4 2" xfId="1076" xr:uid="{00000000-0005-0000-0000-000024370000}"/>
    <cellStyle name="20% - Accent5 3 4 2 2" xfId="1675" xr:uid="{00000000-0005-0000-0000-000025370000}"/>
    <cellStyle name="20% - Accent5 3 4 2 2 2" xfId="3143" xr:uid="{00000000-0005-0000-0000-000026370000}"/>
    <cellStyle name="20% - Accent5 3 4 2 2 2 2" xfId="6115" xr:uid="{00000000-0005-0000-0000-000027370000}"/>
    <cellStyle name="20% - Accent5 3 4 2 2 2 2 2" xfId="11765" xr:uid="{00000000-0005-0000-0000-000028370000}"/>
    <cellStyle name="20% - Accent5 3 4 2 2 2 2 2 2" xfId="23066" xr:uid="{00000000-0005-0000-0000-000029370000}"/>
    <cellStyle name="20% - Accent5 3 4 2 2 2 2 2 2 2" xfId="45668" xr:uid="{00000000-0005-0000-0000-00002A370000}"/>
    <cellStyle name="20% - Accent5 3 4 2 2 2 2 2 3" xfId="34367" xr:uid="{00000000-0005-0000-0000-00002B370000}"/>
    <cellStyle name="20% - Accent5 3 4 2 2 2 2 3" xfId="17416" xr:uid="{00000000-0005-0000-0000-00002C370000}"/>
    <cellStyle name="20% - Accent5 3 4 2 2 2 2 3 2" xfId="40018" xr:uid="{00000000-0005-0000-0000-00002D370000}"/>
    <cellStyle name="20% - Accent5 3 4 2 2 2 2 4" xfId="28717" xr:uid="{00000000-0005-0000-0000-00002E370000}"/>
    <cellStyle name="20% - Accent5 3 4 2 2 2 3" xfId="8933" xr:uid="{00000000-0005-0000-0000-00002F370000}"/>
    <cellStyle name="20% - Accent5 3 4 2 2 2 3 2" xfId="20234" xr:uid="{00000000-0005-0000-0000-000030370000}"/>
    <cellStyle name="20% - Accent5 3 4 2 2 2 3 2 2" xfId="42836" xr:uid="{00000000-0005-0000-0000-000031370000}"/>
    <cellStyle name="20% - Accent5 3 4 2 2 2 3 3" xfId="31535" xr:uid="{00000000-0005-0000-0000-000032370000}"/>
    <cellStyle name="20% - Accent5 3 4 2 2 2 4" xfId="14584" xr:uid="{00000000-0005-0000-0000-000033370000}"/>
    <cellStyle name="20% - Accent5 3 4 2 2 2 4 2" xfId="37186" xr:uid="{00000000-0005-0000-0000-000034370000}"/>
    <cellStyle name="20% - Accent5 3 4 2 2 2 5" xfId="25885" xr:uid="{00000000-0005-0000-0000-000035370000}"/>
    <cellStyle name="20% - Accent5 3 4 2 2 3" xfId="4881" xr:uid="{00000000-0005-0000-0000-000036370000}"/>
    <cellStyle name="20% - Accent5 3 4 2 2 3 2" xfId="10531" xr:uid="{00000000-0005-0000-0000-000037370000}"/>
    <cellStyle name="20% - Accent5 3 4 2 2 3 2 2" xfId="21832" xr:uid="{00000000-0005-0000-0000-000038370000}"/>
    <cellStyle name="20% - Accent5 3 4 2 2 3 2 2 2" xfId="44434" xr:uid="{00000000-0005-0000-0000-000039370000}"/>
    <cellStyle name="20% - Accent5 3 4 2 2 3 2 3" xfId="33133" xr:uid="{00000000-0005-0000-0000-00003A370000}"/>
    <cellStyle name="20% - Accent5 3 4 2 2 3 3" xfId="16182" xr:uid="{00000000-0005-0000-0000-00003B370000}"/>
    <cellStyle name="20% - Accent5 3 4 2 2 3 3 2" xfId="38784" xr:uid="{00000000-0005-0000-0000-00003C370000}"/>
    <cellStyle name="20% - Accent5 3 4 2 2 3 4" xfId="27483" xr:uid="{00000000-0005-0000-0000-00003D370000}"/>
    <cellStyle name="20% - Accent5 3 4 2 2 4" xfId="7531" xr:uid="{00000000-0005-0000-0000-00003E370000}"/>
    <cellStyle name="20% - Accent5 3 4 2 2 4 2" xfId="18832" xr:uid="{00000000-0005-0000-0000-00003F370000}"/>
    <cellStyle name="20% - Accent5 3 4 2 2 4 2 2" xfId="41434" xr:uid="{00000000-0005-0000-0000-000040370000}"/>
    <cellStyle name="20% - Accent5 3 4 2 2 4 3" xfId="30133" xr:uid="{00000000-0005-0000-0000-000041370000}"/>
    <cellStyle name="20% - Accent5 3 4 2 2 5" xfId="13182" xr:uid="{00000000-0005-0000-0000-000042370000}"/>
    <cellStyle name="20% - Accent5 3 4 2 2 5 2" xfId="35784" xr:uid="{00000000-0005-0000-0000-000043370000}"/>
    <cellStyle name="20% - Accent5 3 4 2 2 6" xfId="24483" xr:uid="{00000000-0005-0000-0000-000044370000}"/>
    <cellStyle name="20% - Accent5 3 4 2 3" xfId="2472" xr:uid="{00000000-0005-0000-0000-000045370000}"/>
    <cellStyle name="20% - Accent5 3 4 2 3 2" xfId="5491" xr:uid="{00000000-0005-0000-0000-000046370000}"/>
    <cellStyle name="20% - Accent5 3 4 2 3 2 2" xfId="11141" xr:uid="{00000000-0005-0000-0000-000047370000}"/>
    <cellStyle name="20% - Accent5 3 4 2 3 2 2 2" xfId="22442" xr:uid="{00000000-0005-0000-0000-000048370000}"/>
    <cellStyle name="20% - Accent5 3 4 2 3 2 2 2 2" xfId="45044" xr:uid="{00000000-0005-0000-0000-000049370000}"/>
    <cellStyle name="20% - Accent5 3 4 2 3 2 2 3" xfId="33743" xr:uid="{00000000-0005-0000-0000-00004A370000}"/>
    <cellStyle name="20% - Accent5 3 4 2 3 2 3" xfId="16792" xr:uid="{00000000-0005-0000-0000-00004B370000}"/>
    <cellStyle name="20% - Accent5 3 4 2 3 2 3 2" xfId="39394" xr:uid="{00000000-0005-0000-0000-00004C370000}"/>
    <cellStyle name="20% - Accent5 3 4 2 3 2 4" xfId="28093" xr:uid="{00000000-0005-0000-0000-00004D370000}"/>
    <cellStyle name="20% - Accent5 3 4 2 3 3" xfId="8308" xr:uid="{00000000-0005-0000-0000-00004E370000}"/>
    <cellStyle name="20% - Accent5 3 4 2 3 3 2" xfId="19609" xr:uid="{00000000-0005-0000-0000-00004F370000}"/>
    <cellStyle name="20% - Accent5 3 4 2 3 3 2 2" xfId="42211" xr:uid="{00000000-0005-0000-0000-000050370000}"/>
    <cellStyle name="20% - Accent5 3 4 2 3 3 3" xfId="30910" xr:uid="{00000000-0005-0000-0000-000051370000}"/>
    <cellStyle name="20% - Accent5 3 4 2 3 4" xfId="13959" xr:uid="{00000000-0005-0000-0000-000052370000}"/>
    <cellStyle name="20% - Accent5 3 4 2 3 4 2" xfId="36561" xr:uid="{00000000-0005-0000-0000-000053370000}"/>
    <cellStyle name="20% - Accent5 3 4 2 3 5" xfId="25260" xr:uid="{00000000-0005-0000-0000-000054370000}"/>
    <cellStyle name="20% - Accent5 3 4 2 4" xfId="4257" xr:uid="{00000000-0005-0000-0000-000055370000}"/>
    <cellStyle name="20% - Accent5 3 4 2 4 2" xfId="9907" xr:uid="{00000000-0005-0000-0000-000056370000}"/>
    <cellStyle name="20% - Accent5 3 4 2 4 2 2" xfId="21208" xr:uid="{00000000-0005-0000-0000-000057370000}"/>
    <cellStyle name="20% - Accent5 3 4 2 4 2 2 2" xfId="43810" xr:uid="{00000000-0005-0000-0000-000058370000}"/>
    <cellStyle name="20% - Accent5 3 4 2 4 2 3" xfId="32509" xr:uid="{00000000-0005-0000-0000-000059370000}"/>
    <cellStyle name="20% - Accent5 3 4 2 4 3" xfId="15558" xr:uid="{00000000-0005-0000-0000-00005A370000}"/>
    <cellStyle name="20% - Accent5 3 4 2 4 3 2" xfId="38160" xr:uid="{00000000-0005-0000-0000-00005B370000}"/>
    <cellStyle name="20% - Accent5 3 4 2 4 4" xfId="26859" xr:uid="{00000000-0005-0000-0000-00005C370000}"/>
    <cellStyle name="20% - Accent5 3 4 2 5" xfId="7055" xr:uid="{00000000-0005-0000-0000-00005D370000}"/>
    <cellStyle name="20% - Accent5 3 4 2 5 2" xfId="18356" xr:uid="{00000000-0005-0000-0000-00005E370000}"/>
    <cellStyle name="20% - Accent5 3 4 2 5 2 2" xfId="40958" xr:uid="{00000000-0005-0000-0000-00005F370000}"/>
    <cellStyle name="20% - Accent5 3 4 2 5 3" xfId="29657" xr:uid="{00000000-0005-0000-0000-000060370000}"/>
    <cellStyle name="20% - Accent5 3 4 2 6" xfId="12706" xr:uid="{00000000-0005-0000-0000-000061370000}"/>
    <cellStyle name="20% - Accent5 3 4 2 6 2" xfId="35308" xr:uid="{00000000-0005-0000-0000-000062370000}"/>
    <cellStyle name="20% - Accent5 3 4 2 7" xfId="24007" xr:uid="{00000000-0005-0000-0000-000063370000}"/>
    <cellStyle name="20% - Accent5 3 4 3" xfId="749" xr:uid="{00000000-0005-0000-0000-000064370000}"/>
    <cellStyle name="20% - Accent5 3 4 3 2" xfId="2837" xr:uid="{00000000-0005-0000-0000-000065370000}"/>
    <cellStyle name="20% - Accent5 3 4 3 2 2" xfId="5809" xr:uid="{00000000-0005-0000-0000-000066370000}"/>
    <cellStyle name="20% - Accent5 3 4 3 2 2 2" xfId="11459" xr:uid="{00000000-0005-0000-0000-000067370000}"/>
    <cellStyle name="20% - Accent5 3 4 3 2 2 2 2" xfId="22760" xr:uid="{00000000-0005-0000-0000-000068370000}"/>
    <cellStyle name="20% - Accent5 3 4 3 2 2 2 2 2" xfId="45362" xr:uid="{00000000-0005-0000-0000-000069370000}"/>
    <cellStyle name="20% - Accent5 3 4 3 2 2 2 3" xfId="34061" xr:uid="{00000000-0005-0000-0000-00006A370000}"/>
    <cellStyle name="20% - Accent5 3 4 3 2 2 3" xfId="17110" xr:uid="{00000000-0005-0000-0000-00006B370000}"/>
    <cellStyle name="20% - Accent5 3 4 3 2 2 3 2" xfId="39712" xr:uid="{00000000-0005-0000-0000-00006C370000}"/>
    <cellStyle name="20% - Accent5 3 4 3 2 2 4" xfId="28411" xr:uid="{00000000-0005-0000-0000-00006D370000}"/>
    <cellStyle name="20% - Accent5 3 4 3 2 3" xfId="8627" xr:uid="{00000000-0005-0000-0000-00006E370000}"/>
    <cellStyle name="20% - Accent5 3 4 3 2 3 2" xfId="19928" xr:uid="{00000000-0005-0000-0000-00006F370000}"/>
    <cellStyle name="20% - Accent5 3 4 3 2 3 2 2" xfId="42530" xr:uid="{00000000-0005-0000-0000-000070370000}"/>
    <cellStyle name="20% - Accent5 3 4 3 2 3 3" xfId="31229" xr:uid="{00000000-0005-0000-0000-000071370000}"/>
    <cellStyle name="20% - Accent5 3 4 3 2 4" xfId="14278" xr:uid="{00000000-0005-0000-0000-000072370000}"/>
    <cellStyle name="20% - Accent5 3 4 3 2 4 2" xfId="36880" xr:uid="{00000000-0005-0000-0000-000073370000}"/>
    <cellStyle name="20% - Accent5 3 4 3 2 5" xfId="25579" xr:uid="{00000000-0005-0000-0000-000074370000}"/>
    <cellStyle name="20% - Accent5 3 4 3 3" xfId="4575" xr:uid="{00000000-0005-0000-0000-000075370000}"/>
    <cellStyle name="20% - Accent5 3 4 3 3 2" xfId="10225" xr:uid="{00000000-0005-0000-0000-000076370000}"/>
    <cellStyle name="20% - Accent5 3 4 3 3 2 2" xfId="21526" xr:uid="{00000000-0005-0000-0000-000077370000}"/>
    <cellStyle name="20% - Accent5 3 4 3 3 2 2 2" xfId="44128" xr:uid="{00000000-0005-0000-0000-000078370000}"/>
    <cellStyle name="20% - Accent5 3 4 3 3 2 3" xfId="32827" xr:uid="{00000000-0005-0000-0000-000079370000}"/>
    <cellStyle name="20% - Accent5 3 4 3 3 3" xfId="15876" xr:uid="{00000000-0005-0000-0000-00007A370000}"/>
    <cellStyle name="20% - Accent5 3 4 3 3 3 2" xfId="38478" xr:uid="{00000000-0005-0000-0000-00007B370000}"/>
    <cellStyle name="20% - Accent5 3 4 3 3 4" xfId="27177" xr:uid="{00000000-0005-0000-0000-00007C370000}"/>
    <cellStyle name="20% - Accent5 3 4 3 4" xfId="6758" xr:uid="{00000000-0005-0000-0000-00007D370000}"/>
    <cellStyle name="20% - Accent5 3 4 3 4 2" xfId="18059" xr:uid="{00000000-0005-0000-0000-00007E370000}"/>
    <cellStyle name="20% - Accent5 3 4 3 4 2 2" xfId="40661" xr:uid="{00000000-0005-0000-0000-00007F370000}"/>
    <cellStyle name="20% - Accent5 3 4 3 4 3" xfId="29360" xr:uid="{00000000-0005-0000-0000-000080370000}"/>
    <cellStyle name="20% - Accent5 3 4 3 5" xfId="12409" xr:uid="{00000000-0005-0000-0000-000081370000}"/>
    <cellStyle name="20% - Accent5 3 4 3 5 2" xfId="35011" xr:uid="{00000000-0005-0000-0000-000082370000}"/>
    <cellStyle name="20% - Accent5 3 4 3 6" xfId="23710" xr:uid="{00000000-0005-0000-0000-000083370000}"/>
    <cellStyle name="20% - Accent5 3 4 4" xfId="1674" xr:uid="{00000000-0005-0000-0000-000084370000}"/>
    <cellStyle name="20% - Accent5 3 4 4 2" xfId="3604" xr:uid="{00000000-0005-0000-0000-000085370000}"/>
    <cellStyle name="20% - Accent5 3 4 4 2 2" xfId="9315" xr:uid="{00000000-0005-0000-0000-000086370000}"/>
    <cellStyle name="20% - Accent5 3 4 4 2 2 2" xfId="20616" xr:uid="{00000000-0005-0000-0000-000087370000}"/>
    <cellStyle name="20% - Accent5 3 4 4 2 2 2 2" xfId="43218" xr:uid="{00000000-0005-0000-0000-000088370000}"/>
    <cellStyle name="20% - Accent5 3 4 4 2 2 3" xfId="31917" xr:uid="{00000000-0005-0000-0000-000089370000}"/>
    <cellStyle name="20% - Accent5 3 4 4 2 3" xfId="14966" xr:uid="{00000000-0005-0000-0000-00008A370000}"/>
    <cellStyle name="20% - Accent5 3 4 4 2 3 2" xfId="37568" xr:uid="{00000000-0005-0000-0000-00008B370000}"/>
    <cellStyle name="20% - Accent5 3 4 4 2 4" xfId="26267" xr:uid="{00000000-0005-0000-0000-00008C370000}"/>
    <cellStyle name="20% - Accent5 3 4 4 3" xfId="5185" xr:uid="{00000000-0005-0000-0000-00008D370000}"/>
    <cellStyle name="20% - Accent5 3 4 4 3 2" xfId="10835" xr:uid="{00000000-0005-0000-0000-00008E370000}"/>
    <cellStyle name="20% - Accent5 3 4 4 3 2 2" xfId="22136" xr:uid="{00000000-0005-0000-0000-00008F370000}"/>
    <cellStyle name="20% - Accent5 3 4 4 3 2 2 2" xfId="44738" xr:uid="{00000000-0005-0000-0000-000090370000}"/>
    <cellStyle name="20% - Accent5 3 4 4 3 2 3" xfId="33437" xr:uid="{00000000-0005-0000-0000-000091370000}"/>
    <cellStyle name="20% - Accent5 3 4 4 3 3" xfId="16486" xr:uid="{00000000-0005-0000-0000-000092370000}"/>
    <cellStyle name="20% - Accent5 3 4 4 3 3 2" xfId="39088" xr:uid="{00000000-0005-0000-0000-000093370000}"/>
    <cellStyle name="20% - Accent5 3 4 4 3 4" xfId="27787" xr:uid="{00000000-0005-0000-0000-000094370000}"/>
    <cellStyle name="20% - Accent5 3 4 4 4" xfId="7530" xr:uid="{00000000-0005-0000-0000-000095370000}"/>
    <cellStyle name="20% - Accent5 3 4 4 4 2" xfId="18831" xr:uid="{00000000-0005-0000-0000-000096370000}"/>
    <cellStyle name="20% - Accent5 3 4 4 4 2 2" xfId="41433" xr:uid="{00000000-0005-0000-0000-000097370000}"/>
    <cellStyle name="20% - Accent5 3 4 4 4 3" xfId="30132" xr:uid="{00000000-0005-0000-0000-000098370000}"/>
    <cellStyle name="20% - Accent5 3 4 4 5" xfId="13181" xr:uid="{00000000-0005-0000-0000-000099370000}"/>
    <cellStyle name="20% - Accent5 3 4 4 5 2" xfId="35783" xr:uid="{00000000-0005-0000-0000-00009A370000}"/>
    <cellStyle name="20% - Accent5 3 4 4 6" xfId="24482" xr:uid="{00000000-0005-0000-0000-00009B370000}"/>
    <cellStyle name="20% - Accent5 3 4 5" xfId="2157" xr:uid="{00000000-0005-0000-0000-00009C370000}"/>
    <cellStyle name="20% - Accent5 3 4 5 2" xfId="7999" xr:uid="{00000000-0005-0000-0000-00009D370000}"/>
    <cellStyle name="20% - Accent5 3 4 5 2 2" xfId="19300" xr:uid="{00000000-0005-0000-0000-00009E370000}"/>
    <cellStyle name="20% - Accent5 3 4 5 2 2 2" xfId="41902" xr:uid="{00000000-0005-0000-0000-00009F370000}"/>
    <cellStyle name="20% - Accent5 3 4 5 2 3" xfId="30601" xr:uid="{00000000-0005-0000-0000-0000A0370000}"/>
    <cellStyle name="20% - Accent5 3 4 5 3" xfId="13650" xr:uid="{00000000-0005-0000-0000-0000A1370000}"/>
    <cellStyle name="20% - Accent5 3 4 5 3 2" xfId="36252" xr:uid="{00000000-0005-0000-0000-0000A2370000}"/>
    <cellStyle name="20% - Accent5 3 4 5 4" xfId="24951" xr:uid="{00000000-0005-0000-0000-0000A3370000}"/>
    <cellStyle name="20% - Accent5 3 4 6" xfId="3951" xr:uid="{00000000-0005-0000-0000-0000A4370000}"/>
    <cellStyle name="20% - Accent5 3 4 6 2" xfId="9601" xr:uid="{00000000-0005-0000-0000-0000A5370000}"/>
    <cellStyle name="20% - Accent5 3 4 6 2 2" xfId="20902" xr:uid="{00000000-0005-0000-0000-0000A6370000}"/>
    <cellStyle name="20% - Accent5 3 4 6 2 2 2" xfId="43504" xr:uid="{00000000-0005-0000-0000-0000A7370000}"/>
    <cellStyle name="20% - Accent5 3 4 6 2 3" xfId="32203" xr:uid="{00000000-0005-0000-0000-0000A8370000}"/>
    <cellStyle name="20% - Accent5 3 4 6 3" xfId="15252" xr:uid="{00000000-0005-0000-0000-0000A9370000}"/>
    <cellStyle name="20% - Accent5 3 4 6 3 2" xfId="37854" xr:uid="{00000000-0005-0000-0000-0000AA370000}"/>
    <cellStyle name="20% - Accent5 3 4 6 4" xfId="26553" xr:uid="{00000000-0005-0000-0000-0000AB370000}"/>
    <cellStyle name="20% - Accent5 3 4 7" xfId="6569" xr:uid="{00000000-0005-0000-0000-0000AC370000}"/>
    <cellStyle name="20% - Accent5 3 4 7 2" xfId="17870" xr:uid="{00000000-0005-0000-0000-0000AD370000}"/>
    <cellStyle name="20% - Accent5 3 4 7 2 2" xfId="40472" xr:uid="{00000000-0005-0000-0000-0000AE370000}"/>
    <cellStyle name="20% - Accent5 3 4 7 3" xfId="29171" xr:uid="{00000000-0005-0000-0000-0000AF370000}"/>
    <cellStyle name="20% - Accent5 3 4 8" xfId="12220" xr:uid="{00000000-0005-0000-0000-0000B0370000}"/>
    <cellStyle name="20% - Accent5 3 4 8 2" xfId="34822" xr:uid="{00000000-0005-0000-0000-0000B1370000}"/>
    <cellStyle name="20% - Accent5 3 4 9" xfId="23521" xr:uid="{00000000-0005-0000-0000-0000B2370000}"/>
    <cellStyle name="20% - Accent5 3 5" xfId="393" xr:uid="{00000000-0005-0000-0000-0000B3370000}"/>
    <cellStyle name="20% - Accent5 3 6" xfId="1422" xr:uid="{00000000-0005-0000-0000-0000B4370000}"/>
    <cellStyle name="20% - Accent5 3 7" xfId="6402" xr:uid="{00000000-0005-0000-0000-0000B5370000}"/>
    <cellStyle name="20% - Accent5 3 7 2" xfId="17703" xr:uid="{00000000-0005-0000-0000-0000B6370000}"/>
    <cellStyle name="20% - Accent5 3 7 2 2" xfId="40305" xr:uid="{00000000-0005-0000-0000-0000B7370000}"/>
    <cellStyle name="20% - Accent5 3 7 3" xfId="29004" xr:uid="{00000000-0005-0000-0000-0000B8370000}"/>
    <cellStyle name="20% - Accent5 3 8" xfId="12053" xr:uid="{00000000-0005-0000-0000-0000B9370000}"/>
    <cellStyle name="20% - Accent5 3 8 2" xfId="34655" xr:uid="{00000000-0005-0000-0000-0000BA370000}"/>
    <cellStyle name="20% - Accent5 3 9" xfId="23354" xr:uid="{00000000-0005-0000-0000-0000BB370000}"/>
    <cellStyle name="20% - Accent5 4" xfId="184" xr:uid="{00000000-0005-0000-0000-0000BC370000}"/>
    <cellStyle name="20% - Accent5 4 10" xfId="3937" xr:uid="{00000000-0005-0000-0000-0000BD370000}"/>
    <cellStyle name="20% - Accent5 4 10 2" xfId="9587" xr:uid="{00000000-0005-0000-0000-0000BE370000}"/>
    <cellStyle name="20% - Accent5 4 10 2 2" xfId="20888" xr:uid="{00000000-0005-0000-0000-0000BF370000}"/>
    <cellStyle name="20% - Accent5 4 10 2 2 2" xfId="43490" xr:uid="{00000000-0005-0000-0000-0000C0370000}"/>
    <cellStyle name="20% - Accent5 4 10 2 3" xfId="32189" xr:uid="{00000000-0005-0000-0000-0000C1370000}"/>
    <cellStyle name="20% - Accent5 4 10 3" xfId="15238" xr:uid="{00000000-0005-0000-0000-0000C2370000}"/>
    <cellStyle name="20% - Accent5 4 10 3 2" xfId="37840" xr:uid="{00000000-0005-0000-0000-0000C3370000}"/>
    <cellStyle name="20% - Accent5 4 10 4" xfId="26539" xr:uid="{00000000-0005-0000-0000-0000C4370000}"/>
    <cellStyle name="20% - Accent5 4 11" xfId="6416" xr:uid="{00000000-0005-0000-0000-0000C5370000}"/>
    <cellStyle name="20% - Accent5 4 11 2" xfId="17717" xr:uid="{00000000-0005-0000-0000-0000C6370000}"/>
    <cellStyle name="20% - Accent5 4 11 2 2" xfId="40319" xr:uid="{00000000-0005-0000-0000-0000C7370000}"/>
    <cellStyle name="20% - Accent5 4 11 3" xfId="29018" xr:uid="{00000000-0005-0000-0000-0000C8370000}"/>
    <cellStyle name="20% - Accent5 4 12" xfId="12067" xr:uid="{00000000-0005-0000-0000-0000C9370000}"/>
    <cellStyle name="20% - Accent5 4 12 2" xfId="34669" xr:uid="{00000000-0005-0000-0000-0000CA370000}"/>
    <cellStyle name="20% - Accent5 4 13" xfId="23368" xr:uid="{00000000-0005-0000-0000-0000CB370000}"/>
    <cellStyle name="20% - Accent5 4 2" xfId="307" xr:uid="{00000000-0005-0000-0000-0000CC370000}"/>
    <cellStyle name="20% - Accent5 4 2 10" xfId="23415" xr:uid="{00000000-0005-0000-0000-0000CD370000}"/>
    <cellStyle name="20% - Accent5 4 2 2" xfId="565" xr:uid="{00000000-0005-0000-0000-0000CE370000}"/>
    <cellStyle name="20% - Accent5 4 2 2 2" xfId="1275" xr:uid="{00000000-0005-0000-0000-0000CF370000}"/>
    <cellStyle name="20% - Accent5 4 2 2 2 2" xfId="1679" xr:uid="{00000000-0005-0000-0000-0000D0370000}"/>
    <cellStyle name="20% - Accent5 4 2 2 2 2 2" xfId="3344" xr:uid="{00000000-0005-0000-0000-0000D1370000}"/>
    <cellStyle name="20% - Accent5 4 2 2 2 2 2 2" xfId="6316" xr:uid="{00000000-0005-0000-0000-0000D2370000}"/>
    <cellStyle name="20% - Accent5 4 2 2 2 2 2 2 2" xfId="11966" xr:uid="{00000000-0005-0000-0000-0000D3370000}"/>
    <cellStyle name="20% - Accent5 4 2 2 2 2 2 2 2 2" xfId="23267" xr:uid="{00000000-0005-0000-0000-0000D4370000}"/>
    <cellStyle name="20% - Accent5 4 2 2 2 2 2 2 2 2 2" xfId="45869" xr:uid="{00000000-0005-0000-0000-0000D5370000}"/>
    <cellStyle name="20% - Accent5 4 2 2 2 2 2 2 2 3" xfId="34568" xr:uid="{00000000-0005-0000-0000-0000D6370000}"/>
    <cellStyle name="20% - Accent5 4 2 2 2 2 2 2 3" xfId="17617" xr:uid="{00000000-0005-0000-0000-0000D7370000}"/>
    <cellStyle name="20% - Accent5 4 2 2 2 2 2 2 3 2" xfId="40219" xr:uid="{00000000-0005-0000-0000-0000D8370000}"/>
    <cellStyle name="20% - Accent5 4 2 2 2 2 2 2 4" xfId="28918" xr:uid="{00000000-0005-0000-0000-0000D9370000}"/>
    <cellStyle name="20% - Accent5 4 2 2 2 2 2 3" xfId="9134" xr:uid="{00000000-0005-0000-0000-0000DA370000}"/>
    <cellStyle name="20% - Accent5 4 2 2 2 2 2 3 2" xfId="20435" xr:uid="{00000000-0005-0000-0000-0000DB370000}"/>
    <cellStyle name="20% - Accent5 4 2 2 2 2 2 3 2 2" xfId="43037" xr:uid="{00000000-0005-0000-0000-0000DC370000}"/>
    <cellStyle name="20% - Accent5 4 2 2 2 2 2 3 3" xfId="31736" xr:uid="{00000000-0005-0000-0000-0000DD370000}"/>
    <cellStyle name="20% - Accent5 4 2 2 2 2 2 4" xfId="14785" xr:uid="{00000000-0005-0000-0000-0000DE370000}"/>
    <cellStyle name="20% - Accent5 4 2 2 2 2 2 4 2" xfId="37387" xr:uid="{00000000-0005-0000-0000-0000DF370000}"/>
    <cellStyle name="20% - Accent5 4 2 2 2 2 2 5" xfId="26086" xr:uid="{00000000-0005-0000-0000-0000E0370000}"/>
    <cellStyle name="20% - Accent5 4 2 2 2 2 3" xfId="5082" xr:uid="{00000000-0005-0000-0000-0000E1370000}"/>
    <cellStyle name="20% - Accent5 4 2 2 2 2 3 2" xfId="10732" xr:uid="{00000000-0005-0000-0000-0000E2370000}"/>
    <cellStyle name="20% - Accent5 4 2 2 2 2 3 2 2" xfId="22033" xr:uid="{00000000-0005-0000-0000-0000E3370000}"/>
    <cellStyle name="20% - Accent5 4 2 2 2 2 3 2 2 2" xfId="44635" xr:uid="{00000000-0005-0000-0000-0000E4370000}"/>
    <cellStyle name="20% - Accent5 4 2 2 2 2 3 2 3" xfId="33334" xr:uid="{00000000-0005-0000-0000-0000E5370000}"/>
    <cellStyle name="20% - Accent5 4 2 2 2 2 3 3" xfId="16383" xr:uid="{00000000-0005-0000-0000-0000E6370000}"/>
    <cellStyle name="20% - Accent5 4 2 2 2 2 3 3 2" xfId="38985" xr:uid="{00000000-0005-0000-0000-0000E7370000}"/>
    <cellStyle name="20% - Accent5 4 2 2 2 2 3 4" xfId="27684" xr:uid="{00000000-0005-0000-0000-0000E8370000}"/>
    <cellStyle name="20% - Accent5 4 2 2 2 2 4" xfId="7535" xr:uid="{00000000-0005-0000-0000-0000E9370000}"/>
    <cellStyle name="20% - Accent5 4 2 2 2 2 4 2" xfId="18836" xr:uid="{00000000-0005-0000-0000-0000EA370000}"/>
    <cellStyle name="20% - Accent5 4 2 2 2 2 4 2 2" xfId="41438" xr:uid="{00000000-0005-0000-0000-0000EB370000}"/>
    <cellStyle name="20% - Accent5 4 2 2 2 2 4 3" xfId="30137" xr:uid="{00000000-0005-0000-0000-0000EC370000}"/>
    <cellStyle name="20% - Accent5 4 2 2 2 2 5" xfId="13186" xr:uid="{00000000-0005-0000-0000-0000ED370000}"/>
    <cellStyle name="20% - Accent5 4 2 2 2 2 5 2" xfId="35788" xr:uid="{00000000-0005-0000-0000-0000EE370000}"/>
    <cellStyle name="20% - Accent5 4 2 2 2 2 6" xfId="24487" xr:uid="{00000000-0005-0000-0000-0000EF370000}"/>
    <cellStyle name="20% - Accent5 4 2 2 2 3" xfId="2673" xr:uid="{00000000-0005-0000-0000-0000F0370000}"/>
    <cellStyle name="20% - Accent5 4 2 2 2 3 2" xfId="5692" xr:uid="{00000000-0005-0000-0000-0000F1370000}"/>
    <cellStyle name="20% - Accent5 4 2 2 2 3 2 2" xfId="11342" xr:uid="{00000000-0005-0000-0000-0000F2370000}"/>
    <cellStyle name="20% - Accent5 4 2 2 2 3 2 2 2" xfId="22643" xr:uid="{00000000-0005-0000-0000-0000F3370000}"/>
    <cellStyle name="20% - Accent5 4 2 2 2 3 2 2 2 2" xfId="45245" xr:uid="{00000000-0005-0000-0000-0000F4370000}"/>
    <cellStyle name="20% - Accent5 4 2 2 2 3 2 2 3" xfId="33944" xr:uid="{00000000-0005-0000-0000-0000F5370000}"/>
    <cellStyle name="20% - Accent5 4 2 2 2 3 2 3" xfId="16993" xr:uid="{00000000-0005-0000-0000-0000F6370000}"/>
    <cellStyle name="20% - Accent5 4 2 2 2 3 2 3 2" xfId="39595" xr:uid="{00000000-0005-0000-0000-0000F7370000}"/>
    <cellStyle name="20% - Accent5 4 2 2 2 3 2 4" xfId="28294" xr:uid="{00000000-0005-0000-0000-0000F8370000}"/>
    <cellStyle name="20% - Accent5 4 2 2 2 3 3" xfId="8509" xr:uid="{00000000-0005-0000-0000-0000F9370000}"/>
    <cellStyle name="20% - Accent5 4 2 2 2 3 3 2" xfId="19810" xr:uid="{00000000-0005-0000-0000-0000FA370000}"/>
    <cellStyle name="20% - Accent5 4 2 2 2 3 3 2 2" xfId="42412" xr:uid="{00000000-0005-0000-0000-0000FB370000}"/>
    <cellStyle name="20% - Accent5 4 2 2 2 3 3 3" xfId="31111" xr:uid="{00000000-0005-0000-0000-0000FC370000}"/>
    <cellStyle name="20% - Accent5 4 2 2 2 3 4" xfId="14160" xr:uid="{00000000-0005-0000-0000-0000FD370000}"/>
    <cellStyle name="20% - Accent5 4 2 2 2 3 4 2" xfId="36762" xr:uid="{00000000-0005-0000-0000-0000FE370000}"/>
    <cellStyle name="20% - Accent5 4 2 2 2 3 5" xfId="25461" xr:uid="{00000000-0005-0000-0000-0000FF370000}"/>
    <cellStyle name="20% - Accent5 4 2 2 2 4" xfId="4458" xr:uid="{00000000-0005-0000-0000-000000380000}"/>
    <cellStyle name="20% - Accent5 4 2 2 2 4 2" xfId="10108" xr:uid="{00000000-0005-0000-0000-000001380000}"/>
    <cellStyle name="20% - Accent5 4 2 2 2 4 2 2" xfId="21409" xr:uid="{00000000-0005-0000-0000-000002380000}"/>
    <cellStyle name="20% - Accent5 4 2 2 2 4 2 2 2" xfId="44011" xr:uid="{00000000-0005-0000-0000-000003380000}"/>
    <cellStyle name="20% - Accent5 4 2 2 2 4 2 3" xfId="32710" xr:uid="{00000000-0005-0000-0000-000004380000}"/>
    <cellStyle name="20% - Accent5 4 2 2 2 4 3" xfId="15759" xr:uid="{00000000-0005-0000-0000-000005380000}"/>
    <cellStyle name="20% - Accent5 4 2 2 2 4 3 2" xfId="38361" xr:uid="{00000000-0005-0000-0000-000006380000}"/>
    <cellStyle name="20% - Accent5 4 2 2 2 4 4" xfId="27060" xr:uid="{00000000-0005-0000-0000-000007380000}"/>
    <cellStyle name="20% - Accent5 4 2 2 2 5" xfId="7254" xr:uid="{00000000-0005-0000-0000-000008380000}"/>
    <cellStyle name="20% - Accent5 4 2 2 2 5 2" xfId="18555" xr:uid="{00000000-0005-0000-0000-000009380000}"/>
    <cellStyle name="20% - Accent5 4 2 2 2 5 2 2" xfId="41157" xr:uid="{00000000-0005-0000-0000-00000A380000}"/>
    <cellStyle name="20% - Accent5 4 2 2 2 5 3" xfId="29856" xr:uid="{00000000-0005-0000-0000-00000B380000}"/>
    <cellStyle name="20% - Accent5 4 2 2 2 6" xfId="12905" xr:uid="{00000000-0005-0000-0000-00000C380000}"/>
    <cellStyle name="20% - Accent5 4 2 2 2 6 2" xfId="35507" xr:uid="{00000000-0005-0000-0000-00000D380000}"/>
    <cellStyle name="20% - Accent5 4 2 2 2 7" xfId="24206" xr:uid="{00000000-0005-0000-0000-00000E380000}"/>
    <cellStyle name="20% - Accent5 4 2 2 3" xfId="973" xr:uid="{00000000-0005-0000-0000-00000F380000}"/>
    <cellStyle name="20% - Accent5 4 2 2 3 2" xfId="3036" xr:uid="{00000000-0005-0000-0000-000010380000}"/>
    <cellStyle name="20% - Accent5 4 2 2 3 2 2" xfId="6008" xr:uid="{00000000-0005-0000-0000-000011380000}"/>
    <cellStyle name="20% - Accent5 4 2 2 3 2 2 2" xfId="11658" xr:uid="{00000000-0005-0000-0000-000012380000}"/>
    <cellStyle name="20% - Accent5 4 2 2 3 2 2 2 2" xfId="22959" xr:uid="{00000000-0005-0000-0000-000013380000}"/>
    <cellStyle name="20% - Accent5 4 2 2 3 2 2 2 2 2" xfId="45561" xr:uid="{00000000-0005-0000-0000-000014380000}"/>
    <cellStyle name="20% - Accent5 4 2 2 3 2 2 2 3" xfId="34260" xr:uid="{00000000-0005-0000-0000-000015380000}"/>
    <cellStyle name="20% - Accent5 4 2 2 3 2 2 3" xfId="17309" xr:uid="{00000000-0005-0000-0000-000016380000}"/>
    <cellStyle name="20% - Accent5 4 2 2 3 2 2 3 2" xfId="39911" xr:uid="{00000000-0005-0000-0000-000017380000}"/>
    <cellStyle name="20% - Accent5 4 2 2 3 2 2 4" xfId="28610" xr:uid="{00000000-0005-0000-0000-000018380000}"/>
    <cellStyle name="20% - Accent5 4 2 2 3 2 3" xfId="8826" xr:uid="{00000000-0005-0000-0000-000019380000}"/>
    <cellStyle name="20% - Accent5 4 2 2 3 2 3 2" xfId="20127" xr:uid="{00000000-0005-0000-0000-00001A380000}"/>
    <cellStyle name="20% - Accent5 4 2 2 3 2 3 2 2" xfId="42729" xr:uid="{00000000-0005-0000-0000-00001B380000}"/>
    <cellStyle name="20% - Accent5 4 2 2 3 2 3 3" xfId="31428" xr:uid="{00000000-0005-0000-0000-00001C380000}"/>
    <cellStyle name="20% - Accent5 4 2 2 3 2 4" xfId="14477" xr:uid="{00000000-0005-0000-0000-00001D380000}"/>
    <cellStyle name="20% - Accent5 4 2 2 3 2 4 2" xfId="37079" xr:uid="{00000000-0005-0000-0000-00001E380000}"/>
    <cellStyle name="20% - Accent5 4 2 2 3 2 5" xfId="25778" xr:uid="{00000000-0005-0000-0000-00001F380000}"/>
    <cellStyle name="20% - Accent5 4 2 2 3 3" xfId="4774" xr:uid="{00000000-0005-0000-0000-000020380000}"/>
    <cellStyle name="20% - Accent5 4 2 2 3 3 2" xfId="10424" xr:uid="{00000000-0005-0000-0000-000021380000}"/>
    <cellStyle name="20% - Accent5 4 2 2 3 3 2 2" xfId="21725" xr:uid="{00000000-0005-0000-0000-000022380000}"/>
    <cellStyle name="20% - Accent5 4 2 2 3 3 2 2 2" xfId="44327" xr:uid="{00000000-0005-0000-0000-000023380000}"/>
    <cellStyle name="20% - Accent5 4 2 2 3 3 2 3" xfId="33026" xr:uid="{00000000-0005-0000-0000-000024380000}"/>
    <cellStyle name="20% - Accent5 4 2 2 3 3 3" xfId="16075" xr:uid="{00000000-0005-0000-0000-000025380000}"/>
    <cellStyle name="20% - Accent5 4 2 2 3 3 3 2" xfId="38677" xr:uid="{00000000-0005-0000-0000-000026380000}"/>
    <cellStyle name="20% - Accent5 4 2 2 3 3 4" xfId="27376" xr:uid="{00000000-0005-0000-0000-000027380000}"/>
    <cellStyle name="20% - Accent5 4 2 2 3 4" xfId="6961" xr:uid="{00000000-0005-0000-0000-000028380000}"/>
    <cellStyle name="20% - Accent5 4 2 2 3 4 2" xfId="18262" xr:uid="{00000000-0005-0000-0000-000029380000}"/>
    <cellStyle name="20% - Accent5 4 2 2 3 4 2 2" xfId="40864" xr:uid="{00000000-0005-0000-0000-00002A380000}"/>
    <cellStyle name="20% - Accent5 4 2 2 3 4 3" xfId="29563" xr:uid="{00000000-0005-0000-0000-00002B380000}"/>
    <cellStyle name="20% - Accent5 4 2 2 3 5" xfId="12612" xr:uid="{00000000-0005-0000-0000-00002C380000}"/>
    <cellStyle name="20% - Accent5 4 2 2 3 5 2" xfId="35214" xr:uid="{00000000-0005-0000-0000-00002D380000}"/>
    <cellStyle name="20% - Accent5 4 2 2 3 6" xfId="23913" xr:uid="{00000000-0005-0000-0000-00002E380000}"/>
    <cellStyle name="20% - Accent5 4 2 2 4" xfId="1678" xr:uid="{00000000-0005-0000-0000-00002F380000}"/>
    <cellStyle name="20% - Accent5 4 2 2 4 2" xfId="3607" xr:uid="{00000000-0005-0000-0000-000030380000}"/>
    <cellStyle name="20% - Accent5 4 2 2 4 2 2" xfId="9318" xr:uid="{00000000-0005-0000-0000-000031380000}"/>
    <cellStyle name="20% - Accent5 4 2 2 4 2 2 2" xfId="20619" xr:uid="{00000000-0005-0000-0000-000032380000}"/>
    <cellStyle name="20% - Accent5 4 2 2 4 2 2 2 2" xfId="43221" xr:uid="{00000000-0005-0000-0000-000033380000}"/>
    <cellStyle name="20% - Accent5 4 2 2 4 2 2 3" xfId="31920" xr:uid="{00000000-0005-0000-0000-000034380000}"/>
    <cellStyle name="20% - Accent5 4 2 2 4 2 3" xfId="14969" xr:uid="{00000000-0005-0000-0000-000035380000}"/>
    <cellStyle name="20% - Accent5 4 2 2 4 2 3 2" xfId="37571" xr:uid="{00000000-0005-0000-0000-000036380000}"/>
    <cellStyle name="20% - Accent5 4 2 2 4 2 4" xfId="26270" xr:uid="{00000000-0005-0000-0000-000037380000}"/>
    <cellStyle name="20% - Accent5 4 2 2 4 3" xfId="5384" xr:uid="{00000000-0005-0000-0000-000038380000}"/>
    <cellStyle name="20% - Accent5 4 2 2 4 3 2" xfId="11034" xr:uid="{00000000-0005-0000-0000-000039380000}"/>
    <cellStyle name="20% - Accent5 4 2 2 4 3 2 2" xfId="22335" xr:uid="{00000000-0005-0000-0000-00003A380000}"/>
    <cellStyle name="20% - Accent5 4 2 2 4 3 2 2 2" xfId="44937" xr:uid="{00000000-0005-0000-0000-00003B380000}"/>
    <cellStyle name="20% - Accent5 4 2 2 4 3 2 3" xfId="33636" xr:uid="{00000000-0005-0000-0000-00003C380000}"/>
    <cellStyle name="20% - Accent5 4 2 2 4 3 3" xfId="16685" xr:uid="{00000000-0005-0000-0000-00003D380000}"/>
    <cellStyle name="20% - Accent5 4 2 2 4 3 3 2" xfId="39287" xr:uid="{00000000-0005-0000-0000-00003E380000}"/>
    <cellStyle name="20% - Accent5 4 2 2 4 3 4" xfId="27986" xr:uid="{00000000-0005-0000-0000-00003F380000}"/>
    <cellStyle name="20% - Accent5 4 2 2 4 4" xfId="7534" xr:uid="{00000000-0005-0000-0000-000040380000}"/>
    <cellStyle name="20% - Accent5 4 2 2 4 4 2" xfId="18835" xr:uid="{00000000-0005-0000-0000-000041380000}"/>
    <cellStyle name="20% - Accent5 4 2 2 4 4 2 2" xfId="41437" xr:uid="{00000000-0005-0000-0000-000042380000}"/>
    <cellStyle name="20% - Accent5 4 2 2 4 4 3" xfId="30136" xr:uid="{00000000-0005-0000-0000-000043380000}"/>
    <cellStyle name="20% - Accent5 4 2 2 4 5" xfId="13185" xr:uid="{00000000-0005-0000-0000-000044380000}"/>
    <cellStyle name="20% - Accent5 4 2 2 4 5 2" xfId="35787" xr:uid="{00000000-0005-0000-0000-000045380000}"/>
    <cellStyle name="20% - Accent5 4 2 2 4 6" xfId="24486" xr:uid="{00000000-0005-0000-0000-000046380000}"/>
    <cellStyle name="20% - Accent5 4 2 2 5" xfId="2365" xr:uid="{00000000-0005-0000-0000-000047380000}"/>
    <cellStyle name="20% - Accent5 4 2 2 5 2" xfId="8201" xr:uid="{00000000-0005-0000-0000-000048380000}"/>
    <cellStyle name="20% - Accent5 4 2 2 5 2 2" xfId="19502" xr:uid="{00000000-0005-0000-0000-000049380000}"/>
    <cellStyle name="20% - Accent5 4 2 2 5 2 2 2" xfId="42104" xr:uid="{00000000-0005-0000-0000-00004A380000}"/>
    <cellStyle name="20% - Accent5 4 2 2 5 2 3" xfId="30803" xr:uid="{00000000-0005-0000-0000-00004B380000}"/>
    <cellStyle name="20% - Accent5 4 2 2 5 3" xfId="13852" xr:uid="{00000000-0005-0000-0000-00004C380000}"/>
    <cellStyle name="20% - Accent5 4 2 2 5 3 2" xfId="36454" xr:uid="{00000000-0005-0000-0000-00004D380000}"/>
    <cellStyle name="20% - Accent5 4 2 2 5 4" xfId="25153" xr:uid="{00000000-0005-0000-0000-00004E380000}"/>
    <cellStyle name="20% - Accent5 4 2 2 6" xfId="4150" xr:uid="{00000000-0005-0000-0000-00004F380000}"/>
    <cellStyle name="20% - Accent5 4 2 2 6 2" xfId="9800" xr:uid="{00000000-0005-0000-0000-000050380000}"/>
    <cellStyle name="20% - Accent5 4 2 2 6 2 2" xfId="21101" xr:uid="{00000000-0005-0000-0000-000051380000}"/>
    <cellStyle name="20% - Accent5 4 2 2 6 2 2 2" xfId="43703" xr:uid="{00000000-0005-0000-0000-000052380000}"/>
    <cellStyle name="20% - Accent5 4 2 2 6 2 3" xfId="32402" xr:uid="{00000000-0005-0000-0000-000053380000}"/>
    <cellStyle name="20% - Accent5 4 2 2 6 3" xfId="15451" xr:uid="{00000000-0005-0000-0000-000054380000}"/>
    <cellStyle name="20% - Accent5 4 2 2 6 3 2" xfId="38053" xr:uid="{00000000-0005-0000-0000-000055380000}"/>
    <cellStyle name="20% - Accent5 4 2 2 6 4" xfId="26752" xr:uid="{00000000-0005-0000-0000-000056380000}"/>
    <cellStyle name="20% - Accent5 4 2 2 7" xfId="6630" xr:uid="{00000000-0005-0000-0000-000057380000}"/>
    <cellStyle name="20% - Accent5 4 2 2 7 2" xfId="17931" xr:uid="{00000000-0005-0000-0000-000058380000}"/>
    <cellStyle name="20% - Accent5 4 2 2 7 2 2" xfId="40533" xr:uid="{00000000-0005-0000-0000-000059380000}"/>
    <cellStyle name="20% - Accent5 4 2 2 7 3" xfId="29232" xr:uid="{00000000-0005-0000-0000-00005A380000}"/>
    <cellStyle name="20% - Accent5 4 2 2 8" xfId="12281" xr:uid="{00000000-0005-0000-0000-00005B380000}"/>
    <cellStyle name="20% - Accent5 4 2 2 8 2" xfId="34883" xr:uid="{00000000-0005-0000-0000-00005C380000}"/>
    <cellStyle name="20% - Accent5 4 2 2 9" xfId="23582" xr:uid="{00000000-0005-0000-0000-00005D380000}"/>
    <cellStyle name="20% - Accent5 4 2 3" xfId="1137" xr:uid="{00000000-0005-0000-0000-00005E380000}"/>
    <cellStyle name="20% - Accent5 4 2 3 2" xfId="1680" xr:uid="{00000000-0005-0000-0000-00005F380000}"/>
    <cellStyle name="20% - Accent5 4 2 3 2 2" xfId="3205" xr:uid="{00000000-0005-0000-0000-000060380000}"/>
    <cellStyle name="20% - Accent5 4 2 3 2 2 2" xfId="6177" xr:uid="{00000000-0005-0000-0000-000061380000}"/>
    <cellStyle name="20% - Accent5 4 2 3 2 2 2 2" xfId="11827" xr:uid="{00000000-0005-0000-0000-000062380000}"/>
    <cellStyle name="20% - Accent5 4 2 3 2 2 2 2 2" xfId="23128" xr:uid="{00000000-0005-0000-0000-000063380000}"/>
    <cellStyle name="20% - Accent5 4 2 3 2 2 2 2 2 2" xfId="45730" xr:uid="{00000000-0005-0000-0000-000064380000}"/>
    <cellStyle name="20% - Accent5 4 2 3 2 2 2 2 3" xfId="34429" xr:uid="{00000000-0005-0000-0000-000065380000}"/>
    <cellStyle name="20% - Accent5 4 2 3 2 2 2 3" xfId="17478" xr:uid="{00000000-0005-0000-0000-000066380000}"/>
    <cellStyle name="20% - Accent5 4 2 3 2 2 2 3 2" xfId="40080" xr:uid="{00000000-0005-0000-0000-000067380000}"/>
    <cellStyle name="20% - Accent5 4 2 3 2 2 2 4" xfId="28779" xr:uid="{00000000-0005-0000-0000-000068380000}"/>
    <cellStyle name="20% - Accent5 4 2 3 2 2 3" xfId="8995" xr:uid="{00000000-0005-0000-0000-000069380000}"/>
    <cellStyle name="20% - Accent5 4 2 3 2 2 3 2" xfId="20296" xr:uid="{00000000-0005-0000-0000-00006A380000}"/>
    <cellStyle name="20% - Accent5 4 2 3 2 2 3 2 2" xfId="42898" xr:uid="{00000000-0005-0000-0000-00006B380000}"/>
    <cellStyle name="20% - Accent5 4 2 3 2 2 3 3" xfId="31597" xr:uid="{00000000-0005-0000-0000-00006C380000}"/>
    <cellStyle name="20% - Accent5 4 2 3 2 2 4" xfId="14646" xr:uid="{00000000-0005-0000-0000-00006D380000}"/>
    <cellStyle name="20% - Accent5 4 2 3 2 2 4 2" xfId="37248" xr:uid="{00000000-0005-0000-0000-00006E380000}"/>
    <cellStyle name="20% - Accent5 4 2 3 2 2 5" xfId="25947" xr:uid="{00000000-0005-0000-0000-00006F380000}"/>
    <cellStyle name="20% - Accent5 4 2 3 2 3" xfId="4943" xr:uid="{00000000-0005-0000-0000-000070380000}"/>
    <cellStyle name="20% - Accent5 4 2 3 2 3 2" xfId="10593" xr:uid="{00000000-0005-0000-0000-000071380000}"/>
    <cellStyle name="20% - Accent5 4 2 3 2 3 2 2" xfId="21894" xr:uid="{00000000-0005-0000-0000-000072380000}"/>
    <cellStyle name="20% - Accent5 4 2 3 2 3 2 2 2" xfId="44496" xr:uid="{00000000-0005-0000-0000-000073380000}"/>
    <cellStyle name="20% - Accent5 4 2 3 2 3 2 3" xfId="33195" xr:uid="{00000000-0005-0000-0000-000074380000}"/>
    <cellStyle name="20% - Accent5 4 2 3 2 3 3" xfId="16244" xr:uid="{00000000-0005-0000-0000-000075380000}"/>
    <cellStyle name="20% - Accent5 4 2 3 2 3 3 2" xfId="38846" xr:uid="{00000000-0005-0000-0000-000076380000}"/>
    <cellStyle name="20% - Accent5 4 2 3 2 3 4" xfId="27545" xr:uid="{00000000-0005-0000-0000-000077380000}"/>
    <cellStyle name="20% - Accent5 4 2 3 2 4" xfId="7536" xr:uid="{00000000-0005-0000-0000-000078380000}"/>
    <cellStyle name="20% - Accent5 4 2 3 2 4 2" xfId="18837" xr:uid="{00000000-0005-0000-0000-000079380000}"/>
    <cellStyle name="20% - Accent5 4 2 3 2 4 2 2" xfId="41439" xr:uid="{00000000-0005-0000-0000-00007A380000}"/>
    <cellStyle name="20% - Accent5 4 2 3 2 4 3" xfId="30138" xr:uid="{00000000-0005-0000-0000-00007B380000}"/>
    <cellStyle name="20% - Accent5 4 2 3 2 5" xfId="13187" xr:uid="{00000000-0005-0000-0000-00007C380000}"/>
    <cellStyle name="20% - Accent5 4 2 3 2 5 2" xfId="35789" xr:uid="{00000000-0005-0000-0000-00007D380000}"/>
    <cellStyle name="20% - Accent5 4 2 3 2 6" xfId="24488" xr:uid="{00000000-0005-0000-0000-00007E380000}"/>
    <cellStyle name="20% - Accent5 4 2 3 3" xfId="2534" xr:uid="{00000000-0005-0000-0000-00007F380000}"/>
    <cellStyle name="20% - Accent5 4 2 3 3 2" xfId="5553" xr:uid="{00000000-0005-0000-0000-000080380000}"/>
    <cellStyle name="20% - Accent5 4 2 3 3 2 2" xfId="11203" xr:uid="{00000000-0005-0000-0000-000081380000}"/>
    <cellStyle name="20% - Accent5 4 2 3 3 2 2 2" xfId="22504" xr:uid="{00000000-0005-0000-0000-000082380000}"/>
    <cellStyle name="20% - Accent5 4 2 3 3 2 2 2 2" xfId="45106" xr:uid="{00000000-0005-0000-0000-000083380000}"/>
    <cellStyle name="20% - Accent5 4 2 3 3 2 2 3" xfId="33805" xr:uid="{00000000-0005-0000-0000-000084380000}"/>
    <cellStyle name="20% - Accent5 4 2 3 3 2 3" xfId="16854" xr:uid="{00000000-0005-0000-0000-000085380000}"/>
    <cellStyle name="20% - Accent5 4 2 3 3 2 3 2" xfId="39456" xr:uid="{00000000-0005-0000-0000-000086380000}"/>
    <cellStyle name="20% - Accent5 4 2 3 3 2 4" xfId="28155" xr:uid="{00000000-0005-0000-0000-000087380000}"/>
    <cellStyle name="20% - Accent5 4 2 3 3 3" xfId="8370" xr:uid="{00000000-0005-0000-0000-000088380000}"/>
    <cellStyle name="20% - Accent5 4 2 3 3 3 2" xfId="19671" xr:uid="{00000000-0005-0000-0000-000089380000}"/>
    <cellStyle name="20% - Accent5 4 2 3 3 3 2 2" xfId="42273" xr:uid="{00000000-0005-0000-0000-00008A380000}"/>
    <cellStyle name="20% - Accent5 4 2 3 3 3 3" xfId="30972" xr:uid="{00000000-0005-0000-0000-00008B380000}"/>
    <cellStyle name="20% - Accent5 4 2 3 3 4" xfId="14021" xr:uid="{00000000-0005-0000-0000-00008C380000}"/>
    <cellStyle name="20% - Accent5 4 2 3 3 4 2" xfId="36623" xr:uid="{00000000-0005-0000-0000-00008D380000}"/>
    <cellStyle name="20% - Accent5 4 2 3 3 5" xfId="25322" xr:uid="{00000000-0005-0000-0000-00008E380000}"/>
    <cellStyle name="20% - Accent5 4 2 3 4" xfId="4319" xr:uid="{00000000-0005-0000-0000-00008F380000}"/>
    <cellStyle name="20% - Accent5 4 2 3 4 2" xfId="9969" xr:uid="{00000000-0005-0000-0000-000090380000}"/>
    <cellStyle name="20% - Accent5 4 2 3 4 2 2" xfId="21270" xr:uid="{00000000-0005-0000-0000-000091380000}"/>
    <cellStyle name="20% - Accent5 4 2 3 4 2 2 2" xfId="43872" xr:uid="{00000000-0005-0000-0000-000092380000}"/>
    <cellStyle name="20% - Accent5 4 2 3 4 2 3" xfId="32571" xr:uid="{00000000-0005-0000-0000-000093380000}"/>
    <cellStyle name="20% - Accent5 4 2 3 4 3" xfId="15620" xr:uid="{00000000-0005-0000-0000-000094380000}"/>
    <cellStyle name="20% - Accent5 4 2 3 4 3 2" xfId="38222" xr:uid="{00000000-0005-0000-0000-000095380000}"/>
    <cellStyle name="20% - Accent5 4 2 3 4 4" xfId="26921" xr:uid="{00000000-0005-0000-0000-000096380000}"/>
    <cellStyle name="20% - Accent5 4 2 3 5" xfId="7116" xr:uid="{00000000-0005-0000-0000-000097380000}"/>
    <cellStyle name="20% - Accent5 4 2 3 5 2" xfId="18417" xr:uid="{00000000-0005-0000-0000-000098380000}"/>
    <cellStyle name="20% - Accent5 4 2 3 5 2 2" xfId="41019" xr:uid="{00000000-0005-0000-0000-000099380000}"/>
    <cellStyle name="20% - Accent5 4 2 3 5 3" xfId="29718" xr:uid="{00000000-0005-0000-0000-00009A380000}"/>
    <cellStyle name="20% - Accent5 4 2 3 6" xfId="12767" xr:uid="{00000000-0005-0000-0000-00009B380000}"/>
    <cellStyle name="20% - Accent5 4 2 3 6 2" xfId="35369" xr:uid="{00000000-0005-0000-0000-00009C380000}"/>
    <cellStyle name="20% - Accent5 4 2 3 7" xfId="24068" xr:uid="{00000000-0005-0000-0000-00009D380000}"/>
    <cellStyle name="20% - Accent5 4 2 4" xfId="827" xr:uid="{00000000-0005-0000-0000-00009E380000}"/>
    <cellStyle name="20% - Accent5 4 2 4 2" xfId="2898" xr:uid="{00000000-0005-0000-0000-00009F380000}"/>
    <cellStyle name="20% - Accent5 4 2 4 2 2" xfId="5870" xr:uid="{00000000-0005-0000-0000-0000A0380000}"/>
    <cellStyle name="20% - Accent5 4 2 4 2 2 2" xfId="11520" xr:uid="{00000000-0005-0000-0000-0000A1380000}"/>
    <cellStyle name="20% - Accent5 4 2 4 2 2 2 2" xfId="22821" xr:uid="{00000000-0005-0000-0000-0000A2380000}"/>
    <cellStyle name="20% - Accent5 4 2 4 2 2 2 2 2" xfId="45423" xr:uid="{00000000-0005-0000-0000-0000A3380000}"/>
    <cellStyle name="20% - Accent5 4 2 4 2 2 2 3" xfId="34122" xr:uid="{00000000-0005-0000-0000-0000A4380000}"/>
    <cellStyle name="20% - Accent5 4 2 4 2 2 3" xfId="17171" xr:uid="{00000000-0005-0000-0000-0000A5380000}"/>
    <cellStyle name="20% - Accent5 4 2 4 2 2 3 2" xfId="39773" xr:uid="{00000000-0005-0000-0000-0000A6380000}"/>
    <cellStyle name="20% - Accent5 4 2 4 2 2 4" xfId="28472" xr:uid="{00000000-0005-0000-0000-0000A7380000}"/>
    <cellStyle name="20% - Accent5 4 2 4 2 3" xfId="8688" xr:uid="{00000000-0005-0000-0000-0000A8380000}"/>
    <cellStyle name="20% - Accent5 4 2 4 2 3 2" xfId="19989" xr:uid="{00000000-0005-0000-0000-0000A9380000}"/>
    <cellStyle name="20% - Accent5 4 2 4 2 3 2 2" xfId="42591" xr:uid="{00000000-0005-0000-0000-0000AA380000}"/>
    <cellStyle name="20% - Accent5 4 2 4 2 3 3" xfId="31290" xr:uid="{00000000-0005-0000-0000-0000AB380000}"/>
    <cellStyle name="20% - Accent5 4 2 4 2 4" xfId="14339" xr:uid="{00000000-0005-0000-0000-0000AC380000}"/>
    <cellStyle name="20% - Accent5 4 2 4 2 4 2" xfId="36941" xr:uid="{00000000-0005-0000-0000-0000AD380000}"/>
    <cellStyle name="20% - Accent5 4 2 4 2 5" xfId="25640" xr:uid="{00000000-0005-0000-0000-0000AE380000}"/>
    <cellStyle name="20% - Accent5 4 2 4 3" xfId="4636" xr:uid="{00000000-0005-0000-0000-0000AF380000}"/>
    <cellStyle name="20% - Accent5 4 2 4 3 2" xfId="10286" xr:uid="{00000000-0005-0000-0000-0000B0380000}"/>
    <cellStyle name="20% - Accent5 4 2 4 3 2 2" xfId="21587" xr:uid="{00000000-0005-0000-0000-0000B1380000}"/>
    <cellStyle name="20% - Accent5 4 2 4 3 2 2 2" xfId="44189" xr:uid="{00000000-0005-0000-0000-0000B2380000}"/>
    <cellStyle name="20% - Accent5 4 2 4 3 2 3" xfId="32888" xr:uid="{00000000-0005-0000-0000-0000B3380000}"/>
    <cellStyle name="20% - Accent5 4 2 4 3 3" xfId="15937" xr:uid="{00000000-0005-0000-0000-0000B4380000}"/>
    <cellStyle name="20% - Accent5 4 2 4 3 3 2" xfId="38539" xr:uid="{00000000-0005-0000-0000-0000B5380000}"/>
    <cellStyle name="20% - Accent5 4 2 4 3 4" xfId="27238" xr:uid="{00000000-0005-0000-0000-0000B6380000}"/>
    <cellStyle name="20% - Accent5 4 2 4 4" xfId="6823" xr:uid="{00000000-0005-0000-0000-0000B7380000}"/>
    <cellStyle name="20% - Accent5 4 2 4 4 2" xfId="18124" xr:uid="{00000000-0005-0000-0000-0000B8380000}"/>
    <cellStyle name="20% - Accent5 4 2 4 4 2 2" xfId="40726" xr:uid="{00000000-0005-0000-0000-0000B9380000}"/>
    <cellStyle name="20% - Accent5 4 2 4 4 3" xfId="29425" xr:uid="{00000000-0005-0000-0000-0000BA380000}"/>
    <cellStyle name="20% - Accent5 4 2 4 5" xfId="12474" xr:uid="{00000000-0005-0000-0000-0000BB380000}"/>
    <cellStyle name="20% - Accent5 4 2 4 5 2" xfId="35076" xr:uid="{00000000-0005-0000-0000-0000BC380000}"/>
    <cellStyle name="20% - Accent5 4 2 4 6" xfId="23775" xr:uid="{00000000-0005-0000-0000-0000BD380000}"/>
    <cellStyle name="20% - Accent5 4 2 5" xfId="1677" xr:uid="{00000000-0005-0000-0000-0000BE380000}"/>
    <cellStyle name="20% - Accent5 4 2 5 2" xfId="3606" xr:uid="{00000000-0005-0000-0000-0000BF380000}"/>
    <cellStyle name="20% - Accent5 4 2 5 2 2" xfId="9317" xr:uid="{00000000-0005-0000-0000-0000C0380000}"/>
    <cellStyle name="20% - Accent5 4 2 5 2 2 2" xfId="20618" xr:uid="{00000000-0005-0000-0000-0000C1380000}"/>
    <cellStyle name="20% - Accent5 4 2 5 2 2 2 2" xfId="43220" xr:uid="{00000000-0005-0000-0000-0000C2380000}"/>
    <cellStyle name="20% - Accent5 4 2 5 2 2 3" xfId="31919" xr:uid="{00000000-0005-0000-0000-0000C3380000}"/>
    <cellStyle name="20% - Accent5 4 2 5 2 3" xfId="14968" xr:uid="{00000000-0005-0000-0000-0000C4380000}"/>
    <cellStyle name="20% - Accent5 4 2 5 2 3 2" xfId="37570" xr:uid="{00000000-0005-0000-0000-0000C5380000}"/>
    <cellStyle name="20% - Accent5 4 2 5 2 4" xfId="26269" xr:uid="{00000000-0005-0000-0000-0000C6380000}"/>
    <cellStyle name="20% - Accent5 4 2 5 3" xfId="5246" xr:uid="{00000000-0005-0000-0000-0000C7380000}"/>
    <cellStyle name="20% - Accent5 4 2 5 3 2" xfId="10896" xr:uid="{00000000-0005-0000-0000-0000C8380000}"/>
    <cellStyle name="20% - Accent5 4 2 5 3 2 2" xfId="22197" xr:uid="{00000000-0005-0000-0000-0000C9380000}"/>
    <cellStyle name="20% - Accent5 4 2 5 3 2 2 2" xfId="44799" xr:uid="{00000000-0005-0000-0000-0000CA380000}"/>
    <cellStyle name="20% - Accent5 4 2 5 3 2 3" xfId="33498" xr:uid="{00000000-0005-0000-0000-0000CB380000}"/>
    <cellStyle name="20% - Accent5 4 2 5 3 3" xfId="16547" xr:uid="{00000000-0005-0000-0000-0000CC380000}"/>
    <cellStyle name="20% - Accent5 4 2 5 3 3 2" xfId="39149" xr:uid="{00000000-0005-0000-0000-0000CD380000}"/>
    <cellStyle name="20% - Accent5 4 2 5 3 4" xfId="27848" xr:uid="{00000000-0005-0000-0000-0000CE380000}"/>
    <cellStyle name="20% - Accent5 4 2 5 4" xfId="7533" xr:uid="{00000000-0005-0000-0000-0000CF380000}"/>
    <cellStyle name="20% - Accent5 4 2 5 4 2" xfId="18834" xr:uid="{00000000-0005-0000-0000-0000D0380000}"/>
    <cellStyle name="20% - Accent5 4 2 5 4 2 2" xfId="41436" xr:uid="{00000000-0005-0000-0000-0000D1380000}"/>
    <cellStyle name="20% - Accent5 4 2 5 4 3" xfId="30135" xr:uid="{00000000-0005-0000-0000-0000D2380000}"/>
    <cellStyle name="20% - Accent5 4 2 5 5" xfId="13184" xr:uid="{00000000-0005-0000-0000-0000D3380000}"/>
    <cellStyle name="20% - Accent5 4 2 5 5 2" xfId="35786" xr:uid="{00000000-0005-0000-0000-0000D4380000}"/>
    <cellStyle name="20% - Accent5 4 2 5 6" xfId="24485" xr:uid="{00000000-0005-0000-0000-0000D5380000}"/>
    <cellStyle name="20% - Accent5 4 2 6" xfId="2225" xr:uid="{00000000-0005-0000-0000-0000D6380000}"/>
    <cellStyle name="20% - Accent5 4 2 6 2" xfId="8061" xr:uid="{00000000-0005-0000-0000-0000D7380000}"/>
    <cellStyle name="20% - Accent5 4 2 6 2 2" xfId="19362" xr:uid="{00000000-0005-0000-0000-0000D8380000}"/>
    <cellStyle name="20% - Accent5 4 2 6 2 2 2" xfId="41964" xr:uid="{00000000-0005-0000-0000-0000D9380000}"/>
    <cellStyle name="20% - Accent5 4 2 6 2 3" xfId="30663" xr:uid="{00000000-0005-0000-0000-0000DA380000}"/>
    <cellStyle name="20% - Accent5 4 2 6 3" xfId="13712" xr:uid="{00000000-0005-0000-0000-0000DB380000}"/>
    <cellStyle name="20% - Accent5 4 2 6 3 2" xfId="36314" xr:uid="{00000000-0005-0000-0000-0000DC380000}"/>
    <cellStyle name="20% - Accent5 4 2 6 4" xfId="25013" xr:uid="{00000000-0005-0000-0000-0000DD380000}"/>
    <cellStyle name="20% - Accent5 4 2 7" xfId="4012" xr:uid="{00000000-0005-0000-0000-0000DE380000}"/>
    <cellStyle name="20% - Accent5 4 2 7 2" xfId="9662" xr:uid="{00000000-0005-0000-0000-0000DF380000}"/>
    <cellStyle name="20% - Accent5 4 2 7 2 2" xfId="20963" xr:uid="{00000000-0005-0000-0000-0000E0380000}"/>
    <cellStyle name="20% - Accent5 4 2 7 2 2 2" xfId="43565" xr:uid="{00000000-0005-0000-0000-0000E1380000}"/>
    <cellStyle name="20% - Accent5 4 2 7 2 3" xfId="32264" xr:uid="{00000000-0005-0000-0000-0000E2380000}"/>
    <cellStyle name="20% - Accent5 4 2 7 3" xfId="15313" xr:uid="{00000000-0005-0000-0000-0000E3380000}"/>
    <cellStyle name="20% - Accent5 4 2 7 3 2" xfId="37915" xr:uid="{00000000-0005-0000-0000-0000E4380000}"/>
    <cellStyle name="20% - Accent5 4 2 7 4" xfId="26614" xr:uid="{00000000-0005-0000-0000-0000E5380000}"/>
    <cellStyle name="20% - Accent5 4 2 8" xfId="6463" xr:uid="{00000000-0005-0000-0000-0000E6380000}"/>
    <cellStyle name="20% - Accent5 4 2 8 2" xfId="17764" xr:uid="{00000000-0005-0000-0000-0000E7380000}"/>
    <cellStyle name="20% - Accent5 4 2 8 2 2" xfId="40366" xr:uid="{00000000-0005-0000-0000-0000E8380000}"/>
    <cellStyle name="20% - Accent5 4 2 8 3" xfId="29065" xr:uid="{00000000-0005-0000-0000-0000E9380000}"/>
    <cellStyle name="20% - Accent5 4 2 9" xfId="12114" xr:uid="{00000000-0005-0000-0000-0000EA380000}"/>
    <cellStyle name="20% - Accent5 4 2 9 2" xfId="34716" xr:uid="{00000000-0005-0000-0000-0000EB380000}"/>
    <cellStyle name="20% - Accent5 4 3" xfId="369" xr:uid="{00000000-0005-0000-0000-0000EC380000}"/>
    <cellStyle name="20% - Accent5 4 3 10" xfId="23464" xr:uid="{00000000-0005-0000-0000-0000ED380000}"/>
    <cellStyle name="20% - Accent5 4 3 2" xfId="614" xr:uid="{00000000-0005-0000-0000-0000EE380000}"/>
    <cellStyle name="20% - Accent5 4 3 2 2" xfId="1324" xr:uid="{00000000-0005-0000-0000-0000EF380000}"/>
    <cellStyle name="20% - Accent5 4 3 2 2 2" xfId="1683" xr:uid="{00000000-0005-0000-0000-0000F0380000}"/>
    <cellStyle name="20% - Accent5 4 3 2 2 2 2" xfId="3393" xr:uid="{00000000-0005-0000-0000-0000F1380000}"/>
    <cellStyle name="20% - Accent5 4 3 2 2 2 2 2" xfId="6365" xr:uid="{00000000-0005-0000-0000-0000F2380000}"/>
    <cellStyle name="20% - Accent5 4 3 2 2 2 2 2 2" xfId="12015" xr:uid="{00000000-0005-0000-0000-0000F3380000}"/>
    <cellStyle name="20% - Accent5 4 3 2 2 2 2 2 2 2" xfId="23316" xr:uid="{00000000-0005-0000-0000-0000F4380000}"/>
    <cellStyle name="20% - Accent5 4 3 2 2 2 2 2 2 2 2" xfId="45918" xr:uid="{00000000-0005-0000-0000-0000F5380000}"/>
    <cellStyle name="20% - Accent5 4 3 2 2 2 2 2 2 3" xfId="34617" xr:uid="{00000000-0005-0000-0000-0000F6380000}"/>
    <cellStyle name="20% - Accent5 4 3 2 2 2 2 2 3" xfId="17666" xr:uid="{00000000-0005-0000-0000-0000F7380000}"/>
    <cellStyle name="20% - Accent5 4 3 2 2 2 2 2 3 2" xfId="40268" xr:uid="{00000000-0005-0000-0000-0000F8380000}"/>
    <cellStyle name="20% - Accent5 4 3 2 2 2 2 2 4" xfId="28967" xr:uid="{00000000-0005-0000-0000-0000F9380000}"/>
    <cellStyle name="20% - Accent5 4 3 2 2 2 2 3" xfId="9183" xr:uid="{00000000-0005-0000-0000-0000FA380000}"/>
    <cellStyle name="20% - Accent5 4 3 2 2 2 2 3 2" xfId="20484" xr:uid="{00000000-0005-0000-0000-0000FB380000}"/>
    <cellStyle name="20% - Accent5 4 3 2 2 2 2 3 2 2" xfId="43086" xr:uid="{00000000-0005-0000-0000-0000FC380000}"/>
    <cellStyle name="20% - Accent5 4 3 2 2 2 2 3 3" xfId="31785" xr:uid="{00000000-0005-0000-0000-0000FD380000}"/>
    <cellStyle name="20% - Accent5 4 3 2 2 2 2 4" xfId="14834" xr:uid="{00000000-0005-0000-0000-0000FE380000}"/>
    <cellStyle name="20% - Accent5 4 3 2 2 2 2 4 2" xfId="37436" xr:uid="{00000000-0005-0000-0000-0000FF380000}"/>
    <cellStyle name="20% - Accent5 4 3 2 2 2 2 5" xfId="26135" xr:uid="{00000000-0005-0000-0000-000000390000}"/>
    <cellStyle name="20% - Accent5 4 3 2 2 2 3" xfId="5131" xr:uid="{00000000-0005-0000-0000-000001390000}"/>
    <cellStyle name="20% - Accent5 4 3 2 2 2 3 2" xfId="10781" xr:uid="{00000000-0005-0000-0000-000002390000}"/>
    <cellStyle name="20% - Accent5 4 3 2 2 2 3 2 2" xfId="22082" xr:uid="{00000000-0005-0000-0000-000003390000}"/>
    <cellStyle name="20% - Accent5 4 3 2 2 2 3 2 2 2" xfId="44684" xr:uid="{00000000-0005-0000-0000-000004390000}"/>
    <cellStyle name="20% - Accent5 4 3 2 2 2 3 2 3" xfId="33383" xr:uid="{00000000-0005-0000-0000-000005390000}"/>
    <cellStyle name="20% - Accent5 4 3 2 2 2 3 3" xfId="16432" xr:uid="{00000000-0005-0000-0000-000006390000}"/>
    <cellStyle name="20% - Accent5 4 3 2 2 2 3 3 2" xfId="39034" xr:uid="{00000000-0005-0000-0000-000007390000}"/>
    <cellStyle name="20% - Accent5 4 3 2 2 2 3 4" xfId="27733" xr:uid="{00000000-0005-0000-0000-000008390000}"/>
    <cellStyle name="20% - Accent5 4 3 2 2 2 4" xfId="7539" xr:uid="{00000000-0005-0000-0000-000009390000}"/>
    <cellStyle name="20% - Accent5 4 3 2 2 2 4 2" xfId="18840" xr:uid="{00000000-0005-0000-0000-00000A390000}"/>
    <cellStyle name="20% - Accent5 4 3 2 2 2 4 2 2" xfId="41442" xr:uid="{00000000-0005-0000-0000-00000B390000}"/>
    <cellStyle name="20% - Accent5 4 3 2 2 2 4 3" xfId="30141" xr:uid="{00000000-0005-0000-0000-00000C390000}"/>
    <cellStyle name="20% - Accent5 4 3 2 2 2 5" xfId="13190" xr:uid="{00000000-0005-0000-0000-00000D390000}"/>
    <cellStyle name="20% - Accent5 4 3 2 2 2 5 2" xfId="35792" xr:uid="{00000000-0005-0000-0000-00000E390000}"/>
    <cellStyle name="20% - Accent5 4 3 2 2 2 6" xfId="24491" xr:uid="{00000000-0005-0000-0000-00000F390000}"/>
    <cellStyle name="20% - Accent5 4 3 2 2 3" xfId="2722" xr:uid="{00000000-0005-0000-0000-000010390000}"/>
    <cellStyle name="20% - Accent5 4 3 2 2 3 2" xfId="5741" xr:uid="{00000000-0005-0000-0000-000011390000}"/>
    <cellStyle name="20% - Accent5 4 3 2 2 3 2 2" xfId="11391" xr:uid="{00000000-0005-0000-0000-000012390000}"/>
    <cellStyle name="20% - Accent5 4 3 2 2 3 2 2 2" xfId="22692" xr:uid="{00000000-0005-0000-0000-000013390000}"/>
    <cellStyle name="20% - Accent5 4 3 2 2 3 2 2 2 2" xfId="45294" xr:uid="{00000000-0005-0000-0000-000014390000}"/>
    <cellStyle name="20% - Accent5 4 3 2 2 3 2 2 3" xfId="33993" xr:uid="{00000000-0005-0000-0000-000015390000}"/>
    <cellStyle name="20% - Accent5 4 3 2 2 3 2 3" xfId="17042" xr:uid="{00000000-0005-0000-0000-000016390000}"/>
    <cellStyle name="20% - Accent5 4 3 2 2 3 2 3 2" xfId="39644" xr:uid="{00000000-0005-0000-0000-000017390000}"/>
    <cellStyle name="20% - Accent5 4 3 2 2 3 2 4" xfId="28343" xr:uid="{00000000-0005-0000-0000-000018390000}"/>
    <cellStyle name="20% - Accent5 4 3 2 2 3 3" xfId="8558" xr:uid="{00000000-0005-0000-0000-000019390000}"/>
    <cellStyle name="20% - Accent5 4 3 2 2 3 3 2" xfId="19859" xr:uid="{00000000-0005-0000-0000-00001A390000}"/>
    <cellStyle name="20% - Accent5 4 3 2 2 3 3 2 2" xfId="42461" xr:uid="{00000000-0005-0000-0000-00001B390000}"/>
    <cellStyle name="20% - Accent5 4 3 2 2 3 3 3" xfId="31160" xr:uid="{00000000-0005-0000-0000-00001C390000}"/>
    <cellStyle name="20% - Accent5 4 3 2 2 3 4" xfId="14209" xr:uid="{00000000-0005-0000-0000-00001D390000}"/>
    <cellStyle name="20% - Accent5 4 3 2 2 3 4 2" xfId="36811" xr:uid="{00000000-0005-0000-0000-00001E390000}"/>
    <cellStyle name="20% - Accent5 4 3 2 2 3 5" xfId="25510" xr:uid="{00000000-0005-0000-0000-00001F390000}"/>
    <cellStyle name="20% - Accent5 4 3 2 2 4" xfId="4507" xr:uid="{00000000-0005-0000-0000-000020390000}"/>
    <cellStyle name="20% - Accent5 4 3 2 2 4 2" xfId="10157" xr:uid="{00000000-0005-0000-0000-000021390000}"/>
    <cellStyle name="20% - Accent5 4 3 2 2 4 2 2" xfId="21458" xr:uid="{00000000-0005-0000-0000-000022390000}"/>
    <cellStyle name="20% - Accent5 4 3 2 2 4 2 2 2" xfId="44060" xr:uid="{00000000-0005-0000-0000-000023390000}"/>
    <cellStyle name="20% - Accent5 4 3 2 2 4 2 3" xfId="32759" xr:uid="{00000000-0005-0000-0000-000024390000}"/>
    <cellStyle name="20% - Accent5 4 3 2 2 4 3" xfId="15808" xr:uid="{00000000-0005-0000-0000-000025390000}"/>
    <cellStyle name="20% - Accent5 4 3 2 2 4 3 2" xfId="38410" xr:uid="{00000000-0005-0000-0000-000026390000}"/>
    <cellStyle name="20% - Accent5 4 3 2 2 4 4" xfId="27109" xr:uid="{00000000-0005-0000-0000-000027390000}"/>
    <cellStyle name="20% - Accent5 4 3 2 2 5" xfId="7303" xr:uid="{00000000-0005-0000-0000-000028390000}"/>
    <cellStyle name="20% - Accent5 4 3 2 2 5 2" xfId="18604" xr:uid="{00000000-0005-0000-0000-000029390000}"/>
    <cellStyle name="20% - Accent5 4 3 2 2 5 2 2" xfId="41206" xr:uid="{00000000-0005-0000-0000-00002A390000}"/>
    <cellStyle name="20% - Accent5 4 3 2 2 5 3" xfId="29905" xr:uid="{00000000-0005-0000-0000-00002B390000}"/>
    <cellStyle name="20% - Accent5 4 3 2 2 6" xfId="12954" xr:uid="{00000000-0005-0000-0000-00002C390000}"/>
    <cellStyle name="20% - Accent5 4 3 2 2 6 2" xfId="35556" xr:uid="{00000000-0005-0000-0000-00002D390000}"/>
    <cellStyle name="20% - Accent5 4 3 2 2 7" xfId="24255" xr:uid="{00000000-0005-0000-0000-00002E390000}"/>
    <cellStyle name="20% - Accent5 4 3 2 3" xfId="1022" xr:uid="{00000000-0005-0000-0000-00002F390000}"/>
    <cellStyle name="20% - Accent5 4 3 2 3 2" xfId="3085" xr:uid="{00000000-0005-0000-0000-000030390000}"/>
    <cellStyle name="20% - Accent5 4 3 2 3 2 2" xfId="6057" xr:uid="{00000000-0005-0000-0000-000031390000}"/>
    <cellStyle name="20% - Accent5 4 3 2 3 2 2 2" xfId="11707" xr:uid="{00000000-0005-0000-0000-000032390000}"/>
    <cellStyle name="20% - Accent5 4 3 2 3 2 2 2 2" xfId="23008" xr:uid="{00000000-0005-0000-0000-000033390000}"/>
    <cellStyle name="20% - Accent5 4 3 2 3 2 2 2 2 2" xfId="45610" xr:uid="{00000000-0005-0000-0000-000034390000}"/>
    <cellStyle name="20% - Accent5 4 3 2 3 2 2 2 3" xfId="34309" xr:uid="{00000000-0005-0000-0000-000035390000}"/>
    <cellStyle name="20% - Accent5 4 3 2 3 2 2 3" xfId="17358" xr:uid="{00000000-0005-0000-0000-000036390000}"/>
    <cellStyle name="20% - Accent5 4 3 2 3 2 2 3 2" xfId="39960" xr:uid="{00000000-0005-0000-0000-000037390000}"/>
    <cellStyle name="20% - Accent5 4 3 2 3 2 2 4" xfId="28659" xr:uid="{00000000-0005-0000-0000-000038390000}"/>
    <cellStyle name="20% - Accent5 4 3 2 3 2 3" xfId="8875" xr:uid="{00000000-0005-0000-0000-000039390000}"/>
    <cellStyle name="20% - Accent5 4 3 2 3 2 3 2" xfId="20176" xr:uid="{00000000-0005-0000-0000-00003A390000}"/>
    <cellStyle name="20% - Accent5 4 3 2 3 2 3 2 2" xfId="42778" xr:uid="{00000000-0005-0000-0000-00003B390000}"/>
    <cellStyle name="20% - Accent5 4 3 2 3 2 3 3" xfId="31477" xr:uid="{00000000-0005-0000-0000-00003C390000}"/>
    <cellStyle name="20% - Accent5 4 3 2 3 2 4" xfId="14526" xr:uid="{00000000-0005-0000-0000-00003D390000}"/>
    <cellStyle name="20% - Accent5 4 3 2 3 2 4 2" xfId="37128" xr:uid="{00000000-0005-0000-0000-00003E390000}"/>
    <cellStyle name="20% - Accent5 4 3 2 3 2 5" xfId="25827" xr:uid="{00000000-0005-0000-0000-00003F390000}"/>
    <cellStyle name="20% - Accent5 4 3 2 3 3" xfId="4823" xr:uid="{00000000-0005-0000-0000-000040390000}"/>
    <cellStyle name="20% - Accent5 4 3 2 3 3 2" xfId="10473" xr:uid="{00000000-0005-0000-0000-000041390000}"/>
    <cellStyle name="20% - Accent5 4 3 2 3 3 2 2" xfId="21774" xr:uid="{00000000-0005-0000-0000-000042390000}"/>
    <cellStyle name="20% - Accent5 4 3 2 3 3 2 2 2" xfId="44376" xr:uid="{00000000-0005-0000-0000-000043390000}"/>
    <cellStyle name="20% - Accent5 4 3 2 3 3 2 3" xfId="33075" xr:uid="{00000000-0005-0000-0000-000044390000}"/>
    <cellStyle name="20% - Accent5 4 3 2 3 3 3" xfId="16124" xr:uid="{00000000-0005-0000-0000-000045390000}"/>
    <cellStyle name="20% - Accent5 4 3 2 3 3 3 2" xfId="38726" xr:uid="{00000000-0005-0000-0000-000046390000}"/>
    <cellStyle name="20% - Accent5 4 3 2 3 3 4" xfId="27425" xr:uid="{00000000-0005-0000-0000-000047390000}"/>
    <cellStyle name="20% - Accent5 4 3 2 3 4" xfId="7010" xr:uid="{00000000-0005-0000-0000-000048390000}"/>
    <cellStyle name="20% - Accent5 4 3 2 3 4 2" xfId="18311" xr:uid="{00000000-0005-0000-0000-000049390000}"/>
    <cellStyle name="20% - Accent5 4 3 2 3 4 2 2" xfId="40913" xr:uid="{00000000-0005-0000-0000-00004A390000}"/>
    <cellStyle name="20% - Accent5 4 3 2 3 4 3" xfId="29612" xr:uid="{00000000-0005-0000-0000-00004B390000}"/>
    <cellStyle name="20% - Accent5 4 3 2 3 5" xfId="12661" xr:uid="{00000000-0005-0000-0000-00004C390000}"/>
    <cellStyle name="20% - Accent5 4 3 2 3 5 2" xfId="35263" xr:uid="{00000000-0005-0000-0000-00004D390000}"/>
    <cellStyle name="20% - Accent5 4 3 2 3 6" xfId="23962" xr:uid="{00000000-0005-0000-0000-00004E390000}"/>
    <cellStyle name="20% - Accent5 4 3 2 4" xfId="1682" xr:uid="{00000000-0005-0000-0000-00004F390000}"/>
    <cellStyle name="20% - Accent5 4 3 2 4 2" xfId="3609" xr:uid="{00000000-0005-0000-0000-000050390000}"/>
    <cellStyle name="20% - Accent5 4 3 2 4 2 2" xfId="9320" xr:uid="{00000000-0005-0000-0000-000051390000}"/>
    <cellStyle name="20% - Accent5 4 3 2 4 2 2 2" xfId="20621" xr:uid="{00000000-0005-0000-0000-000052390000}"/>
    <cellStyle name="20% - Accent5 4 3 2 4 2 2 2 2" xfId="43223" xr:uid="{00000000-0005-0000-0000-000053390000}"/>
    <cellStyle name="20% - Accent5 4 3 2 4 2 2 3" xfId="31922" xr:uid="{00000000-0005-0000-0000-000054390000}"/>
    <cellStyle name="20% - Accent5 4 3 2 4 2 3" xfId="14971" xr:uid="{00000000-0005-0000-0000-000055390000}"/>
    <cellStyle name="20% - Accent5 4 3 2 4 2 3 2" xfId="37573" xr:uid="{00000000-0005-0000-0000-000056390000}"/>
    <cellStyle name="20% - Accent5 4 3 2 4 2 4" xfId="26272" xr:uid="{00000000-0005-0000-0000-000057390000}"/>
    <cellStyle name="20% - Accent5 4 3 2 4 3" xfId="5433" xr:uid="{00000000-0005-0000-0000-000058390000}"/>
    <cellStyle name="20% - Accent5 4 3 2 4 3 2" xfId="11083" xr:uid="{00000000-0005-0000-0000-000059390000}"/>
    <cellStyle name="20% - Accent5 4 3 2 4 3 2 2" xfId="22384" xr:uid="{00000000-0005-0000-0000-00005A390000}"/>
    <cellStyle name="20% - Accent5 4 3 2 4 3 2 2 2" xfId="44986" xr:uid="{00000000-0005-0000-0000-00005B390000}"/>
    <cellStyle name="20% - Accent5 4 3 2 4 3 2 3" xfId="33685" xr:uid="{00000000-0005-0000-0000-00005C390000}"/>
    <cellStyle name="20% - Accent5 4 3 2 4 3 3" xfId="16734" xr:uid="{00000000-0005-0000-0000-00005D390000}"/>
    <cellStyle name="20% - Accent5 4 3 2 4 3 3 2" xfId="39336" xr:uid="{00000000-0005-0000-0000-00005E390000}"/>
    <cellStyle name="20% - Accent5 4 3 2 4 3 4" xfId="28035" xr:uid="{00000000-0005-0000-0000-00005F390000}"/>
    <cellStyle name="20% - Accent5 4 3 2 4 4" xfId="7538" xr:uid="{00000000-0005-0000-0000-000060390000}"/>
    <cellStyle name="20% - Accent5 4 3 2 4 4 2" xfId="18839" xr:uid="{00000000-0005-0000-0000-000061390000}"/>
    <cellStyle name="20% - Accent5 4 3 2 4 4 2 2" xfId="41441" xr:uid="{00000000-0005-0000-0000-000062390000}"/>
    <cellStyle name="20% - Accent5 4 3 2 4 4 3" xfId="30140" xr:uid="{00000000-0005-0000-0000-000063390000}"/>
    <cellStyle name="20% - Accent5 4 3 2 4 5" xfId="13189" xr:uid="{00000000-0005-0000-0000-000064390000}"/>
    <cellStyle name="20% - Accent5 4 3 2 4 5 2" xfId="35791" xr:uid="{00000000-0005-0000-0000-000065390000}"/>
    <cellStyle name="20% - Accent5 4 3 2 4 6" xfId="24490" xr:uid="{00000000-0005-0000-0000-000066390000}"/>
    <cellStyle name="20% - Accent5 4 3 2 5" xfId="2414" xr:uid="{00000000-0005-0000-0000-000067390000}"/>
    <cellStyle name="20% - Accent5 4 3 2 5 2" xfId="8250" xr:uid="{00000000-0005-0000-0000-000068390000}"/>
    <cellStyle name="20% - Accent5 4 3 2 5 2 2" xfId="19551" xr:uid="{00000000-0005-0000-0000-000069390000}"/>
    <cellStyle name="20% - Accent5 4 3 2 5 2 2 2" xfId="42153" xr:uid="{00000000-0005-0000-0000-00006A390000}"/>
    <cellStyle name="20% - Accent5 4 3 2 5 2 3" xfId="30852" xr:uid="{00000000-0005-0000-0000-00006B390000}"/>
    <cellStyle name="20% - Accent5 4 3 2 5 3" xfId="13901" xr:uid="{00000000-0005-0000-0000-00006C390000}"/>
    <cellStyle name="20% - Accent5 4 3 2 5 3 2" xfId="36503" xr:uid="{00000000-0005-0000-0000-00006D390000}"/>
    <cellStyle name="20% - Accent5 4 3 2 5 4" xfId="25202" xr:uid="{00000000-0005-0000-0000-00006E390000}"/>
    <cellStyle name="20% - Accent5 4 3 2 6" xfId="4199" xr:uid="{00000000-0005-0000-0000-00006F390000}"/>
    <cellStyle name="20% - Accent5 4 3 2 6 2" xfId="9849" xr:uid="{00000000-0005-0000-0000-000070390000}"/>
    <cellStyle name="20% - Accent5 4 3 2 6 2 2" xfId="21150" xr:uid="{00000000-0005-0000-0000-000071390000}"/>
    <cellStyle name="20% - Accent5 4 3 2 6 2 2 2" xfId="43752" xr:uid="{00000000-0005-0000-0000-000072390000}"/>
    <cellStyle name="20% - Accent5 4 3 2 6 2 3" xfId="32451" xr:uid="{00000000-0005-0000-0000-000073390000}"/>
    <cellStyle name="20% - Accent5 4 3 2 6 3" xfId="15500" xr:uid="{00000000-0005-0000-0000-000074390000}"/>
    <cellStyle name="20% - Accent5 4 3 2 6 3 2" xfId="38102" xr:uid="{00000000-0005-0000-0000-000075390000}"/>
    <cellStyle name="20% - Accent5 4 3 2 6 4" xfId="26801" xr:uid="{00000000-0005-0000-0000-000076390000}"/>
    <cellStyle name="20% - Accent5 4 3 2 7" xfId="6679" xr:uid="{00000000-0005-0000-0000-000077390000}"/>
    <cellStyle name="20% - Accent5 4 3 2 7 2" xfId="17980" xr:uid="{00000000-0005-0000-0000-000078390000}"/>
    <cellStyle name="20% - Accent5 4 3 2 7 2 2" xfId="40582" xr:uid="{00000000-0005-0000-0000-000079390000}"/>
    <cellStyle name="20% - Accent5 4 3 2 7 3" xfId="29281" xr:uid="{00000000-0005-0000-0000-00007A390000}"/>
    <cellStyle name="20% - Accent5 4 3 2 8" xfId="12330" xr:uid="{00000000-0005-0000-0000-00007B390000}"/>
    <cellStyle name="20% - Accent5 4 3 2 8 2" xfId="34932" xr:uid="{00000000-0005-0000-0000-00007C390000}"/>
    <cellStyle name="20% - Accent5 4 3 2 9" xfId="23631" xr:uid="{00000000-0005-0000-0000-00007D390000}"/>
    <cellStyle name="20% - Accent5 4 3 3" xfId="1186" xr:uid="{00000000-0005-0000-0000-00007E390000}"/>
    <cellStyle name="20% - Accent5 4 3 3 2" xfId="1684" xr:uid="{00000000-0005-0000-0000-00007F390000}"/>
    <cellStyle name="20% - Accent5 4 3 3 2 2" xfId="3254" xr:uid="{00000000-0005-0000-0000-000080390000}"/>
    <cellStyle name="20% - Accent5 4 3 3 2 2 2" xfId="6226" xr:uid="{00000000-0005-0000-0000-000081390000}"/>
    <cellStyle name="20% - Accent5 4 3 3 2 2 2 2" xfId="11876" xr:uid="{00000000-0005-0000-0000-000082390000}"/>
    <cellStyle name="20% - Accent5 4 3 3 2 2 2 2 2" xfId="23177" xr:uid="{00000000-0005-0000-0000-000083390000}"/>
    <cellStyle name="20% - Accent5 4 3 3 2 2 2 2 2 2" xfId="45779" xr:uid="{00000000-0005-0000-0000-000084390000}"/>
    <cellStyle name="20% - Accent5 4 3 3 2 2 2 2 3" xfId="34478" xr:uid="{00000000-0005-0000-0000-000085390000}"/>
    <cellStyle name="20% - Accent5 4 3 3 2 2 2 3" xfId="17527" xr:uid="{00000000-0005-0000-0000-000086390000}"/>
    <cellStyle name="20% - Accent5 4 3 3 2 2 2 3 2" xfId="40129" xr:uid="{00000000-0005-0000-0000-000087390000}"/>
    <cellStyle name="20% - Accent5 4 3 3 2 2 2 4" xfId="28828" xr:uid="{00000000-0005-0000-0000-000088390000}"/>
    <cellStyle name="20% - Accent5 4 3 3 2 2 3" xfId="9044" xr:uid="{00000000-0005-0000-0000-000089390000}"/>
    <cellStyle name="20% - Accent5 4 3 3 2 2 3 2" xfId="20345" xr:uid="{00000000-0005-0000-0000-00008A390000}"/>
    <cellStyle name="20% - Accent5 4 3 3 2 2 3 2 2" xfId="42947" xr:uid="{00000000-0005-0000-0000-00008B390000}"/>
    <cellStyle name="20% - Accent5 4 3 3 2 2 3 3" xfId="31646" xr:uid="{00000000-0005-0000-0000-00008C390000}"/>
    <cellStyle name="20% - Accent5 4 3 3 2 2 4" xfId="14695" xr:uid="{00000000-0005-0000-0000-00008D390000}"/>
    <cellStyle name="20% - Accent5 4 3 3 2 2 4 2" xfId="37297" xr:uid="{00000000-0005-0000-0000-00008E390000}"/>
    <cellStyle name="20% - Accent5 4 3 3 2 2 5" xfId="25996" xr:uid="{00000000-0005-0000-0000-00008F390000}"/>
    <cellStyle name="20% - Accent5 4 3 3 2 3" xfId="4992" xr:uid="{00000000-0005-0000-0000-000090390000}"/>
    <cellStyle name="20% - Accent5 4 3 3 2 3 2" xfId="10642" xr:uid="{00000000-0005-0000-0000-000091390000}"/>
    <cellStyle name="20% - Accent5 4 3 3 2 3 2 2" xfId="21943" xr:uid="{00000000-0005-0000-0000-000092390000}"/>
    <cellStyle name="20% - Accent5 4 3 3 2 3 2 2 2" xfId="44545" xr:uid="{00000000-0005-0000-0000-000093390000}"/>
    <cellStyle name="20% - Accent5 4 3 3 2 3 2 3" xfId="33244" xr:uid="{00000000-0005-0000-0000-000094390000}"/>
    <cellStyle name="20% - Accent5 4 3 3 2 3 3" xfId="16293" xr:uid="{00000000-0005-0000-0000-000095390000}"/>
    <cellStyle name="20% - Accent5 4 3 3 2 3 3 2" xfId="38895" xr:uid="{00000000-0005-0000-0000-000096390000}"/>
    <cellStyle name="20% - Accent5 4 3 3 2 3 4" xfId="27594" xr:uid="{00000000-0005-0000-0000-000097390000}"/>
    <cellStyle name="20% - Accent5 4 3 3 2 4" xfId="7540" xr:uid="{00000000-0005-0000-0000-000098390000}"/>
    <cellStyle name="20% - Accent5 4 3 3 2 4 2" xfId="18841" xr:uid="{00000000-0005-0000-0000-000099390000}"/>
    <cellStyle name="20% - Accent5 4 3 3 2 4 2 2" xfId="41443" xr:uid="{00000000-0005-0000-0000-00009A390000}"/>
    <cellStyle name="20% - Accent5 4 3 3 2 4 3" xfId="30142" xr:uid="{00000000-0005-0000-0000-00009B390000}"/>
    <cellStyle name="20% - Accent5 4 3 3 2 5" xfId="13191" xr:uid="{00000000-0005-0000-0000-00009C390000}"/>
    <cellStyle name="20% - Accent5 4 3 3 2 5 2" xfId="35793" xr:uid="{00000000-0005-0000-0000-00009D390000}"/>
    <cellStyle name="20% - Accent5 4 3 3 2 6" xfId="24492" xr:uid="{00000000-0005-0000-0000-00009E390000}"/>
    <cellStyle name="20% - Accent5 4 3 3 3" xfId="2583" xr:uid="{00000000-0005-0000-0000-00009F390000}"/>
    <cellStyle name="20% - Accent5 4 3 3 3 2" xfId="5602" xr:uid="{00000000-0005-0000-0000-0000A0390000}"/>
    <cellStyle name="20% - Accent5 4 3 3 3 2 2" xfId="11252" xr:uid="{00000000-0005-0000-0000-0000A1390000}"/>
    <cellStyle name="20% - Accent5 4 3 3 3 2 2 2" xfId="22553" xr:uid="{00000000-0005-0000-0000-0000A2390000}"/>
    <cellStyle name="20% - Accent5 4 3 3 3 2 2 2 2" xfId="45155" xr:uid="{00000000-0005-0000-0000-0000A3390000}"/>
    <cellStyle name="20% - Accent5 4 3 3 3 2 2 3" xfId="33854" xr:uid="{00000000-0005-0000-0000-0000A4390000}"/>
    <cellStyle name="20% - Accent5 4 3 3 3 2 3" xfId="16903" xr:uid="{00000000-0005-0000-0000-0000A5390000}"/>
    <cellStyle name="20% - Accent5 4 3 3 3 2 3 2" xfId="39505" xr:uid="{00000000-0005-0000-0000-0000A6390000}"/>
    <cellStyle name="20% - Accent5 4 3 3 3 2 4" xfId="28204" xr:uid="{00000000-0005-0000-0000-0000A7390000}"/>
    <cellStyle name="20% - Accent5 4 3 3 3 3" xfId="8419" xr:uid="{00000000-0005-0000-0000-0000A8390000}"/>
    <cellStyle name="20% - Accent5 4 3 3 3 3 2" xfId="19720" xr:uid="{00000000-0005-0000-0000-0000A9390000}"/>
    <cellStyle name="20% - Accent5 4 3 3 3 3 2 2" xfId="42322" xr:uid="{00000000-0005-0000-0000-0000AA390000}"/>
    <cellStyle name="20% - Accent5 4 3 3 3 3 3" xfId="31021" xr:uid="{00000000-0005-0000-0000-0000AB390000}"/>
    <cellStyle name="20% - Accent5 4 3 3 3 4" xfId="14070" xr:uid="{00000000-0005-0000-0000-0000AC390000}"/>
    <cellStyle name="20% - Accent5 4 3 3 3 4 2" xfId="36672" xr:uid="{00000000-0005-0000-0000-0000AD390000}"/>
    <cellStyle name="20% - Accent5 4 3 3 3 5" xfId="25371" xr:uid="{00000000-0005-0000-0000-0000AE390000}"/>
    <cellStyle name="20% - Accent5 4 3 3 4" xfId="4368" xr:uid="{00000000-0005-0000-0000-0000AF390000}"/>
    <cellStyle name="20% - Accent5 4 3 3 4 2" xfId="10018" xr:uid="{00000000-0005-0000-0000-0000B0390000}"/>
    <cellStyle name="20% - Accent5 4 3 3 4 2 2" xfId="21319" xr:uid="{00000000-0005-0000-0000-0000B1390000}"/>
    <cellStyle name="20% - Accent5 4 3 3 4 2 2 2" xfId="43921" xr:uid="{00000000-0005-0000-0000-0000B2390000}"/>
    <cellStyle name="20% - Accent5 4 3 3 4 2 3" xfId="32620" xr:uid="{00000000-0005-0000-0000-0000B3390000}"/>
    <cellStyle name="20% - Accent5 4 3 3 4 3" xfId="15669" xr:uid="{00000000-0005-0000-0000-0000B4390000}"/>
    <cellStyle name="20% - Accent5 4 3 3 4 3 2" xfId="38271" xr:uid="{00000000-0005-0000-0000-0000B5390000}"/>
    <cellStyle name="20% - Accent5 4 3 3 4 4" xfId="26970" xr:uid="{00000000-0005-0000-0000-0000B6390000}"/>
    <cellStyle name="20% - Accent5 4 3 3 5" xfId="7165" xr:uid="{00000000-0005-0000-0000-0000B7390000}"/>
    <cellStyle name="20% - Accent5 4 3 3 5 2" xfId="18466" xr:uid="{00000000-0005-0000-0000-0000B8390000}"/>
    <cellStyle name="20% - Accent5 4 3 3 5 2 2" xfId="41068" xr:uid="{00000000-0005-0000-0000-0000B9390000}"/>
    <cellStyle name="20% - Accent5 4 3 3 5 3" xfId="29767" xr:uid="{00000000-0005-0000-0000-0000BA390000}"/>
    <cellStyle name="20% - Accent5 4 3 3 6" xfId="12816" xr:uid="{00000000-0005-0000-0000-0000BB390000}"/>
    <cellStyle name="20% - Accent5 4 3 3 6 2" xfId="35418" xr:uid="{00000000-0005-0000-0000-0000BC390000}"/>
    <cellStyle name="20% - Accent5 4 3 3 7" xfId="24117" xr:uid="{00000000-0005-0000-0000-0000BD390000}"/>
    <cellStyle name="20% - Accent5 4 3 4" xfId="877" xr:uid="{00000000-0005-0000-0000-0000BE390000}"/>
    <cellStyle name="20% - Accent5 4 3 4 2" xfId="2947" xr:uid="{00000000-0005-0000-0000-0000BF390000}"/>
    <cellStyle name="20% - Accent5 4 3 4 2 2" xfId="5919" xr:uid="{00000000-0005-0000-0000-0000C0390000}"/>
    <cellStyle name="20% - Accent5 4 3 4 2 2 2" xfId="11569" xr:uid="{00000000-0005-0000-0000-0000C1390000}"/>
    <cellStyle name="20% - Accent5 4 3 4 2 2 2 2" xfId="22870" xr:uid="{00000000-0005-0000-0000-0000C2390000}"/>
    <cellStyle name="20% - Accent5 4 3 4 2 2 2 2 2" xfId="45472" xr:uid="{00000000-0005-0000-0000-0000C3390000}"/>
    <cellStyle name="20% - Accent5 4 3 4 2 2 2 3" xfId="34171" xr:uid="{00000000-0005-0000-0000-0000C4390000}"/>
    <cellStyle name="20% - Accent5 4 3 4 2 2 3" xfId="17220" xr:uid="{00000000-0005-0000-0000-0000C5390000}"/>
    <cellStyle name="20% - Accent5 4 3 4 2 2 3 2" xfId="39822" xr:uid="{00000000-0005-0000-0000-0000C6390000}"/>
    <cellStyle name="20% - Accent5 4 3 4 2 2 4" xfId="28521" xr:uid="{00000000-0005-0000-0000-0000C7390000}"/>
    <cellStyle name="20% - Accent5 4 3 4 2 3" xfId="8737" xr:uid="{00000000-0005-0000-0000-0000C8390000}"/>
    <cellStyle name="20% - Accent5 4 3 4 2 3 2" xfId="20038" xr:uid="{00000000-0005-0000-0000-0000C9390000}"/>
    <cellStyle name="20% - Accent5 4 3 4 2 3 2 2" xfId="42640" xr:uid="{00000000-0005-0000-0000-0000CA390000}"/>
    <cellStyle name="20% - Accent5 4 3 4 2 3 3" xfId="31339" xr:uid="{00000000-0005-0000-0000-0000CB390000}"/>
    <cellStyle name="20% - Accent5 4 3 4 2 4" xfId="14388" xr:uid="{00000000-0005-0000-0000-0000CC390000}"/>
    <cellStyle name="20% - Accent5 4 3 4 2 4 2" xfId="36990" xr:uid="{00000000-0005-0000-0000-0000CD390000}"/>
    <cellStyle name="20% - Accent5 4 3 4 2 5" xfId="25689" xr:uid="{00000000-0005-0000-0000-0000CE390000}"/>
    <cellStyle name="20% - Accent5 4 3 4 3" xfId="4685" xr:uid="{00000000-0005-0000-0000-0000CF390000}"/>
    <cellStyle name="20% - Accent5 4 3 4 3 2" xfId="10335" xr:uid="{00000000-0005-0000-0000-0000D0390000}"/>
    <cellStyle name="20% - Accent5 4 3 4 3 2 2" xfId="21636" xr:uid="{00000000-0005-0000-0000-0000D1390000}"/>
    <cellStyle name="20% - Accent5 4 3 4 3 2 2 2" xfId="44238" xr:uid="{00000000-0005-0000-0000-0000D2390000}"/>
    <cellStyle name="20% - Accent5 4 3 4 3 2 3" xfId="32937" xr:uid="{00000000-0005-0000-0000-0000D3390000}"/>
    <cellStyle name="20% - Accent5 4 3 4 3 3" xfId="15986" xr:uid="{00000000-0005-0000-0000-0000D4390000}"/>
    <cellStyle name="20% - Accent5 4 3 4 3 3 2" xfId="38588" xr:uid="{00000000-0005-0000-0000-0000D5390000}"/>
    <cellStyle name="20% - Accent5 4 3 4 3 4" xfId="27287" xr:uid="{00000000-0005-0000-0000-0000D6390000}"/>
    <cellStyle name="20% - Accent5 4 3 4 4" xfId="6872" xr:uid="{00000000-0005-0000-0000-0000D7390000}"/>
    <cellStyle name="20% - Accent5 4 3 4 4 2" xfId="18173" xr:uid="{00000000-0005-0000-0000-0000D8390000}"/>
    <cellStyle name="20% - Accent5 4 3 4 4 2 2" xfId="40775" xr:uid="{00000000-0005-0000-0000-0000D9390000}"/>
    <cellStyle name="20% - Accent5 4 3 4 4 3" xfId="29474" xr:uid="{00000000-0005-0000-0000-0000DA390000}"/>
    <cellStyle name="20% - Accent5 4 3 4 5" xfId="12523" xr:uid="{00000000-0005-0000-0000-0000DB390000}"/>
    <cellStyle name="20% - Accent5 4 3 4 5 2" xfId="35125" xr:uid="{00000000-0005-0000-0000-0000DC390000}"/>
    <cellStyle name="20% - Accent5 4 3 4 6" xfId="23824" xr:uid="{00000000-0005-0000-0000-0000DD390000}"/>
    <cellStyle name="20% - Accent5 4 3 5" xfId="1681" xr:uid="{00000000-0005-0000-0000-0000DE390000}"/>
    <cellStyle name="20% - Accent5 4 3 5 2" xfId="3608" xr:uid="{00000000-0005-0000-0000-0000DF390000}"/>
    <cellStyle name="20% - Accent5 4 3 5 2 2" xfId="9319" xr:uid="{00000000-0005-0000-0000-0000E0390000}"/>
    <cellStyle name="20% - Accent5 4 3 5 2 2 2" xfId="20620" xr:uid="{00000000-0005-0000-0000-0000E1390000}"/>
    <cellStyle name="20% - Accent5 4 3 5 2 2 2 2" xfId="43222" xr:uid="{00000000-0005-0000-0000-0000E2390000}"/>
    <cellStyle name="20% - Accent5 4 3 5 2 2 3" xfId="31921" xr:uid="{00000000-0005-0000-0000-0000E3390000}"/>
    <cellStyle name="20% - Accent5 4 3 5 2 3" xfId="14970" xr:uid="{00000000-0005-0000-0000-0000E4390000}"/>
    <cellStyle name="20% - Accent5 4 3 5 2 3 2" xfId="37572" xr:uid="{00000000-0005-0000-0000-0000E5390000}"/>
    <cellStyle name="20% - Accent5 4 3 5 2 4" xfId="26271" xr:uid="{00000000-0005-0000-0000-0000E6390000}"/>
    <cellStyle name="20% - Accent5 4 3 5 3" xfId="5295" xr:uid="{00000000-0005-0000-0000-0000E7390000}"/>
    <cellStyle name="20% - Accent5 4 3 5 3 2" xfId="10945" xr:uid="{00000000-0005-0000-0000-0000E8390000}"/>
    <cellStyle name="20% - Accent5 4 3 5 3 2 2" xfId="22246" xr:uid="{00000000-0005-0000-0000-0000E9390000}"/>
    <cellStyle name="20% - Accent5 4 3 5 3 2 2 2" xfId="44848" xr:uid="{00000000-0005-0000-0000-0000EA390000}"/>
    <cellStyle name="20% - Accent5 4 3 5 3 2 3" xfId="33547" xr:uid="{00000000-0005-0000-0000-0000EB390000}"/>
    <cellStyle name="20% - Accent5 4 3 5 3 3" xfId="16596" xr:uid="{00000000-0005-0000-0000-0000EC390000}"/>
    <cellStyle name="20% - Accent5 4 3 5 3 3 2" xfId="39198" xr:uid="{00000000-0005-0000-0000-0000ED390000}"/>
    <cellStyle name="20% - Accent5 4 3 5 3 4" xfId="27897" xr:uid="{00000000-0005-0000-0000-0000EE390000}"/>
    <cellStyle name="20% - Accent5 4 3 5 4" xfId="7537" xr:uid="{00000000-0005-0000-0000-0000EF390000}"/>
    <cellStyle name="20% - Accent5 4 3 5 4 2" xfId="18838" xr:uid="{00000000-0005-0000-0000-0000F0390000}"/>
    <cellStyle name="20% - Accent5 4 3 5 4 2 2" xfId="41440" xr:uid="{00000000-0005-0000-0000-0000F1390000}"/>
    <cellStyle name="20% - Accent5 4 3 5 4 3" xfId="30139" xr:uid="{00000000-0005-0000-0000-0000F2390000}"/>
    <cellStyle name="20% - Accent5 4 3 5 5" xfId="13188" xr:uid="{00000000-0005-0000-0000-0000F3390000}"/>
    <cellStyle name="20% - Accent5 4 3 5 5 2" xfId="35790" xr:uid="{00000000-0005-0000-0000-0000F4390000}"/>
    <cellStyle name="20% - Accent5 4 3 5 6" xfId="24489" xr:uid="{00000000-0005-0000-0000-0000F5390000}"/>
    <cellStyle name="20% - Accent5 4 3 6" xfId="2274" xr:uid="{00000000-0005-0000-0000-0000F6390000}"/>
    <cellStyle name="20% - Accent5 4 3 6 2" xfId="8110" xr:uid="{00000000-0005-0000-0000-0000F7390000}"/>
    <cellStyle name="20% - Accent5 4 3 6 2 2" xfId="19411" xr:uid="{00000000-0005-0000-0000-0000F8390000}"/>
    <cellStyle name="20% - Accent5 4 3 6 2 2 2" xfId="42013" xr:uid="{00000000-0005-0000-0000-0000F9390000}"/>
    <cellStyle name="20% - Accent5 4 3 6 2 3" xfId="30712" xr:uid="{00000000-0005-0000-0000-0000FA390000}"/>
    <cellStyle name="20% - Accent5 4 3 6 3" xfId="13761" xr:uid="{00000000-0005-0000-0000-0000FB390000}"/>
    <cellStyle name="20% - Accent5 4 3 6 3 2" xfId="36363" xr:uid="{00000000-0005-0000-0000-0000FC390000}"/>
    <cellStyle name="20% - Accent5 4 3 6 4" xfId="25062" xr:uid="{00000000-0005-0000-0000-0000FD390000}"/>
    <cellStyle name="20% - Accent5 4 3 7" xfId="4061" xr:uid="{00000000-0005-0000-0000-0000FE390000}"/>
    <cellStyle name="20% - Accent5 4 3 7 2" xfId="9711" xr:uid="{00000000-0005-0000-0000-0000FF390000}"/>
    <cellStyle name="20% - Accent5 4 3 7 2 2" xfId="21012" xr:uid="{00000000-0005-0000-0000-0000003A0000}"/>
    <cellStyle name="20% - Accent5 4 3 7 2 2 2" xfId="43614" xr:uid="{00000000-0005-0000-0000-0000013A0000}"/>
    <cellStyle name="20% - Accent5 4 3 7 2 3" xfId="32313" xr:uid="{00000000-0005-0000-0000-0000023A0000}"/>
    <cellStyle name="20% - Accent5 4 3 7 3" xfId="15362" xr:uid="{00000000-0005-0000-0000-0000033A0000}"/>
    <cellStyle name="20% - Accent5 4 3 7 3 2" xfId="37964" xr:uid="{00000000-0005-0000-0000-0000043A0000}"/>
    <cellStyle name="20% - Accent5 4 3 7 4" xfId="26663" xr:uid="{00000000-0005-0000-0000-0000053A0000}"/>
    <cellStyle name="20% - Accent5 4 3 8" xfId="6512" xr:uid="{00000000-0005-0000-0000-0000063A0000}"/>
    <cellStyle name="20% - Accent5 4 3 8 2" xfId="17813" xr:uid="{00000000-0005-0000-0000-0000073A0000}"/>
    <cellStyle name="20% - Accent5 4 3 8 2 2" xfId="40415" xr:uid="{00000000-0005-0000-0000-0000083A0000}"/>
    <cellStyle name="20% - Accent5 4 3 8 3" xfId="29114" xr:uid="{00000000-0005-0000-0000-0000093A0000}"/>
    <cellStyle name="20% - Accent5 4 3 9" xfId="12163" xr:uid="{00000000-0005-0000-0000-00000A3A0000}"/>
    <cellStyle name="20% - Accent5 4 3 9 2" xfId="34765" xr:uid="{00000000-0005-0000-0000-00000B3A0000}"/>
    <cellStyle name="20% - Accent5 4 4" xfId="516" xr:uid="{00000000-0005-0000-0000-00000C3A0000}"/>
    <cellStyle name="20% - Accent5 4 4 2" xfId="1090" xr:uid="{00000000-0005-0000-0000-00000D3A0000}"/>
    <cellStyle name="20% - Accent5 4 4 2 2" xfId="1686" xr:uid="{00000000-0005-0000-0000-00000E3A0000}"/>
    <cellStyle name="20% - Accent5 4 4 2 2 2" xfId="3158" xr:uid="{00000000-0005-0000-0000-00000F3A0000}"/>
    <cellStyle name="20% - Accent5 4 4 2 2 2 2" xfId="6130" xr:uid="{00000000-0005-0000-0000-0000103A0000}"/>
    <cellStyle name="20% - Accent5 4 4 2 2 2 2 2" xfId="11780" xr:uid="{00000000-0005-0000-0000-0000113A0000}"/>
    <cellStyle name="20% - Accent5 4 4 2 2 2 2 2 2" xfId="23081" xr:uid="{00000000-0005-0000-0000-0000123A0000}"/>
    <cellStyle name="20% - Accent5 4 4 2 2 2 2 2 2 2" xfId="45683" xr:uid="{00000000-0005-0000-0000-0000133A0000}"/>
    <cellStyle name="20% - Accent5 4 4 2 2 2 2 2 3" xfId="34382" xr:uid="{00000000-0005-0000-0000-0000143A0000}"/>
    <cellStyle name="20% - Accent5 4 4 2 2 2 2 3" xfId="17431" xr:uid="{00000000-0005-0000-0000-0000153A0000}"/>
    <cellStyle name="20% - Accent5 4 4 2 2 2 2 3 2" xfId="40033" xr:uid="{00000000-0005-0000-0000-0000163A0000}"/>
    <cellStyle name="20% - Accent5 4 4 2 2 2 2 4" xfId="28732" xr:uid="{00000000-0005-0000-0000-0000173A0000}"/>
    <cellStyle name="20% - Accent5 4 4 2 2 2 3" xfId="8948" xr:uid="{00000000-0005-0000-0000-0000183A0000}"/>
    <cellStyle name="20% - Accent5 4 4 2 2 2 3 2" xfId="20249" xr:uid="{00000000-0005-0000-0000-0000193A0000}"/>
    <cellStyle name="20% - Accent5 4 4 2 2 2 3 2 2" xfId="42851" xr:uid="{00000000-0005-0000-0000-00001A3A0000}"/>
    <cellStyle name="20% - Accent5 4 4 2 2 2 3 3" xfId="31550" xr:uid="{00000000-0005-0000-0000-00001B3A0000}"/>
    <cellStyle name="20% - Accent5 4 4 2 2 2 4" xfId="14599" xr:uid="{00000000-0005-0000-0000-00001C3A0000}"/>
    <cellStyle name="20% - Accent5 4 4 2 2 2 4 2" xfId="37201" xr:uid="{00000000-0005-0000-0000-00001D3A0000}"/>
    <cellStyle name="20% - Accent5 4 4 2 2 2 5" xfId="25900" xr:uid="{00000000-0005-0000-0000-00001E3A0000}"/>
    <cellStyle name="20% - Accent5 4 4 2 2 3" xfId="4896" xr:uid="{00000000-0005-0000-0000-00001F3A0000}"/>
    <cellStyle name="20% - Accent5 4 4 2 2 3 2" xfId="10546" xr:uid="{00000000-0005-0000-0000-0000203A0000}"/>
    <cellStyle name="20% - Accent5 4 4 2 2 3 2 2" xfId="21847" xr:uid="{00000000-0005-0000-0000-0000213A0000}"/>
    <cellStyle name="20% - Accent5 4 4 2 2 3 2 2 2" xfId="44449" xr:uid="{00000000-0005-0000-0000-0000223A0000}"/>
    <cellStyle name="20% - Accent5 4 4 2 2 3 2 3" xfId="33148" xr:uid="{00000000-0005-0000-0000-0000233A0000}"/>
    <cellStyle name="20% - Accent5 4 4 2 2 3 3" xfId="16197" xr:uid="{00000000-0005-0000-0000-0000243A0000}"/>
    <cellStyle name="20% - Accent5 4 4 2 2 3 3 2" xfId="38799" xr:uid="{00000000-0005-0000-0000-0000253A0000}"/>
    <cellStyle name="20% - Accent5 4 4 2 2 3 4" xfId="27498" xr:uid="{00000000-0005-0000-0000-0000263A0000}"/>
    <cellStyle name="20% - Accent5 4 4 2 2 4" xfId="7542" xr:uid="{00000000-0005-0000-0000-0000273A0000}"/>
    <cellStyle name="20% - Accent5 4 4 2 2 4 2" xfId="18843" xr:uid="{00000000-0005-0000-0000-0000283A0000}"/>
    <cellStyle name="20% - Accent5 4 4 2 2 4 2 2" xfId="41445" xr:uid="{00000000-0005-0000-0000-0000293A0000}"/>
    <cellStyle name="20% - Accent5 4 4 2 2 4 3" xfId="30144" xr:uid="{00000000-0005-0000-0000-00002A3A0000}"/>
    <cellStyle name="20% - Accent5 4 4 2 2 5" xfId="13193" xr:uid="{00000000-0005-0000-0000-00002B3A0000}"/>
    <cellStyle name="20% - Accent5 4 4 2 2 5 2" xfId="35795" xr:uid="{00000000-0005-0000-0000-00002C3A0000}"/>
    <cellStyle name="20% - Accent5 4 4 2 2 6" xfId="24494" xr:uid="{00000000-0005-0000-0000-00002D3A0000}"/>
    <cellStyle name="20% - Accent5 4 4 2 3" xfId="2487" xr:uid="{00000000-0005-0000-0000-00002E3A0000}"/>
    <cellStyle name="20% - Accent5 4 4 2 3 2" xfId="5506" xr:uid="{00000000-0005-0000-0000-00002F3A0000}"/>
    <cellStyle name="20% - Accent5 4 4 2 3 2 2" xfId="11156" xr:uid="{00000000-0005-0000-0000-0000303A0000}"/>
    <cellStyle name="20% - Accent5 4 4 2 3 2 2 2" xfId="22457" xr:uid="{00000000-0005-0000-0000-0000313A0000}"/>
    <cellStyle name="20% - Accent5 4 4 2 3 2 2 2 2" xfId="45059" xr:uid="{00000000-0005-0000-0000-0000323A0000}"/>
    <cellStyle name="20% - Accent5 4 4 2 3 2 2 3" xfId="33758" xr:uid="{00000000-0005-0000-0000-0000333A0000}"/>
    <cellStyle name="20% - Accent5 4 4 2 3 2 3" xfId="16807" xr:uid="{00000000-0005-0000-0000-0000343A0000}"/>
    <cellStyle name="20% - Accent5 4 4 2 3 2 3 2" xfId="39409" xr:uid="{00000000-0005-0000-0000-0000353A0000}"/>
    <cellStyle name="20% - Accent5 4 4 2 3 2 4" xfId="28108" xr:uid="{00000000-0005-0000-0000-0000363A0000}"/>
    <cellStyle name="20% - Accent5 4 4 2 3 3" xfId="8323" xr:uid="{00000000-0005-0000-0000-0000373A0000}"/>
    <cellStyle name="20% - Accent5 4 4 2 3 3 2" xfId="19624" xr:uid="{00000000-0005-0000-0000-0000383A0000}"/>
    <cellStyle name="20% - Accent5 4 4 2 3 3 2 2" xfId="42226" xr:uid="{00000000-0005-0000-0000-0000393A0000}"/>
    <cellStyle name="20% - Accent5 4 4 2 3 3 3" xfId="30925" xr:uid="{00000000-0005-0000-0000-00003A3A0000}"/>
    <cellStyle name="20% - Accent5 4 4 2 3 4" xfId="13974" xr:uid="{00000000-0005-0000-0000-00003B3A0000}"/>
    <cellStyle name="20% - Accent5 4 4 2 3 4 2" xfId="36576" xr:uid="{00000000-0005-0000-0000-00003C3A0000}"/>
    <cellStyle name="20% - Accent5 4 4 2 3 5" xfId="25275" xr:uid="{00000000-0005-0000-0000-00003D3A0000}"/>
    <cellStyle name="20% - Accent5 4 4 2 4" xfId="4272" xr:uid="{00000000-0005-0000-0000-00003E3A0000}"/>
    <cellStyle name="20% - Accent5 4 4 2 4 2" xfId="9922" xr:uid="{00000000-0005-0000-0000-00003F3A0000}"/>
    <cellStyle name="20% - Accent5 4 4 2 4 2 2" xfId="21223" xr:uid="{00000000-0005-0000-0000-0000403A0000}"/>
    <cellStyle name="20% - Accent5 4 4 2 4 2 2 2" xfId="43825" xr:uid="{00000000-0005-0000-0000-0000413A0000}"/>
    <cellStyle name="20% - Accent5 4 4 2 4 2 3" xfId="32524" xr:uid="{00000000-0005-0000-0000-0000423A0000}"/>
    <cellStyle name="20% - Accent5 4 4 2 4 3" xfId="15573" xr:uid="{00000000-0005-0000-0000-0000433A0000}"/>
    <cellStyle name="20% - Accent5 4 4 2 4 3 2" xfId="38175" xr:uid="{00000000-0005-0000-0000-0000443A0000}"/>
    <cellStyle name="20% - Accent5 4 4 2 4 4" xfId="26874" xr:uid="{00000000-0005-0000-0000-0000453A0000}"/>
    <cellStyle name="20% - Accent5 4 4 2 5" xfId="7069" xr:uid="{00000000-0005-0000-0000-0000463A0000}"/>
    <cellStyle name="20% - Accent5 4 4 2 5 2" xfId="18370" xr:uid="{00000000-0005-0000-0000-0000473A0000}"/>
    <cellStyle name="20% - Accent5 4 4 2 5 2 2" xfId="40972" xr:uid="{00000000-0005-0000-0000-0000483A0000}"/>
    <cellStyle name="20% - Accent5 4 4 2 5 3" xfId="29671" xr:uid="{00000000-0005-0000-0000-0000493A0000}"/>
    <cellStyle name="20% - Accent5 4 4 2 6" xfId="12720" xr:uid="{00000000-0005-0000-0000-00004A3A0000}"/>
    <cellStyle name="20% - Accent5 4 4 2 6 2" xfId="35322" xr:uid="{00000000-0005-0000-0000-00004B3A0000}"/>
    <cellStyle name="20% - Accent5 4 4 2 7" xfId="24021" xr:uid="{00000000-0005-0000-0000-00004C3A0000}"/>
    <cellStyle name="20% - Accent5 4 4 3" xfId="764" xr:uid="{00000000-0005-0000-0000-00004D3A0000}"/>
    <cellStyle name="20% - Accent5 4 4 3 2" xfId="2851" xr:uid="{00000000-0005-0000-0000-00004E3A0000}"/>
    <cellStyle name="20% - Accent5 4 4 3 2 2" xfId="5823" xr:uid="{00000000-0005-0000-0000-00004F3A0000}"/>
    <cellStyle name="20% - Accent5 4 4 3 2 2 2" xfId="11473" xr:uid="{00000000-0005-0000-0000-0000503A0000}"/>
    <cellStyle name="20% - Accent5 4 4 3 2 2 2 2" xfId="22774" xr:uid="{00000000-0005-0000-0000-0000513A0000}"/>
    <cellStyle name="20% - Accent5 4 4 3 2 2 2 2 2" xfId="45376" xr:uid="{00000000-0005-0000-0000-0000523A0000}"/>
    <cellStyle name="20% - Accent5 4 4 3 2 2 2 3" xfId="34075" xr:uid="{00000000-0005-0000-0000-0000533A0000}"/>
    <cellStyle name="20% - Accent5 4 4 3 2 2 3" xfId="17124" xr:uid="{00000000-0005-0000-0000-0000543A0000}"/>
    <cellStyle name="20% - Accent5 4 4 3 2 2 3 2" xfId="39726" xr:uid="{00000000-0005-0000-0000-0000553A0000}"/>
    <cellStyle name="20% - Accent5 4 4 3 2 2 4" xfId="28425" xr:uid="{00000000-0005-0000-0000-0000563A0000}"/>
    <cellStyle name="20% - Accent5 4 4 3 2 3" xfId="8641" xr:uid="{00000000-0005-0000-0000-0000573A0000}"/>
    <cellStyle name="20% - Accent5 4 4 3 2 3 2" xfId="19942" xr:uid="{00000000-0005-0000-0000-0000583A0000}"/>
    <cellStyle name="20% - Accent5 4 4 3 2 3 2 2" xfId="42544" xr:uid="{00000000-0005-0000-0000-0000593A0000}"/>
    <cellStyle name="20% - Accent5 4 4 3 2 3 3" xfId="31243" xr:uid="{00000000-0005-0000-0000-00005A3A0000}"/>
    <cellStyle name="20% - Accent5 4 4 3 2 4" xfId="14292" xr:uid="{00000000-0005-0000-0000-00005B3A0000}"/>
    <cellStyle name="20% - Accent5 4 4 3 2 4 2" xfId="36894" xr:uid="{00000000-0005-0000-0000-00005C3A0000}"/>
    <cellStyle name="20% - Accent5 4 4 3 2 5" xfId="25593" xr:uid="{00000000-0005-0000-0000-00005D3A0000}"/>
    <cellStyle name="20% - Accent5 4 4 3 3" xfId="4589" xr:uid="{00000000-0005-0000-0000-00005E3A0000}"/>
    <cellStyle name="20% - Accent5 4 4 3 3 2" xfId="10239" xr:uid="{00000000-0005-0000-0000-00005F3A0000}"/>
    <cellStyle name="20% - Accent5 4 4 3 3 2 2" xfId="21540" xr:uid="{00000000-0005-0000-0000-0000603A0000}"/>
    <cellStyle name="20% - Accent5 4 4 3 3 2 2 2" xfId="44142" xr:uid="{00000000-0005-0000-0000-0000613A0000}"/>
    <cellStyle name="20% - Accent5 4 4 3 3 2 3" xfId="32841" xr:uid="{00000000-0005-0000-0000-0000623A0000}"/>
    <cellStyle name="20% - Accent5 4 4 3 3 3" xfId="15890" xr:uid="{00000000-0005-0000-0000-0000633A0000}"/>
    <cellStyle name="20% - Accent5 4 4 3 3 3 2" xfId="38492" xr:uid="{00000000-0005-0000-0000-0000643A0000}"/>
    <cellStyle name="20% - Accent5 4 4 3 3 4" xfId="27191" xr:uid="{00000000-0005-0000-0000-0000653A0000}"/>
    <cellStyle name="20% - Accent5 4 4 3 4" xfId="6772" xr:uid="{00000000-0005-0000-0000-0000663A0000}"/>
    <cellStyle name="20% - Accent5 4 4 3 4 2" xfId="18073" xr:uid="{00000000-0005-0000-0000-0000673A0000}"/>
    <cellStyle name="20% - Accent5 4 4 3 4 2 2" xfId="40675" xr:uid="{00000000-0005-0000-0000-0000683A0000}"/>
    <cellStyle name="20% - Accent5 4 4 3 4 3" xfId="29374" xr:uid="{00000000-0005-0000-0000-0000693A0000}"/>
    <cellStyle name="20% - Accent5 4 4 3 5" xfId="12423" xr:uid="{00000000-0005-0000-0000-00006A3A0000}"/>
    <cellStyle name="20% - Accent5 4 4 3 5 2" xfId="35025" xr:uid="{00000000-0005-0000-0000-00006B3A0000}"/>
    <cellStyle name="20% - Accent5 4 4 3 6" xfId="23724" xr:uid="{00000000-0005-0000-0000-00006C3A0000}"/>
    <cellStyle name="20% - Accent5 4 4 4" xfId="1685" xr:uid="{00000000-0005-0000-0000-00006D3A0000}"/>
    <cellStyle name="20% - Accent5 4 4 4 2" xfId="3610" xr:uid="{00000000-0005-0000-0000-00006E3A0000}"/>
    <cellStyle name="20% - Accent5 4 4 4 2 2" xfId="9321" xr:uid="{00000000-0005-0000-0000-00006F3A0000}"/>
    <cellStyle name="20% - Accent5 4 4 4 2 2 2" xfId="20622" xr:uid="{00000000-0005-0000-0000-0000703A0000}"/>
    <cellStyle name="20% - Accent5 4 4 4 2 2 2 2" xfId="43224" xr:uid="{00000000-0005-0000-0000-0000713A0000}"/>
    <cellStyle name="20% - Accent5 4 4 4 2 2 3" xfId="31923" xr:uid="{00000000-0005-0000-0000-0000723A0000}"/>
    <cellStyle name="20% - Accent5 4 4 4 2 3" xfId="14972" xr:uid="{00000000-0005-0000-0000-0000733A0000}"/>
    <cellStyle name="20% - Accent5 4 4 4 2 3 2" xfId="37574" xr:uid="{00000000-0005-0000-0000-0000743A0000}"/>
    <cellStyle name="20% - Accent5 4 4 4 2 4" xfId="26273" xr:uid="{00000000-0005-0000-0000-0000753A0000}"/>
    <cellStyle name="20% - Accent5 4 4 4 3" xfId="5199" xr:uid="{00000000-0005-0000-0000-0000763A0000}"/>
    <cellStyle name="20% - Accent5 4 4 4 3 2" xfId="10849" xr:uid="{00000000-0005-0000-0000-0000773A0000}"/>
    <cellStyle name="20% - Accent5 4 4 4 3 2 2" xfId="22150" xr:uid="{00000000-0005-0000-0000-0000783A0000}"/>
    <cellStyle name="20% - Accent5 4 4 4 3 2 2 2" xfId="44752" xr:uid="{00000000-0005-0000-0000-0000793A0000}"/>
    <cellStyle name="20% - Accent5 4 4 4 3 2 3" xfId="33451" xr:uid="{00000000-0005-0000-0000-00007A3A0000}"/>
    <cellStyle name="20% - Accent5 4 4 4 3 3" xfId="16500" xr:uid="{00000000-0005-0000-0000-00007B3A0000}"/>
    <cellStyle name="20% - Accent5 4 4 4 3 3 2" xfId="39102" xr:uid="{00000000-0005-0000-0000-00007C3A0000}"/>
    <cellStyle name="20% - Accent5 4 4 4 3 4" xfId="27801" xr:uid="{00000000-0005-0000-0000-00007D3A0000}"/>
    <cellStyle name="20% - Accent5 4 4 4 4" xfId="7541" xr:uid="{00000000-0005-0000-0000-00007E3A0000}"/>
    <cellStyle name="20% - Accent5 4 4 4 4 2" xfId="18842" xr:uid="{00000000-0005-0000-0000-00007F3A0000}"/>
    <cellStyle name="20% - Accent5 4 4 4 4 2 2" xfId="41444" xr:uid="{00000000-0005-0000-0000-0000803A0000}"/>
    <cellStyle name="20% - Accent5 4 4 4 4 3" xfId="30143" xr:uid="{00000000-0005-0000-0000-0000813A0000}"/>
    <cellStyle name="20% - Accent5 4 4 4 5" xfId="13192" xr:uid="{00000000-0005-0000-0000-0000823A0000}"/>
    <cellStyle name="20% - Accent5 4 4 4 5 2" xfId="35794" xr:uid="{00000000-0005-0000-0000-0000833A0000}"/>
    <cellStyle name="20% - Accent5 4 4 4 6" xfId="24493" xr:uid="{00000000-0005-0000-0000-0000843A0000}"/>
    <cellStyle name="20% - Accent5 4 4 5" xfId="2171" xr:uid="{00000000-0005-0000-0000-0000853A0000}"/>
    <cellStyle name="20% - Accent5 4 4 5 2" xfId="8013" xr:uid="{00000000-0005-0000-0000-0000863A0000}"/>
    <cellStyle name="20% - Accent5 4 4 5 2 2" xfId="19314" xr:uid="{00000000-0005-0000-0000-0000873A0000}"/>
    <cellStyle name="20% - Accent5 4 4 5 2 2 2" xfId="41916" xr:uid="{00000000-0005-0000-0000-0000883A0000}"/>
    <cellStyle name="20% - Accent5 4 4 5 2 3" xfId="30615" xr:uid="{00000000-0005-0000-0000-0000893A0000}"/>
    <cellStyle name="20% - Accent5 4 4 5 3" xfId="13664" xr:uid="{00000000-0005-0000-0000-00008A3A0000}"/>
    <cellStyle name="20% - Accent5 4 4 5 3 2" xfId="36266" xr:uid="{00000000-0005-0000-0000-00008B3A0000}"/>
    <cellStyle name="20% - Accent5 4 4 5 4" xfId="24965" xr:uid="{00000000-0005-0000-0000-00008C3A0000}"/>
    <cellStyle name="20% - Accent5 4 4 6" xfId="3965" xr:uid="{00000000-0005-0000-0000-00008D3A0000}"/>
    <cellStyle name="20% - Accent5 4 4 6 2" xfId="9615" xr:uid="{00000000-0005-0000-0000-00008E3A0000}"/>
    <cellStyle name="20% - Accent5 4 4 6 2 2" xfId="20916" xr:uid="{00000000-0005-0000-0000-00008F3A0000}"/>
    <cellStyle name="20% - Accent5 4 4 6 2 2 2" xfId="43518" xr:uid="{00000000-0005-0000-0000-0000903A0000}"/>
    <cellStyle name="20% - Accent5 4 4 6 2 3" xfId="32217" xr:uid="{00000000-0005-0000-0000-0000913A0000}"/>
    <cellStyle name="20% - Accent5 4 4 6 3" xfId="15266" xr:uid="{00000000-0005-0000-0000-0000923A0000}"/>
    <cellStyle name="20% - Accent5 4 4 6 3 2" xfId="37868" xr:uid="{00000000-0005-0000-0000-0000933A0000}"/>
    <cellStyle name="20% - Accent5 4 4 6 4" xfId="26567" xr:uid="{00000000-0005-0000-0000-0000943A0000}"/>
    <cellStyle name="20% - Accent5 4 4 7" xfId="6583" xr:uid="{00000000-0005-0000-0000-0000953A0000}"/>
    <cellStyle name="20% - Accent5 4 4 7 2" xfId="17884" xr:uid="{00000000-0005-0000-0000-0000963A0000}"/>
    <cellStyle name="20% - Accent5 4 4 7 2 2" xfId="40486" xr:uid="{00000000-0005-0000-0000-0000973A0000}"/>
    <cellStyle name="20% - Accent5 4 4 7 3" xfId="29185" xr:uid="{00000000-0005-0000-0000-0000983A0000}"/>
    <cellStyle name="20% - Accent5 4 4 8" xfId="12234" xr:uid="{00000000-0005-0000-0000-0000993A0000}"/>
    <cellStyle name="20% - Accent5 4 4 8 2" xfId="34836" xr:uid="{00000000-0005-0000-0000-00009A3A0000}"/>
    <cellStyle name="20% - Accent5 4 4 9" xfId="23535" xr:uid="{00000000-0005-0000-0000-00009B3A0000}"/>
    <cellStyle name="20% - Accent5 4 5" xfId="460" xr:uid="{00000000-0005-0000-0000-00009C3A0000}"/>
    <cellStyle name="20% - Accent5 4 5 2" xfId="1229" xr:uid="{00000000-0005-0000-0000-00009D3A0000}"/>
    <cellStyle name="20% - Accent5 4 5 2 2" xfId="1688" xr:uid="{00000000-0005-0000-0000-00009E3A0000}"/>
    <cellStyle name="20% - Accent5 4 5 2 2 2" xfId="3298" xr:uid="{00000000-0005-0000-0000-00009F3A0000}"/>
    <cellStyle name="20% - Accent5 4 5 2 2 2 2" xfId="6270" xr:uid="{00000000-0005-0000-0000-0000A03A0000}"/>
    <cellStyle name="20% - Accent5 4 5 2 2 2 2 2" xfId="11920" xr:uid="{00000000-0005-0000-0000-0000A13A0000}"/>
    <cellStyle name="20% - Accent5 4 5 2 2 2 2 2 2" xfId="23221" xr:uid="{00000000-0005-0000-0000-0000A23A0000}"/>
    <cellStyle name="20% - Accent5 4 5 2 2 2 2 2 2 2" xfId="45823" xr:uid="{00000000-0005-0000-0000-0000A33A0000}"/>
    <cellStyle name="20% - Accent5 4 5 2 2 2 2 2 3" xfId="34522" xr:uid="{00000000-0005-0000-0000-0000A43A0000}"/>
    <cellStyle name="20% - Accent5 4 5 2 2 2 2 3" xfId="17571" xr:uid="{00000000-0005-0000-0000-0000A53A0000}"/>
    <cellStyle name="20% - Accent5 4 5 2 2 2 2 3 2" xfId="40173" xr:uid="{00000000-0005-0000-0000-0000A63A0000}"/>
    <cellStyle name="20% - Accent5 4 5 2 2 2 2 4" xfId="28872" xr:uid="{00000000-0005-0000-0000-0000A73A0000}"/>
    <cellStyle name="20% - Accent5 4 5 2 2 2 3" xfId="9088" xr:uid="{00000000-0005-0000-0000-0000A83A0000}"/>
    <cellStyle name="20% - Accent5 4 5 2 2 2 3 2" xfId="20389" xr:uid="{00000000-0005-0000-0000-0000A93A0000}"/>
    <cellStyle name="20% - Accent5 4 5 2 2 2 3 2 2" xfId="42991" xr:uid="{00000000-0005-0000-0000-0000AA3A0000}"/>
    <cellStyle name="20% - Accent5 4 5 2 2 2 3 3" xfId="31690" xr:uid="{00000000-0005-0000-0000-0000AB3A0000}"/>
    <cellStyle name="20% - Accent5 4 5 2 2 2 4" xfId="14739" xr:uid="{00000000-0005-0000-0000-0000AC3A0000}"/>
    <cellStyle name="20% - Accent5 4 5 2 2 2 4 2" xfId="37341" xr:uid="{00000000-0005-0000-0000-0000AD3A0000}"/>
    <cellStyle name="20% - Accent5 4 5 2 2 2 5" xfId="26040" xr:uid="{00000000-0005-0000-0000-0000AE3A0000}"/>
    <cellStyle name="20% - Accent5 4 5 2 2 3" xfId="5036" xr:uid="{00000000-0005-0000-0000-0000AF3A0000}"/>
    <cellStyle name="20% - Accent5 4 5 2 2 3 2" xfId="10686" xr:uid="{00000000-0005-0000-0000-0000B03A0000}"/>
    <cellStyle name="20% - Accent5 4 5 2 2 3 2 2" xfId="21987" xr:uid="{00000000-0005-0000-0000-0000B13A0000}"/>
    <cellStyle name="20% - Accent5 4 5 2 2 3 2 2 2" xfId="44589" xr:uid="{00000000-0005-0000-0000-0000B23A0000}"/>
    <cellStyle name="20% - Accent5 4 5 2 2 3 2 3" xfId="33288" xr:uid="{00000000-0005-0000-0000-0000B33A0000}"/>
    <cellStyle name="20% - Accent5 4 5 2 2 3 3" xfId="16337" xr:uid="{00000000-0005-0000-0000-0000B43A0000}"/>
    <cellStyle name="20% - Accent5 4 5 2 2 3 3 2" xfId="38939" xr:uid="{00000000-0005-0000-0000-0000B53A0000}"/>
    <cellStyle name="20% - Accent5 4 5 2 2 3 4" xfId="27638" xr:uid="{00000000-0005-0000-0000-0000B63A0000}"/>
    <cellStyle name="20% - Accent5 4 5 2 2 4" xfId="7544" xr:uid="{00000000-0005-0000-0000-0000B73A0000}"/>
    <cellStyle name="20% - Accent5 4 5 2 2 4 2" xfId="18845" xr:uid="{00000000-0005-0000-0000-0000B83A0000}"/>
    <cellStyle name="20% - Accent5 4 5 2 2 4 2 2" xfId="41447" xr:uid="{00000000-0005-0000-0000-0000B93A0000}"/>
    <cellStyle name="20% - Accent5 4 5 2 2 4 3" xfId="30146" xr:uid="{00000000-0005-0000-0000-0000BA3A0000}"/>
    <cellStyle name="20% - Accent5 4 5 2 2 5" xfId="13195" xr:uid="{00000000-0005-0000-0000-0000BB3A0000}"/>
    <cellStyle name="20% - Accent5 4 5 2 2 5 2" xfId="35797" xr:uid="{00000000-0005-0000-0000-0000BC3A0000}"/>
    <cellStyle name="20% - Accent5 4 5 2 2 6" xfId="24496" xr:uid="{00000000-0005-0000-0000-0000BD3A0000}"/>
    <cellStyle name="20% - Accent5 4 5 2 3" xfId="2627" xr:uid="{00000000-0005-0000-0000-0000BE3A0000}"/>
    <cellStyle name="20% - Accent5 4 5 2 3 2" xfId="5646" xr:uid="{00000000-0005-0000-0000-0000BF3A0000}"/>
    <cellStyle name="20% - Accent5 4 5 2 3 2 2" xfId="11296" xr:uid="{00000000-0005-0000-0000-0000C03A0000}"/>
    <cellStyle name="20% - Accent5 4 5 2 3 2 2 2" xfId="22597" xr:uid="{00000000-0005-0000-0000-0000C13A0000}"/>
    <cellStyle name="20% - Accent5 4 5 2 3 2 2 2 2" xfId="45199" xr:uid="{00000000-0005-0000-0000-0000C23A0000}"/>
    <cellStyle name="20% - Accent5 4 5 2 3 2 2 3" xfId="33898" xr:uid="{00000000-0005-0000-0000-0000C33A0000}"/>
    <cellStyle name="20% - Accent5 4 5 2 3 2 3" xfId="16947" xr:uid="{00000000-0005-0000-0000-0000C43A0000}"/>
    <cellStyle name="20% - Accent5 4 5 2 3 2 3 2" xfId="39549" xr:uid="{00000000-0005-0000-0000-0000C53A0000}"/>
    <cellStyle name="20% - Accent5 4 5 2 3 2 4" xfId="28248" xr:uid="{00000000-0005-0000-0000-0000C63A0000}"/>
    <cellStyle name="20% - Accent5 4 5 2 3 3" xfId="8463" xr:uid="{00000000-0005-0000-0000-0000C73A0000}"/>
    <cellStyle name="20% - Accent5 4 5 2 3 3 2" xfId="19764" xr:uid="{00000000-0005-0000-0000-0000C83A0000}"/>
    <cellStyle name="20% - Accent5 4 5 2 3 3 2 2" xfId="42366" xr:uid="{00000000-0005-0000-0000-0000C93A0000}"/>
    <cellStyle name="20% - Accent5 4 5 2 3 3 3" xfId="31065" xr:uid="{00000000-0005-0000-0000-0000CA3A0000}"/>
    <cellStyle name="20% - Accent5 4 5 2 3 4" xfId="14114" xr:uid="{00000000-0005-0000-0000-0000CB3A0000}"/>
    <cellStyle name="20% - Accent5 4 5 2 3 4 2" xfId="36716" xr:uid="{00000000-0005-0000-0000-0000CC3A0000}"/>
    <cellStyle name="20% - Accent5 4 5 2 3 5" xfId="25415" xr:uid="{00000000-0005-0000-0000-0000CD3A0000}"/>
    <cellStyle name="20% - Accent5 4 5 2 4" xfId="4412" xr:uid="{00000000-0005-0000-0000-0000CE3A0000}"/>
    <cellStyle name="20% - Accent5 4 5 2 4 2" xfId="10062" xr:uid="{00000000-0005-0000-0000-0000CF3A0000}"/>
    <cellStyle name="20% - Accent5 4 5 2 4 2 2" xfId="21363" xr:uid="{00000000-0005-0000-0000-0000D03A0000}"/>
    <cellStyle name="20% - Accent5 4 5 2 4 2 2 2" xfId="43965" xr:uid="{00000000-0005-0000-0000-0000D13A0000}"/>
    <cellStyle name="20% - Accent5 4 5 2 4 2 3" xfId="32664" xr:uid="{00000000-0005-0000-0000-0000D23A0000}"/>
    <cellStyle name="20% - Accent5 4 5 2 4 3" xfId="15713" xr:uid="{00000000-0005-0000-0000-0000D33A0000}"/>
    <cellStyle name="20% - Accent5 4 5 2 4 3 2" xfId="38315" xr:uid="{00000000-0005-0000-0000-0000D43A0000}"/>
    <cellStyle name="20% - Accent5 4 5 2 4 4" xfId="27014" xr:uid="{00000000-0005-0000-0000-0000D53A0000}"/>
    <cellStyle name="20% - Accent5 4 5 2 5" xfId="7208" xr:uid="{00000000-0005-0000-0000-0000D63A0000}"/>
    <cellStyle name="20% - Accent5 4 5 2 5 2" xfId="18509" xr:uid="{00000000-0005-0000-0000-0000D73A0000}"/>
    <cellStyle name="20% - Accent5 4 5 2 5 2 2" xfId="41111" xr:uid="{00000000-0005-0000-0000-0000D83A0000}"/>
    <cellStyle name="20% - Accent5 4 5 2 5 3" xfId="29810" xr:uid="{00000000-0005-0000-0000-0000D93A0000}"/>
    <cellStyle name="20% - Accent5 4 5 2 6" xfId="12859" xr:uid="{00000000-0005-0000-0000-0000DA3A0000}"/>
    <cellStyle name="20% - Accent5 4 5 2 6 2" xfId="35461" xr:uid="{00000000-0005-0000-0000-0000DB3A0000}"/>
    <cellStyle name="20% - Accent5 4 5 2 7" xfId="24160" xr:uid="{00000000-0005-0000-0000-0000DC3A0000}"/>
    <cellStyle name="20% - Accent5 4 5 3" xfId="927" xr:uid="{00000000-0005-0000-0000-0000DD3A0000}"/>
    <cellStyle name="20% - Accent5 4 5 3 2" xfId="2990" xr:uid="{00000000-0005-0000-0000-0000DE3A0000}"/>
    <cellStyle name="20% - Accent5 4 5 3 2 2" xfId="5962" xr:uid="{00000000-0005-0000-0000-0000DF3A0000}"/>
    <cellStyle name="20% - Accent5 4 5 3 2 2 2" xfId="11612" xr:uid="{00000000-0005-0000-0000-0000E03A0000}"/>
    <cellStyle name="20% - Accent5 4 5 3 2 2 2 2" xfId="22913" xr:uid="{00000000-0005-0000-0000-0000E13A0000}"/>
    <cellStyle name="20% - Accent5 4 5 3 2 2 2 2 2" xfId="45515" xr:uid="{00000000-0005-0000-0000-0000E23A0000}"/>
    <cellStyle name="20% - Accent5 4 5 3 2 2 2 3" xfId="34214" xr:uid="{00000000-0005-0000-0000-0000E33A0000}"/>
    <cellStyle name="20% - Accent5 4 5 3 2 2 3" xfId="17263" xr:uid="{00000000-0005-0000-0000-0000E43A0000}"/>
    <cellStyle name="20% - Accent5 4 5 3 2 2 3 2" xfId="39865" xr:uid="{00000000-0005-0000-0000-0000E53A0000}"/>
    <cellStyle name="20% - Accent5 4 5 3 2 2 4" xfId="28564" xr:uid="{00000000-0005-0000-0000-0000E63A0000}"/>
    <cellStyle name="20% - Accent5 4 5 3 2 3" xfId="8780" xr:uid="{00000000-0005-0000-0000-0000E73A0000}"/>
    <cellStyle name="20% - Accent5 4 5 3 2 3 2" xfId="20081" xr:uid="{00000000-0005-0000-0000-0000E83A0000}"/>
    <cellStyle name="20% - Accent5 4 5 3 2 3 2 2" xfId="42683" xr:uid="{00000000-0005-0000-0000-0000E93A0000}"/>
    <cellStyle name="20% - Accent5 4 5 3 2 3 3" xfId="31382" xr:uid="{00000000-0005-0000-0000-0000EA3A0000}"/>
    <cellStyle name="20% - Accent5 4 5 3 2 4" xfId="14431" xr:uid="{00000000-0005-0000-0000-0000EB3A0000}"/>
    <cellStyle name="20% - Accent5 4 5 3 2 4 2" xfId="37033" xr:uid="{00000000-0005-0000-0000-0000EC3A0000}"/>
    <cellStyle name="20% - Accent5 4 5 3 2 5" xfId="25732" xr:uid="{00000000-0005-0000-0000-0000ED3A0000}"/>
    <cellStyle name="20% - Accent5 4 5 3 3" xfId="4728" xr:uid="{00000000-0005-0000-0000-0000EE3A0000}"/>
    <cellStyle name="20% - Accent5 4 5 3 3 2" xfId="10378" xr:uid="{00000000-0005-0000-0000-0000EF3A0000}"/>
    <cellStyle name="20% - Accent5 4 5 3 3 2 2" xfId="21679" xr:uid="{00000000-0005-0000-0000-0000F03A0000}"/>
    <cellStyle name="20% - Accent5 4 5 3 3 2 2 2" xfId="44281" xr:uid="{00000000-0005-0000-0000-0000F13A0000}"/>
    <cellStyle name="20% - Accent5 4 5 3 3 2 3" xfId="32980" xr:uid="{00000000-0005-0000-0000-0000F23A0000}"/>
    <cellStyle name="20% - Accent5 4 5 3 3 3" xfId="16029" xr:uid="{00000000-0005-0000-0000-0000F33A0000}"/>
    <cellStyle name="20% - Accent5 4 5 3 3 3 2" xfId="38631" xr:uid="{00000000-0005-0000-0000-0000F43A0000}"/>
    <cellStyle name="20% - Accent5 4 5 3 3 4" xfId="27330" xr:uid="{00000000-0005-0000-0000-0000F53A0000}"/>
    <cellStyle name="20% - Accent5 4 5 3 4" xfId="6915" xr:uid="{00000000-0005-0000-0000-0000F63A0000}"/>
    <cellStyle name="20% - Accent5 4 5 3 4 2" xfId="18216" xr:uid="{00000000-0005-0000-0000-0000F73A0000}"/>
    <cellStyle name="20% - Accent5 4 5 3 4 2 2" xfId="40818" xr:uid="{00000000-0005-0000-0000-0000F83A0000}"/>
    <cellStyle name="20% - Accent5 4 5 3 4 3" xfId="29517" xr:uid="{00000000-0005-0000-0000-0000F93A0000}"/>
    <cellStyle name="20% - Accent5 4 5 3 5" xfId="12566" xr:uid="{00000000-0005-0000-0000-0000FA3A0000}"/>
    <cellStyle name="20% - Accent5 4 5 3 5 2" xfId="35168" xr:uid="{00000000-0005-0000-0000-0000FB3A0000}"/>
    <cellStyle name="20% - Accent5 4 5 3 6" xfId="23867" xr:uid="{00000000-0005-0000-0000-0000FC3A0000}"/>
    <cellStyle name="20% - Accent5 4 5 4" xfId="1687" xr:uid="{00000000-0005-0000-0000-0000FD3A0000}"/>
    <cellStyle name="20% - Accent5 4 5 4 2" xfId="3611" xr:uid="{00000000-0005-0000-0000-0000FE3A0000}"/>
    <cellStyle name="20% - Accent5 4 5 4 2 2" xfId="9322" xr:uid="{00000000-0005-0000-0000-0000FF3A0000}"/>
    <cellStyle name="20% - Accent5 4 5 4 2 2 2" xfId="20623" xr:uid="{00000000-0005-0000-0000-0000003B0000}"/>
    <cellStyle name="20% - Accent5 4 5 4 2 2 2 2" xfId="43225" xr:uid="{00000000-0005-0000-0000-0000013B0000}"/>
    <cellStyle name="20% - Accent5 4 5 4 2 2 3" xfId="31924" xr:uid="{00000000-0005-0000-0000-0000023B0000}"/>
    <cellStyle name="20% - Accent5 4 5 4 2 3" xfId="14973" xr:uid="{00000000-0005-0000-0000-0000033B0000}"/>
    <cellStyle name="20% - Accent5 4 5 4 2 3 2" xfId="37575" xr:uid="{00000000-0005-0000-0000-0000043B0000}"/>
    <cellStyle name="20% - Accent5 4 5 4 2 4" xfId="26274" xr:uid="{00000000-0005-0000-0000-0000053B0000}"/>
    <cellStyle name="20% - Accent5 4 5 4 3" xfId="5338" xr:uid="{00000000-0005-0000-0000-0000063B0000}"/>
    <cellStyle name="20% - Accent5 4 5 4 3 2" xfId="10988" xr:uid="{00000000-0005-0000-0000-0000073B0000}"/>
    <cellStyle name="20% - Accent5 4 5 4 3 2 2" xfId="22289" xr:uid="{00000000-0005-0000-0000-0000083B0000}"/>
    <cellStyle name="20% - Accent5 4 5 4 3 2 2 2" xfId="44891" xr:uid="{00000000-0005-0000-0000-0000093B0000}"/>
    <cellStyle name="20% - Accent5 4 5 4 3 2 3" xfId="33590" xr:uid="{00000000-0005-0000-0000-00000A3B0000}"/>
    <cellStyle name="20% - Accent5 4 5 4 3 3" xfId="16639" xr:uid="{00000000-0005-0000-0000-00000B3B0000}"/>
    <cellStyle name="20% - Accent5 4 5 4 3 3 2" xfId="39241" xr:uid="{00000000-0005-0000-0000-00000C3B0000}"/>
    <cellStyle name="20% - Accent5 4 5 4 3 4" xfId="27940" xr:uid="{00000000-0005-0000-0000-00000D3B0000}"/>
    <cellStyle name="20% - Accent5 4 5 4 4" xfId="7543" xr:uid="{00000000-0005-0000-0000-00000E3B0000}"/>
    <cellStyle name="20% - Accent5 4 5 4 4 2" xfId="18844" xr:uid="{00000000-0005-0000-0000-00000F3B0000}"/>
    <cellStyle name="20% - Accent5 4 5 4 4 2 2" xfId="41446" xr:uid="{00000000-0005-0000-0000-0000103B0000}"/>
    <cellStyle name="20% - Accent5 4 5 4 4 3" xfId="30145" xr:uid="{00000000-0005-0000-0000-0000113B0000}"/>
    <cellStyle name="20% - Accent5 4 5 4 5" xfId="13194" xr:uid="{00000000-0005-0000-0000-0000123B0000}"/>
    <cellStyle name="20% - Accent5 4 5 4 5 2" xfId="35796" xr:uid="{00000000-0005-0000-0000-0000133B0000}"/>
    <cellStyle name="20% - Accent5 4 5 4 6" xfId="24495" xr:uid="{00000000-0005-0000-0000-0000143B0000}"/>
    <cellStyle name="20% - Accent5 4 5 5" xfId="2319" xr:uid="{00000000-0005-0000-0000-0000153B0000}"/>
    <cellStyle name="20% - Accent5 4 5 5 2" xfId="8155" xr:uid="{00000000-0005-0000-0000-0000163B0000}"/>
    <cellStyle name="20% - Accent5 4 5 5 2 2" xfId="19456" xr:uid="{00000000-0005-0000-0000-0000173B0000}"/>
    <cellStyle name="20% - Accent5 4 5 5 2 2 2" xfId="42058" xr:uid="{00000000-0005-0000-0000-0000183B0000}"/>
    <cellStyle name="20% - Accent5 4 5 5 2 3" xfId="30757" xr:uid="{00000000-0005-0000-0000-0000193B0000}"/>
    <cellStyle name="20% - Accent5 4 5 5 3" xfId="13806" xr:uid="{00000000-0005-0000-0000-00001A3B0000}"/>
    <cellStyle name="20% - Accent5 4 5 5 3 2" xfId="36408" xr:uid="{00000000-0005-0000-0000-00001B3B0000}"/>
    <cellStyle name="20% - Accent5 4 5 5 4" xfId="25107" xr:uid="{00000000-0005-0000-0000-00001C3B0000}"/>
    <cellStyle name="20% - Accent5 4 5 6" xfId="4104" xr:uid="{00000000-0005-0000-0000-00001D3B0000}"/>
    <cellStyle name="20% - Accent5 4 5 6 2" xfId="9754" xr:uid="{00000000-0005-0000-0000-00001E3B0000}"/>
    <cellStyle name="20% - Accent5 4 5 6 2 2" xfId="21055" xr:uid="{00000000-0005-0000-0000-00001F3B0000}"/>
    <cellStyle name="20% - Accent5 4 5 6 2 2 2" xfId="43657" xr:uid="{00000000-0005-0000-0000-0000203B0000}"/>
    <cellStyle name="20% - Accent5 4 5 6 2 3" xfId="32356" xr:uid="{00000000-0005-0000-0000-0000213B0000}"/>
    <cellStyle name="20% - Accent5 4 5 6 3" xfId="15405" xr:uid="{00000000-0005-0000-0000-0000223B0000}"/>
    <cellStyle name="20% - Accent5 4 5 6 3 2" xfId="38007" xr:uid="{00000000-0005-0000-0000-0000233B0000}"/>
    <cellStyle name="20% - Accent5 4 5 6 4" xfId="26706" xr:uid="{00000000-0005-0000-0000-0000243B0000}"/>
    <cellStyle name="20% - Accent5 4 5 7" xfId="6555" xr:uid="{00000000-0005-0000-0000-0000253B0000}"/>
    <cellStyle name="20% - Accent5 4 5 7 2" xfId="17856" xr:uid="{00000000-0005-0000-0000-0000263B0000}"/>
    <cellStyle name="20% - Accent5 4 5 7 2 2" xfId="40458" xr:uid="{00000000-0005-0000-0000-0000273B0000}"/>
    <cellStyle name="20% - Accent5 4 5 7 3" xfId="29157" xr:uid="{00000000-0005-0000-0000-0000283B0000}"/>
    <cellStyle name="20% - Accent5 4 5 8" xfId="12206" xr:uid="{00000000-0005-0000-0000-0000293B0000}"/>
    <cellStyle name="20% - Accent5 4 5 8 2" xfId="34808" xr:uid="{00000000-0005-0000-0000-00002A3B0000}"/>
    <cellStyle name="20% - Accent5 4 5 9" xfId="23507" xr:uid="{00000000-0005-0000-0000-00002B3B0000}"/>
    <cellStyle name="20% - Accent5 4 6" xfId="1062" xr:uid="{00000000-0005-0000-0000-00002C3B0000}"/>
    <cellStyle name="20% - Accent5 4 6 2" xfId="1689" xr:uid="{00000000-0005-0000-0000-00002D3B0000}"/>
    <cellStyle name="20% - Accent5 4 6 2 2" xfId="3129" xr:uid="{00000000-0005-0000-0000-00002E3B0000}"/>
    <cellStyle name="20% - Accent5 4 6 2 2 2" xfId="6101" xr:uid="{00000000-0005-0000-0000-00002F3B0000}"/>
    <cellStyle name="20% - Accent5 4 6 2 2 2 2" xfId="11751" xr:uid="{00000000-0005-0000-0000-0000303B0000}"/>
    <cellStyle name="20% - Accent5 4 6 2 2 2 2 2" xfId="23052" xr:uid="{00000000-0005-0000-0000-0000313B0000}"/>
    <cellStyle name="20% - Accent5 4 6 2 2 2 2 2 2" xfId="45654" xr:uid="{00000000-0005-0000-0000-0000323B0000}"/>
    <cellStyle name="20% - Accent5 4 6 2 2 2 2 3" xfId="34353" xr:uid="{00000000-0005-0000-0000-0000333B0000}"/>
    <cellStyle name="20% - Accent5 4 6 2 2 2 3" xfId="17402" xr:uid="{00000000-0005-0000-0000-0000343B0000}"/>
    <cellStyle name="20% - Accent5 4 6 2 2 2 3 2" xfId="40004" xr:uid="{00000000-0005-0000-0000-0000353B0000}"/>
    <cellStyle name="20% - Accent5 4 6 2 2 2 4" xfId="28703" xr:uid="{00000000-0005-0000-0000-0000363B0000}"/>
    <cellStyle name="20% - Accent5 4 6 2 2 3" xfId="8919" xr:uid="{00000000-0005-0000-0000-0000373B0000}"/>
    <cellStyle name="20% - Accent5 4 6 2 2 3 2" xfId="20220" xr:uid="{00000000-0005-0000-0000-0000383B0000}"/>
    <cellStyle name="20% - Accent5 4 6 2 2 3 2 2" xfId="42822" xr:uid="{00000000-0005-0000-0000-0000393B0000}"/>
    <cellStyle name="20% - Accent5 4 6 2 2 3 3" xfId="31521" xr:uid="{00000000-0005-0000-0000-00003A3B0000}"/>
    <cellStyle name="20% - Accent5 4 6 2 2 4" xfId="14570" xr:uid="{00000000-0005-0000-0000-00003B3B0000}"/>
    <cellStyle name="20% - Accent5 4 6 2 2 4 2" xfId="37172" xr:uid="{00000000-0005-0000-0000-00003C3B0000}"/>
    <cellStyle name="20% - Accent5 4 6 2 2 5" xfId="25871" xr:uid="{00000000-0005-0000-0000-00003D3B0000}"/>
    <cellStyle name="20% - Accent5 4 6 2 3" xfId="4867" xr:uid="{00000000-0005-0000-0000-00003E3B0000}"/>
    <cellStyle name="20% - Accent5 4 6 2 3 2" xfId="10517" xr:uid="{00000000-0005-0000-0000-00003F3B0000}"/>
    <cellStyle name="20% - Accent5 4 6 2 3 2 2" xfId="21818" xr:uid="{00000000-0005-0000-0000-0000403B0000}"/>
    <cellStyle name="20% - Accent5 4 6 2 3 2 2 2" xfId="44420" xr:uid="{00000000-0005-0000-0000-0000413B0000}"/>
    <cellStyle name="20% - Accent5 4 6 2 3 2 3" xfId="33119" xr:uid="{00000000-0005-0000-0000-0000423B0000}"/>
    <cellStyle name="20% - Accent5 4 6 2 3 3" xfId="16168" xr:uid="{00000000-0005-0000-0000-0000433B0000}"/>
    <cellStyle name="20% - Accent5 4 6 2 3 3 2" xfId="38770" xr:uid="{00000000-0005-0000-0000-0000443B0000}"/>
    <cellStyle name="20% - Accent5 4 6 2 3 4" xfId="27469" xr:uid="{00000000-0005-0000-0000-0000453B0000}"/>
    <cellStyle name="20% - Accent5 4 6 2 4" xfId="7545" xr:uid="{00000000-0005-0000-0000-0000463B0000}"/>
    <cellStyle name="20% - Accent5 4 6 2 4 2" xfId="18846" xr:uid="{00000000-0005-0000-0000-0000473B0000}"/>
    <cellStyle name="20% - Accent5 4 6 2 4 2 2" xfId="41448" xr:uid="{00000000-0005-0000-0000-0000483B0000}"/>
    <cellStyle name="20% - Accent5 4 6 2 4 3" xfId="30147" xr:uid="{00000000-0005-0000-0000-0000493B0000}"/>
    <cellStyle name="20% - Accent5 4 6 2 5" xfId="13196" xr:uid="{00000000-0005-0000-0000-00004A3B0000}"/>
    <cellStyle name="20% - Accent5 4 6 2 5 2" xfId="35798" xr:uid="{00000000-0005-0000-0000-00004B3B0000}"/>
    <cellStyle name="20% - Accent5 4 6 2 6" xfId="24497" xr:uid="{00000000-0005-0000-0000-00004C3B0000}"/>
    <cellStyle name="20% - Accent5 4 6 3" xfId="2458" xr:uid="{00000000-0005-0000-0000-00004D3B0000}"/>
    <cellStyle name="20% - Accent5 4 6 3 2" xfId="5477" xr:uid="{00000000-0005-0000-0000-00004E3B0000}"/>
    <cellStyle name="20% - Accent5 4 6 3 2 2" xfId="11127" xr:uid="{00000000-0005-0000-0000-00004F3B0000}"/>
    <cellStyle name="20% - Accent5 4 6 3 2 2 2" xfId="22428" xr:uid="{00000000-0005-0000-0000-0000503B0000}"/>
    <cellStyle name="20% - Accent5 4 6 3 2 2 2 2" xfId="45030" xr:uid="{00000000-0005-0000-0000-0000513B0000}"/>
    <cellStyle name="20% - Accent5 4 6 3 2 2 3" xfId="33729" xr:uid="{00000000-0005-0000-0000-0000523B0000}"/>
    <cellStyle name="20% - Accent5 4 6 3 2 3" xfId="16778" xr:uid="{00000000-0005-0000-0000-0000533B0000}"/>
    <cellStyle name="20% - Accent5 4 6 3 2 3 2" xfId="39380" xr:uid="{00000000-0005-0000-0000-0000543B0000}"/>
    <cellStyle name="20% - Accent5 4 6 3 2 4" xfId="28079" xr:uid="{00000000-0005-0000-0000-0000553B0000}"/>
    <cellStyle name="20% - Accent5 4 6 3 3" xfId="8294" xr:uid="{00000000-0005-0000-0000-0000563B0000}"/>
    <cellStyle name="20% - Accent5 4 6 3 3 2" xfId="19595" xr:uid="{00000000-0005-0000-0000-0000573B0000}"/>
    <cellStyle name="20% - Accent5 4 6 3 3 2 2" xfId="42197" xr:uid="{00000000-0005-0000-0000-0000583B0000}"/>
    <cellStyle name="20% - Accent5 4 6 3 3 3" xfId="30896" xr:uid="{00000000-0005-0000-0000-0000593B0000}"/>
    <cellStyle name="20% - Accent5 4 6 3 4" xfId="13945" xr:uid="{00000000-0005-0000-0000-00005A3B0000}"/>
    <cellStyle name="20% - Accent5 4 6 3 4 2" xfId="36547" xr:uid="{00000000-0005-0000-0000-00005B3B0000}"/>
    <cellStyle name="20% - Accent5 4 6 3 5" xfId="25246" xr:uid="{00000000-0005-0000-0000-00005C3B0000}"/>
    <cellStyle name="20% - Accent5 4 6 4" xfId="4243" xr:uid="{00000000-0005-0000-0000-00005D3B0000}"/>
    <cellStyle name="20% - Accent5 4 6 4 2" xfId="9893" xr:uid="{00000000-0005-0000-0000-00005E3B0000}"/>
    <cellStyle name="20% - Accent5 4 6 4 2 2" xfId="21194" xr:uid="{00000000-0005-0000-0000-00005F3B0000}"/>
    <cellStyle name="20% - Accent5 4 6 4 2 2 2" xfId="43796" xr:uid="{00000000-0005-0000-0000-0000603B0000}"/>
    <cellStyle name="20% - Accent5 4 6 4 2 3" xfId="32495" xr:uid="{00000000-0005-0000-0000-0000613B0000}"/>
    <cellStyle name="20% - Accent5 4 6 4 3" xfId="15544" xr:uid="{00000000-0005-0000-0000-0000623B0000}"/>
    <cellStyle name="20% - Accent5 4 6 4 3 2" xfId="38146" xr:uid="{00000000-0005-0000-0000-0000633B0000}"/>
    <cellStyle name="20% - Accent5 4 6 4 4" xfId="26845" xr:uid="{00000000-0005-0000-0000-0000643B0000}"/>
    <cellStyle name="20% - Accent5 4 6 5" xfId="7041" xr:uid="{00000000-0005-0000-0000-0000653B0000}"/>
    <cellStyle name="20% - Accent5 4 6 5 2" xfId="18342" xr:uid="{00000000-0005-0000-0000-0000663B0000}"/>
    <cellStyle name="20% - Accent5 4 6 5 2 2" xfId="40944" xr:uid="{00000000-0005-0000-0000-0000673B0000}"/>
    <cellStyle name="20% - Accent5 4 6 5 3" xfId="29643" xr:uid="{00000000-0005-0000-0000-0000683B0000}"/>
    <cellStyle name="20% - Accent5 4 6 6" xfId="12692" xr:uid="{00000000-0005-0000-0000-0000693B0000}"/>
    <cellStyle name="20% - Accent5 4 6 6 2" xfId="35294" xr:uid="{00000000-0005-0000-0000-00006A3B0000}"/>
    <cellStyle name="20% - Accent5 4 6 7" xfId="23993" xr:uid="{00000000-0005-0000-0000-00006B3B0000}"/>
    <cellStyle name="20% - Accent5 4 7" xfId="726" xr:uid="{00000000-0005-0000-0000-00006C3B0000}"/>
    <cellStyle name="20% - Accent5 4 7 2" xfId="2823" xr:uid="{00000000-0005-0000-0000-00006D3B0000}"/>
    <cellStyle name="20% - Accent5 4 7 2 2" xfId="5795" xr:uid="{00000000-0005-0000-0000-00006E3B0000}"/>
    <cellStyle name="20% - Accent5 4 7 2 2 2" xfId="11445" xr:uid="{00000000-0005-0000-0000-00006F3B0000}"/>
    <cellStyle name="20% - Accent5 4 7 2 2 2 2" xfId="22746" xr:uid="{00000000-0005-0000-0000-0000703B0000}"/>
    <cellStyle name="20% - Accent5 4 7 2 2 2 2 2" xfId="45348" xr:uid="{00000000-0005-0000-0000-0000713B0000}"/>
    <cellStyle name="20% - Accent5 4 7 2 2 2 3" xfId="34047" xr:uid="{00000000-0005-0000-0000-0000723B0000}"/>
    <cellStyle name="20% - Accent5 4 7 2 2 3" xfId="17096" xr:uid="{00000000-0005-0000-0000-0000733B0000}"/>
    <cellStyle name="20% - Accent5 4 7 2 2 3 2" xfId="39698" xr:uid="{00000000-0005-0000-0000-0000743B0000}"/>
    <cellStyle name="20% - Accent5 4 7 2 2 4" xfId="28397" xr:uid="{00000000-0005-0000-0000-0000753B0000}"/>
    <cellStyle name="20% - Accent5 4 7 2 3" xfId="8613" xr:uid="{00000000-0005-0000-0000-0000763B0000}"/>
    <cellStyle name="20% - Accent5 4 7 2 3 2" xfId="19914" xr:uid="{00000000-0005-0000-0000-0000773B0000}"/>
    <cellStyle name="20% - Accent5 4 7 2 3 2 2" xfId="42516" xr:uid="{00000000-0005-0000-0000-0000783B0000}"/>
    <cellStyle name="20% - Accent5 4 7 2 3 3" xfId="31215" xr:uid="{00000000-0005-0000-0000-0000793B0000}"/>
    <cellStyle name="20% - Accent5 4 7 2 4" xfId="14264" xr:uid="{00000000-0005-0000-0000-00007A3B0000}"/>
    <cellStyle name="20% - Accent5 4 7 2 4 2" xfId="36866" xr:uid="{00000000-0005-0000-0000-00007B3B0000}"/>
    <cellStyle name="20% - Accent5 4 7 2 5" xfId="25565" xr:uid="{00000000-0005-0000-0000-00007C3B0000}"/>
    <cellStyle name="20% - Accent5 4 7 3" xfId="4561" xr:uid="{00000000-0005-0000-0000-00007D3B0000}"/>
    <cellStyle name="20% - Accent5 4 7 3 2" xfId="10211" xr:uid="{00000000-0005-0000-0000-00007E3B0000}"/>
    <cellStyle name="20% - Accent5 4 7 3 2 2" xfId="21512" xr:uid="{00000000-0005-0000-0000-00007F3B0000}"/>
    <cellStyle name="20% - Accent5 4 7 3 2 2 2" xfId="44114" xr:uid="{00000000-0005-0000-0000-0000803B0000}"/>
    <cellStyle name="20% - Accent5 4 7 3 2 3" xfId="32813" xr:uid="{00000000-0005-0000-0000-0000813B0000}"/>
    <cellStyle name="20% - Accent5 4 7 3 3" xfId="15862" xr:uid="{00000000-0005-0000-0000-0000823B0000}"/>
    <cellStyle name="20% - Accent5 4 7 3 3 2" xfId="38464" xr:uid="{00000000-0005-0000-0000-0000833B0000}"/>
    <cellStyle name="20% - Accent5 4 7 3 4" xfId="27163" xr:uid="{00000000-0005-0000-0000-0000843B0000}"/>
    <cellStyle name="20% - Accent5 4 7 4" xfId="6743" xr:uid="{00000000-0005-0000-0000-0000853B0000}"/>
    <cellStyle name="20% - Accent5 4 7 4 2" xfId="18044" xr:uid="{00000000-0005-0000-0000-0000863B0000}"/>
    <cellStyle name="20% - Accent5 4 7 4 2 2" xfId="40646" xr:uid="{00000000-0005-0000-0000-0000873B0000}"/>
    <cellStyle name="20% - Accent5 4 7 4 3" xfId="29345" xr:uid="{00000000-0005-0000-0000-0000883B0000}"/>
    <cellStyle name="20% - Accent5 4 7 5" xfId="12394" xr:uid="{00000000-0005-0000-0000-0000893B0000}"/>
    <cellStyle name="20% - Accent5 4 7 5 2" xfId="34996" xr:uid="{00000000-0005-0000-0000-00008A3B0000}"/>
    <cellStyle name="20% - Accent5 4 7 6" xfId="23695" xr:uid="{00000000-0005-0000-0000-00008B3B0000}"/>
    <cellStyle name="20% - Accent5 4 8" xfId="1676" xr:uid="{00000000-0005-0000-0000-00008C3B0000}"/>
    <cellStyle name="20% - Accent5 4 8 2" xfId="3605" xr:uid="{00000000-0005-0000-0000-00008D3B0000}"/>
    <cellStyle name="20% - Accent5 4 8 2 2" xfId="9316" xr:uid="{00000000-0005-0000-0000-00008E3B0000}"/>
    <cellStyle name="20% - Accent5 4 8 2 2 2" xfId="20617" xr:uid="{00000000-0005-0000-0000-00008F3B0000}"/>
    <cellStyle name="20% - Accent5 4 8 2 2 2 2" xfId="43219" xr:uid="{00000000-0005-0000-0000-0000903B0000}"/>
    <cellStyle name="20% - Accent5 4 8 2 2 3" xfId="31918" xr:uid="{00000000-0005-0000-0000-0000913B0000}"/>
    <cellStyle name="20% - Accent5 4 8 2 3" xfId="14967" xr:uid="{00000000-0005-0000-0000-0000923B0000}"/>
    <cellStyle name="20% - Accent5 4 8 2 3 2" xfId="37569" xr:uid="{00000000-0005-0000-0000-0000933B0000}"/>
    <cellStyle name="20% - Accent5 4 8 2 4" xfId="26268" xr:uid="{00000000-0005-0000-0000-0000943B0000}"/>
    <cellStyle name="20% - Accent5 4 8 3" xfId="5171" xr:uid="{00000000-0005-0000-0000-0000953B0000}"/>
    <cellStyle name="20% - Accent5 4 8 3 2" xfId="10821" xr:uid="{00000000-0005-0000-0000-0000963B0000}"/>
    <cellStyle name="20% - Accent5 4 8 3 2 2" xfId="22122" xr:uid="{00000000-0005-0000-0000-0000973B0000}"/>
    <cellStyle name="20% - Accent5 4 8 3 2 2 2" xfId="44724" xr:uid="{00000000-0005-0000-0000-0000983B0000}"/>
    <cellStyle name="20% - Accent5 4 8 3 2 3" xfId="33423" xr:uid="{00000000-0005-0000-0000-0000993B0000}"/>
    <cellStyle name="20% - Accent5 4 8 3 3" xfId="16472" xr:uid="{00000000-0005-0000-0000-00009A3B0000}"/>
    <cellStyle name="20% - Accent5 4 8 3 3 2" xfId="39074" xr:uid="{00000000-0005-0000-0000-00009B3B0000}"/>
    <cellStyle name="20% - Accent5 4 8 3 4" xfId="27773" xr:uid="{00000000-0005-0000-0000-00009C3B0000}"/>
    <cellStyle name="20% - Accent5 4 8 4" xfId="7532" xr:uid="{00000000-0005-0000-0000-00009D3B0000}"/>
    <cellStyle name="20% - Accent5 4 8 4 2" xfId="18833" xr:uid="{00000000-0005-0000-0000-00009E3B0000}"/>
    <cellStyle name="20% - Accent5 4 8 4 2 2" xfId="41435" xr:uid="{00000000-0005-0000-0000-00009F3B0000}"/>
    <cellStyle name="20% - Accent5 4 8 4 3" xfId="30134" xr:uid="{00000000-0005-0000-0000-0000A03B0000}"/>
    <cellStyle name="20% - Accent5 4 8 5" xfId="13183" xr:uid="{00000000-0005-0000-0000-0000A13B0000}"/>
    <cellStyle name="20% - Accent5 4 8 5 2" xfId="35785" xr:uid="{00000000-0005-0000-0000-0000A23B0000}"/>
    <cellStyle name="20% - Accent5 4 8 6" xfId="24484" xr:uid="{00000000-0005-0000-0000-0000A33B0000}"/>
    <cellStyle name="20% - Accent5 4 9" xfId="2142" xr:uid="{00000000-0005-0000-0000-0000A43B0000}"/>
    <cellStyle name="20% - Accent5 4 9 2" xfId="7985" xr:uid="{00000000-0005-0000-0000-0000A53B0000}"/>
    <cellStyle name="20% - Accent5 4 9 2 2" xfId="19286" xr:uid="{00000000-0005-0000-0000-0000A63B0000}"/>
    <cellStyle name="20% - Accent5 4 9 2 2 2" xfId="41888" xr:uid="{00000000-0005-0000-0000-0000A73B0000}"/>
    <cellStyle name="20% - Accent5 4 9 2 3" xfId="30587" xr:uid="{00000000-0005-0000-0000-0000A83B0000}"/>
    <cellStyle name="20% - Accent5 4 9 3" xfId="13636" xr:uid="{00000000-0005-0000-0000-0000A93B0000}"/>
    <cellStyle name="20% - Accent5 4 9 3 2" xfId="36238" xr:uid="{00000000-0005-0000-0000-0000AA3B0000}"/>
    <cellStyle name="20% - Accent5 4 9 4" xfId="24937" xr:uid="{00000000-0005-0000-0000-0000AB3B0000}"/>
    <cellStyle name="20% - Accent5 5" xfId="215" xr:uid="{00000000-0005-0000-0000-0000AC3B0000}"/>
    <cellStyle name="20% - Accent5 5 10" xfId="12080" xr:uid="{00000000-0005-0000-0000-0000AD3B0000}"/>
    <cellStyle name="20% - Accent5 5 10 2" xfId="34682" xr:uid="{00000000-0005-0000-0000-0000AE3B0000}"/>
    <cellStyle name="20% - Accent5 5 11" xfId="23381" xr:uid="{00000000-0005-0000-0000-0000AF3B0000}"/>
    <cellStyle name="20% - Accent5 5 2" xfId="381" xr:uid="{00000000-0005-0000-0000-0000B03B0000}"/>
    <cellStyle name="20% - Accent5 5 2 10" xfId="23476" xr:uid="{00000000-0005-0000-0000-0000B13B0000}"/>
    <cellStyle name="20% - Accent5 5 2 2" xfId="626" xr:uid="{00000000-0005-0000-0000-0000B23B0000}"/>
    <cellStyle name="20% - Accent5 5 2 2 2" xfId="1336" xr:uid="{00000000-0005-0000-0000-0000B33B0000}"/>
    <cellStyle name="20% - Accent5 5 2 2 2 2" xfId="1693" xr:uid="{00000000-0005-0000-0000-0000B43B0000}"/>
    <cellStyle name="20% - Accent5 5 2 2 2 2 2" xfId="3405" xr:uid="{00000000-0005-0000-0000-0000B53B0000}"/>
    <cellStyle name="20% - Accent5 5 2 2 2 2 2 2" xfId="6377" xr:uid="{00000000-0005-0000-0000-0000B63B0000}"/>
    <cellStyle name="20% - Accent5 5 2 2 2 2 2 2 2" xfId="12027" xr:uid="{00000000-0005-0000-0000-0000B73B0000}"/>
    <cellStyle name="20% - Accent5 5 2 2 2 2 2 2 2 2" xfId="23328" xr:uid="{00000000-0005-0000-0000-0000B83B0000}"/>
    <cellStyle name="20% - Accent5 5 2 2 2 2 2 2 2 2 2" xfId="45930" xr:uid="{00000000-0005-0000-0000-0000B93B0000}"/>
    <cellStyle name="20% - Accent5 5 2 2 2 2 2 2 2 3" xfId="34629" xr:uid="{00000000-0005-0000-0000-0000BA3B0000}"/>
    <cellStyle name="20% - Accent5 5 2 2 2 2 2 2 3" xfId="17678" xr:uid="{00000000-0005-0000-0000-0000BB3B0000}"/>
    <cellStyle name="20% - Accent5 5 2 2 2 2 2 2 3 2" xfId="40280" xr:uid="{00000000-0005-0000-0000-0000BC3B0000}"/>
    <cellStyle name="20% - Accent5 5 2 2 2 2 2 2 4" xfId="28979" xr:uid="{00000000-0005-0000-0000-0000BD3B0000}"/>
    <cellStyle name="20% - Accent5 5 2 2 2 2 2 3" xfId="9195" xr:uid="{00000000-0005-0000-0000-0000BE3B0000}"/>
    <cellStyle name="20% - Accent5 5 2 2 2 2 2 3 2" xfId="20496" xr:uid="{00000000-0005-0000-0000-0000BF3B0000}"/>
    <cellStyle name="20% - Accent5 5 2 2 2 2 2 3 2 2" xfId="43098" xr:uid="{00000000-0005-0000-0000-0000C03B0000}"/>
    <cellStyle name="20% - Accent5 5 2 2 2 2 2 3 3" xfId="31797" xr:uid="{00000000-0005-0000-0000-0000C13B0000}"/>
    <cellStyle name="20% - Accent5 5 2 2 2 2 2 4" xfId="14846" xr:uid="{00000000-0005-0000-0000-0000C23B0000}"/>
    <cellStyle name="20% - Accent5 5 2 2 2 2 2 4 2" xfId="37448" xr:uid="{00000000-0005-0000-0000-0000C33B0000}"/>
    <cellStyle name="20% - Accent5 5 2 2 2 2 2 5" xfId="26147" xr:uid="{00000000-0005-0000-0000-0000C43B0000}"/>
    <cellStyle name="20% - Accent5 5 2 2 2 2 3" xfId="5143" xr:uid="{00000000-0005-0000-0000-0000C53B0000}"/>
    <cellStyle name="20% - Accent5 5 2 2 2 2 3 2" xfId="10793" xr:uid="{00000000-0005-0000-0000-0000C63B0000}"/>
    <cellStyle name="20% - Accent5 5 2 2 2 2 3 2 2" xfId="22094" xr:uid="{00000000-0005-0000-0000-0000C73B0000}"/>
    <cellStyle name="20% - Accent5 5 2 2 2 2 3 2 2 2" xfId="44696" xr:uid="{00000000-0005-0000-0000-0000C83B0000}"/>
    <cellStyle name="20% - Accent5 5 2 2 2 2 3 2 3" xfId="33395" xr:uid="{00000000-0005-0000-0000-0000C93B0000}"/>
    <cellStyle name="20% - Accent5 5 2 2 2 2 3 3" xfId="16444" xr:uid="{00000000-0005-0000-0000-0000CA3B0000}"/>
    <cellStyle name="20% - Accent5 5 2 2 2 2 3 3 2" xfId="39046" xr:uid="{00000000-0005-0000-0000-0000CB3B0000}"/>
    <cellStyle name="20% - Accent5 5 2 2 2 2 3 4" xfId="27745" xr:uid="{00000000-0005-0000-0000-0000CC3B0000}"/>
    <cellStyle name="20% - Accent5 5 2 2 2 2 4" xfId="7549" xr:uid="{00000000-0005-0000-0000-0000CD3B0000}"/>
    <cellStyle name="20% - Accent5 5 2 2 2 2 4 2" xfId="18850" xr:uid="{00000000-0005-0000-0000-0000CE3B0000}"/>
    <cellStyle name="20% - Accent5 5 2 2 2 2 4 2 2" xfId="41452" xr:uid="{00000000-0005-0000-0000-0000CF3B0000}"/>
    <cellStyle name="20% - Accent5 5 2 2 2 2 4 3" xfId="30151" xr:uid="{00000000-0005-0000-0000-0000D03B0000}"/>
    <cellStyle name="20% - Accent5 5 2 2 2 2 5" xfId="13200" xr:uid="{00000000-0005-0000-0000-0000D13B0000}"/>
    <cellStyle name="20% - Accent5 5 2 2 2 2 5 2" xfId="35802" xr:uid="{00000000-0005-0000-0000-0000D23B0000}"/>
    <cellStyle name="20% - Accent5 5 2 2 2 2 6" xfId="24501" xr:uid="{00000000-0005-0000-0000-0000D33B0000}"/>
    <cellStyle name="20% - Accent5 5 2 2 2 3" xfId="2734" xr:uid="{00000000-0005-0000-0000-0000D43B0000}"/>
    <cellStyle name="20% - Accent5 5 2 2 2 3 2" xfId="5753" xr:uid="{00000000-0005-0000-0000-0000D53B0000}"/>
    <cellStyle name="20% - Accent5 5 2 2 2 3 2 2" xfId="11403" xr:uid="{00000000-0005-0000-0000-0000D63B0000}"/>
    <cellStyle name="20% - Accent5 5 2 2 2 3 2 2 2" xfId="22704" xr:uid="{00000000-0005-0000-0000-0000D73B0000}"/>
    <cellStyle name="20% - Accent5 5 2 2 2 3 2 2 2 2" xfId="45306" xr:uid="{00000000-0005-0000-0000-0000D83B0000}"/>
    <cellStyle name="20% - Accent5 5 2 2 2 3 2 2 3" xfId="34005" xr:uid="{00000000-0005-0000-0000-0000D93B0000}"/>
    <cellStyle name="20% - Accent5 5 2 2 2 3 2 3" xfId="17054" xr:uid="{00000000-0005-0000-0000-0000DA3B0000}"/>
    <cellStyle name="20% - Accent5 5 2 2 2 3 2 3 2" xfId="39656" xr:uid="{00000000-0005-0000-0000-0000DB3B0000}"/>
    <cellStyle name="20% - Accent5 5 2 2 2 3 2 4" xfId="28355" xr:uid="{00000000-0005-0000-0000-0000DC3B0000}"/>
    <cellStyle name="20% - Accent5 5 2 2 2 3 3" xfId="8570" xr:uid="{00000000-0005-0000-0000-0000DD3B0000}"/>
    <cellStyle name="20% - Accent5 5 2 2 2 3 3 2" xfId="19871" xr:uid="{00000000-0005-0000-0000-0000DE3B0000}"/>
    <cellStyle name="20% - Accent5 5 2 2 2 3 3 2 2" xfId="42473" xr:uid="{00000000-0005-0000-0000-0000DF3B0000}"/>
    <cellStyle name="20% - Accent5 5 2 2 2 3 3 3" xfId="31172" xr:uid="{00000000-0005-0000-0000-0000E03B0000}"/>
    <cellStyle name="20% - Accent5 5 2 2 2 3 4" xfId="14221" xr:uid="{00000000-0005-0000-0000-0000E13B0000}"/>
    <cellStyle name="20% - Accent5 5 2 2 2 3 4 2" xfId="36823" xr:uid="{00000000-0005-0000-0000-0000E23B0000}"/>
    <cellStyle name="20% - Accent5 5 2 2 2 3 5" xfId="25522" xr:uid="{00000000-0005-0000-0000-0000E33B0000}"/>
    <cellStyle name="20% - Accent5 5 2 2 2 4" xfId="4519" xr:uid="{00000000-0005-0000-0000-0000E43B0000}"/>
    <cellStyle name="20% - Accent5 5 2 2 2 4 2" xfId="10169" xr:uid="{00000000-0005-0000-0000-0000E53B0000}"/>
    <cellStyle name="20% - Accent5 5 2 2 2 4 2 2" xfId="21470" xr:uid="{00000000-0005-0000-0000-0000E63B0000}"/>
    <cellStyle name="20% - Accent5 5 2 2 2 4 2 2 2" xfId="44072" xr:uid="{00000000-0005-0000-0000-0000E73B0000}"/>
    <cellStyle name="20% - Accent5 5 2 2 2 4 2 3" xfId="32771" xr:uid="{00000000-0005-0000-0000-0000E83B0000}"/>
    <cellStyle name="20% - Accent5 5 2 2 2 4 3" xfId="15820" xr:uid="{00000000-0005-0000-0000-0000E93B0000}"/>
    <cellStyle name="20% - Accent5 5 2 2 2 4 3 2" xfId="38422" xr:uid="{00000000-0005-0000-0000-0000EA3B0000}"/>
    <cellStyle name="20% - Accent5 5 2 2 2 4 4" xfId="27121" xr:uid="{00000000-0005-0000-0000-0000EB3B0000}"/>
    <cellStyle name="20% - Accent5 5 2 2 2 5" xfId="7315" xr:uid="{00000000-0005-0000-0000-0000EC3B0000}"/>
    <cellStyle name="20% - Accent5 5 2 2 2 5 2" xfId="18616" xr:uid="{00000000-0005-0000-0000-0000ED3B0000}"/>
    <cellStyle name="20% - Accent5 5 2 2 2 5 2 2" xfId="41218" xr:uid="{00000000-0005-0000-0000-0000EE3B0000}"/>
    <cellStyle name="20% - Accent5 5 2 2 2 5 3" xfId="29917" xr:uid="{00000000-0005-0000-0000-0000EF3B0000}"/>
    <cellStyle name="20% - Accent5 5 2 2 2 6" xfId="12966" xr:uid="{00000000-0005-0000-0000-0000F03B0000}"/>
    <cellStyle name="20% - Accent5 5 2 2 2 6 2" xfId="35568" xr:uid="{00000000-0005-0000-0000-0000F13B0000}"/>
    <cellStyle name="20% - Accent5 5 2 2 2 7" xfId="24267" xr:uid="{00000000-0005-0000-0000-0000F23B0000}"/>
    <cellStyle name="20% - Accent5 5 2 2 3" xfId="1034" xr:uid="{00000000-0005-0000-0000-0000F33B0000}"/>
    <cellStyle name="20% - Accent5 5 2 2 3 2" xfId="3097" xr:uid="{00000000-0005-0000-0000-0000F43B0000}"/>
    <cellStyle name="20% - Accent5 5 2 2 3 2 2" xfId="6069" xr:uid="{00000000-0005-0000-0000-0000F53B0000}"/>
    <cellStyle name="20% - Accent5 5 2 2 3 2 2 2" xfId="11719" xr:uid="{00000000-0005-0000-0000-0000F63B0000}"/>
    <cellStyle name="20% - Accent5 5 2 2 3 2 2 2 2" xfId="23020" xr:uid="{00000000-0005-0000-0000-0000F73B0000}"/>
    <cellStyle name="20% - Accent5 5 2 2 3 2 2 2 2 2" xfId="45622" xr:uid="{00000000-0005-0000-0000-0000F83B0000}"/>
    <cellStyle name="20% - Accent5 5 2 2 3 2 2 2 3" xfId="34321" xr:uid="{00000000-0005-0000-0000-0000F93B0000}"/>
    <cellStyle name="20% - Accent5 5 2 2 3 2 2 3" xfId="17370" xr:uid="{00000000-0005-0000-0000-0000FA3B0000}"/>
    <cellStyle name="20% - Accent5 5 2 2 3 2 2 3 2" xfId="39972" xr:uid="{00000000-0005-0000-0000-0000FB3B0000}"/>
    <cellStyle name="20% - Accent5 5 2 2 3 2 2 4" xfId="28671" xr:uid="{00000000-0005-0000-0000-0000FC3B0000}"/>
    <cellStyle name="20% - Accent5 5 2 2 3 2 3" xfId="8887" xr:uid="{00000000-0005-0000-0000-0000FD3B0000}"/>
    <cellStyle name="20% - Accent5 5 2 2 3 2 3 2" xfId="20188" xr:uid="{00000000-0005-0000-0000-0000FE3B0000}"/>
    <cellStyle name="20% - Accent5 5 2 2 3 2 3 2 2" xfId="42790" xr:uid="{00000000-0005-0000-0000-0000FF3B0000}"/>
    <cellStyle name="20% - Accent5 5 2 2 3 2 3 3" xfId="31489" xr:uid="{00000000-0005-0000-0000-0000003C0000}"/>
    <cellStyle name="20% - Accent5 5 2 2 3 2 4" xfId="14538" xr:uid="{00000000-0005-0000-0000-0000013C0000}"/>
    <cellStyle name="20% - Accent5 5 2 2 3 2 4 2" xfId="37140" xr:uid="{00000000-0005-0000-0000-0000023C0000}"/>
    <cellStyle name="20% - Accent5 5 2 2 3 2 5" xfId="25839" xr:uid="{00000000-0005-0000-0000-0000033C0000}"/>
    <cellStyle name="20% - Accent5 5 2 2 3 3" xfId="4835" xr:uid="{00000000-0005-0000-0000-0000043C0000}"/>
    <cellStyle name="20% - Accent5 5 2 2 3 3 2" xfId="10485" xr:uid="{00000000-0005-0000-0000-0000053C0000}"/>
    <cellStyle name="20% - Accent5 5 2 2 3 3 2 2" xfId="21786" xr:uid="{00000000-0005-0000-0000-0000063C0000}"/>
    <cellStyle name="20% - Accent5 5 2 2 3 3 2 2 2" xfId="44388" xr:uid="{00000000-0005-0000-0000-0000073C0000}"/>
    <cellStyle name="20% - Accent5 5 2 2 3 3 2 3" xfId="33087" xr:uid="{00000000-0005-0000-0000-0000083C0000}"/>
    <cellStyle name="20% - Accent5 5 2 2 3 3 3" xfId="16136" xr:uid="{00000000-0005-0000-0000-0000093C0000}"/>
    <cellStyle name="20% - Accent5 5 2 2 3 3 3 2" xfId="38738" xr:uid="{00000000-0005-0000-0000-00000A3C0000}"/>
    <cellStyle name="20% - Accent5 5 2 2 3 3 4" xfId="27437" xr:uid="{00000000-0005-0000-0000-00000B3C0000}"/>
    <cellStyle name="20% - Accent5 5 2 2 3 4" xfId="7022" xr:uid="{00000000-0005-0000-0000-00000C3C0000}"/>
    <cellStyle name="20% - Accent5 5 2 2 3 4 2" xfId="18323" xr:uid="{00000000-0005-0000-0000-00000D3C0000}"/>
    <cellStyle name="20% - Accent5 5 2 2 3 4 2 2" xfId="40925" xr:uid="{00000000-0005-0000-0000-00000E3C0000}"/>
    <cellStyle name="20% - Accent5 5 2 2 3 4 3" xfId="29624" xr:uid="{00000000-0005-0000-0000-00000F3C0000}"/>
    <cellStyle name="20% - Accent5 5 2 2 3 5" xfId="12673" xr:uid="{00000000-0005-0000-0000-0000103C0000}"/>
    <cellStyle name="20% - Accent5 5 2 2 3 5 2" xfId="35275" xr:uid="{00000000-0005-0000-0000-0000113C0000}"/>
    <cellStyle name="20% - Accent5 5 2 2 3 6" xfId="23974" xr:uid="{00000000-0005-0000-0000-0000123C0000}"/>
    <cellStyle name="20% - Accent5 5 2 2 4" xfId="1692" xr:uid="{00000000-0005-0000-0000-0000133C0000}"/>
    <cellStyle name="20% - Accent5 5 2 2 4 2" xfId="3614" xr:uid="{00000000-0005-0000-0000-0000143C0000}"/>
    <cellStyle name="20% - Accent5 5 2 2 4 2 2" xfId="9325" xr:uid="{00000000-0005-0000-0000-0000153C0000}"/>
    <cellStyle name="20% - Accent5 5 2 2 4 2 2 2" xfId="20626" xr:uid="{00000000-0005-0000-0000-0000163C0000}"/>
    <cellStyle name="20% - Accent5 5 2 2 4 2 2 2 2" xfId="43228" xr:uid="{00000000-0005-0000-0000-0000173C0000}"/>
    <cellStyle name="20% - Accent5 5 2 2 4 2 2 3" xfId="31927" xr:uid="{00000000-0005-0000-0000-0000183C0000}"/>
    <cellStyle name="20% - Accent5 5 2 2 4 2 3" xfId="14976" xr:uid="{00000000-0005-0000-0000-0000193C0000}"/>
    <cellStyle name="20% - Accent5 5 2 2 4 2 3 2" xfId="37578" xr:uid="{00000000-0005-0000-0000-00001A3C0000}"/>
    <cellStyle name="20% - Accent5 5 2 2 4 2 4" xfId="26277" xr:uid="{00000000-0005-0000-0000-00001B3C0000}"/>
    <cellStyle name="20% - Accent5 5 2 2 4 3" xfId="5445" xr:uid="{00000000-0005-0000-0000-00001C3C0000}"/>
    <cellStyle name="20% - Accent5 5 2 2 4 3 2" xfId="11095" xr:uid="{00000000-0005-0000-0000-00001D3C0000}"/>
    <cellStyle name="20% - Accent5 5 2 2 4 3 2 2" xfId="22396" xr:uid="{00000000-0005-0000-0000-00001E3C0000}"/>
    <cellStyle name="20% - Accent5 5 2 2 4 3 2 2 2" xfId="44998" xr:uid="{00000000-0005-0000-0000-00001F3C0000}"/>
    <cellStyle name="20% - Accent5 5 2 2 4 3 2 3" xfId="33697" xr:uid="{00000000-0005-0000-0000-0000203C0000}"/>
    <cellStyle name="20% - Accent5 5 2 2 4 3 3" xfId="16746" xr:uid="{00000000-0005-0000-0000-0000213C0000}"/>
    <cellStyle name="20% - Accent5 5 2 2 4 3 3 2" xfId="39348" xr:uid="{00000000-0005-0000-0000-0000223C0000}"/>
    <cellStyle name="20% - Accent5 5 2 2 4 3 4" xfId="28047" xr:uid="{00000000-0005-0000-0000-0000233C0000}"/>
    <cellStyle name="20% - Accent5 5 2 2 4 4" xfId="7548" xr:uid="{00000000-0005-0000-0000-0000243C0000}"/>
    <cellStyle name="20% - Accent5 5 2 2 4 4 2" xfId="18849" xr:uid="{00000000-0005-0000-0000-0000253C0000}"/>
    <cellStyle name="20% - Accent5 5 2 2 4 4 2 2" xfId="41451" xr:uid="{00000000-0005-0000-0000-0000263C0000}"/>
    <cellStyle name="20% - Accent5 5 2 2 4 4 3" xfId="30150" xr:uid="{00000000-0005-0000-0000-0000273C0000}"/>
    <cellStyle name="20% - Accent5 5 2 2 4 5" xfId="13199" xr:uid="{00000000-0005-0000-0000-0000283C0000}"/>
    <cellStyle name="20% - Accent5 5 2 2 4 5 2" xfId="35801" xr:uid="{00000000-0005-0000-0000-0000293C0000}"/>
    <cellStyle name="20% - Accent5 5 2 2 4 6" xfId="24500" xr:uid="{00000000-0005-0000-0000-00002A3C0000}"/>
    <cellStyle name="20% - Accent5 5 2 2 5" xfId="2426" xr:uid="{00000000-0005-0000-0000-00002B3C0000}"/>
    <cellStyle name="20% - Accent5 5 2 2 5 2" xfId="8262" xr:uid="{00000000-0005-0000-0000-00002C3C0000}"/>
    <cellStyle name="20% - Accent5 5 2 2 5 2 2" xfId="19563" xr:uid="{00000000-0005-0000-0000-00002D3C0000}"/>
    <cellStyle name="20% - Accent5 5 2 2 5 2 2 2" xfId="42165" xr:uid="{00000000-0005-0000-0000-00002E3C0000}"/>
    <cellStyle name="20% - Accent5 5 2 2 5 2 3" xfId="30864" xr:uid="{00000000-0005-0000-0000-00002F3C0000}"/>
    <cellStyle name="20% - Accent5 5 2 2 5 3" xfId="13913" xr:uid="{00000000-0005-0000-0000-0000303C0000}"/>
    <cellStyle name="20% - Accent5 5 2 2 5 3 2" xfId="36515" xr:uid="{00000000-0005-0000-0000-0000313C0000}"/>
    <cellStyle name="20% - Accent5 5 2 2 5 4" xfId="25214" xr:uid="{00000000-0005-0000-0000-0000323C0000}"/>
    <cellStyle name="20% - Accent5 5 2 2 6" xfId="4211" xr:uid="{00000000-0005-0000-0000-0000333C0000}"/>
    <cellStyle name="20% - Accent5 5 2 2 6 2" xfId="9861" xr:uid="{00000000-0005-0000-0000-0000343C0000}"/>
    <cellStyle name="20% - Accent5 5 2 2 6 2 2" xfId="21162" xr:uid="{00000000-0005-0000-0000-0000353C0000}"/>
    <cellStyle name="20% - Accent5 5 2 2 6 2 2 2" xfId="43764" xr:uid="{00000000-0005-0000-0000-0000363C0000}"/>
    <cellStyle name="20% - Accent5 5 2 2 6 2 3" xfId="32463" xr:uid="{00000000-0005-0000-0000-0000373C0000}"/>
    <cellStyle name="20% - Accent5 5 2 2 6 3" xfId="15512" xr:uid="{00000000-0005-0000-0000-0000383C0000}"/>
    <cellStyle name="20% - Accent5 5 2 2 6 3 2" xfId="38114" xr:uid="{00000000-0005-0000-0000-0000393C0000}"/>
    <cellStyle name="20% - Accent5 5 2 2 6 4" xfId="26813" xr:uid="{00000000-0005-0000-0000-00003A3C0000}"/>
    <cellStyle name="20% - Accent5 5 2 2 7" xfId="6691" xr:uid="{00000000-0005-0000-0000-00003B3C0000}"/>
    <cellStyle name="20% - Accent5 5 2 2 7 2" xfId="17992" xr:uid="{00000000-0005-0000-0000-00003C3C0000}"/>
    <cellStyle name="20% - Accent5 5 2 2 7 2 2" xfId="40594" xr:uid="{00000000-0005-0000-0000-00003D3C0000}"/>
    <cellStyle name="20% - Accent5 5 2 2 7 3" xfId="29293" xr:uid="{00000000-0005-0000-0000-00003E3C0000}"/>
    <cellStyle name="20% - Accent5 5 2 2 8" xfId="12342" xr:uid="{00000000-0005-0000-0000-00003F3C0000}"/>
    <cellStyle name="20% - Accent5 5 2 2 8 2" xfId="34944" xr:uid="{00000000-0005-0000-0000-0000403C0000}"/>
    <cellStyle name="20% - Accent5 5 2 2 9" xfId="23643" xr:uid="{00000000-0005-0000-0000-0000413C0000}"/>
    <cellStyle name="20% - Accent5 5 2 3" xfId="1198" xr:uid="{00000000-0005-0000-0000-0000423C0000}"/>
    <cellStyle name="20% - Accent5 5 2 3 2" xfId="1694" xr:uid="{00000000-0005-0000-0000-0000433C0000}"/>
    <cellStyle name="20% - Accent5 5 2 3 2 2" xfId="3266" xr:uid="{00000000-0005-0000-0000-0000443C0000}"/>
    <cellStyle name="20% - Accent5 5 2 3 2 2 2" xfId="6238" xr:uid="{00000000-0005-0000-0000-0000453C0000}"/>
    <cellStyle name="20% - Accent5 5 2 3 2 2 2 2" xfId="11888" xr:uid="{00000000-0005-0000-0000-0000463C0000}"/>
    <cellStyle name="20% - Accent5 5 2 3 2 2 2 2 2" xfId="23189" xr:uid="{00000000-0005-0000-0000-0000473C0000}"/>
    <cellStyle name="20% - Accent5 5 2 3 2 2 2 2 2 2" xfId="45791" xr:uid="{00000000-0005-0000-0000-0000483C0000}"/>
    <cellStyle name="20% - Accent5 5 2 3 2 2 2 2 3" xfId="34490" xr:uid="{00000000-0005-0000-0000-0000493C0000}"/>
    <cellStyle name="20% - Accent5 5 2 3 2 2 2 3" xfId="17539" xr:uid="{00000000-0005-0000-0000-00004A3C0000}"/>
    <cellStyle name="20% - Accent5 5 2 3 2 2 2 3 2" xfId="40141" xr:uid="{00000000-0005-0000-0000-00004B3C0000}"/>
    <cellStyle name="20% - Accent5 5 2 3 2 2 2 4" xfId="28840" xr:uid="{00000000-0005-0000-0000-00004C3C0000}"/>
    <cellStyle name="20% - Accent5 5 2 3 2 2 3" xfId="9056" xr:uid="{00000000-0005-0000-0000-00004D3C0000}"/>
    <cellStyle name="20% - Accent5 5 2 3 2 2 3 2" xfId="20357" xr:uid="{00000000-0005-0000-0000-00004E3C0000}"/>
    <cellStyle name="20% - Accent5 5 2 3 2 2 3 2 2" xfId="42959" xr:uid="{00000000-0005-0000-0000-00004F3C0000}"/>
    <cellStyle name="20% - Accent5 5 2 3 2 2 3 3" xfId="31658" xr:uid="{00000000-0005-0000-0000-0000503C0000}"/>
    <cellStyle name="20% - Accent5 5 2 3 2 2 4" xfId="14707" xr:uid="{00000000-0005-0000-0000-0000513C0000}"/>
    <cellStyle name="20% - Accent5 5 2 3 2 2 4 2" xfId="37309" xr:uid="{00000000-0005-0000-0000-0000523C0000}"/>
    <cellStyle name="20% - Accent5 5 2 3 2 2 5" xfId="26008" xr:uid="{00000000-0005-0000-0000-0000533C0000}"/>
    <cellStyle name="20% - Accent5 5 2 3 2 3" xfId="5004" xr:uid="{00000000-0005-0000-0000-0000543C0000}"/>
    <cellStyle name="20% - Accent5 5 2 3 2 3 2" xfId="10654" xr:uid="{00000000-0005-0000-0000-0000553C0000}"/>
    <cellStyle name="20% - Accent5 5 2 3 2 3 2 2" xfId="21955" xr:uid="{00000000-0005-0000-0000-0000563C0000}"/>
    <cellStyle name="20% - Accent5 5 2 3 2 3 2 2 2" xfId="44557" xr:uid="{00000000-0005-0000-0000-0000573C0000}"/>
    <cellStyle name="20% - Accent5 5 2 3 2 3 2 3" xfId="33256" xr:uid="{00000000-0005-0000-0000-0000583C0000}"/>
    <cellStyle name="20% - Accent5 5 2 3 2 3 3" xfId="16305" xr:uid="{00000000-0005-0000-0000-0000593C0000}"/>
    <cellStyle name="20% - Accent5 5 2 3 2 3 3 2" xfId="38907" xr:uid="{00000000-0005-0000-0000-00005A3C0000}"/>
    <cellStyle name="20% - Accent5 5 2 3 2 3 4" xfId="27606" xr:uid="{00000000-0005-0000-0000-00005B3C0000}"/>
    <cellStyle name="20% - Accent5 5 2 3 2 4" xfId="7550" xr:uid="{00000000-0005-0000-0000-00005C3C0000}"/>
    <cellStyle name="20% - Accent5 5 2 3 2 4 2" xfId="18851" xr:uid="{00000000-0005-0000-0000-00005D3C0000}"/>
    <cellStyle name="20% - Accent5 5 2 3 2 4 2 2" xfId="41453" xr:uid="{00000000-0005-0000-0000-00005E3C0000}"/>
    <cellStyle name="20% - Accent5 5 2 3 2 4 3" xfId="30152" xr:uid="{00000000-0005-0000-0000-00005F3C0000}"/>
    <cellStyle name="20% - Accent5 5 2 3 2 5" xfId="13201" xr:uid="{00000000-0005-0000-0000-0000603C0000}"/>
    <cellStyle name="20% - Accent5 5 2 3 2 5 2" xfId="35803" xr:uid="{00000000-0005-0000-0000-0000613C0000}"/>
    <cellStyle name="20% - Accent5 5 2 3 2 6" xfId="24502" xr:uid="{00000000-0005-0000-0000-0000623C0000}"/>
    <cellStyle name="20% - Accent5 5 2 3 3" xfId="2595" xr:uid="{00000000-0005-0000-0000-0000633C0000}"/>
    <cellStyle name="20% - Accent5 5 2 3 3 2" xfId="5614" xr:uid="{00000000-0005-0000-0000-0000643C0000}"/>
    <cellStyle name="20% - Accent5 5 2 3 3 2 2" xfId="11264" xr:uid="{00000000-0005-0000-0000-0000653C0000}"/>
    <cellStyle name="20% - Accent5 5 2 3 3 2 2 2" xfId="22565" xr:uid="{00000000-0005-0000-0000-0000663C0000}"/>
    <cellStyle name="20% - Accent5 5 2 3 3 2 2 2 2" xfId="45167" xr:uid="{00000000-0005-0000-0000-0000673C0000}"/>
    <cellStyle name="20% - Accent5 5 2 3 3 2 2 3" xfId="33866" xr:uid="{00000000-0005-0000-0000-0000683C0000}"/>
    <cellStyle name="20% - Accent5 5 2 3 3 2 3" xfId="16915" xr:uid="{00000000-0005-0000-0000-0000693C0000}"/>
    <cellStyle name="20% - Accent5 5 2 3 3 2 3 2" xfId="39517" xr:uid="{00000000-0005-0000-0000-00006A3C0000}"/>
    <cellStyle name="20% - Accent5 5 2 3 3 2 4" xfId="28216" xr:uid="{00000000-0005-0000-0000-00006B3C0000}"/>
    <cellStyle name="20% - Accent5 5 2 3 3 3" xfId="8431" xr:uid="{00000000-0005-0000-0000-00006C3C0000}"/>
    <cellStyle name="20% - Accent5 5 2 3 3 3 2" xfId="19732" xr:uid="{00000000-0005-0000-0000-00006D3C0000}"/>
    <cellStyle name="20% - Accent5 5 2 3 3 3 2 2" xfId="42334" xr:uid="{00000000-0005-0000-0000-00006E3C0000}"/>
    <cellStyle name="20% - Accent5 5 2 3 3 3 3" xfId="31033" xr:uid="{00000000-0005-0000-0000-00006F3C0000}"/>
    <cellStyle name="20% - Accent5 5 2 3 3 4" xfId="14082" xr:uid="{00000000-0005-0000-0000-0000703C0000}"/>
    <cellStyle name="20% - Accent5 5 2 3 3 4 2" xfId="36684" xr:uid="{00000000-0005-0000-0000-0000713C0000}"/>
    <cellStyle name="20% - Accent5 5 2 3 3 5" xfId="25383" xr:uid="{00000000-0005-0000-0000-0000723C0000}"/>
    <cellStyle name="20% - Accent5 5 2 3 4" xfId="4380" xr:uid="{00000000-0005-0000-0000-0000733C0000}"/>
    <cellStyle name="20% - Accent5 5 2 3 4 2" xfId="10030" xr:uid="{00000000-0005-0000-0000-0000743C0000}"/>
    <cellStyle name="20% - Accent5 5 2 3 4 2 2" xfId="21331" xr:uid="{00000000-0005-0000-0000-0000753C0000}"/>
    <cellStyle name="20% - Accent5 5 2 3 4 2 2 2" xfId="43933" xr:uid="{00000000-0005-0000-0000-0000763C0000}"/>
    <cellStyle name="20% - Accent5 5 2 3 4 2 3" xfId="32632" xr:uid="{00000000-0005-0000-0000-0000773C0000}"/>
    <cellStyle name="20% - Accent5 5 2 3 4 3" xfId="15681" xr:uid="{00000000-0005-0000-0000-0000783C0000}"/>
    <cellStyle name="20% - Accent5 5 2 3 4 3 2" xfId="38283" xr:uid="{00000000-0005-0000-0000-0000793C0000}"/>
    <cellStyle name="20% - Accent5 5 2 3 4 4" xfId="26982" xr:uid="{00000000-0005-0000-0000-00007A3C0000}"/>
    <cellStyle name="20% - Accent5 5 2 3 5" xfId="7177" xr:uid="{00000000-0005-0000-0000-00007B3C0000}"/>
    <cellStyle name="20% - Accent5 5 2 3 5 2" xfId="18478" xr:uid="{00000000-0005-0000-0000-00007C3C0000}"/>
    <cellStyle name="20% - Accent5 5 2 3 5 2 2" xfId="41080" xr:uid="{00000000-0005-0000-0000-00007D3C0000}"/>
    <cellStyle name="20% - Accent5 5 2 3 5 3" xfId="29779" xr:uid="{00000000-0005-0000-0000-00007E3C0000}"/>
    <cellStyle name="20% - Accent5 5 2 3 6" xfId="12828" xr:uid="{00000000-0005-0000-0000-00007F3C0000}"/>
    <cellStyle name="20% - Accent5 5 2 3 6 2" xfId="35430" xr:uid="{00000000-0005-0000-0000-0000803C0000}"/>
    <cellStyle name="20% - Accent5 5 2 3 7" xfId="24129" xr:uid="{00000000-0005-0000-0000-0000813C0000}"/>
    <cellStyle name="20% - Accent5 5 2 4" xfId="889" xr:uid="{00000000-0005-0000-0000-0000823C0000}"/>
    <cellStyle name="20% - Accent5 5 2 4 2" xfId="2959" xr:uid="{00000000-0005-0000-0000-0000833C0000}"/>
    <cellStyle name="20% - Accent5 5 2 4 2 2" xfId="5931" xr:uid="{00000000-0005-0000-0000-0000843C0000}"/>
    <cellStyle name="20% - Accent5 5 2 4 2 2 2" xfId="11581" xr:uid="{00000000-0005-0000-0000-0000853C0000}"/>
    <cellStyle name="20% - Accent5 5 2 4 2 2 2 2" xfId="22882" xr:uid="{00000000-0005-0000-0000-0000863C0000}"/>
    <cellStyle name="20% - Accent5 5 2 4 2 2 2 2 2" xfId="45484" xr:uid="{00000000-0005-0000-0000-0000873C0000}"/>
    <cellStyle name="20% - Accent5 5 2 4 2 2 2 3" xfId="34183" xr:uid="{00000000-0005-0000-0000-0000883C0000}"/>
    <cellStyle name="20% - Accent5 5 2 4 2 2 3" xfId="17232" xr:uid="{00000000-0005-0000-0000-0000893C0000}"/>
    <cellStyle name="20% - Accent5 5 2 4 2 2 3 2" xfId="39834" xr:uid="{00000000-0005-0000-0000-00008A3C0000}"/>
    <cellStyle name="20% - Accent5 5 2 4 2 2 4" xfId="28533" xr:uid="{00000000-0005-0000-0000-00008B3C0000}"/>
    <cellStyle name="20% - Accent5 5 2 4 2 3" xfId="8749" xr:uid="{00000000-0005-0000-0000-00008C3C0000}"/>
    <cellStyle name="20% - Accent5 5 2 4 2 3 2" xfId="20050" xr:uid="{00000000-0005-0000-0000-00008D3C0000}"/>
    <cellStyle name="20% - Accent5 5 2 4 2 3 2 2" xfId="42652" xr:uid="{00000000-0005-0000-0000-00008E3C0000}"/>
    <cellStyle name="20% - Accent5 5 2 4 2 3 3" xfId="31351" xr:uid="{00000000-0005-0000-0000-00008F3C0000}"/>
    <cellStyle name="20% - Accent5 5 2 4 2 4" xfId="14400" xr:uid="{00000000-0005-0000-0000-0000903C0000}"/>
    <cellStyle name="20% - Accent5 5 2 4 2 4 2" xfId="37002" xr:uid="{00000000-0005-0000-0000-0000913C0000}"/>
    <cellStyle name="20% - Accent5 5 2 4 2 5" xfId="25701" xr:uid="{00000000-0005-0000-0000-0000923C0000}"/>
    <cellStyle name="20% - Accent5 5 2 4 3" xfId="4697" xr:uid="{00000000-0005-0000-0000-0000933C0000}"/>
    <cellStyle name="20% - Accent5 5 2 4 3 2" xfId="10347" xr:uid="{00000000-0005-0000-0000-0000943C0000}"/>
    <cellStyle name="20% - Accent5 5 2 4 3 2 2" xfId="21648" xr:uid="{00000000-0005-0000-0000-0000953C0000}"/>
    <cellStyle name="20% - Accent5 5 2 4 3 2 2 2" xfId="44250" xr:uid="{00000000-0005-0000-0000-0000963C0000}"/>
    <cellStyle name="20% - Accent5 5 2 4 3 2 3" xfId="32949" xr:uid="{00000000-0005-0000-0000-0000973C0000}"/>
    <cellStyle name="20% - Accent5 5 2 4 3 3" xfId="15998" xr:uid="{00000000-0005-0000-0000-0000983C0000}"/>
    <cellStyle name="20% - Accent5 5 2 4 3 3 2" xfId="38600" xr:uid="{00000000-0005-0000-0000-0000993C0000}"/>
    <cellStyle name="20% - Accent5 5 2 4 3 4" xfId="27299" xr:uid="{00000000-0005-0000-0000-00009A3C0000}"/>
    <cellStyle name="20% - Accent5 5 2 4 4" xfId="6884" xr:uid="{00000000-0005-0000-0000-00009B3C0000}"/>
    <cellStyle name="20% - Accent5 5 2 4 4 2" xfId="18185" xr:uid="{00000000-0005-0000-0000-00009C3C0000}"/>
    <cellStyle name="20% - Accent5 5 2 4 4 2 2" xfId="40787" xr:uid="{00000000-0005-0000-0000-00009D3C0000}"/>
    <cellStyle name="20% - Accent5 5 2 4 4 3" xfId="29486" xr:uid="{00000000-0005-0000-0000-00009E3C0000}"/>
    <cellStyle name="20% - Accent5 5 2 4 5" xfId="12535" xr:uid="{00000000-0005-0000-0000-00009F3C0000}"/>
    <cellStyle name="20% - Accent5 5 2 4 5 2" xfId="35137" xr:uid="{00000000-0005-0000-0000-0000A03C0000}"/>
    <cellStyle name="20% - Accent5 5 2 4 6" xfId="23836" xr:uid="{00000000-0005-0000-0000-0000A13C0000}"/>
    <cellStyle name="20% - Accent5 5 2 5" xfId="1691" xr:uid="{00000000-0005-0000-0000-0000A23C0000}"/>
    <cellStyle name="20% - Accent5 5 2 5 2" xfId="3613" xr:uid="{00000000-0005-0000-0000-0000A33C0000}"/>
    <cellStyle name="20% - Accent5 5 2 5 2 2" xfId="9324" xr:uid="{00000000-0005-0000-0000-0000A43C0000}"/>
    <cellStyle name="20% - Accent5 5 2 5 2 2 2" xfId="20625" xr:uid="{00000000-0005-0000-0000-0000A53C0000}"/>
    <cellStyle name="20% - Accent5 5 2 5 2 2 2 2" xfId="43227" xr:uid="{00000000-0005-0000-0000-0000A63C0000}"/>
    <cellStyle name="20% - Accent5 5 2 5 2 2 3" xfId="31926" xr:uid="{00000000-0005-0000-0000-0000A73C0000}"/>
    <cellStyle name="20% - Accent5 5 2 5 2 3" xfId="14975" xr:uid="{00000000-0005-0000-0000-0000A83C0000}"/>
    <cellStyle name="20% - Accent5 5 2 5 2 3 2" xfId="37577" xr:uid="{00000000-0005-0000-0000-0000A93C0000}"/>
    <cellStyle name="20% - Accent5 5 2 5 2 4" xfId="26276" xr:uid="{00000000-0005-0000-0000-0000AA3C0000}"/>
    <cellStyle name="20% - Accent5 5 2 5 3" xfId="5307" xr:uid="{00000000-0005-0000-0000-0000AB3C0000}"/>
    <cellStyle name="20% - Accent5 5 2 5 3 2" xfId="10957" xr:uid="{00000000-0005-0000-0000-0000AC3C0000}"/>
    <cellStyle name="20% - Accent5 5 2 5 3 2 2" xfId="22258" xr:uid="{00000000-0005-0000-0000-0000AD3C0000}"/>
    <cellStyle name="20% - Accent5 5 2 5 3 2 2 2" xfId="44860" xr:uid="{00000000-0005-0000-0000-0000AE3C0000}"/>
    <cellStyle name="20% - Accent5 5 2 5 3 2 3" xfId="33559" xr:uid="{00000000-0005-0000-0000-0000AF3C0000}"/>
    <cellStyle name="20% - Accent5 5 2 5 3 3" xfId="16608" xr:uid="{00000000-0005-0000-0000-0000B03C0000}"/>
    <cellStyle name="20% - Accent5 5 2 5 3 3 2" xfId="39210" xr:uid="{00000000-0005-0000-0000-0000B13C0000}"/>
    <cellStyle name="20% - Accent5 5 2 5 3 4" xfId="27909" xr:uid="{00000000-0005-0000-0000-0000B23C0000}"/>
    <cellStyle name="20% - Accent5 5 2 5 4" xfId="7547" xr:uid="{00000000-0005-0000-0000-0000B33C0000}"/>
    <cellStyle name="20% - Accent5 5 2 5 4 2" xfId="18848" xr:uid="{00000000-0005-0000-0000-0000B43C0000}"/>
    <cellStyle name="20% - Accent5 5 2 5 4 2 2" xfId="41450" xr:uid="{00000000-0005-0000-0000-0000B53C0000}"/>
    <cellStyle name="20% - Accent5 5 2 5 4 3" xfId="30149" xr:uid="{00000000-0005-0000-0000-0000B63C0000}"/>
    <cellStyle name="20% - Accent5 5 2 5 5" xfId="13198" xr:uid="{00000000-0005-0000-0000-0000B73C0000}"/>
    <cellStyle name="20% - Accent5 5 2 5 5 2" xfId="35800" xr:uid="{00000000-0005-0000-0000-0000B83C0000}"/>
    <cellStyle name="20% - Accent5 5 2 5 6" xfId="24499" xr:uid="{00000000-0005-0000-0000-0000B93C0000}"/>
    <cellStyle name="20% - Accent5 5 2 6" xfId="2286" xr:uid="{00000000-0005-0000-0000-0000BA3C0000}"/>
    <cellStyle name="20% - Accent5 5 2 6 2" xfId="8122" xr:uid="{00000000-0005-0000-0000-0000BB3C0000}"/>
    <cellStyle name="20% - Accent5 5 2 6 2 2" xfId="19423" xr:uid="{00000000-0005-0000-0000-0000BC3C0000}"/>
    <cellStyle name="20% - Accent5 5 2 6 2 2 2" xfId="42025" xr:uid="{00000000-0005-0000-0000-0000BD3C0000}"/>
    <cellStyle name="20% - Accent5 5 2 6 2 3" xfId="30724" xr:uid="{00000000-0005-0000-0000-0000BE3C0000}"/>
    <cellStyle name="20% - Accent5 5 2 6 3" xfId="13773" xr:uid="{00000000-0005-0000-0000-0000BF3C0000}"/>
    <cellStyle name="20% - Accent5 5 2 6 3 2" xfId="36375" xr:uid="{00000000-0005-0000-0000-0000C03C0000}"/>
    <cellStyle name="20% - Accent5 5 2 6 4" xfId="25074" xr:uid="{00000000-0005-0000-0000-0000C13C0000}"/>
    <cellStyle name="20% - Accent5 5 2 7" xfId="4073" xr:uid="{00000000-0005-0000-0000-0000C23C0000}"/>
    <cellStyle name="20% - Accent5 5 2 7 2" xfId="9723" xr:uid="{00000000-0005-0000-0000-0000C33C0000}"/>
    <cellStyle name="20% - Accent5 5 2 7 2 2" xfId="21024" xr:uid="{00000000-0005-0000-0000-0000C43C0000}"/>
    <cellStyle name="20% - Accent5 5 2 7 2 2 2" xfId="43626" xr:uid="{00000000-0005-0000-0000-0000C53C0000}"/>
    <cellStyle name="20% - Accent5 5 2 7 2 3" xfId="32325" xr:uid="{00000000-0005-0000-0000-0000C63C0000}"/>
    <cellStyle name="20% - Accent5 5 2 7 3" xfId="15374" xr:uid="{00000000-0005-0000-0000-0000C73C0000}"/>
    <cellStyle name="20% - Accent5 5 2 7 3 2" xfId="37976" xr:uid="{00000000-0005-0000-0000-0000C83C0000}"/>
    <cellStyle name="20% - Accent5 5 2 7 4" xfId="26675" xr:uid="{00000000-0005-0000-0000-0000C93C0000}"/>
    <cellStyle name="20% - Accent5 5 2 8" xfId="6524" xr:uid="{00000000-0005-0000-0000-0000CA3C0000}"/>
    <cellStyle name="20% - Accent5 5 2 8 2" xfId="17825" xr:uid="{00000000-0005-0000-0000-0000CB3C0000}"/>
    <cellStyle name="20% - Accent5 5 2 8 2 2" xfId="40427" xr:uid="{00000000-0005-0000-0000-0000CC3C0000}"/>
    <cellStyle name="20% - Accent5 5 2 8 3" xfId="29126" xr:uid="{00000000-0005-0000-0000-0000CD3C0000}"/>
    <cellStyle name="20% - Accent5 5 2 9" xfId="12175" xr:uid="{00000000-0005-0000-0000-0000CE3C0000}"/>
    <cellStyle name="20% - Accent5 5 2 9 2" xfId="34777" xr:uid="{00000000-0005-0000-0000-0000CF3C0000}"/>
    <cellStyle name="20% - Accent5 5 3" xfId="530" xr:uid="{00000000-0005-0000-0000-0000D03C0000}"/>
    <cellStyle name="20% - Accent5 5 3 2" xfId="1243" xr:uid="{00000000-0005-0000-0000-0000D13C0000}"/>
    <cellStyle name="20% - Accent5 5 3 2 2" xfId="1696" xr:uid="{00000000-0005-0000-0000-0000D23C0000}"/>
    <cellStyle name="20% - Accent5 5 3 2 2 2" xfId="3312" xr:uid="{00000000-0005-0000-0000-0000D33C0000}"/>
    <cellStyle name="20% - Accent5 5 3 2 2 2 2" xfId="6284" xr:uid="{00000000-0005-0000-0000-0000D43C0000}"/>
    <cellStyle name="20% - Accent5 5 3 2 2 2 2 2" xfId="11934" xr:uid="{00000000-0005-0000-0000-0000D53C0000}"/>
    <cellStyle name="20% - Accent5 5 3 2 2 2 2 2 2" xfId="23235" xr:uid="{00000000-0005-0000-0000-0000D63C0000}"/>
    <cellStyle name="20% - Accent5 5 3 2 2 2 2 2 2 2" xfId="45837" xr:uid="{00000000-0005-0000-0000-0000D73C0000}"/>
    <cellStyle name="20% - Accent5 5 3 2 2 2 2 2 3" xfId="34536" xr:uid="{00000000-0005-0000-0000-0000D83C0000}"/>
    <cellStyle name="20% - Accent5 5 3 2 2 2 2 3" xfId="17585" xr:uid="{00000000-0005-0000-0000-0000D93C0000}"/>
    <cellStyle name="20% - Accent5 5 3 2 2 2 2 3 2" xfId="40187" xr:uid="{00000000-0005-0000-0000-0000DA3C0000}"/>
    <cellStyle name="20% - Accent5 5 3 2 2 2 2 4" xfId="28886" xr:uid="{00000000-0005-0000-0000-0000DB3C0000}"/>
    <cellStyle name="20% - Accent5 5 3 2 2 2 3" xfId="9102" xr:uid="{00000000-0005-0000-0000-0000DC3C0000}"/>
    <cellStyle name="20% - Accent5 5 3 2 2 2 3 2" xfId="20403" xr:uid="{00000000-0005-0000-0000-0000DD3C0000}"/>
    <cellStyle name="20% - Accent5 5 3 2 2 2 3 2 2" xfId="43005" xr:uid="{00000000-0005-0000-0000-0000DE3C0000}"/>
    <cellStyle name="20% - Accent5 5 3 2 2 2 3 3" xfId="31704" xr:uid="{00000000-0005-0000-0000-0000DF3C0000}"/>
    <cellStyle name="20% - Accent5 5 3 2 2 2 4" xfId="14753" xr:uid="{00000000-0005-0000-0000-0000E03C0000}"/>
    <cellStyle name="20% - Accent5 5 3 2 2 2 4 2" xfId="37355" xr:uid="{00000000-0005-0000-0000-0000E13C0000}"/>
    <cellStyle name="20% - Accent5 5 3 2 2 2 5" xfId="26054" xr:uid="{00000000-0005-0000-0000-0000E23C0000}"/>
    <cellStyle name="20% - Accent5 5 3 2 2 3" xfId="5050" xr:uid="{00000000-0005-0000-0000-0000E33C0000}"/>
    <cellStyle name="20% - Accent5 5 3 2 2 3 2" xfId="10700" xr:uid="{00000000-0005-0000-0000-0000E43C0000}"/>
    <cellStyle name="20% - Accent5 5 3 2 2 3 2 2" xfId="22001" xr:uid="{00000000-0005-0000-0000-0000E53C0000}"/>
    <cellStyle name="20% - Accent5 5 3 2 2 3 2 2 2" xfId="44603" xr:uid="{00000000-0005-0000-0000-0000E63C0000}"/>
    <cellStyle name="20% - Accent5 5 3 2 2 3 2 3" xfId="33302" xr:uid="{00000000-0005-0000-0000-0000E73C0000}"/>
    <cellStyle name="20% - Accent5 5 3 2 2 3 3" xfId="16351" xr:uid="{00000000-0005-0000-0000-0000E83C0000}"/>
    <cellStyle name="20% - Accent5 5 3 2 2 3 3 2" xfId="38953" xr:uid="{00000000-0005-0000-0000-0000E93C0000}"/>
    <cellStyle name="20% - Accent5 5 3 2 2 3 4" xfId="27652" xr:uid="{00000000-0005-0000-0000-0000EA3C0000}"/>
    <cellStyle name="20% - Accent5 5 3 2 2 4" xfId="7552" xr:uid="{00000000-0005-0000-0000-0000EB3C0000}"/>
    <cellStyle name="20% - Accent5 5 3 2 2 4 2" xfId="18853" xr:uid="{00000000-0005-0000-0000-0000EC3C0000}"/>
    <cellStyle name="20% - Accent5 5 3 2 2 4 2 2" xfId="41455" xr:uid="{00000000-0005-0000-0000-0000ED3C0000}"/>
    <cellStyle name="20% - Accent5 5 3 2 2 4 3" xfId="30154" xr:uid="{00000000-0005-0000-0000-0000EE3C0000}"/>
    <cellStyle name="20% - Accent5 5 3 2 2 5" xfId="13203" xr:uid="{00000000-0005-0000-0000-0000EF3C0000}"/>
    <cellStyle name="20% - Accent5 5 3 2 2 5 2" xfId="35805" xr:uid="{00000000-0005-0000-0000-0000F03C0000}"/>
    <cellStyle name="20% - Accent5 5 3 2 2 6" xfId="24504" xr:uid="{00000000-0005-0000-0000-0000F13C0000}"/>
    <cellStyle name="20% - Accent5 5 3 2 3" xfId="2641" xr:uid="{00000000-0005-0000-0000-0000F23C0000}"/>
    <cellStyle name="20% - Accent5 5 3 2 3 2" xfId="5660" xr:uid="{00000000-0005-0000-0000-0000F33C0000}"/>
    <cellStyle name="20% - Accent5 5 3 2 3 2 2" xfId="11310" xr:uid="{00000000-0005-0000-0000-0000F43C0000}"/>
    <cellStyle name="20% - Accent5 5 3 2 3 2 2 2" xfId="22611" xr:uid="{00000000-0005-0000-0000-0000F53C0000}"/>
    <cellStyle name="20% - Accent5 5 3 2 3 2 2 2 2" xfId="45213" xr:uid="{00000000-0005-0000-0000-0000F63C0000}"/>
    <cellStyle name="20% - Accent5 5 3 2 3 2 2 3" xfId="33912" xr:uid="{00000000-0005-0000-0000-0000F73C0000}"/>
    <cellStyle name="20% - Accent5 5 3 2 3 2 3" xfId="16961" xr:uid="{00000000-0005-0000-0000-0000F83C0000}"/>
    <cellStyle name="20% - Accent5 5 3 2 3 2 3 2" xfId="39563" xr:uid="{00000000-0005-0000-0000-0000F93C0000}"/>
    <cellStyle name="20% - Accent5 5 3 2 3 2 4" xfId="28262" xr:uid="{00000000-0005-0000-0000-0000FA3C0000}"/>
    <cellStyle name="20% - Accent5 5 3 2 3 3" xfId="8477" xr:uid="{00000000-0005-0000-0000-0000FB3C0000}"/>
    <cellStyle name="20% - Accent5 5 3 2 3 3 2" xfId="19778" xr:uid="{00000000-0005-0000-0000-0000FC3C0000}"/>
    <cellStyle name="20% - Accent5 5 3 2 3 3 2 2" xfId="42380" xr:uid="{00000000-0005-0000-0000-0000FD3C0000}"/>
    <cellStyle name="20% - Accent5 5 3 2 3 3 3" xfId="31079" xr:uid="{00000000-0005-0000-0000-0000FE3C0000}"/>
    <cellStyle name="20% - Accent5 5 3 2 3 4" xfId="14128" xr:uid="{00000000-0005-0000-0000-0000FF3C0000}"/>
    <cellStyle name="20% - Accent5 5 3 2 3 4 2" xfId="36730" xr:uid="{00000000-0005-0000-0000-0000003D0000}"/>
    <cellStyle name="20% - Accent5 5 3 2 3 5" xfId="25429" xr:uid="{00000000-0005-0000-0000-0000013D0000}"/>
    <cellStyle name="20% - Accent5 5 3 2 4" xfId="4426" xr:uid="{00000000-0005-0000-0000-0000023D0000}"/>
    <cellStyle name="20% - Accent5 5 3 2 4 2" xfId="10076" xr:uid="{00000000-0005-0000-0000-0000033D0000}"/>
    <cellStyle name="20% - Accent5 5 3 2 4 2 2" xfId="21377" xr:uid="{00000000-0005-0000-0000-0000043D0000}"/>
    <cellStyle name="20% - Accent5 5 3 2 4 2 2 2" xfId="43979" xr:uid="{00000000-0005-0000-0000-0000053D0000}"/>
    <cellStyle name="20% - Accent5 5 3 2 4 2 3" xfId="32678" xr:uid="{00000000-0005-0000-0000-0000063D0000}"/>
    <cellStyle name="20% - Accent5 5 3 2 4 3" xfId="15727" xr:uid="{00000000-0005-0000-0000-0000073D0000}"/>
    <cellStyle name="20% - Accent5 5 3 2 4 3 2" xfId="38329" xr:uid="{00000000-0005-0000-0000-0000083D0000}"/>
    <cellStyle name="20% - Accent5 5 3 2 4 4" xfId="27028" xr:uid="{00000000-0005-0000-0000-0000093D0000}"/>
    <cellStyle name="20% - Accent5 5 3 2 5" xfId="7222" xr:uid="{00000000-0005-0000-0000-00000A3D0000}"/>
    <cellStyle name="20% - Accent5 5 3 2 5 2" xfId="18523" xr:uid="{00000000-0005-0000-0000-00000B3D0000}"/>
    <cellStyle name="20% - Accent5 5 3 2 5 2 2" xfId="41125" xr:uid="{00000000-0005-0000-0000-00000C3D0000}"/>
    <cellStyle name="20% - Accent5 5 3 2 5 3" xfId="29824" xr:uid="{00000000-0005-0000-0000-00000D3D0000}"/>
    <cellStyle name="20% - Accent5 5 3 2 6" xfId="12873" xr:uid="{00000000-0005-0000-0000-00000E3D0000}"/>
    <cellStyle name="20% - Accent5 5 3 2 6 2" xfId="35475" xr:uid="{00000000-0005-0000-0000-00000F3D0000}"/>
    <cellStyle name="20% - Accent5 5 3 2 7" xfId="24174" xr:uid="{00000000-0005-0000-0000-0000103D0000}"/>
    <cellStyle name="20% - Accent5 5 3 3" xfId="941" xr:uid="{00000000-0005-0000-0000-0000113D0000}"/>
    <cellStyle name="20% - Accent5 5 3 3 2" xfId="3004" xr:uid="{00000000-0005-0000-0000-0000123D0000}"/>
    <cellStyle name="20% - Accent5 5 3 3 2 2" xfId="5976" xr:uid="{00000000-0005-0000-0000-0000133D0000}"/>
    <cellStyle name="20% - Accent5 5 3 3 2 2 2" xfId="11626" xr:uid="{00000000-0005-0000-0000-0000143D0000}"/>
    <cellStyle name="20% - Accent5 5 3 3 2 2 2 2" xfId="22927" xr:uid="{00000000-0005-0000-0000-0000153D0000}"/>
    <cellStyle name="20% - Accent5 5 3 3 2 2 2 2 2" xfId="45529" xr:uid="{00000000-0005-0000-0000-0000163D0000}"/>
    <cellStyle name="20% - Accent5 5 3 3 2 2 2 3" xfId="34228" xr:uid="{00000000-0005-0000-0000-0000173D0000}"/>
    <cellStyle name="20% - Accent5 5 3 3 2 2 3" xfId="17277" xr:uid="{00000000-0005-0000-0000-0000183D0000}"/>
    <cellStyle name="20% - Accent5 5 3 3 2 2 3 2" xfId="39879" xr:uid="{00000000-0005-0000-0000-0000193D0000}"/>
    <cellStyle name="20% - Accent5 5 3 3 2 2 4" xfId="28578" xr:uid="{00000000-0005-0000-0000-00001A3D0000}"/>
    <cellStyle name="20% - Accent5 5 3 3 2 3" xfId="8794" xr:uid="{00000000-0005-0000-0000-00001B3D0000}"/>
    <cellStyle name="20% - Accent5 5 3 3 2 3 2" xfId="20095" xr:uid="{00000000-0005-0000-0000-00001C3D0000}"/>
    <cellStyle name="20% - Accent5 5 3 3 2 3 2 2" xfId="42697" xr:uid="{00000000-0005-0000-0000-00001D3D0000}"/>
    <cellStyle name="20% - Accent5 5 3 3 2 3 3" xfId="31396" xr:uid="{00000000-0005-0000-0000-00001E3D0000}"/>
    <cellStyle name="20% - Accent5 5 3 3 2 4" xfId="14445" xr:uid="{00000000-0005-0000-0000-00001F3D0000}"/>
    <cellStyle name="20% - Accent5 5 3 3 2 4 2" xfId="37047" xr:uid="{00000000-0005-0000-0000-0000203D0000}"/>
    <cellStyle name="20% - Accent5 5 3 3 2 5" xfId="25746" xr:uid="{00000000-0005-0000-0000-0000213D0000}"/>
    <cellStyle name="20% - Accent5 5 3 3 3" xfId="4742" xr:uid="{00000000-0005-0000-0000-0000223D0000}"/>
    <cellStyle name="20% - Accent5 5 3 3 3 2" xfId="10392" xr:uid="{00000000-0005-0000-0000-0000233D0000}"/>
    <cellStyle name="20% - Accent5 5 3 3 3 2 2" xfId="21693" xr:uid="{00000000-0005-0000-0000-0000243D0000}"/>
    <cellStyle name="20% - Accent5 5 3 3 3 2 2 2" xfId="44295" xr:uid="{00000000-0005-0000-0000-0000253D0000}"/>
    <cellStyle name="20% - Accent5 5 3 3 3 2 3" xfId="32994" xr:uid="{00000000-0005-0000-0000-0000263D0000}"/>
    <cellStyle name="20% - Accent5 5 3 3 3 3" xfId="16043" xr:uid="{00000000-0005-0000-0000-0000273D0000}"/>
    <cellStyle name="20% - Accent5 5 3 3 3 3 2" xfId="38645" xr:uid="{00000000-0005-0000-0000-0000283D0000}"/>
    <cellStyle name="20% - Accent5 5 3 3 3 4" xfId="27344" xr:uid="{00000000-0005-0000-0000-0000293D0000}"/>
    <cellStyle name="20% - Accent5 5 3 3 4" xfId="6929" xr:uid="{00000000-0005-0000-0000-00002A3D0000}"/>
    <cellStyle name="20% - Accent5 5 3 3 4 2" xfId="18230" xr:uid="{00000000-0005-0000-0000-00002B3D0000}"/>
    <cellStyle name="20% - Accent5 5 3 3 4 2 2" xfId="40832" xr:uid="{00000000-0005-0000-0000-00002C3D0000}"/>
    <cellStyle name="20% - Accent5 5 3 3 4 3" xfId="29531" xr:uid="{00000000-0005-0000-0000-00002D3D0000}"/>
    <cellStyle name="20% - Accent5 5 3 3 5" xfId="12580" xr:uid="{00000000-0005-0000-0000-00002E3D0000}"/>
    <cellStyle name="20% - Accent5 5 3 3 5 2" xfId="35182" xr:uid="{00000000-0005-0000-0000-00002F3D0000}"/>
    <cellStyle name="20% - Accent5 5 3 3 6" xfId="23881" xr:uid="{00000000-0005-0000-0000-0000303D0000}"/>
    <cellStyle name="20% - Accent5 5 3 4" xfId="1695" xr:uid="{00000000-0005-0000-0000-0000313D0000}"/>
    <cellStyle name="20% - Accent5 5 3 4 2" xfId="3615" xr:uid="{00000000-0005-0000-0000-0000323D0000}"/>
    <cellStyle name="20% - Accent5 5 3 4 2 2" xfId="9326" xr:uid="{00000000-0005-0000-0000-0000333D0000}"/>
    <cellStyle name="20% - Accent5 5 3 4 2 2 2" xfId="20627" xr:uid="{00000000-0005-0000-0000-0000343D0000}"/>
    <cellStyle name="20% - Accent5 5 3 4 2 2 2 2" xfId="43229" xr:uid="{00000000-0005-0000-0000-0000353D0000}"/>
    <cellStyle name="20% - Accent5 5 3 4 2 2 3" xfId="31928" xr:uid="{00000000-0005-0000-0000-0000363D0000}"/>
    <cellStyle name="20% - Accent5 5 3 4 2 3" xfId="14977" xr:uid="{00000000-0005-0000-0000-0000373D0000}"/>
    <cellStyle name="20% - Accent5 5 3 4 2 3 2" xfId="37579" xr:uid="{00000000-0005-0000-0000-0000383D0000}"/>
    <cellStyle name="20% - Accent5 5 3 4 2 4" xfId="26278" xr:uid="{00000000-0005-0000-0000-0000393D0000}"/>
    <cellStyle name="20% - Accent5 5 3 4 3" xfId="5352" xr:uid="{00000000-0005-0000-0000-00003A3D0000}"/>
    <cellStyle name="20% - Accent5 5 3 4 3 2" xfId="11002" xr:uid="{00000000-0005-0000-0000-00003B3D0000}"/>
    <cellStyle name="20% - Accent5 5 3 4 3 2 2" xfId="22303" xr:uid="{00000000-0005-0000-0000-00003C3D0000}"/>
    <cellStyle name="20% - Accent5 5 3 4 3 2 2 2" xfId="44905" xr:uid="{00000000-0005-0000-0000-00003D3D0000}"/>
    <cellStyle name="20% - Accent5 5 3 4 3 2 3" xfId="33604" xr:uid="{00000000-0005-0000-0000-00003E3D0000}"/>
    <cellStyle name="20% - Accent5 5 3 4 3 3" xfId="16653" xr:uid="{00000000-0005-0000-0000-00003F3D0000}"/>
    <cellStyle name="20% - Accent5 5 3 4 3 3 2" xfId="39255" xr:uid="{00000000-0005-0000-0000-0000403D0000}"/>
    <cellStyle name="20% - Accent5 5 3 4 3 4" xfId="27954" xr:uid="{00000000-0005-0000-0000-0000413D0000}"/>
    <cellStyle name="20% - Accent5 5 3 4 4" xfId="7551" xr:uid="{00000000-0005-0000-0000-0000423D0000}"/>
    <cellStyle name="20% - Accent5 5 3 4 4 2" xfId="18852" xr:uid="{00000000-0005-0000-0000-0000433D0000}"/>
    <cellStyle name="20% - Accent5 5 3 4 4 2 2" xfId="41454" xr:uid="{00000000-0005-0000-0000-0000443D0000}"/>
    <cellStyle name="20% - Accent5 5 3 4 4 3" xfId="30153" xr:uid="{00000000-0005-0000-0000-0000453D0000}"/>
    <cellStyle name="20% - Accent5 5 3 4 5" xfId="13202" xr:uid="{00000000-0005-0000-0000-0000463D0000}"/>
    <cellStyle name="20% - Accent5 5 3 4 5 2" xfId="35804" xr:uid="{00000000-0005-0000-0000-0000473D0000}"/>
    <cellStyle name="20% - Accent5 5 3 4 6" xfId="24503" xr:uid="{00000000-0005-0000-0000-0000483D0000}"/>
    <cellStyle name="20% - Accent5 5 3 5" xfId="2333" xr:uid="{00000000-0005-0000-0000-0000493D0000}"/>
    <cellStyle name="20% - Accent5 5 3 5 2" xfId="8169" xr:uid="{00000000-0005-0000-0000-00004A3D0000}"/>
    <cellStyle name="20% - Accent5 5 3 5 2 2" xfId="19470" xr:uid="{00000000-0005-0000-0000-00004B3D0000}"/>
    <cellStyle name="20% - Accent5 5 3 5 2 2 2" xfId="42072" xr:uid="{00000000-0005-0000-0000-00004C3D0000}"/>
    <cellStyle name="20% - Accent5 5 3 5 2 3" xfId="30771" xr:uid="{00000000-0005-0000-0000-00004D3D0000}"/>
    <cellStyle name="20% - Accent5 5 3 5 3" xfId="13820" xr:uid="{00000000-0005-0000-0000-00004E3D0000}"/>
    <cellStyle name="20% - Accent5 5 3 5 3 2" xfId="36422" xr:uid="{00000000-0005-0000-0000-00004F3D0000}"/>
    <cellStyle name="20% - Accent5 5 3 5 4" xfId="25121" xr:uid="{00000000-0005-0000-0000-0000503D0000}"/>
    <cellStyle name="20% - Accent5 5 3 6" xfId="4118" xr:uid="{00000000-0005-0000-0000-0000513D0000}"/>
    <cellStyle name="20% - Accent5 5 3 6 2" xfId="9768" xr:uid="{00000000-0005-0000-0000-0000523D0000}"/>
    <cellStyle name="20% - Accent5 5 3 6 2 2" xfId="21069" xr:uid="{00000000-0005-0000-0000-0000533D0000}"/>
    <cellStyle name="20% - Accent5 5 3 6 2 2 2" xfId="43671" xr:uid="{00000000-0005-0000-0000-0000543D0000}"/>
    <cellStyle name="20% - Accent5 5 3 6 2 3" xfId="32370" xr:uid="{00000000-0005-0000-0000-0000553D0000}"/>
    <cellStyle name="20% - Accent5 5 3 6 3" xfId="15419" xr:uid="{00000000-0005-0000-0000-0000563D0000}"/>
    <cellStyle name="20% - Accent5 5 3 6 3 2" xfId="38021" xr:uid="{00000000-0005-0000-0000-0000573D0000}"/>
    <cellStyle name="20% - Accent5 5 3 6 4" xfId="26720" xr:uid="{00000000-0005-0000-0000-0000583D0000}"/>
    <cellStyle name="20% - Accent5 5 3 7" xfId="6596" xr:uid="{00000000-0005-0000-0000-0000593D0000}"/>
    <cellStyle name="20% - Accent5 5 3 7 2" xfId="17897" xr:uid="{00000000-0005-0000-0000-00005A3D0000}"/>
    <cellStyle name="20% - Accent5 5 3 7 2 2" xfId="40499" xr:uid="{00000000-0005-0000-0000-00005B3D0000}"/>
    <cellStyle name="20% - Accent5 5 3 7 3" xfId="29198" xr:uid="{00000000-0005-0000-0000-00005C3D0000}"/>
    <cellStyle name="20% - Accent5 5 3 8" xfId="12247" xr:uid="{00000000-0005-0000-0000-00005D3D0000}"/>
    <cellStyle name="20% - Accent5 5 3 8 2" xfId="34849" xr:uid="{00000000-0005-0000-0000-00005E3D0000}"/>
    <cellStyle name="20% - Accent5 5 3 9" xfId="23548" xr:uid="{00000000-0005-0000-0000-00005F3D0000}"/>
    <cellStyle name="20% - Accent5 5 4" xfId="1103" xr:uid="{00000000-0005-0000-0000-0000603D0000}"/>
    <cellStyle name="20% - Accent5 5 4 2" xfId="1697" xr:uid="{00000000-0005-0000-0000-0000613D0000}"/>
    <cellStyle name="20% - Accent5 5 4 2 2" xfId="3171" xr:uid="{00000000-0005-0000-0000-0000623D0000}"/>
    <cellStyle name="20% - Accent5 5 4 2 2 2" xfId="6143" xr:uid="{00000000-0005-0000-0000-0000633D0000}"/>
    <cellStyle name="20% - Accent5 5 4 2 2 2 2" xfId="11793" xr:uid="{00000000-0005-0000-0000-0000643D0000}"/>
    <cellStyle name="20% - Accent5 5 4 2 2 2 2 2" xfId="23094" xr:uid="{00000000-0005-0000-0000-0000653D0000}"/>
    <cellStyle name="20% - Accent5 5 4 2 2 2 2 2 2" xfId="45696" xr:uid="{00000000-0005-0000-0000-0000663D0000}"/>
    <cellStyle name="20% - Accent5 5 4 2 2 2 2 3" xfId="34395" xr:uid="{00000000-0005-0000-0000-0000673D0000}"/>
    <cellStyle name="20% - Accent5 5 4 2 2 2 3" xfId="17444" xr:uid="{00000000-0005-0000-0000-0000683D0000}"/>
    <cellStyle name="20% - Accent5 5 4 2 2 2 3 2" xfId="40046" xr:uid="{00000000-0005-0000-0000-0000693D0000}"/>
    <cellStyle name="20% - Accent5 5 4 2 2 2 4" xfId="28745" xr:uid="{00000000-0005-0000-0000-00006A3D0000}"/>
    <cellStyle name="20% - Accent5 5 4 2 2 3" xfId="8961" xr:uid="{00000000-0005-0000-0000-00006B3D0000}"/>
    <cellStyle name="20% - Accent5 5 4 2 2 3 2" xfId="20262" xr:uid="{00000000-0005-0000-0000-00006C3D0000}"/>
    <cellStyle name="20% - Accent5 5 4 2 2 3 2 2" xfId="42864" xr:uid="{00000000-0005-0000-0000-00006D3D0000}"/>
    <cellStyle name="20% - Accent5 5 4 2 2 3 3" xfId="31563" xr:uid="{00000000-0005-0000-0000-00006E3D0000}"/>
    <cellStyle name="20% - Accent5 5 4 2 2 4" xfId="14612" xr:uid="{00000000-0005-0000-0000-00006F3D0000}"/>
    <cellStyle name="20% - Accent5 5 4 2 2 4 2" xfId="37214" xr:uid="{00000000-0005-0000-0000-0000703D0000}"/>
    <cellStyle name="20% - Accent5 5 4 2 2 5" xfId="25913" xr:uid="{00000000-0005-0000-0000-0000713D0000}"/>
    <cellStyle name="20% - Accent5 5 4 2 3" xfId="4909" xr:uid="{00000000-0005-0000-0000-0000723D0000}"/>
    <cellStyle name="20% - Accent5 5 4 2 3 2" xfId="10559" xr:uid="{00000000-0005-0000-0000-0000733D0000}"/>
    <cellStyle name="20% - Accent5 5 4 2 3 2 2" xfId="21860" xr:uid="{00000000-0005-0000-0000-0000743D0000}"/>
    <cellStyle name="20% - Accent5 5 4 2 3 2 2 2" xfId="44462" xr:uid="{00000000-0005-0000-0000-0000753D0000}"/>
    <cellStyle name="20% - Accent5 5 4 2 3 2 3" xfId="33161" xr:uid="{00000000-0005-0000-0000-0000763D0000}"/>
    <cellStyle name="20% - Accent5 5 4 2 3 3" xfId="16210" xr:uid="{00000000-0005-0000-0000-0000773D0000}"/>
    <cellStyle name="20% - Accent5 5 4 2 3 3 2" xfId="38812" xr:uid="{00000000-0005-0000-0000-0000783D0000}"/>
    <cellStyle name="20% - Accent5 5 4 2 3 4" xfId="27511" xr:uid="{00000000-0005-0000-0000-0000793D0000}"/>
    <cellStyle name="20% - Accent5 5 4 2 4" xfId="7553" xr:uid="{00000000-0005-0000-0000-00007A3D0000}"/>
    <cellStyle name="20% - Accent5 5 4 2 4 2" xfId="18854" xr:uid="{00000000-0005-0000-0000-00007B3D0000}"/>
    <cellStyle name="20% - Accent5 5 4 2 4 2 2" xfId="41456" xr:uid="{00000000-0005-0000-0000-00007C3D0000}"/>
    <cellStyle name="20% - Accent5 5 4 2 4 3" xfId="30155" xr:uid="{00000000-0005-0000-0000-00007D3D0000}"/>
    <cellStyle name="20% - Accent5 5 4 2 5" xfId="13204" xr:uid="{00000000-0005-0000-0000-00007E3D0000}"/>
    <cellStyle name="20% - Accent5 5 4 2 5 2" xfId="35806" xr:uid="{00000000-0005-0000-0000-00007F3D0000}"/>
    <cellStyle name="20% - Accent5 5 4 2 6" xfId="24505" xr:uid="{00000000-0005-0000-0000-0000803D0000}"/>
    <cellStyle name="20% - Accent5 5 4 3" xfId="2500" xr:uid="{00000000-0005-0000-0000-0000813D0000}"/>
    <cellStyle name="20% - Accent5 5 4 3 2" xfId="5519" xr:uid="{00000000-0005-0000-0000-0000823D0000}"/>
    <cellStyle name="20% - Accent5 5 4 3 2 2" xfId="11169" xr:uid="{00000000-0005-0000-0000-0000833D0000}"/>
    <cellStyle name="20% - Accent5 5 4 3 2 2 2" xfId="22470" xr:uid="{00000000-0005-0000-0000-0000843D0000}"/>
    <cellStyle name="20% - Accent5 5 4 3 2 2 2 2" xfId="45072" xr:uid="{00000000-0005-0000-0000-0000853D0000}"/>
    <cellStyle name="20% - Accent5 5 4 3 2 2 3" xfId="33771" xr:uid="{00000000-0005-0000-0000-0000863D0000}"/>
    <cellStyle name="20% - Accent5 5 4 3 2 3" xfId="16820" xr:uid="{00000000-0005-0000-0000-0000873D0000}"/>
    <cellStyle name="20% - Accent5 5 4 3 2 3 2" xfId="39422" xr:uid="{00000000-0005-0000-0000-0000883D0000}"/>
    <cellStyle name="20% - Accent5 5 4 3 2 4" xfId="28121" xr:uid="{00000000-0005-0000-0000-0000893D0000}"/>
    <cellStyle name="20% - Accent5 5 4 3 3" xfId="8336" xr:uid="{00000000-0005-0000-0000-00008A3D0000}"/>
    <cellStyle name="20% - Accent5 5 4 3 3 2" xfId="19637" xr:uid="{00000000-0005-0000-0000-00008B3D0000}"/>
    <cellStyle name="20% - Accent5 5 4 3 3 2 2" xfId="42239" xr:uid="{00000000-0005-0000-0000-00008C3D0000}"/>
    <cellStyle name="20% - Accent5 5 4 3 3 3" xfId="30938" xr:uid="{00000000-0005-0000-0000-00008D3D0000}"/>
    <cellStyle name="20% - Accent5 5 4 3 4" xfId="13987" xr:uid="{00000000-0005-0000-0000-00008E3D0000}"/>
    <cellStyle name="20% - Accent5 5 4 3 4 2" xfId="36589" xr:uid="{00000000-0005-0000-0000-00008F3D0000}"/>
    <cellStyle name="20% - Accent5 5 4 3 5" xfId="25288" xr:uid="{00000000-0005-0000-0000-0000903D0000}"/>
    <cellStyle name="20% - Accent5 5 4 4" xfId="4285" xr:uid="{00000000-0005-0000-0000-0000913D0000}"/>
    <cellStyle name="20% - Accent5 5 4 4 2" xfId="9935" xr:uid="{00000000-0005-0000-0000-0000923D0000}"/>
    <cellStyle name="20% - Accent5 5 4 4 2 2" xfId="21236" xr:uid="{00000000-0005-0000-0000-0000933D0000}"/>
    <cellStyle name="20% - Accent5 5 4 4 2 2 2" xfId="43838" xr:uid="{00000000-0005-0000-0000-0000943D0000}"/>
    <cellStyle name="20% - Accent5 5 4 4 2 3" xfId="32537" xr:uid="{00000000-0005-0000-0000-0000953D0000}"/>
    <cellStyle name="20% - Accent5 5 4 4 3" xfId="15586" xr:uid="{00000000-0005-0000-0000-0000963D0000}"/>
    <cellStyle name="20% - Accent5 5 4 4 3 2" xfId="38188" xr:uid="{00000000-0005-0000-0000-0000973D0000}"/>
    <cellStyle name="20% - Accent5 5 4 4 4" xfId="26887" xr:uid="{00000000-0005-0000-0000-0000983D0000}"/>
    <cellStyle name="20% - Accent5 5 4 5" xfId="7082" xr:uid="{00000000-0005-0000-0000-0000993D0000}"/>
    <cellStyle name="20% - Accent5 5 4 5 2" xfId="18383" xr:uid="{00000000-0005-0000-0000-00009A3D0000}"/>
    <cellStyle name="20% - Accent5 5 4 5 2 2" xfId="40985" xr:uid="{00000000-0005-0000-0000-00009B3D0000}"/>
    <cellStyle name="20% - Accent5 5 4 5 3" xfId="29684" xr:uid="{00000000-0005-0000-0000-00009C3D0000}"/>
    <cellStyle name="20% - Accent5 5 4 6" xfId="12733" xr:uid="{00000000-0005-0000-0000-00009D3D0000}"/>
    <cellStyle name="20% - Accent5 5 4 6 2" xfId="35335" xr:uid="{00000000-0005-0000-0000-00009E3D0000}"/>
    <cellStyle name="20% - Accent5 5 4 7" xfId="24034" xr:uid="{00000000-0005-0000-0000-00009F3D0000}"/>
    <cellStyle name="20% - Accent5 5 5" xfId="783" xr:uid="{00000000-0005-0000-0000-0000A03D0000}"/>
    <cellStyle name="20% - Accent5 5 5 2" xfId="2864" xr:uid="{00000000-0005-0000-0000-0000A13D0000}"/>
    <cellStyle name="20% - Accent5 5 5 2 2" xfId="5836" xr:uid="{00000000-0005-0000-0000-0000A23D0000}"/>
    <cellStyle name="20% - Accent5 5 5 2 2 2" xfId="11486" xr:uid="{00000000-0005-0000-0000-0000A33D0000}"/>
    <cellStyle name="20% - Accent5 5 5 2 2 2 2" xfId="22787" xr:uid="{00000000-0005-0000-0000-0000A43D0000}"/>
    <cellStyle name="20% - Accent5 5 5 2 2 2 2 2" xfId="45389" xr:uid="{00000000-0005-0000-0000-0000A53D0000}"/>
    <cellStyle name="20% - Accent5 5 5 2 2 2 3" xfId="34088" xr:uid="{00000000-0005-0000-0000-0000A63D0000}"/>
    <cellStyle name="20% - Accent5 5 5 2 2 3" xfId="17137" xr:uid="{00000000-0005-0000-0000-0000A73D0000}"/>
    <cellStyle name="20% - Accent5 5 5 2 2 3 2" xfId="39739" xr:uid="{00000000-0005-0000-0000-0000A83D0000}"/>
    <cellStyle name="20% - Accent5 5 5 2 2 4" xfId="28438" xr:uid="{00000000-0005-0000-0000-0000A93D0000}"/>
    <cellStyle name="20% - Accent5 5 5 2 3" xfId="8654" xr:uid="{00000000-0005-0000-0000-0000AA3D0000}"/>
    <cellStyle name="20% - Accent5 5 5 2 3 2" xfId="19955" xr:uid="{00000000-0005-0000-0000-0000AB3D0000}"/>
    <cellStyle name="20% - Accent5 5 5 2 3 2 2" xfId="42557" xr:uid="{00000000-0005-0000-0000-0000AC3D0000}"/>
    <cellStyle name="20% - Accent5 5 5 2 3 3" xfId="31256" xr:uid="{00000000-0005-0000-0000-0000AD3D0000}"/>
    <cellStyle name="20% - Accent5 5 5 2 4" xfId="14305" xr:uid="{00000000-0005-0000-0000-0000AE3D0000}"/>
    <cellStyle name="20% - Accent5 5 5 2 4 2" xfId="36907" xr:uid="{00000000-0005-0000-0000-0000AF3D0000}"/>
    <cellStyle name="20% - Accent5 5 5 2 5" xfId="25606" xr:uid="{00000000-0005-0000-0000-0000B03D0000}"/>
    <cellStyle name="20% - Accent5 5 5 3" xfId="4602" xr:uid="{00000000-0005-0000-0000-0000B13D0000}"/>
    <cellStyle name="20% - Accent5 5 5 3 2" xfId="10252" xr:uid="{00000000-0005-0000-0000-0000B23D0000}"/>
    <cellStyle name="20% - Accent5 5 5 3 2 2" xfId="21553" xr:uid="{00000000-0005-0000-0000-0000B33D0000}"/>
    <cellStyle name="20% - Accent5 5 5 3 2 2 2" xfId="44155" xr:uid="{00000000-0005-0000-0000-0000B43D0000}"/>
    <cellStyle name="20% - Accent5 5 5 3 2 3" xfId="32854" xr:uid="{00000000-0005-0000-0000-0000B53D0000}"/>
    <cellStyle name="20% - Accent5 5 5 3 3" xfId="15903" xr:uid="{00000000-0005-0000-0000-0000B63D0000}"/>
    <cellStyle name="20% - Accent5 5 5 3 3 2" xfId="38505" xr:uid="{00000000-0005-0000-0000-0000B73D0000}"/>
    <cellStyle name="20% - Accent5 5 5 3 4" xfId="27204" xr:uid="{00000000-0005-0000-0000-0000B83D0000}"/>
    <cellStyle name="20% - Accent5 5 5 4" xfId="6788" xr:uid="{00000000-0005-0000-0000-0000B93D0000}"/>
    <cellStyle name="20% - Accent5 5 5 4 2" xfId="18089" xr:uid="{00000000-0005-0000-0000-0000BA3D0000}"/>
    <cellStyle name="20% - Accent5 5 5 4 2 2" xfId="40691" xr:uid="{00000000-0005-0000-0000-0000BB3D0000}"/>
    <cellStyle name="20% - Accent5 5 5 4 3" xfId="29390" xr:uid="{00000000-0005-0000-0000-0000BC3D0000}"/>
    <cellStyle name="20% - Accent5 5 5 5" xfId="12439" xr:uid="{00000000-0005-0000-0000-0000BD3D0000}"/>
    <cellStyle name="20% - Accent5 5 5 5 2" xfId="35041" xr:uid="{00000000-0005-0000-0000-0000BE3D0000}"/>
    <cellStyle name="20% - Accent5 5 5 6" xfId="23740" xr:uid="{00000000-0005-0000-0000-0000BF3D0000}"/>
    <cellStyle name="20% - Accent5 5 6" xfId="1690" xr:uid="{00000000-0005-0000-0000-0000C03D0000}"/>
    <cellStyle name="20% - Accent5 5 6 2" xfId="3612" xr:uid="{00000000-0005-0000-0000-0000C13D0000}"/>
    <cellStyle name="20% - Accent5 5 6 2 2" xfId="9323" xr:uid="{00000000-0005-0000-0000-0000C23D0000}"/>
    <cellStyle name="20% - Accent5 5 6 2 2 2" xfId="20624" xr:uid="{00000000-0005-0000-0000-0000C33D0000}"/>
    <cellStyle name="20% - Accent5 5 6 2 2 2 2" xfId="43226" xr:uid="{00000000-0005-0000-0000-0000C43D0000}"/>
    <cellStyle name="20% - Accent5 5 6 2 2 3" xfId="31925" xr:uid="{00000000-0005-0000-0000-0000C53D0000}"/>
    <cellStyle name="20% - Accent5 5 6 2 3" xfId="14974" xr:uid="{00000000-0005-0000-0000-0000C63D0000}"/>
    <cellStyle name="20% - Accent5 5 6 2 3 2" xfId="37576" xr:uid="{00000000-0005-0000-0000-0000C73D0000}"/>
    <cellStyle name="20% - Accent5 5 6 2 4" xfId="26275" xr:uid="{00000000-0005-0000-0000-0000C83D0000}"/>
    <cellStyle name="20% - Accent5 5 6 3" xfId="5212" xr:uid="{00000000-0005-0000-0000-0000C93D0000}"/>
    <cellStyle name="20% - Accent5 5 6 3 2" xfId="10862" xr:uid="{00000000-0005-0000-0000-0000CA3D0000}"/>
    <cellStyle name="20% - Accent5 5 6 3 2 2" xfId="22163" xr:uid="{00000000-0005-0000-0000-0000CB3D0000}"/>
    <cellStyle name="20% - Accent5 5 6 3 2 2 2" xfId="44765" xr:uid="{00000000-0005-0000-0000-0000CC3D0000}"/>
    <cellStyle name="20% - Accent5 5 6 3 2 3" xfId="33464" xr:uid="{00000000-0005-0000-0000-0000CD3D0000}"/>
    <cellStyle name="20% - Accent5 5 6 3 3" xfId="16513" xr:uid="{00000000-0005-0000-0000-0000CE3D0000}"/>
    <cellStyle name="20% - Accent5 5 6 3 3 2" xfId="39115" xr:uid="{00000000-0005-0000-0000-0000CF3D0000}"/>
    <cellStyle name="20% - Accent5 5 6 3 4" xfId="27814" xr:uid="{00000000-0005-0000-0000-0000D03D0000}"/>
    <cellStyle name="20% - Accent5 5 6 4" xfId="7546" xr:uid="{00000000-0005-0000-0000-0000D13D0000}"/>
    <cellStyle name="20% - Accent5 5 6 4 2" xfId="18847" xr:uid="{00000000-0005-0000-0000-0000D23D0000}"/>
    <cellStyle name="20% - Accent5 5 6 4 2 2" xfId="41449" xr:uid="{00000000-0005-0000-0000-0000D33D0000}"/>
    <cellStyle name="20% - Accent5 5 6 4 3" xfId="30148" xr:uid="{00000000-0005-0000-0000-0000D43D0000}"/>
    <cellStyle name="20% - Accent5 5 6 5" xfId="13197" xr:uid="{00000000-0005-0000-0000-0000D53D0000}"/>
    <cellStyle name="20% - Accent5 5 6 5 2" xfId="35799" xr:uid="{00000000-0005-0000-0000-0000D63D0000}"/>
    <cellStyle name="20% - Accent5 5 6 6" xfId="24498" xr:uid="{00000000-0005-0000-0000-0000D73D0000}"/>
    <cellStyle name="20% - Accent5 5 7" xfId="2185" xr:uid="{00000000-0005-0000-0000-0000D83D0000}"/>
    <cellStyle name="20% - Accent5 5 7 2" xfId="8026" xr:uid="{00000000-0005-0000-0000-0000D93D0000}"/>
    <cellStyle name="20% - Accent5 5 7 2 2" xfId="19327" xr:uid="{00000000-0005-0000-0000-0000DA3D0000}"/>
    <cellStyle name="20% - Accent5 5 7 2 2 2" xfId="41929" xr:uid="{00000000-0005-0000-0000-0000DB3D0000}"/>
    <cellStyle name="20% - Accent5 5 7 2 3" xfId="30628" xr:uid="{00000000-0005-0000-0000-0000DC3D0000}"/>
    <cellStyle name="20% - Accent5 5 7 3" xfId="13677" xr:uid="{00000000-0005-0000-0000-0000DD3D0000}"/>
    <cellStyle name="20% - Accent5 5 7 3 2" xfId="36279" xr:uid="{00000000-0005-0000-0000-0000DE3D0000}"/>
    <cellStyle name="20% - Accent5 5 7 4" xfId="24978" xr:uid="{00000000-0005-0000-0000-0000DF3D0000}"/>
    <cellStyle name="20% - Accent5 5 8" xfId="3978" xr:uid="{00000000-0005-0000-0000-0000E03D0000}"/>
    <cellStyle name="20% - Accent5 5 8 2" xfId="9628" xr:uid="{00000000-0005-0000-0000-0000E13D0000}"/>
    <cellStyle name="20% - Accent5 5 8 2 2" xfId="20929" xr:uid="{00000000-0005-0000-0000-0000E23D0000}"/>
    <cellStyle name="20% - Accent5 5 8 2 2 2" xfId="43531" xr:uid="{00000000-0005-0000-0000-0000E33D0000}"/>
    <cellStyle name="20% - Accent5 5 8 2 3" xfId="32230" xr:uid="{00000000-0005-0000-0000-0000E43D0000}"/>
    <cellStyle name="20% - Accent5 5 8 3" xfId="15279" xr:uid="{00000000-0005-0000-0000-0000E53D0000}"/>
    <cellStyle name="20% - Accent5 5 8 3 2" xfId="37881" xr:uid="{00000000-0005-0000-0000-0000E63D0000}"/>
    <cellStyle name="20% - Accent5 5 8 4" xfId="26580" xr:uid="{00000000-0005-0000-0000-0000E73D0000}"/>
    <cellStyle name="20% - Accent5 5 9" xfId="6429" xr:uid="{00000000-0005-0000-0000-0000E83D0000}"/>
    <cellStyle name="20% - Accent5 5 9 2" xfId="17730" xr:uid="{00000000-0005-0000-0000-0000E93D0000}"/>
    <cellStyle name="20% - Accent5 5 9 2 2" xfId="40332" xr:uid="{00000000-0005-0000-0000-0000EA3D0000}"/>
    <cellStyle name="20% - Accent5 5 9 3" xfId="29031" xr:uid="{00000000-0005-0000-0000-0000EB3D0000}"/>
    <cellStyle name="20% - Accent5 6" xfId="232" xr:uid="{00000000-0005-0000-0000-0000EC3D0000}"/>
    <cellStyle name="20% - Accent5 7" xfId="339" xr:uid="{00000000-0005-0000-0000-0000ED3D0000}"/>
    <cellStyle name="20% - Accent5 7 10" xfId="23434" xr:uid="{00000000-0005-0000-0000-0000EE3D0000}"/>
    <cellStyle name="20% - Accent5 7 2" xfId="584" xr:uid="{00000000-0005-0000-0000-0000EF3D0000}"/>
    <cellStyle name="20% - Accent5 7 2 2" xfId="1294" xr:uid="{00000000-0005-0000-0000-0000F03D0000}"/>
    <cellStyle name="20% - Accent5 7 2 2 2" xfId="1700" xr:uid="{00000000-0005-0000-0000-0000F13D0000}"/>
    <cellStyle name="20% - Accent5 7 2 2 2 2" xfId="3363" xr:uid="{00000000-0005-0000-0000-0000F23D0000}"/>
    <cellStyle name="20% - Accent5 7 2 2 2 2 2" xfId="6335" xr:uid="{00000000-0005-0000-0000-0000F33D0000}"/>
    <cellStyle name="20% - Accent5 7 2 2 2 2 2 2" xfId="11985" xr:uid="{00000000-0005-0000-0000-0000F43D0000}"/>
    <cellStyle name="20% - Accent5 7 2 2 2 2 2 2 2" xfId="23286" xr:uid="{00000000-0005-0000-0000-0000F53D0000}"/>
    <cellStyle name="20% - Accent5 7 2 2 2 2 2 2 2 2" xfId="45888" xr:uid="{00000000-0005-0000-0000-0000F63D0000}"/>
    <cellStyle name="20% - Accent5 7 2 2 2 2 2 2 3" xfId="34587" xr:uid="{00000000-0005-0000-0000-0000F73D0000}"/>
    <cellStyle name="20% - Accent5 7 2 2 2 2 2 3" xfId="17636" xr:uid="{00000000-0005-0000-0000-0000F83D0000}"/>
    <cellStyle name="20% - Accent5 7 2 2 2 2 2 3 2" xfId="40238" xr:uid="{00000000-0005-0000-0000-0000F93D0000}"/>
    <cellStyle name="20% - Accent5 7 2 2 2 2 2 4" xfId="28937" xr:uid="{00000000-0005-0000-0000-0000FA3D0000}"/>
    <cellStyle name="20% - Accent5 7 2 2 2 2 3" xfId="9153" xr:uid="{00000000-0005-0000-0000-0000FB3D0000}"/>
    <cellStyle name="20% - Accent5 7 2 2 2 2 3 2" xfId="20454" xr:uid="{00000000-0005-0000-0000-0000FC3D0000}"/>
    <cellStyle name="20% - Accent5 7 2 2 2 2 3 2 2" xfId="43056" xr:uid="{00000000-0005-0000-0000-0000FD3D0000}"/>
    <cellStyle name="20% - Accent5 7 2 2 2 2 3 3" xfId="31755" xr:uid="{00000000-0005-0000-0000-0000FE3D0000}"/>
    <cellStyle name="20% - Accent5 7 2 2 2 2 4" xfId="14804" xr:uid="{00000000-0005-0000-0000-0000FF3D0000}"/>
    <cellStyle name="20% - Accent5 7 2 2 2 2 4 2" xfId="37406" xr:uid="{00000000-0005-0000-0000-0000003E0000}"/>
    <cellStyle name="20% - Accent5 7 2 2 2 2 5" xfId="26105" xr:uid="{00000000-0005-0000-0000-0000013E0000}"/>
    <cellStyle name="20% - Accent5 7 2 2 2 3" xfId="5101" xr:uid="{00000000-0005-0000-0000-0000023E0000}"/>
    <cellStyle name="20% - Accent5 7 2 2 2 3 2" xfId="10751" xr:uid="{00000000-0005-0000-0000-0000033E0000}"/>
    <cellStyle name="20% - Accent5 7 2 2 2 3 2 2" xfId="22052" xr:uid="{00000000-0005-0000-0000-0000043E0000}"/>
    <cellStyle name="20% - Accent5 7 2 2 2 3 2 2 2" xfId="44654" xr:uid="{00000000-0005-0000-0000-0000053E0000}"/>
    <cellStyle name="20% - Accent5 7 2 2 2 3 2 3" xfId="33353" xr:uid="{00000000-0005-0000-0000-0000063E0000}"/>
    <cellStyle name="20% - Accent5 7 2 2 2 3 3" xfId="16402" xr:uid="{00000000-0005-0000-0000-0000073E0000}"/>
    <cellStyle name="20% - Accent5 7 2 2 2 3 3 2" xfId="39004" xr:uid="{00000000-0005-0000-0000-0000083E0000}"/>
    <cellStyle name="20% - Accent5 7 2 2 2 3 4" xfId="27703" xr:uid="{00000000-0005-0000-0000-0000093E0000}"/>
    <cellStyle name="20% - Accent5 7 2 2 2 4" xfId="7556" xr:uid="{00000000-0005-0000-0000-00000A3E0000}"/>
    <cellStyle name="20% - Accent5 7 2 2 2 4 2" xfId="18857" xr:uid="{00000000-0005-0000-0000-00000B3E0000}"/>
    <cellStyle name="20% - Accent5 7 2 2 2 4 2 2" xfId="41459" xr:uid="{00000000-0005-0000-0000-00000C3E0000}"/>
    <cellStyle name="20% - Accent5 7 2 2 2 4 3" xfId="30158" xr:uid="{00000000-0005-0000-0000-00000D3E0000}"/>
    <cellStyle name="20% - Accent5 7 2 2 2 5" xfId="13207" xr:uid="{00000000-0005-0000-0000-00000E3E0000}"/>
    <cellStyle name="20% - Accent5 7 2 2 2 5 2" xfId="35809" xr:uid="{00000000-0005-0000-0000-00000F3E0000}"/>
    <cellStyle name="20% - Accent5 7 2 2 2 6" xfId="24508" xr:uid="{00000000-0005-0000-0000-0000103E0000}"/>
    <cellStyle name="20% - Accent5 7 2 2 3" xfId="2692" xr:uid="{00000000-0005-0000-0000-0000113E0000}"/>
    <cellStyle name="20% - Accent5 7 2 2 3 2" xfId="5711" xr:uid="{00000000-0005-0000-0000-0000123E0000}"/>
    <cellStyle name="20% - Accent5 7 2 2 3 2 2" xfId="11361" xr:uid="{00000000-0005-0000-0000-0000133E0000}"/>
    <cellStyle name="20% - Accent5 7 2 2 3 2 2 2" xfId="22662" xr:uid="{00000000-0005-0000-0000-0000143E0000}"/>
    <cellStyle name="20% - Accent5 7 2 2 3 2 2 2 2" xfId="45264" xr:uid="{00000000-0005-0000-0000-0000153E0000}"/>
    <cellStyle name="20% - Accent5 7 2 2 3 2 2 3" xfId="33963" xr:uid="{00000000-0005-0000-0000-0000163E0000}"/>
    <cellStyle name="20% - Accent5 7 2 2 3 2 3" xfId="17012" xr:uid="{00000000-0005-0000-0000-0000173E0000}"/>
    <cellStyle name="20% - Accent5 7 2 2 3 2 3 2" xfId="39614" xr:uid="{00000000-0005-0000-0000-0000183E0000}"/>
    <cellStyle name="20% - Accent5 7 2 2 3 2 4" xfId="28313" xr:uid="{00000000-0005-0000-0000-0000193E0000}"/>
    <cellStyle name="20% - Accent5 7 2 2 3 3" xfId="8528" xr:uid="{00000000-0005-0000-0000-00001A3E0000}"/>
    <cellStyle name="20% - Accent5 7 2 2 3 3 2" xfId="19829" xr:uid="{00000000-0005-0000-0000-00001B3E0000}"/>
    <cellStyle name="20% - Accent5 7 2 2 3 3 2 2" xfId="42431" xr:uid="{00000000-0005-0000-0000-00001C3E0000}"/>
    <cellStyle name="20% - Accent5 7 2 2 3 3 3" xfId="31130" xr:uid="{00000000-0005-0000-0000-00001D3E0000}"/>
    <cellStyle name="20% - Accent5 7 2 2 3 4" xfId="14179" xr:uid="{00000000-0005-0000-0000-00001E3E0000}"/>
    <cellStyle name="20% - Accent5 7 2 2 3 4 2" xfId="36781" xr:uid="{00000000-0005-0000-0000-00001F3E0000}"/>
    <cellStyle name="20% - Accent5 7 2 2 3 5" xfId="25480" xr:uid="{00000000-0005-0000-0000-0000203E0000}"/>
    <cellStyle name="20% - Accent5 7 2 2 4" xfId="4477" xr:uid="{00000000-0005-0000-0000-0000213E0000}"/>
    <cellStyle name="20% - Accent5 7 2 2 4 2" xfId="10127" xr:uid="{00000000-0005-0000-0000-0000223E0000}"/>
    <cellStyle name="20% - Accent5 7 2 2 4 2 2" xfId="21428" xr:uid="{00000000-0005-0000-0000-0000233E0000}"/>
    <cellStyle name="20% - Accent5 7 2 2 4 2 2 2" xfId="44030" xr:uid="{00000000-0005-0000-0000-0000243E0000}"/>
    <cellStyle name="20% - Accent5 7 2 2 4 2 3" xfId="32729" xr:uid="{00000000-0005-0000-0000-0000253E0000}"/>
    <cellStyle name="20% - Accent5 7 2 2 4 3" xfId="15778" xr:uid="{00000000-0005-0000-0000-0000263E0000}"/>
    <cellStyle name="20% - Accent5 7 2 2 4 3 2" xfId="38380" xr:uid="{00000000-0005-0000-0000-0000273E0000}"/>
    <cellStyle name="20% - Accent5 7 2 2 4 4" xfId="27079" xr:uid="{00000000-0005-0000-0000-0000283E0000}"/>
    <cellStyle name="20% - Accent5 7 2 2 5" xfId="7273" xr:uid="{00000000-0005-0000-0000-0000293E0000}"/>
    <cellStyle name="20% - Accent5 7 2 2 5 2" xfId="18574" xr:uid="{00000000-0005-0000-0000-00002A3E0000}"/>
    <cellStyle name="20% - Accent5 7 2 2 5 2 2" xfId="41176" xr:uid="{00000000-0005-0000-0000-00002B3E0000}"/>
    <cellStyle name="20% - Accent5 7 2 2 5 3" xfId="29875" xr:uid="{00000000-0005-0000-0000-00002C3E0000}"/>
    <cellStyle name="20% - Accent5 7 2 2 6" xfId="12924" xr:uid="{00000000-0005-0000-0000-00002D3E0000}"/>
    <cellStyle name="20% - Accent5 7 2 2 6 2" xfId="35526" xr:uid="{00000000-0005-0000-0000-00002E3E0000}"/>
    <cellStyle name="20% - Accent5 7 2 2 7" xfId="24225" xr:uid="{00000000-0005-0000-0000-00002F3E0000}"/>
    <cellStyle name="20% - Accent5 7 2 3" xfId="992" xr:uid="{00000000-0005-0000-0000-0000303E0000}"/>
    <cellStyle name="20% - Accent5 7 2 3 2" xfId="3055" xr:uid="{00000000-0005-0000-0000-0000313E0000}"/>
    <cellStyle name="20% - Accent5 7 2 3 2 2" xfId="6027" xr:uid="{00000000-0005-0000-0000-0000323E0000}"/>
    <cellStyle name="20% - Accent5 7 2 3 2 2 2" xfId="11677" xr:uid="{00000000-0005-0000-0000-0000333E0000}"/>
    <cellStyle name="20% - Accent5 7 2 3 2 2 2 2" xfId="22978" xr:uid="{00000000-0005-0000-0000-0000343E0000}"/>
    <cellStyle name="20% - Accent5 7 2 3 2 2 2 2 2" xfId="45580" xr:uid="{00000000-0005-0000-0000-0000353E0000}"/>
    <cellStyle name="20% - Accent5 7 2 3 2 2 2 3" xfId="34279" xr:uid="{00000000-0005-0000-0000-0000363E0000}"/>
    <cellStyle name="20% - Accent5 7 2 3 2 2 3" xfId="17328" xr:uid="{00000000-0005-0000-0000-0000373E0000}"/>
    <cellStyle name="20% - Accent5 7 2 3 2 2 3 2" xfId="39930" xr:uid="{00000000-0005-0000-0000-0000383E0000}"/>
    <cellStyle name="20% - Accent5 7 2 3 2 2 4" xfId="28629" xr:uid="{00000000-0005-0000-0000-0000393E0000}"/>
    <cellStyle name="20% - Accent5 7 2 3 2 3" xfId="8845" xr:uid="{00000000-0005-0000-0000-00003A3E0000}"/>
    <cellStyle name="20% - Accent5 7 2 3 2 3 2" xfId="20146" xr:uid="{00000000-0005-0000-0000-00003B3E0000}"/>
    <cellStyle name="20% - Accent5 7 2 3 2 3 2 2" xfId="42748" xr:uid="{00000000-0005-0000-0000-00003C3E0000}"/>
    <cellStyle name="20% - Accent5 7 2 3 2 3 3" xfId="31447" xr:uid="{00000000-0005-0000-0000-00003D3E0000}"/>
    <cellStyle name="20% - Accent5 7 2 3 2 4" xfId="14496" xr:uid="{00000000-0005-0000-0000-00003E3E0000}"/>
    <cellStyle name="20% - Accent5 7 2 3 2 4 2" xfId="37098" xr:uid="{00000000-0005-0000-0000-00003F3E0000}"/>
    <cellStyle name="20% - Accent5 7 2 3 2 5" xfId="25797" xr:uid="{00000000-0005-0000-0000-0000403E0000}"/>
    <cellStyle name="20% - Accent5 7 2 3 3" xfId="4793" xr:uid="{00000000-0005-0000-0000-0000413E0000}"/>
    <cellStyle name="20% - Accent5 7 2 3 3 2" xfId="10443" xr:uid="{00000000-0005-0000-0000-0000423E0000}"/>
    <cellStyle name="20% - Accent5 7 2 3 3 2 2" xfId="21744" xr:uid="{00000000-0005-0000-0000-0000433E0000}"/>
    <cellStyle name="20% - Accent5 7 2 3 3 2 2 2" xfId="44346" xr:uid="{00000000-0005-0000-0000-0000443E0000}"/>
    <cellStyle name="20% - Accent5 7 2 3 3 2 3" xfId="33045" xr:uid="{00000000-0005-0000-0000-0000453E0000}"/>
    <cellStyle name="20% - Accent5 7 2 3 3 3" xfId="16094" xr:uid="{00000000-0005-0000-0000-0000463E0000}"/>
    <cellStyle name="20% - Accent5 7 2 3 3 3 2" xfId="38696" xr:uid="{00000000-0005-0000-0000-0000473E0000}"/>
    <cellStyle name="20% - Accent5 7 2 3 3 4" xfId="27395" xr:uid="{00000000-0005-0000-0000-0000483E0000}"/>
    <cellStyle name="20% - Accent5 7 2 3 4" xfId="6980" xr:uid="{00000000-0005-0000-0000-0000493E0000}"/>
    <cellStyle name="20% - Accent5 7 2 3 4 2" xfId="18281" xr:uid="{00000000-0005-0000-0000-00004A3E0000}"/>
    <cellStyle name="20% - Accent5 7 2 3 4 2 2" xfId="40883" xr:uid="{00000000-0005-0000-0000-00004B3E0000}"/>
    <cellStyle name="20% - Accent5 7 2 3 4 3" xfId="29582" xr:uid="{00000000-0005-0000-0000-00004C3E0000}"/>
    <cellStyle name="20% - Accent5 7 2 3 5" xfId="12631" xr:uid="{00000000-0005-0000-0000-00004D3E0000}"/>
    <cellStyle name="20% - Accent5 7 2 3 5 2" xfId="35233" xr:uid="{00000000-0005-0000-0000-00004E3E0000}"/>
    <cellStyle name="20% - Accent5 7 2 3 6" xfId="23932" xr:uid="{00000000-0005-0000-0000-00004F3E0000}"/>
    <cellStyle name="20% - Accent5 7 2 4" xfId="1699" xr:uid="{00000000-0005-0000-0000-0000503E0000}"/>
    <cellStyle name="20% - Accent5 7 2 4 2" xfId="3617" xr:uid="{00000000-0005-0000-0000-0000513E0000}"/>
    <cellStyle name="20% - Accent5 7 2 4 2 2" xfId="9328" xr:uid="{00000000-0005-0000-0000-0000523E0000}"/>
    <cellStyle name="20% - Accent5 7 2 4 2 2 2" xfId="20629" xr:uid="{00000000-0005-0000-0000-0000533E0000}"/>
    <cellStyle name="20% - Accent5 7 2 4 2 2 2 2" xfId="43231" xr:uid="{00000000-0005-0000-0000-0000543E0000}"/>
    <cellStyle name="20% - Accent5 7 2 4 2 2 3" xfId="31930" xr:uid="{00000000-0005-0000-0000-0000553E0000}"/>
    <cellStyle name="20% - Accent5 7 2 4 2 3" xfId="14979" xr:uid="{00000000-0005-0000-0000-0000563E0000}"/>
    <cellStyle name="20% - Accent5 7 2 4 2 3 2" xfId="37581" xr:uid="{00000000-0005-0000-0000-0000573E0000}"/>
    <cellStyle name="20% - Accent5 7 2 4 2 4" xfId="26280" xr:uid="{00000000-0005-0000-0000-0000583E0000}"/>
    <cellStyle name="20% - Accent5 7 2 4 3" xfId="5403" xr:uid="{00000000-0005-0000-0000-0000593E0000}"/>
    <cellStyle name="20% - Accent5 7 2 4 3 2" xfId="11053" xr:uid="{00000000-0005-0000-0000-00005A3E0000}"/>
    <cellStyle name="20% - Accent5 7 2 4 3 2 2" xfId="22354" xr:uid="{00000000-0005-0000-0000-00005B3E0000}"/>
    <cellStyle name="20% - Accent5 7 2 4 3 2 2 2" xfId="44956" xr:uid="{00000000-0005-0000-0000-00005C3E0000}"/>
    <cellStyle name="20% - Accent5 7 2 4 3 2 3" xfId="33655" xr:uid="{00000000-0005-0000-0000-00005D3E0000}"/>
    <cellStyle name="20% - Accent5 7 2 4 3 3" xfId="16704" xr:uid="{00000000-0005-0000-0000-00005E3E0000}"/>
    <cellStyle name="20% - Accent5 7 2 4 3 3 2" xfId="39306" xr:uid="{00000000-0005-0000-0000-00005F3E0000}"/>
    <cellStyle name="20% - Accent5 7 2 4 3 4" xfId="28005" xr:uid="{00000000-0005-0000-0000-0000603E0000}"/>
    <cellStyle name="20% - Accent5 7 2 4 4" xfId="7555" xr:uid="{00000000-0005-0000-0000-0000613E0000}"/>
    <cellStyle name="20% - Accent5 7 2 4 4 2" xfId="18856" xr:uid="{00000000-0005-0000-0000-0000623E0000}"/>
    <cellStyle name="20% - Accent5 7 2 4 4 2 2" xfId="41458" xr:uid="{00000000-0005-0000-0000-0000633E0000}"/>
    <cellStyle name="20% - Accent5 7 2 4 4 3" xfId="30157" xr:uid="{00000000-0005-0000-0000-0000643E0000}"/>
    <cellStyle name="20% - Accent5 7 2 4 5" xfId="13206" xr:uid="{00000000-0005-0000-0000-0000653E0000}"/>
    <cellStyle name="20% - Accent5 7 2 4 5 2" xfId="35808" xr:uid="{00000000-0005-0000-0000-0000663E0000}"/>
    <cellStyle name="20% - Accent5 7 2 4 6" xfId="24507" xr:uid="{00000000-0005-0000-0000-0000673E0000}"/>
    <cellStyle name="20% - Accent5 7 2 5" xfId="2384" xr:uid="{00000000-0005-0000-0000-0000683E0000}"/>
    <cellStyle name="20% - Accent5 7 2 5 2" xfId="8220" xr:uid="{00000000-0005-0000-0000-0000693E0000}"/>
    <cellStyle name="20% - Accent5 7 2 5 2 2" xfId="19521" xr:uid="{00000000-0005-0000-0000-00006A3E0000}"/>
    <cellStyle name="20% - Accent5 7 2 5 2 2 2" xfId="42123" xr:uid="{00000000-0005-0000-0000-00006B3E0000}"/>
    <cellStyle name="20% - Accent5 7 2 5 2 3" xfId="30822" xr:uid="{00000000-0005-0000-0000-00006C3E0000}"/>
    <cellStyle name="20% - Accent5 7 2 5 3" xfId="13871" xr:uid="{00000000-0005-0000-0000-00006D3E0000}"/>
    <cellStyle name="20% - Accent5 7 2 5 3 2" xfId="36473" xr:uid="{00000000-0005-0000-0000-00006E3E0000}"/>
    <cellStyle name="20% - Accent5 7 2 5 4" xfId="25172" xr:uid="{00000000-0005-0000-0000-00006F3E0000}"/>
    <cellStyle name="20% - Accent5 7 2 6" xfId="4169" xr:uid="{00000000-0005-0000-0000-0000703E0000}"/>
    <cellStyle name="20% - Accent5 7 2 6 2" xfId="9819" xr:uid="{00000000-0005-0000-0000-0000713E0000}"/>
    <cellStyle name="20% - Accent5 7 2 6 2 2" xfId="21120" xr:uid="{00000000-0005-0000-0000-0000723E0000}"/>
    <cellStyle name="20% - Accent5 7 2 6 2 2 2" xfId="43722" xr:uid="{00000000-0005-0000-0000-0000733E0000}"/>
    <cellStyle name="20% - Accent5 7 2 6 2 3" xfId="32421" xr:uid="{00000000-0005-0000-0000-0000743E0000}"/>
    <cellStyle name="20% - Accent5 7 2 6 3" xfId="15470" xr:uid="{00000000-0005-0000-0000-0000753E0000}"/>
    <cellStyle name="20% - Accent5 7 2 6 3 2" xfId="38072" xr:uid="{00000000-0005-0000-0000-0000763E0000}"/>
    <cellStyle name="20% - Accent5 7 2 6 4" xfId="26771" xr:uid="{00000000-0005-0000-0000-0000773E0000}"/>
    <cellStyle name="20% - Accent5 7 2 7" xfId="6649" xr:uid="{00000000-0005-0000-0000-0000783E0000}"/>
    <cellStyle name="20% - Accent5 7 2 7 2" xfId="17950" xr:uid="{00000000-0005-0000-0000-0000793E0000}"/>
    <cellStyle name="20% - Accent5 7 2 7 2 2" xfId="40552" xr:uid="{00000000-0005-0000-0000-00007A3E0000}"/>
    <cellStyle name="20% - Accent5 7 2 7 3" xfId="29251" xr:uid="{00000000-0005-0000-0000-00007B3E0000}"/>
    <cellStyle name="20% - Accent5 7 2 8" xfId="12300" xr:uid="{00000000-0005-0000-0000-00007C3E0000}"/>
    <cellStyle name="20% - Accent5 7 2 8 2" xfId="34902" xr:uid="{00000000-0005-0000-0000-00007D3E0000}"/>
    <cellStyle name="20% - Accent5 7 2 9" xfId="23601" xr:uid="{00000000-0005-0000-0000-00007E3E0000}"/>
    <cellStyle name="20% - Accent5 7 3" xfId="1156" xr:uid="{00000000-0005-0000-0000-00007F3E0000}"/>
    <cellStyle name="20% - Accent5 7 3 2" xfId="1701" xr:uid="{00000000-0005-0000-0000-0000803E0000}"/>
    <cellStyle name="20% - Accent5 7 3 2 2" xfId="3224" xr:uid="{00000000-0005-0000-0000-0000813E0000}"/>
    <cellStyle name="20% - Accent5 7 3 2 2 2" xfId="6196" xr:uid="{00000000-0005-0000-0000-0000823E0000}"/>
    <cellStyle name="20% - Accent5 7 3 2 2 2 2" xfId="11846" xr:uid="{00000000-0005-0000-0000-0000833E0000}"/>
    <cellStyle name="20% - Accent5 7 3 2 2 2 2 2" xfId="23147" xr:uid="{00000000-0005-0000-0000-0000843E0000}"/>
    <cellStyle name="20% - Accent5 7 3 2 2 2 2 2 2" xfId="45749" xr:uid="{00000000-0005-0000-0000-0000853E0000}"/>
    <cellStyle name="20% - Accent5 7 3 2 2 2 2 3" xfId="34448" xr:uid="{00000000-0005-0000-0000-0000863E0000}"/>
    <cellStyle name="20% - Accent5 7 3 2 2 2 3" xfId="17497" xr:uid="{00000000-0005-0000-0000-0000873E0000}"/>
    <cellStyle name="20% - Accent5 7 3 2 2 2 3 2" xfId="40099" xr:uid="{00000000-0005-0000-0000-0000883E0000}"/>
    <cellStyle name="20% - Accent5 7 3 2 2 2 4" xfId="28798" xr:uid="{00000000-0005-0000-0000-0000893E0000}"/>
    <cellStyle name="20% - Accent5 7 3 2 2 3" xfId="9014" xr:uid="{00000000-0005-0000-0000-00008A3E0000}"/>
    <cellStyle name="20% - Accent5 7 3 2 2 3 2" xfId="20315" xr:uid="{00000000-0005-0000-0000-00008B3E0000}"/>
    <cellStyle name="20% - Accent5 7 3 2 2 3 2 2" xfId="42917" xr:uid="{00000000-0005-0000-0000-00008C3E0000}"/>
    <cellStyle name="20% - Accent5 7 3 2 2 3 3" xfId="31616" xr:uid="{00000000-0005-0000-0000-00008D3E0000}"/>
    <cellStyle name="20% - Accent5 7 3 2 2 4" xfId="14665" xr:uid="{00000000-0005-0000-0000-00008E3E0000}"/>
    <cellStyle name="20% - Accent5 7 3 2 2 4 2" xfId="37267" xr:uid="{00000000-0005-0000-0000-00008F3E0000}"/>
    <cellStyle name="20% - Accent5 7 3 2 2 5" xfId="25966" xr:uid="{00000000-0005-0000-0000-0000903E0000}"/>
    <cellStyle name="20% - Accent5 7 3 2 3" xfId="4962" xr:uid="{00000000-0005-0000-0000-0000913E0000}"/>
    <cellStyle name="20% - Accent5 7 3 2 3 2" xfId="10612" xr:uid="{00000000-0005-0000-0000-0000923E0000}"/>
    <cellStyle name="20% - Accent5 7 3 2 3 2 2" xfId="21913" xr:uid="{00000000-0005-0000-0000-0000933E0000}"/>
    <cellStyle name="20% - Accent5 7 3 2 3 2 2 2" xfId="44515" xr:uid="{00000000-0005-0000-0000-0000943E0000}"/>
    <cellStyle name="20% - Accent5 7 3 2 3 2 3" xfId="33214" xr:uid="{00000000-0005-0000-0000-0000953E0000}"/>
    <cellStyle name="20% - Accent5 7 3 2 3 3" xfId="16263" xr:uid="{00000000-0005-0000-0000-0000963E0000}"/>
    <cellStyle name="20% - Accent5 7 3 2 3 3 2" xfId="38865" xr:uid="{00000000-0005-0000-0000-0000973E0000}"/>
    <cellStyle name="20% - Accent5 7 3 2 3 4" xfId="27564" xr:uid="{00000000-0005-0000-0000-0000983E0000}"/>
    <cellStyle name="20% - Accent5 7 3 2 4" xfId="7557" xr:uid="{00000000-0005-0000-0000-0000993E0000}"/>
    <cellStyle name="20% - Accent5 7 3 2 4 2" xfId="18858" xr:uid="{00000000-0005-0000-0000-00009A3E0000}"/>
    <cellStyle name="20% - Accent5 7 3 2 4 2 2" xfId="41460" xr:uid="{00000000-0005-0000-0000-00009B3E0000}"/>
    <cellStyle name="20% - Accent5 7 3 2 4 3" xfId="30159" xr:uid="{00000000-0005-0000-0000-00009C3E0000}"/>
    <cellStyle name="20% - Accent5 7 3 2 5" xfId="13208" xr:uid="{00000000-0005-0000-0000-00009D3E0000}"/>
    <cellStyle name="20% - Accent5 7 3 2 5 2" xfId="35810" xr:uid="{00000000-0005-0000-0000-00009E3E0000}"/>
    <cellStyle name="20% - Accent5 7 3 2 6" xfId="24509" xr:uid="{00000000-0005-0000-0000-00009F3E0000}"/>
    <cellStyle name="20% - Accent5 7 3 3" xfId="2553" xr:uid="{00000000-0005-0000-0000-0000A03E0000}"/>
    <cellStyle name="20% - Accent5 7 3 3 2" xfId="5572" xr:uid="{00000000-0005-0000-0000-0000A13E0000}"/>
    <cellStyle name="20% - Accent5 7 3 3 2 2" xfId="11222" xr:uid="{00000000-0005-0000-0000-0000A23E0000}"/>
    <cellStyle name="20% - Accent5 7 3 3 2 2 2" xfId="22523" xr:uid="{00000000-0005-0000-0000-0000A33E0000}"/>
    <cellStyle name="20% - Accent5 7 3 3 2 2 2 2" xfId="45125" xr:uid="{00000000-0005-0000-0000-0000A43E0000}"/>
    <cellStyle name="20% - Accent5 7 3 3 2 2 3" xfId="33824" xr:uid="{00000000-0005-0000-0000-0000A53E0000}"/>
    <cellStyle name="20% - Accent5 7 3 3 2 3" xfId="16873" xr:uid="{00000000-0005-0000-0000-0000A63E0000}"/>
    <cellStyle name="20% - Accent5 7 3 3 2 3 2" xfId="39475" xr:uid="{00000000-0005-0000-0000-0000A73E0000}"/>
    <cellStyle name="20% - Accent5 7 3 3 2 4" xfId="28174" xr:uid="{00000000-0005-0000-0000-0000A83E0000}"/>
    <cellStyle name="20% - Accent5 7 3 3 3" xfId="8389" xr:uid="{00000000-0005-0000-0000-0000A93E0000}"/>
    <cellStyle name="20% - Accent5 7 3 3 3 2" xfId="19690" xr:uid="{00000000-0005-0000-0000-0000AA3E0000}"/>
    <cellStyle name="20% - Accent5 7 3 3 3 2 2" xfId="42292" xr:uid="{00000000-0005-0000-0000-0000AB3E0000}"/>
    <cellStyle name="20% - Accent5 7 3 3 3 3" xfId="30991" xr:uid="{00000000-0005-0000-0000-0000AC3E0000}"/>
    <cellStyle name="20% - Accent5 7 3 3 4" xfId="14040" xr:uid="{00000000-0005-0000-0000-0000AD3E0000}"/>
    <cellStyle name="20% - Accent5 7 3 3 4 2" xfId="36642" xr:uid="{00000000-0005-0000-0000-0000AE3E0000}"/>
    <cellStyle name="20% - Accent5 7 3 3 5" xfId="25341" xr:uid="{00000000-0005-0000-0000-0000AF3E0000}"/>
    <cellStyle name="20% - Accent5 7 3 4" xfId="4338" xr:uid="{00000000-0005-0000-0000-0000B03E0000}"/>
    <cellStyle name="20% - Accent5 7 3 4 2" xfId="9988" xr:uid="{00000000-0005-0000-0000-0000B13E0000}"/>
    <cellStyle name="20% - Accent5 7 3 4 2 2" xfId="21289" xr:uid="{00000000-0005-0000-0000-0000B23E0000}"/>
    <cellStyle name="20% - Accent5 7 3 4 2 2 2" xfId="43891" xr:uid="{00000000-0005-0000-0000-0000B33E0000}"/>
    <cellStyle name="20% - Accent5 7 3 4 2 3" xfId="32590" xr:uid="{00000000-0005-0000-0000-0000B43E0000}"/>
    <cellStyle name="20% - Accent5 7 3 4 3" xfId="15639" xr:uid="{00000000-0005-0000-0000-0000B53E0000}"/>
    <cellStyle name="20% - Accent5 7 3 4 3 2" xfId="38241" xr:uid="{00000000-0005-0000-0000-0000B63E0000}"/>
    <cellStyle name="20% - Accent5 7 3 4 4" xfId="26940" xr:uid="{00000000-0005-0000-0000-0000B73E0000}"/>
    <cellStyle name="20% - Accent5 7 3 5" xfId="7135" xr:uid="{00000000-0005-0000-0000-0000B83E0000}"/>
    <cellStyle name="20% - Accent5 7 3 5 2" xfId="18436" xr:uid="{00000000-0005-0000-0000-0000B93E0000}"/>
    <cellStyle name="20% - Accent5 7 3 5 2 2" xfId="41038" xr:uid="{00000000-0005-0000-0000-0000BA3E0000}"/>
    <cellStyle name="20% - Accent5 7 3 5 3" xfId="29737" xr:uid="{00000000-0005-0000-0000-0000BB3E0000}"/>
    <cellStyle name="20% - Accent5 7 3 6" xfId="12786" xr:uid="{00000000-0005-0000-0000-0000BC3E0000}"/>
    <cellStyle name="20% - Accent5 7 3 6 2" xfId="35388" xr:uid="{00000000-0005-0000-0000-0000BD3E0000}"/>
    <cellStyle name="20% - Accent5 7 3 7" xfId="24087" xr:uid="{00000000-0005-0000-0000-0000BE3E0000}"/>
    <cellStyle name="20% - Accent5 7 4" xfId="847" xr:uid="{00000000-0005-0000-0000-0000BF3E0000}"/>
    <cellStyle name="20% - Accent5 7 4 2" xfId="2917" xr:uid="{00000000-0005-0000-0000-0000C03E0000}"/>
    <cellStyle name="20% - Accent5 7 4 2 2" xfId="5889" xr:uid="{00000000-0005-0000-0000-0000C13E0000}"/>
    <cellStyle name="20% - Accent5 7 4 2 2 2" xfId="11539" xr:uid="{00000000-0005-0000-0000-0000C23E0000}"/>
    <cellStyle name="20% - Accent5 7 4 2 2 2 2" xfId="22840" xr:uid="{00000000-0005-0000-0000-0000C33E0000}"/>
    <cellStyle name="20% - Accent5 7 4 2 2 2 2 2" xfId="45442" xr:uid="{00000000-0005-0000-0000-0000C43E0000}"/>
    <cellStyle name="20% - Accent5 7 4 2 2 2 3" xfId="34141" xr:uid="{00000000-0005-0000-0000-0000C53E0000}"/>
    <cellStyle name="20% - Accent5 7 4 2 2 3" xfId="17190" xr:uid="{00000000-0005-0000-0000-0000C63E0000}"/>
    <cellStyle name="20% - Accent5 7 4 2 2 3 2" xfId="39792" xr:uid="{00000000-0005-0000-0000-0000C73E0000}"/>
    <cellStyle name="20% - Accent5 7 4 2 2 4" xfId="28491" xr:uid="{00000000-0005-0000-0000-0000C83E0000}"/>
    <cellStyle name="20% - Accent5 7 4 2 3" xfId="8707" xr:uid="{00000000-0005-0000-0000-0000C93E0000}"/>
    <cellStyle name="20% - Accent5 7 4 2 3 2" xfId="20008" xr:uid="{00000000-0005-0000-0000-0000CA3E0000}"/>
    <cellStyle name="20% - Accent5 7 4 2 3 2 2" xfId="42610" xr:uid="{00000000-0005-0000-0000-0000CB3E0000}"/>
    <cellStyle name="20% - Accent5 7 4 2 3 3" xfId="31309" xr:uid="{00000000-0005-0000-0000-0000CC3E0000}"/>
    <cellStyle name="20% - Accent5 7 4 2 4" xfId="14358" xr:uid="{00000000-0005-0000-0000-0000CD3E0000}"/>
    <cellStyle name="20% - Accent5 7 4 2 4 2" xfId="36960" xr:uid="{00000000-0005-0000-0000-0000CE3E0000}"/>
    <cellStyle name="20% - Accent5 7 4 2 5" xfId="25659" xr:uid="{00000000-0005-0000-0000-0000CF3E0000}"/>
    <cellStyle name="20% - Accent5 7 4 3" xfId="4655" xr:uid="{00000000-0005-0000-0000-0000D03E0000}"/>
    <cellStyle name="20% - Accent5 7 4 3 2" xfId="10305" xr:uid="{00000000-0005-0000-0000-0000D13E0000}"/>
    <cellStyle name="20% - Accent5 7 4 3 2 2" xfId="21606" xr:uid="{00000000-0005-0000-0000-0000D23E0000}"/>
    <cellStyle name="20% - Accent5 7 4 3 2 2 2" xfId="44208" xr:uid="{00000000-0005-0000-0000-0000D33E0000}"/>
    <cellStyle name="20% - Accent5 7 4 3 2 3" xfId="32907" xr:uid="{00000000-0005-0000-0000-0000D43E0000}"/>
    <cellStyle name="20% - Accent5 7 4 3 3" xfId="15956" xr:uid="{00000000-0005-0000-0000-0000D53E0000}"/>
    <cellStyle name="20% - Accent5 7 4 3 3 2" xfId="38558" xr:uid="{00000000-0005-0000-0000-0000D63E0000}"/>
    <cellStyle name="20% - Accent5 7 4 3 4" xfId="27257" xr:uid="{00000000-0005-0000-0000-0000D73E0000}"/>
    <cellStyle name="20% - Accent5 7 4 4" xfId="6842" xr:uid="{00000000-0005-0000-0000-0000D83E0000}"/>
    <cellStyle name="20% - Accent5 7 4 4 2" xfId="18143" xr:uid="{00000000-0005-0000-0000-0000D93E0000}"/>
    <cellStyle name="20% - Accent5 7 4 4 2 2" xfId="40745" xr:uid="{00000000-0005-0000-0000-0000DA3E0000}"/>
    <cellStyle name="20% - Accent5 7 4 4 3" xfId="29444" xr:uid="{00000000-0005-0000-0000-0000DB3E0000}"/>
    <cellStyle name="20% - Accent5 7 4 5" xfId="12493" xr:uid="{00000000-0005-0000-0000-0000DC3E0000}"/>
    <cellStyle name="20% - Accent5 7 4 5 2" xfId="35095" xr:uid="{00000000-0005-0000-0000-0000DD3E0000}"/>
    <cellStyle name="20% - Accent5 7 4 6" xfId="23794" xr:uid="{00000000-0005-0000-0000-0000DE3E0000}"/>
    <cellStyle name="20% - Accent5 7 5" xfId="1698" xr:uid="{00000000-0005-0000-0000-0000DF3E0000}"/>
    <cellStyle name="20% - Accent5 7 5 2" xfId="3616" xr:uid="{00000000-0005-0000-0000-0000E03E0000}"/>
    <cellStyle name="20% - Accent5 7 5 2 2" xfId="9327" xr:uid="{00000000-0005-0000-0000-0000E13E0000}"/>
    <cellStyle name="20% - Accent5 7 5 2 2 2" xfId="20628" xr:uid="{00000000-0005-0000-0000-0000E23E0000}"/>
    <cellStyle name="20% - Accent5 7 5 2 2 2 2" xfId="43230" xr:uid="{00000000-0005-0000-0000-0000E33E0000}"/>
    <cellStyle name="20% - Accent5 7 5 2 2 3" xfId="31929" xr:uid="{00000000-0005-0000-0000-0000E43E0000}"/>
    <cellStyle name="20% - Accent5 7 5 2 3" xfId="14978" xr:uid="{00000000-0005-0000-0000-0000E53E0000}"/>
    <cellStyle name="20% - Accent5 7 5 2 3 2" xfId="37580" xr:uid="{00000000-0005-0000-0000-0000E63E0000}"/>
    <cellStyle name="20% - Accent5 7 5 2 4" xfId="26279" xr:uid="{00000000-0005-0000-0000-0000E73E0000}"/>
    <cellStyle name="20% - Accent5 7 5 3" xfId="5265" xr:uid="{00000000-0005-0000-0000-0000E83E0000}"/>
    <cellStyle name="20% - Accent5 7 5 3 2" xfId="10915" xr:uid="{00000000-0005-0000-0000-0000E93E0000}"/>
    <cellStyle name="20% - Accent5 7 5 3 2 2" xfId="22216" xr:uid="{00000000-0005-0000-0000-0000EA3E0000}"/>
    <cellStyle name="20% - Accent5 7 5 3 2 2 2" xfId="44818" xr:uid="{00000000-0005-0000-0000-0000EB3E0000}"/>
    <cellStyle name="20% - Accent5 7 5 3 2 3" xfId="33517" xr:uid="{00000000-0005-0000-0000-0000EC3E0000}"/>
    <cellStyle name="20% - Accent5 7 5 3 3" xfId="16566" xr:uid="{00000000-0005-0000-0000-0000ED3E0000}"/>
    <cellStyle name="20% - Accent5 7 5 3 3 2" xfId="39168" xr:uid="{00000000-0005-0000-0000-0000EE3E0000}"/>
    <cellStyle name="20% - Accent5 7 5 3 4" xfId="27867" xr:uid="{00000000-0005-0000-0000-0000EF3E0000}"/>
    <cellStyle name="20% - Accent5 7 5 4" xfId="7554" xr:uid="{00000000-0005-0000-0000-0000F03E0000}"/>
    <cellStyle name="20% - Accent5 7 5 4 2" xfId="18855" xr:uid="{00000000-0005-0000-0000-0000F13E0000}"/>
    <cellStyle name="20% - Accent5 7 5 4 2 2" xfId="41457" xr:uid="{00000000-0005-0000-0000-0000F23E0000}"/>
    <cellStyle name="20% - Accent5 7 5 4 3" xfId="30156" xr:uid="{00000000-0005-0000-0000-0000F33E0000}"/>
    <cellStyle name="20% - Accent5 7 5 5" xfId="13205" xr:uid="{00000000-0005-0000-0000-0000F43E0000}"/>
    <cellStyle name="20% - Accent5 7 5 5 2" xfId="35807" xr:uid="{00000000-0005-0000-0000-0000F53E0000}"/>
    <cellStyle name="20% - Accent5 7 5 6" xfId="24506" xr:uid="{00000000-0005-0000-0000-0000F63E0000}"/>
    <cellStyle name="20% - Accent5 7 6" xfId="2244" xr:uid="{00000000-0005-0000-0000-0000F73E0000}"/>
    <cellStyle name="20% - Accent5 7 6 2" xfId="8080" xr:uid="{00000000-0005-0000-0000-0000F83E0000}"/>
    <cellStyle name="20% - Accent5 7 6 2 2" xfId="19381" xr:uid="{00000000-0005-0000-0000-0000F93E0000}"/>
    <cellStyle name="20% - Accent5 7 6 2 2 2" xfId="41983" xr:uid="{00000000-0005-0000-0000-0000FA3E0000}"/>
    <cellStyle name="20% - Accent5 7 6 2 3" xfId="30682" xr:uid="{00000000-0005-0000-0000-0000FB3E0000}"/>
    <cellStyle name="20% - Accent5 7 6 3" xfId="13731" xr:uid="{00000000-0005-0000-0000-0000FC3E0000}"/>
    <cellStyle name="20% - Accent5 7 6 3 2" xfId="36333" xr:uid="{00000000-0005-0000-0000-0000FD3E0000}"/>
    <cellStyle name="20% - Accent5 7 6 4" xfId="25032" xr:uid="{00000000-0005-0000-0000-0000FE3E0000}"/>
    <cellStyle name="20% - Accent5 7 7" xfId="4031" xr:uid="{00000000-0005-0000-0000-0000FF3E0000}"/>
    <cellStyle name="20% - Accent5 7 7 2" xfId="9681" xr:uid="{00000000-0005-0000-0000-0000003F0000}"/>
    <cellStyle name="20% - Accent5 7 7 2 2" xfId="20982" xr:uid="{00000000-0005-0000-0000-0000013F0000}"/>
    <cellStyle name="20% - Accent5 7 7 2 2 2" xfId="43584" xr:uid="{00000000-0005-0000-0000-0000023F0000}"/>
    <cellStyle name="20% - Accent5 7 7 2 3" xfId="32283" xr:uid="{00000000-0005-0000-0000-0000033F0000}"/>
    <cellStyle name="20% - Accent5 7 7 3" xfId="15332" xr:uid="{00000000-0005-0000-0000-0000043F0000}"/>
    <cellStyle name="20% - Accent5 7 7 3 2" xfId="37934" xr:uid="{00000000-0005-0000-0000-0000053F0000}"/>
    <cellStyle name="20% - Accent5 7 7 4" xfId="26633" xr:uid="{00000000-0005-0000-0000-0000063F0000}"/>
    <cellStyle name="20% - Accent5 7 8" xfId="6482" xr:uid="{00000000-0005-0000-0000-0000073F0000}"/>
    <cellStyle name="20% - Accent5 7 8 2" xfId="17783" xr:uid="{00000000-0005-0000-0000-0000083F0000}"/>
    <cellStyle name="20% - Accent5 7 8 2 2" xfId="40385" xr:uid="{00000000-0005-0000-0000-0000093F0000}"/>
    <cellStyle name="20% - Accent5 7 8 3" xfId="29084" xr:uid="{00000000-0005-0000-0000-00000A3F0000}"/>
    <cellStyle name="20% - Accent5 7 9" xfId="12133" xr:uid="{00000000-0005-0000-0000-00000B3F0000}"/>
    <cellStyle name="20% - Accent5 7 9 2" xfId="34735" xr:uid="{00000000-0005-0000-0000-00000C3F0000}"/>
    <cellStyle name="20% - Accent5 8" xfId="442" xr:uid="{00000000-0005-0000-0000-00000D3F0000}"/>
    <cellStyle name="20% - Accent5 8 2" xfId="1213" xr:uid="{00000000-0005-0000-0000-00000E3F0000}"/>
    <cellStyle name="20% - Accent5 8 2 2" xfId="1703" xr:uid="{00000000-0005-0000-0000-00000F3F0000}"/>
    <cellStyle name="20% - Accent5 8 2 2 2" xfId="3282" xr:uid="{00000000-0005-0000-0000-0000103F0000}"/>
    <cellStyle name="20% - Accent5 8 2 2 2 2" xfId="6254" xr:uid="{00000000-0005-0000-0000-0000113F0000}"/>
    <cellStyle name="20% - Accent5 8 2 2 2 2 2" xfId="11904" xr:uid="{00000000-0005-0000-0000-0000123F0000}"/>
    <cellStyle name="20% - Accent5 8 2 2 2 2 2 2" xfId="23205" xr:uid="{00000000-0005-0000-0000-0000133F0000}"/>
    <cellStyle name="20% - Accent5 8 2 2 2 2 2 2 2" xfId="45807" xr:uid="{00000000-0005-0000-0000-0000143F0000}"/>
    <cellStyle name="20% - Accent5 8 2 2 2 2 2 3" xfId="34506" xr:uid="{00000000-0005-0000-0000-0000153F0000}"/>
    <cellStyle name="20% - Accent5 8 2 2 2 2 3" xfId="17555" xr:uid="{00000000-0005-0000-0000-0000163F0000}"/>
    <cellStyle name="20% - Accent5 8 2 2 2 2 3 2" xfId="40157" xr:uid="{00000000-0005-0000-0000-0000173F0000}"/>
    <cellStyle name="20% - Accent5 8 2 2 2 2 4" xfId="28856" xr:uid="{00000000-0005-0000-0000-0000183F0000}"/>
    <cellStyle name="20% - Accent5 8 2 2 2 3" xfId="9072" xr:uid="{00000000-0005-0000-0000-0000193F0000}"/>
    <cellStyle name="20% - Accent5 8 2 2 2 3 2" xfId="20373" xr:uid="{00000000-0005-0000-0000-00001A3F0000}"/>
    <cellStyle name="20% - Accent5 8 2 2 2 3 2 2" xfId="42975" xr:uid="{00000000-0005-0000-0000-00001B3F0000}"/>
    <cellStyle name="20% - Accent5 8 2 2 2 3 3" xfId="31674" xr:uid="{00000000-0005-0000-0000-00001C3F0000}"/>
    <cellStyle name="20% - Accent5 8 2 2 2 4" xfId="14723" xr:uid="{00000000-0005-0000-0000-00001D3F0000}"/>
    <cellStyle name="20% - Accent5 8 2 2 2 4 2" xfId="37325" xr:uid="{00000000-0005-0000-0000-00001E3F0000}"/>
    <cellStyle name="20% - Accent5 8 2 2 2 5" xfId="26024" xr:uid="{00000000-0005-0000-0000-00001F3F0000}"/>
    <cellStyle name="20% - Accent5 8 2 2 3" xfId="5020" xr:uid="{00000000-0005-0000-0000-0000203F0000}"/>
    <cellStyle name="20% - Accent5 8 2 2 3 2" xfId="10670" xr:uid="{00000000-0005-0000-0000-0000213F0000}"/>
    <cellStyle name="20% - Accent5 8 2 2 3 2 2" xfId="21971" xr:uid="{00000000-0005-0000-0000-0000223F0000}"/>
    <cellStyle name="20% - Accent5 8 2 2 3 2 2 2" xfId="44573" xr:uid="{00000000-0005-0000-0000-0000233F0000}"/>
    <cellStyle name="20% - Accent5 8 2 2 3 2 3" xfId="33272" xr:uid="{00000000-0005-0000-0000-0000243F0000}"/>
    <cellStyle name="20% - Accent5 8 2 2 3 3" xfId="16321" xr:uid="{00000000-0005-0000-0000-0000253F0000}"/>
    <cellStyle name="20% - Accent5 8 2 2 3 3 2" xfId="38923" xr:uid="{00000000-0005-0000-0000-0000263F0000}"/>
    <cellStyle name="20% - Accent5 8 2 2 3 4" xfId="27622" xr:uid="{00000000-0005-0000-0000-0000273F0000}"/>
    <cellStyle name="20% - Accent5 8 2 2 4" xfId="7559" xr:uid="{00000000-0005-0000-0000-0000283F0000}"/>
    <cellStyle name="20% - Accent5 8 2 2 4 2" xfId="18860" xr:uid="{00000000-0005-0000-0000-0000293F0000}"/>
    <cellStyle name="20% - Accent5 8 2 2 4 2 2" xfId="41462" xr:uid="{00000000-0005-0000-0000-00002A3F0000}"/>
    <cellStyle name="20% - Accent5 8 2 2 4 3" xfId="30161" xr:uid="{00000000-0005-0000-0000-00002B3F0000}"/>
    <cellStyle name="20% - Accent5 8 2 2 5" xfId="13210" xr:uid="{00000000-0005-0000-0000-00002C3F0000}"/>
    <cellStyle name="20% - Accent5 8 2 2 5 2" xfId="35812" xr:uid="{00000000-0005-0000-0000-00002D3F0000}"/>
    <cellStyle name="20% - Accent5 8 2 2 6" xfId="24511" xr:uid="{00000000-0005-0000-0000-00002E3F0000}"/>
    <cellStyle name="20% - Accent5 8 2 3" xfId="2611" xr:uid="{00000000-0005-0000-0000-00002F3F0000}"/>
    <cellStyle name="20% - Accent5 8 2 3 2" xfId="5630" xr:uid="{00000000-0005-0000-0000-0000303F0000}"/>
    <cellStyle name="20% - Accent5 8 2 3 2 2" xfId="11280" xr:uid="{00000000-0005-0000-0000-0000313F0000}"/>
    <cellStyle name="20% - Accent5 8 2 3 2 2 2" xfId="22581" xr:uid="{00000000-0005-0000-0000-0000323F0000}"/>
    <cellStyle name="20% - Accent5 8 2 3 2 2 2 2" xfId="45183" xr:uid="{00000000-0005-0000-0000-0000333F0000}"/>
    <cellStyle name="20% - Accent5 8 2 3 2 2 3" xfId="33882" xr:uid="{00000000-0005-0000-0000-0000343F0000}"/>
    <cellStyle name="20% - Accent5 8 2 3 2 3" xfId="16931" xr:uid="{00000000-0005-0000-0000-0000353F0000}"/>
    <cellStyle name="20% - Accent5 8 2 3 2 3 2" xfId="39533" xr:uid="{00000000-0005-0000-0000-0000363F0000}"/>
    <cellStyle name="20% - Accent5 8 2 3 2 4" xfId="28232" xr:uid="{00000000-0005-0000-0000-0000373F0000}"/>
    <cellStyle name="20% - Accent5 8 2 3 3" xfId="8447" xr:uid="{00000000-0005-0000-0000-0000383F0000}"/>
    <cellStyle name="20% - Accent5 8 2 3 3 2" xfId="19748" xr:uid="{00000000-0005-0000-0000-0000393F0000}"/>
    <cellStyle name="20% - Accent5 8 2 3 3 2 2" xfId="42350" xr:uid="{00000000-0005-0000-0000-00003A3F0000}"/>
    <cellStyle name="20% - Accent5 8 2 3 3 3" xfId="31049" xr:uid="{00000000-0005-0000-0000-00003B3F0000}"/>
    <cellStyle name="20% - Accent5 8 2 3 4" xfId="14098" xr:uid="{00000000-0005-0000-0000-00003C3F0000}"/>
    <cellStyle name="20% - Accent5 8 2 3 4 2" xfId="36700" xr:uid="{00000000-0005-0000-0000-00003D3F0000}"/>
    <cellStyle name="20% - Accent5 8 2 3 5" xfId="25399" xr:uid="{00000000-0005-0000-0000-00003E3F0000}"/>
    <cellStyle name="20% - Accent5 8 2 4" xfId="4396" xr:uid="{00000000-0005-0000-0000-00003F3F0000}"/>
    <cellStyle name="20% - Accent5 8 2 4 2" xfId="10046" xr:uid="{00000000-0005-0000-0000-0000403F0000}"/>
    <cellStyle name="20% - Accent5 8 2 4 2 2" xfId="21347" xr:uid="{00000000-0005-0000-0000-0000413F0000}"/>
    <cellStyle name="20% - Accent5 8 2 4 2 2 2" xfId="43949" xr:uid="{00000000-0005-0000-0000-0000423F0000}"/>
    <cellStyle name="20% - Accent5 8 2 4 2 3" xfId="32648" xr:uid="{00000000-0005-0000-0000-0000433F0000}"/>
    <cellStyle name="20% - Accent5 8 2 4 3" xfId="15697" xr:uid="{00000000-0005-0000-0000-0000443F0000}"/>
    <cellStyle name="20% - Accent5 8 2 4 3 2" xfId="38299" xr:uid="{00000000-0005-0000-0000-0000453F0000}"/>
    <cellStyle name="20% - Accent5 8 2 4 4" xfId="26998" xr:uid="{00000000-0005-0000-0000-0000463F0000}"/>
    <cellStyle name="20% - Accent5 8 2 5" xfId="7192" xr:uid="{00000000-0005-0000-0000-0000473F0000}"/>
    <cellStyle name="20% - Accent5 8 2 5 2" xfId="18493" xr:uid="{00000000-0005-0000-0000-0000483F0000}"/>
    <cellStyle name="20% - Accent5 8 2 5 2 2" xfId="41095" xr:uid="{00000000-0005-0000-0000-0000493F0000}"/>
    <cellStyle name="20% - Accent5 8 2 5 3" xfId="29794" xr:uid="{00000000-0005-0000-0000-00004A3F0000}"/>
    <cellStyle name="20% - Accent5 8 2 6" xfId="12843" xr:uid="{00000000-0005-0000-0000-00004B3F0000}"/>
    <cellStyle name="20% - Accent5 8 2 6 2" xfId="35445" xr:uid="{00000000-0005-0000-0000-00004C3F0000}"/>
    <cellStyle name="20% - Accent5 8 2 7" xfId="24144" xr:uid="{00000000-0005-0000-0000-00004D3F0000}"/>
    <cellStyle name="20% - Accent5 8 3" xfId="910" xr:uid="{00000000-0005-0000-0000-00004E3F0000}"/>
    <cellStyle name="20% - Accent5 8 3 2" xfId="2974" xr:uid="{00000000-0005-0000-0000-00004F3F0000}"/>
    <cellStyle name="20% - Accent5 8 3 2 2" xfId="5946" xr:uid="{00000000-0005-0000-0000-0000503F0000}"/>
    <cellStyle name="20% - Accent5 8 3 2 2 2" xfId="11596" xr:uid="{00000000-0005-0000-0000-0000513F0000}"/>
    <cellStyle name="20% - Accent5 8 3 2 2 2 2" xfId="22897" xr:uid="{00000000-0005-0000-0000-0000523F0000}"/>
    <cellStyle name="20% - Accent5 8 3 2 2 2 2 2" xfId="45499" xr:uid="{00000000-0005-0000-0000-0000533F0000}"/>
    <cellStyle name="20% - Accent5 8 3 2 2 2 3" xfId="34198" xr:uid="{00000000-0005-0000-0000-0000543F0000}"/>
    <cellStyle name="20% - Accent5 8 3 2 2 3" xfId="17247" xr:uid="{00000000-0005-0000-0000-0000553F0000}"/>
    <cellStyle name="20% - Accent5 8 3 2 2 3 2" xfId="39849" xr:uid="{00000000-0005-0000-0000-0000563F0000}"/>
    <cellStyle name="20% - Accent5 8 3 2 2 4" xfId="28548" xr:uid="{00000000-0005-0000-0000-0000573F0000}"/>
    <cellStyle name="20% - Accent5 8 3 2 3" xfId="8764" xr:uid="{00000000-0005-0000-0000-0000583F0000}"/>
    <cellStyle name="20% - Accent5 8 3 2 3 2" xfId="20065" xr:uid="{00000000-0005-0000-0000-0000593F0000}"/>
    <cellStyle name="20% - Accent5 8 3 2 3 2 2" xfId="42667" xr:uid="{00000000-0005-0000-0000-00005A3F0000}"/>
    <cellStyle name="20% - Accent5 8 3 2 3 3" xfId="31366" xr:uid="{00000000-0005-0000-0000-00005B3F0000}"/>
    <cellStyle name="20% - Accent5 8 3 2 4" xfId="14415" xr:uid="{00000000-0005-0000-0000-00005C3F0000}"/>
    <cellStyle name="20% - Accent5 8 3 2 4 2" xfId="37017" xr:uid="{00000000-0005-0000-0000-00005D3F0000}"/>
    <cellStyle name="20% - Accent5 8 3 2 5" xfId="25716" xr:uid="{00000000-0005-0000-0000-00005E3F0000}"/>
    <cellStyle name="20% - Accent5 8 3 3" xfId="4712" xr:uid="{00000000-0005-0000-0000-00005F3F0000}"/>
    <cellStyle name="20% - Accent5 8 3 3 2" xfId="10362" xr:uid="{00000000-0005-0000-0000-0000603F0000}"/>
    <cellStyle name="20% - Accent5 8 3 3 2 2" xfId="21663" xr:uid="{00000000-0005-0000-0000-0000613F0000}"/>
    <cellStyle name="20% - Accent5 8 3 3 2 2 2" xfId="44265" xr:uid="{00000000-0005-0000-0000-0000623F0000}"/>
    <cellStyle name="20% - Accent5 8 3 3 2 3" xfId="32964" xr:uid="{00000000-0005-0000-0000-0000633F0000}"/>
    <cellStyle name="20% - Accent5 8 3 3 3" xfId="16013" xr:uid="{00000000-0005-0000-0000-0000643F0000}"/>
    <cellStyle name="20% - Accent5 8 3 3 3 2" xfId="38615" xr:uid="{00000000-0005-0000-0000-0000653F0000}"/>
    <cellStyle name="20% - Accent5 8 3 3 4" xfId="27314" xr:uid="{00000000-0005-0000-0000-0000663F0000}"/>
    <cellStyle name="20% - Accent5 8 3 4" xfId="6899" xr:uid="{00000000-0005-0000-0000-0000673F0000}"/>
    <cellStyle name="20% - Accent5 8 3 4 2" xfId="18200" xr:uid="{00000000-0005-0000-0000-0000683F0000}"/>
    <cellStyle name="20% - Accent5 8 3 4 2 2" xfId="40802" xr:uid="{00000000-0005-0000-0000-0000693F0000}"/>
    <cellStyle name="20% - Accent5 8 3 4 3" xfId="29501" xr:uid="{00000000-0005-0000-0000-00006A3F0000}"/>
    <cellStyle name="20% - Accent5 8 3 5" xfId="12550" xr:uid="{00000000-0005-0000-0000-00006B3F0000}"/>
    <cellStyle name="20% - Accent5 8 3 5 2" xfId="35152" xr:uid="{00000000-0005-0000-0000-00006C3F0000}"/>
    <cellStyle name="20% - Accent5 8 3 6" xfId="23851" xr:uid="{00000000-0005-0000-0000-00006D3F0000}"/>
    <cellStyle name="20% - Accent5 8 4" xfId="1702" xr:uid="{00000000-0005-0000-0000-00006E3F0000}"/>
    <cellStyle name="20% - Accent5 8 4 2" xfId="3619" xr:uid="{00000000-0005-0000-0000-00006F3F0000}"/>
    <cellStyle name="20% - Accent5 8 4 2 2" xfId="9330" xr:uid="{00000000-0005-0000-0000-0000703F0000}"/>
    <cellStyle name="20% - Accent5 8 4 2 2 2" xfId="20631" xr:uid="{00000000-0005-0000-0000-0000713F0000}"/>
    <cellStyle name="20% - Accent5 8 4 2 2 2 2" xfId="43233" xr:uid="{00000000-0005-0000-0000-0000723F0000}"/>
    <cellStyle name="20% - Accent5 8 4 2 2 3" xfId="31932" xr:uid="{00000000-0005-0000-0000-0000733F0000}"/>
    <cellStyle name="20% - Accent5 8 4 2 3" xfId="14981" xr:uid="{00000000-0005-0000-0000-0000743F0000}"/>
    <cellStyle name="20% - Accent5 8 4 2 3 2" xfId="37583" xr:uid="{00000000-0005-0000-0000-0000753F0000}"/>
    <cellStyle name="20% - Accent5 8 4 2 4" xfId="26282" xr:uid="{00000000-0005-0000-0000-0000763F0000}"/>
    <cellStyle name="20% - Accent5 8 4 3" xfId="5322" xr:uid="{00000000-0005-0000-0000-0000773F0000}"/>
    <cellStyle name="20% - Accent5 8 4 3 2" xfId="10972" xr:uid="{00000000-0005-0000-0000-0000783F0000}"/>
    <cellStyle name="20% - Accent5 8 4 3 2 2" xfId="22273" xr:uid="{00000000-0005-0000-0000-0000793F0000}"/>
    <cellStyle name="20% - Accent5 8 4 3 2 2 2" xfId="44875" xr:uid="{00000000-0005-0000-0000-00007A3F0000}"/>
    <cellStyle name="20% - Accent5 8 4 3 2 3" xfId="33574" xr:uid="{00000000-0005-0000-0000-00007B3F0000}"/>
    <cellStyle name="20% - Accent5 8 4 3 3" xfId="16623" xr:uid="{00000000-0005-0000-0000-00007C3F0000}"/>
    <cellStyle name="20% - Accent5 8 4 3 3 2" xfId="39225" xr:uid="{00000000-0005-0000-0000-00007D3F0000}"/>
    <cellStyle name="20% - Accent5 8 4 3 4" xfId="27924" xr:uid="{00000000-0005-0000-0000-00007E3F0000}"/>
    <cellStyle name="20% - Accent5 8 4 4" xfId="7558" xr:uid="{00000000-0005-0000-0000-00007F3F0000}"/>
    <cellStyle name="20% - Accent5 8 4 4 2" xfId="18859" xr:uid="{00000000-0005-0000-0000-0000803F0000}"/>
    <cellStyle name="20% - Accent5 8 4 4 2 2" xfId="41461" xr:uid="{00000000-0005-0000-0000-0000813F0000}"/>
    <cellStyle name="20% - Accent5 8 4 4 3" xfId="30160" xr:uid="{00000000-0005-0000-0000-0000823F0000}"/>
    <cellStyle name="20% - Accent5 8 4 5" xfId="13209" xr:uid="{00000000-0005-0000-0000-0000833F0000}"/>
    <cellStyle name="20% - Accent5 8 4 5 2" xfId="35811" xr:uid="{00000000-0005-0000-0000-0000843F0000}"/>
    <cellStyle name="20% - Accent5 8 4 6" xfId="24510" xr:uid="{00000000-0005-0000-0000-0000853F0000}"/>
    <cellStyle name="20% - Accent5 8 5" xfId="2303" xr:uid="{00000000-0005-0000-0000-0000863F0000}"/>
    <cellStyle name="20% - Accent5 8 5 2" xfId="8139" xr:uid="{00000000-0005-0000-0000-0000873F0000}"/>
    <cellStyle name="20% - Accent5 8 5 2 2" xfId="19440" xr:uid="{00000000-0005-0000-0000-0000883F0000}"/>
    <cellStyle name="20% - Accent5 8 5 2 2 2" xfId="42042" xr:uid="{00000000-0005-0000-0000-0000893F0000}"/>
    <cellStyle name="20% - Accent5 8 5 2 3" xfId="30741" xr:uid="{00000000-0005-0000-0000-00008A3F0000}"/>
    <cellStyle name="20% - Accent5 8 5 3" xfId="13790" xr:uid="{00000000-0005-0000-0000-00008B3F0000}"/>
    <cellStyle name="20% - Accent5 8 5 3 2" xfId="36392" xr:uid="{00000000-0005-0000-0000-00008C3F0000}"/>
    <cellStyle name="20% - Accent5 8 5 4" xfId="25091" xr:uid="{00000000-0005-0000-0000-00008D3F0000}"/>
    <cellStyle name="20% - Accent5 8 6" xfId="4088" xr:uid="{00000000-0005-0000-0000-00008E3F0000}"/>
    <cellStyle name="20% - Accent5 8 6 2" xfId="9738" xr:uid="{00000000-0005-0000-0000-00008F3F0000}"/>
    <cellStyle name="20% - Accent5 8 6 2 2" xfId="21039" xr:uid="{00000000-0005-0000-0000-0000903F0000}"/>
    <cellStyle name="20% - Accent5 8 6 2 2 2" xfId="43641" xr:uid="{00000000-0005-0000-0000-0000913F0000}"/>
    <cellStyle name="20% - Accent5 8 6 2 3" xfId="32340" xr:uid="{00000000-0005-0000-0000-0000923F0000}"/>
    <cellStyle name="20% - Accent5 8 6 3" xfId="15389" xr:uid="{00000000-0005-0000-0000-0000933F0000}"/>
    <cellStyle name="20% - Accent5 8 6 3 2" xfId="37991" xr:uid="{00000000-0005-0000-0000-0000943F0000}"/>
    <cellStyle name="20% - Accent5 8 6 4" xfId="26690" xr:uid="{00000000-0005-0000-0000-0000953F0000}"/>
    <cellStyle name="20% - Accent5 8 7" xfId="6539" xr:uid="{00000000-0005-0000-0000-0000963F0000}"/>
    <cellStyle name="20% - Accent5 8 7 2" xfId="17840" xr:uid="{00000000-0005-0000-0000-0000973F0000}"/>
    <cellStyle name="20% - Accent5 8 7 2 2" xfId="40442" xr:uid="{00000000-0005-0000-0000-0000983F0000}"/>
    <cellStyle name="20% - Accent5 8 7 3" xfId="29141" xr:uid="{00000000-0005-0000-0000-0000993F0000}"/>
    <cellStyle name="20% - Accent5 8 8" xfId="12190" xr:uid="{00000000-0005-0000-0000-00009A3F0000}"/>
    <cellStyle name="20% - Accent5 8 8 2" xfId="34792" xr:uid="{00000000-0005-0000-0000-00009B3F0000}"/>
    <cellStyle name="20% - Accent5 8 9" xfId="23491" xr:uid="{00000000-0005-0000-0000-00009C3F0000}"/>
    <cellStyle name="20% - Accent5 9" xfId="644" xr:uid="{00000000-0005-0000-0000-00009D3F0000}"/>
    <cellStyle name="20% - Accent5 9 2" xfId="707" xr:uid="{00000000-0005-0000-0000-00009E3F0000}"/>
    <cellStyle name="20% - Accent5 9 2 2" xfId="3114" xr:uid="{00000000-0005-0000-0000-00009F3F0000}"/>
    <cellStyle name="20% - Accent5 9 2 2 2" xfId="6086" xr:uid="{00000000-0005-0000-0000-0000A03F0000}"/>
    <cellStyle name="20% - Accent5 9 2 2 2 2" xfId="11736" xr:uid="{00000000-0005-0000-0000-0000A13F0000}"/>
    <cellStyle name="20% - Accent5 9 2 2 2 2 2" xfId="23037" xr:uid="{00000000-0005-0000-0000-0000A23F0000}"/>
    <cellStyle name="20% - Accent5 9 2 2 2 2 2 2" xfId="45639" xr:uid="{00000000-0005-0000-0000-0000A33F0000}"/>
    <cellStyle name="20% - Accent5 9 2 2 2 2 3" xfId="34338" xr:uid="{00000000-0005-0000-0000-0000A43F0000}"/>
    <cellStyle name="20% - Accent5 9 2 2 2 3" xfId="17387" xr:uid="{00000000-0005-0000-0000-0000A53F0000}"/>
    <cellStyle name="20% - Accent5 9 2 2 2 3 2" xfId="39989" xr:uid="{00000000-0005-0000-0000-0000A63F0000}"/>
    <cellStyle name="20% - Accent5 9 2 2 2 4" xfId="28688" xr:uid="{00000000-0005-0000-0000-0000A73F0000}"/>
    <cellStyle name="20% - Accent5 9 2 2 3" xfId="8904" xr:uid="{00000000-0005-0000-0000-0000A83F0000}"/>
    <cellStyle name="20% - Accent5 9 2 2 3 2" xfId="20205" xr:uid="{00000000-0005-0000-0000-0000A93F0000}"/>
    <cellStyle name="20% - Accent5 9 2 2 3 2 2" xfId="42807" xr:uid="{00000000-0005-0000-0000-0000AA3F0000}"/>
    <cellStyle name="20% - Accent5 9 2 2 3 3" xfId="31506" xr:uid="{00000000-0005-0000-0000-0000AB3F0000}"/>
    <cellStyle name="20% - Accent5 9 2 2 4" xfId="14555" xr:uid="{00000000-0005-0000-0000-0000AC3F0000}"/>
    <cellStyle name="20% - Accent5 9 2 2 4 2" xfId="37157" xr:uid="{00000000-0005-0000-0000-0000AD3F0000}"/>
    <cellStyle name="20% - Accent5 9 2 2 5" xfId="25856" xr:uid="{00000000-0005-0000-0000-0000AE3F0000}"/>
    <cellStyle name="20% - Accent5 9 2 3" xfId="4852" xr:uid="{00000000-0005-0000-0000-0000AF3F0000}"/>
    <cellStyle name="20% - Accent5 9 2 3 2" xfId="10502" xr:uid="{00000000-0005-0000-0000-0000B03F0000}"/>
    <cellStyle name="20% - Accent5 9 2 3 2 2" xfId="21803" xr:uid="{00000000-0005-0000-0000-0000B13F0000}"/>
    <cellStyle name="20% - Accent5 9 2 3 2 2 2" xfId="44405" xr:uid="{00000000-0005-0000-0000-0000B23F0000}"/>
    <cellStyle name="20% - Accent5 9 2 3 2 3" xfId="33104" xr:uid="{00000000-0005-0000-0000-0000B33F0000}"/>
    <cellStyle name="20% - Accent5 9 2 3 3" xfId="16153" xr:uid="{00000000-0005-0000-0000-0000B43F0000}"/>
    <cellStyle name="20% - Accent5 9 2 3 3 2" xfId="38755" xr:uid="{00000000-0005-0000-0000-0000B53F0000}"/>
    <cellStyle name="20% - Accent5 9 2 3 4" xfId="27454" xr:uid="{00000000-0005-0000-0000-0000B63F0000}"/>
    <cellStyle name="20% - Accent5 9 2 4" xfId="6728" xr:uid="{00000000-0005-0000-0000-0000B73F0000}"/>
    <cellStyle name="20% - Accent5 9 2 4 2" xfId="18029" xr:uid="{00000000-0005-0000-0000-0000B83F0000}"/>
    <cellStyle name="20% - Accent5 9 2 4 2 2" xfId="40631" xr:uid="{00000000-0005-0000-0000-0000B93F0000}"/>
    <cellStyle name="20% - Accent5 9 2 4 3" xfId="29330" xr:uid="{00000000-0005-0000-0000-0000BA3F0000}"/>
    <cellStyle name="20% - Accent5 9 2 5" xfId="12379" xr:uid="{00000000-0005-0000-0000-0000BB3F0000}"/>
    <cellStyle name="20% - Accent5 9 2 5 2" xfId="34981" xr:uid="{00000000-0005-0000-0000-0000BC3F0000}"/>
    <cellStyle name="20% - Accent5 9 2 6" xfId="23680" xr:uid="{00000000-0005-0000-0000-0000BD3F0000}"/>
    <cellStyle name="20% - Accent5 9 3" xfId="1704" xr:uid="{00000000-0005-0000-0000-0000BE3F0000}"/>
    <cellStyle name="20% - Accent5 9 3 2" xfId="3620" xr:uid="{00000000-0005-0000-0000-0000BF3F0000}"/>
    <cellStyle name="20% - Accent5 9 3 2 2" xfId="9331" xr:uid="{00000000-0005-0000-0000-0000C03F0000}"/>
    <cellStyle name="20% - Accent5 9 3 2 2 2" xfId="20632" xr:uid="{00000000-0005-0000-0000-0000C13F0000}"/>
    <cellStyle name="20% - Accent5 9 3 2 2 2 2" xfId="43234" xr:uid="{00000000-0005-0000-0000-0000C23F0000}"/>
    <cellStyle name="20% - Accent5 9 3 2 2 3" xfId="31933" xr:uid="{00000000-0005-0000-0000-0000C33F0000}"/>
    <cellStyle name="20% - Accent5 9 3 2 3" xfId="14982" xr:uid="{00000000-0005-0000-0000-0000C43F0000}"/>
    <cellStyle name="20% - Accent5 9 3 2 3 2" xfId="37584" xr:uid="{00000000-0005-0000-0000-0000C53F0000}"/>
    <cellStyle name="20% - Accent5 9 3 2 4" xfId="26283" xr:uid="{00000000-0005-0000-0000-0000C63F0000}"/>
    <cellStyle name="20% - Accent5 9 3 3" xfId="5462" xr:uid="{00000000-0005-0000-0000-0000C73F0000}"/>
    <cellStyle name="20% - Accent5 9 3 3 2" xfId="11112" xr:uid="{00000000-0005-0000-0000-0000C83F0000}"/>
    <cellStyle name="20% - Accent5 9 3 3 2 2" xfId="22413" xr:uid="{00000000-0005-0000-0000-0000C93F0000}"/>
    <cellStyle name="20% - Accent5 9 3 3 2 2 2" xfId="45015" xr:uid="{00000000-0005-0000-0000-0000CA3F0000}"/>
    <cellStyle name="20% - Accent5 9 3 3 2 3" xfId="33714" xr:uid="{00000000-0005-0000-0000-0000CB3F0000}"/>
    <cellStyle name="20% - Accent5 9 3 3 3" xfId="16763" xr:uid="{00000000-0005-0000-0000-0000CC3F0000}"/>
    <cellStyle name="20% - Accent5 9 3 3 3 2" xfId="39365" xr:uid="{00000000-0005-0000-0000-0000CD3F0000}"/>
    <cellStyle name="20% - Accent5 9 3 3 4" xfId="28064" xr:uid="{00000000-0005-0000-0000-0000CE3F0000}"/>
    <cellStyle name="20% - Accent5 9 3 4" xfId="7560" xr:uid="{00000000-0005-0000-0000-0000CF3F0000}"/>
    <cellStyle name="20% - Accent5 9 3 4 2" xfId="18861" xr:uid="{00000000-0005-0000-0000-0000D03F0000}"/>
    <cellStyle name="20% - Accent5 9 3 4 2 2" xfId="41463" xr:uid="{00000000-0005-0000-0000-0000D13F0000}"/>
    <cellStyle name="20% - Accent5 9 3 4 3" xfId="30162" xr:uid="{00000000-0005-0000-0000-0000D23F0000}"/>
    <cellStyle name="20% - Accent5 9 3 5" xfId="13211" xr:uid="{00000000-0005-0000-0000-0000D33F0000}"/>
    <cellStyle name="20% - Accent5 9 3 5 2" xfId="35813" xr:uid="{00000000-0005-0000-0000-0000D43F0000}"/>
    <cellStyle name="20% - Accent5 9 3 6" xfId="24512" xr:uid="{00000000-0005-0000-0000-0000D53F0000}"/>
    <cellStyle name="20% - Accent5 9 4" xfId="2443" xr:uid="{00000000-0005-0000-0000-0000D63F0000}"/>
    <cellStyle name="20% - Accent5 9 4 2" xfId="8279" xr:uid="{00000000-0005-0000-0000-0000D73F0000}"/>
    <cellStyle name="20% - Accent5 9 4 2 2" xfId="19580" xr:uid="{00000000-0005-0000-0000-0000D83F0000}"/>
    <cellStyle name="20% - Accent5 9 4 2 2 2" xfId="42182" xr:uid="{00000000-0005-0000-0000-0000D93F0000}"/>
    <cellStyle name="20% - Accent5 9 4 2 3" xfId="30881" xr:uid="{00000000-0005-0000-0000-0000DA3F0000}"/>
    <cellStyle name="20% - Accent5 9 4 3" xfId="13930" xr:uid="{00000000-0005-0000-0000-0000DB3F0000}"/>
    <cellStyle name="20% - Accent5 9 4 3 2" xfId="36532" xr:uid="{00000000-0005-0000-0000-0000DC3F0000}"/>
    <cellStyle name="20% - Accent5 9 4 4" xfId="25231" xr:uid="{00000000-0005-0000-0000-0000DD3F0000}"/>
    <cellStyle name="20% - Accent5 9 5" xfId="4228" xr:uid="{00000000-0005-0000-0000-0000DE3F0000}"/>
    <cellStyle name="20% - Accent5 9 5 2" xfId="9878" xr:uid="{00000000-0005-0000-0000-0000DF3F0000}"/>
    <cellStyle name="20% - Accent5 9 5 2 2" xfId="21179" xr:uid="{00000000-0005-0000-0000-0000E03F0000}"/>
    <cellStyle name="20% - Accent5 9 5 2 2 2" xfId="43781" xr:uid="{00000000-0005-0000-0000-0000E13F0000}"/>
    <cellStyle name="20% - Accent5 9 5 2 3" xfId="32480" xr:uid="{00000000-0005-0000-0000-0000E23F0000}"/>
    <cellStyle name="20% - Accent5 9 5 3" xfId="15529" xr:uid="{00000000-0005-0000-0000-0000E33F0000}"/>
    <cellStyle name="20% - Accent5 9 5 3 2" xfId="38131" xr:uid="{00000000-0005-0000-0000-0000E43F0000}"/>
    <cellStyle name="20% - Accent5 9 5 4" xfId="26830" xr:uid="{00000000-0005-0000-0000-0000E53F0000}"/>
    <cellStyle name="20% - Accent5 9 6" xfId="6707" xr:uid="{00000000-0005-0000-0000-0000E63F0000}"/>
    <cellStyle name="20% - Accent5 9 6 2" xfId="18008" xr:uid="{00000000-0005-0000-0000-0000E73F0000}"/>
    <cellStyle name="20% - Accent5 9 6 2 2" xfId="40610" xr:uid="{00000000-0005-0000-0000-0000E83F0000}"/>
    <cellStyle name="20% - Accent5 9 6 3" xfId="29309" xr:uid="{00000000-0005-0000-0000-0000E93F0000}"/>
    <cellStyle name="20% - Accent5 9 7" xfId="12358" xr:uid="{00000000-0005-0000-0000-0000EA3F0000}"/>
    <cellStyle name="20% - Accent5 9 7 2" xfId="34960" xr:uid="{00000000-0005-0000-0000-0000EB3F0000}"/>
    <cellStyle name="20% - Accent5 9 8" xfId="23659" xr:uid="{00000000-0005-0000-0000-0000EC3F0000}"/>
    <cellStyle name="20% - Accent6 10" xfId="777" xr:uid="{00000000-0005-0000-0000-0000ED3F0000}"/>
    <cellStyle name="20% - Accent6 10 2" xfId="1705" xr:uid="{00000000-0005-0000-0000-0000EE3F0000}"/>
    <cellStyle name="20% - Accent6 10 2 2" xfId="3417" xr:uid="{00000000-0005-0000-0000-0000EF3F0000}"/>
    <cellStyle name="20% - Accent6 10 2 2 2" xfId="6389" xr:uid="{00000000-0005-0000-0000-0000F03F0000}"/>
    <cellStyle name="20% - Accent6 10 2 2 2 2" xfId="12039" xr:uid="{00000000-0005-0000-0000-0000F13F0000}"/>
    <cellStyle name="20% - Accent6 10 2 2 2 2 2" xfId="23340" xr:uid="{00000000-0005-0000-0000-0000F23F0000}"/>
    <cellStyle name="20% - Accent6 10 2 2 2 2 2 2" xfId="45942" xr:uid="{00000000-0005-0000-0000-0000F33F0000}"/>
    <cellStyle name="20% - Accent6 10 2 2 2 2 3" xfId="34641" xr:uid="{00000000-0005-0000-0000-0000F43F0000}"/>
    <cellStyle name="20% - Accent6 10 2 2 2 3" xfId="17690" xr:uid="{00000000-0005-0000-0000-0000F53F0000}"/>
    <cellStyle name="20% - Accent6 10 2 2 2 3 2" xfId="40292" xr:uid="{00000000-0005-0000-0000-0000F63F0000}"/>
    <cellStyle name="20% - Accent6 10 2 2 2 4" xfId="28991" xr:uid="{00000000-0005-0000-0000-0000F73F0000}"/>
    <cellStyle name="20% - Accent6 10 2 2 3" xfId="9207" xr:uid="{00000000-0005-0000-0000-0000F83F0000}"/>
    <cellStyle name="20% - Accent6 10 2 2 3 2" xfId="20508" xr:uid="{00000000-0005-0000-0000-0000F93F0000}"/>
    <cellStyle name="20% - Accent6 10 2 2 3 2 2" xfId="43110" xr:uid="{00000000-0005-0000-0000-0000FA3F0000}"/>
    <cellStyle name="20% - Accent6 10 2 2 3 3" xfId="31809" xr:uid="{00000000-0005-0000-0000-0000FB3F0000}"/>
    <cellStyle name="20% - Accent6 10 2 2 4" xfId="14858" xr:uid="{00000000-0005-0000-0000-0000FC3F0000}"/>
    <cellStyle name="20% - Accent6 10 2 2 4 2" xfId="37460" xr:uid="{00000000-0005-0000-0000-0000FD3F0000}"/>
    <cellStyle name="20% - Accent6 10 2 2 5" xfId="26159" xr:uid="{00000000-0005-0000-0000-0000FE3F0000}"/>
    <cellStyle name="20% - Accent6 10 2 3" xfId="5155" xr:uid="{00000000-0005-0000-0000-0000FF3F0000}"/>
    <cellStyle name="20% - Accent6 10 2 3 2" xfId="10805" xr:uid="{00000000-0005-0000-0000-000000400000}"/>
    <cellStyle name="20% - Accent6 10 2 3 2 2" xfId="22106" xr:uid="{00000000-0005-0000-0000-000001400000}"/>
    <cellStyle name="20% - Accent6 10 2 3 2 2 2" xfId="44708" xr:uid="{00000000-0005-0000-0000-000002400000}"/>
    <cellStyle name="20% - Accent6 10 2 3 2 3" xfId="33407" xr:uid="{00000000-0005-0000-0000-000003400000}"/>
    <cellStyle name="20% - Accent6 10 2 3 3" xfId="16456" xr:uid="{00000000-0005-0000-0000-000004400000}"/>
    <cellStyle name="20% - Accent6 10 2 3 3 2" xfId="39058" xr:uid="{00000000-0005-0000-0000-000005400000}"/>
    <cellStyle name="20% - Accent6 10 2 3 4" xfId="27757" xr:uid="{00000000-0005-0000-0000-000006400000}"/>
    <cellStyle name="20% - Accent6 10 2 4" xfId="7561" xr:uid="{00000000-0005-0000-0000-000007400000}"/>
    <cellStyle name="20% - Accent6 10 2 4 2" xfId="18862" xr:uid="{00000000-0005-0000-0000-000008400000}"/>
    <cellStyle name="20% - Accent6 10 2 4 2 2" xfId="41464" xr:uid="{00000000-0005-0000-0000-000009400000}"/>
    <cellStyle name="20% - Accent6 10 2 4 3" xfId="30163" xr:uid="{00000000-0005-0000-0000-00000A400000}"/>
    <cellStyle name="20% - Accent6 10 2 5" xfId="13212" xr:uid="{00000000-0005-0000-0000-00000B400000}"/>
    <cellStyle name="20% - Accent6 10 2 5 2" xfId="35814" xr:uid="{00000000-0005-0000-0000-00000C400000}"/>
    <cellStyle name="20% - Accent6 10 2 6" xfId="24513" xr:uid="{00000000-0005-0000-0000-00000D400000}"/>
    <cellStyle name="20% - Accent6 10 3" xfId="2748" xr:uid="{00000000-0005-0000-0000-00000E400000}"/>
    <cellStyle name="20% - Accent6 10 3 2" xfId="5765" xr:uid="{00000000-0005-0000-0000-00000F400000}"/>
    <cellStyle name="20% - Accent6 10 3 2 2" xfId="11415" xr:uid="{00000000-0005-0000-0000-000010400000}"/>
    <cellStyle name="20% - Accent6 10 3 2 2 2" xfId="22716" xr:uid="{00000000-0005-0000-0000-000011400000}"/>
    <cellStyle name="20% - Accent6 10 3 2 2 2 2" xfId="45318" xr:uid="{00000000-0005-0000-0000-000012400000}"/>
    <cellStyle name="20% - Accent6 10 3 2 2 3" xfId="34017" xr:uid="{00000000-0005-0000-0000-000013400000}"/>
    <cellStyle name="20% - Accent6 10 3 2 3" xfId="17066" xr:uid="{00000000-0005-0000-0000-000014400000}"/>
    <cellStyle name="20% - Accent6 10 3 2 3 2" xfId="39668" xr:uid="{00000000-0005-0000-0000-000015400000}"/>
    <cellStyle name="20% - Accent6 10 3 2 4" xfId="28367" xr:uid="{00000000-0005-0000-0000-000016400000}"/>
    <cellStyle name="20% - Accent6 10 3 3" xfId="8582" xr:uid="{00000000-0005-0000-0000-000017400000}"/>
    <cellStyle name="20% - Accent6 10 3 3 2" xfId="19883" xr:uid="{00000000-0005-0000-0000-000018400000}"/>
    <cellStyle name="20% - Accent6 10 3 3 2 2" xfId="42485" xr:uid="{00000000-0005-0000-0000-000019400000}"/>
    <cellStyle name="20% - Accent6 10 3 3 3" xfId="31184" xr:uid="{00000000-0005-0000-0000-00001A400000}"/>
    <cellStyle name="20% - Accent6 10 3 4" xfId="14233" xr:uid="{00000000-0005-0000-0000-00001B400000}"/>
    <cellStyle name="20% - Accent6 10 3 4 2" xfId="36835" xr:uid="{00000000-0005-0000-0000-00001C400000}"/>
    <cellStyle name="20% - Accent6 10 3 5" xfId="25534" xr:uid="{00000000-0005-0000-0000-00001D400000}"/>
    <cellStyle name="20% - Accent6 10 4" xfId="4531" xr:uid="{00000000-0005-0000-0000-00001E400000}"/>
    <cellStyle name="20% - Accent6 10 4 2" xfId="10181" xr:uid="{00000000-0005-0000-0000-00001F400000}"/>
    <cellStyle name="20% - Accent6 10 4 2 2" xfId="21482" xr:uid="{00000000-0005-0000-0000-000020400000}"/>
    <cellStyle name="20% - Accent6 10 4 2 2 2" xfId="44084" xr:uid="{00000000-0005-0000-0000-000021400000}"/>
    <cellStyle name="20% - Accent6 10 4 2 3" xfId="32783" xr:uid="{00000000-0005-0000-0000-000022400000}"/>
    <cellStyle name="20% - Accent6 10 4 3" xfId="15832" xr:uid="{00000000-0005-0000-0000-000023400000}"/>
    <cellStyle name="20% - Accent6 10 4 3 2" xfId="38434" xr:uid="{00000000-0005-0000-0000-000024400000}"/>
    <cellStyle name="20% - Accent6 10 4 4" xfId="27133" xr:uid="{00000000-0005-0000-0000-000025400000}"/>
    <cellStyle name="20% - Accent6 10 5" xfId="6782" xr:uid="{00000000-0005-0000-0000-000026400000}"/>
    <cellStyle name="20% - Accent6 10 5 2" xfId="18083" xr:uid="{00000000-0005-0000-0000-000027400000}"/>
    <cellStyle name="20% - Accent6 10 5 2 2" xfId="40685" xr:uid="{00000000-0005-0000-0000-000028400000}"/>
    <cellStyle name="20% - Accent6 10 5 3" xfId="29384" xr:uid="{00000000-0005-0000-0000-000029400000}"/>
    <cellStyle name="20% - Accent6 10 6" xfId="12433" xr:uid="{00000000-0005-0000-0000-00002A400000}"/>
    <cellStyle name="20% - Accent6 10 6 2" xfId="35035" xr:uid="{00000000-0005-0000-0000-00002B400000}"/>
    <cellStyle name="20% - Accent6 10 7" xfId="23734" xr:uid="{00000000-0005-0000-0000-00002C400000}"/>
    <cellStyle name="20% - Accent6 11" xfId="771" xr:uid="{00000000-0005-0000-0000-00002D400000}"/>
    <cellStyle name="20% - Accent6 11 2" xfId="1706" xr:uid="{00000000-0005-0000-0000-00002E400000}"/>
    <cellStyle name="20% - Accent6 11 2 2" xfId="3621" xr:uid="{00000000-0005-0000-0000-00002F400000}"/>
    <cellStyle name="20% - Accent6 11 2 2 2" xfId="9332" xr:uid="{00000000-0005-0000-0000-000030400000}"/>
    <cellStyle name="20% - Accent6 11 2 2 2 2" xfId="20633" xr:uid="{00000000-0005-0000-0000-000031400000}"/>
    <cellStyle name="20% - Accent6 11 2 2 2 2 2" xfId="43235" xr:uid="{00000000-0005-0000-0000-000032400000}"/>
    <cellStyle name="20% - Accent6 11 2 2 2 3" xfId="31934" xr:uid="{00000000-0005-0000-0000-000033400000}"/>
    <cellStyle name="20% - Accent6 11 2 2 3" xfId="14983" xr:uid="{00000000-0005-0000-0000-000034400000}"/>
    <cellStyle name="20% - Accent6 11 2 2 3 2" xfId="37585" xr:uid="{00000000-0005-0000-0000-000035400000}"/>
    <cellStyle name="20% - Accent6 11 2 2 4" xfId="26284" xr:uid="{00000000-0005-0000-0000-000036400000}"/>
    <cellStyle name="20% - Accent6 11 2 3" xfId="7562" xr:uid="{00000000-0005-0000-0000-000037400000}"/>
    <cellStyle name="20% - Accent6 11 2 3 2" xfId="18863" xr:uid="{00000000-0005-0000-0000-000038400000}"/>
    <cellStyle name="20% - Accent6 11 2 3 2 2" xfId="41465" xr:uid="{00000000-0005-0000-0000-000039400000}"/>
    <cellStyle name="20% - Accent6 11 2 3 3" xfId="30164" xr:uid="{00000000-0005-0000-0000-00003A400000}"/>
    <cellStyle name="20% - Accent6 11 2 4" xfId="13213" xr:uid="{00000000-0005-0000-0000-00003B400000}"/>
    <cellStyle name="20% - Accent6 11 2 4 2" xfId="35815" xr:uid="{00000000-0005-0000-0000-00003C400000}"/>
    <cellStyle name="20% - Accent6 11 2 5" xfId="24514" xr:uid="{00000000-0005-0000-0000-00003D400000}"/>
    <cellStyle name="20% - Accent6 11 3" xfId="2127" xr:uid="{00000000-0005-0000-0000-00003E400000}"/>
    <cellStyle name="20% - Accent6 11 3 2" xfId="7971" xr:uid="{00000000-0005-0000-0000-00003F400000}"/>
    <cellStyle name="20% - Accent6 11 3 2 2" xfId="19272" xr:uid="{00000000-0005-0000-0000-000040400000}"/>
    <cellStyle name="20% - Accent6 11 3 2 2 2" xfId="41874" xr:uid="{00000000-0005-0000-0000-000041400000}"/>
    <cellStyle name="20% - Accent6 11 3 2 3" xfId="30573" xr:uid="{00000000-0005-0000-0000-000042400000}"/>
    <cellStyle name="20% - Accent6 11 3 3" xfId="13622" xr:uid="{00000000-0005-0000-0000-000043400000}"/>
    <cellStyle name="20% - Accent6 11 3 3 2" xfId="36224" xr:uid="{00000000-0005-0000-0000-000044400000}"/>
    <cellStyle name="20% - Accent6 11 3 4" xfId="24923" xr:uid="{00000000-0005-0000-0000-000045400000}"/>
    <cellStyle name="20% - Accent6 11 4" xfId="3923" xr:uid="{00000000-0005-0000-0000-000046400000}"/>
    <cellStyle name="20% - Accent6 11 4 2" xfId="9573" xr:uid="{00000000-0005-0000-0000-000047400000}"/>
    <cellStyle name="20% - Accent6 11 4 2 2" xfId="20874" xr:uid="{00000000-0005-0000-0000-000048400000}"/>
    <cellStyle name="20% - Accent6 11 4 2 2 2" xfId="43476" xr:uid="{00000000-0005-0000-0000-000049400000}"/>
    <cellStyle name="20% - Accent6 11 4 2 3" xfId="32175" xr:uid="{00000000-0005-0000-0000-00004A400000}"/>
    <cellStyle name="20% - Accent6 11 4 3" xfId="15224" xr:uid="{00000000-0005-0000-0000-00004B400000}"/>
    <cellStyle name="20% - Accent6 11 4 3 2" xfId="37826" xr:uid="{00000000-0005-0000-0000-00004C400000}"/>
    <cellStyle name="20% - Accent6 11 4 4" xfId="26525" xr:uid="{00000000-0005-0000-0000-00004D400000}"/>
    <cellStyle name="20% - Accent6 11 5" xfId="6777" xr:uid="{00000000-0005-0000-0000-00004E400000}"/>
    <cellStyle name="20% - Accent6 11 5 2" xfId="18078" xr:uid="{00000000-0005-0000-0000-00004F400000}"/>
    <cellStyle name="20% - Accent6 11 5 2 2" xfId="40680" xr:uid="{00000000-0005-0000-0000-000050400000}"/>
    <cellStyle name="20% - Accent6 11 5 3" xfId="29379" xr:uid="{00000000-0005-0000-0000-000051400000}"/>
    <cellStyle name="20% - Accent6 11 6" xfId="12428" xr:uid="{00000000-0005-0000-0000-000052400000}"/>
    <cellStyle name="20% - Accent6 11 6 2" xfId="35030" xr:uid="{00000000-0005-0000-0000-000053400000}"/>
    <cellStyle name="20% - Accent6 11 7" xfId="23729" xr:uid="{00000000-0005-0000-0000-000054400000}"/>
    <cellStyle name="20% - Accent6 12" xfId="1366" xr:uid="{00000000-0005-0000-0000-000055400000}"/>
    <cellStyle name="20% - Accent6 12 2" xfId="3888" xr:uid="{00000000-0005-0000-0000-000056400000}"/>
    <cellStyle name="20% - Accent6 12 2 2" xfId="9557" xr:uid="{00000000-0005-0000-0000-000057400000}"/>
    <cellStyle name="20% - Accent6 12 2 2 2" xfId="20858" xr:uid="{00000000-0005-0000-0000-000058400000}"/>
    <cellStyle name="20% - Accent6 12 2 2 2 2" xfId="43460" xr:uid="{00000000-0005-0000-0000-000059400000}"/>
    <cellStyle name="20% - Accent6 12 2 2 3" xfId="32159" xr:uid="{00000000-0005-0000-0000-00005A400000}"/>
    <cellStyle name="20% - Accent6 12 2 3" xfId="15208" xr:uid="{00000000-0005-0000-0000-00005B400000}"/>
    <cellStyle name="20% - Accent6 12 2 3 2" xfId="37810" xr:uid="{00000000-0005-0000-0000-00005C400000}"/>
    <cellStyle name="20% - Accent6 12 2 4" xfId="26509" xr:uid="{00000000-0005-0000-0000-00005D400000}"/>
    <cellStyle name="20% - Accent6 13" xfId="3448" xr:uid="{00000000-0005-0000-0000-00005E400000}"/>
    <cellStyle name="20% - Accent6 14" xfId="51" xr:uid="{00000000-0005-0000-0000-00005F400000}"/>
    <cellStyle name="20% - Accent6 2" xfId="96" xr:uid="{00000000-0005-0000-0000-000060400000}"/>
    <cellStyle name="20% - Accent6 2 2" xfId="227" xr:uid="{00000000-0005-0000-0000-000061400000}"/>
    <cellStyle name="20% - Accent6 2 2 10" xfId="23388" xr:uid="{00000000-0005-0000-0000-000062400000}"/>
    <cellStyle name="20% - Accent6 2 2 2" xfId="537" xr:uid="{00000000-0005-0000-0000-000063400000}"/>
    <cellStyle name="20% - Accent6 2 2 2 2" xfId="1248" xr:uid="{00000000-0005-0000-0000-000064400000}"/>
    <cellStyle name="20% - Accent6 2 2 2 2 2" xfId="1709" xr:uid="{00000000-0005-0000-0000-000065400000}"/>
    <cellStyle name="20% - Accent6 2 2 2 2 2 2" xfId="3317" xr:uid="{00000000-0005-0000-0000-000066400000}"/>
    <cellStyle name="20% - Accent6 2 2 2 2 2 2 2" xfId="6289" xr:uid="{00000000-0005-0000-0000-000067400000}"/>
    <cellStyle name="20% - Accent6 2 2 2 2 2 2 2 2" xfId="11939" xr:uid="{00000000-0005-0000-0000-000068400000}"/>
    <cellStyle name="20% - Accent6 2 2 2 2 2 2 2 2 2" xfId="23240" xr:uid="{00000000-0005-0000-0000-000069400000}"/>
    <cellStyle name="20% - Accent6 2 2 2 2 2 2 2 2 2 2" xfId="45842" xr:uid="{00000000-0005-0000-0000-00006A400000}"/>
    <cellStyle name="20% - Accent6 2 2 2 2 2 2 2 2 3" xfId="34541" xr:uid="{00000000-0005-0000-0000-00006B400000}"/>
    <cellStyle name="20% - Accent6 2 2 2 2 2 2 2 3" xfId="17590" xr:uid="{00000000-0005-0000-0000-00006C400000}"/>
    <cellStyle name="20% - Accent6 2 2 2 2 2 2 2 3 2" xfId="40192" xr:uid="{00000000-0005-0000-0000-00006D400000}"/>
    <cellStyle name="20% - Accent6 2 2 2 2 2 2 2 4" xfId="28891" xr:uid="{00000000-0005-0000-0000-00006E400000}"/>
    <cellStyle name="20% - Accent6 2 2 2 2 2 2 3" xfId="9107" xr:uid="{00000000-0005-0000-0000-00006F400000}"/>
    <cellStyle name="20% - Accent6 2 2 2 2 2 2 3 2" xfId="20408" xr:uid="{00000000-0005-0000-0000-000070400000}"/>
    <cellStyle name="20% - Accent6 2 2 2 2 2 2 3 2 2" xfId="43010" xr:uid="{00000000-0005-0000-0000-000071400000}"/>
    <cellStyle name="20% - Accent6 2 2 2 2 2 2 3 3" xfId="31709" xr:uid="{00000000-0005-0000-0000-000072400000}"/>
    <cellStyle name="20% - Accent6 2 2 2 2 2 2 4" xfId="14758" xr:uid="{00000000-0005-0000-0000-000073400000}"/>
    <cellStyle name="20% - Accent6 2 2 2 2 2 2 4 2" xfId="37360" xr:uid="{00000000-0005-0000-0000-000074400000}"/>
    <cellStyle name="20% - Accent6 2 2 2 2 2 2 5" xfId="26059" xr:uid="{00000000-0005-0000-0000-000075400000}"/>
    <cellStyle name="20% - Accent6 2 2 2 2 2 3" xfId="5055" xr:uid="{00000000-0005-0000-0000-000076400000}"/>
    <cellStyle name="20% - Accent6 2 2 2 2 2 3 2" xfId="10705" xr:uid="{00000000-0005-0000-0000-000077400000}"/>
    <cellStyle name="20% - Accent6 2 2 2 2 2 3 2 2" xfId="22006" xr:uid="{00000000-0005-0000-0000-000078400000}"/>
    <cellStyle name="20% - Accent6 2 2 2 2 2 3 2 2 2" xfId="44608" xr:uid="{00000000-0005-0000-0000-000079400000}"/>
    <cellStyle name="20% - Accent6 2 2 2 2 2 3 2 3" xfId="33307" xr:uid="{00000000-0005-0000-0000-00007A400000}"/>
    <cellStyle name="20% - Accent6 2 2 2 2 2 3 3" xfId="16356" xr:uid="{00000000-0005-0000-0000-00007B400000}"/>
    <cellStyle name="20% - Accent6 2 2 2 2 2 3 3 2" xfId="38958" xr:uid="{00000000-0005-0000-0000-00007C400000}"/>
    <cellStyle name="20% - Accent6 2 2 2 2 2 3 4" xfId="27657" xr:uid="{00000000-0005-0000-0000-00007D400000}"/>
    <cellStyle name="20% - Accent6 2 2 2 2 2 4" xfId="7565" xr:uid="{00000000-0005-0000-0000-00007E400000}"/>
    <cellStyle name="20% - Accent6 2 2 2 2 2 4 2" xfId="18866" xr:uid="{00000000-0005-0000-0000-00007F400000}"/>
    <cellStyle name="20% - Accent6 2 2 2 2 2 4 2 2" xfId="41468" xr:uid="{00000000-0005-0000-0000-000080400000}"/>
    <cellStyle name="20% - Accent6 2 2 2 2 2 4 3" xfId="30167" xr:uid="{00000000-0005-0000-0000-000081400000}"/>
    <cellStyle name="20% - Accent6 2 2 2 2 2 5" xfId="13216" xr:uid="{00000000-0005-0000-0000-000082400000}"/>
    <cellStyle name="20% - Accent6 2 2 2 2 2 5 2" xfId="35818" xr:uid="{00000000-0005-0000-0000-000083400000}"/>
    <cellStyle name="20% - Accent6 2 2 2 2 2 6" xfId="24517" xr:uid="{00000000-0005-0000-0000-000084400000}"/>
    <cellStyle name="20% - Accent6 2 2 2 2 3" xfId="2646" xr:uid="{00000000-0005-0000-0000-000085400000}"/>
    <cellStyle name="20% - Accent6 2 2 2 2 3 2" xfId="5665" xr:uid="{00000000-0005-0000-0000-000086400000}"/>
    <cellStyle name="20% - Accent6 2 2 2 2 3 2 2" xfId="11315" xr:uid="{00000000-0005-0000-0000-000087400000}"/>
    <cellStyle name="20% - Accent6 2 2 2 2 3 2 2 2" xfId="22616" xr:uid="{00000000-0005-0000-0000-000088400000}"/>
    <cellStyle name="20% - Accent6 2 2 2 2 3 2 2 2 2" xfId="45218" xr:uid="{00000000-0005-0000-0000-000089400000}"/>
    <cellStyle name="20% - Accent6 2 2 2 2 3 2 2 3" xfId="33917" xr:uid="{00000000-0005-0000-0000-00008A400000}"/>
    <cellStyle name="20% - Accent6 2 2 2 2 3 2 3" xfId="16966" xr:uid="{00000000-0005-0000-0000-00008B400000}"/>
    <cellStyle name="20% - Accent6 2 2 2 2 3 2 3 2" xfId="39568" xr:uid="{00000000-0005-0000-0000-00008C400000}"/>
    <cellStyle name="20% - Accent6 2 2 2 2 3 2 4" xfId="28267" xr:uid="{00000000-0005-0000-0000-00008D400000}"/>
    <cellStyle name="20% - Accent6 2 2 2 2 3 3" xfId="8482" xr:uid="{00000000-0005-0000-0000-00008E400000}"/>
    <cellStyle name="20% - Accent6 2 2 2 2 3 3 2" xfId="19783" xr:uid="{00000000-0005-0000-0000-00008F400000}"/>
    <cellStyle name="20% - Accent6 2 2 2 2 3 3 2 2" xfId="42385" xr:uid="{00000000-0005-0000-0000-000090400000}"/>
    <cellStyle name="20% - Accent6 2 2 2 2 3 3 3" xfId="31084" xr:uid="{00000000-0005-0000-0000-000091400000}"/>
    <cellStyle name="20% - Accent6 2 2 2 2 3 4" xfId="14133" xr:uid="{00000000-0005-0000-0000-000092400000}"/>
    <cellStyle name="20% - Accent6 2 2 2 2 3 4 2" xfId="36735" xr:uid="{00000000-0005-0000-0000-000093400000}"/>
    <cellStyle name="20% - Accent6 2 2 2 2 3 5" xfId="25434" xr:uid="{00000000-0005-0000-0000-000094400000}"/>
    <cellStyle name="20% - Accent6 2 2 2 2 4" xfId="4431" xr:uid="{00000000-0005-0000-0000-000095400000}"/>
    <cellStyle name="20% - Accent6 2 2 2 2 4 2" xfId="10081" xr:uid="{00000000-0005-0000-0000-000096400000}"/>
    <cellStyle name="20% - Accent6 2 2 2 2 4 2 2" xfId="21382" xr:uid="{00000000-0005-0000-0000-000097400000}"/>
    <cellStyle name="20% - Accent6 2 2 2 2 4 2 2 2" xfId="43984" xr:uid="{00000000-0005-0000-0000-000098400000}"/>
    <cellStyle name="20% - Accent6 2 2 2 2 4 2 3" xfId="32683" xr:uid="{00000000-0005-0000-0000-000099400000}"/>
    <cellStyle name="20% - Accent6 2 2 2 2 4 3" xfId="15732" xr:uid="{00000000-0005-0000-0000-00009A400000}"/>
    <cellStyle name="20% - Accent6 2 2 2 2 4 3 2" xfId="38334" xr:uid="{00000000-0005-0000-0000-00009B400000}"/>
    <cellStyle name="20% - Accent6 2 2 2 2 4 4" xfId="27033" xr:uid="{00000000-0005-0000-0000-00009C400000}"/>
    <cellStyle name="20% - Accent6 2 2 2 2 5" xfId="7227" xr:uid="{00000000-0005-0000-0000-00009D400000}"/>
    <cellStyle name="20% - Accent6 2 2 2 2 5 2" xfId="18528" xr:uid="{00000000-0005-0000-0000-00009E400000}"/>
    <cellStyle name="20% - Accent6 2 2 2 2 5 2 2" xfId="41130" xr:uid="{00000000-0005-0000-0000-00009F400000}"/>
    <cellStyle name="20% - Accent6 2 2 2 2 5 3" xfId="29829" xr:uid="{00000000-0005-0000-0000-0000A0400000}"/>
    <cellStyle name="20% - Accent6 2 2 2 2 6" xfId="12878" xr:uid="{00000000-0005-0000-0000-0000A1400000}"/>
    <cellStyle name="20% - Accent6 2 2 2 2 6 2" xfId="35480" xr:uid="{00000000-0005-0000-0000-0000A2400000}"/>
    <cellStyle name="20% - Accent6 2 2 2 2 7" xfId="24179" xr:uid="{00000000-0005-0000-0000-0000A3400000}"/>
    <cellStyle name="20% - Accent6 2 2 2 3" xfId="946" xr:uid="{00000000-0005-0000-0000-0000A4400000}"/>
    <cellStyle name="20% - Accent6 2 2 2 3 2" xfId="3009" xr:uid="{00000000-0005-0000-0000-0000A5400000}"/>
    <cellStyle name="20% - Accent6 2 2 2 3 2 2" xfId="5981" xr:uid="{00000000-0005-0000-0000-0000A6400000}"/>
    <cellStyle name="20% - Accent6 2 2 2 3 2 2 2" xfId="11631" xr:uid="{00000000-0005-0000-0000-0000A7400000}"/>
    <cellStyle name="20% - Accent6 2 2 2 3 2 2 2 2" xfId="22932" xr:uid="{00000000-0005-0000-0000-0000A8400000}"/>
    <cellStyle name="20% - Accent6 2 2 2 3 2 2 2 2 2" xfId="45534" xr:uid="{00000000-0005-0000-0000-0000A9400000}"/>
    <cellStyle name="20% - Accent6 2 2 2 3 2 2 2 3" xfId="34233" xr:uid="{00000000-0005-0000-0000-0000AA400000}"/>
    <cellStyle name="20% - Accent6 2 2 2 3 2 2 3" xfId="17282" xr:uid="{00000000-0005-0000-0000-0000AB400000}"/>
    <cellStyle name="20% - Accent6 2 2 2 3 2 2 3 2" xfId="39884" xr:uid="{00000000-0005-0000-0000-0000AC400000}"/>
    <cellStyle name="20% - Accent6 2 2 2 3 2 2 4" xfId="28583" xr:uid="{00000000-0005-0000-0000-0000AD400000}"/>
    <cellStyle name="20% - Accent6 2 2 2 3 2 3" xfId="8799" xr:uid="{00000000-0005-0000-0000-0000AE400000}"/>
    <cellStyle name="20% - Accent6 2 2 2 3 2 3 2" xfId="20100" xr:uid="{00000000-0005-0000-0000-0000AF400000}"/>
    <cellStyle name="20% - Accent6 2 2 2 3 2 3 2 2" xfId="42702" xr:uid="{00000000-0005-0000-0000-0000B0400000}"/>
    <cellStyle name="20% - Accent6 2 2 2 3 2 3 3" xfId="31401" xr:uid="{00000000-0005-0000-0000-0000B1400000}"/>
    <cellStyle name="20% - Accent6 2 2 2 3 2 4" xfId="14450" xr:uid="{00000000-0005-0000-0000-0000B2400000}"/>
    <cellStyle name="20% - Accent6 2 2 2 3 2 4 2" xfId="37052" xr:uid="{00000000-0005-0000-0000-0000B3400000}"/>
    <cellStyle name="20% - Accent6 2 2 2 3 2 5" xfId="25751" xr:uid="{00000000-0005-0000-0000-0000B4400000}"/>
    <cellStyle name="20% - Accent6 2 2 2 3 3" xfId="4747" xr:uid="{00000000-0005-0000-0000-0000B5400000}"/>
    <cellStyle name="20% - Accent6 2 2 2 3 3 2" xfId="10397" xr:uid="{00000000-0005-0000-0000-0000B6400000}"/>
    <cellStyle name="20% - Accent6 2 2 2 3 3 2 2" xfId="21698" xr:uid="{00000000-0005-0000-0000-0000B7400000}"/>
    <cellStyle name="20% - Accent6 2 2 2 3 3 2 2 2" xfId="44300" xr:uid="{00000000-0005-0000-0000-0000B8400000}"/>
    <cellStyle name="20% - Accent6 2 2 2 3 3 2 3" xfId="32999" xr:uid="{00000000-0005-0000-0000-0000B9400000}"/>
    <cellStyle name="20% - Accent6 2 2 2 3 3 3" xfId="16048" xr:uid="{00000000-0005-0000-0000-0000BA400000}"/>
    <cellStyle name="20% - Accent6 2 2 2 3 3 3 2" xfId="38650" xr:uid="{00000000-0005-0000-0000-0000BB400000}"/>
    <cellStyle name="20% - Accent6 2 2 2 3 3 4" xfId="27349" xr:uid="{00000000-0005-0000-0000-0000BC400000}"/>
    <cellStyle name="20% - Accent6 2 2 2 3 4" xfId="6934" xr:uid="{00000000-0005-0000-0000-0000BD400000}"/>
    <cellStyle name="20% - Accent6 2 2 2 3 4 2" xfId="18235" xr:uid="{00000000-0005-0000-0000-0000BE400000}"/>
    <cellStyle name="20% - Accent6 2 2 2 3 4 2 2" xfId="40837" xr:uid="{00000000-0005-0000-0000-0000BF400000}"/>
    <cellStyle name="20% - Accent6 2 2 2 3 4 3" xfId="29536" xr:uid="{00000000-0005-0000-0000-0000C0400000}"/>
    <cellStyle name="20% - Accent6 2 2 2 3 5" xfId="12585" xr:uid="{00000000-0005-0000-0000-0000C1400000}"/>
    <cellStyle name="20% - Accent6 2 2 2 3 5 2" xfId="35187" xr:uid="{00000000-0005-0000-0000-0000C2400000}"/>
    <cellStyle name="20% - Accent6 2 2 2 3 6" xfId="23886" xr:uid="{00000000-0005-0000-0000-0000C3400000}"/>
    <cellStyle name="20% - Accent6 2 2 2 4" xfId="1708" xr:uid="{00000000-0005-0000-0000-0000C4400000}"/>
    <cellStyle name="20% - Accent6 2 2 2 4 2" xfId="3623" xr:uid="{00000000-0005-0000-0000-0000C5400000}"/>
    <cellStyle name="20% - Accent6 2 2 2 4 2 2" xfId="9334" xr:uid="{00000000-0005-0000-0000-0000C6400000}"/>
    <cellStyle name="20% - Accent6 2 2 2 4 2 2 2" xfId="20635" xr:uid="{00000000-0005-0000-0000-0000C7400000}"/>
    <cellStyle name="20% - Accent6 2 2 2 4 2 2 2 2" xfId="43237" xr:uid="{00000000-0005-0000-0000-0000C8400000}"/>
    <cellStyle name="20% - Accent6 2 2 2 4 2 2 3" xfId="31936" xr:uid="{00000000-0005-0000-0000-0000C9400000}"/>
    <cellStyle name="20% - Accent6 2 2 2 4 2 3" xfId="14985" xr:uid="{00000000-0005-0000-0000-0000CA400000}"/>
    <cellStyle name="20% - Accent6 2 2 2 4 2 3 2" xfId="37587" xr:uid="{00000000-0005-0000-0000-0000CB400000}"/>
    <cellStyle name="20% - Accent6 2 2 2 4 2 4" xfId="26286" xr:uid="{00000000-0005-0000-0000-0000CC400000}"/>
    <cellStyle name="20% - Accent6 2 2 2 4 3" xfId="5357" xr:uid="{00000000-0005-0000-0000-0000CD400000}"/>
    <cellStyle name="20% - Accent6 2 2 2 4 3 2" xfId="11007" xr:uid="{00000000-0005-0000-0000-0000CE400000}"/>
    <cellStyle name="20% - Accent6 2 2 2 4 3 2 2" xfId="22308" xr:uid="{00000000-0005-0000-0000-0000CF400000}"/>
    <cellStyle name="20% - Accent6 2 2 2 4 3 2 2 2" xfId="44910" xr:uid="{00000000-0005-0000-0000-0000D0400000}"/>
    <cellStyle name="20% - Accent6 2 2 2 4 3 2 3" xfId="33609" xr:uid="{00000000-0005-0000-0000-0000D1400000}"/>
    <cellStyle name="20% - Accent6 2 2 2 4 3 3" xfId="16658" xr:uid="{00000000-0005-0000-0000-0000D2400000}"/>
    <cellStyle name="20% - Accent6 2 2 2 4 3 3 2" xfId="39260" xr:uid="{00000000-0005-0000-0000-0000D3400000}"/>
    <cellStyle name="20% - Accent6 2 2 2 4 3 4" xfId="27959" xr:uid="{00000000-0005-0000-0000-0000D4400000}"/>
    <cellStyle name="20% - Accent6 2 2 2 4 4" xfId="7564" xr:uid="{00000000-0005-0000-0000-0000D5400000}"/>
    <cellStyle name="20% - Accent6 2 2 2 4 4 2" xfId="18865" xr:uid="{00000000-0005-0000-0000-0000D6400000}"/>
    <cellStyle name="20% - Accent6 2 2 2 4 4 2 2" xfId="41467" xr:uid="{00000000-0005-0000-0000-0000D7400000}"/>
    <cellStyle name="20% - Accent6 2 2 2 4 4 3" xfId="30166" xr:uid="{00000000-0005-0000-0000-0000D8400000}"/>
    <cellStyle name="20% - Accent6 2 2 2 4 5" xfId="13215" xr:uid="{00000000-0005-0000-0000-0000D9400000}"/>
    <cellStyle name="20% - Accent6 2 2 2 4 5 2" xfId="35817" xr:uid="{00000000-0005-0000-0000-0000DA400000}"/>
    <cellStyle name="20% - Accent6 2 2 2 4 6" xfId="24516" xr:uid="{00000000-0005-0000-0000-0000DB400000}"/>
    <cellStyle name="20% - Accent6 2 2 2 5" xfId="2338" xr:uid="{00000000-0005-0000-0000-0000DC400000}"/>
    <cellStyle name="20% - Accent6 2 2 2 5 2" xfId="8174" xr:uid="{00000000-0005-0000-0000-0000DD400000}"/>
    <cellStyle name="20% - Accent6 2 2 2 5 2 2" xfId="19475" xr:uid="{00000000-0005-0000-0000-0000DE400000}"/>
    <cellStyle name="20% - Accent6 2 2 2 5 2 2 2" xfId="42077" xr:uid="{00000000-0005-0000-0000-0000DF400000}"/>
    <cellStyle name="20% - Accent6 2 2 2 5 2 3" xfId="30776" xr:uid="{00000000-0005-0000-0000-0000E0400000}"/>
    <cellStyle name="20% - Accent6 2 2 2 5 3" xfId="13825" xr:uid="{00000000-0005-0000-0000-0000E1400000}"/>
    <cellStyle name="20% - Accent6 2 2 2 5 3 2" xfId="36427" xr:uid="{00000000-0005-0000-0000-0000E2400000}"/>
    <cellStyle name="20% - Accent6 2 2 2 5 4" xfId="25126" xr:uid="{00000000-0005-0000-0000-0000E3400000}"/>
    <cellStyle name="20% - Accent6 2 2 2 6" xfId="4123" xr:uid="{00000000-0005-0000-0000-0000E4400000}"/>
    <cellStyle name="20% - Accent6 2 2 2 6 2" xfId="9773" xr:uid="{00000000-0005-0000-0000-0000E5400000}"/>
    <cellStyle name="20% - Accent6 2 2 2 6 2 2" xfId="21074" xr:uid="{00000000-0005-0000-0000-0000E6400000}"/>
    <cellStyle name="20% - Accent6 2 2 2 6 2 2 2" xfId="43676" xr:uid="{00000000-0005-0000-0000-0000E7400000}"/>
    <cellStyle name="20% - Accent6 2 2 2 6 2 3" xfId="32375" xr:uid="{00000000-0005-0000-0000-0000E8400000}"/>
    <cellStyle name="20% - Accent6 2 2 2 6 3" xfId="15424" xr:uid="{00000000-0005-0000-0000-0000E9400000}"/>
    <cellStyle name="20% - Accent6 2 2 2 6 3 2" xfId="38026" xr:uid="{00000000-0005-0000-0000-0000EA400000}"/>
    <cellStyle name="20% - Accent6 2 2 2 6 4" xfId="26725" xr:uid="{00000000-0005-0000-0000-0000EB400000}"/>
    <cellStyle name="20% - Accent6 2 2 2 7" xfId="6603" xr:uid="{00000000-0005-0000-0000-0000EC400000}"/>
    <cellStyle name="20% - Accent6 2 2 2 7 2" xfId="17904" xr:uid="{00000000-0005-0000-0000-0000ED400000}"/>
    <cellStyle name="20% - Accent6 2 2 2 7 2 2" xfId="40506" xr:uid="{00000000-0005-0000-0000-0000EE400000}"/>
    <cellStyle name="20% - Accent6 2 2 2 7 3" xfId="29205" xr:uid="{00000000-0005-0000-0000-0000EF400000}"/>
    <cellStyle name="20% - Accent6 2 2 2 8" xfId="12254" xr:uid="{00000000-0005-0000-0000-0000F0400000}"/>
    <cellStyle name="20% - Accent6 2 2 2 8 2" xfId="34856" xr:uid="{00000000-0005-0000-0000-0000F1400000}"/>
    <cellStyle name="20% - Accent6 2 2 2 9" xfId="23555" xr:uid="{00000000-0005-0000-0000-0000F2400000}"/>
    <cellStyle name="20% - Accent6 2 2 3" xfId="1110" xr:uid="{00000000-0005-0000-0000-0000F3400000}"/>
    <cellStyle name="20% - Accent6 2 2 3 2" xfId="1710" xr:uid="{00000000-0005-0000-0000-0000F4400000}"/>
    <cellStyle name="20% - Accent6 2 2 3 2 2" xfId="3178" xr:uid="{00000000-0005-0000-0000-0000F5400000}"/>
    <cellStyle name="20% - Accent6 2 2 3 2 2 2" xfId="6150" xr:uid="{00000000-0005-0000-0000-0000F6400000}"/>
    <cellStyle name="20% - Accent6 2 2 3 2 2 2 2" xfId="11800" xr:uid="{00000000-0005-0000-0000-0000F7400000}"/>
    <cellStyle name="20% - Accent6 2 2 3 2 2 2 2 2" xfId="23101" xr:uid="{00000000-0005-0000-0000-0000F8400000}"/>
    <cellStyle name="20% - Accent6 2 2 3 2 2 2 2 2 2" xfId="45703" xr:uid="{00000000-0005-0000-0000-0000F9400000}"/>
    <cellStyle name="20% - Accent6 2 2 3 2 2 2 2 3" xfId="34402" xr:uid="{00000000-0005-0000-0000-0000FA400000}"/>
    <cellStyle name="20% - Accent6 2 2 3 2 2 2 3" xfId="17451" xr:uid="{00000000-0005-0000-0000-0000FB400000}"/>
    <cellStyle name="20% - Accent6 2 2 3 2 2 2 3 2" xfId="40053" xr:uid="{00000000-0005-0000-0000-0000FC400000}"/>
    <cellStyle name="20% - Accent6 2 2 3 2 2 2 4" xfId="28752" xr:uid="{00000000-0005-0000-0000-0000FD400000}"/>
    <cellStyle name="20% - Accent6 2 2 3 2 2 3" xfId="8968" xr:uid="{00000000-0005-0000-0000-0000FE400000}"/>
    <cellStyle name="20% - Accent6 2 2 3 2 2 3 2" xfId="20269" xr:uid="{00000000-0005-0000-0000-0000FF400000}"/>
    <cellStyle name="20% - Accent6 2 2 3 2 2 3 2 2" xfId="42871" xr:uid="{00000000-0005-0000-0000-000000410000}"/>
    <cellStyle name="20% - Accent6 2 2 3 2 2 3 3" xfId="31570" xr:uid="{00000000-0005-0000-0000-000001410000}"/>
    <cellStyle name="20% - Accent6 2 2 3 2 2 4" xfId="14619" xr:uid="{00000000-0005-0000-0000-000002410000}"/>
    <cellStyle name="20% - Accent6 2 2 3 2 2 4 2" xfId="37221" xr:uid="{00000000-0005-0000-0000-000003410000}"/>
    <cellStyle name="20% - Accent6 2 2 3 2 2 5" xfId="25920" xr:uid="{00000000-0005-0000-0000-000004410000}"/>
    <cellStyle name="20% - Accent6 2 2 3 2 3" xfId="4916" xr:uid="{00000000-0005-0000-0000-000005410000}"/>
    <cellStyle name="20% - Accent6 2 2 3 2 3 2" xfId="10566" xr:uid="{00000000-0005-0000-0000-000006410000}"/>
    <cellStyle name="20% - Accent6 2 2 3 2 3 2 2" xfId="21867" xr:uid="{00000000-0005-0000-0000-000007410000}"/>
    <cellStyle name="20% - Accent6 2 2 3 2 3 2 2 2" xfId="44469" xr:uid="{00000000-0005-0000-0000-000008410000}"/>
    <cellStyle name="20% - Accent6 2 2 3 2 3 2 3" xfId="33168" xr:uid="{00000000-0005-0000-0000-000009410000}"/>
    <cellStyle name="20% - Accent6 2 2 3 2 3 3" xfId="16217" xr:uid="{00000000-0005-0000-0000-00000A410000}"/>
    <cellStyle name="20% - Accent6 2 2 3 2 3 3 2" xfId="38819" xr:uid="{00000000-0005-0000-0000-00000B410000}"/>
    <cellStyle name="20% - Accent6 2 2 3 2 3 4" xfId="27518" xr:uid="{00000000-0005-0000-0000-00000C410000}"/>
    <cellStyle name="20% - Accent6 2 2 3 2 4" xfId="7566" xr:uid="{00000000-0005-0000-0000-00000D410000}"/>
    <cellStyle name="20% - Accent6 2 2 3 2 4 2" xfId="18867" xr:uid="{00000000-0005-0000-0000-00000E410000}"/>
    <cellStyle name="20% - Accent6 2 2 3 2 4 2 2" xfId="41469" xr:uid="{00000000-0005-0000-0000-00000F410000}"/>
    <cellStyle name="20% - Accent6 2 2 3 2 4 3" xfId="30168" xr:uid="{00000000-0005-0000-0000-000010410000}"/>
    <cellStyle name="20% - Accent6 2 2 3 2 5" xfId="13217" xr:uid="{00000000-0005-0000-0000-000011410000}"/>
    <cellStyle name="20% - Accent6 2 2 3 2 5 2" xfId="35819" xr:uid="{00000000-0005-0000-0000-000012410000}"/>
    <cellStyle name="20% - Accent6 2 2 3 2 6" xfId="24518" xr:uid="{00000000-0005-0000-0000-000013410000}"/>
    <cellStyle name="20% - Accent6 2 2 3 3" xfId="2507" xr:uid="{00000000-0005-0000-0000-000014410000}"/>
    <cellStyle name="20% - Accent6 2 2 3 3 2" xfId="5526" xr:uid="{00000000-0005-0000-0000-000015410000}"/>
    <cellStyle name="20% - Accent6 2 2 3 3 2 2" xfId="11176" xr:uid="{00000000-0005-0000-0000-000016410000}"/>
    <cellStyle name="20% - Accent6 2 2 3 3 2 2 2" xfId="22477" xr:uid="{00000000-0005-0000-0000-000017410000}"/>
    <cellStyle name="20% - Accent6 2 2 3 3 2 2 2 2" xfId="45079" xr:uid="{00000000-0005-0000-0000-000018410000}"/>
    <cellStyle name="20% - Accent6 2 2 3 3 2 2 3" xfId="33778" xr:uid="{00000000-0005-0000-0000-000019410000}"/>
    <cellStyle name="20% - Accent6 2 2 3 3 2 3" xfId="16827" xr:uid="{00000000-0005-0000-0000-00001A410000}"/>
    <cellStyle name="20% - Accent6 2 2 3 3 2 3 2" xfId="39429" xr:uid="{00000000-0005-0000-0000-00001B410000}"/>
    <cellStyle name="20% - Accent6 2 2 3 3 2 4" xfId="28128" xr:uid="{00000000-0005-0000-0000-00001C410000}"/>
    <cellStyle name="20% - Accent6 2 2 3 3 3" xfId="8343" xr:uid="{00000000-0005-0000-0000-00001D410000}"/>
    <cellStyle name="20% - Accent6 2 2 3 3 3 2" xfId="19644" xr:uid="{00000000-0005-0000-0000-00001E410000}"/>
    <cellStyle name="20% - Accent6 2 2 3 3 3 2 2" xfId="42246" xr:uid="{00000000-0005-0000-0000-00001F410000}"/>
    <cellStyle name="20% - Accent6 2 2 3 3 3 3" xfId="30945" xr:uid="{00000000-0005-0000-0000-000020410000}"/>
    <cellStyle name="20% - Accent6 2 2 3 3 4" xfId="13994" xr:uid="{00000000-0005-0000-0000-000021410000}"/>
    <cellStyle name="20% - Accent6 2 2 3 3 4 2" xfId="36596" xr:uid="{00000000-0005-0000-0000-000022410000}"/>
    <cellStyle name="20% - Accent6 2 2 3 3 5" xfId="25295" xr:uid="{00000000-0005-0000-0000-000023410000}"/>
    <cellStyle name="20% - Accent6 2 2 3 4" xfId="4292" xr:uid="{00000000-0005-0000-0000-000024410000}"/>
    <cellStyle name="20% - Accent6 2 2 3 4 2" xfId="9942" xr:uid="{00000000-0005-0000-0000-000025410000}"/>
    <cellStyle name="20% - Accent6 2 2 3 4 2 2" xfId="21243" xr:uid="{00000000-0005-0000-0000-000026410000}"/>
    <cellStyle name="20% - Accent6 2 2 3 4 2 2 2" xfId="43845" xr:uid="{00000000-0005-0000-0000-000027410000}"/>
    <cellStyle name="20% - Accent6 2 2 3 4 2 3" xfId="32544" xr:uid="{00000000-0005-0000-0000-000028410000}"/>
    <cellStyle name="20% - Accent6 2 2 3 4 3" xfId="15593" xr:uid="{00000000-0005-0000-0000-000029410000}"/>
    <cellStyle name="20% - Accent6 2 2 3 4 3 2" xfId="38195" xr:uid="{00000000-0005-0000-0000-00002A410000}"/>
    <cellStyle name="20% - Accent6 2 2 3 4 4" xfId="26894" xr:uid="{00000000-0005-0000-0000-00002B410000}"/>
    <cellStyle name="20% - Accent6 2 2 3 5" xfId="7089" xr:uid="{00000000-0005-0000-0000-00002C410000}"/>
    <cellStyle name="20% - Accent6 2 2 3 5 2" xfId="18390" xr:uid="{00000000-0005-0000-0000-00002D410000}"/>
    <cellStyle name="20% - Accent6 2 2 3 5 2 2" xfId="40992" xr:uid="{00000000-0005-0000-0000-00002E410000}"/>
    <cellStyle name="20% - Accent6 2 2 3 5 3" xfId="29691" xr:uid="{00000000-0005-0000-0000-00002F410000}"/>
    <cellStyle name="20% - Accent6 2 2 3 6" xfId="12740" xr:uid="{00000000-0005-0000-0000-000030410000}"/>
    <cellStyle name="20% - Accent6 2 2 3 6 2" xfId="35342" xr:uid="{00000000-0005-0000-0000-000031410000}"/>
    <cellStyle name="20% - Accent6 2 2 3 7" xfId="24041" xr:uid="{00000000-0005-0000-0000-000032410000}"/>
    <cellStyle name="20% - Accent6 2 2 4" xfId="790" xr:uid="{00000000-0005-0000-0000-000033410000}"/>
    <cellStyle name="20% - Accent6 2 2 4 2" xfId="2871" xr:uid="{00000000-0005-0000-0000-000034410000}"/>
    <cellStyle name="20% - Accent6 2 2 4 2 2" xfId="5843" xr:uid="{00000000-0005-0000-0000-000035410000}"/>
    <cellStyle name="20% - Accent6 2 2 4 2 2 2" xfId="11493" xr:uid="{00000000-0005-0000-0000-000036410000}"/>
    <cellStyle name="20% - Accent6 2 2 4 2 2 2 2" xfId="22794" xr:uid="{00000000-0005-0000-0000-000037410000}"/>
    <cellStyle name="20% - Accent6 2 2 4 2 2 2 2 2" xfId="45396" xr:uid="{00000000-0005-0000-0000-000038410000}"/>
    <cellStyle name="20% - Accent6 2 2 4 2 2 2 3" xfId="34095" xr:uid="{00000000-0005-0000-0000-000039410000}"/>
    <cellStyle name="20% - Accent6 2 2 4 2 2 3" xfId="17144" xr:uid="{00000000-0005-0000-0000-00003A410000}"/>
    <cellStyle name="20% - Accent6 2 2 4 2 2 3 2" xfId="39746" xr:uid="{00000000-0005-0000-0000-00003B410000}"/>
    <cellStyle name="20% - Accent6 2 2 4 2 2 4" xfId="28445" xr:uid="{00000000-0005-0000-0000-00003C410000}"/>
    <cellStyle name="20% - Accent6 2 2 4 2 3" xfId="8661" xr:uid="{00000000-0005-0000-0000-00003D410000}"/>
    <cellStyle name="20% - Accent6 2 2 4 2 3 2" xfId="19962" xr:uid="{00000000-0005-0000-0000-00003E410000}"/>
    <cellStyle name="20% - Accent6 2 2 4 2 3 2 2" xfId="42564" xr:uid="{00000000-0005-0000-0000-00003F410000}"/>
    <cellStyle name="20% - Accent6 2 2 4 2 3 3" xfId="31263" xr:uid="{00000000-0005-0000-0000-000040410000}"/>
    <cellStyle name="20% - Accent6 2 2 4 2 4" xfId="14312" xr:uid="{00000000-0005-0000-0000-000041410000}"/>
    <cellStyle name="20% - Accent6 2 2 4 2 4 2" xfId="36914" xr:uid="{00000000-0005-0000-0000-000042410000}"/>
    <cellStyle name="20% - Accent6 2 2 4 2 5" xfId="25613" xr:uid="{00000000-0005-0000-0000-000043410000}"/>
    <cellStyle name="20% - Accent6 2 2 4 3" xfId="4609" xr:uid="{00000000-0005-0000-0000-000044410000}"/>
    <cellStyle name="20% - Accent6 2 2 4 3 2" xfId="10259" xr:uid="{00000000-0005-0000-0000-000045410000}"/>
    <cellStyle name="20% - Accent6 2 2 4 3 2 2" xfId="21560" xr:uid="{00000000-0005-0000-0000-000046410000}"/>
    <cellStyle name="20% - Accent6 2 2 4 3 2 2 2" xfId="44162" xr:uid="{00000000-0005-0000-0000-000047410000}"/>
    <cellStyle name="20% - Accent6 2 2 4 3 2 3" xfId="32861" xr:uid="{00000000-0005-0000-0000-000048410000}"/>
    <cellStyle name="20% - Accent6 2 2 4 3 3" xfId="15910" xr:uid="{00000000-0005-0000-0000-000049410000}"/>
    <cellStyle name="20% - Accent6 2 2 4 3 3 2" xfId="38512" xr:uid="{00000000-0005-0000-0000-00004A410000}"/>
    <cellStyle name="20% - Accent6 2 2 4 3 4" xfId="27211" xr:uid="{00000000-0005-0000-0000-00004B410000}"/>
    <cellStyle name="20% - Accent6 2 2 4 4" xfId="6795" xr:uid="{00000000-0005-0000-0000-00004C410000}"/>
    <cellStyle name="20% - Accent6 2 2 4 4 2" xfId="18096" xr:uid="{00000000-0005-0000-0000-00004D410000}"/>
    <cellStyle name="20% - Accent6 2 2 4 4 2 2" xfId="40698" xr:uid="{00000000-0005-0000-0000-00004E410000}"/>
    <cellStyle name="20% - Accent6 2 2 4 4 3" xfId="29397" xr:uid="{00000000-0005-0000-0000-00004F410000}"/>
    <cellStyle name="20% - Accent6 2 2 4 5" xfId="12446" xr:uid="{00000000-0005-0000-0000-000050410000}"/>
    <cellStyle name="20% - Accent6 2 2 4 5 2" xfId="35048" xr:uid="{00000000-0005-0000-0000-000051410000}"/>
    <cellStyle name="20% - Accent6 2 2 4 6" xfId="23747" xr:uid="{00000000-0005-0000-0000-000052410000}"/>
    <cellStyle name="20% - Accent6 2 2 5" xfId="1707" xr:uid="{00000000-0005-0000-0000-000053410000}"/>
    <cellStyle name="20% - Accent6 2 2 5 2" xfId="3622" xr:uid="{00000000-0005-0000-0000-000054410000}"/>
    <cellStyle name="20% - Accent6 2 2 5 2 2" xfId="9333" xr:uid="{00000000-0005-0000-0000-000055410000}"/>
    <cellStyle name="20% - Accent6 2 2 5 2 2 2" xfId="20634" xr:uid="{00000000-0005-0000-0000-000056410000}"/>
    <cellStyle name="20% - Accent6 2 2 5 2 2 2 2" xfId="43236" xr:uid="{00000000-0005-0000-0000-000057410000}"/>
    <cellStyle name="20% - Accent6 2 2 5 2 2 3" xfId="31935" xr:uid="{00000000-0005-0000-0000-000058410000}"/>
    <cellStyle name="20% - Accent6 2 2 5 2 3" xfId="14984" xr:uid="{00000000-0005-0000-0000-000059410000}"/>
    <cellStyle name="20% - Accent6 2 2 5 2 3 2" xfId="37586" xr:uid="{00000000-0005-0000-0000-00005A410000}"/>
    <cellStyle name="20% - Accent6 2 2 5 2 4" xfId="26285" xr:uid="{00000000-0005-0000-0000-00005B410000}"/>
    <cellStyle name="20% - Accent6 2 2 5 3" xfId="5219" xr:uid="{00000000-0005-0000-0000-00005C410000}"/>
    <cellStyle name="20% - Accent6 2 2 5 3 2" xfId="10869" xr:uid="{00000000-0005-0000-0000-00005D410000}"/>
    <cellStyle name="20% - Accent6 2 2 5 3 2 2" xfId="22170" xr:uid="{00000000-0005-0000-0000-00005E410000}"/>
    <cellStyle name="20% - Accent6 2 2 5 3 2 2 2" xfId="44772" xr:uid="{00000000-0005-0000-0000-00005F410000}"/>
    <cellStyle name="20% - Accent6 2 2 5 3 2 3" xfId="33471" xr:uid="{00000000-0005-0000-0000-000060410000}"/>
    <cellStyle name="20% - Accent6 2 2 5 3 3" xfId="16520" xr:uid="{00000000-0005-0000-0000-000061410000}"/>
    <cellStyle name="20% - Accent6 2 2 5 3 3 2" xfId="39122" xr:uid="{00000000-0005-0000-0000-000062410000}"/>
    <cellStyle name="20% - Accent6 2 2 5 3 4" xfId="27821" xr:uid="{00000000-0005-0000-0000-000063410000}"/>
    <cellStyle name="20% - Accent6 2 2 5 4" xfId="7563" xr:uid="{00000000-0005-0000-0000-000064410000}"/>
    <cellStyle name="20% - Accent6 2 2 5 4 2" xfId="18864" xr:uid="{00000000-0005-0000-0000-000065410000}"/>
    <cellStyle name="20% - Accent6 2 2 5 4 2 2" xfId="41466" xr:uid="{00000000-0005-0000-0000-000066410000}"/>
    <cellStyle name="20% - Accent6 2 2 5 4 3" xfId="30165" xr:uid="{00000000-0005-0000-0000-000067410000}"/>
    <cellStyle name="20% - Accent6 2 2 5 5" xfId="13214" xr:uid="{00000000-0005-0000-0000-000068410000}"/>
    <cellStyle name="20% - Accent6 2 2 5 5 2" xfId="35816" xr:uid="{00000000-0005-0000-0000-000069410000}"/>
    <cellStyle name="20% - Accent6 2 2 5 6" xfId="24515" xr:uid="{00000000-0005-0000-0000-00006A410000}"/>
    <cellStyle name="20% - Accent6 2 2 6" xfId="2193" xr:uid="{00000000-0005-0000-0000-00006B410000}"/>
    <cellStyle name="20% - Accent6 2 2 6 2" xfId="8033" xr:uid="{00000000-0005-0000-0000-00006C410000}"/>
    <cellStyle name="20% - Accent6 2 2 6 2 2" xfId="19334" xr:uid="{00000000-0005-0000-0000-00006D410000}"/>
    <cellStyle name="20% - Accent6 2 2 6 2 2 2" xfId="41936" xr:uid="{00000000-0005-0000-0000-00006E410000}"/>
    <cellStyle name="20% - Accent6 2 2 6 2 3" xfId="30635" xr:uid="{00000000-0005-0000-0000-00006F410000}"/>
    <cellStyle name="20% - Accent6 2 2 6 3" xfId="13684" xr:uid="{00000000-0005-0000-0000-000070410000}"/>
    <cellStyle name="20% - Accent6 2 2 6 3 2" xfId="36286" xr:uid="{00000000-0005-0000-0000-000071410000}"/>
    <cellStyle name="20% - Accent6 2 2 6 4" xfId="24985" xr:uid="{00000000-0005-0000-0000-000072410000}"/>
    <cellStyle name="20% - Accent6 2 2 7" xfId="3985" xr:uid="{00000000-0005-0000-0000-000073410000}"/>
    <cellStyle name="20% - Accent6 2 2 7 2" xfId="9635" xr:uid="{00000000-0005-0000-0000-000074410000}"/>
    <cellStyle name="20% - Accent6 2 2 7 2 2" xfId="20936" xr:uid="{00000000-0005-0000-0000-000075410000}"/>
    <cellStyle name="20% - Accent6 2 2 7 2 2 2" xfId="43538" xr:uid="{00000000-0005-0000-0000-000076410000}"/>
    <cellStyle name="20% - Accent6 2 2 7 2 3" xfId="32237" xr:uid="{00000000-0005-0000-0000-000077410000}"/>
    <cellStyle name="20% - Accent6 2 2 7 3" xfId="15286" xr:uid="{00000000-0005-0000-0000-000078410000}"/>
    <cellStyle name="20% - Accent6 2 2 7 3 2" xfId="37888" xr:uid="{00000000-0005-0000-0000-000079410000}"/>
    <cellStyle name="20% - Accent6 2 2 7 4" xfId="26587" xr:uid="{00000000-0005-0000-0000-00007A410000}"/>
    <cellStyle name="20% - Accent6 2 2 8" xfId="6436" xr:uid="{00000000-0005-0000-0000-00007B410000}"/>
    <cellStyle name="20% - Accent6 2 2 8 2" xfId="17737" xr:uid="{00000000-0005-0000-0000-00007C410000}"/>
    <cellStyle name="20% - Accent6 2 2 8 2 2" xfId="40339" xr:uid="{00000000-0005-0000-0000-00007D410000}"/>
    <cellStyle name="20% - Accent6 2 2 8 3" xfId="29038" xr:uid="{00000000-0005-0000-0000-00007E410000}"/>
    <cellStyle name="20% - Accent6 2 2 9" xfId="12087" xr:uid="{00000000-0005-0000-0000-00007F410000}"/>
    <cellStyle name="20% - Accent6 2 2 9 2" xfId="34689" xr:uid="{00000000-0005-0000-0000-000080410000}"/>
    <cellStyle name="20% - Accent6 2 3" xfId="2754" xr:uid="{00000000-0005-0000-0000-000081410000}"/>
    <cellStyle name="20% - Accent6 2 3 2" xfId="3847" xr:uid="{00000000-0005-0000-0000-000082410000}"/>
    <cellStyle name="20% - Accent6 2 3 2 2" xfId="5769" xr:uid="{00000000-0005-0000-0000-000083410000}"/>
    <cellStyle name="20% - Accent6 2 3 2 2 2" xfId="11419" xr:uid="{00000000-0005-0000-0000-000084410000}"/>
    <cellStyle name="20% - Accent6 2 3 2 2 2 2" xfId="22720" xr:uid="{00000000-0005-0000-0000-000085410000}"/>
    <cellStyle name="20% - Accent6 2 3 2 2 2 2 2" xfId="45322" xr:uid="{00000000-0005-0000-0000-000086410000}"/>
    <cellStyle name="20% - Accent6 2 3 2 2 2 3" xfId="34021" xr:uid="{00000000-0005-0000-0000-000087410000}"/>
    <cellStyle name="20% - Accent6 2 3 2 2 3" xfId="17070" xr:uid="{00000000-0005-0000-0000-000088410000}"/>
    <cellStyle name="20% - Accent6 2 3 2 2 3 2" xfId="39672" xr:uid="{00000000-0005-0000-0000-000089410000}"/>
    <cellStyle name="20% - Accent6 2 3 2 2 4" xfId="28371" xr:uid="{00000000-0005-0000-0000-00008A410000}"/>
    <cellStyle name="20% - Accent6 2 3 2 3" xfId="9545" xr:uid="{00000000-0005-0000-0000-00008B410000}"/>
    <cellStyle name="20% - Accent6 2 3 2 3 2" xfId="20846" xr:uid="{00000000-0005-0000-0000-00008C410000}"/>
    <cellStyle name="20% - Accent6 2 3 2 3 2 2" xfId="43448" xr:uid="{00000000-0005-0000-0000-00008D410000}"/>
    <cellStyle name="20% - Accent6 2 3 2 3 3" xfId="32147" xr:uid="{00000000-0005-0000-0000-00008E410000}"/>
    <cellStyle name="20% - Accent6 2 3 2 4" xfId="15196" xr:uid="{00000000-0005-0000-0000-00008F410000}"/>
    <cellStyle name="20% - Accent6 2 3 2 4 2" xfId="37798" xr:uid="{00000000-0005-0000-0000-000090410000}"/>
    <cellStyle name="20% - Accent6 2 3 2 5" xfId="26497" xr:uid="{00000000-0005-0000-0000-000091410000}"/>
    <cellStyle name="20% - Accent6 2 3 3" xfId="4535" xr:uid="{00000000-0005-0000-0000-000092410000}"/>
    <cellStyle name="20% - Accent6 2 3 3 2" xfId="10185" xr:uid="{00000000-0005-0000-0000-000093410000}"/>
    <cellStyle name="20% - Accent6 2 3 3 2 2" xfId="21486" xr:uid="{00000000-0005-0000-0000-000094410000}"/>
    <cellStyle name="20% - Accent6 2 3 3 2 2 2" xfId="44088" xr:uid="{00000000-0005-0000-0000-000095410000}"/>
    <cellStyle name="20% - Accent6 2 3 3 2 3" xfId="32787" xr:uid="{00000000-0005-0000-0000-000096410000}"/>
    <cellStyle name="20% - Accent6 2 3 3 3" xfId="15836" xr:uid="{00000000-0005-0000-0000-000097410000}"/>
    <cellStyle name="20% - Accent6 2 3 3 3 2" xfId="38438" xr:uid="{00000000-0005-0000-0000-000098410000}"/>
    <cellStyle name="20% - Accent6 2 3 3 4" xfId="27137" xr:uid="{00000000-0005-0000-0000-000099410000}"/>
    <cellStyle name="20% - Accent6 2 3 4" xfId="8587" xr:uid="{00000000-0005-0000-0000-00009A410000}"/>
    <cellStyle name="20% - Accent6 2 3 4 2" xfId="19888" xr:uid="{00000000-0005-0000-0000-00009B410000}"/>
    <cellStyle name="20% - Accent6 2 3 4 2 2" xfId="42490" xr:uid="{00000000-0005-0000-0000-00009C410000}"/>
    <cellStyle name="20% - Accent6 2 3 4 3" xfId="31189" xr:uid="{00000000-0005-0000-0000-00009D410000}"/>
    <cellStyle name="20% - Accent6 2 3 5" xfId="14238" xr:uid="{00000000-0005-0000-0000-00009E410000}"/>
    <cellStyle name="20% - Accent6 2 3 5 2" xfId="36840" xr:uid="{00000000-0005-0000-0000-00009F410000}"/>
    <cellStyle name="20% - Accent6 2 3 6" xfId="25539" xr:uid="{00000000-0005-0000-0000-0000A0410000}"/>
    <cellStyle name="20% - Accent6 2 4" xfId="2776" xr:uid="{00000000-0005-0000-0000-0000A1410000}"/>
    <cellStyle name="20% - Accent6 2 5" xfId="3852" xr:uid="{00000000-0005-0000-0000-0000A2410000}"/>
    <cellStyle name="20% - Accent6 2 5 2" xfId="9547" xr:uid="{00000000-0005-0000-0000-0000A3410000}"/>
    <cellStyle name="20% - Accent6 2 5 2 2" xfId="20848" xr:uid="{00000000-0005-0000-0000-0000A4410000}"/>
    <cellStyle name="20% - Accent6 2 5 2 2 2" xfId="43450" xr:uid="{00000000-0005-0000-0000-0000A5410000}"/>
    <cellStyle name="20% - Accent6 2 5 2 3" xfId="32149" xr:uid="{00000000-0005-0000-0000-0000A6410000}"/>
    <cellStyle name="20% - Accent6 2 5 3" xfId="15198" xr:uid="{00000000-0005-0000-0000-0000A7410000}"/>
    <cellStyle name="20% - Accent6 2 5 3 2" xfId="37800" xr:uid="{00000000-0005-0000-0000-0000A8410000}"/>
    <cellStyle name="20% - Accent6 2 5 4" xfId="26499" xr:uid="{00000000-0005-0000-0000-0000A9410000}"/>
    <cellStyle name="20% - Accent6 2 6" xfId="3532" xr:uid="{00000000-0005-0000-0000-0000AA410000}"/>
    <cellStyle name="20% - Accent6 3" xfId="170" xr:uid="{00000000-0005-0000-0000-0000AB410000}"/>
    <cellStyle name="20% - Accent6 3 2" xfId="294" xr:uid="{00000000-0005-0000-0000-0000AC410000}"/>
    <cellStyle name="20% - Accent6 3 2 10" xfId="23403" xr:uid="{00000000-0005-0000-0000-0000AD410000}"/>
    <cellStyle name="20% - Accent6 3 2 2" xfId="553" xr:uid="{00000000-0005-0000-0000-0000AE410000}"/>
    <cellStyle name="20% - Accent6 3 2 2 2" xfId="1263" xr:uid="{00000000-0005-0000-0000-0000AF410000}"/>
    <cellStyle name="20% - Accent6 3 2 2 2 2" xfId="1713" xr:uid="{00000000-0005-0000-0000-0000B0410000}"/>
    <cellStyle name="20% - Accent6 3 2 2 2 2 2" xfId="3332" xr:uid="{00000000-0005-0000-0000-0000B1410000}"/>
    <cellStyle name="20% - Accent6 3 2 2 2 2 2 2" xfId="6304" xr:uid="{00000000-0005-0000-0000-0000B2410000}"/>
    <cellStyle name="20% - Accent6 3 2 2 2 2 2 2 2" xfId="11954" xr:uid="{00000000-0005-0000-0000-0000B3410000}"/>
    <cellStyle name="20% - Accent6 3 2 2 2 2 2 2 2 2" xfId="23255" xr:uid="{00000000-0005-0000-0000-0000B4410000}"/>
    <cellStyle name="20% - Accent6 3 2 2 2 2 2 2 2 2 2" xfId="45857" xr:uid="{00000000-0005-0000-0000-0000B5410000}"/>
    <cellStyle name="20% - Accent6 3 2 2 2 2 2 2 2 3" xfId="34556" xr:uid="{00000000-0005-0000-0000-0000B6410000}"/>
    <cellStyle name="20% - Accent6 3 2 2 2 2 2 2 3" xfId="17605" xr:uid="{00000000-0005-0000-0000-0000B7410000}"/>
    <cellStyle name="20% - Accent6 3 2 2 2 2 2 2 3 2" xfId="40207" xr:uid="{00000000-0005-0000-0000-0000B8410000}"/>
    <cellStyle name="20% - Accent6 3 2 2 2 2 2 2 4" xfId="28906" xr:uid="{00000000-0005-0000-0000-0000B9410000}"/>
    <cellStyle name="20% - Accent6 3 2 2 2 2 2 3" xfId="9122" xr:uid="{00000000-0005-0000-0000-0000BA410000}"/>
    <cellStyle name="20% - Accent6 3 2 2 2 2 2 3 2" xfId="20423" xr:uid="{00000000-0005-0000-0000-0000BB410000}"/>
    <cellStyle name="20% - Accent6 3 2 2 2 2 2 3 2 2" xfId="43025" xr:uid="{00000000-0005-0000-0000-0000BC410000}"/>
    <cellStyle name="20% - Accent6 3 2 2 2 2 2 3 3" xfId="31724" xr:uid="{00000000-0005-0000-0000-0000BD410000}"/>
    <cellStyle name="20% - Accent6 3 2 2 2 2 2 4" xfId="14773" xr:uid="{00000000-0005-0000-0000-0000BE410000}"/>
    <cellStyle name="20% - Accent6 3 2 2 2 2 2 4 2" xfId="37375" xr:uid="{00000000-0005-0000-0000-0000BF410000}"/>
    <cellStyle name="20% - Accent6 3 2 2 2 2 2 5" xfId="26074" xr:uid="{00000000-0005-0000-0000-0000C0410000}"/>
    <cellStyle name="20% - Accent6 3 2 2 2 2 3" xfId="5070" xr:uid="{00000000-0005-0000-0000-0000C1410000}"/>
    <cellStyle name="20% - Accent6 3 2 2 2 2 3 2" xfId="10720" xr:uid="{00000000-0005-0000-0000-0000C2410000}"/>
    <cellStyle name="20% - Accent6 3 2 2 2 2 3 2 2" xfId="22021" xr:uid="{00000000-0005-0000-0000-0000C3410000}"/>
    <cellStyle name="20% - Accent6 3 2 2 2 2 3 2 2 2" xfId="44623" xr:uid="{00000000-0005-0000-0000-0000C4410000}"/>
    <cellStyle name="20% - Accent6 3 2 2 2 2 3 2 3" xfId="33322" xr:uid="{00000000-0005-0000-0000-0000C5410000}"/>
    <cellStyle name="20% - Accent6 3 2 2 2 2 3 3" xfId="16371" xr:uid="{00000000-0005-0000-0000-0000C6410000}"/>
    <cellStyle name="20% - Accent6 3 2 2 2 2 3 3 2" xfId="38973" xr:uid="{00000000-0005-0000-0000-0000C7410000}"/>
    <cellStyle name="20% - Accent6 3 2 2 2 2 3 4" xfId="27672" xr:uid="{00000000-0005-0000-0000-0000C8410000}"/>
    <cellStyle name="20% - Accent6 3 2 2 2 2 4" xfId="7569" xr:uid="{00000000-0005-0000-0000-0000C9410000}"/>
    <cellStyle name="20% - Accent6 3 2 2 2 2 4 2" xfId="18870" xr:uid="{00000000-0005-0000-0000-0000CA410000}"/>
    <cellStyle name="20% - Accent6 3 2 2 2 2 4 2 2" xfId="41472" xr:uid="{00000000-0005-0000-0000-0000CB410000}"/>
    <cellStyle name="20% - Accent6 3 2 2 2 2 4 3" xfId="30171" xr:uid="{00000000-0005-0000-0000-0000CC410000}"/>
    <cellStyle name="20% - Accent6 3 2 2 2 2 5" xfId="13220" xr:uid="{00000000-0005-0000-0000-0000CD410000}"/>
    <cellStyle name="20% - Accent6 3 2 2 2 2 5 2" xfId="35822" xr:uid="{00000000-0005-0000-0000-0000CE410000}"/>
    <cellStyle name="20% - Accent6 3 2 2 2 2 6" xfId="24521" xr:uid="{00000000-0005-0000-0000-0000CF410000}"/>
    <cellStyle name="20% - Accent6 3 2 2 2 3" xfId="2661" xr:uid="{00000000-0005-0000-0000-0000D0410000}"/>
    <cellStyle name="20% - Accent6 3 2 2 2 3 2" xfId="5680" xr:uid="{00000000-0005-0000-0000-0000D1410000}"/>
    <cellStyle name="20% - Accent6 3 2 2 2 3 2 2" xfId="11330" xr:uid="{00000000-0005-0000-0000-0000D2410000}"/>
    <cellStyle name="20% - Accent6 3 2 2 2 3 2 2 2" xfId="22631" xr:uid="{00000000-0005-0000-0000-0000D3410000}"/>
    <cellStyle name="20% - Accent6 3 2 2 2 3 2 2 2 2" xfId="45233" xr:uid="{00000000-0005-0000-0000-0000D4410000}"/>
    <cellStyle name="20% - Accent6 3 2 2 2 3 2 2 3" xfId="33932" xr:uid="{00000000-0005-0000-0000-0000D5410000}"/>
    <cellStyle name="20% - Accent6 3 2 2 2 3 2 3" xfId="16981" xr:uid="{00000000-0005-0000-0000-0000D6410000}"/>
    <cellStyle name="20% - Accent6 3 2 2 2 3 2 3 2" xfId="39583" xr:uid="{00000000-0005-0000-0000-0000D7410000}"/>
    <cellStyle name="20% - Accent6 3 2 2 2 3 2 4" xfId="28282" xr:uid="{00000000-0005-0000-0000-0000D8410000}"/>
    <cellStyle name="20% - Accent6 3 2 2 2 3 3" xfId="8497" xr:uid="{00000000-0005-0000-0000-0000D9410000}"/>
    <cellStyle name="20% - Accent6 3 2 2 2 3 3 2" xfId="19798" xr:uid="{00000000-0005-0000-0000-0000DA410000}"/>
    <cellStyle name="20% - Accent6 3 2 2 2 3 3 2 2" xfId="42400" xr:uid="{00000000-0005-0000-0000-0000DB410000}"/>
    <cellStyle name="20% - Accent6 3 2 2 2 3 3 3" xfId="31099" xr:uid="{00000000-0005-0000-0000-0000DC410000}"/>
    <cellStyle name="20% - Accent6 3 2 2 2 3 4" xfId="14148" xr:uid="{00000000-0005-0000-0000-0000DD410000}"/>
    <cellStyle name="20% - Accent6 3 2 2 2 3 4 2" xfId="36750" xr:uid="{00000000-0005-0000-0000-0000DE410000}"/>
    <cellStyle name="20% - Accent6 3 2 2 2 3 5" xfId="25449" xr:uid="{00000000-0005-0000-0000-0000DF410000}"/>
    <cellStyle name="20% - Accent6 3 2 2 2 4" xfId="4446" xr:uid="{00000000-0005-0000-0000-0000E0410000}"/>
    <cellStyle name="20% - Accent6 3 2 2 2 4 2" xfId="10096" xr:uid="{00000000-0005-0000-0000-0000E1410000}"/>
    <cellStyle name="20% - Accent6 3 2 2 2 4 2 2" xfId="21397" xr:uid="{00000000-0005-0000-0000-0000E2410000}"/>
    <cellStyle name="20% - Accent6 3 2 2 2 4 2 2 2" xfId="43999" xr:uid="{00000000-0005-0000-0000-0000E3410000}"/>
    <cellStyle name="20% - Accent6 3 2 2 2 4 2 3" xfId="32698" xr:uid="{00000000-0005-0000-0000-0000E4410000}"/>
    <cellStyle name="20% - Accent6 3 2 2 2 4 3" xfId="15747" xr:uid="{00000000-0005-0000-0000-0000E5410000}"/>
    <cellStyle name="20% - Accent6 3 2 2 2 4 3 2" xfId="38349" xr:uid="{00000000-0005-0000-0000-0000E6410000}"/>
    <cellStyle name="20% - Accent6 3 2 2 2 4 4" xfId="27048" xr:uid="{00000000-0005-0000-0000-0000E7410000}"/>
    <cellStyle name="20% - Accent6 3 2 2 2 5" xfId="7242" xr:uid="{00000000-0005-0000-0000-0000E8410000}"/>
    <cellStyle name="20% - Accent6 3 2 2 2 5 2" xfId="18543" xr:uid="{00000000-0005-0000-0000-0000E9410000}"/>
    <cellStyle name="20% - Accent6 3 2 2 2 5 2 2" xfId="41145" xr:uid="{00000000-0005-0000-0000-0000EA410000}"/>
    <cellStyle name="20% - Accent6 3 2 2 2 5 3" xfId="29844" xr:uid="{00000000-0005-0000-0000-0000EB410000}"/>
    <cellStyle name="20% - Accent6 3 2 2 2 6" xfId="12893" xr:uid="{00000000-0005-0000-0000-0000EC410000}"/>
    <cellStyle name="20% - Accent6 3 2 2 2 6 2" xfId="35495" xr:uid="{00000000-0005-0000-0000-0000ED410000}"/>
    <cellStyle name="20% - Accent6 3 2 2 2 7" xfId="24194" xr:uid="{00000000-0005-0000-0000-0000EE410000}"/>
    <cellStyle name="20% - Accent6 3 2 2 3" xfId="961" xr:uid="{00000000-0005-0000-0000-0000EF410000}"/>
    <cellStyle name="20% - Accent6 3 2 2 3 2" xfId="3024" xr:uid="{00000000-0005-0000-0000-0000F0410000}"/>
    <cellStyle name="20% - Accent6 3 2 2 3 2 2" xfId="5996" xr:uid="{00000000-0005-0000-0000-0000F1410000}"/>
    <cellStyle name="20% - Accent6 3 2 2 3 2 2 2" xfId="11646" xr:uid="{00000000-0005-0000-0000-0000F2410000}"/>
    <cellStyle name="20% - Accent6 3 2 2 3 2 2 2 2" xfId="22947" xr:uid="{00000000-0005-0000-0000-0000F3410000}"/>
    <cellStyle name="20% - Accent6 3 2 2 3 2 2 2 2 2" xfId="45549" xr:uid="{00000000-0005-0000-0000-0000F4410000}"/>
    <cellStyle name="20% - Accent6 3 2 2 3 2 2 2 3" xfId="34248" xr:uid="{00000000-0005-0000-0000-0000F5410000}"/>
    <cellStyle name="20% - Accent6 3 2 2 3 2 2 3" xfId="17297" xr:uid="{00000000-0005-0000-0000-0000F6410000}"/>
    <cellStyle name="20% - Accent6 3 2 2 3 2 2 3 2" xfId="39899" xr:uid="{00000000-0005-0000-0000-0000F7410000}"/>
    <cellStyle name="20% - Accent6 3 2 2 3 2 2 4" xfId="28598" xr:uid="{00000000-0005-0000-0000-0000F8410000}"/>
    <cellStyle name="20% - Accent6 3 2 2 3 2 3" xfId="8814" xr:uid="{00000000-0005-0000-0000-0000F9410000}"/>
    <cellStyle name="20% - Accent6 3 2 2 3 2 3 2" xfId="20115" xr:uid="{00000000-0005-0000-0000-0000FA410000}"/>
    <cellStyle name="20% - Accent6 3 2 2 3 2 3 2 2" xfId="42717" xr:uid="{00000000-0005-0000-0000-0000FB410000}"/>
    <cellStyle name="20% - Accent6 3 2 2 3 2 3 3" xfId="31416" xr:uid="{00000000-0005-0000-0000-0000FC410000}"/>
    <cellStyle name="20% - Accent6 3 2 2 3 2 4" xfId="14465" xr:uid="{00000000-0005-0000-0000-0000FD410000}"/>
    <cellStyle name="20% - Accent6 3 2 2 3 2 4 2" xfId="37067" xr:uid="{00000000-0005-0000-0000-0000FE410000}"/>
    <cellStyle name="20% - Accent6 3 2 2 3 2 5" xfId="25766" xr:uid="{00000000-0005-0000-0000-0000FF410000}"/>
    <cellStyle name="20% - Accent6 3 2 2 3 3" xfId="4762" xr:uid="{00000000-0005-0000-0000-000000420000}"/>
    <cellStyle name="20% - Accent6 3 2 2 3 3 2" xfId="10412" xr:uid="{00000000-0005-0000-0000-000001420000}"/>
    <cellStyle name="20% - Accent6 3 2 2 3 3 2 2" xfId="21713" xr:uid="{00000000-0005-0000-0000-000002420000}"/>
    <cellStyle name="20% - Accent6 3 2 2 3 3 2 2 2" xfId="44315" xr:uid="{00000000-0005-0000-0000-000003420000}"/>
    <cellStyle name="20% - Accent6 3 2 2 3 3 2 3" xfId="33014" xr:uid="{00000000-0005-0000-0000-000004420000}"/>
    <cellStyle name="20% - Accent6 3 2 2 3 3 3" xfId="16063" xr:uid="{00000000-0005-0000-0000-000005420000}"/>
    <cellStyle name="20% - Accent6 3 2 2 3 3 3 2" xfId="38665" xr:uid="{00000000-0005-0000-0000-000006420000}"/>
    <cellStyle name="20% - Accent6 3 2 2 3 3 4" xfId="27364" xr:uid="{00000000-0005-0000-0000-000007420000}"/>
    <cellStyle name="20% - Accent6 3 2 2 3 4" xfId="6949" xr:uid="{00000000-0005-0000-0000-000008420000}"/>
    <cellStyle name="20% - Accent6 3 2 2 3 4 2" xfId="18250" xr:uid="{00000000-0005-0000-0000-000009420000}"/>
    <cellStyle name="20% - Accent6 3 2 2 3 4 2 2" xfId="40852" xr:uid="{00000000-0005-0000-0000-00000A420000}"/>
    <cellStyle name="20% - Accent6 3 2 2 3 4 3" xfId="29551" xr:uid="{00000000-0005-0000-0000-00000B420000}"/>
    <cellStyle name="20% - Accent6 3 2 2 3 5" xfId="12600" xr:uid="{00000000-0005-0000-0000-00000C420000}"/>
    <cellStyle name="20% - Accent6 3 2 2 3 5 2" xfId="35202" xr:uid="{00000000-0005-0000-0000-00000D420000}"/>
    <cellStyle name="20% - Accent6 3 2 2 3 6" xfId="23901" xr:uid="{00000000-0005-0000-0000-00000E420000}"/>
    <cellStyle name="20% - Accent6 3 2 2 4" xfId="1712" xr:uid="{00000000-0005-0000-0000-00000F420000}"/>
    <cellStyle name="20% - Accent6 3 2 2 4 2" xfId="3625" xr:uid="{00000000-0005-0000-0000-000010420000}"/>
    <cellStyle name="20% - Accent6 3 2 2 4 2 2" xfId="9336" xr:uid="{00000000-0005-0000-0000-000011420000}"/>
    <cellStyle name="20% - Accent6 3 2 2 4 2 2 2" xfId="20637" xr:uid="{00000000-0005-0000-0000-000012420000}"/>
    <cellStyle name="20% - Accent6 3 2 2 4 2 2 2 2" xfId="43239" xr:uid="{00000000-0005-0000-0000-000013420000}"/>
    <cellStyle name="20% - Accent6 3 2 2 4 2 2 3" xfId="31938" xr:uid="{00000000-0005-0000-0000-000014420000}"/>
    <cellStyle name="20% - Accent6 3 2 2 4 2 3" xfId="14987" xr:uid="{00000000-0005-0000-0000-000015420000}"/>
    <cellStyle name="20% - Accent6 3 2 2 4 2 3 2" xfId="37589" xr:uid="{00000000-0005-0000-0000-000016420000}"/>
    <cellStyle name="20% - Accent6 3 2 2 4 2 4" xfId="26288" xr:uid="{00000000-0005-0000-0000-000017420000}"/>
    <cellStyle name="20% - Accent6 3 2 2 4 3" xfId="5372" xr:uid="{00000000-0005-0000-0000-000018420000}"/>
    <cellStyle name="20% - Accent6 3 2 2 4 3 2" xfId="11022" xr:uid="{00000000-0005-0000-0000-000019420000}"/>
    <cellStyle name="20% - Accent6 3 2 2 4 3 2 2" xfId="22323" xr:uid="{00000000-0005-0000-0000-00001A420000}"/>
    <cellStyle name="20% - Accent6 3 2 2 4 3 2 2 2" xfId="44925" xr:uid="{00000000-0005-0000-0000-00001B420000}"/>
    <cellStyle name="20% - Accent6 3 2 2 4 3 2 3" xfId="33624" xr:uid="{00000000-0005-0000-0000-00001C420000}"/>
    <cellStyle name="20% - Accent6 3 2 2 4 3 3" xfId="16673" xr:uid="{00000000-0005-0000-0000-00001D420000}"/>
    <cellStyle name="20% - Accent6 3 2 2 4 3 3 2" xfId="39275" xr:uid="{00000000-0005-0000-0000-00001E420000}"/>
    <cellStyle name="20% - Accent6 3 2 2 4 3 4" xfId="27974" xr:uid="{00000000-0005-0000-0000-00001F420000}"/>
    <cellStyle name="20% - Accent6 3 2 2 4 4" xfId="7568" xr:uid="{00000000-0005-0000-0000-000020420000}"/>
    <cellStyle name="20% - Accent6 3 2 2 4 4 2" xfId="18869" xr:uid="{00000000-0005-0000-0000-000021420000}"/>
    <cellStyle name="20% - Accent6 3 2 2 4 4 2 2" xfId="41471" xr:uid="{00000000-0005-0000-0000-000022420000}"/>
    <cellStyle name="20% - Accent6 3 2 2 4 4 3" xfId="30170" xr:uid="{00000000-0005-0000-0000-000023420000}"/>
    <cellStyle name="20% - Accent6 3 2 2 4 5" xfId="13219" xr:uid="{00000000-0005-0000-0000-000024420000}"/>
    <cellStyle name="20% - Accent6 3 2 2 4 5 2" xfId="35821" xr:uid="{00000000-0005-0000-0000-000025420000}"/>
    <cellStyle name="20% - Accent6 3 2 2 4 6" xfId="24520" xr:uid="{00000000-0005-0000-0000-000026420000}"/>
    <cellStyle name="20% - Accent6 3 2 2 5" xfId="2353" xr:uid="{00000000-0005-0000-0000-000027420000}"/>
    <cellStyle name="20% - Accent6 3 2 2 5 2" xfId="8189" xr:uid="{00000000-0005-0000-0000-000028420000}"/>
    <cellStyle name="20% - Accent6 3 2 2 5 2 2" xfId="19490" xr:uid="{00000000-0005-0000-0000-000029420000}"/>
    <cellStyle name="20% - Accent6 3 2 2 5 2 2 2" xfId="42092" xr:uid="{00000000-0005-0000-0000-00002A420000}"/>
    <cellStyle name="20% - Accent6 3 2 2 5 2 3" xfId="30791" xr:uid="{00000000-0005-0000-0000-00002B420000}"/>
    <cellStyle name="20% - Accent6 3 2 2 5 3" xfId="13840" xr:uid="{00000000-0005-0000-0000-00002C420000}"/>
    <cellStyle name="20% - Accent6 3 2 2 5 3 2" xfId="36442" xr:uid="{00000000-0005-0000-0000-00002D420000}"/>
    <cellStyle name="20% - Accent6 3 2 2 5 4" xfId="25141" xr:uid="{00000000-0005-0000-0000-00002E420000}"/>
    <cellStyle name="20% - Accent6 3 2 2 6" xfId="4138" xr:uid="{00000000-0005-0000-0000-00002F420000}"/>
    <cellStyle name="20% - Accent6 3 2 2 6 2" xfId="9788" xr:uid="{00000000-0005-0000-0000-000030420000}"/>
    <cellStyle name="20% - Accent6 3 2 2 6 2 2" xfId="21089" xr:uid="{00000000-0005-0000-0000-000031420000}"/>
    <cellStyle name="20% - Accent6 3 2 2 6 2 2 2" xfId="43691" xr:uid="{00000000-0005-0000-0000-000032420000}"/>
    <cellStyle name="20% - Accent6 3 2 2 6 2 3" xfId="32390" xr:uid="{00000000-0005-0000-0000-000033420000}"/>
    <cellStyle name="20% - Accent6 3 2 2 6 3" xfId="15439" xr:uid="{00000000-0005-0000-0000-000034420000}"/>
    <cellStyle name="20% - Accent6 3 2 2 6 3 2" xfId="38041" xr:uid="{00000000-0005-0000-0000-000035420000}"/>
    <cellStyle name="20% - Accent6 3 2 2 6 4" xfId="26740" xr:uid="{00000000-0005-0000-0000-000036420000}"/>
    <cellStyle name="20% - Accent6 3 2 2 7" xfId="6618" xr:uid="{00000000-0005-0000-0000-000037420000}"/>
    <cellStyle name="20% - Accent6 3 2 2 7 2" xfId="17919" xr:uid="{00000000-0005-0000-0000-000038420000}"/>
    <cellStyle name="20% - Accent6 3 2 2 7 2 2" xfId="40521" xr:uid="{00000000-0005-0000-0000-000039420000}"/>
    <cellStyle name="20% - Accent6 3 2 2 7 3" xfId="29220" xr:uid="{00000000-0005-0000-0000-00003A420000}"/>
    <cellStyle name="20% - Accent6 3 2 2 8" xfId="12269" xr:uid="{00000000-0005-0000-0000-00003B420000}"/>
    <cellStyle name="20% - Accent6 3 2 2 8 2" xfId="34871" xr:uid="{00000000-0005-0000-0000-00003C420000}"/>
    <cellStyle name="20% - Accent6 3 2 2 9" xfId="23570" xr:uid="{00000000-0005-0000-0000-00003D420000}"/>
    <cellStyle name="20% - Accent6 3 2 3" xfId="1125" xr:uid="{00000000-0005-0000-0000-00003E420000}"/>
    <cellStyle name="20% - Accent6 3 2 3 2" xfId="1714" xr:uid="{00000000-0005-0000-0000-00003F420000}"/>
    <cellStyle name="20% - Accent6 3 2 3 2 2" xfId="3193" xr:uid="{00000000-0005-0000-0000-000040420000}"/>
    <cellStyle name="20% - Accent6 3 2 3 2 2 2" xfId="6165" xr:uid="{00000000-0005-0000-0000-000041420000}"/>
    <cellStyle name="20% - Accent6 3 2 3 2 2 2 2" xfId="11815" xr:uid="{00000000-0005-0000-0000-000042420000}"/>
    <cellStyle name="20% - Accent6 3 2 3 2 2 2 2 2" xfId="23116" xr:uid="{00000000-0005-0000-0000-000043420000}"/>
    <cellStyle name="20% - Accent6 3 2 3 2 2 2 2 2 2" xfId="45718" xr:uid="{00000000-0005-0000-0000-000044420000}"/>
    <cellStyle name="20% - Accent6 3 2 3 2 2 2 2 3" xfId="34417" xr:uid="{00000000-0005-0000-0000-000045420000}"/>
    <cellStyle name="20% - Accent6 3 2 3 2 2 2 3" xfId="17466" xr:uid="{00000000-0005-0000-0000-000046420000}"/>
    <cellStyle name="20% - Accent6 3 2 3 2 2 2 3 2" xfId="40068" xr:uid="{00000000-0005-0000-0000-000047420000}"/>
    <cellStyle name="20% - Accent6 3 2 3 2 2 2 4" xfId="28767" xr:uid="{00000000-0005-0000-0000-000048420000}"/>
    <cellStyle name="20% - Accent6 3 2 3 2 2 3" xfId="8983" xr:uid="{00000000-0005-0000-0000-000049420000}"/>
    <cellStyle name="20% - Accent6 3 2 3 2 2 3 2" xfId="20284" xr:uid="{00000000-0005-0000-0000-00004A420000}"/>
    <cellStyle name="20% - Accent6 3 2 3 2 2 3 2 2" xfId="42886" xr:uid="{00000000-0005-0000-0000-00004B420000}"/>
    <cellStyle name="20% - Accent6 3 2 3 2 2 3 3" xfId="31585" xr:uid="{00000000-0005-0000-0000-00004C420000}"/>
    <cellStyle name="20% - Accent6 3 2 3 2 2 4" xfId="14634" xr:uid="{00000000-0005-0000-0000-00004D420000}"/>
    <cellStyle name="20% - Accent6 3 2 3 2 2 4 2" xfId="37236" xr:uid="{00000000-0005-0000-0000-00004E420000}"/>
    <cellStyle name="20% - Accent6 3 2 3 2 2 5" xfId="25935" xr:uid="{00000000-0005-0000-0000-00004F420000}"/>
    <cellStyle name="20% - Accent6 3 2 3 2 3" xfId="4931" xr:uid="{00000000-0005-0000-0000-000050420000}"/>
    <cellStyle name="20% - Accent6 3 2 3 2 3 2" xfId="10581" xr:uid="{00000000-0005-0000-0000-000051420000}"/>
    <cellStyle name="20% - Accent6 3 2 3 2 3 2 2" xfId="21882" xr:uid="{00000000-0005-0000-0000-000052420000}"/>
    <cellStyle name="20% - Accent6 3 2 3 2 3 2 2 2" xfId="44484" xr:uid="{00000000-0005-0000-0000-000053420000}"/>
    <cellStyle name="20% - Accent6 3 2 3 2 3 2 3" xfId="33183" xr:uid="{00000000-0005-0000-0000-000054420000}"/>
    <cellStyle name="20% - Accent6 3 2 3 2 3 3" xfId="16232" xr:uid="{00000000-0005-0000-0000-000055420000}"/>
    <cellStyle name="20% - Accent6 3 2 3 2 3 3 2" xfId="38834" xr:uid="{00000000-0005-0000-0000-000056420000}"/>
    <cellStyle name="20% - Accent6 3 2 3 2 3 4" xfId="27533" xr:uid="{00000000-0005-0000-0000-000057420000}"/>
    <cellStyle name="20% - Accent6 3 2 3 2 4" xfId="7570" xr:uid="{00000000-0005-0000-0000-000058420000}"/>
    <cellStyle name="20% - Accent6 3 2 3 2 4 2" xfId="18871" xr:uid="{00000000-0005-0000-0000-000059420000}"/>
    <cellStyle name="20% - Accent6 3 2 3 2 4 2 2" xfId="41473" xr:uid="{00000000-0005-0000-0000-00005A420000}"/>
    <cellStyle name="20% - Accent6 3 2 3 2 4 3" xfId="30172" xr:uid="{00000000-0005-0000-0000-00005B420000}"/>
    <cellStyle name="20% - Accent6 3 2 3 2 5" xfId="13221" xr:uid="{00000000-0005-0000-0000-00005C420000}"/>
    <cellStyle name="20% - Accent6 3 2 3 2 5 2" xfId="35823" xr:uid="{00000000-0005-0000-0000-00005D420000}"/>
    <cellStyle name="20% - Accent6 3 2 3 2 6" xfId="24522" xr:uid="{00000000-0005-0000-0000-00005E420000}"/>
    <cellStyle name="20% - Accent6 3 2 3 3" xfId="2522" xr:uid="{00000000-0005-0000-0000-00005F420000}"/>
    <cellStyle name="20% - Accent6 3 2 3 3 2" xfId="5541" xr:uid="{00000000-0005-0000-0000-000060420000}"/>
    <cellStyle name="20% - Accent6 3 2 3 3 2 2" xfId="11191" xr:uid="{00000000-0005-0000-0000-000061420000}"/>
    <cellStyle name="20% - Accent6 3 2 3 3 2 2 2" xfId="22492" xr:uid="{00000000-0005-0000-0000-000062420000}"/>
    <cellStyle name="20% - Accent6 3 2 3 3 2 2 2 2" xfId="45094" xr:uid="{00000000-0005-0000-0000-000063420000}"/>
    <cellStyle name="20% - Accent6 3 2 3 3 2 2 3" xfId="33793" xr:uid="{00000000-0005-0000-0000-000064420000}"/>
    <cellStyle name="20% - Accent6 3 2 3 3 2 3" xfId="16842" xr:uid="{00000000-0005-0000-0000-000065420000}"/>
    <cellStyle name="20% - Accent6 3 2 3 3 2 3 2" xfId="39444" xr:uid="{00000000-0005-0000-0000-000066420000}"/>
    <cellStyle name="20% - Accent6 3 2 3 3 2 4" xfId="28143" xr:uid="{00000000-0005-0000-0000-000067420000}"/>
    <cellStyle name="20% - Accent6 3 2 3 3 3" xfId="8358" xr:uid="{00000000-0005-0000-0000-000068420000}"/>
    <cellStyle name="20% - Accent6 3 2 3 3 3 2" xfId="19659" xr:uid="{00000000-0005-0000-0000-000069420000}"/>
    <cellStyle name="20% - Accent6 3 2 3 3 3 2 2" xfId="42261" xr:uid="{00000000-0005-0000-0000-00006A420000}"/>
    <cellStyle name="20% - Accent6 3 2 3 3 3 3" xfId="30960" xr:uid="{00000000-0005-0000-0000-00006B420000}"/>
    <cellStyle name="20% - Accent6 3 2 3 3 4" xfId="14009" xr:uid="{00000000-0005-0000-0000-00006C420000}"/>
    <cellStyle name="20% - Accent6 3 2 3 3 4 2" xfId="36611" xr:uid="{00000000-0005-0000-0000-00006D420000}"/>
    <cellStyle name="20% - Accent6 3 2 3 3 5" xfId="25310" xr:uid="{00000000-0005-0000-0000-00006E420000}"/>
    <cellStyle name="20% - Accent6 3 2 3 4" xfId="4307" xr:uid="{00000000-0005-0000-0000-00006F420000}"/>
    <cellStyle name="20% - Accent6 3 2 3 4 2" xfId="9957" xr:uid="{00000000-0005-0000-0000-000070420000}"/>
    <cellStyle name="20% - Accent6 3 2 3 4 2 2" xfId="21258" xr:uid="{00000000-0005-0000-0000-000071420000}"/>
    <cellStyle name="20% - Accent6 3 2 3 4 2 2 2" xfId="43860" xr:uid="{00000000-0005-0000-0000-000072420000}"/>
    <cellStyle name="20% - Accent6 3 2 3 4 2 3" xfId="32559" xr:uid="{00000000-0005-0000-0000-000073420000}"/>
    <cellStyle name="20% - Accent6 3 2 3 4 3" xfId="15608" xr:uid="{00000000-0005-0000-0000-000074420000}"/>
    <cellStyle name="20% - Accent6 3 2 3 4 3 2" xfId="38210" xr:uid="{00000000-0005-0000-0000-000075420000}"/>
    <cellStyle name="20% - Accent6 3 2 3 4 4" xfId="26909" xr:uid="{00000000-0005-0000-0000-000076420000}"/>
    <cellStyle name="20% - Accent6 3 2 3 5" xfId="7104" xr:uid="{00000000-0005-0000-0000-000077420000}"/>
    <cellStyle name="20% - Accent6 3 2 3 5 2" xfId="18405" xr:uid="{00000000-0005-0000-0000-000078420000}"/>
    <cellStyle name="20% - Accent6 3 2 3 5 2 2" xfId="41007" xr:uid="{00000000-0005-0000-0000-000079420000}"/>
    <cellStyle name="20% - Accent6 3 2 3 5 3" xfId="29706" xr:uid="{00000000-0005-0000-0000-00007A420000}"/>
    <cellStyle name="20% - Accent6 3 2 3 6" xfId="12755" xr:uid="{00000000-0005-0000-0000-00007B420000}"/>
    <cellStyle name="20% - Accent6 3 2 3 6 2" xfId="35357" xr:uid="{00000000-0005-0000-0000-00007C420000}"/>
    <cellStyle name="20% - Accent6 3 2 3 7" xfId="24056" xr:uid="{00000000-0005-0000-0000-00007D420000}"/>
    <cellStyle name="20% - Accent6 3 2 4" xfId="814" xr:uid="{00000000-0005-0000-0000-00007E420000}"/>
    <cellStyle name="20% - Accent6 3 2 4 2" xfId="2886" xr:uid="{00000000-0005-0000-0000-00007F420000}"/>
    <cellStyle name="20% - Accent6 3 2 4 2 2" xfId="5858" xr:uid="{00000000-0005-0000-0000-000080420000}"/>
    <cellStyle name="20% - Accent6 3 2 4 2 2 2" xfId="11508" xr:uid="{00000000-0005-0000-0000-000081420000}"/>
    <cellStyle name="20% - Accent6 3 2 4 2 2 2 2" xfId="22809" xr:uid="{00000000-0005-0000-0000-000082420000}"/>
    <cellStyle name="20% - Accent6 3 2 4 2 2 2 2 2" xfId="45411" xr:uid="{00000000-0005-0000-0000-000083420000}"/>
    <cellStyle name="20% - Accent6 3 2 4 2 2 2 3" xfId="34110" xr:uid="{00000000-0005-0000-0000-000084420000}"/>
    <cellStyle name="20% - Accent6 3 2 4 2 2 3" xfId="17159" xr:uid="{00000000-0005-0000-0000-000085420000}"/>
    <cellStyle name="20% - Accent6 3 2 4 2 2 3 2" xfId="39761" xr:uid="{00000000-0005-0000-0000-000086420000}"/>
    <cellStyle name="20% - Accent6 3 2 4 2 2 4" xfId="28460" xr:uid="{00000000-0005-0000-0000-000087420000}"/>
    <cellStyle name="20% - Accent6 3 2 4 2 3" xfId="8676" xr:uid="{00000000-0005-0000-0000-000088420000}"/>
    <cellStyle name="20% - Accent6 3 2 4 2 3 2" xfId="19977" xr:uid="{00000000-0005-0000-0000-000089420000}"/>
    <cellStyle name="20% - Accent6 3 2 4 2 3 2 2" xfId="42579" xr:uid="{00000000-0005-0000-0000-00008A420000}"/>
    <cellStyle name="20% - Accent6 3 2 4 2 3 3" xfId="31278" xr:uid="{00000000-0005-0000-0000-00008B420000}"/>
    <cellStyle name="20% - Accent6 3 2 4 2 4" xfId="14327" xr:uid="{00000000-0005-0000-0000-00008C420000}"/>
    <cellStyle name="20% - Accent6 3 2 4 2 4 2" xfId="36929" xr:uid="{00000000-0005-0000-0000-00008D420000}"/>
    <cellStyle name="20% - Accent6 3 2 4 2 5" xfId="25628" xr:uid="{00000000-0005-0000-0000-00008E420000}"/>
    <cellStyle name="20% - Accent6 3 2 4 3" xfId="4624" xr:uid="{00000000-0005-0000-0000-00008F420000}"/>
    <cellStyle name="20% - Accent6 3 2 4 3 2" xfId="10274" xr:uid="{00000000-0005-0000-0000-000090420000}"/>
    <cellStyle name="20% - Accent6 3 2 4 3 2 2" xfId="21575" xr:uid="{00000000-0005-0000-0000-000091420000}"/>
    <cellStyle name="20% - Accent6 3 2 4 3 2 2 2" xfId="44177" xr:uid="{00000000-0005-0000-0000-000092420000}"/>
    <cellStyle name="20% - Accent6 3 2 4 3 2 3" xfId="32876" xr:uid="{00000000-0005-0000-0000-000093420000}"/>
    <cellStyle name="20% - Accent6 3 2 4 3 3" xfId="15925" xr:uid="{00000000-0005-0000-0000-000094420000}"/>
    <cellStyle name="20% - Accent6 3 2 4 3 3 2" xfId="38527" xr:uid="{00000000-0005-0000-0000-000095420000}"/>
    <cellStyle name="20% - Accent6 3 2 4 3 4" xfId="27226" xr:uid="{00000000-0005-0000-0000-000096420000}"/>
    <cellStyle name="20% - Accent6 3 2 4 4" xfId="6811" xr:uid="{00000000-0005-0000-0000-000097420000}"/>
    <cellStyle name="20% - Accent6 3 2 4 4 2" xfId="18112" xr:uid="{00000000-0005-0000-0000-000098420000}"/>
    <cellStyle name="20% - Accent6 3 2 4 4 2 2" xfId="40714" xr:uid="{00000000-0005-0000-0000-000099420000}"/>
    <cellStyle name="20% - Accent6 3 2 4 4 3" xfId="29413" xr:uid="{00000000-0005-0000-0000-00009A420000}"/>
    <cellStyle name="20% - Accent6 3 2 4 5" xfId="12462" xr:uid="{00000000-0005-0000-0000-00009B420000}"/>
    <cellStyle name="20% - Accent6 3 2 4 5 2" xfId="35064" xr:uid="{00000000-0005-0000-0000-00009C420000}"/>
    <cellStyle name="20% - Accent6 3 2 4 6" xfId="23763" xr:uid="{00000000-0005-0000-0000-00009D420000}"/>
    <cellStyle name="20% - Accent6 3 2 5" xfId="1711" xr:uid="{00000000-0005-0000-0000-00009E420000}"/>
    <cellStyle name="20% - Accent6 3 2 5 2" xfId="3624" xr:uid="{00000000-0005-0000-0000-00009F420000}"/>
    <cellStyle name="20% - Accent6 3 2 5 2 2" xfId="9335" xr:uid="{00000000-0005-0000-0000-0000A0420000}"/>
    <cellStyle name="20% - Accent6 3 2 5 2 2 2" xfId="20636" xr:uid="{00000000-0005-0000-0000-0000A1420000}"/>
    <cellStyle name="20% - Accent6 3 2 5 2 2 2 2" xfId="43238" xr:uid="{00000000-0005-0000-0000-0000A2420000}"/>
    <cellStyle name="20% - Accent6 3 2 5 2 2 3" xfId="31937" xr:uid="{00000000-0005-0000-0000-0000A3420000}"/>
    <cellStyle name="20% - Accent6 3 2 5 2 3" xfId="14986" xr:uid="{00000000-0005-0000-0000-0000A4420000}"/>
    <cellStyle name="20% - Accent6 3 2 5 2 3 2" xfId="37588" xr:uid="{00000000-0005-0000-0000-0000A5420000}"/>
    <cellStyle name="20% - Accent6 3 2 5 2 4" xfId="26287" xr:uid="{00000000-0005-0000-0000-0000A6420000}"/>
    <cellStyle name="20% - Accent6 3 2 5 3" xfId="5234" xr:uid="{00000000-0005-0000-0000-0000A7420000}"/>
    <cellStyle name="20% - Accent6 3 2 5 3 2" xfId="10884" xr:uid="{00000000-0005-0000-0000-0000A8420000}"/>
    <cellStyle name="20% - Accent6 3 2 5 3 2 2" xfId="22185" xr:uid="{00000000-0005-0000-0000-0000A9420000}"/>
    <cellStyle name="20% - Accent6 3 2 5 3 2 2 2" xfId="44787" xr:uid="{00000000-0005-0000-0000-0000AA420000}"/>
    <cellStyle name="20% - Accent6 3 2 5 3 2 3" xfId="33486" xr:uid="{00000000-0005-0000-0000-0000AB420000}"/>
    <cellStyle name="20% - Accent6 3 2 5 3 3" xfId="16535" xr:uid="{00000000-0005-0000-0000-0000AC420000}"/>
    <cellStyle name="20% - Accent6 3 2 5 3 3 2" xfId="39137" xr:uid="{00000000-0005-0000-0000-0000AD420000}"/>
    <cellStyle name="20% - Accent6 3 2 5 3 4" xfId="27836" xr:uid="{00000000-0005-0000-0000-0000AE420000}"/>
    <cellStyle name="20% - Accent6 3 2 5 4" xfId="7567" xr:uid="{00000000-0005-0000-0000-0000AF420000}"/>
    <cellStyle name="20% - Accent6 3 2 5 4 2" xfId="18868" xr:uid="{00000000-0005-0000-0000-0000B0420000}"/>
    <cellStyle name="20% - Accent6 3 2 5 4 2 2" xfId="41470" xr:uid="{00000000-0005-0000-0000-0000B1420000}"/>
    <cellStyle name="20% - Accent6 3 2 5 4 3" xfId="30169" xr:uid="{00000000-0005-0000-0000-0000B2420000}"/>
    <cellStyle name="20% - Accent6 3 2 5 5" xfId="13218" xr:uid="{00000000-0005-0000-0000-0000B3420000}"/>
    <cellStyle name="20% - Accent6 3 2 5 5 2" xfId="35820" xr:uid="{00000000-0005-0000-0000-0000B4420000}"/>
    <cellStyle name="20% - Accent6 3 2 5 6" xfId="24519" xr:uid="{00000000-0005-0000-0000-0000B5420000}"/>
    <cellStyle name="20% - Accent6 3 2 6" xfId="2213" xr:uid="{00000000-0005-0000-0000-0000B6420000}"/>
    <cellStyle name="20% - Accent6 3 2 6 2" xfId="8049" xr:uid="{00000000-0005-0000-0000-0000B7420000}"/>
    <cellStyle name="20% - Accent6 3 2 6 2 2" xfId="19350" xr:uid="{00000000-0005-0000-0000-0000B8420000}"/>
    <cellStyle name="20% - Accent6 3 2 6 2 2 2" xfId="41952" xr:uid="{00000000-0005-0000-0000-0000B9420000}"/>
    <cellStyle name="20% - Accent6 3 2 6 2 3" xfId="30651" xr:uid="{00000000-0005-0000-0000-0000BA420000}"/>
    <cellStyle name="20% - Accent6 3 2 6 3" xfId="13700" xr:uid="{00000000-0005-0000-0000-0000BB420000}"/>
    <cellStyle name="20% - Accent6 3 2 6 3 2" xfId="36302" xr:uid="{00000000-0005-0000-0000-0000BC420000}"/>
    <cellStyle name="20% - Accent6 3 2 6 4" xfId="25001" xr:uid="{00000000-0005-0000-0000-0000BD420000}"/>
    <cellStyle name="20% - Accent6 3 2 7" xfId="4000" xr:uid="{00000000-0005-0000-0000-0000BE420000}"/>
    <cellStyle name="20% - Accent6 3 2 7 2" xfId="9650" xr:uid="{00000000-0005-0000-0000-0000BF420000}"/>
    <cellStyle name="20% - Accent6 3 2 7 2 2" xfId="20951" xr:uid="{00000000-0005-0000-0000-0000C0420000}"/>
    <cellStyle name="20% - Accent6 3 2 7 2 2 2" xfId="43553" xr:uid="{00000000-0005-0000-0000-0000C1420000}"/>
    <cellStyle name="20% - Accent6 3 2 7 2 3" xfId="32252" xr:uid="{00000000-0005-0000-0000-0000C2420000}"/>
    <cellStyle name="20% - Accent6 3 2 7 3" xfId="15301" xr:uid="{00000000-0005-0000-0000-0000C3420000}"/>
    <cellStyle name="20% - Accent6 3 2 7 3 2" xfId="37903" xr:uid="{00000000-0005-0000-0000-0000C4420000}"/>
    <cellStyle name="20% - Accent6 3 2 7 4" xfId="26602" xr:uid="{00000000-0005-0000-0000-0000C5420000}"/>
    <cellStyle name="20% - Accent6 3 2 8" xfId="6451" xr:uid="{00000000-0005-0000-0000-0000C6420000}"/>
    <cellStyle name="20% - Accent6 3 2 8 2" xfId="17752" xr:uid="{00000000-0005-0000-0000-0000C7420000}"/>
    <cellStyle name="20% - Accent6 3 2 8 2 2" xfId="40354" xr:uid="{00000000-0005-0000-0000-0000C8420000}"/>
    <cellStyle name="20% - Accent6 3 2 8 3" xfId="29053" xr:uid="{00000000-0005-0000-0000-0000C9420000}"/>
    <cellStyle name="20% - Accent6 3 2 9" xfId="12102" xr:uid="{00000000-0005-0000-0000-0000CA420000}"/>
    <cellStyle name="20% - Accent6 3 2 9 2" xfId="34704" xr:uid="{00000000-0005-0000-0000-0000CB420000}"/>
    <cellStyle name="20% - Accent6 3 3" xfId="357" xr:uid="{00000000-0005-0000-0000-0000CC420000}"/>
    <cellStyle name="20% - Accent6 3 3 10" xfId="23452" xr:uid="{00000000-0005-0000-0000-0000CD420000}"/>
    <cellStyle name="20% - Accent6 3 3 2" xfId="602" xr:uid="{00000000-0005-0000-0000-0000CE420000}"/>
    <cellStyle name="20% - Accent6 3 3 2 2" xfId="1312" xr:uid="{00000000-0005-0000-0000-0000CF420000}"/>
    <cellStyle name="20% - Accent6 3 3 2 2 2" xfId="1717" xr:uid="{00000000-0005-0000-0000-0000D0420000}"/>
    <cellStyle name="20% - Accent6 3 3 2 2 2 2" xfId="3381" xr:uid="{00000000-0005-0000-0000-0000D1420000}"/>
    <cellStyle name="20% - Accent6 3 3 2 2 2 2 2" xfId="6353" xr:uid="{00000000-0005-0000-0000-0000D2420000}"/>
    <cellStyle name="20% - Accent6 3 3 2 2 2 2 2 2" xfId="12003" xr:uid="{00000000-0005-0000-0000-0000D3420000}"/>
    <cellStyle name="20% - Accent6 3 3 2 2 2 2 2 2 2" xfId="23304" xr:uid="{00000000-0005-0000-0000-0000D4420000}"/>
    <cellStyle name="20% - Accent6 3 3 2 2 2 2 2 2 2 2" xfId="45906" xr:uid="{00000000-0005-0000-0000-0000D5420000}"/>
    <cellStyle name="20% - Accent6 3 3 2 2 2 2 2 2 3" xfId="34605" xr:uid="{00000000-0005-0000-0000-0000D6420000}"/>
    <cellStyle name="20% - Accent6 3 3 2 2 2 2 2 3" xfId="17654" xr:uid="{00000000-0005-0000-0000-0000D7420000}"/>
    <cellStyle name="20% - Accent6 3 3 2 2 2 2 2 3 2" xfId="40256" xr:uid="{00000000-0005-0000-0000-0000D8420000}"/>
    <cellStyle name="20% - Accent6 3 3 2 2 2 2 2 4" xfId="28955" xr:uid="{00000000-0005-0000-0000-0000D9420000}"/>
    <cellStyle name="20% - Accent6 3 3 2 2 2 2 3" xfId="9171" xr:uid="{00000000-0005-0000-0000-0000DA420000}"/>
    <cellStyle name="20% - Accent6 3 3 2 2 2 2 3 2" xfId="20472" xr:uid="{00000000-0005-0000-0000-0000DB420000}"/>
    <cellStyle name="20% - Accent6 3 3 2 2 2 2 3 2 2" xfId="43074" xr:uid="{00000000-0005-0000-0000-0000DC420000}"/>
    <cellStyle name="20% - Accent6 3 3 2 2 2 2 3 3" xfId="31773" xr:uid="{00000000-0005-0000-0000-0000DD420000}"/>
    <cellStyle name="20% - Accent6 3 3 2 2 2 2 4" xfId="14822" xr:uid="{00000000-0005-0000-0000-0000DE420000}"/>
    <cellStyle name="20% - Accent6 3 3 2 2 2 2 4 2" xfId="37424" xr:uid="{00000000-0005-0000-0000-0000DF420000}"/>
    <cellStyle name="20% - Accent6 3 3 2 2 2 2 5" xfId="26123" xr:uid="{00000000-0005-0000-0000-0000E0420000}"/>
    <cellStyle name="20% - Accent6 3 3 2 2 2 3" xfId="5119" xr:uid="{00000000-0005-0000-0000-0000E1420000}"/>
    <cellStyle name="20% - Accent6 3 3 2 2 2 3 2" xfId="10769" xr:uid="{00000000-0005-0000-0000-0000E2420000}"/>
    <cellStyle name="20% - Accent6 3 3 2 2 2 3 2 2" xfId="22070" xr:uid="{00000000-0005-0000-0000-0000E3420000}"/>
    <cellStyle name="20% - Accent6 3 3 2 2 2 3 2 2 2" xfId="44672" xr:uid="{00000000-0005-0000-0000-0000E4420000}"/>
    <cellStyle name="20% - Accent6 3 3 2 2 2 3 2 3" xfId="33371" xr:uid="{00000000-0005-0000-0000-0000E5420000}"/>
    <cellStyle name="20% - Accent6 3 3 2 2 2 3 3" xfId="16420" xr:uid="{00000000-0005-0000-0000-0000E6420000}"/>
    <cellStyle name="20% - Accent6 3 3 2 2 2 3 3 2" xfId="39022" xr:uid="{00000000-0005-0000-0000-0000E7420000}"/>
    <cellStyle name="20% - Accent6 3 3 2 2 2 3 4" xfId="27721" xr:uid="{00000000-0005-0000-0000-0000E8420000}"/>
    <cellStyle name="20% - Accent6 3 3 2 2 2 4" xfId="7573" xr:uid="{00000000-0005-0000-0000-0000E9420000}"/>
    <cellStyle name="20% - Accent6 3 3 2 2 2 4 2" xfId="18874" xr:uid="{00000000-0005-0000-0000-0000EA420000}"/>
    <cellStyle name="20% - Accent6 3 3 2 2 2 4 2 2" xfId="41476" xr:uid="{00000000-0005-0000-0000-0000EB420000}"/>
    <cellStyle name="20% - Accent6 3 3 2 2 2 4 3" xfId="30175" xr:uid="{00000000-0005-0000-0000-0000EC420000}"/>
    <cellStyle name="20% - Accent6 3 3 2 2 2 5" xfId="13224" xr:uid="{00000000-0005-0000-0000-0000ED420000}"/>
    <cellStyle name="20% - Accent6 3 3 2 2 2 5 2" xfId="35826" xr:uid="{00000000-0005-0000-0000-0000EE420000}"/>
    <cellStyle name="20% - Accent6 3 3 2 2 2 6" xfId="24525" xr:uid="{00000000-0005-0000-0000-0000EF420000}"/>
    <cellStyle name="20% - Accent6 3 3 2 2 3" xfId="2710" xr:uid="{00000000-0005-0000-0000-0000F0420000}"/>
    <cellStyle name="20% - Accent6 3 3 2 2 3 2" xfId="5729" xr:uid="{00000000-0005-0000-0000-0000F1420000}"/>
    <cellStyle name="20% - Accent6 3 3 2 2 3 2 2" xfId="11379" xr:uid="{00000000-0005-0000-0000-0000F2420000}"/>
    <cellStyle name="20% - Accent6 3 3 2 2 3 2 2 2" xfId="22680" xr:uid="{00000000-0005-0000-0000-0000F3420000}"/>
    <cellStyle name="20% - Accent6 3 3 2 2 3 2 2 2 2" xfId="45282" xr:uid="{00000000-0005-0000-0000-0000F4420000}"/>
    <cellStyle name="20% - Accent6 3 3 2 2 3 2 2 3" xfId="33981" xr:uid="{00000000-0005-0000-0000-0000F5420000}"/>
    <cellStyle name="20% - Accent6 3 3 2 2 3 2 3" xfId="17030" xr:uid="{00000000-0005-0000-0000-0000F6420000}"/>
    <cellStyle name="20% - Accent6 3 3 2 2 3 2 3 2" xfId="39632" xr:uid="{00000000-0005-0000-0000-0000F7420000}"/>
    <cellStyle name="20% - Accent6 3 3 2 2 3 2 4" xfId="28331" xr:uid="{00000000-0005-0000-0000-0000F8420000}"/>
    <cellStyle name="20% - Accent6 3 3 2 2 3 3" xfId="8546" xr:uid="{00000000-0005-0000-0000-0000F9420000}"/>
    <cellStyle name="20% - Accent6 3 3 2 2 3 3 2" xfId="19847" xr:uid="{00000000-0005-0000-0000-0000FA420000}"/>
    <cellStyle name="20% - Accent6 3 3 2 2 3 3 2 2" xfId="42449" xr:uid="{00000000-0005-0000-0000-0000FB420000}"/>
    <cellStyle name="20% - Accent6 3 3 2 2 3 3 3" xfId="31148" xr:uid="{00000000-0005-0000-0000-0000FC420000}"/>
    <cellStyle name="20% - Accent6 3 3 2 2 3 4" xfId="14197" xr:uid="{00000000-0005-0000-0000-0000FD420000}"/>
    <cellStyle name="20% - Accent6 3 3 2 2 3 4 2" xfId="36799" xr:uid="{00000000-0005-0000-0000-0000FE420000}"/>
    <cellStyle name="20% - Accent6 3 3 2 2 3 5" xfId="25498" xr:uid="{00000000-0005-0000-0000-0000FF420000}"/>
    <cellStyle name="20% - Accent6 3 3 2 2 4" xfId="4495" xr:uid="{00000000-0005-0000-0000-000000430000}"/>
    <cellStyle name="20% - Accent6 3 3 2 2 4 2" xfId="10145" xr:uid="{00000000-0005-0000-0000-000001430000}"/>
    <cellStyle name="20% - Accent6 3 3 2 2 4 2 2" xfId="21446" xr:uid="{00000000-0005-0000-0000-000002430000}"/>
    <cellStyle name="20% - Accent6 3 3 2 2 4 2 2 2" xfId="44048" xr:uid="{00000000-0005-0000-0000-000003430000}"/>
    <cellStyle name="20% - Accent6 3 3 2 2 4 2 3" xfId="32747" xr:uid="{00000000-0005-0000-0000-000004430000}"/>
    <cellStyle name="20% - Accent6 3 3 2 2 4 3" xfId="15796" xr:uid="{00000000-0005-0000-0000-000005430000}"/>
    <cellStyle name="20% - Accent6 3 3 2 2 4 3 2" xfId="38398" xr:uid="{00000000-0005-0000-0000-000006430000}"/>
    <cellStyle name="20% - Accent6 3 3 2 2 4 4" xfId="27097" xr:uid="{00000000-0005-0000-0000-000007430000}"/>
    <cellStyle name="20% - Accent6 3 3 2 2 5" xfId="7291" xr:uid="{00000000-0005-0000-0000-000008430000}"/>
    <cellStyle name="20% - Accent6 3 3 2 2 5 2" xfId="18592" xr:uid="{00000000-0005-0000-0000-000009430000}"/>
    <cellStyle name="20% - Accent6 3 3 2 2 5 2 2" xfId="41194" xr:uid="{00000000-0005-0000-0000-00000A430000}"/>
    <cellStyle name="20% - Accent6 3 3 2 2 5 3" xfId="29893" xr:uid="{00000000-0005-0000-0000-00000B430000}"/>
    <cellStyle name="20% - Accent6 3 3 2 2 6" xfId="12942" xr:uid="{00000000-0005-0000-0000-00000C430000}"/>
    <cellStyle name="20% - Accent6 3 3 2 2 6 2" xfId="35544" xr:uid="{00000000-0005-0000-0000-00000D430000}"/>
    <cellStyle name="20% - Accent6 3 3 2 2 7" xfId="24243" xr:uid="{00000000-0005-0000-0000-00000E430000}"/>
    <cellStyle name="20% - Accent6 3 3 2 3" xfId="1010" xr:uid="{00000000-0005-0000-0000-00000F430000}"/>
    <cellStyle name="20% - Accent6 3 3 2 3 2" xfId="3073" xr:uid="{00000000-0005-0000-0000-000010430000}"/>
    <cellStyle name="20% - Accent6 3 3 2 3 2 2" xfId="6045" xr:uid="{00000000-0005-0000-0000-000011430000}"/>
    <cellStyle name="20% - Accent6 3 3 2 3 2 2 2" xfId="11695" xr:uid="{00000000-0005-0000-0000-000012430000}"/>
    <cellStyle name="20% - Accent6 3 3 2 3 2 2 2 2" xfId="22996" xr:uid="{00000000-0005-0000-0000-000013430000}"/>
    <cellStyle name="20% - Accent6 3 3 2 3 2 2 2 2 2" xfId="45598" xr:uid="{00000000-0005-0000-0000-000014430000}"/>
    <cellStyle name="20% - Accent6 3 3 2 3 2 2 2 3" xfId="34297" xr:uid="{00000000-0005-0000-0000-000015430000}"/>
    <cellStyle name="20% - Accent6 3 3 2 3 2 2 3" xfId="17346" xr:uid="{00000000-0005-0000-0000-000016430000}"/>
    <cellStyle name="20% - Accent6 3 3 2 3 2 2 3 2" xfId="39948" xr:uid="{00000000-0005-0000-0000-000017430000}"/>
    <cellStyle name="20% - Accent6 3 3 2 3 2 2 4" xfId="28647" xr:uid="{00000000-0005-0000-0000-000018430000}"/>
    <cellStyle name="20% - Accent6 3 3 2 3 2 3" xfId="8863" xr:uid="{00000000-0005-0000-0000-000019430000}"/>
    <cellStyle name="20% - Accent6 3 3 2 3 2 3 2" xfId="20164" xr:uid="{00000000-0005-0000-0000-00001A430000}"/>
    <cellStyle name="20% - Accent6 3 3 2 3 2 3 2 2" xfId="42766" xr:uid="{00000000-0005-0000-0000-00001B430000}"/>
    <cellStyle name="20% - Accent6 3 3 2 3 2 3 3" xfId="31465" xr:uid="{00000000-0005-0000-0000-00001C430000}"/>
    <cellStyle name="20% - Accent6 3 3 2 3 2 4" xfId="14514" xr:uid="{00000000-0005-0000-0000-00001D430000}"/>
    <cellStyle name="20% - Accent6 3 3 2 3 2 4 2" xfId="37116" xr:uid="{00000000-0005-0000-0000-00001E430000}"/>
    <cellStyle name="20% - Accent6 3 3 2 3 2 5" xfId="25815" xr:uid="{00000000-0005-0000-0000-00001F430000}"/>
    <cellStyle name="20% - Accent6 3 3 2 3 3" xfId="4811" xr:uid="{00000000-0005-0000-0000-000020430000}"/>
    <cellStyle name="20% - Accent6 3 3 2 3 3 2" xfId="10461" xr:uid="{00000000-0005-0000-0000-000021430000}"/>
    <cellStyle name="20% - Accent6 3 3 2 3 3 2 2" xfId="21762" xr:uid="{00000000-0005-0000-0000-000022430000}"/>
    <cellStyle name="20% - Accent6 3 3 2 3 3 2 2 2" xfId="44364" xr:uid="{00000000-0005-0000-0000-000023430000}"/>
    <cellStyle name="20% - Accent6 3 3 2 3 3 2 3" xfId="33063" xr:uid="{00000000-0005-0000-0000-000024430000}"/>
    <cellStyle name="20% - Accent6 3 3 2 3 3 3" xfId="16112" xr:uid="{00000000-0005-0000-0000-000025430000}"/>
    <cellStyle name="20% - Accent6 3 3 2 3 3 3 2" xfId="38714" xr:uid="{00000000-0005-0000-0000-000026430000}"/>
    <cellStyle name="20% - Accent6 3 3 2 3 3 4" xfId="27413" xr:uid="{00000000-0005-0000-0000-000027430000}"/>
    <cellStyle name="20% - Accent6 3 3 2 3 4" xfId="6998" xr:uid="{00000000-0005-0000-0000-000028430000}"/>
    <cellStyle name="20% - Accent6 3 3 2 3 4 2" xfId="18299" xr:uid="{00000000-0005-0000-0000-000029430000}"/>
    <cellStyle name="20% - Accent6 3 3 2 3 4 2 2" xfId="40901" xr:uid="{00000000-0005-0000-0000-00002A430000}"/>
    <cellStyle name="20% - Accent6 3 3 2 3 4 3" xfId="29600" xr:uid="{00000000-0005-0000-0000-00002B430000}"/>
    <cellStyle name="20% - Accent6 3 3 2 3 5" xfId="12649" xr:uid="{00000000-0005-0000-0000-00002C430000}"/>
    <cellStyle name="20% - Accent6 3 3 2 3 5 2" xfId="35251" xr:uid="{00000000-0005-0000-0000-00002D430000}"/>
    <cellStyle name="20% - Accent6 3 3 2 3 6" xfId="23950" xr:uid="{00000000-0005-0000-0000-00002E430000}"/>
    <cellStyle name="20% - Accent6 3 3 2 4" xfId="1716" xr:uid="{00000000-0005-0000-0000-00002F430000}"/>
    <cellStyle name="20% - Accent6 3 3 2 4 2" xfId="3627" xr:uid="{00000000-0005-0000-0000-000030430000}"/>
    <cellStyle name="20% - Accent6 3 3 2 4 2 2" xfId="9338" xr:uid="{00000000-0005-0000-0000-000031430000}"/>
    <cellStyle name="20% - Accent6 3 3 2 4 2 2 2" xfId="20639" xr:uid="{00000000-0005-0000-0000-000032430000}"/>
    <cellStyle name="20% - Accent6 3 3 2 4 2 2 2 2" xfId="43241" xr:uid="{00000000-0005-0000-0000-000033430000}"/>
    <cellStyle name="20% - Accent6 3 3 2 4 2 2 3" xfId="31940" xr:uid="{00000000-0005-0000-0000-000034430000}"/>
    <cellStyle name="20% - Accent6 3 3 2 4 2 3" xfId="14989" xr:uid="{00000000-0005-0000-0000-000035430000}"/>
    <cellStyle name="20% - Accent6 3 3 2 4 2 3 2" xfId="37591" xr:uid="{00000000-0005-0000-0000-000036430000}"/>
    <cellStyle name="20% - Accent6 3 3 2 4 2 4" xfId="26290" xr:uid="{00000000-0005-0000-0000-000037430000}"/>
    <cellStyle name="20% - Accent6 3 3 2 4 3" xfId="5421" xr:uid="{00000000-0005-0000-0000-000038430000}"/>
    <cellStyle name="20% - Accent6 3 3 2 4 3 2" xfId="11071" xr:uid="{00000000-0005-0000-0000-000039430000}"/>
    <cellStyle name="20% - Accent6 3 3 2 4 3 2 2" xfId="22372" xr:uid="{00000000-0005-0000-0000-00003A430000}"/>
    <cellStyle name="20% - Accent6 3 3 2 4 3 2 2 2" xfId="44974" xr:uid="{00000000-0005-0000-0000-00003B430000}"/>
    <cellStyle name="20% - Accent6 3 3 2 4 3 2 3" xfId="33673" xr:uid="{00000000-0005-0000-0000-00003C430000}"/>
    <cellStyle name="20% - Accent6 3 3 2 4 3 3" xfId="16722" xr:uid="{00000000-0005-0000-0000-00003D430000}"/>
    <cellStyle name="20% - Accent6 3 3 2 4 3 3 2" xfId="39324" xr:uid="{00000000-0005-0000-0000-00003E430000}"/>
    <cellStyle name="20% - Accent6 3 3 2 4 3 4" xfId="28023" xr:uid="{00000000-0005-0000-0000-00003F430000}"/>
    <cellStyle name="20% - Accent6 3 3 2 4 4" xfId="7572" xr:uid="{00000000-0005-0000-0000-000040430000}"/>
    <cellStyle name="20% - Accent6 3 3 2 4 4 2" xfId="18873" xr:uid="{00000000-0005-0000-0000-000041430000}"/>
    <cellStyle name="20% - Accent6 3 3 2 4 4 2 2" xfId="41475" xr:uid="{00000000-0005-0000-0000-000042430000}"/>
    <cellStyle name="20% - Accent6 3 3 2 4 4 3" xfId="30174" xr:uid="{00000000-0005-0000-0000-000043430000}"/>
    <cellStyle name="20% - Accent6 3 3 2 4 5" xfId="13223" xr:uid="{00000000-0005-0000-0000-000044430000}"/>
    <cellStyle name="20% - Accent6 3 3 2 4 5 2" xfId="35825" xr:uid="{00000000-0005-0000-0000-000045430000}"/>
    <cellStyle name="20% - Accent6 3 3 2 4 6" xfId="24524" xr:uid="{00000000-0005-0000-0000-000046430000}"/>
    <cellStyle name="20% - Accent6 3 3 2 5" xfId="2402" xr:uid="{00000000-0005-0000-0000-000047430000}"/>
    <cellStyle name="20% - Accent6 3 3 2 5 2" xfId="8238" xr:uid="{00000000-0005-0000-0000-000048430000}"/>
    <cellStyle name="20% - Accent6 3 3 2 5 2 2" xfId="19539" xr:uid="{00000000-0005-0000-0000-000049430000}"/>
    <cellStyle name="20% - Accent6 3 3 2 5 2 2 2" xfId="42141" xr:uid="{00000000-0005-0000-0000-00004A430000}"/>
    <cellStyle name="20% - Accent6 3 3 2 5 2 3" xfId="30840" xr:uid="{00000000-0005-0000-0000-00004B430000}"/>
    <cellStyle name="20% - Accent6 3 3 2 5 3" xfId="13889" xr:uid="{00000000-0005-0000-0000-00004C430000}"/>
    <cellStyle name="20% - Accent6 3 3 2 5 3 2" xfId="36491" xr:uid="{00000000-0005-0000-0000-00004D430000}"/>
    <cellStyle name="20% - Accent6 3 3 2 5 4" xfId="25190" xr:uid="{00000000-0005-0000-0000-00004E430000}"/>
    <cellStyle name="20% - Accent6 3 3 2 6" xfId="4187" xr:uid="{00000000-0005-0000-0000-00004F430000}"/>
    <cellStyle name="20% - Accent6 3 3 2 6 2" xfId="9837" xr:uid="{00000000-0005-0000-0000-000050430000}"/>
    <cellStyle name="20% - Accent6 3 3 2 6 2 2" xfId="21138" xr:uid="{00000000-0005-0000-0000-000051430000}"/>
    <cellStyle name="20% - Accent6 3 3 2 6 2 2 2" xfId="43740" xr:uid="{00000000-0005-0000-0000-000052430000}"/>
    <cellStyle name="20% - Accent6 3 3 2 6 2 3" xfId="32439" xr:uid="{00000000-0005-0000-0000-000053430000}"/>
    <cellStyle name="20% - Accent6 3 3 2 6 3" xfId="15488" xr:uid="{00000000-0005-0000-0000-000054430000}"/>
    <cellStyle name="20% - Accent6 3 3 2 6 3 2" xfId="38090" xr:uid="{00000000-0005-0000-0000-000055430000}"/>
    <cellStyle name="20% - Accent6 3 3 2 6 4" xfId="26789" xr:uid="{00000000-0005-0000-0000-000056430000}"/>
    <cellStyle name="20% - Accent6 3 3 2 7" xfId="6667" xr:uid="{00000000-0005-0000-0000-000057430000}"/>
    <cellStyle name="20% - Accent6 3 3 2 7 2" xfId="17968" xr:uid="{00000000-0005-0000-0000-000058430000}"/>
    <cellStyle name="20% - Accent6 3 3 2 7 2 2" xfId="40570" xr:uid="{00000000-0005-0000-0000-000059430000}"/>
    <cellStyle name="20% - Accent6 3 3 2 7 3" xfId="29269" xr:uid="{00000000-0005-0000-0000-00005A430000}"/>
    <cellStyle name="20% - Accent6 3 3 2 8" xfId="12318" xr:uid="{00000000-0005-0000-0000-00005B430000}"/>
    <cellStyle name="20% - Accent6 3 3 2 8 2" xfId="34920" xr:uid="{00000000-0005-0000-0000-00005C430000}"/>
    <cellStyle name="20% - Accent6 3 3 2 9" xfId="23619" xr:uid="{00000000-0005-0000-0000-00005D430000}"/>
    <cellStyle name="20% - Accent6 3 3 3" xfId="1174" xr:uid="{00000000-0005-0000-0000-00005E430000}"/>
    <cellStyle name="20% - Accent6 3 3 3 2" xfId="1718" xr:uid="{00000000-0005-0000-0000-00005F430000}"/>
    <cellStyle name="20% - Accent6 3 3 3 2 2" xfId="3242" xr:uid="{00000000-0005-0000-0000-000060430000}"/>
    <cellStyle name="20% - Accent6 3 3 3 2 2 2" xfId="6214" xr:uid="{00000000-0005-0000-0000-000061430000}"/>
    <cellStyle name="20% - Accent6 3 3 3 2 2 2 2" xfId="11864" xr:uid="{00000000-0005-0000-0000-000062430000}"/>
    <cellStyle name="20% - Accent6 3 3 3 2 2 2 2 2" xfId="23165" xr:uid="{00000000-0005-0000-0000-000063430000}"/>
    <cellStyle name="20% - Accent6 3 3 3 2 2 2 2 2 2" xfId="45767" xr:uid="{00000000-0005-0000-0000-000064430000}"/>
    <cellStyle name="20% - Accent6 3 3 3 2 2 2 2 3" xfId="34466" xr:uid="{00000000-0005-0000-0000-000065430000}"/>
    <cellStyle name="20% - Accent6 3 3 3 2 2 2 3" xfId="17515" xr:uid="{00000000-0005-0000-0000-000066430000}"/>
    <cellStyle name="20% - Accent6 3 3 3 2 2 2 3 2" xfId="40117" xr:uid="{00000000-0005-0000-0000-000067430000}"/>
    <cellStyle name="20% - Accent6 3 3 3 2 2 2 4" xfId="28816" xr:uid="{00000000-0005-0000-0000-000068430000}"/>
    <cellStyle name="20% - Accent6 3 3 3 2 2 3" xfId="9032" xr:uid="{00000000-0005-0000-0000-000069430000}"/>
    <cellStyle name="20% - Accent6 3 3 3 2 2 3 2" xfId="20333" xr:uid="{00000000-0005-0000-0000-00006A430000}"/>
    <cellStyle name="20% - Accent6 3 3 3 2 2 3 2 2" xfId="42935" xr:uid="{00000000-0005-0000-0000-00006B430000}"/>
    <cellStyle name="20% - Accent6 3 3 3 2 2 3 3" xfId="31634" xr:uid="{00000000-0005-0000-0000-00006C430000}"/>
    <cellStyle name="20% - Accent6 3 3 3 2 2 4" xfId="14683" xr:uid="{00000000-0005-0000-0000-00006D430000}"/>
    <cellStyle name="20% - Accent6 3 3 3 2 2 4 2" xfId="37285" xr:uid="{00000000-0005-0000-0000-00006E430000}"/>
    <cellStyle name="20% - Accent6 3 3 3 2 2 5" xfId="25984" xr:uid="{00000000-0005-0000-0000-00006F430000}"/>
    <cellStyle name="20% - Accent6 3 3 3 2 3" xfId="4980" xr:uid="{00000000-0005-0000-0000-000070430000}"/>
    <cellStyle name="20% - Accent6 3 3 3 2 3 2" xfId="10630" xr:uid="{00000000-0005-0000-0000-000071430000}"/>
    <cellStyle name="20% - Accent6 3 3 3 2 3 2 2" xfId="21931" xr:uid="{00000000-0005-0000-0000-000072430000}"/>
    <cellStyle name="20% - Accent6 3 3 3 2 3 2 2 2" xfId="44533" xr:uid="{00000000-0005-0000-0000-000073430000}"/>
    <cellStyle name="20% - Accent6 3 3 3 2 3 2 3" xfId="33232" xr:uid="{00000000-0005-0000-0000-000074430000}"/>
    <cellStyle name="20% - Accent6 3 3 3 2 3 3" xfId="16281" xr:uid="{00000000-0005-0000-0000-000075430000}"/>
    <cellStyle name="20% - Accent6 3 3 3 2 3 3 2" xfId="38883" xr:uid="{00000000-0005-0000-0000-000076430000}"/>
    <cellStyle name="20% - Accent6 3 3 3 2 3 4" xfId="27582" xr:uid="{00000000-0005-0000-0000-000077430000}"/>
    <cellStyle name="20% - Accent6 3 3 3 2 4" xfId="7574" xr:uid="{00000000-0005-0000-0000-000078430000}"/>
    <cellStyle name="20% - Accent6 3 3 3 2 4 2" xfId="18875" xr:uid="{00000000-0005-0000-0000-000079430000}"/>
    <cellStyle name="20% - Accent6 3 3 3 2 4 2 2" xfId="41477" xr:uid="{00000000-0005-0000-0000-00007A430000}"/>
    <cellStyle name="20% - Accent6 3 3 3 2 4 3" xfId="30176" xr:uid="{00000000-0005-0000-0000-00007B430000}"/>
    <cellStyle name="20% - Accent6 3 3 3 2 5" xfId="13225" xr:uid="{00000000-0005-0000-0000-00007C430000}"/>
    <cellStyle name="20% - Accent6 3 3 3 2 5 2" xfId="35827" xr:uid="{00000000-0005-0000-0000-00007D430000}"/>
    <cellStyle name="20% - Accent6 3 3 3 2 6" xfId="24526" xr:uid="{00000000-0005-0000-0000-00007E430000}"/>
    <cellStyle name="20% - Accent6 3 3 3 3" xfId="2571" xr:uid="{00000000-0005-0000-0000-00007F430000}"/>
    <cellStyle name="20% - Accent6 3 3 3 3 2" xfId="5590" xr:uid="{00000000-0005-0000-0000-000080430000}"/>
    <cellStyle name="20% - Accent6 3 3 3 3 2 2" xfId="11240" xr:uid="{00000000-0005-0000-0000-000081430000}"/>
    <cellStyle name="20% - Accent6 3 3 3 3 2 2 2" xfId="22541" xr:uid="{00000000-0005-0000-0000-000082430000}"/>
    <cellStyle name="20% - Accent6 3 3 3 3 2 2 2 2" xfId="45143" xr:uid="{00000000-0005-0000-0000-000083430000}"/>
    <cellStyle name="20% - Accent6 3 3 3 3 2 2 3" xfId="33842" xr:uid="{00000000-0005-0000-0000-000084430000}"/>
    <cellStyle name="20% - Accent6 3 3 3 3 2 3" xfId="16891" xr:uid="{00000000-0005-0000-0000-000085430000}"/>
    <cellStyle name="20% - Accent6 3 3 3 3 2 3 2" xfId="39493" xr:uid="{00000000-0005-0000-0000-000086430000}"/>
    <cellStyle name="20% - Accent6 3 3 3 3 2 4" xfId="28192" xr:uid="{00000000-0005-0000-0000-000087430000}"/>
    <cellStyle name="20% - Accent6 3 3 3 3 3" xfId="8407" xr:uid="{00000000-0005-0000-0000-000088430000}"/>
    <cellStyle name="20% - Accent6 3 3 3 3 3 2" xfId="19708" xr:uid="{00000000-0005-0000-0000-000089430000}"/>
    <cellStyle name="20% - Accent6 3 3 3 3 3 2 2" xfId="42310" xr:uid="{00000000-0005-0000-0000-00008A430000}"/>
    <cellStyle name="20% - Accent6 3 3 3 3 3 3" xfId="31009" xr:uid="{00000000-0005-0000-0000-00008B430000}"/>
    <cellStyle name="20% - Accent6 3 3 3 3 4" xfId="14058" xr:uid="{00000000-0005-0000-0000-00008C430000}"/>
    <cellStyle name="20% - Accent6 3 3 3 3 4 2" xfId="36660" xr:uid="{00000000-0005-0000-0000-00008D430000}"/>
    <cellStyle name="20% - Accent6 3 3 3 3 5" xfId="25359" xr:uid="{00000000-0005-0000-0000-00008E430000}"/>
    <cellStyle name="20% - Accent6 3 3 3 4" xfId="4356" xr:uid="{00000000-0005-0000-0000-00008F430000}"/>
    <cellStyle name="20% - Accent6 3 3 3 4 2" xfId="10006" xr:uid="{00000000-0005-0000-0000-000090430000}"/>
    <cellStyle name="20% - Accent6 3 3 3 4 2 2" xfId="21307" xr:uid="{00000000-0005-0000-0000-000091430000}"/>
    <cellStyle name="20% - Accent6 3 3 3 4 2 2 2" xfId="43909" xr:uid="{00000000-0005-0000-0000-000092430000}"/>
    <cellStyle name="20% - Accent6 3 3 3 4 2 3" xfId="32608" xr:uid="{00000000-0005-0000-0000-000093430000}"/>
    <cellStyle name="20% - Accent6 3 3 3 4 3" xfId="15657" xr:uid="{00000000-0005-0000-0000-000094430000}"/>
    <cellStyle name="20% - Accent6 3 3 3 4 3 2" xfId="38259" xr:uid="{00000000-0005-0000-0000-000095430000}"/>
    <cellStyle name="20% - Accent6 3 3 3 4 4" xfId="26958" xr:uid="{00000000-0005-0000-0000-000096430000}"/>
    <cellStyle name="20% - Accent6 3 3 3 5" xfId="7153" xr:uid="{00000000-0005-0000-0000-000097430000}"/>
    <cellStyle name="20% - Accent6 3 3 3 5 2" xfId="18454" xr:uid="{00000000-0005-0000-0000-000098430000}"/>
    <cellStyle name="20% - Accent6 3 3 3 5 2 2" xfId="41056" xr:uid="{00000000-0005-0000-0000-000099430000}"/>
    <cellStyle name="20% - Accent6 3 3 3 5 3" xfId="29755" xr:uid="{00000000-0005-0000-0000-00009A430000}"/>
    <cellStyle name="20% - Accent6 3 3 3 6" xfId="12804" xr:uid="{00000000-0005-0000-0000-00009B430000}"/>
    <cellStyle name="20% - Accent6 3 3 3 6 2" xfId="35406" xr:uid="{00000000-0005-0000-0000-00009C430000}"/>
    <cellStyle name="20% - Accent6 3 3 3 7" xfId="24105" xr:uid="{00000000-0005-0000-0000-00009D430000}"/>
    <cellStyle name="20% - Accent6 3 3 4" xfId="865" xr:uid="{00000000-0005-0000-0000-00009E430000}"/>
    <cellStyle name="20% - Accent6 3 3 4 2" xfId="2935" xr:uid="{00000000-0005-0000-0000-00009F430000}"/>
    <cellStyle name="20% - Accent6 3 3 4 2 2" xfId="5907" xr:uid="{00000000-0005-0000-0000-0000A0430000}"/>
    <cellStyle name="20% - Accent6 3 3 4 2 2 2" xfId="11557" xr:uid="{00000000-0005-0000-0000-0000A1430000}"/>
    <cellStyle name="20% - Accent6 3 3 4 2 2 2 2" xfId="22858" xr:uid="{00000000-0005-0000-0000-0000A2430000}"/>
    <cellStyle name="20% - Accent6 3 3 4 2 2 2 2 2" xfId="45460" xr:uid="{00000000-0005-0000-0000-0000A3430000}"/>
    <cellStyle name="20% - Accent6 3 3 4 2 2 2 3" xfId="34159" xr:uid="{00000000-0005-0000-0000-0000A4430000}"/>
    <cellStyle name="20% - Accent6 3 3 4 2 2 3" xfId="17208" xr:uid="{00000000-0005-0000-0000-0000A5430000}"/>
    <cellStyle name="20% - Accent6 3 3 4 2 2 3 2" xfId="39810" xr:uid="{00000000-0005-0000-0000-0000A6430000}"/>
    <cellStyle name="20% - Accent6 3 3 4 2 2 4" xfId="28509" xr:uid="{00000000-0005-0000-0000-0000A7430000}"/>
    <cellStyle name="20% - Accent6 3 3 4 2 3" xfId="8725" xr:uid="{00000000-0005-0000-0000-0000A8430000}"/>
    <cellStyle name="20% - Accent6 3 3 4 2 3 2" xfId="20026" xr:uid="{00000000-0005-0000-0000-0000A9430000}"/>
    <cellStyle name="20% - Accent6 3 3 4 2 3 2 2" xfId="42628" xr:uid="{00000000-0005-0000-0000-0000AA430000}"/>
    <cellStyle name="20% - Accent6 3 3 4 2 3 3" xfId="31327" xr:uid="{00000000-0005-0000-0000-0000AB430000}"/>
    <cellStyle name="20% - Accent6 3 3 4 2 4" xfId="14376" xr:uid="{00000000-0005-0000-0000-0000AC430000}"/>
    <cellStyle name="20% - Accent6 3 3 4 2 4 2" xfId="36978" xr:uid="{00000000-0005-0000-0000-0000AD430000}"/>
    <cellStyle name="20% - Accent6 3 3 4 2 5" xfId="25677" xr:uid="{00000000-0005-0000-0000-0000AE430000}"/>
    <cellStyle name="20% - Accent6 3 3 4 3" xfId="4673" xr:uid="{00000000-0005-0000-0000-0000AF430000}"/>
    <cellStyle name="20% - Accent6 3 3 4 3 2" xfId="10323" xr:uid="{00000000-0005-0000-0000-0000B0430000}"/>
    <cellStyle name="20% - Accent6 3 3 4 3 2 2" xfId="21624" xr:uid="{00000000-0005-0000-0000-0000B1430000}"/>
    <cellStyle name="20% - Accent6 3 3 4 3 2 2 2" xfId="44226" xr:uid="{00000000-0005-0000-0000-0000B2430000}"/>
    <cellStyle name="20% - Accent6 3 3 4 3 2 3" xfId="32925" xr:uid="{00000000-0005-0000-0000-0000B3430000}"/>
    <cellStyle name="20% - Accent6 3 3 4 3 3" xfId="15974" xr:uid="{00000000-0005-0000-0000-0000B4430000}"/>
    <cellStyle name="20% - Accent6 3 3 4 3 3 2" xfId="38576" xr:uid="{00000000-0005-0000-0000-0000B5430000}"/>
    <cellStyle name="20% - Accent6 3 3 4 3 4" xfId="27275" xr:uid="{00000000-0005-0000-0000-0000B6430000}"/>
    <cellStyle name="20% - Accent6 3 3 4 4" xfId="6860" xr:uid="{00000000-0005-0000-0000-0000B7430000}"/>
    <cellStyle name="20% - Accent6 3 3 4 4 2" xfId="18161" xr:uid="{00000000-0005-0000-0000-0000B8430000}"/>
    <cellStyle name="20% - Accent6 3 3 4 4 2 2" xfId="40763" xr:uid="{00000000-0005-0000-0000-0000B9430000}"/>
    <cellStyle name="20% - Accent6 3 3 4 4 3" xfId="29462" xr:uid="{00000000-0005-0000-0000-0000BA430000}"/>
    <cellStyle name="20% - Accent6 3 3 4 5" xfId="12511" xr:uid="{00000000-0005-0000-0000-0000BB430000}"/>
    <cellStyle name="20% - Accent6 3 3 4 5 2" xfId="35113" xr:uid="{00000000-0005-0000-0000-0000BC430000}"/>
    <cellStyle name="20% - Accent6 3 3 4 6" xfId="23812" xr:uid="{00000000-0005-0000-0000-0000BD430000}"/>
    <cellStyle name="20% - Accent6 3 3 5" xfId="1715" xr:uid="{00000000-0005-0000-0000-0000BE430000}"/>
    <cellStyle name="20% - Accent6 3 3 5 2" xfId="3626" xr:uid="{00000000-0005-0000-0000-0000BF430000}"/>
    <cellStyle name="20% - Accent6 3 3 5 2 2" xfId="9337" xr:uid="{00000000-0005-0000-0000-0000C0430000}"/>
    <cellStyle name="20% - Accent6 3 3 5 2 2 2" xfId="20638" xr:uid="{00000000-0005-0000-0000-0000C1430000}"/>
    <cellStyle name="20% - Accent6 3 3 5 2 2 2 2" xfId="43240" xr:uid="{00000000-0005-0000-0000-0000C2430000}"/>
    <cellStyle name="20% - Accent6 3 3 5 2 2 3" xfId="31939" xr:uid="{00000000-0005-0000-0000-0000C3430000}"/>
    <cellStyle name="20% - Accent6 3 3 5 2 3" xfId="14988" xr:uid="{00000000-0005-0000-0000-0000C4430000}"/>
    <cellStyle name="20% - Accent6 3 3 5 2 3 2" xfId="37590" xr:uid="{00000000-0005-0000-0000-0000C5430000}"/>
    <cellStyle name="20% - Accent6 3 3 5 2 4" xfId="26289" xr:uid="{00000000-0005-0000-0000-0000C6430000}"/>
    <cellStyle name="20% - Accent6 3 3 5 3" xfId="5283" xr:uid="{00000000-0005-0000-0000-0000C7430000}"/>
    <cellStyle name="20% - Accent6 3 3 5 3 2" xfId="10933" xr:uid="{00000000-0005-0000-0000-0000C8430000}"/>
    <cellStyle name="20% - Accent6 3 3 5 3 2 2" xfId="22234" xr:uid="{00000000-0005-0000-0000-0000C9430000}"/>
    <cellStyle name="20% - Accent6 3 3 5 3 2 2 2" xfId="44836" xr:uid="{00000000-0005-0000-0000-0000CA430000}"/>
    <cellStyle name="20% - Accent6 3 3 5 3 2 3" xfId="33535" xr:uid="{00000000-0005-0000-0000-0000CB430000}"/>
    <cellStyle name="20% - Accent6 3 3 5 3 3" xfId="16584" xr:uid="{00000000-0005-0000-0000-0000CC430000}"/>
    <cellStyle name="20% - Accent6 3 3 5 3 3 2" xfId="39186" xr:uid="{00000000-0005-0000-0000-0000CD430000}"/>
    <cellStyle name="20% - Accent6 3 3 5 3 4" xfId="27885" xr:uid="{00000000-0005-0000-0000-0000CE430000}"/>
    <cellStyle name="20% - Accent6 3 3 5 4" xfId="7571" xr:uid="{00000000-0005-0000-0000-0000CF430000}"/>
    <cellStyle name="20% - Accent6 3 3 5 4 2" xfId="18872" xr:uid="{00000000-0005-0000-0000-0000D0430000}"/>
    <cellStyle name="20% - Accent6 3 3 5 4 2 2" xfId="41474" xr:uid="{00000000-0005-0000-0000-0000D1430000}"/>
    <cellStyle name="20% - Accent6 3 3 5 4 3" xfId="30173" xr:uid="{00000000-0005-0000-0000-0000D2430000}"/>
    <cellStyle name="20% - Accent6 3 3 5 5" xfId="13222" xr:uid="{00000000-0005-0000-0000-0000D3430000}"/>
    <cellStyle name="20% - Accent6 3 3 5 5 2" xfId="35824" xr:uid="{00000000-0005-0000-0000-0000D4430000}"/>
    <cellStyle name="20% - Accent6 3 3 5 6" xfId="24523" xr:uid="{00000000-0005-0000-0000-0000D5430000}"/>
    <cellStyle name="20% - Accent6 3 3 6" xfId="2262" xr:uid="{00000000-0005-0000-0000-0000D6430000}"/>
    <cellStyle name="20% - Accent6 3 3 6 2" xfId="8098" xr:uid="{00000000-0005-0000-0000-0000D7430000}"/>
    <cellStyle name="20% - Accent6 3 3 6 2 2" xfId="19399" xr:uid="{00000000-0005-0000-0000-0000D8430000}"/>
    <cellStyle name="20% - Accent6 3 3 6 2 2 2" xfId="42001" xr:uid="{00000000-0005-0000-0000-0000D9430000}"/>
    <cellStyle name="20% - Accent6 3 3 6 2 3" xfId="30700" xr:uid="{00000000-0005-0000-0000-0000DA430000}"/>
    <cellStyle name="20% - Accent6 3 3 6 3" xfId="13749" xr:uid="{00000000-0005-0000-0000-0000DB430000}"/>
    <cellStyle name="20% - Accent6 3 3 6 3 2" xfId="36351" xr:uid="{00000000-0005-0000-0000-0000DC430000}"/>
    <cellStyle name="20% - Accent6 3 3 6 4" xfId="25050" xr:uid="{00000000-0005-0000-0000-0000DD430000}"/>
    <cellStyle name="20% - Accent6 3 3 7" xfId="4049" xr:uid="{00000000-0005-0000-0000-0000DE430000}"/>
    <cellStyle name="20% - Accent6 3 3 7 2" xfId="9699" xr:uid="{00000000-0005-0000-0000-0000DF430000}"/>
    <cellStyle name="20% - Accent6 3 3 7 2 2" xfId="21000" xr:uid="{00000000-0005-0000-0000-0000E0430000}"/>
    <cellStyle name="20% - Accent6 3 3 7 2 2 2" xfId="43602" xr:uid="{00000000-0005-0000-0000-0000E1430000}"/>
    <cellStyle name="20% - Accent6 3 3 7 2 3" xfId="32301" xr:uid="{00000000-0005-0000-0000-0000E2430000}"/>
    <cellStyle name="20% - Accent6 3 3 7 3" xfId="15350" xr:uid="{00000000-0005-0000-0000-0000E3430000}"/>
    <cellStyle name="20% - Accent6 3 3 7 3 2" xfId="37952" xr:uid="{00000000-0005-0000-0000-0000E4430000}"/>
    <cellStyle name="20% - Accent6 3 3 7 4" xfId="26651" xr:uid="{00000000-0005-0000-0000-0000E5430000}"/>
    <cellStyle name="20% - Accent6 3 3 8" xfId="6500" xr:uid="{00000000-0005-0000-0000-0000E6430000}"/>
    <cellStyle name="20% - Accent6 3 3 8 2" xfId="17801" xr:uid="{00000000-0005-0000-0000-0000E7430000}"/>
    <cellStyle name="20% - Accent6 3 3 8 2 2" xfId="40403" xr:uid="{00000000-0005-0000-0000-0000E8430000}"/>
    <cellStyle name="20% - Accent6 3 3 8 3" xfId="29102" xr:uid="{00000000-0005-0000-0000-0000E9430000}"/>
    <cellStyle name="20% - Accent6 3 3 9" xfId="12151" xr:uid="{00000000-0005-0000-0000-0000EA430000}"/>
    <cellStyle name="20% - Accent6 3 3 9 2" xfId="34753" xr:uid="{00000000-0005-0000-0000-0000EB430000}"/>
    <cellStyle name="20% - Accent6 3 4" xfId="503" xr:uid="{00000000-0005-0000-0000-0000EC430000}"/>
    <cellStyle name="20% - Accent6 3 4 2" xfId="1078" xr:uid="{00000000-0005-0000-0000-0000ED430000}"/>
    <cellStyle name="20% - Accent6 3 4 2 2" xfId="1720" xr:uid="{00000000-0005-0000-0000-0000EE430000}"/>
    <cellStyle name="20% - Accent6 3 4 2 2 2" xfId="3146" xr:uid="{00000000-0005-0000-0000-0000EF430000}"/>
    <cellStyle name="20% - Accent6 3 4 2 2 2 2" xfId="6118" xr:uid="{00000000-0005-0000-0000-0000F0430000}"/>
    <cellStyle name="20% - Accent6 3 4 2 2 2 2 2" xfId="11768" xr:uid="{00000000-0005-0000-0000-0000F1430000}"/>
    <cellStyle name="20% - Accent6 3 4 2 2 2 2 2 2" xfId="23069" xr:uid="{00000000-0005-0000-0000-0000F2430000}"/>
    <cellStyle name="20% - Accent6 3 4 2 2 2 2 2 2 2" xfId="45671" xr:uid="{00000000-0005-0000-0000-0000F3430000}"/>
    <cellStyle name="20% - Accent6 3 4 2 2 2 2 2 3" xfId="34370" xr:uid="{00000000-0005-0000-0000-0000F4430000}"/>
    <cellStyle name="20% - Accent6 3 4 2 2 2 2 3" xfId="17419" xr:uid="{00000000-0005-0000-0000-0000F5430000}"/>
    <cellStyle name="20% - Accent6 3 4 2 2 2 2 3 2" xfId="40021" xr:uid="{00000000-0005-0000-0000-0000F6430000}"/>
    <cellStyle name="20% - Accent6 3 4 2 2 2 2 4" xfId="28720" xr:uid="{00000000-0005-0000-0000-0000F7430000}"/>
    <cellStyle name="20% - Accent6 3 4 2 2 2 3" xfId="8936" xr:uid="{00000000-0005-0000-0000-0000F8430000}"/>
    <cellStyle name="20% - Accent6 3 4 2 2 2 3 2" xfId="20237" xr:uid="{00000000-0005-0000-0000-0000F9430000}"/>
    <cellStyle name="20% - Accent6 3 4 2 2 2 3 2 2" xfId="42839" xr:uid="{00000000-0005-0000-0000-0000FA430000}"/>
    <cellStyle name="20% - Accent6 3 4 2 2 2 3 3" xfId="31538" xr:uid="{00000000-0005-0000-0000-0000FB430000}"/>
    <cellStyle name="20% - Accent6 3 4 2 2 2 4" xfId="14587" xr:uid="{00000000-0005-0000-0000-0000FC430000}"/>
    <cellStyle name="20% - Accent6 3 4 2 2 2 4 2" xfId="37189" xr:uid="{00000000-0005-0000-0000-0000FD430000}"/>
    <cellStyle name="20% - Accent6 3 4 2 2 2 5" xfId="25888" xr:uid="{00000000-0005-0000-0000-0000FE430000}"/>
    <cellStyle name="20% - Accent6 3 4 2 2 3" xfId="4884" xr:uid="{00000000-0005-0000-0000-0000FF430000}"/>
    <cellStyle name="20% - Accent6 3 4 2 2 3 2" xfId="10534" xr:uid="{00000000-0005-0000-0000-000000440000}"/>
    <cellStyle name="20% - Accent6 3 4 2 2 3 2 2" xfId="21835" xr:uid="{00000000-0005-0000-0000-000001440000}"/>
    <cellStyle name="20% - Accent6 3 4 2 2 3 2 2 2" xfId="44437" xr:uid="{00000000-0005-0000-0000-000002440000}"/>
    <cellStyle name="20% - Accent6 3 4 2 2 3 2 3" xfId="33136" xr:uid="{00000000-0005-0000-0000-000003440000}"/>
    <cellStyle name="20% - Accent6 3 4 2 2 3 3" xfId="16185" xr:uid="{00000000-0005-0000-0000-000004440000}"/>
    <cellStyle name="20% - Accent6 3 4 2 2 3 3 2" xfId="38787" xr:uid="{00000000-0005-0000-0000-000005440000}"/>
    <cellStyle name="20% - Accent6 3 4 2 2 3 4" xfId="27486" xr:uid="{00000000-0005-0000-0000-000006440000}"/>
    <cellStyle name="20% - Accent6 3 4 2 2 4" xfId="7576" xr:uid="{00000000-0005-0000-0000-000007440000}"/>
    <cellStyle name="20% - Accent6 3 4 2 2 4 2" xfId="18877" xr:uid="{00000000-0005-0000-0000-000008440000}"/>
    <cellStyle name="20% - Accent6 3 4 2 2 4 2 2" xfId="41479" xr:uid="{00000000-0005-0000-0000-000009440000}"/>
    <cellStyle name="20% - Accent6 3 4 2 2 4 3" xfId="30178" xr:uid="{00000000-0005-0000-0000-00000A440000}"/>
    <cellStyle name="20% - Accent6 3 4 2 2 5" xfId="13227" xr:uid="{00000000-0005-0000-0000-00000B440000}"/>
    <cellStyle name="20% - Accent6 3 4 2 2 5 2" xfId="35829" xr:uid="{00000000-0005-0000-0000-00000C440000}"/>
    <cellStyle name="20% - Accent6 3 4 2 2 6" xfId="24528" xr:uid="{00000000-0005-0000-0000-00000D440000}"/>
    <cellStyle name="20% - Accent6 3 4 2 3" xfId="2475" xr:uid="{00000000-0005-0000-0000-00000E440000}"/>
    <cellStyle name="20% - Accent6 3 4 2 3 2" xfId="5494" xr:uid="{00000000-0005-0000-0000-00000F440000}"/>
    <cellStyle name="20% - Accent6 3 4 2 3 2 2" xfId="11144" xr:uid="{00000000-0005-0000-0000-000010440000}"/>
    <cellStyle name="20% - Accent6 3 4 2 3 2 2 2" xfId="22445" xr:uid="{00000000-0005-0000-0000-000011440000}"/>
    <cellStyle name="20% - Accent6 3 4 2 3 2 2 2 2" xfId="45047" xr:uid="{00000000-0005-0000-0000-000012440000}"/>
    <cellStyle name="20% - Accent6 3 4 2 3 2 2 3" xfId="33746" xr:uid="{00000000-0005-0000-0000-000013440000}"/>
    <cellStyle name="20% - Accent6 3 4 2 3 2 3" xfId="16795" xr:uid="{00000000-0005-0000-0000-000014440000}"/>
    <cellStyle name="20% - Accent6 3 4 2 3 2 3 2" xfId="39397" xr:uid="{00000000-0005-0000-0000-000015440000}"/>
    <cellStyle name="20% - Accent6 3 4 2 3 2 4" xfId="28096" xr:uid="{00000000-0005-0000-0000-000016440000}"/>
    <cellStyle name="20% - Accent6 3 4 2 3 3" xfId="8311" xr:uid="{00000000-0005-0000-0000-000017440000}"/>
    <cellStyle name="20% - Accent6 3 4 2 3 3 2" xfId="19612" xr:uid="{00000000-0005-0000-0000-000018440000}"/>
    <cellStyle name="20% - Accent6 3 4 2 3 3 2 2" xfId="42214" xr:uid="{00000000-0005-0000-0000-000019440000}"/>
    <cellStyle name="20% - Accent6 3 4 2 3 3 3" xfId="30913" xr:uid="{00000000-0005-0000-0000-00001A440000}"/>
    <cellStyle name="20% - Accent6 3 4 2 3 4" xfId="13962" xr:uid="{00000000-0005-0000-0000-00001B440000}"/>
    <cellStyle name="20% - Accent6 3 4 2 3 4 2" xfId="36564" xr:uid="{00000000-0005-0000-0000-00001C440000}"/>
    <cellStyle name="20% - Accent6 3 4 2 3 5" xfId="25263" xr:uid="{00000000-0005-0000-0000-00001D440000}"/>
    <cellStyle name="20% - Accent6 3 4 2 4" xfId="4260" xr:uid="{00000000-0005-0000-0000-00001E440000}"/>
    <cellStyle name="20% - Accent6 3 4 2 4 2" xfId="9910" xr:uid="{00000000-0005-0000-0000-00001F440000}"/>
    <cellStyle name="20% - Accent6 3 4 2 4 2 2" xfId="21211" xr:uid="{00000000-0005-0000-0000-000020440000}"/>
    <cellStyle name="20% - Accent6 3 4 2 4 2 2 2" xfId="43813" xr:uid="{00000000-0005-0000-0000-000021440000}"/>
    <cellStyle name="20% - Accent6 3 4 2 4 2 3" xfId="32512" xr:uid="{00000000-0005-0000-0000-000022440000}"/>
    <cellStyle name="20% - Accent6 3 4 2 4 3" xfId="15561" xr:uid="{00000000-0005-0000-0000-000023440000}"/>
    <cellStyle name="20% - Accent6 3 4 2 4 3 2" xfId="38163" xr:uid="{00000000-0005-0000-0000-000024440000}"/>
    <cellStyle name="20% - Accent6 3 4 2 4 4" xfId="26862" xr:uid="{00000000-0005-0000-0000-000025440000}"/>
    <cellStyle name="20% - Accent6 3 4 2 5" xfId="7057" xr:uid="{00000000-0005-0000-0000-000026440000}"/>
    <cellStyle name="20% - Accent6 3 4 2 5 2" xfId="18358" xr:uid="{00000000-0005-0000-0000-000027440000}"/>
    <cellStyle name="20% - Accent6 3 4 2 5 2 2" xfId="40960" xr:uid="{00000000-0005-0000-0000-000028440000}"/>
    <cellStyle name="20% - Accent6 3 4 2 5 3" xfId="29659" xr:uid="{00000000-0005-0000-0000-000029440000}"/>
    <cellStyle name="20% - Accent6 3 4 2 6" xfId="12708" xr:uid="{00000000-0005-0000-0000-00002A440000}"/>
    <cellStyle name="20% - Accent6 3 4 2 6 2" xfId="35310" xr:uid="{00000000-0005-0000-0000-00002B440000}"/>
    <cellStyle name="20% - Accent6 3 4 2 7" xfId="24009" xr:uid="{00000000-0005-0000-0000-00002C440000}"/>
    <cellStyle name="20% - Accent6 3 4 3" xfId="752" xr:uid="{00000000-0005-0000-0000-00002D440000}"/>
    <cellStyle name="20% - Accent6 3 4 3 2" xfId="2839" xr:uid="{00000000-0005-0000-0000-00002E440000}"/>
    <cellStyle name="20% - Accent6 3 4 3 2 2" xfId="5811" xr:uid="{00000000-0005-0000-0000-00002F440000}"/>
    <cellStyle name="20% - Accent6 3 4 3 2 2 2" xfId="11461" xr:uid="{00000000-0005-0000-0000-000030440000}"/>
    <cellStyle name="20% - Accent6 3 4 3 2 2 2 2" xfId="22762" xr:uid="{00000000-0005-0000-0000-000031440000}"/>
    <cellStyle name="20% - Accent6 3 4 3 2 2 2 2 2" xfId="45364" xr:uid="{00000000-0005-0000-0000-000032440000}"/>
    <cellStyle name="20% - Accent6 3 4 3 2 2 2 3" xfId="34063" xr:uid="{00000000-0005-0000-0000-000033440000}"/>
    <cellStyle name="20% - Accent6 3 4 3 2 2 3" xfId="17112" xr:uid="{00000000-0005-0000-0000-000034440000}"/>
    <cellStyle name="20% - Accent6 3 4 3 2 2 3 2" xfId="39714" xr:uid="{00000000-0005-0000-0000-000035440000}"/>
    <cellStyle name="20% - Accent6 3 4 3 2 2 4" xfId="28413" xr:uid="{00000000-0005-0000-0000-000036440000}"/>
    <cellStyle name="20% - Accent6 3 4 3 2 3" xfId="8629" xr:uid="{00000000-0005-0000-0000-000037440000}"/>
    <cellStyle name="20% - Accent6 3 4 3 2 3 2" xfId="19930" xr:uid="{00000000-0005-0000-0000-000038440000}"/>
    <cellStyle name="20% - Accent6 3 4 3 2 3 2 2" xfId="42532" xr:uid="{00000000-0005-0000-0000-000039440000}"/>
    <cellStyle name="20% - Accent6 3 4 3 2 3 3" xfId="31231" xr:uid="{00000000-0005-0000-0000-00003A440000}"/>
    <cellStyle name="20% - Accent6 3 4 3 2 4" xfId="14280" xr:uid="{00000000-0005-0000-0000-00003B440000}"/>
    <cellStyle name="20% - Accent6 3 4 3 2 4 2" xfId="36882" xr:uid="{00000000-0005-0000-0000-00003C440000}"/>
    <cellStyle name="20% - Accent6 3 4 3 2 5" xfId="25581" xr:uid="{00000000-0005-0000-0000-00003D440000}"/>
    <cellStyle name="20% - Accent6 3 4 3 3" xfId="4577" xr:uid="{00000000-0005-0000-0000-00003E440000}"/>
    <cellStyle name="20% - Accent6 3 4 3 3 2" xfId="10227" xr:uid="{00000000-0005-0000-0000-00003F440000}"/>
    <cellStyle name="20% - Accent6 3 4 3 3 2 2" xfId="21528" xr:uid="{00000000-0005-0000-0000-000040440000}"/>
    <cellStyle name="20% - Accent6 3 4 3 3 2 2 2" xfId="44130" xr:uid="{00000000-0005-0000-0000-000041440000}"/>
    <cellStyle name="20% - Accent6 3 4 3 3 2 3" xfId="32829" xr:uid="{00000000-0005-0000-0000-000042440000}"/>
    <cellStyle name="20% - Accent6 3 4 3 3 3" xfId="15878" xr:uid="{00000000-0005-0000-0000-000043440000}"/>
    <cellStyle name="20% - Accent6 3 4 3 3 3 2" xfId="38480" xr:uid="{00000000-0005-0000-0000-000044440000}"/>
    <cellStyle name="20% - Accent6 3 4 3 3 4" xfId="27179" xr:uid="{00000000-0005-0000-0000-000045440000}"/>
    <cellStyle name="20% - Accent6 3 4 3 4" xfId="6760" xr:uid="{00000000-0005-0000-0000-000046440000}"/>
    <cellStyle name="20% - Accent6 3 4 3 4 2" xfId="18061" xr:uid="{00000000-0005-0000-0000-000047440000}"/>
    <cellStyle name="20% - Accent6 3 4 3 4 2 2" xfId="40663" xr:uid="{00000000-0005-0000-0000-000048440000}"/>
    <cellStyle name="20% - Accent6 3 4 3 4 3" xfId="29362" xr:uid="{00000000-0005-0000-0000-000049440000}"/>
    <cellStyle name="20% - Accent6 3 4 3 5" xfId="12411" xr:uid="{00000000-0005-0000-0000-00004A440000}"/>
    <cellStyle name="20% - Accent6 3 4 3 5 2" xfId="35013" xr:uid="{00000000-0005-0000-0000-00004B440000}"/>
    <cellStyle name="20% - Accent6 3 4 3 6" xfId="23712" xr:uid="{00000000-0005-0000-0000-00004C440000}"/>
    <cellStyle name="20% - Accent6 3 4 4" xfId="1719" xr:uid="{00000000-0005-0000-0000-00004D440000}"/>
    <cellStyle name="20% - Accent6 3 4 4 2" xfId="3628" xr:uid="{00000000-0005-0000-0000-00004E440000}"/>
    <cellStyle name="20% - Accent6 3 4 4 2 2" xfId="9339" xr:uid="{00000000-0005-0000-0000-00004F440000}"/>
    <cellStyle name="20% - Accent6 3 4 4 2 2 2" xfId="20640" xr:uid="{00000000-0005-0000-0000-000050440000}"/>
    <cellStyle name="20% - Accent6 3 4 4 2 2 2 2" xfId="43242" xr:uid="{00000000-0005-0000-0000-000051440000}"/>
    <cellStyle name="20% - Accent6 3 4 4 2 2 3" xfId="31941" xr:uid="{00000000-0005-0000-0000-000052440000}"/>
    <cellStyle name="20% - Accent6 3 4 4 2 3" xfId="14990" xr:uid="{00000000-0005-0000-0000-000053440000}"/>
    <cellStyle name="20% - Accent6 3 4 4 2 3 2" xfId="37592" xr:uid="{00000000-0005-0000-0000-000054440000}"/>
    <cellStyle name="20% - Accent6 3 4 4 2 4" xfId="26291" xr:uid="{00000000-0005-0000-0000-000055440000}"/>
    <cellStyle name="20% - Accent6 3 4 4 3" xfId="5187" xr:uid="{00000000-0005-0000-0000-000056440000}"/>
    <cellStyle name="20% - Accent6 3 4 4 3 2" xfId="10837" xr:uid="{00000000-0005-0000-0000-000057440000}"/>
    <cellStyle name="20% - Accent6 3 4 4 3 2 2" xfId="22138" xr:uid="{00000000-0005-0000-0000-000058440000}"/>
    <cellStyle name="20% - Accent6 3 4 4 3 2 2 2" xfId="44740" xr:uid="{00000000-0005-0000-0000-000059440000}"/>
    <cellStyle name="20% - Accent6 3 4 4 3 2 3" xfId="33439" xr:uid="{00000000-0005-0000-0000-00005A440000}"/>
    <cellStyle name="20% - Accent6 3 4 4 3 3" xfId="16488" xr:uid="{00000000-0005-0000-0000-00005B440000}"/>
    <cellStyle name="20% - Accent6 3 4 4 3 3 2" xfId="39090" xr:uid="{00000000-0005-0000-0000-00005C440000}"/>
    <cellStyle name="20% - Accent6 3 4 4 3 4" xfId="27789" xr:uid="{00000000-0005-0000-0000-00005D440000}"/>
    <cellStyle name="20% - Accent6 3 4 4 4" xfId="7575" xr:uid="{00000000-0005-0000-0000-00005E440000}"/>
    <cellStyle name="20% - Accent6 3 4 4 4 2" xfId="18876" xr:uid="{00000000-0005-0000-0000-00005F440000}"/>
    <cellStyle name="20% - Accent6 3 4 4 4 2 2" xfId="41478" xr:uid="{00000000-0005-0000-0000-000060440000}"/>
    <cellStyle name="20% - Accent6 3 4 4 4 3" xfId="30177" xr:uid="{00000000-0005-0000-0000-000061440000}"/>
    <cellStyle name="20% - Accent6 3 4 4 5" xfId="13226" xr:uid="{00000000-0005-0000-0000-000062440000}"/>
    <cellStyle name="20% - Accent6 3 4 4 5 2" xfId="35828" xr:uid="{00000000-0005-0000-0000-000063440000}"/>
    <cellStyle name="20% - Accent6 3 4 4 6" xfId="24527" xr:uid="{00000000-0005-0000-0000-000064440000}"/>
    <cellStyle name="20% - Accent6 3 4 5" xfId="2159" xr:uid="{00000000-0005-0000-0000-000065440000}"/>
    <cellStyle name="20% - Accent6 3 4 5 2" xfId="8001" xr:uid="{00000000-0005-0000-0000-000066440000}"/>
    <cellStyle name="20% - Accent6 3 4 5 2 2" xfId="19302" xr:uid="{00000000-0005-0000-0000-000067440000}"/>
    <cellStyle name="20% - Accent6 3 4 5 2 2 2" xfId="41904" xr:uid="{00000000-0005-0000-0000-000068440000}"/>
    <cellStyle name="20% - Accent6 3 4 5 2 3" xfId="30603" xr:uid="{00000000-0005-0000-0000-000069440000}"/>
    <cellStyle name="20% - Accent6 3 4 5 3" xfId="13652" xr:uid="{00000000-0005-0000-0000-00006A440000}"/>
    <cellStyle name="20% - Accent6 3 4 5 3 2" xfId="36254" xr:uid="{00000000-0005-0000-0000-00006B440000}"/>
    <cellStyle name="20% - Accent6 3 4 5 4" xfId="24953" xr:uid="{00000000-0005-0000-0000-00006C440000}"/>
    <cellStyle name="20% - Accent6 3 4 6" xfId="3953" xr:uid="{00000000-0005-0000-0000-00006D440000}"/>
    <cellStyle name="20% - Accent6 3 4 6 2" xfId="9603" xr:uid="{00000000-0005-0000-0000-00006E440000}"/>
    <cellStyle name="20% - Accent6 3 4 6 2 2" xfId="20904" xr:uid="{00000000-0005-0000-0000-00006F440000}"/>
    <cellStyle name="20% - Accent6 3 4 6 2 2 2" xfId="43506" xr:uid="{00000000-0005-0000-0000-000070440000}"/>
    <cellStyle name="20% - Accent6 3 4 6 2 3" xfId="32205" xr:uid="{00000000-0005-0000-0000-000071440000}"/>
    <cellStyle name="20% - Accent6 3 4 6 3" xfId="15254" xr:uid="{00000000-0005-0000-0000-000072440000}"/>
    <cellStyle name="20% - Accent6 3 4 6 3 2" xfId="37856" xr:uid="{00000000-0005-0000-0000-000073440000}"/>
    <cellStyle name="20% - Accent6 3 4 6 4" xfId="26555" xr:uid="{00000000-0005-0000-0000-000074440000}"/>
    <cellStyle name="20% - Accent6 3 4 7" xfId="6571" xr:uid="{00000000-0005-0000-0000-000075440000}"/>
    <cellStyle name="20% - Accent6 3 4 7 2" xfId="17872" xr:uid="{00000000-0005-0000-0000-000076440000}"/>
    <cellStyle name="20% - Accent6 3 4 7 2 2" xfId="40474" xr:uid="{00000000-0005-0000-0000-000077440000}"/>
    <cellStyle name="20% - Accent6 3 4 7 3" xfId="29173" xr:uid="{00000000-0005-0000-0000-000078440000}"/>
    <cellStyle name="20% - Accent6 3 4 8" xfId="12222" xr:uid="{00000000-0005-0000-0000-000079440000}"/>
    <cellStyle name="20% - Accent6 3 4 8 2" xfId="34824" xr:uid="{00000000-0005-0000-0000-00007A440000}"/>
    <cellStyle name="20% - Accent6 3 4 9" xfId="23523" xr:uid="{00000000-0005-0000-0000-00007B440000}"/>
    <cellStyle name="20% - Accent6 3 5" xfId="394" xr:uid="{00000000-0005-0000-0000-00007C440000}"/>
    <cellStyle name="20% - Accent6 3 6" xfId="816" xr:uid="{00000000-0005-0000-0000-00007D440000}"/>
    <cellStyle name="20% - Accent6 3 7" xfId="6404" xr:uid="{00000000-0005-0000-0000-00007E440000}"/>
    <cellStyle name="20% - Accent6 3 7 2" xfId="17705" xr:uid="{00000000-0005-0000-0000-00007F440000}"/>
    <cellStyle name="20% - Accent6 3 7 2 2" xfId="40307" xr:uid="{00000000-0005-0000-0000-000080440000}"/>
    <cellStyle name="20% - Accent6 3 7 3" xfId="29006" xr:uid="{00000000-0005-0000-0000-000081440000}"/>
    <cellStyle name="20% - Accent6 3 8" xfId="12055" xr:uid="{00000000-0005-0000-0000-000082440000}"/>
    <cellStyle name="20% - Accent6 3 8 2" xfId="34657" xr:uid="{00000000-0005-0000-0000-000083440000}"/>
    <cellStyle name="20% - Accent6 3 9" xfId="23356" xr:uid="{00000000-0005-0000-0000-000084440000}"/>
    <cellStyle name="20% - Accent6 4" xfId="186" xr:uid="{00000000-0005-0000-0000-000085440000}"/>
    <cellStyle name="20% - Accent6 4 10" xfId="3939" xr:uid="{00000000-0005-0000-0000-000086440000}"/>
    <cellStyle name="20% - Accent6 4 10 2" xfId="9589" xr:uid="{00000000-0005-0000-0000-000087440000}"/>
    <cellStyle name="20% - Accent6 4 10 2 2" xfId="20890" xr:uid="{00000000-0005-0000-0000-000088440000}"/>
    <cellStyle name="20% - Accent6 4 10 2 2 2" xfId="43492" xr:uid="{00000000-0005-0000-0000-000089440000}"/>
    <cellStyle name="20% - Accent6 4 10 2 3" xfId="32191" xr:uid="{00000000-0005-0000-0000-00008A440000}"/>
    <cellStyle name="20% - Accent6 4 10 3" xfId="15240" xr:uid="{00000000-0005-0000-0000-00008B440000}"/>
    <cellStyle name="20% - Accent6 4 10 3 2" xfId="37842" xr:uid="{00000000-0005-0000-0000-00008C440000}"/>
    <cellStyle name="20% - Accent6 4 10 4" xfId="26541" xr:uid="{00000000-0005-0000-0000-00008D440000}"/>
    <cellStyle name="20% - Accent6 4 11" xfId="6418" xr:uid="{00000000-0005-0000-0000-00008E440000}"/>
    <cellStyle name="20% - Accent6 4 11 2" xfId="17719" xr:uid="{00000000-0005-0000-0000-00008F440000}"/>
    <cellStyle name="20% - Accent6 4 11 2 2" xfId="40321" xr:uid="{00000000-0005-0000-0000-000090440000}"/>
    <cellStyle name="20% - Accent6 4 11 3" xfId="29020" xr:uid="{00000000-0005-0000-0000-000091440000}"/>
    <cellStyle name="20% - Accent6 4 12" xfId="12069" xr:uid="{00000000-0005-0000-0000-000092440000}"/>
    <cellStyle name="20% - Accent6 4 12 2" xfId="34671" xr:uid="{00000000-0005-0000-0000-000093440000}"/>
    <cellStyle name="20% - Accent6 4 13" xfId="23370" xr:uid="{00000000-0005-0000-0000-000094440000}"/>
    <cellStyle name="20% - Accent6 4 2" xfId="309" xr:uid="{00000000-0005-0000-0000-000095440000}"/>
    <cellStyle name="20% - Accent6 4 2 10" xfId="23417" xr:uid="{00000000-0005-0000-0000-000096440000}"/>
    <cellStyle name="20% - Accent6 4 2 2" xfId="567" xr:uid="{00000000-0005-0000-0000-000097440000}"/>
    <cellStyle name="20% - Accent6 4 2 2 2" xfId="1277" xr:uid="{00000000-0005-0000-0000-000098440000}"/>
    <cellStyle name="20% - Accent6 4 2 2 2 2" xfId="1724" xr:uid="{00000000-0005-0000-0000-000099440000}"/>
    <cellStyle name="20% - Accent6 4 2 2 2 2 2" xfId="3346" xr:uid="{00000000-0005-0000-0000-00009A440000}"/>
    <cellStyle name="20% - Accent6 4 2 2 2 2 2 2" xfId="6318" xr:uid="{00000000-0005-0000-0000-00009B440000}"/>
    <cellStyle name="20% - Accent6 4 2 2 2 2 2 2 2" xfId="11968" xr:uid="{00000000-0005-0000-0000-00009C440000}"/>
    <cellStyle name="20% - Accent6 4 2 2 2 2 2 2 2 2" xfId="23269" xr:uid="{00000000-0005-0000-0000-00009D440000}"/>
    <cellStyle name="20% - Accent6 4 2 2 2 2 2 2 2 2 2" xfId="45871" xr:uid="{00000000-0005-0000-0000-00009E440000}"/>
    <cellStyle name="20% - Accent6 4 2 2 2 2 2 2 2 3" xfId="34570" xr:uid="{00000000-0005-0000-0000-00009F440000}"/>
    <cellStyle name="20% - Accent6 4 2 2 2 2 2 2 3" xfId="17619" xr:uid="{00000000-0005-0000-0000-0000A0440000}"/>
    <cellStyle name="20% - Accent6 4 2 2 2 2 2 2 3 2" xfId="40221" xr:uid="{00000000-0005-0000-0000-0000A1440000}"/>
    <cellStyle name="20% - Accent6 4 2 2 2 2 2 2 4" xfId="28920" xr:uid="{00000000-0005-0000-0000-0000A2440000}"/>
    <cellStyle name="20% - Accent6 4 2 2 2 2 2 3" xfId="9136" xr:uid="{00000000-0005-0000-0000-0000A3440000}"/>
    <cellStyle name="20% - Accent6 4 2 2 2 2 2 3 2" xfId="20437" xr:uid="{00000000-0005-0000-0000-0000A4440000}"/>
    <cellStyle name="20% - Accent6 4 2 2 2 2 2 3 2 2" xfId="43039" xr:uid="{00000000-0005-0000-0000-0000A5440000}"/>
    <cellStyle name="20% - Accent6 4 2 2 2 2 2 3 3" xfId="31738" xr:uid="{00000000-0005-0000-0000-0000A6440000}"/>
    <cellStyle name="20% - Accent6 4 2 2 2 2 2 4" xfId="14787" xr:uid="{00000000-0005-0000-0000-0000A7440000}"/>
    <cellStyle name="20% - Accent6 4 2 2 2 2 2 4 2" xfId="37389" xr:uid="{00000000-0005-0000-0000-0000A8440000}"/>
    <cellStyle name="20% - Accent6 4 2 2 2 2 2 5" xfId="26088" xr:uid="{00000000-0005-0000-0000-0000A9440000}"/>
    <cellStyle name="20% - Accent6 4 2 2 2 2 3" xfId="5084" xr:uid="{00000000-0005-0000-0000-0000AA440000}"/>
    <cellStyle name="20% - Accent6 4 2 2 2 2 3 2" xfId="10734" xr:uid="{00000000-0005-0000-0000-0000AB440000}"/>
    <cellStyle name="20% - Accent6 4 2 2 2 2 3 2 2" xfId="22035" xr:uid="{00000000-0005-0000-0000-0000AC440000}"/>
    <cellStyle name="20% - Accent6 4 2 2 2 2 3 2 2 2" xfId="44637" xr:uid="{00000000-0005-0000-0000-0000AD440000}"/>
    <cellStyle name="20% - Accent6 4 2 2 2 2 3 2 3" xfId="33336" xr:uid="{00000000-0005-0000-0000-0000AE440000}"/>
    <cellStyle name="20% - Accent6 4 2 2 2 2 3 3" xfId="16385" xr:uid="{00000000-0005-0000-0000-0000AF440000}"/>
    <cellStyle name="20% - Accent6 4 2 2 2 2 3 3 2" xfId="38987" xr:uid="{00000000-0005-0000-0000-0000B0440000}"/>
    <cellStyle name="20% - Accent6 4 2 2 2 2 3 4" xfId="27686" xr:uid="{00000000-0005-0000-0000-0000B1440000}"/>
    <cellStyle name="20% - Accent6 4 2 2 2 2 4" xfId="7580" xr:uid="{00000000-0005-0000-0000-0000B2440000}"/>
    <cellStyle name="20% - Accent6 4 2 2 2 2 4 2" xfId="18881" xr:uid="{00000000-0005-0000-0000-0000B3440000}"/>
    <cellStyle name="20% - Accent6 4 2 2 2 2 4 2 2" xfId="41483" xr:uid="{00000000-0005-0000-0000-0000B4440000}"/>
    <cellStyle name="20% - Accent6 4 2 2 2 2 4 3" xfId="30182" xr:uid="{00000000-0005-0000-0000-0000B5440000}"/>
    <cellStyle name="20% - Accent6 4 2 2 2 2 5" xfId="13231" xr:uid="{00000000-0005-0000-0000-0000B6440000}"/>
    <cellStyle name="20% - Accent6 4 2 2 2 2 5 2" xfId="35833" xr:uid="{00000000-0005-0000-0000-0000B7440000}"/>
    <cellStyle name="20% - Accent6 4 2 2 2 2 6" xfId="24532" xr:uid="{00000000-0005-0000-0000-0000B8440000}"/>
    <cellStyle name="20% - Accent6 4 2 2 2 3" xfId="2675" xr:uid="{00000000-0005-0000-0000-0000B9440000}"/>
    <cellStyle name="20% - Accent6 4 2 2 2 3 2" xfId="5694" xr:uid="{00000000-0005-0000-0000-0000BA440000}"/>
    <cellStyle name="20% - Accent6 4 2 2 2 3 2 2" xfId="11344" xr:uid="{00000000-0005-0000-0000-0000BB440000}"/>
    <cellStyle name="20% - Accent6 4 2 2 2 3 2 2 2" xfId="22645" xr:uid="{00000000-0005-0000-0000-0000BC440000}"/>
    <cellStyle name="20% - Accent6 4 2 2 2 3 2 2 2 2" xfId="45247" xr:uid="{00000000-0005-0000-0000-0000BD440000}"/>
    <cellStyle name="20% - Accent6 4 2 2 2 3 2 2 3" xfId="33946" xr:uid="{00000000-0005-0000-0000-0000BE440000}"/>
    <cellStyle name="20% - Accent6 4 2 2 2 3 2 3" xfId="16995" xr:uid="{00000000-0005-0000-0000-0000BF440000}"/>
    <cellStyle name="20% - Accent6 4 2 2 2 3 2 3 2" xfId="39597" xr:uid="{00000000-0005-0000-0000-0000C0440000}"/>
    <cellStyle name="20% - Accent6 4 2 2 2 3 2 4" xfId="28296" xr:uid="{00000000-0005-0000-0000-0000C1440000}"/>
    <cellStyle name="20% - Accent6 4 2 2 2 3 3" xfId="8511" xr:uid="{00000000-0005-0000-0000-0000C2440000}"/>
    <cellStyle name="20% - Accent6 4 2 2 2 3 3 2" xfId="19812" xr:uid="{00000000-0005-0000-0000-0000C3440000}"/>
    <cellStyle name="20% - Accent6 4 2 2 2 3 3 2 2" xfId="42414" xr:uid="{00000000-0005-0000-0000-0000C4440000}"/>
    <cellStyle name="20% - Accent6 4 2 2 2 3 3 3" xfId="31113" xr:uid="{00000000-0005-0000-0000-0000C5440000}"/>
    <cellStyle name="20% - Accent6 4 2 2 2 3 4" xfId="14162" xr:uid="{00000000-0005-0000-0000-0000C6440000}"/>
    <cellStyle name="20% - Accent6 4 2 2 2 3 4 2" xfId="36764" xr:uid="{00000000-0005-0000-0000-0000C7440000}"/>
    <cellStyle name="20% - Accent6 4 2 2 2 3 5" xfId="25463" xr:uid="{00000000-0005-0000-0000-0000C8440000}"/>
    <cellStyle name="20% - Accent6 4 2 2 2 4" xfId="4460" xr:uid="{00000000-0005-0000-0000-0000C9440000}"/>
    <cellStyle name="20% - Accent6 4 2 2 2 4 2" xfId="10110" xr:uid="{00000000-0005-0000-0000-0000CA440000}"/>
    <cellStyle name="20% - Accent6 4 2 2 2 4 2 2" xfId="21411" xr:uid="{00000000-0005-0000-0000-0000CB440000}"/>
    <cellStyle name="20% - Accent6 4 2 2 2 4 2 2 2" xfId="44013" xr:uid="{00000000-0005-0000-0000-0000CC440000}"/>
    <cellStyle name="20% - Accent6 4 2 2 2 4 2 3" xfId="32712" xr:uid="{00000000-0005-0000-0000-0000CD440000}"/>
    <cellStyle name="20% - Accent6 4 2 2 2 4 3" xfId="15761" xr:uid="{00000000-0005-0000-0000-0000CE440000}"/>
    <cellStyle name="20% - Accent6 4 2 2 2 4 3 2" xfId="38363" xr:uid="{00000000-0005-0000-0000-0000CF440000}"/>
    <cellStyle name="20% - Accent6 4 2 2 2 4 4" xfId="27062" xr:uid="{00000000-0005-0000-0000-0000D0440000}"/>
    <cellStyle name="20% - Accent6 4 2 2 2 5" xfId="7256" xr:uid="{00000000-0005-0000-0000-0000D1440000}"/>
    <cellStyle name="20% - Accent6 4 2 2 2 5 2" xfId="18557" xr:uid="{00000000-0005-0000-0000-0000D2440000}"/>
    <cellStyle name="20% - Accent6 4 2 2 2 5 2 2" xfId="41159" xr:uid="{00000000-0005-0000-0000-0000D3440000}"/>
    <cellStyle name="20% - Accent6 4 2 2 2 5 3" xfId="29858" xr:uid="{00000000-0005-0000-0000-0000D4440000}"/>
    <cellStyle name="20% - Accent6 4 2 2 2 6" xfId="12907" xr:uid="{00000000-0005-0000-0000-0000D5440000}"/>
    <cellStyle name="20% - Accent6 4 2 2 2 6 2" xfId="35509" xr:uid="{00000000-0005-0000-0000-0000D6440000}"/>
    <cellStyle name="20% - Accent6 4 2 2 2 7" xfId="24208" xr:uid="{00000000-0005-0000-0000-0000D7440000}"/>
    <cellStyle name="20% - Accent6 4 2 2 3" xfId="975" xr:uid="{00000000-0005-0000-0000-0000D8440000}"/>
    <cellStyle name="20% - Accent6 4 2 2 3 2" xfId="3038" xr:uid="{00000000-0005-0000-0000-0000D9440000}"/>
    <cellStyle name="20% - Accent6 4 2 2 3 2 2" xfId="6010" xr:uid="{00000000-0005-0000-0000-0000DA440000}"/>
    <cellStyle name="20% - Accent6 4 2 2 3 2 2 2" xfId="11660" xr:uid="{00000000-0005-0000-0000-0000DB440000}"/>
    <cellStyle name="20% - Accent6 4 2 2 3 2 2 2 2" xfId="22961" xr:uid="{00000000-0005-0000-0000-0000DC440000}"/>
    <cellStyle name="20% - Accent6 4 2 2 3 2 2 2 2 2" xfId="45563" xr:uid="{00000000-0005-0000-0000-0000DD440000}"/>
    <cellStyle name="20% - Accent6 4 2 2 3 2 2 2 3" xfId="34262" xr:uid="{00000000-0005-0000-0000-0000DE440000}"/>
    <cellStyle name="20% - Accent6 4 2 2 3 2 2 3" xfId="17311" xr:uid="{00000000-0005-0000-0000-0000DF440000}"/>
    <cellStyle name="20% - Accent6 4 2 2 3 2 2 3 2" xfId="39913" xr:uid="{00000000-0005-0000-0000-0000E0440000}"/>
    <cellStyle name="20% - Accent6 4 2 2 3 2 2 4" xfId="28612" xr:uid="{00000000-0005-0000-0000-0000E1440000}"/>
    <cellStyle name="20% - Accent6 4 2 2 3 2 3" xfId="8828" xr:uid="{00000000-0005-0000-0000-0000E2440000}"/>
    <cellStyle name="20% - Accent6 4 2 2 3 2 3 2" xfId="20129" xr:uid="{00000000-0005-0000-0000-0000E3440000}"/>
    <cellStyle name="20% - Accent6 4 2 2 3 2 3 2 2" xfId="42731" xr:uid="{00000000-0005-0000-0000-0000E4440000}"/>
    <cellStyle name="20% - Accent6 4 2 2 3 2 3 3" xfId="31430" xr:uid="{00000000-0005-0000-0000-0000E5440000}"/>
    <cellStyle name="20% - Accent6 4 2 2 3 2 4" xfId="14479" xr:uid="{00000000-0005-0000-0000-0000E6440000}"/>
    <cellStyle name="20% - Accent6 4 2 2 3 2 4 2" xfId="37081" xr:uid="{00000000-0005-0000-0000-0000E7440000}"/>
    <cellStyle name="20% - Accent6 4 2 2 3 2 5" xfId="25780" xr:uid="{00000000-0005-0000-0000-0000E8440000}"/>
    <cellStyle name="20% - Accent6 4 2 2 3 3" xfId="4776" xr:uid="{00000000-0005-0000-0000-0000E9440000}"/>
    <cellStyle name="20% - Accent6 4 2 2 3 3 2" xfId="10426" xr:uid="{00000000-0005-0000-0000-0000EA440000}"/>
    <cellStyle name="20% - Accent6 4 2 2 3 3 2 2" xfId="21727" xr:uid="{00000000-0005-0000-0000-0000EB440000}"/>
    <cellStyle name="20% - Accent6 4 2 2 3 3 2 2 2" xfId="44329" xr:uid="{00000000-0005-0000-0000-0000EC440000}"/>
    <cellStyle name="20% - Accent6 4 2 2 3 3 2 3" xfId="33028" xr:uid="{00000000-0005-0000-0000-0000ED440000}"/>
    <cellStyle name="20% - Accent6 4 2 2 3 3 3" xfId="16077" xr:uid="{00000000-0005-0000-0000-0000EE440000}"/>
    <cellStyle name="20% - Accent6 4 2 2 3 3 3 2" xfId="38679" xr:uid="{00000000-0005-0000-0000-0000EF440000}"/>
    <cellStyle name="20% - Accent6 4 2 2 3 3 4" xfId="27378" xr:uid="{00000000-0005-0000-0000-0000F0440000}"/>
    <cellStyle name="20% - Accent6 4 2 2 3 4" xfId="6963" xr:uid="{00000000-0005-0000-0000-0000F1440000}"/>
    <cellStyle name="20% - Accent6 4 2 2 3 4 2" xfId="18264" xr:uid="{00000000-0005-0000-0000-0000F2440000}"/>
    <cellStyle name="20% - Accent6 4 2 2 3 4 2 2" xfId="40866" xr:uid="{00000000-0005-0000-0000-0000F3440000}"/>
    <cellStyle name="20% - Accent6 4 2 2 3 4 3" xfId="29565" xr:uid="{00000000-0005-0000-0000-0000F4440000}"/>
    <cellStyle name="20% - Accent6 4 2 2 3 5" xfId="12614" xr:uid="{00000000-0005-0000-0000-0000F5440000}"/>
    <cellStyle name="20% - Accent6 4 2 2 3 5 2" xfId="35216" xr:uid="{00000000-0005-0000-0000-0000F6440000}"/>
    <cellStyle name="20% - Accent6 4 2 2 3 6" xfId="23915" xr:uid="{00000000-0005-0000-0000-0000F7440000}"/>
    <cellStyle name="20% - Accent6 4 2 2 4" xfId="1723" xr:uid="{00000000-0005-0000-0000-0000F8440000}"/>
    <cellStyle name="20% - Accent6 4 2 2 4 2" xfId="3631" xr:uid="{00000000-0005-0000-0000-0000F9440000}"/>
    <cellStyle name="20% - Accent6 4 2 2 4 2 2" xfId="9342" xr:uid="{00000000-0005-0000-0000-0000FA440000}"/>
    <cellStyle name="20% - Accent6 4 2 2 4 2 2 2" xfId="20643" xr:uid="{00000000-0005-0000-0000-0000FB440000}"/>
    <cellStyle name="20% - Accent6 4 2 2 4 2 2 2 2" xfId="43245" xr:uid="{00000000-0005-0000-0000-0000FC440000}"/>
    <cellStyle name="20% - Accent6 4 2 2 4 2 2 3" xfId="31944" xr:uid="{00000000-0005-0000-0000-0000FD440000}"/>
    <cellStyle name="20% - Accent6 4 2 2 4 2 3" xfId="14993" xr:uid="{00000000-0005-0000-0000-0000FE440000}"/>
    <cellStyle name="20% - Accent6 4 2 2 4 2 3 2" xfId="37595" xr:uid="{00000000-0005-0000-0000-0000FF440000}"/>
    <cellStyle name="20% - Accent6 4 2 2 4 2 4" xfId="26294" xr:uid="{00000000-0005-0000-0000-000000450000}"/>
    <cellStyle name="20% - Accent6 4 2 2 4 3" xfId="5386" xr:uid="{00000000-0005-0000-0000-000001450000}"/>
    <cellStyle name="20% - Accent6 4 2 2 4 3 2" xfId="11036" xr:uid="{00000000-0005-0000-0000-000002450000}"/>
    <cellStyle name="20% - Accent6 4 2 2 4 3 2 2" xfId="22337" xr:uid="{00000000-0005-0000-0000-000003450000}"/>
    <cellStyle name="20% - Accent6 4 2 2 4 3 2 2 2" xfId="44939" xr:uid="{00000000-0005-0000-0000-000004450000}"/>
    <cellStyle name="20% - Accent6 4 2 2 4 3 2 3" xfId="33638" xr:uid="{00000000-0005-0000-0000-000005450000}"/>
    <cellStyle name="20% - Accent6 4 2 2 4 3 3" xfId="16687" xr:uid="{00000000-0005-0000-0000-000006450000}"/>
    <cellStyle name="20% - Accent6 4 2 2 4 3 3 2" xfId="39289" xr:uid="{00000000-0005-0000-0000-000007450000}"/>
    <cellStyle name="20% - Accent6 4 2 2 4 3 4" xfId="27988" xr:uid="{00000000-0005-0000-0000-000008450000}"/>
    <cellStyle name="20% - Accent6 4 2 2 4 4" xfId="7579" xr:uid="{00000000-0005-0000-0000-000009450000}"/>
    <cellStyle name="20% - Accent6 4 2 2 4 4 2" xfId="18880" xr:uid="{00000000-0005-0000-0000-00000A450000}"/>
    <cellStyle name="20% - Accent6 4 2 2 4 4 2 2" xfId="41482" xr:uid="{00000000-0005-0000-0000-00000B450000}"/>
    <cellStyle name="20% - Accent6 4 2 2 4 4 3" xfId="30181" xr:uid="{00000000-0005-0000-0000-00000C450000}"/>
    <cellStyle name="20% - Accent6 4 2 2 4 5" xfId="13230" xr:uid="{00000000-0005-0000-0000-00000D450000}"/>
    <cellStyle name="20% - Accent6 4 2 2 4 5 2" xfId="35832" xr:uid="{00000000-0005-0000-0000-00000E450000}"/>
    <cellStyle name="20% - Accent6 4 2 2 4 6" xfId="24531" xr:uid="{00000000-0005-0000-0000-00000F450000}"/>
    <cellStyle name="20% - Accent6 4 2 2 5" xfId="2367" xr:uid="{00000000-0005-0000-0000-000010450000}"/>
    <cellStyle name="20% - Accent6 4 2 2 5 2" xfId="8203" xr:uid="{00000000-0005-0000-0000-000011450000}"/>
    <cellStyle name="20% - Accent6 4 2 2 5 2 2" xfId="19504" xr:uid="{00000000-0005-0000-0000-000012450000}"/>
    <cellStyle name="20% - Accent6 4 2 2 5 2 2 2" xfId="42106" xr:uid="{00000000-0005-0000-0000-000013450000}"/>
    <cellStyle name="20% - Accent6 4 2 2 5 2 3" xfId="30805" xr:uid="{00000000-0005-0000-0000-000014450000}"/>
    <cellStyle name="20% - Accent6 4 2 2 5 3" xfId="13854" xr:uid="{00000000-0005-0000-0000-000015450000}"/>
    <cellStyle name="20% - Accent6 4 2 2 5 3 2" xfId="36456" xr:uid="{00000000-0005-0000-0000-000016450000}"/>
    <cellStyle name="20% - Accent6 4 2 2 5 4" xfId="25155" xr:uid="{00000000-0005-0000-0000-000017450000}"/>
    <cellStyle name="20% - Accent6 4 2 2 6" xfId="4152" xr:uid="{00000000-0005-0000-0000-000018450000}"/>
    <cellStyle name="20% - Accent6 4 2 2 6 2" xfId="9802" xr:uid="{00000000-0005-0000-0000-000019450000}"/>
    <cellStyle name="20% - Accent6 4 2 2 6 2 2" xfId="21103" xr:uid="{00000000-0005-0000-0000-00001A450000}"/>
    <cellStyle name="20% - Accent6 4 2 2 6 2 2 2" xfId="43705" xr:uid="{00000000-0005-0000-0000-00001B450000}"/>
    <cellStyle name="20% - Accent6 4 2 2 6 2 3" xfId="32404" xr:uid="{00000000-0005-0000-0000-00001C450000}"/>
    <cellStyle name="20% - Accent6 4 2 2 6 3" xfId="15453" xr:uid="{00000000-0005-0000-0000-00001D450000}"/>
    <cellStyle name="20% - Accent6 4 2 2 6 3 2" xfId="38055" xr:uid="{00000000-0005-0000-0000-00001E450000}"/>
    <cellStyle name="20% - Accent6 4 2 2 6 4" xfId="26754" xr:uid="{00000000-0005-0000-0000-00001F450000}"/>
    <cellStyle name="20% - Accent6 4 2 2 7" xfId="6632" xr:uid="{00000000-0005-0000-0000-000020450000}"/>
    <cellStyle name="20% - Accent6 4 2 2 7 2" xfId="17933" xr:uid="{00000000-0005-0000-0000-000021450000}"/>
    <cellStyle name="20% - Accent6 4 2 2 7 2 2" xfId="40535" xr:uid="{00000000-0005-0000-0000-000022450000}"/>
    <cellStyle name="20% - Accent6 4 2 2 7 3" xfId="29234" xr:uid="{00000000-0005-0000-0000-000023450000}"/>
    <cellStyle name="20% - Accent6 4 2 2 8" xfId="12283" xr:uid="{00000000-0005-0000-0000-000024450000}"/>
    <cellStyle name="20% - Accent6 4 2 2 8 2" xfId="34885" xr:uid="{00000000-0005-0000-0000-000025450000}"/>
    <cellStyle name="20% - Accent6 4 2 2 9" xfId="23584" xr:uid="{00000000-0005-0000-0000-000026450000}"/>
    <cellStyle name="20% - Accent6 4 2 3" xfId="1139" xr:uid="{00000000-0005-0000-0000-000027450000}"/>
    <cellStyle name="20% - Accent6 4 2 3 2" xfId="1725" xr:uid="{00000000-0005-0000-0000-000028450000}"/>
    <cellStyle name="20% - Accent6 4 2 3 2 2" xfId="3207" xr:uid="{00000000-0005-0000-0000-000029450000}"/>
    <cellStyle name="20% - Accent6 4 2 3 2 2 2" xfId="6179" xr:uid="{00000000-0005-0000-0000-00002A450000}"/>
    <cellStyle name="20% - Accent6 4 2 3 2 2 2 2" xfId="11829" xr:uid="{00000000-0005-0000-0000-00002B450000}"/>
    <cellStyle name="20% - Accent6 4 2 3 2 2 2 2 2" xfId="23130" xr:uid="{00000000-0005-0000-0000-00002C450000}"/>
    <cellStyle name="20% - Accent6 4 2 3 2 2 2 2 2 2" xfId="45732" xr:uid="{00000000-0005-0000-0000-00002D450000}"/>
    <cellStyle name="20% - Accent6 4 2 3 2 2 2 2 3" xfId="34431" xr:uid="{00000000-0005-0000-0000-00002E450000}"/>
    <cellStyle name="20% - Accent6 4 2 3 2 2 2 3" xfId="17480" xr:uid="{00000000-0005-0000-0000-00002F450000}"/>
    <cellStyle name="20% - Accent6 4 2 3 2 2 2 3 2" xfId="40082" xr:uid="{00000000-0005-0000-0000-000030450000}"/>
    <cellStyle name="20% - Accent6 4 2 3 2 2 2 4" xfId="28781" xr:uid="{00000000-0005-0000-0000-000031450000}"/>
    <cellStyle name="20% - Accent6 4 2 3 2 2 3" xfId="8997" xr:uid="{00000000-0005-0000-0000-000032450000}"/>
    <cellStyle name="20% - Accent6 4 2 3 2 2 3 2" xfId="20298" xr:uid="{00000000-0005-0000-0000-000033450000}"/>
    <cellStyle name="20% - Accent6 4 2 3 2 2 3 2 2" xfId="42900" xr:uid="{00000000-0005-0000-0000-000034450000}"/>
    <cellStyle name="20% - Accent6 4 2 3 2 2 3 3" xfId="31599" xr:uid="{00000000-0005-0000-0000-000035450000}"/>
    <cellStyle name="20% - Accent6 4 2 3 2 2 4" xfId="14648" xr:uid="{00000000-0005-0000-0000-000036450000}"/>
    <cellStyle name="20% - Accent6 4 2 3 2 2 4 2" xfId="37250" xr:uid="{00000000-0005-0000-0000-000037450000}"/>
    <cellStyle name="20% - Accent6 4 2 3 2 2 5" xfId="25949" xr:uid="{00000000-0005-0000-0000-000038450000}"/>
    <cellStyle name="20% - Accent6 4 2 3 2 3" xfId="4945" xr:uid="{00000000-0005-0000-0000-000039450000}"/>
    <cellStyle name="20% - Accent6 4 2 3 2 3 2" xfId="10595" xr:uid="{00000000-0005-0000-0000-00003A450000}"/>
    <cellStyle name="20% - Accent6 4 2 3 2 3 2 2" xfId="21896" xr:uid="{00000000-0005-0000-0000-00003B450000}"/>
    <cellStyle name="20% - Accent6 4 2 3 2 3 2 2 2" xfId="44498" xr:uid="{00000000-0005-0000-0000-00003C450000}"/>
    <cellStyle name="20% - Accent6 4 2 3 2 3 2 3" xfId="33197" xr:uid="{00000000-0005-0000-0000-00003D450000}"/>
    <cellStyle name="20% - Accent6 4 2 3 2 3 3" xfId="16246" xr:uid="{00000000-0005-0000-0000-00003E450000}"/>
    <cellStyle name="20% - Accent6 4 2 3 2 3 3 2" xfId="38848" xr:uid="{00000000-0005-0000-0000-00003F450000}"/>
    <cellStyle name="20% - Accent6 4 2 3 2 3 4" xfId="27547" xr:uid="{00000000-0005-0000-0000-000040450000}"/>
    <cellStyle name="20% - Accent6 4 2 3 2 4" xfId="7581" xr:uid="{00000000-0005-0000-0000-000041450000}"/>
    <cellStyle name="20% - Accent6 4 2 3 2 4 2" xfId="18882" xr:uid="{00000000-0005-0000-0000-000042450000}"/>
    <cellStyle name="20% - Accent6 4 2 3 2 4 2 2" xfId="41484" xr:uid="{00000000-0005-0000-0000-000043450000}"/>
    <cellStyle name="20% - Accent6 4 2 3 2 4 3" xfId="30183" xr:uid="{00000000-0005-0000-0000-000044450000}"/>
    <cellStyle name="20% - Accent6 4 2 3 2 5" xfId="13232" xr:uid="{00000000-0005-0000-0000-000045450000}"/>
    <cellStyle name="20% - Accent6 4 2 3 2 5 2" xfId="35834" xr:uid="{00000000-0005-0000-0000-000046450000}"/>
    <cellStyle name="20% - Accent6 4 2 3 2 6" xfId="24533" xr:uid="{00000000-0005-0000-0000-000047450000}"/>
    <cellStyle name="20% - Accent6 4 2 3 3" xfId="2536" xr:uid="{00000000-0005-0000-0000-000048450000}"/>
    <cellStyle name="20% - Accent6 4 2 3 3 2" xfId="5555" xr:uid="{00000000-0005-0000-0000-000049450000}"/>
    <cellStyle name="20% - Accent6 4 2 3 3 2 2" xfId="11205" xr:uid="{00000000-0005-0000-0000-00004A450000}"/>
    <cellStyle name="20% - Accent6 4 2 3 3 2 2 2" xfId="22506" xr:uid="{00000000-0005-0000-0000-00004B450000}"/>
    <cellStyle name="20% - Accent6 4 2 3 3 2 2 2 2" xfId="45108" xr:uid="{00000000-0005-0000-0000-00004C450000}"/>
    <cellStyle name="20% - Accent6 4 2 3 3 2 2 3" xfId="33807" xr:uid="{00000000-0005-0000-0000-00004D450000}"/>
    <cellStyle name="20% - Accent6 4 2 3 3 2 3" xfId="16856" xr:uid="{00000000-0005-0000-0000-00004E450000}"/>
    <cellStyle name="20% - Accent6 4 2 3 3 2 3 2" xfId="39458" xr:uid="{00000000-0005-0000-0000-00004F450000}"/>
    <cellStyle name="20% - Accent6 4 2 3 3 2 4" xfId="28157" xr:uid="{00000000-0005-0000-0000-000050450000}"/>
    <cellStyle name="20% - Accent6 4 2 3 3 3" xfId="8372" xr:uid="{00000000-0005-0000-0000-000051450000}"/>
    <cellStyle name="20% - Accent6 4 2 3 3 3 2" xfId="19673" xr:uid="{00000000-0005-0000-0000-000052450000}"/>
    <cellStyle name="20% - Accent6 4 2 3 3 3 2 2" xfId="42275" xr:uid="{00000000-0005-0000-0000-000053450000}"/>
    <cellStyle name="20% - Accent6 4 2 3 3 3 3" xfId="30974" xr:uid="{00000000-0005-0000-0000-000054450000}"/>
    <cellStyle name="20% - Accent6 4 2 3 3 4" xfId="14023" xr:uid="{00000000-0005-0000-0000-000055450000}"/>
    <cellStyle name="20% - Accent6 4 2 3 3 4 2" xfId="36625" xr:uid="{00000000-0005-0000-0000-000056450000}"/>
    <cellStyle name="20% - Accent6 4 2 3 3 5" xfId="25324" xr:uid="{00000000-0005-0000-0000-000057450000}"/>
    <cellStyle name="20% - Accent6 4 2 3 4" xfId="4321" xr:uid="{00000000-0005-0000-0000-000058450000}"/>
    <cellStyle name="20% - Accent6 4 2 3 4 2" xfId="9971" xr:uid="{00000000-0005-0000-0000-000059450000}"/>
    <cellStyle name="20% - Accent6 4 2 3 4 2 2" xfId="21272" xr:uid="{00000000-0005-0000-0000-00005A450000}"/>
    <cellStyle name="20% - Accent6 4 2 3 4 2 2 2" xfId="43874" xr:uid="{00000000-0005-0000-0000-00005B450000}"/>
    <cellStyle name="20% - Accent6 4 2 3 4 2 3" xfId="32573" xr:uid="{00000000-0005-0000-0000-00005C450000}"/>
    <cellStyle name="20% - Accent6 4 2 3 4 3" xfId="15622" xr:uid="{00000000-0005-0000-0000-00005D450000}"/>
    <cellStyle name="20% - Accent6 4 2 3 4 3 2" xfId="38224" xr:uid="{00000000-0005-0000-0000-00005E450000}"/>
    <cellStyle name="20% - Accent6 4 2 3 4 4" xfId="26923" xr:uid="{00000000-0005-0000-0000-00005F450000}"/>
    <cellStyle name="20% - Accent6 4 2 3 5" xfId="7118" xr:uid="{00000000-0005-0000-0000-000060450000}"/>
    <cellStyle name="20% - Accent6 4 2 3 5 2" xfId="18419" xr:uid="{00000000-0005-0000-0000-000061450000}"/>
    <cellStyle name="20% - Accent6 4 2 3 5 2 2" xfId="41021" xr:uid="{00000000-0005-0000-0000-000062450000}"/>
    <cellStyle name="20% - Accent6 4 2 3 5 3" xfId="29720" xr:uid="{00000000-0005-0000-0000-000063450000}"/>
    <cellStyle name="20% - Accent6 4 2 3 6" xfId="12769" xr:uid="{00000000-0005-0000-0000-000064450000}"/>
    <cellStyle name="20% - Accent6 4 2 3 6 2" xfId="35371" xr:uid="{00000000-0005-0000-0000-000065450000}"/>
    <cellStyle name="20% - Accent6 4 2 3 7" xfId="24070" xr:uid="{00000000-0005-0000-0000-000066450000}"/>
    <cellStyle name="20% - Accent6 4 2 4" xfId="829" xr:uid="{00000000-0005-0000-0000-000067450000}"/>
    <cellStyle name="20% - Accent6 4 2 4 2" xfId="2900" xr:uid="{00000000-0005-0000-0000-000068450000}"/>
    <cellStyle name="20% - Accent6 4 2 4 2 2" xfId="5872" xr:uid="{00000000-0005-0000-0000-000069450000}"/>
    <cellStyle name="20% - Accent6 4 2 4 2 2 2" xfId="11522" xr:uid="{00000000-0005-0000-0000-00006A450000}"/>
    <cellStyle name="20% - Accent6 4 2 4 2 2 2 2" xfId="22823" xr:uid="{00000000-0005-0000-0000-00006B450000}"/>
    <cellStyle name="20% - Accent6 4 2 4 2 2 2 2 2" xfId="45425" xr:uid="{00000000-0005-0000-0000-00006C450000}"/>
    <cellStyle name="20% - Accent6 4 2 4 2 2 2 3" xfId="34124" xr:uid="{00000000-0005-0000-0000-00006D450000}"/>
    <cellStyle name="20% - Accent6 4 2 4 2 2 3" xfId="17173" xr:uid="{00000000-0005-0000-0000-00006E450000}"/>
    <cellStyle name="20% - Accent6 4 2 4 2 2 3 2" xfId="39775" xr:uid="{00000000-0005-0000-0000-00006F450000}"/>
    <cellStyle name="20% - Accent6 4 2 4 2 2 4" xfId="28474" xr:uid="{00000000-0005-0000-0000-000070450000}"/>
    <cellStyle name="20% - Accent6 4 2 4 2 3" xfId="8690" xr:uid="{00000000-0005-0000-0000-000071450000}"/>
    <cellStyle name="20% - Accent6 4 2 4 2 3 2" xfId="19991" xr:uid="{00000000-0005-0000-0000-000072450000}"/>
    <cellStyle name="20% - Accent6 4 2 4 2 3 2 2" xfId="42593" xr:uid="{00000000-0005-0000-0000-000073450000}"/>
    <cellStyle name="20% - Accent6 4 2 4 2 3 3" xfId="31292" xr:uid="{00000000-0005-0000-0000-000074450000}"/>
    <cellStyle name="20% - Accent6 4 2 4 2 4" xfId="14341" xr:uid="{00000000-0005-0000-0000-000075450000}"/>
    <cellStyle name="20% - Accent6 4 2 4 2 4 2" xfId="36943" xr:uid="{00000000-0005-0000-0000-000076450000}"/>
    <cellStyle name="20% - Accent6 4 2 4 2 5" xfId="25642" xr:uid="{00000000-0005-0000-0000-000077450000}"/>
    <cellStyle name="20% - Accent6 4 2 4 3" xfId="4638" xr:uid="{00000000-0005-0000-0000-000078450000}"/>
    <cellStyle name="20% - Accent6 4 2 4 3 2" xfId="10288" xr:uid="{00000000-0005-0000-0000-000079450000}"/>
    <cellStyle name="20% - Accent6 4 2 4 3 2 2" xfId="21589" xr:uid="{00000000-0005-0000-0000-00007A450000}"/>
    <cellStyle name="20% - Accent6 4 2 4 3 2 2 2" xfId="44191" xr:uid="{00000000-0005-0000-0000-00007B450000}"/>
    <cellStyle name="20% - Accent6 4 2 4 3 2 3" xfId="32890" xr:uid="{00000000-0005-0000-0000-00007C450000}"/>
    <cellStyle name="20% - Accent6 4 2 4 3 3" xfId="15939" xr:uid="{00000000-0005-0000-0000-00007D450000}"/>
    <cellStyle name="20% - Accent6 4 2 4 3 3 2" xfId="38541" xr:uid="{00000000-0005-0000-0000-00007E450000}"/>
    <cellStyle name="20% - Accent6 4 2 4 3 4" xfId="27240" xr:uid="{00000000-0005-0000-0000-00007F450000}"/>
    <cellStyle name="20% - Accent6 4 2 4 4" xfId="6825" xr:uid="{00000000-0005-0000-0000-000080450000}"/>
    <cellStyle name="20% - Accent6 4 2 4 4 2" xfId="18126" xr:uid="{00000000-0005-0000-0000-000081450000}"/>
    <cellStyle name="20% - Accent6 4 2 4 4 2 2" xfId="40728" xr:uid="{00000000-0005-0000-0000-000082450000}"/>
    <cellStyle name="20% - Accent6 4 2 4 4 3" xfId="29427" xr:uid="{00000000-0005-0000-0000-000083450000}"/>
    <cellStyle name="20% - Accent6 4 2 4 5" xfId="12476" xr:uid="{00000000-0005-0000-0000-000084450000}"/>
    <cellStyle name="20% - Accent6 4 2 4 5 2" xfId="35078" xr:uid="{00000000-0005-0000-0000-000085450000}"/>
    <cellStyle name="20% - Accent6 4 2 4 6" xfId="23777" xr:uid="{00000000-0005-0000-0000-000086450000}"/>
    <cellStyle name="20% - Accent6 4 2 5" xfId="1722" xr:uid="{00000000-0005-0000-0000-000087450000}"/>
    <cellStyle name="20% - Accent6 4 2 5 2" xfId="3630" xr:uid="{00000000-0005-0000-0000-000088450000}"/>
    <cellStyle name="20% - Accent6 4 2 5 2 2" xfId="9341" xr:uid="{00000000-0005-0000-0000-000089450000}"/>
    <cellStyle name="20% - Accent6 4 2 5 2 2 2" xfId="20642" xr:uid="{00000000-0005-0000-0000-00008A450000}"/>
    <cellStyle name="20% - Accent6 4 2 5 2 2 2 2" xfId="43244" xr:uid="{00000000-0005-0000-0000-00008B450000}"/>
    <cellStyle name="20% - Accent6 4 2 5 2 2 3" xfId="31943" xr:uid="{00000000-0005-0000-0000-00008C450000}"/>
    <cellStyle name="20% - Accent6 4 2 5 2 3" xfId="14992" xr:uid="{00000000-0005-0000-0000-00008D450000}"/>
    <cellStyle name="20% - Accent6 4 2 5 2 3 2" xfId="37594" xr:uid="{00000000-0005-0000-0000-00008E450000}"/>
    <cellStyle name="20% - Accent6 4 2 5 2 4" xfId="26293" xr:uid="{00000000-0005-0000-0000-00008F450000}"/>
    <cellStyle name="20% - Accent6 4 2 5 3" xfId="5248" xr:uid="{00000000-0005-0000-0000-000090450000}"/>
    <cellStyle name="20% - Accent6 4 2 5 3 2" xfId="10898" xr:uid="{00000000-0005-0000-0000-000091450000}"/>
    <cellStyle name="20% - Accent6 4 2 5 3 2 2" xfId="22199" xr:uid="{00000000-0005-0000-0000-000092450000}"/>
    <cellStyle name="20% - Accent6 4 2 5 3 2 2 2" xfId="44801" xr:uid="{00000000-0005-0000-0000-000093450000}"/>
    <cellStyle name="20% - Accent6 4 2 5 3 2 3" xfId="33500" xr:uid="{00000000-0005-0000-0000-000094450000}"/>
    <cellStyle name="20% - Accent6 4 2 5 3 3" xfId="16549" xr:uid="{00000000-0005-0000-0000-000095450000}"/>
    <cellStyle name="20% - Accent6 4 2 5 3 3 2" xfId="39151" xr:uid="{00000000-0005-0000-0000-000096450000}"/>
    <cellStyle name="20% - Accent6 4 2 5 3 4" xfId="27850" xr:uid="{00000000-0005-0000-0000-000097450000}"/>
    <cellStyle name="20% - Accent6 4 2 5 4" xfId="7578" xr:uid="{00000000-0005-0000-0000-000098450000}"/>
    <cellStyle name="20% - Accent6 4 2 5 4 2" xfId="18879" xr:uid="{00000000-0005-0000-0000-000099450000}"/>
    <cellStyle name="20% - Accent6 4 2 5 4 2 2" xfId="41481" xr:uid="{00000000-0005-0000-0000-00009A450000}"/>
    <cellStyle name="20% - Accent6 4 2 5 4 3" xfId="30180" xr:uid="{00000000-0005-0000-0000-00009B450000}"/>
    <cellStyle name="20% - Accent6 4 2 5 5" xfId="13229" xr:uid="{00000000-0005-0000-0000-00009C450000}"/>
    <cellStyle name="20% - Accent6 4 2 5 5 2" xfId="35831" xr:uid="{00000000-0005-0000-0000-00009D450000}"/>
    <cellStyle name="20% - Accent6 4 2 5 6" xfId="24530" xr:uid="{00000000-0005-0000-0000-00009E450000}"/>
    <cellStyle name="20% - Accent6 4 2 6" xfId="2227" xr:uid="{00000000-0005-0000-0000-00009F450000}"/>
    <cellStyle name="20% - Accent6 4 2 6 2" xfId="8063" xr:uid="{00000000-0005-0000-0000-0000A0450000}"/>
    <cellStyle name="20% - Accent6 4 2 6 2 2" xfId="19364" xr:uid="{00000000-0005-0000-0000-0000A1450000}"/>
    <cellStyle name="20% - Accent6 4 2 6 2 2 2" xfId="41966" xr:uid="{00000000-0005-0000-0000-0000A2450000}"/>
    <cellStyle name="20% - Accent6 4 2 6 2 3" xfId="30665" xr:uid="{00000000-0005-0000-0000-0000A3450000}"/>
    <cellStyle name="20% - Accent6 4 2 6 3" xfId="13714" xr:uid="{00000000-0005-0000-0000-0000A4450000}"/>
    <cellStyle name="20% - Accent6 4 2 6 3 2" xfId="36316" xr:uid="{00000000-0005-0000-0000-0000A5450000}"/>
    <cellStyle name="20% - Accent6 4 2 6 4" xfId="25015" xr:uid="{00000000-0005-0000-0000-0000A6450000}"/>
    <cellStyle name="20% - Accent6 4 2 7" xfId="4014" xr:uid="{00000000-0005-0000-0000-0000A7450000}"/>
    <cellStyle name="20% - Accent6 4 2 7 2" xfId="9664" xr:uid="{00000000-0005-0000-0000-0000A8450000}"/>
    <cellStyle name="20% - Accent6 4 2 7 2 2" xfId="20965" xr:uid="{00000000-0005-0000-0000-0000A9450000}"/>
    <cellStyle name="20% - Accent6 4 2 7 2 2 2" xfId="43567" xr:uid="{00000000-0005-0000-0000-0000AA450000}"/>
    <cellStyle name="20% - Accent6 4 2 7 2 3" xfId="32266" xr:uid="{00000000-0005-0000-0000-0000AB450000}"/>
    <cellStyle name="20% - Accent6 4 2 7 3" xfId="15315" xr:uid="{00000000-0005-0000-0000-0000AC450000}"/>
    <cellStyle name="20% - Accent6 4 2 7 3 2" xfId="37917" xr:uid="{00000000-0005-0000-0000-0000AD450000}"/>
    <cellStyle name="20% - Accent6 4 2 7 4" xfId="26616" xr:uid="{00000000-0005-0000-0000-0000AE450000}"/>
    <cellStyle name="20% - Accent6 4 2 8" xfId="6465" xr:uid="{00000000-0005-0000-0000-0000AF450000}"/>
    <cellStyle name="20% - Accent6 4 2 8 2" xfId="17766" xr:uid="{00000000-0005-0000-0000-0000B0450000}"/>
    <cellStyle name="20% - Accent6 4 2 8 2 2" xfId="40368" xr:uid="{00000000-0005-0000-0000-0000B1450000}"/>
    <cellStyle name="20% - Accent6 4 2 8 3" xfId="29067" xr:uid="{00000000-0005-0000-0000-0000B2450000}"/>
    <cellStyle name="20% - Accent6 4 2 9" xfId="12116" xr:uid="{00000000-0005-0000-0000-0000B3450000}"/>
    <cellStyle name="20% - Accent6 4 2 9 2" xfId="34718" xr:uid="{00000000-0005-0000-0000-0000B4450000}"/>
    <cellStyle name="20% - Accent6 4 3" xfId="371" xr:uid="{00000000-0005-0000-0000-0000B5450000}"/>
    <cellStyle name="20% - Accent6 4 3 10" xfId="23466" xr:uid="{00000000-0005-0000-0000-0000B6450000}"/>
    <cellStyle name="20% - Accent6 4 3 2" xfId="616" xr:uid="{00000000-0005-0000-0000-0000B7450000}"/>
    <cellStyle name="20% - Accent6 4 3 2 2" xfId="1326" xr:uid="{00000000-0005-0000-0000-0000B8450000}"/>
    <cellStyle name="20% - Accent6 4 3 2 2 2" xfId="1728" xr:uid="{00000000-0005-0000-0000-0000B9450000}"/>
    <cellStyle name="20% - Accent6 4 3 2 2 2 2" xfId="3395" xr:uid="{00000000-0005-0000-0000-0000BA450000}"/>
    <cellStyle name="20% - Accent6 4 3 2 2 2 2 2" xfId="6367" xr:uid="{00000000-0005-0000-0000-0000BB450000}"/>
    <cellStyle name="20% - Accent6 4 3 2 2 2 2 2 2" xfId="12017" xr:uid="{00000000-0005-0000-0000-0000BC450000}"/>
    <cellStyle name="20% - Accent6 4 3 2 2 2 2 2 2 2" xfId="23318" xr:uid="{00000000-0005-0000-0000-0000BD450000}"/>
    <cellStyle name="20% - Accent6 4 3 2 2 2 2 2 2 2 2" xfId="45920" xr:uid="{00000000-0005-0000-0000-0000BE450000}"/>
    <cellStyle name="20% - Accent6 4 3 2 2 2 2 2 2 3" xfId="34619" xr:uid="{00000000-0005-0000-0000-0000BF450000}"/>
    <cellStyle name="20% - Accent6 4 3 2 2 2 2 2 3" xfId="17668" xr:uid="{00000000-0005-0000-0000-0000C0450000}"/>
    <cellStyle name="20% - Accent6 4 3 2 2 2 2 2 3 2" xfId="40270" xr:uid="{00000000-0005-0000-0000-0000C1450000}"/>
    <cellStyle name="20% - Accent6 4 3 2 2 2 2 2 4" xfId="28969" xr:uid="{00000000-0005-0000-0000-0000C2450000}"/>
    <cellStyle name="20% - Accent6 4 3 2 2 2 2 3" xfId="9185" xr:uid="{00000000-0005-0000-0000-0000C3450000}"/>
    <cellStyle name="20% - Accent6 4 3 2 2 2 2 3 2" xfId="20486" xr:uid="{00000000-0005-0000-0000-0000C4450000}"/>
    <cellStyle name="20% - Accent6 4 3 2 2 2 2 3 2 2" xfId="43088" xr:uid="{00000000-0005-0000-0000-0000C5450000}"/>
    <cellStyle name="20% - Accent6 4 3 2 2 2 2 3 3" xfId="31787" xr:uid="{00000000-0005-0000-0000-0000C6450000}"/>
    <cellStyle name="20% - Accent6 4 3 2 2 2 2 4" xfId="14836" xr:uid="{00000000-0005-0000-0000-0000C7450000}"/>
    <cellStyle name="20% - Accent6 4 3 2 2 2 2 4 2" xfId="37438" xr:uid="{00000000-0005-0000-0000-0000C8450000}"/>
    <cellStyle name="20% - Accent6 4 3 2 2 2 2 5" xfId="26137" xr:uid="{00000000-0005-0000-0000-0000C9450000}"/>
    <cellStyle name="20% - Accent6 4 3 2 2 2 3" xfId="5133" xr:uid="{00000000-0005-0000-0000-0000CA450000}"/>
    <cellStyle name="20% - Accent6 4 3 2 2 2 3 2" xfId="10783" xr:uid="{00000000-0005-0000-0000-0000CB450000}"/>
    <cellStyle name="20% - Accent6 4 3 2 2 2 3 2 2" xfId="22084" xr:uid="{00000000-0005-0000-0000-0000CC450000}"/>
    <cellStyle name="20% - Accent6 4 3 2 2 2 3 2 2 2" xfId="44686" xr:uid="{00000000-0005-0000-0000-0000CD450000}"/>
    <cellStyle name="20% - Accent6 4 3 2 2 2 3 2 3" xfId="33385" xr:uid="{00000000-0005-0000-0000-0000CE450000}"/>
    <cellStyle name="20% - Accent6 4 3 2 2 2 3 3" xfId="16434" xr:uid="{00000000-0005-0000-0000-0000CF450000}"/>
    <cellStyle name="20% - Accent6 4 3 2 2 2 3 3 2" xfId="39036" xr:uid="{00000000-0005-0000-0000-0000D0450000}"/>
    <cellStyle name="20% - Accent6 4 3 2 2 2 3 4" xfId="27735" xr:uid="{00000000-0005-0000-0000-0000D1450000}"/>
    <cellStyle name="20% - Accent6 4 3 2 2 2 4" xfId="7584" xr:uid="{00000000-0005-0000-0000-0000D2450000}"/>
    <cellStyle name="20% - Accent6 4 3 2 2 2 4 2" xfId="18885" xr:uid="{00000000-0005-0000-0000-0000D3450000}"/>
    <cellStyle name="20% - Accent6 4 3 2 2 2 4 2 2" xfId="41487" xr:uid="{00000000-0005-0000-0000-0000D4450000}"/>
    <cellStyle name="20% - Accent6 4 3 2 2 2 4 3" xfId="30186" xr:uid="{00000000-0005-0000-0000-0000D5450000}"/>
    <cellStyle name="20% - Accent6 4 3 2 2 2 5" xfId="13235" xr:uid="{00000000-0005-0000-0000-0000D6450000}"/>
    <cellStyle name="20% - Accent6 4 3 2 2 2 5 2" xfId="35837" xr:uid="{00000000-0005-0000-0000-0000D7450000}"/>
    <cellStyle name="20% - Accent6 4 3 2 2 2 6" xfId="24536" xr:uid="{00000000-0005-0000-0000-0000D8450000}"/>
    <cellStyle name="20% - Accent6 4 3 2 2 3" xfId="2724" xr:uid="{00000000-0005-0000-0000-0000D9450000}"/>
    <cellStyle name="20% - Accent6 4 3 2 2 3 2" xfId="5743" xr:uid="{00000000-0005-0000-0000-0000DA450000}"/>
    <cellStyle name="20% - Accent6 4 3 2 2 3 2 2" xfId="11393" xr:uid="{00000000-0005-0000-0000-0000DB450000}"/>
    <cellStyle name="20% - Accent6 4 3 2 2 3 2 2 2" xfId="22694" xr:uid="{00000000-0005-0000-0000-0000DC450000}"/>
    <cellStyle name="20% - Accent6 4 3 2 2 3 2 2 2 2" xfId="45296" xr:uid="{00000000-0005-0000-0000-0000DD450000}"/>
    <cellStyle name="20% - Accent6 4 3 2 2 3 2 2 3" xfId="33995" xr:uid="{00000000-0005-0000-0000-0000DE450000}"/>
    <cellStyle name="20% - Accent6 4 3 2 2 3 2 3" xfId="17044" xr:uid="{00000000-0005-0000-0000-0000DF450000}"/>
    <cellStyle name="20% - Accent6 4 3 2 2 3 2 3 2" xfId="39646" xr:uid="{00000000-0005-0000-0000-0000E0450000}"/>
    <cellStyle name="20% - Accent6 4 3 2 2 3 2 4" xfId="28345" xr:uid="{00000000-0005-0000-0000-0000E1450000}"/>
    <cellStyle name="20% - Accent6 4 3 2 2 3 3" xfId="8560" xr:uid="{00000000-0005-0000-0000-0000E2450000}"/>
    <cellStyle name="20% - Accent6 4 3 2 2 3 3 2" xfId="19861" xr:uid="{00000000-0005-0000-0000-0000E3450000}"/>
    <cellStyle name="20% - Accent6 4 3 2 2 3 3 2 2" xfId="42463" xr:uid="{00000000-0005-0000-0000-0000E4450000}"/>
    <cellStyle name="20% - Accent6 4 3 2 2 3 3 3" xfId="31162" xr:uid="{00000000-0005-0000-0000-0000E5450000}"/>
    <cellStyle name="20% - Accent6 4 3 2 2 3 4" xfId="14211" xr:uid="{00000000-0005-0000-0000-0000E6450000}"/>
    <cellStyle name="20% - Accent6 4 3 2 2 3 4 2" xfId="36813" xr:uid="{00000000-0005-0000-0000-0000E7450000}"/>
    <cellStyle name="20% - Accent6 4 3 2 2 3 5" xfId="25512" xr:uid="{00000000-0005-0000-0000-0000E8450000}"/>
    <cellStyle name="20% - Accent6 4 3 2 2 4" xfId="4509" xr:uid="{00000000-0005-0000-0000-0000E9450000}"/>
    <cellStyle name="20% - Accent6 4 3 2 2 4 2" xfId="10159" xr:uid="{00000000-0005-0000-0000-0000EA450000}"/>
    <cellStyle name="20% - Accent6 4 3 2 2 4 2 2" xfId="21460" xr:uid="{00000000-0005-0000-0000-0000EB450000}"/>
    <cellStyle name="20% - Accent6 4 3 2 2 4 2 2 2" xfId="44062" xr:uid="{00000000-0005-0000-0000-0000EC450000}"/>
    <cellStyle name="20% - Accent6 4 3 2 2 4 2 3" xfId="32761" xr:uid="{00000000-0005-0000-0000-0000ED450000}"/>
    <cellStyle name="20% - Accent6 4 3 2 2 4 3" xfId="15810" xr:uid="{00000000-0005-0000-0000-0000EE450000}"/>
    <cellStyle name="20% - Accent6 4 3 2 2 4 3 2" xfId="38412" xr:uid="{00000000-0005-0000-0000-0000EF450000}"/>
    <cellStyle name="20% - Accent6 4 3 2 2 4 4" xfId="27111" xr:uid="{00000000-0005-0000-0000-0000F0450000}"/>
    <cellStyle name="20% - Accent6 4 3 2 2 5" xfId="7305" xr:uid="{00000000-0005-0000-0000-0000F1450000}"/>
    <cellStyle name="20% - Accent6 4 3 2 2 5 2" xfId="18606" xr:uid="{00000000-0005-0000-0000-0000F2450000}"/>
    <cellStyle name="20% - Accent6 4 3 2 2 5 2 2" xfId="41208" xr:uid="{00000000-0005-0000-0000-0000F3450000}"/>
    <cellStyle name="20% - Accent6 4 3 2 2 5 3" xfId="29907" xr:uid="{00000000-0005-0000-0000-0000F4450000}"/>
    <cellStyle name="20% - Accent6 4 3 2 2 6" xfId="12956" xr:uid="{00000000-0005-0000-0000-0000F5450000}"/>
    <cellStyle name="20% - Accent6 4 3 2 2 6 2" xfId="35558" xr:uid="{00000000-0005-0000-0000-0000F6450000}"/>
    <cellStyle name="20% - Accent6 4 3 2 2 7" xfId="24257" xr:uid="{00000000-0005-0000-0000-0000F7450000}"/>
    <cellStyle name="20% - Accent6 4 3 2 3" xfId="1024" xr:uid="{00000000-0005-0000-0000-0000F8450000}"/>
    <cellStyle name="20% - Accent6 4 3 2 3 2" xfId="3087" xr:uid="{00000000-0005-0000-0000-0000F9450000}"/>
    <cellStyle name="20% - Accent6 4 3 2 3 2 2" xfId="6059" xr:uid="{00000000-0005-0000-0000-0000FA450000}"/>
    <cellStyle name="20% - Accent6 4 3 2 3 2 2 2" xfId="11709" xr:uid="{00000000-0005-0000-0000-0000FB450000}"/>
    <cellStyle name="20% - Accent6 4 3 2 3 2 2 2 2" xfId="23010" xr:uid="{00000000-0005-0000-0000-0000FC450000}"/>
    <cellStyle name="20% - Accent6 4 3 2 3 2 2 2 2 2" xfId="45612" xr:uid="{00000000-0005-0000-0000-0000FD450000}"/>
    <cellStyle name="20% - Accent6 4 3 2 3 2 2 2 3" xfId="34311" xr:uid="{00000000-0005-0000-0000-0000FE450000}"/>
    <cellStyle name="20% - Accent6 4 3 2 3 2 2 3" xfId="17360" xr:uid="{00000000-0005-0000-0000-0000FF450000}"/>
    <cellStyle name="20% - Accent6 4 3 2 3 2 2 3 2" xfId="39962" xr:uid="{00000000-0005-0000-0000-000000460000}"/>
    <cellStyle name="20% - Accent6 4 3 2 3 2 2 4" xfId="28661" xr:uid="{00000000-0005-0000-0000-000001460000}"/>
    <cellStyle name="20% - Accent6 4 3 2 3 2 3" xfId="8877" xr:uid="{00000000-0005-0000-0000-000002460000}"/>
    <cellStyle name="20% - Accent6 4 3 2 3 2 3 2" xfId="20178" xr:uid="{00000000-0005-0000-0000-000003460000}"/>
    <cellStyle name="20% - Accent6 4 3 2 3 2 3 2 2" xfId="42780" xr:uid="{00000000-0005-0000-0000-000004460000}"/>
    <cellStyle name="20% - Accent6 4 3 2 3 2 3 3" xfId="31479" xr:uid="{00000000-0005-0000-0000-000005460000}"/>
    <cellStyle name="20% - Accent6 4 3 2 3 2 4" xfId="14528" xr:uid="{00000000-0005-0000-0000-000006460000}"/>
    <cellStyle name="20% - Accent6 4 3 2 3 2 4 2" xfId="37130" xr:uid="{00000000-0005-0000-0000-000007460000}"/>
    <cellStyle name="20% - Accent6 4 3 2 3 2 5" xfId="25829" xr:uid="{00000000-0005-0000-0000-000008460000}"/>
    <cellStyle name="20% - Accent6 4 3 2 3 3" xfId="4825" xr:uid="{00000000-0005-0000-0000-000009460000}"/>
    <cellStyle name="20% - Accent6 4 3 2 3 3 2" xfId="10475" xr:uid="{00000000-0005-0000-0000-00000A460000}"/>
    <cellStyle name="20% - Accent6 4 3 2 3 3 2 2" xfId="21776" xr:uid="{00000000-0005-0000-0000-00000B460000}"/>
    <cellStyle name="20% - Accent6 4 3 2 3 3 2 2 2" xfId="44378" xr:uid="{00000000-0005-0000-0000-00000C460000}"/>
    <cellStyle name="20% - Accent6 4 3 2 3 3 2 3" xfId="33077" xr:uid="{00000000-0005-0000-0000-00000D460000}"/>
    <cellStyle name="20% - Accent6 4 3 2 3 3 3" xfId="16126" xr:uid="{00000000-0005-0000-0000-00000E460000}"/>
    <cellStyle name="20% - Accent6 4 3 2 3 3 3 2" xfId="38728" xr:uid="{00000000-0005-0000-0000-00000F460000}"/>
    <cellStyle name="20% - Accent6 4 3 2 3 3 4" xfId="27427" xr:uid="{00000000-0005-0000-0000-000010460000}"/>
    <cellStyle name="20% - Accent6 4 3 2 3 4" xfId="7012" xr:uid="{00000000-0005-0000-0000-000011460000}"/>
    <cellStyle name="20% - Accent6 4 3 2 3 4 2" xfId="18313" xr:uid="{00000000-0005-0000-0000-000012460000}"/>
    <cellStyle name="20% - Accent6 4 3 2 3 4 2 2" xfId="40915" xr:uid="{00000000-0005-0000-0000-000013460000}"/>
    <cellStyle name="20% - Accent6 4 3 2 3 4 3" xfId="29614" xr:uid="{00000000-0005-0000-0000-000014460000}"/>
    <cellStyle name="20% - Accent6 4 3 2 3 5" xfId="12663" xr:uid="{00000000-0005-0000-0000-000015460000}"/>
    <cellStyle name="20% - Accent6 4 3 2 3 5 2" xfId="35265" xr:uid="{00000000-0005-0000-0000-000016460000}"/>
    <cellStyle name="20% - Accent6 4 3 2 3 6" xfId="23964" xr:uid="{00000000-0005-0000-0000-000017460000}"/>
    <cellStyle name="20% - Accent6 4 3 2 4" xfId="1727" xr:uid="{00000000-0005-0000-0000-000018460000}"/>
    <cellStyle name="20% - Accent6 4 3 2 4 2" xfId="3633" xr:uid="{00000000-0005-0000-0000-000019460000}"/>
    <cellStyle name="20% - Accent6 4 3 2 4 2 2" xfId="9344" xr:uid="{00000000-0005-0000-0000-00001A460000}"/>
    <cellStyle name="20% - Accent6 4 3 2 4 2 2 2" xfId="20645" xr:uid="{00000000-0005-0000-0000-00001B460000}"/>
    <cellStyle name="20% - Accent6 4 3 2 4 2 2 2 2" xfId="43247" xr:uid="{00000000-0005-0000-0000-00001C460000}"/>
    <cellStyle name="20% - Accent6 4 3 2 4 2 2 3" xfId="31946" xr:uid="{00000000-0005-0000-0000-00001D460000}"/>
    <cellStyle name="20% - Accent6 4 3 2 4 2 3" xfId="14995" xr:uid="{00000000-0005-0000-0000-00001E460000}"/>
    <cellStyle name="20% - Accent6 4 3 2 4 2 3 2" xfId="37597" xr:uid="{00000000-0005-0000-0000-00001F460000}"/>
    <cellStyle name="20% - Accent6 4 3 2 4 2 4" xfId="26296" xr:uid="{00000000-0005-0000-0000-000020460000}"/>
    <cellStyle name="20% - Accent6 4 3 2 4 3" xfId="5435" xr:uid="{00000000-0005-0000-0000-000021460000}"/>
    <cellStyle name="20% - Accent6 4 3 2 4 3 2" xfId="11085" xr:uid="{00000000-0005-0000-0000-000022460000}"/>
    <cellStyle name="20% - Accent6 4 3 2 4 3 2 2" xfId="22386" xr:uid="{00000000-0005-0000-0000-000023460000}"/>
    <cellStyle name="20% - Accent6 4 3 2 4 3 2 2 2" xfId="44988" xr:uid="{00000000-0005-0000-0000-000024460000}"/>
    <cellStyle name="20% - Accent6 4 3 2 4 3 2 3" xfId="33687" xr:uid="{00000000-0005-0000-0000-000025460000}"/>
    <cellStyle name="20% - Accent6 4 3 2 4 3 3" xfId="16736" xr:uid="{00000000-0005-0000-0000-000026460000}"/>
    <cellStyle name="20% - Accent6 4 3 2 4 3 3 2" xfId="39338" xr:uid="{00000000-0005-0000-0000-000027460000}"/>
    <cellStyle name="20% - Accent6 4 3 2 4 3 4" xfId="28037" xr:uid="{00000000-0005-0000-0000-000028460000}"/>
    <cellStyle name="20% - Accent6 4 3 2 4 4" xfId="7583" xr:uid="{00000000-0005-0000-0000-000029460000}"/>
    <cellStyle name="20% - Accent6 4 3 2 4 4 2" xfId="18884" xr:uid="{00000000-0005-0000-0000-00002A460000}"/>
    <cellStyle name="20% - Accent6 4 3 2 4 4 2 2" xfId="41486" xr:uid="{00000000-0005-0000-0000-00002B460000}"/>
    <cellStyle name="20% - Accent6 4 3 2 4 4 3" xfId="30185" xr:uid="{00000000-0005-0000-0000-00002C460000}"/>
    <cellStyle name="20% - Accent6 4 3 2 4 5" xfId="13234" xr:uid="{00000000-0005-0000-0000-00002D460000}"/>
    <cellStyle name="20% - Accent6 4 3 2 4 5 2" xfId="35836" xr:uid="{00000000-0005-0000-0000-00002E460000}"/>
    <cellStyle name="20% - Accent6 4 3 2 4 6" xfId="24535" xr:uid="{00000000-0005-0000-0000-00002F460000}"/>
    <cellStyle name="20% - Accent6 4 3 2 5" xfId="2416" xr:uid="{00000000-0005-0000-0000-000030460000}"/>
    <cellStyle name="20% - Accent6 4 3 2 5 2" xfId="8252" xr:uid="{00000000-0005-0000-0000-000031460000}"/>
    <cellStyle name="20% - Accent6 4 3 2 5 2 2" xfId="19553" xr:uid="{00000000-0005-0000-0000-000032460000}"/>
    <cellStyle name="20% - Accent6 4 3 2 5 2 2 2" xfId="42155" xr:uid="{00000000-0005-0000-0000-000033460000}"/>
    <cellStyle name="20% - Accent6 4 3 2 5 2 3" xfId="30854" xr:uid="{00000000-0005-0000-0000-000034460000}"/>
    <cellStyle name="20% - Accent6 4 3 2 5 3" xfId="13903" xr:uid="{00000000-0005-0000-0000-000035460000}"/>
    <cellStyle name="20% - Accent6 4 3 2 5 3 2" xfId="36505" xr:uid="{00000000-0005-0000-0000-000036460000}"/>
    <cellStyle name="20% - Accent6 4 3 2 5 4" xfId="25204" xr:uid="{00000000-0005-0000-0000-000037460000}"/>
    <cellStyle name="20% - Accent6 4 3 2 6" xfId="4201" xr:uid="{00000000-0005-0000-0000-000038460000}"/>
    <cellStyle name="20% - Accent6 4 3 2 6 2" xfId="9851" xr:uid="{00000000-0005-0000-0000-000039460000}"/>
    <cellStyle name="20% - Accent6 4 3 2 6 2 2" xfId="21152" xr:uid="{00000000-0005-0000-0000-00003A460000}"/>
    <cellStyle name="20% - Accent6 4 3 2 6 2 2 2" xfId="43754" xr:uid="{00000000-0005-0000-0000-00003B460000}"/>
    <cellStyle name="20% - Accent6 4 3 2 6 2 3" xfId="32453" xr:uid="{00000000-0005-0000-0000-00003C460000}"/>
    <cellStyle name="20% - Accent6 4 3 2 6 3" xfId="15502" xr:uid="{00000000-0005-0000-0000-00003D460000}"/>
    <cellStyle name="20% - Accent6 4 3 2 6 3 2" xfId="38104" xr:uid="{00000000-0005-0000-0000-00003E460000}"/>
    <cellStyle name="20% - Accent6 4 3 2 6 4" xfId="26803" xr:uid="{00000000-0005-0000-0000-00003F460000}"/>
    <cellStyle name="20% - Accent6 4 3 2 7" xfId="6681" xr:uid="{00000000-0005-0000-0000-000040460000}"/>
    <cellStyle name="20% - Accent6 4 3 2 7 2" xfId="17982" xr:uid="{00000000-0005-0000-0000-000041460000}"/>
    <cellStyle name="20% - Accent6 4 3 2 7 2 2" xfId="40584" xr:uid="{00000000-0005-0000-0000-000042460000}"/>
    <cellStyle name="20% - Accent6 4 3 2 7 3" xfId="29283" xr:uid="{00000000-0005-0000-0000-000043460000}"/>
    <cellStyle name="20% - Accent6 4 3 2 8" xfId="12332" xr:uid="{00000000-0005-0000-0000-000044460000}"/>
    <cellStyle name="20% - Accent6 4 3 2 8 2" xfId="34934" xr:uid="{00000000-0005-0000-0000-000045460000}"/>
    <cellStyle name="20% - Accent6 4 3 2 9" xfId="23633" xr:uid="{00000000-0005-0000-0000-000046460000}"/>
    <cellStyle name="20% - Accent6 4 3 3" xfId="1188" xr:uid="{00000000-0005-0000-0000-000047460000}"/>
    <cellStyle name="20% - Accent6 4 3 3 2" xfId="1729" xr:uid="{00000000-0005-0000-0000-000048460000}"/>
    <cellStyle name="20% - Accent6 4 3 3 2 2" xfId="3256" xr:uid="{00000000-0005-0000-0000-000049460000}"/>
    <cellStyle name="20% - Accent6 4 3 3 2 2 2" xfId="6228" xr:uid="{00000000-0005-0000-0000-00004A460000}"/>
    <cellStyle name="20% - Accent6 4 3 3 2 2 2 2" xfId="11878" xr:uid="{00000000-0005-0000-0000-00004B460000}"/>
    <cellStyle name="20% - Accent6 4 3 3 2 2 2 2 2" xfId="23179" xr:uid="{00000000-0005-0000-0000-00004C460000}"/>
    <cellStyle name="20% - Accent6 4 3 3 2 2 2 2 2 2" xfId="45781" xr:uid="{00000000-0005-0000-0000-00004D460000}"/>
    <cellStyle name="20% - Accent6 4 3 3 2 2 2 2 3" xfId="34480" xr:uid="{00000000-0005-0000-0000-00004E460000}"/>
    <cellStyle name="20% - Accent6 4 3 3 2 2 2 3" xfId="17529" xr:uid="{00000000-0005-0000-0000-00004F460000}"/>
    <cellStyle name="20% - Accent6 4 3 3 2 2 2 3 2" xfId="40131" xr:uid="{00000000-0005-0000-0000-000050460000}"/>
    <cellStyle name="20% - Accent6 4 3 3 2 2 2 4" xfId="28830" xr:uid="{00000000-0005-0000-0000-000051460000}"/>
    <cellStyle name="20% - Accent6 4 3 3 2 2 3" xfId="9046" xr:uid="{00000000-0005-0000-0000-000052460000}"/>
    <cellStyle name="20% - Accent6 4 3 3 2 2 3 2" xfId="20347" xr:uid="{00000000-0005-0000-0000-000053460000}"/>
    <cellStyle name="20% - Accent6 4 3 3 2 2 3 2 2" xfId="42949" xr:uid="{00000000-0005-0000-0000-000054460000}"/>
    <cellStyle name="20% - Accent6 4 3 3 2 2 3 3" xfId="31648" xr:uid="{00000000-0005-0000-0000-000055460000}"/>
    <cellStyle name="20% - Accent6 4 3 3 2 2 4" xfId="14697" xr:uid="{00000000-0005-0000-0000-000056460000}"/>
    <cellStyle name="20% - Accent6 4 3 3 2 2 4 2" xfId="37299" xr:uid="{00000000-0005-0000-0000-000057460000}"/>
    <cellStyle name="20% - Accent6 4 3 3 2 2 5" xfId="25998" xr:uid="{00000000-0005-0000-0000-000058460000}"/>
    <cellStyle name="20% - Accent6 4 3 3 2 3" xfId="4994" xr:uid="{00000000-0005-0000-0000-000059460000}"/>
    <cellStyle name="20% - Accent6 4 3 3 2 3 2" xfId="10644" xr:uid="{00000000-0005-0000-0000-00005A460000}"/>
    <cellStyle name="20% - Accent6 4 3 3 2 3 2 2" xfId="21945" xr:uid="{00000000-0005-0000-0000-00005B460000}"/>
    <cellStyle name="20% - Accent6 4 3 3 2 3 2 2 2" xfId="44547" xr:uid="{00000000-0005-0000-0000-00005C460000}"/>
    <cellStyle name="20% - Accent6 4 3 3 2 3 2 3" xfId="33246" xr:uid="{00000000-0005-0000-0000-00005D460000}"/>
    <cellStyle name="20% - Accent6 4 3 3 2 3 3" xfId="16295" xr:uid="{00000000-0005-0000-0000-00005E460000}"/>
    <cellStyle name="20% - Accent6 4 3 3 2 3 3 2" xfId="38897" xr:uid="{00000000-0005-0000-0000-00005F460000}"/>
    <cellStyle name="20% - Accent6 4 3 3 2 3 4" xfId="27596" xr:uid="{00000000-0005-0000-0000-000060460000}"/>
    <cellStyle name="20% - Accent6 4 3 3 2 4" xfId="7585" xr:uid="{00000000-0005-0000-0000-000061460000}"/>
    <cellStyle name="20% - Accent6 4 3 3 2 4 2" xfId="18886" xr:uid="{00000000-0005-0000-0000-000062460000}"/>
    <cellStyle name="20% - Accent6 4 3 3 2 4 2 2" xfId="41488" xr:uid="{00000000-0005-0000-0000-000063460000}"/>
    <cellStyle name="20% - Accent6 4 3 3 2 4 3" xfId="30187" xr:uid="{00000000-0005-0000-0000-000064460000}"/>
    <cellStyle name="20% - Accent6 4 3 3 2 5" xfId="13236" xr:uid="{00000000-0005-0000-0000-000065460000}"/>
    <cellStyle name="20% - Accent6 4 3 3 2 5 2" xfId="35838" xr:uid="{00000000-0005-0000-0000-000066460000}"/>
    <cellStyle name="20% - Accent6 4 3 3 2 6" xfId="24537" xr:uid="{00000000-0005-0000-0000-000067460000}"/>
    <cellStyle name="20% - Accent6 4 3 3 3" xfId="2585" xr:uid="{00000000-0005-0000-0000-000068460000}"/>
    <cellStyle name="20% - Accent6 4 3 3 3 2" xfId="5604" xr:uid="{00000000-0005-0000-0000-000069460000}"/>
    <cellStyle name="20% - Accent6 4 3 3 3 2 2" xfId="11254" xr:uid="{00000000-0005-0000-0000-00006A460000}"/>
    <cellStyle name="20% - Accent6 4 3 3 3 2 2 2" xfId="22555" xr:uid="{00000000-0005-0000-0000-00006B460000}"/>
    <cellStyle name="20% - Accent6 4 3 3 3 2 2 2 2" xfId="45157" xr:uid="{00000000-0005-0000-0000-00006C460000}"/>
    <cellStyle name="20% - Accent6 4 3 3 3 2 2 3" xfId="33856" xr:uid="{00000000-0005-0000-0000-00006D460000}"/>
    <cellStyle name="20% - Accent6 4 3 3 3 2 3" xfId="16905" xr:uid="{00000000-0005-0000-0000-00006E460000}"/>
    <cellStyle name="20% - Accent6 4 3 3 3 2 3 2" xfId="39507" xr:uid="{00000000-0005-0000-0000-00006F460000}"/>
    <cellStyle name="20% - Accent6 4 3 3 3 2 4" xfId="28206" xr:uid="{00000000-0005-0000-0000-000070460000}"/>
    <cellStyle name="20% - Accent6 4 3 3 3 3" xfId="8421" xr:uid="{00000000-0005-0000-0000-000071460000}"/>
    <cellStyle name="20% - Accent6 4 3 3 3 3 2" xfId="19722" xr:uid="{00000000-0005-0000-0000-000072460000}"/>
    <cellStyle name="20% - Accent6 4 3 3 3 3 2 2" xfId="42324" xr:uid="{00000000-0005-0000-0000-000073460000}"/>
    <cellStyle name="20% - Accent6 4 3 3 3 3 3" xfId="31023" xr:uid="{00000000-0005-0000-0000-000074460000}"/>
    <cellStyle name="20% - Accent6 4 3 3 3 4" xfId="14072" xr:uid="{00000000-0005-0000-0000-000075460000}"/>
    <cellStyle name="20% - Accent6 4 3 3 3 4 2" xfId="36674" xr:uid="{00000000-0005-0000-0000-000076460000}"/>
    <cellStyle name="20% - Accent6 4 3 3 3 5" xfId="25373" xr:uid="{00000000-0005-0000-0000-000077460000}"/>
    <cellStyle name="20% - Accent6 4 3 3 4" xfId="4370" xr:uid="{00000000-0005-0000-0000-000078460000}"/>
    <cellStyle name="20% - Accent6 4 3 3 4 2" xfId="10020" xr:uid="{00000000-0005-0000-0000-000079460000}"/>
    <cellStyle name="20% - Accent6 4 3 3 4 2 2" xfId="21321" xr:uid="{00000000-0005-0000-0000-00007A460000}"/>
    <cellStyle name="20% - Accent6 4 3 3 4 2 2 2" xfId="43923" xr:uid="{00000000-0005-0000-0000-00007B460000}"/>
    <cellStyle name="20% - Accent6 4 3 3 4 2 3" xfId="32622" xr:uid="{00000000-0005-0000-0000-00007C460000}"/>
    <cellStyle name="20% - Accent6 4 3 3 4 3" xfId="15671" xr:uid="{00000000-0005-0000-0000-00007D460000}"/>
    <cellStyle name="20% - Accent6 4 3 3 4 3 2" xfId="38273" xr:uid="{00000000-0005-0000-0000-00007E460000}"/>
    <cellStyle name="20% - Accent6 4 3 3 4 4" xfId="26972" xr:uid="{00000000-0005-0000-0000-00007F460000}"/>
    <cellStyle name="20% - Accent6 4 3 3 5" xfId="7167" xr:uid="{00000000-0005-0000-0000-000080460000}"/>
    <cellStyle name="20% - Accent6 4 3 3 5 2" xfId="18468" xr:uid="{00000000-0005-0000-0000-000081460000}"/>
    <cellStyle name="20% - Accent6 4 3 3 5 2 2" xfId="41070" xr:uid="{00000000-0005-0000-0000-000082460000}"/>
    <cellStyle name="20% - Accent6 4 3 3 5 3" xfId="29769" xr:uid="{00000000-0005-0000-0000-000083460000}"/>
    <cellStyle name="20% - Accent6 4 3 3 6" xfId="12818" xr:uid="{00000000-0005-0000-0000-000084460000}"/>
    <cellStyle name="20% - Accent6 4 3 3 6 2" xfId="35420" xr:uid="{00000000-0005-0000-0000-000085460000}"/>
    <cellStyle name="20% - Accent6 4 3 3 7" xfId="24119" xr:uid="{00000000-0005-0000-0000-000086460000}"/>
    <cellStyle name="20% - Accent6 4 3 4" xfId="879" xr:uid="{00000000-0005-0000-0000-000087460000}"/>
    <cellStyle name="20% - Accent6 4 3 4 2" xfId="2949" xr:uid="{00000000-0005-0000-0000-000088460000}"/>
    <cellStyle name="20% - Accent6 4 3 4 2 2" xfId="5921" xr:uid="{00000000-0005-0000-0000-000089460000}"/>
    <cellStyle name="20% - Accent6 4 3 4 2 2 2" xfId="11571" xr:uid="{00000000-0005-0000-0000-00008A460000}"/>
    <cellStyle name="20% - Accent6 4 3 4 2 2 2 2" xfId="22872" xr:uid="{00000000-0005-0000-0000-00008B460000}"/>
    <cellStyle name="20% - Accent6 4 3 4 2 2 2 2 2" xfId="45474" xr:uid="{00000000-0005-0000-0000-00008C460000}"/>
    <cellStyle name="20% - Accent6 4 3 4 2 2 2 3" xfId="34173" xr:uid="{00000000-0005-0000-0000-00008D460000}"/>
    <cellStyle name="20% - Accent6 4 3 4 2 2 3" xfId="17222" xr:uid="{00000000-0005-0000-0000-00008E460000}"/>
    <cellStyle name="20% - Accent6 4 3 4 2 2 3 2" xfId="39824" xr:uid="{00000000-0005-0000-0000-00008F460000}"/>
    <cellStyle name="20% - Accent6 4 3 4 2 2 4" xfId="28523" xr:uid="{00000000-0005-0000-0000-000090460000}"/>
    <cellStyle name="20% - Accent6 4 3 4 2 3" xfId="8739" xr:uid="{00000000-0005-0000-0000-000091460000}"/>
    <cellStyle name="20% - Accent6 4 3 4 2 3 2" xfId="20040" xr:uid="{00000000-0005-0000-0000-000092460000}"/>
    <cellStyle name="20% - Accent6 4 3 4 2 3 2 2" xfId="42642" xr:uid="{00000000-0005-0000-0000-000093460000}"/>
    <cellStyle name="20% - Accent6 4 3 4 2 3 3" xfId="31341" xr:uid="{00000000-0005-0000-0000-000094460000}"/>
    <cellStyle name="20% - Accent6 4 3 4 2 4" xfId="14390" xr:uid="{00000000-0005-0000-0000-000095460000}"/>
    <cellStyle name="20% - Accent6 4 3 4 2 4 2" xfId="36992" xr:uid="{00000000-0005-0000-0000-000096460000}"/>
    <cellStyle name="20% - Accent6 4 3 4 2 5" xfId="25691" xr:uid="{00000000-0005-0000-0000-000097460000}"/>
    <cellStyle name="20% - Accent6 4 3 4 3" xfId="4687" xr:uid="{00000000-0005-0000-0000-000098460000}"/>
    <cellStyle name="20% - Accent6 4 3 4 3 2" xfId="10337" xr:uid="{00000000-0005-0000-0000-000099460000}"/>
    <cellStyle name="20% - Accent6 4 3 4 3 2 2" xfId="21638" xr:uid="{00000000-0005-0000-0000-00009A460000}"/>
    <cellStyle name="20% - Accent6 4 3 4 3 2 2 2" xfId="44240" xr:uid="{00000000-0005-0000-0000-00009B460000}"/>
    <cellStyle name="20% - Accent6 4 3 4 3 2 3" xfId="32939" xr:uid="{00000000-0005-0000-0000-00009C460000}"/>
    <cellStyle name="20% - Accent6 4 3 4 3 3" xfId="15988" xr:uid="{00000000-0005-0000-0000-00009D460000}"/>
    <cellStyle name="20% - Accent6 4 3 4 3 3 2" xfId="38590" xr:uid="{00000000-0005-0000-0000-00009E460000}"/>
    <cellStyle name="20% - Accent6 4 3 4 3 4" xfId="27289" xr:uid="{00000000-0005-0000-0000-00009F460000}"/>
    <cellStyle name="20% - Accent6 4 3 4 4" xfId="6874" xr:uid="{00000000-0005-0000-0000-0000A0460000}"/>
    <cellStyle name="20% - Accent6 4 3 4 4 2" xfId="18175" xr:uid="{00000000-0005-0000-0000-0000A1460000}"/>
    <cellStyle name="20% - Accent6 4 3 4 4 2 2" xfId="40777" xr:uid="{00000000-0005-0000-0000-0000A2460000}"/>
    <cellStyle name="20% - Accent6 4 3 4 4 3" xfId="29476" xr:uid="{00000000-0005-0000-0000-0000A3460000}"/>
    <cellStyle name="20% - Accent6 4 3 4 5" xfId="12525" xr:uid="{00000000-0005-0000-0000-0000A4460000}"/>
    <cellStyle name="20% - Accent6 4 3 4 5 2" xfId="35127" xr:uid="{00000000-0005-0000-0000-0000A5460000}"/>
    <cellStyle name="20% - Accent6 4 3 4 6" xfId="23826" xr:uid="{00000000-0005-0000-0000-0000A6460000}"/>
    <cellStyle name="20% - Accent6 4 3 5" xfId="1726" xr:uid="{00000000-0005-0000-0000-0000A7460000}"/>
    <cellStyle name="20% - Accent6 4 3 5 2" xfId="3632" xr:uid="{00000000-0005-0000-0000-0000A8460000}"/>
    <cellStyle name="20% - Accent6 4 3 5 2 2" xfId="9343" xr:uid="{00000000-0005-0000-0000-0000A9460000}"/>
    <cellStyle name="20% - Accent6 4 3 5 2 2 2" xfId="20644" xr:uid="{00000000-0005-0000-0000-0000AA460000}"/>
    <cellStyle name="20% - Accent6 4 3 5 2 2 2 2" xfId="43246" xr:uid="{00000000-0005-0000-0000-0000AB460000}"/>
    <cellStyle name="20% - Accent6 4 3 5 2 2 3" xfId="31945" xr:uid="{00000000-0005-0000-0000-0000AC460000}"/>
    <cellStyle name="20% - Accent6 4 3 5 2 3" xfId="14994" xr:uid="{00000000-0005-0000-0000-0000AD460000}"/>
    <cellStyle name="20% - Accent6 4 3 5 2 3 2" xfId="37596" xr:uid="{00000000-0005-0000-0000-0000AE460000}"/>
    <cellStyle name="20% - Accent6 4 3 5 2 4" xfId="26295" xr:uid="{00000000-0005-0000-0000-0000AF460000}"/>
    <cellStyle name="20% - Accent6 4 3 5 3" xfId="5297" xr:uid="{00000000-0005-0000-0000-0000B0460000}"/>
    <cellStyle name="20% - Accent6 4 3 5 3 2" xfId="10947" xr:uid="{00000000-0005-0000-0000-0000B1460000}"/>
    <cellStyle name="20% - Accent6 4 3 5 3 2 2" xfId="22248" xr:uid="{00000000-0005-0000-0000-0000B2460000}"/>
    <cellStyle name="20% - Accent6 4 3 5 3 2 2 2" xfId="44850" xr:uid="{00000000-0005-0000-0000-0000B3460000}"/>
    <cellStyle name="20% - Accent6 4 3 5 3 2 3" xfId="33549" xr:uid="{00000000-0005-0000-0000-0000B4460000}"/>
    <cellStyle name="20% - Accent6 4 3 5 3 3" xfId="16598" xr:uid="{00000000-0005-0000-0000-0000B5460000}"/>
    <cellStyle name="20% - Accent6 4 3 5 3 3 2" xfId="39200" xr:uid="{00000000-0005-0000-0000-0000B6460000}"/>
    <cellStyle name="20% - Accent6 4 3 5 3 4" xfId="27899" xr:uid="{00000000-0005-0000-0000-0000B7460000}"/>
    <cellStyle name="20% - Accent6 4 3 5 4" xfId="7582" xr:uid="{00000000-0005-0000-0000-0000B8460000}"/>
    <cellStyle name="20% - Accent6 4 3 5 4 2" xfId="18883" xr:uid="{00000000-0005-0000-0000-0000B9460000}"/>
    <cellStyle name="20% - Accent6 4 3 5 4 2 2" xfId="41485" xr:uid="{00000000-0005-0000-0000-0000BA460000}"/>
    <cellStyle name="20% - Accent6 4 3 5 4 3" xfId="30184" xr:uid="{00000000-0005-0000-0000-0000BB460000}"/>
    <cellStyle name="20% - Accent6 4 3 5 5" xfId="13233" xr:uid="{00000000-0005-0000-0000-0000BC460000}"/>
    <cellStyle name="20% - Accent6 4 3 5 5 2" xfId="35835" xr:uid="{00000000-0005-0000-0000-0000BD460000}"/>
    <cellStyle name="20% - Accent6 4 3 5 6" xfId="24534" xr:uid="{00000000-0005-0000-0000-0000BE460000}"/>
    <cellStyle name="20% - Accent6 4 3 6" xfId="2276" xr:uid="{00000000-0005-0000-0000-0000BF460000}"/>
    <cellStyle name="20% - Accent6 4 3 6 2" xfId="8112" xr:uid="{00000000-0005-0000-0000-0000C0460000}"/>
    <cellStyle name="20% - Accent6 4 3 6 2 2" xfId="19413" xr:uid="{00000000-0005-0000-0000-0000C1460000}"/>
    <cellStyle name="20% - Accent6 4 3 6 2 2 2" xfId="42015" xr:uid="{00000000-0005-0000-0000-0000C2460000}"/>
    <cellStyle name="20% - Accent6 4 3 6 2 3" xfId="30714" xr:uid="{00000000-0005-0000-0000-0000C3460000}"/>
    <cellStyle name="20% - Accent6 4 3 6 3" xfId="13763" xr:uid="{00000000-0005-0000-0000-0000C4460000}"/>
    <cellStyle name="20% - Accent6 4 3 6 3 2" xfId="36365" xr:uid="{00000000-0005-0000-0000-0000C5460000}"/>
    <cellStyle name="20% - Accent6 4 3 6 4" xfId="25064" xr:uid="{00000000-0005-0000-0000-0000C6460000}"/>
    <cellStyle name="20% - Accent6 4 3 7" xfId="4063" xr:uid="{00000000-0005-0000-0000-0000C7460000}"/>
    <cellStyle name="20% - Accent6 4 3 7 2" xfId="9713" xr:uid="{00000000-0005-0000-0000-0000C8460000}"/>
    <cellStyle name="20% - Accent6 4 3 7 2 2" xfId="21014" xr:uid="{00000000-0005-0000-0000-0000C9460000}"/>
    <cellStyle name="20% - Accent6 4 3 7 2 2 2" xfId="43616" xr:uid="{00000000-0005-0000-0000-0000CA460000}"/>
    <cellStyle name="20% - Accent6 4 3 7 2 3" xfId="32315" xr:uid="{00000000-0005-0000-0000-0000CB460000}"/>
    <cellStyle name="20% - Accent6 4 3 7 3" xfId="15364" xr:uid="{00000000-0005-0000-0000-0000CC460000}"/>
    <cellStyle name="20% - Accent6 4 3 7 3 2" xfId="37966" xr:uid="{00000000-0005-0000-0000-0000CD460000}"/>
    <cellStyle name="20% - Accent6 4 3 7 4" xfId="26665" xr:uid="{00000000-0005-0000-0000-0000CE460000}"/>
    <cellStyle name="20% - Accent6 4 3 8" xfId="6514" xr:uid="{00000000-0005-0000-0000-0000CF460000}"/>
    <cellStyle name="20% - Accent6 4 3 8 2" xfId="17815" xr:uid="{00000000-0005-0000-0000-0000D0460000}"/>
    <cellStyle name="20% - Accent6 4 3 8 2 2" xfId="40417" xr:uid="{00000000-0005-0000-0000-0000D1460000}"/>
    <cellStyle name="20% - Accent6 4 3 8 3" xfId="29116" xr:uid="{00000000-0005-0000-0000-0000D2460000}"/>
    <cellStyle name="20% - Accent6 4 3 9" xfId="12165" xr:uid="{00000000-0005-0000-0000-0000D3460000}"/>
    <cellStyle name="20% - Accent6 4 3 9 2" xfId="34767" xr:uid="{00000000-0005-0000-0000-0000D4460000}"/>
    <cellStyle name="20% - Accent6 4 4" xfId="518" xr:uid="{00000000-0005-0000-0000-0000D5460000}"/>
    <cellStyle name="20% - Accent6 4 4 2" xfId="1092" xr:uid="{00000000-0005-0000-0000-0000D6460000}"/>
    <cellStyle name="20% - Accent6 4 4 2 2" xfId="1731" xr:uid="{00000000-0005-0000-0000-0000D7460000}"/>
    <cellStyle name="20% - Accent6 4 4 2 2 2" xfId="3160" xr:uid="{00000000-0005-0000-0000-0000D8460000}"/>
    <cellStyle name="20% - Accent6 4 4 2 2 2 2" xfId="6132" xr:uid="{00000000-0005-0000-0000-0000D9460000}"/>
    <cellStyle name="20% - Accent6 4 4 2 2 2 2 2" xfId="11782" xr:uid="{00000000-0005-0000-0000-0000DA460000}"/>
    <cellStyle name="20% - Accent6 4 4 2 2 2 2 2 2" xfId="23083" xr:uid="{00000000-0005-0000-0000-0000DB460000}"/>
    <cellStyle name="20% - Accent6 4 4 2 2 2 2 2 2 2" xfId="45685" xr:uid="{00000000-0005-0000-0000-0000DC460000}"/>
    <cellStyle name="20% - Accent6 4 4 2 2 2 2 2 3" xfId="34384" xr:uid="{00000000-0005-0000-0000-0000DD460000}"/>
    <cellStyle name="20% - Accent6 4 4 2 2 2 2 3" xfId="17433" xr:uid="{00000000-0005-0000-0000-0000DE460000}"/>
    <cellStyle name="20% - Accent6 4 4 2 2 2 2 3 2" xfId="40035" xr:uid="{00000000-0005-0000-0000-0000DF460000}"/>
    <cellStyle name="20% - Accent6 4 4 2 2 2 2 4" xfId="28734" xr:uid="{00000000-0005-0000-0000-0000E0460000}"/>
    <cellStyle name="20% - Accent6 4 4 2 2 2 3" xfId="8950" xr:uid="{00000000-0005-0000-0000-0000E1460000}"/>
    <cellStyle name="20% - Accent6 4 4 2 2 2 3 2" xfId="20251" xr:uid="{00000000-0005-0000-0000-0000E2460000}"/>
    <cellStyle name="20% - Accent6 4 4 2 2 2 3 2 2" xfId="42853" xr:uid="{00000000-0005-0000-0000-0000E3460000}"/>
    <cellStyle name="20% - Accent6 4 4 2 2 2 3 3" xfId="31552" xr:uid="{00000000-0005-0000-0000-0000E4460000}"/>
    <cellStyle name="20% - Accent6 4 4 2 2 2 4" xfId="14601" xr:uid="{00000000-0005-0000-0000-0000E5460000}"/>
    <cellStyle name="20% - Accent6 4 4 2 2 2 4 2" xfId="37203" xr:uid="{00000000-0005-0000-0000-0000E6460000}"/>
    <cellStyle name="20% - Accent6 4 4 2 2 2 5" xfId="25902" xr:uid="{00000000-0005-0000-0000-0000E7460000}"/>
    <cellStyle name="20% - Accent6 4 4 2 2 3" xfId="4898" xr:uid="{00000000-0005-0000-0000-0000E8460000}"/>
    <cellStyle name="20% - Accent6 4 4 2 2 3 2" xfId="10548" xr:uid="{00000000-0005-0000-0000-0000E9460000}"/>
    <cellStyle name="20% - Accent6 4 4 2 2 3 2 2" xfId="21849" xr:uid="{00000000-0005-0000-0000-0000EA460000}"/>
    <cellStyle name="20% - Accent6 4 4 2 2 3 2 2 2" xfId="44451" xr:uid="{00000000-0005-0000-0000-0000EB460000}"/>
    <cellStyle name="20% - Accent6 4 4 2 2 3 2 3" xfId="33150" xr:uid="{00000000-0005-0000-0000-0000EC460000}"/>
    <cellStyle name="20% - Accent6 4 4 2 2 3 3" xfId="16199" xr:uid="{00000000-0005-0000-0000-0000ED460000}"/>
    <cellStyle name="20% - Accent6 4 4 2 2 3 3 2" xfId="38801" xr:uid="{00000000-0005-0000-0000-0000EE460000}"/>
    <cellStyle name="20% - Accent6 4 4 2 2 3 4" xfId="27500" xr:uid="{00000000-0005-0000-0000-0000EF460000}"/>
    <cellStyle name="20% - Accent6 4 4 2 2 4" xfId="7587" xr:uid="{00000000-0005-0000-0000-0000F0460000}"/>
    <cellStyle name="20% - Accent6 4 4 2 2 4 2" xfId="18888" xr:uid="{00000000-0005-0000-0000-0000F1460000}"/>
    <cellStyle name="20% - Accent6 4 4 2 2 4 2 2" xfId="41490" xr:uid="{00000000-0005-0000-0000-0000F2460000}"/>
    <cellStyle name="20% - Accent6 4 4 2 2 4 3" xfId="30189" xr:uid="{00000000-0005-0000-0000-0000F3460000}"/>
    <cellStyle name="20% - Accent6 4 4 2 2 5" xfId="13238" xr:uid="{00000000-0005-0000-0000-0000F4460000}"/>
    <cellStyle name="20% - Accent6 4 4 2 2 5 2" xfId="35840" xr:uid="{00000000-0005-0000-0000-0000F5460000}"/>
    <cellStyle name="20% - Accent6 4 4 2 2 6" xfId="24539" xr:uid="{00000000-0005-0000-0000-0000F6460000}"/>
    <cellStyle name="20% - Accent6 4 4 2 3" xfId="2489" xr:uid="{00000000-0005-0000-0000-0000F7460000}"/>
    <cellStyle name="20% - Accent6 4 4 2 3 2" xfId="5508" xr:uid="{00000000-0005-0000-0000-0000F8460000}"/>
    <cellStyle name="20% - Accent6 4 4 2 3 2 2" xfId="11158" xr:uid="{00000000-0005-0000-0000-0000F9460000}"/>
    <cellStyle name="20% - Accent6 4 4 2 3 2 2 2" xfId="22459" xr:uid="{00000000-0005-0000-0000-0000FA460000}"/>
    <cellStyle name="20% - Accent6 4 4 2 3 2 2 2 2" xfId="45061" xr:uid="{00000000-0005-0000-0000-0000FB460000}"/>
    <cellStyle name="20% - Accent6 4 4 2 3 2 2 3" xfId="33760" xr:uid="{00000000-0005-0000-0000-0000FC460000}"/>
    <cellStyle name="20% - Accent6 4 4 2 3 2 3" xfId="16809" xr:uid="{00000000-0005-0000-0000-0000FD460000}"/>
    <cellStyle name="20% - Accent6 4 4 2 3 2 3 2" xfId="39411" xr:uid="{00000000-0005-0000-0000-0000FE460000}"/>
    <cellStyle name="20% - Accent6 4 4 2 3 2 4" xfId="28110" xr:uid="{00000000-0005-0000-0000-0000FF460000}"/>
    <cellStyle name="20% - Accent6 4 4 2 3 3" xfId="8325" xr:uid="{00000000-0005-0000-0000-000000470000}"/>
    <cellStyle name="20% - Accent6 4 4 2 3 3 2" xfId="19626" xr:uid="{00000000-0005-0000-0000-000001470000}"/>
    <cellStyle name="20% - Accent6 4 4 2 3 3 2 2" xfId="42228" xr:uid="{00000000-0005-0000-0000-000002470000}"/>
    <cellStyle name="20% - Accent6 4 4 2 3 3 3" xfId="30927" xr:uid="{00000000-0005-0000-0000-000003470000}"/>
    <cellStyle name="20% - Accent6 4 4 2 3 4" xfId="13976" xr:uid="{00000000-0005-0000-0000-000004470000}"/>
    <cellStyle name="20% - Accent6 4 4 2 3 4 2" xfId="36578" xr:uid="{00000000-0005-0000-0000-000005470000}"/>
    <cellStyle name="20% - Accent6 4 4 2 3 5" xfId="25277" xr:uid="{00000000-0005-0000-0000-000006470000}"/>
    <cellStyle name="20% - Accent6 4 4 2 4" xfId="4274" xr:uid="{00000000-0005-0000-0000-000007470000}"/>
    <cellStyle name="20% - Accent6 4 4 2 4 2" xfId="9924" xr:uid="{00000000-0005-0000-0000-000008470000}"/>
    <cellStyle name="20% - Accent6 4 4 2 4 2 2" xfId="21225" xr:uid="{00000000-0005-0000-0000-000009470000}"/>
    <cellStyle name="20% - Accent6 4 4 2 4 2 2 2" xfId="43827" xr:uid="{00000000-0005-0000-0000-00000A470000}"/>
    <cellStyle name="20% - Accent6 4 4 2 4 2 3" xfId="32526" xr:uid="{00000000-0005-0000-0000-00000B470000}"/>
    <cellStyle name="20% - Accent6 4 4 2 4 3" xfId="15575" xr:uid="{00000000-0005-0000-0000-00000C470000}"/>
    <cellStyle name="20% - Accent6 4 4 2 4 3 2" xfId="38177" xr:uid="{00000000-0005-0000-0000-00000D470000}"/>
    <cellStyle name="20% - Accent6 4 4 2 4 4" xfId="26876" xr:uid="{00000000-0005-0000-0000-00000E470000}"/>
    <cellStyle name="20% - Accent6 4 4 2 5" xfId="7071" xr:uid="{00000000-0005-0000-0000-00000F470000}"/>
    <cellStyle name="20% - Accent6 4 4 2 5 2" xfId="18372" xr:uid="{00000000-0005-0000-0000-000010470000}"/>
    <cellStyle name="20% - Accent6 4 4 2 5 2 2" xfId="40974" xr:uid="{00000000-0005-0000-0000-000011470000}"/>
    <cellStyle name="20% - Accent6 4 4 2 5 3" xfId="29673" xr:uid="{00000000-0005-0000-0000-000012470000}"/>
    <cellStyle name="20% - Accent6 4 4 2 6" xfId="12722" xr:uid="{00000000-0005-0000-0000-000013470000}"/>
    <cellStyle name="20% - Accent6 4 4 2 6 2" xfId="35324" xr:uid="{00000000-0005-0000-0000-000014470000}"/>
    <cellStyle name="20% - Accent6 4 4 2 7" xfId="24023" xr:uid="{00000000-0005-0000-0000-000015470000}"/>
    <cellStyle name="20% - Accent6 4 4 3" xfId="766" xr:uid="{00000000-0005-0000-0000-000016470000}"/>
    <cellStyle name="20% - Accent6 4 4 3 2" xfId="2853" xr:uid="{00000000-0005-0000-0000-000017470000}"/>
    <cellStyle name="20% - Accent6 4 4 3 2 2" xfId="5825" xr:uid="{00000000-0005-0000-0000-000018470000}"/>
    <cellStyle name="20% - Accent6 4 4 3 2 2 2" xfId="11475" xr:uid="{00000000-0005-0000-0000-000019470000}"/>
    <cellStyle name="20% - Accent6 4 4 3 2 2 2 2" xfId="22776" xr:uid="{00000000-0005-0000-0000-00001A470000}"/>
    <cellStyle name="20% - Accent6 4 4 3 2 2 2 2 2" xfId="45378" xr:uid="{00000000-0005-0000-0000-00001B470000}"/>
    <cellStyle name="20% - Accent6 4 4 3 2 2 2 3" xfId="34077" xr:uid="{00000000-0005-0000-0000-00001C470000}"/>
    <cellStyle name="20% - Accent6 4 4 3 2 2 3" xfId="17126" xr:uid="{00000000-0005-0000-0000-00001D470000}"/>
    <cellStyle name="20% - Accent6 4 4 3 2 2 3 2" xfId="39728" xr:uid="{00000000-0005-0000-0000-00001E470000}"/>
    <cellStyle name="20% - Accent6 4 4 3 2 2 4" xfId="28427" xr:uid="{00000000-0005-0000-0000-00001F470000}"/>
    <cellStyle name="20% - Accent6 4 4 3 2 3" xfId="8643" xr:uid="{00000000-0005-0000-0000-000020470000}"/>
    <cellStyle name="20% - Accent6 4 4 3 2 3 2" xfId="19944" xr:uid="{00000000-0005-0000-0000-000021470000}"/>
    <cellStyle name="20% - Accent6 4 4 3 2 3 2 2" xfId="42546" xr:uid="{00000000-0005-0000-0000-000022470000}"/>
    <cellStyle name="20% - Accent6 4 4 3 2 3 3" xfId="31245" xr:uid="{00000000-0005-0000-0000-000023470000}"/>
    <cellStyle name="20% - Accent6 4 4 3 2 4" xfId="14294" xr:uid="{00000000-0005-0000-0000-000024470000}"/>
    <cellStyle name="20% - Accent6 4 4 3 2 4 2" xfId="36896" xr:uid="{00000000-0005-0000-0000-000025470000}"/>
    <cellStyle name="20% - Accent6 4 4 3 2 5" xfId="25595" xr:uid="{00000000-0005-0000-0000-000026470000}"/>
    <cellStyle name="20% - Accent6 4 4 3 3" xfId="4591" xr:uid="{00000000-0005-0000-0000-000027470000}"/>
    <cellStyle name="20% - Accent6 4 4 3 3 2" xfId="10241" xr:uid="{00000000-0005-0000-0000-000028470000}"/>
    <cellStyle name="20% - Accent6 4 4 3 3 2 2" xfId="21542" xr:uid="{00000000-0005-0000-0000-000029470000}"/>
    <cellStyle name="20% - Accent6 4 4 3 3 2 2 2" xfId="44144" xr:uid="{00000000-0005-0000-0000-00002A470000}"/>
    <cellStyle name="20% - Accent6 4 4 3 3 2 3" xfId="32843" xr:uid="{00000000-0005-0000-0000-00002B470000}"/>
    <cellStyle name="20% - Accent6 4 4 3 3 3" xfId="15892" xr:uid="{00000000-0005-0000-0000-00002C470000}"/>
    <cellStyle name="20% - Accent6 4 4 3 3 3 2" xfId="38494" xr:uid="{00000000-0005-0000-0000-00002D470000}"/>
    <cellStyle name="20% - Accent6 4 4 3 3 4" xfId="27193" xr:uid="{00000000-0005-0000-0000-00002E470000}"/>
    <cellStyle name="20% - Accent6 4 4 3 4" xfId="6774" xr:uid="{00000000-0005-0000-0000-00002F470000}"/>
    <cellStyle name="20% - Accent6 4 4 3 4 2" xfId="18075" xr:uid="{00000000-0005-0000-0000-000030470000}"/>
    <cellStyle name="20% - Accent6 4 4 3 4 2 2" xfId="40677" xr:uid="{00000000-0005-0000-0000-000031470000}"/>
    <cellStyle name="20% - Accent6 4 4 3 4 3" xfId="29376" xr:uid="{00000000-0005-0000-0000-000032470000}"/>
    <cellStyle name="20% - Accent6 4 4 3 5" xfId="12425" xr:uid="{00000000-0005-0000-0000-000033470000}"/>
    <cellStyle name="20% - Accent6 4 4 3 5 2" xfId="35027" xr:uid="{00000000-0005-0000-0000-000034470000}"/>
    <cellStyle name="20% - Accent6 4 4 3 6" xfId="23726" xr:uid="{00000000-0005-0000-0000-000035470000}"/>
    <cellStyle name="20% - Accent6 4 4 4" xfId="1730" xr:uid="{00000000-0005-0000-0000-000036470000}"/>
    <cellStyle name="20% - Accent6 4 4 4 2" xfId="3634" xr:uid="{00000000-0005-0000-0000-000037470000}"/>
    <cellStyle name="20% - Accent6 4 4 4 2 2" xfId="9345" xr:uid="{00000000-0005-0000-0000-000038470000}"/>
    <cellStyle name="20% - Accent6 4 4 4 2 2 2" xfId="20646" xr:uid="{00000000-0005-0000-0000-000039470000}"/>
    <cellStyle name="20% - Accent6 4 4 4 2 2 2 2" xfId="43248" xr:uid="{00000000-0005-0000-0000-00003A470000}"/>
    <cellStyle name="20% - Accent6 4 4 4 2 2 3" xfId="31947" xr:uid="{00000000-0005-0000-0000-00003B470000}"/>
    <cellStyle name="20% - Accent6 4 4 4 2 3" xfId="14996" xr:uid="{00000000-0005-0000-0000-00003C470000}"/>
    <cellStyle name="20% - Accent6 4 4 4 2 3 2" xfId="37598" xr:uid="{00000000-0005-0000-0000-00003D470000}"/>
    <cellStyle name="20% - Accent6 4 4 4 2 4" xfId="26297" xr:uid="{00000000-0005-0000-0000-00003E470000}"/>
    <cellStyle name="20% - Accent6 4 4 4 3" xfId="5201" xr:uid="{00000000-0005-0000-0000-00003F470000}"/>
    <cellStyle name="20% - Accent6 4 4 4 3 2" xfId="10851" xr:uid="{00000000-0005-0000-0000-000040470000}"/>
    <cellStyle name="20% - Accent6 4 4 4 3 2 2" xfId="22152" xr:uid="{00000000-0005-0000-0000-000041470000}"/>
    <cellStyle name="20% - Accent6 4 4 4 3 2 2 2" xfId="44754" xr:uid="{00000000-0005-0000-0000-000042470000}"/>
    <cellStyle name="20% - Accent6 4 4 4 3 2 3" xfId="33453" xr:uid="{00000000-0005-0000-0000-000043470000}"/>
    <cellStyle name="20% - Accent6 4 4 4 3 3" xfId="16502" xr:uid="{00000000-0005-0000-0000-000044470000}"/>
    <cellStyle name="20% - Accent6 4 4 4 3 3 2" xfId="39104" xr:uid="{00000000-0005-0000-0000-000045470000}"/>
    <cellStyle name="20% - Accent6 4 4 4 3 4" xfId="27803" xr:uid="{00000000-0005-0000-0000-000046470000}"/>
    <cellStyle name="20% - Accent6 4 4 4 4" xfId="7586" xr:uid="{00000000-0005-0000-0000-000047470000}"/>
    <cellStyle name="20% - Accent6 4 4 4 4 2" xfId="18887" xr:uid="{00000000-0005-0000-0000-000048470000}"/>
    <cellStyle name="20% - Accent6 4 4 4 4 2 2" xfId="41489" xr:uid="{00000000-0005-0000-0000-000049470000}"/>
    <cellStyle name="20% - Accent6 4 4 4 4 3" xfId="30188" xr:uid="{00000000-0005-0000-0000-00004A470000}"/>
    <cellStyle name="20% - Accent6 4 4 4 5" xfId="13237" xr:uid="{00000000-0005-0000-0000-00004B470000}"/>
    <cellStyle name="20% - Accent6 4 4 4 5 2" xfId="35839" xr:uid="{00000000-0005-0000-0000-00004C470000}"/>
    <cellStyle name="20% - Accent6 4 4 4 6" xfId="24538" xr:uid="{00000000-0005-0000-0000-00004D470000}"/>
    <cellStyle name="20% - Accent6 4 4 5" xfId="2173" xr:uid="{00000000-0005-0000-0000-00004E470000}"/>
    <cellStyle name="20% - Accent6 4 4 5 2" xfId="8015" xr:uid="{00000000-0005-0000-0000-00004F470000}"/>
    <cellStyle name="20% - Accent6 4 4 5 2 2" xfId="19316" xr:uid="{00000000-0005-0000-0000-000050470000}"/>
    <cellStyle name="20% - Accent6 4 4 5 2 2 2" xfId="41918" xr:uid="{00000000-0005-0000-0000-000051470000}"/>
    <cellStyle name="20% - Accent6 4 4 5 2 3" xfId="30617" xr:uid="{00000000-0005-0000-0000-000052470000}"/>
    <cellStyle name="20% - Accent6 4 4 5 3" xfId="13666" xr:uid="{00000000-0005-0000-0000-000053470000}"/>
    <cellStyle name="20% - Accent6 4 4 5 3 2" xfId="36268" xr:uid="{00000000-0005-0000-0000-000054470000}"/>
    <cellStyle name="20% - Accent6 4 4 5 4" xfId="24967" xr:uid="{00000000-0005-0000-0000-000055470000}"/>
    <cellStyle name="20% - Accent6 4 4 6" xfId="3967" xr:uid="{00000000-0005-0000-0000-000056470000}"/>
    <cellStyle name="20% - Accent6 4 4 6 2" xfId="9617" xr:uid="{00000000-0005-0000-0000-000057470000}"/>
    <cellStyle name="20% - Accent6 4 4 6 2 2" xfId="20918" xr:uid="{00000000-0005-0000-0000-000058470000}"/>
    <cellStyle name="20% - Accent6 4 4 6 2 2 2" xfId="43520" xr:uid="{00000000-0005-0000-0000-000059470000}"/>
    <cellStyle name="20% - Accent6 4 4 6 2 3" xfId="32219" xr:uid="{00000000-0005-0000-0000-00005A470000}"/>
    <cellStyle name="20% - Accent6 4 4 6 3" xfId="15268" xr:uid="{00000000-0005-0000-0000-00005B470000}"/>
    <cellStyle name="20% - Accent6 4 4 6 3 2" xfId="37870" xr:uid="{00000000-0005-0000-0000-00005C470000}"/>
    <cellStyle name="20% - Accent6 4 4 6 4" xfId="26569" xr:uid="{00000000-0005-0000-0000-00005D470000}"/>
    <cellStyle name="20% - Accent6 4 4 7" xfId="6585" xr:uid="{00000000-0005-0000-0000-00005E470000}"/>
    <cellStyle name="20% - Accent6 4 4 7 2" xfId="17886" xr:uid="{00000000-0005-0000-0000-00005F470000}"/>
    <cellStyle name="20% - Accent6 4 4 7 2 2" xfId="40488" xr:uid="{00000000-0005-0000-0000-000060470000}"/>
    <cellStyle name="20% - Accent6 4 4 7 3" xfId="29187" xr:uid="{00000000-0005-0000-0000-000061470000}"/>
    <cellStyle name="20% - Accent6 4 4 8" xfId="12236" xr:uid="{00000000-0005-0000-0000-000062470000}"/>
    <cellStyle name="20% - Accent6 4 4 8 2" xfId="34838" xr:uid="{00000000-0005-0000-0000-000063470000}"/>
    <cellStyle name="20% - Accent6 4 4 9" xfId="23537" xr:uid="{00000000-0005-0000-0000-000064470000}"/>
    <cellStyle name="20% - Accent6 4 5" xfId="462" xr:uid="{00000000-0005-0000-0000-000065470000}"/>
    <cellStyle name="20% - Accent6 4 5 2" xfId="1231" xr:uid="{00000000-0005-0000-0000-000066470000}"/>
    <cellStyle name="20% - Accent6 4 5 2 2" xfId="1733" xr:uid="{00000000-0005-0000-0000-000067470000}"/>
    <cellStyle name="20% - Accent6 4 5 2 2 2" xfId="3300" xr:uid="{00000000-0005-0000-0000-000068470000}"/>
    <cellStyle name="20% - Accent6 4 5 2 2 2 2" xfId="6272" xr:uid="{00000000-0005-0000-0000-000069470000}"/>
    <cellStyle name="20% - Accent6 4 5 2 2 2 2 2" xfId="11922" xr:uid="{00000000-0005-0000-0000-00006A470000}"/>
    <cellStyle name="20% - Accent6 4 5 2 2 2 2 2 2" xfId="23223" xr:uid="{00000000-0005-0000-0000-00006B470000}"/>
    <cellStyle name="20% - Accent6 4 5 2 2 2 2 2 2 2" xfId="45825" xr:uid="{00000000-0005-0000-0000-00006C470000}"/>
    <cellStyle name="20% - Accent6 4 5 2 2 2 2 2 3" xfId="34524" xr:uid="{00000000-0005-0000-0000-00006D470000}"/>
    <cellStyle name="20% - Accent6 4 5 2 2 2 2 3" xfId="17573" xr:uid="{00000000-0005-0000-0000-00006E470000}"/>
    <cellStyle name="20% - Accent6 4 5 2 2 2 2 3 2" xfId="40175" xr:uid="{00000000-0005-0000-0000-00006F470000}"/>
    <cellStyle name="20% - Accent6 4 5 2 2 2 2 4" xfId="28874" xr:uid="{00000000-0005-0000-0000-000070470000}"/>
    <cellStyle name="20% - Accent6 4 5 2 2 2 3" xfId="9090" xr:uid="{00000000-0005-0000-0000-000071470000}"/>
    <cellStyle name="20% - Accent6 4 5 2 2 2 3 2" xfId="20391" xr:uid="{00000000-0005-0000-0000-000072470000}"/>
    <cellStyle name="20% - Accent6 4 5 2 2 2 3 2 2" xfId="42993" xr:uid="{00000000-0005-0000-0000-000073470000}"/>
    <cellStyle name="20% - Accent6 4 5 2 2 2 3 3" xfId="31692" xr:uid="{00000000-0005-0000-0000-000074470000}"/>
    <cellStyle name="20% - Accent6 4 5 2 2 2 4" xfId="14741" xr:uid="{00000000-0005-0000-0000-000075470000}"/>
    <cellStyle name="20% - Accent6 4 5 2 2 2 4 2" xfId="37343" xr:uid="{00000000-0005-0000-0000-000076470000}"/>
    <cellStyle name="20% - Accent6 4 5 2 2 2 5" xfId="26042" xr:uid="{00000000-0005-0000-0000-000077470000}"/>
    <cellStyle name="20% - Accent6 4 5 2 2 3" xfId="5038" xr:uid="{00000000-0005-0000-0000-000078470000}"/>
    <cellStyle name="20% - Accent6 4 5 2 2 3 2" xfId="10688" xr:uid="{00000000-0005-0000-0000-000079470000}"/>
    <cellStyle name="20% - Accent6 4 5 2 2 3 2 2" xfId="21989" xr:uid="{00000000-0005-0000-0000-00007A470000}"/>
    <cellStyle name="20% - Accent6 4 5 2 2 3 2 2 2" xfId="44591" xr:uid="{00000000-0005-0000-0000-00007B470000}"/>
    <cellStyle name="20% - Accent6 4 5 2 2 3 2 3" xfId="33290" xr:uid="{00000000-0005-0000-0000-00007C470000}"/>
    <cellStyle name="20% - Accent6 4 5 2 2 3 3" xfId="16339" xr:uid="{00000000-0005-0000-0000-00007D470000}"/>
    <cellStyle name="20% - Accent6 4 5 2 2 3 3 2" xfId="38941" xr:uid="{00000000-0005-0000-0000-00007E470000}"/>
    <cellStyle name="20% - Accent6 4 5 2 2 3 4" xfId="27640" xr:uid="{00000000-0005-0000-0000-00007F470000}"/>
    <cellStyle name="20% - Accent6 4 5 2 2 4" xfId="7589" xr:uid="{00000000-0005-0000-0000-000080470000}"/>
    <cellStyle name="20% - Accent6 4 5 2 2 4 2" xfId="18890" xr:uid="{00000000-0005-0000-0000-000081470000}"/>
    <cellStyle name="20% - Accent6 4 5 2 2 4 2 2" xfId="41492" xr:uid="{00000000-0005-0000-0000-000082470000}"/>
    <cellStyle name="20% - Accent6 4 5 2 2 4 3" xfId="30191" xr:uid="{00000000-0005-0000-0000-000083470000}"/>
    <cellStyle name="20% - Accent6 4 5 2 2 5" xfId="13240" xr:uid="{00000000-0005-0000-0000-000084470000}"/>
    <cellStyle name="20% - Accent6 4 5 2 2 5 2" xfId="35842" xr:uid="{00000000-0005-0000-0000-000085470000}"/>
    <cellStyle name="20% - Accent6 4 5 2 2 6" xfId="24541" xr:uid="{00000000-0005-0000-0000-000086470000}"/>
    <cellStyle name="20% - Accent6 4 5 2 3" xfId="2629" xr:uid="{00000000-0005-0000-0000-000087470000}"/>
    <cellStyle name="20% - Accent6 4 5 2 3 2" xfId="5648" xr:uid="{00000000-0005-0000-0000-000088470000}"/>
    <cellStyle name="20% - Accent6 4 5 2 3 2 2" xfId="11298" xr:uid="{00000000-0005-0000-0000-000089470000}"/>
    <cellStyle name="20% - Accent6 4 5 2 3 2 2 2" xfId="22599" xr:uid="{00000000-0005-0000-0000-00008A470000}"/>
    <cellStyle name="20% - Accent6 4 5 2 3 2 2 2 2" xfId="45201" xr:uid="{00000000-0005-0000-0000-00008B470000}"/>
    <cellStyle name="20% - Accent6 4 5 2 3 2 2 3" xfId="33900" xr:uid="{00000000-0005-0000-0000-00008C470000}"/>
    <cellStyle name="20% - Accent6 4 5 2 3 2 3" xfId="16949" xr:uid="{00000000-0005-0000-0000-00008D470000}"/>
    <cellStyle name="20% - Accent6 4 5 2 3 2 3 2" xfId="39551" xr:uid="{00000000-0005-0000-0000-00008E470000}"/>
    <cellStyle name="20% - Accent6 4 5 2 3 2 4" xfId="28250" xr:uid="{00000000-0005-0000-0000-00008F470000}"/>
    <cellStyle name="20% - Accent6 4 5 2 3 3" xfId="8465" xr:uid="{00000000-0005-0000-0000-000090470000}"/>
    <cellStyle name="20% - Accent6 4 5 2 3 3 2" xfId="19766" xr:uid="{00000000-0005-0000-0000-000091470000}"/>
    <cellStyle name="20% - Accent6 4 5 2 3 3 2 2" xfId="42368" xr:uid="{00000000-0005-0000-0000-000092470000}"/>
    <cellStyle name="20% - Accent6 4 5 2 3 3 3" xfId="31067" xr:uid="{00000000-0005-0000-0000-000093470000}"/>
    <cellStyle name="20% - Accent6 4 5 2 3 4" xfId="14116" xr:uid="{00000000-0005-0000-0000-000094470000}"/>
    <cellStyle name="20% - Accent6 4 5 2 3 4 2" xfId="36718" xr:uid="{00000000-0005-0000-0000-000095470000}"/>
    <cellStyle name="20% - Accent6 4 5 2 3 5" xfId="25417" xr:uid="{00000000-0005-0000-0000-000096470000}"/>
    <cellStyle name="20% - Accent6 4 5 2 4" xfId="4414" xr:uid="{00000000-0005-0000-0000-000097470000}"/>
    <cellStyle name="20% - Accent6 4 5 2 4 2" xfId="10064" xr:uid="{00000000-0005-0000-0000-000098470000}"/>
    <cellStyle name="20% - Accent6 4 5 2 4 2 2" xfId="21365" xr:uid="{00000000-0005-0000-0000-000099470000}"/>
    <cellStyle name="20% - Accent6 4 5 2 4 2 2 2" xfId="43967" xr:uid="{00000000-0005-0000-0000-00009A470000}"/>
    <cellStyle name="20% - Accent6 4 5 2 4 2 3" xfId="32666" xr:uid="{00000000-0005-0000-0000-00009B470000}"/>
    <cellStyle name="20% - Accent6 4 5 2 4 3" xfId="15715" xr:uid="{00000000-0005-0000-0000-00009C470000}"/>
    <cellStyle name="20% - Accent6 4 5 2 4 3 2" xfId="38317" xr:uid="{00000000-0005-0000-0000-00009D470000}"/>
    <cellStyle name="20% - Accent6 4 5 2 4 4" xfId="27016" xr:uid="{00000000-0005-0000-0000-00009E470000}"/>
    <cellStyle name="20% - Accent6 4 5 2 5" xfId="7210" xr:uid="{00000000-0005-0000-0000-00009F470000}"/>
    <cellStyle name="20% - Accent6 4 5 2 5 2" xfId="18511" xr:uid="{00000000-0005-0000-0000-0000A0470000}"/>
    <cellStyle name="20% - Accent6 4 5 2 5 2 2" xfId="41113" xr:uid="{00000000-0005-0000-0000-0000A1470000}"/>
    <cellStyle name="20% - Accent6 4 5 2 5 3" xfId="29812" xr:uid="{00000000-0005-0000-0000-0000A2470000}"/>
    <cellStyle name="20% - Accent6 4 5 2 6" xfId="12861" xr:uid="{00000000-0005-0000-0000-0000A3470000}"/>
    <cellStyle name="20% - Accent6 4 5 2 6 2" xfId="35463" xr:uid="{00000000-0005-0000-0000-0000A4470000}"/>
    <cellStyle name="20% - Accent6 4 5 2 7" xfId="24162" xr:uid="{00000000-0005-0000-0000-0000A5470000}"/>
    <cellStyle name="20% - Accent6 4 5 3" xfId="929" xr:uid="{00000000-0005-0000-0000-0000A6470000}"/>
    <cellStyle name="20% - Accent6 4 5 3 2" xfId="2992" xr:uid="{00000000-0005-0000-0000-0000A7470000}"/>
    <cellStyle name="20% - Accent6 4 5 3 2 2" xfId="5964" xr:uid="{00000000-0005-0000-0000-0000A8470000}"/>
    <cellStyle name="20% - Accent6 4 5 3 2 2 2" xfId="11614" xr:uid="{00000000-0005-0000-0000-0000A9470000}"/>
    <cellStyle name="20% - Accent6 4 5 3 2 2 2 2" xfId="22915" xr:uid="{00000000-0005-0000-0000-0000AA470000}"/>
    <cellStyle name="20% - Accent6 4 5 3 2 2 2 2 2" xfId="45517" xr:uid="{00000000-0005-0000-0000-0000AB470000}"/>
    <cellStyle name="20% - Accent6 4 5 3 2 2 2 3" xfId="34216" xr:uid="{00000000-0005-0000-0000-0000AC470000}"/>
    <cellStyle name="20% - Accent6 4 5 3 2 2 3" xfId="17265" xr:uid="{00000000-0005-0000-0000-0000AD470000}"/>
    <cellStyle name="20% - Accent6 4 5 3 2 2 3 2" xfId="39867" xr:uid="{00000000-0005-0000-0000-0000AE470000}"/>
    <cellStyle name="20% - Accent6 4 5 3 2 2 4" xfId="28566" xr:uid="{00000000-0005-0000-0000-0000AF470000}"/>
    <cellStyle name="20% - Accent6 4 5 3 2 3" xfId="8782" xr:uid="{00000000-0005-0000-0000-0000B0470000}"/>
    <cellStyle name="20% - Accent6 4 5 3 2 3 2" xfId="20083" xr:uid="{00000000-0005-0000-0000-0000B1470000}"/>
    <cellStyle name="20% - Accent6 4 5 3 2 3 2 2" xfId="42685" xr:uid="{00000000-0005-0000-0000-0000B2470000}"/>
    <cellStyle name="20% - Accent6 4 5 3 2 3 3" xfId="31384" xr:uid="{00000000-0005-0000-0000-0000B3470000}"/>
    <cellStyle name="20% - Accent6 4 5 3 2 4" xfId="14433" xr:uid="{00000000-0005-0000-0000-0000B4470000}"/>
    <cellStyle name="20% - Accent6 4 5 3 2 4 2" xfId="37035" xr:uid="{00000000-0005-0000-0000-0000B5470000}"/>
    <cellStyle name="20% - Accent6 4 5 3 2 5" xfId="25734" xr:uid="{00000000-0005-0000-0000-0000B6470000}"/>
    <cellStyle name="20% - Accent6 4 5 3 3" xfId="4730" xr:uid="{00000000-0005-0000-0000-0000B7470000}"/>
    <cellStyle name="20% - Accent6 4 5 3 3 2" xfId="10380" xr:uid="{00000000-0005-0000-0000-0000B8470000}"/>
    <cellStyle name="20% - Accent6 4 5 3 3 2 2" xfId="21681" xr:uid="{00000000-0005-0000-0000-0000B9470000}"/>
    <cellStyle name="20% - Accent6 4 5 3 3 2 2 2" xfId="44283" xr:uid="{00000000-0005-0000-0000-0000BA470000}"/>
    <cellStyle name="20% - Accent6 4 5 3 3 2 3" xfId="32982" xr:uid="{00000000-0005-0000-0000-0000BB470000}"/>
    <cellStyle name="20% - Accent6 4 5 3 3 3" xfId="16031" xr:uid="{00000000-0005-0000-0000-0000BC470000}"/>
    <cellStyle name="20% - Accent6 4 5 3 3 3 2" xfId="38633" xr:uid="{00000000-0005-0000-0000-0000BD470000}"/>
    <cellStyle name="20% - Accent6 4 5 3 3 4" xfId="27332" xr:uid="{00000000-0005-0000-0000-0000BE470000}"/>
    <cellStyle name="20% - Accent6 4 5 3 4" xfId="6917" xr:uid="{00000000-0005-0000-0000-0000BF470000}"/>
    <cellStyle name="20% - Accent6 4 5 3 4 2" xfId="18218" xr:uid="{00000000-0005-0000-0000-0000C0470000}"/>
    <cellStyle name="20% - Accent6 4 5 3 4 2 2" xfId="40820" xr:uid="{00000000-0005-0000-0000-0000C1470000}"/>
    <cellStyle name="20% - Accent6 4 5 3 4 3" xfId="29519" xr:uid="{00000000-0005-0000-0000-0000C2470000}"/>
    <cellStyle name="20% - Accent6 4 5 3 5" xfId="12568" xr:uid="{00000000-0005-0000-0000-0000C3470000}"/>
    <cellStyle name="20% - Accent6 4 5 3 5 2" xfId="35170" xr:uid="{00000000-0005-0000-0000-0000C4470000}"/>
    <cellStyle name="20% - Accent6 4 5 3 6" xfId="23869" xr:uid="{00000000-0005-0000-0000-0000C5470000}"/>
    <cellStyle name="20% - Accent6 4 5 4" xfId="1732" xr:uid="{00000000-0005-0000-0000-0000C6470000}"/>
    <cellStyle name="20% - Accent6 4 5 4 2" xfId="3635" xr:uid="{00000000-0005-0000-0000-0000C7470000}"/>
    <cellStyle name="20% - Accent6 4 5 4 2 2" xfId="9346" xr:uid="{00000000-0005-0000-0000-0000C8470000}"/>
    <cellStyle name="20% - Accent6 4 5 4 2 2 2" xfId="20647" xr:uid="{00000000-0005-0000-0000-0000C9470000}"/>
    <cellStyle name="20% - Accent6 4 5 4 2 2 2 2" xfId="43249" xr:uid="{00000000-0005-0000-0000-0000CA470000}"/>
    <cellStyle name="20% - Accent6 4 5 4 2 2 3" xfId="31948" xr:uid="{00000000-0005-0000-0000-0000CB470000}"/>
    <cellStyle name="20% - Accent6 4 5 4 2 3" xfId="14997" xr:uid="{00000000-0005-0000-0000-0000CC470000}"/>
    <cellStyle name="20% - Accent6 4 5 4 2 3 2" xfId="37599" xr:uid="{00000000-0005-0000-0000-0000CD470000}"/>
    <cellStyle name="20% - Accent6 4 5 4 2 4" xfId="26298" xr:uid="{00000000-0005-0000-0000-0000CE470000}"/>
    <cellStyle name="20% - Accent6 4 5 4 3" xfId="5340" xr:uid="{00000000-0005-0000-0000-0000CF470000}"/>
    <cellStyle name="20% - Accent6 4 5 4 3 2" xfId="10990" xr:uid="{00000000-0005-0000-0000-0000D0470000}"/>
    <cellStyle name="20% - Accent6 4 5 4 3 2 2" xfId="22291" xr:uid="{00000000-0005-0000-0000-0000D1470000}"/>
    <cellStyle name="20% - Accent6 4 5 4 3 2 2 2" xfId="44893" xr:uid="{00000000-0005-0000-0000-0000D2470000}"/>
    <cellStyle name="20% - Accent6 4 5 4 3 2 3" xfId="33592" xr:uid="{00000000-0005-0000-0000-0000D3470000}"/>
    <cellStyle name="20% - Accent6 4 5 4 3 3" xfId="16641" xr:uid="{00000000-0005-0000-0000-0000D4470000}"/>
    <cellStyle name="20% - Accent6 4 5 4 3 3 2" xfId="39243" xr:uid="{00000000-0005-0000-0000-0000D5470000}"/>
    <cellStyle name="20% - Accent6 4 5 4 3 4" xfId="27942" xr:uid="{00000000-0005-0000-0000-0000D6470000}"/>
    <cellStyle name="20% - Accent6 4 5 4 4" xfId="7588" xr:uid="{00000000-0005-0000-0000-0000D7470000}"/>
    <cellStyle name="20% - Accent6 4 5 4 4 2" xfId="18889" xr:uid="{00000000-0005-0000-0000-0000D8470000}"/>
    <cellStyle name="20% - Accent6 4 5 4 4 2 2" xfId="41491" xr:uid="{00000000-0005-0000-0000-0000D9470000}"/>
    <cellStyle name="20% - Accent6 4 5 4 4 3" xfId="30190" xr:uid="{00000000-0005-0000-0000-0000DA470000}"/>
    <cellStyle name="20% - Accent6 4 5 4 5" xfId="13239" xr:uid="{00000000-0005-0000-0000-0000DB470000}"/>
    <cellStyle name="20% - Accent6 4 5 4 5 2" xfId="35841" xr:uid="{00000000-0005-0000-0000-0000DC470000}"/>
    <cellStyle name="20% - Accent6 4 5 4 6" xfId="24540" xr:uid="{00000000-0005-0000-0000-0000DD470000}"/>
    <cellStyle name="20% - Accent6 4 5 5" xfId="2321" xr:uid="{00000000-0005-0000-0000-0000DE470000}"/>
    <cellStyle name="20% - Accent6 4 5 5 2" xfId="8157" xr:uid="{00000000-0005-0000-0000-0000DF470000}"/>
    <cellStyle name="20% - Accent6 4 5 5 2 2" xfId="19458" xr:uid="{00000000-0005-0000-0000-0000E0470000}"/>
    <cellStyle name="20% - Accent6 4 5 5 2 2 2" xfId="42060" xr:uid="{00000000-0005-0000-0000-0000E1470000}"/>
    <cellStyle name="20% - Accent6 4 5 5 2 3" xfId="30759" xr:uid="{00000000-0005-0000-0000-0000E2470000}"/>
    <cellStyle name="20% - Accent6 4 5 5 3" xfId="13808" xr:uid="{00000000-0005-0000-0000-0000E3470000}"/>
    <cellStyle name="20% - Accent6 4 5 5 3 2" xfId="36410" xr:uid="{00000000-0005-0000-0000-0000E4470000}"/>
    <cellStyle name="20% - Accent6 4 5 5 4" xfId="25109" xr:uid="{00000000-0005-0000-0000-0000E5470000}"/>
    <cellStyle name="20% - Accent6 4 5 6" xfId="4106" xr:uid="{00000000-0005-0000-0000-0000E6470000}"/>
    <cellStyle name="20% - Accent6 4 5 6 2" xfId="9756" xr:uid="{00000000-0005-0000-0000-0000E7470000}"/>
    <cellStyle name="20% - Accent6 4 5 6 2 2" xfId="21057" xr:uid="{00000000-0005-0000-0000-0000E8470000}"/>
    <cellStyle name="20% - Accent6 4 5 6 2 2 2" xfId="43659" xr:uid="{00000000-0005-0000-0000-0000E9470000}"/>
    <cellStyle name="20% - Accent6 4 5 6 2 3" xfId="32358" xr:uid="{00000000-0005-0000-0000-0000EA470000}"/>
    <cellStyle name="20% - Accent6 4 5 6 3" xfId="15407" xr:uid="{00000000-0005-0000-0000-0000EB470000}"/>
    <cellStyle name="20% - Accent6 4 5 6 3 2" xfId="38009" xr:uid="{00000000-0005-0000-0000-0000EC470000}"/>
    <cellStyle name="20% - Accent6 4 5 6 4" xfId="26708" xr:uid="{00000000-0005-0000-0000-0000ED470000}"/>
    <cellStyle name="20% - Accent6 4 5 7" xfId="6557" xr:uid="{00000000-0005-0000-0000-0000EE470000}"/>
    <cellStyle name="20% - Accent6 4 5 7 2" xfId="17858" xr:uid="{00000000-0005-0000-0000-0000EF470000}"/>
    <cellStyle name="20% - Accent6 4 5 7 2 2" xfId="40460" xr:uid="{00000000-0005-0000-0000-0000F0470000}"/>
    <cellStyle name="20% - Accent6 4 5 7 3" xfId="29159" xr:uid="{00000000-0005-0000-0000-0000F1470000}"/>
    <cellStyle name="20% - Accent6 4 5 8" xfId="12208" xr:uid="{00000000-0005-0000-0000-0000F2470000}"/>
    <cellStyle name="20% - Accent6 4 5 8 2" xfId="34810" xr:uid="{00000000-0005-0000-0000-0000F3470000}"/>
    <cellStyle name="20% - Accent6 4 5 9" xfId="23509" xr:uid="{00000000-0005-0000-0000-0000F4470000}"/>
    <cellStyle name="20% - Accent6 4 6" xfId="1064" xr:uid="{00000000-0005-0000-0000-0000F5470000}"/>
    <cellStyle name="20% - Accent6 4 6 2" xfId="1734" xr:uid="{00000000-0005-0000-0000-0000F6470000}"/>
    <cellStyle name="20% - Accent6 4 6 2 2" xfId="3131" xr:uid="{00000000-0005-0000-0000-0000F7470000}"/>
    <cellStyle name="20% - Accent6 4 6 2 2 2" xfId="6103" xr:uid="{00000000-0005-0000-0000-0000F8470000}"/>
    <cellStyle name="20% - Accent6 4 6 2 2 2 2" xfId="11753" xr:uid="{00000000-0005-0000-0000-0000F9470000}"/>
    <cellStyle name="20% - Accent6 4 6 2 2 2 2 2" xfId="23054" xr:uid="{00000000-0005-0000-0000-0000FA470000}"/>
    <cellStyle name="20% - Accent6 4 6 2 2 2 2 2 2" xfId="45656" xr:uid="{00000000-0005-0000-0000-0000FB470000}"/>
    <cellStyle name="20% - Accent6 4 6 2 2 2 2 3" xfId="34355" xr:uid="{00000000-0005-0000-0000-0000FC470000}"/>
    <cellStyle name="20% - Accent6 4 6 2 2 2 3" xfId="17404" xr:uid="{00000000-0005-0000-0000-0000FD470000}"/>
    <cellStyle name="20% - Accent6 4 6 2 2 2 3 2" xfId="40006" xr:uid="{00000000-0005-0000-0000-0000FE470000}"/>
    <cellStyle name="20% - Accent6 4 6 2 2 2 4" xfId="28705" xr:uid="{00000000-0005-0000-0000-0000FF470000}"/>
    <cellStyle name="20% - Accent6 4 6 2 2 3" xfId="8921" xr:uid="{00000000-0005-0000-0000-000000480000}"/>
    <cellStyle name="20% - Accent6 4 6 2 2 3 2" xfId="20222" xr:uid="{00000000-0005-0000-0000-000001480000}"/>
    <cellStyle name="20% - Accent6 4 6 2 2 3 2 2" xfId="42824" xr:uid="{00000000-0005-0000-0000-000002480000}"/>
    <cellStyle name="20% - Accent6 4 6 2 2 3 3" xfId="31523" xr:uid="{00000000-0005-0000-0000-000003480000}"/>
    <cellStyle name="20% - Accent6 4 6 2 2 4" xfId="14572" xr:uid="{00000000-0005-0000-0000-000004480000}"/>
    <cellStyle name="20% - Accent6 4 6 2 2 4 2" xfId="37174" xr:uid="{00000000-0005-0000-0000-000005480000}"/>
    <cellStyle name="20% - Accent6 4 6 2 2 5" xfId="25873" xr:uid="{00000000-0005-0000-0000-000006480000}"/>
    <cellStyle name="20% - Accent6 4 6 2 3" xfId="4869" xr:uid="{00000000-0005-0000-0000-000007480000}"/>
    <cellStyle name="20% - Accent6 4 6 2 3 2" xfId="10519" xr:uid="{00000000-0005-0000-0000-000008480000}"/>
    <cellStyle name="20% - Accent6 4 6 2 3 2 2" xfId="21820" xr:uid="{00000000-0005-0000-0000-000009480000}"/>
    <cellStyle name="20% - Accent6 4 6 2 3 2 2 2" xfId="44422" xr:uid="{00000000-0005-0000-0000-00000A480000}"/>
    <cellStyle name="20% - Accent6 4 6 2 3 2 3" xfId="33121" xr:uid="{00000000-0005-0000-0000-00000B480000}"/>
    <cellStyle name="20% - Accent6 4 6 2 3 3" xfId="16170" xr:uid="{00000000-0005-0000-0000-00000C480000}"/>
    <cellStyle name="20% - Accent6 4 6 2 3 3 2" xfId="38772" xr:uid="{00000000-0005-0000-0000-00000D480000}"/>
    <cellStyle name="20% - Accent6 4 6 2 3 4" xfId="27471" xr:uid="{00000000-0005-0000-0000-00000E480000}"/>
    <cellStyle name="20% - Accent6 4 6 2 4" xfId="7590" xr:uid="{00000000-0005-0000-0000-00000F480000}"/>
    <cellStyle name="20% - Accent6 4 6 2 4 2" xfId="18891" xr:uid="{00000000-0005-0000-0000-000010480000}"/>
    <cellStyle name="20% - Accent6 4 6 2 4 2 2" xfId="41493" xr:uid="{00000000-0005-0000-0000-000011480000}"/>
    <cellStyle name="20% - Accent6 4 6 2 4 3" xfId="30192" xr:uid="{00000000-0005-0000-0000-000012480000}"/>
    <cellStyle name="20% - Accent6 4 6 2 5" xfId="13241" xr:uid="{00000000-0005-0000-0000-000013480000}"/>
    <cellStyle name="20% - Accent6 4 6 2 5 2" xfId="35843" xr:uid="{00000000-0005-0000-0000-000014480000}"/>
    <cellStyle name="20% - Accent6 4 6 2 6" xfId="24542" xr:uid="{00000000-0005-0000-0000-000015480000}"/>
    <cellStyle name="20% - Accent6 4 6 3" xfId="2460" xr:uid="{00000000-0005-0000-0000-000016480000}"/>
    <cellStyle name="20% - Accent6 4 6 3 2" xfId="5479" xr:uid="{00000000-0005-0000-0000-000017480000}"/>
    <cellStyle name="20% - Accent6 4 6 3 2 2" xfId="11129" xr:uid="{00000000-0005-0000-0000-000018480000}"/>
    <cellStyle name="20% - Accent6 4 6 3 2 2 2" xfId="22430" xr:uid="{00000000-0005-0000-0000-000019480000}"/>
    <cellStyle name="20% - Accent6 4 6 3 2 2 2 2" xfId="45032" xr:uid="{00000000-0005-0000-0000-00001A480000}"/>
    <cellStyle name="20% - Accent6 4 6 3 2 2 3" xfId="33731" xr:uid="{00000000-0005-0000-0000-00001B480000}"/>
    <cellStyle name="20% - Accent6 4 6 3 2 3" xfId="16780" xr:uid="{00000000-0005-0000-0000-00001C480000}"/>
    <cellStyle name="20% - Accent6 4 6 3 2 3 2" xfId="39382" xr:uid="{00000000-0005-0000-0000-00001D480000}"/>
    <cellStyle name="20% - Accent6 4 6 3 2 4" xfId="28081" xr:uid="{00000000-0005-0000-0000-00001E480000}"/>
    <cellStyle name="20% - Accent6 4 6 3 3" xfId="8296" xr:uid="{00000000-0005-0000-0000-00001F480000}"/>
    <cellStyle name="20% - Accent6 4 6 3 3 2" xfId="19597" xr:uid="{00000000-0005-0000-0000-000020480000}"/>
    <cellStyle name="20% - Accent6 4 6 3 3 2 2" xfId="42199" xr:uid="{00000000-0005-0000-0000-000021480000}"/>
    <cellStyle name="20% - Accent6 4 6 3 3 3" xfId="30898" xr:uid="{00000000-0005-0000-0000-000022480000}"/>
    <cellStyle name="20% - Accent6 4 6 3 4" xfId="13947" xr:uid="{00000000-0005-0000-0000-000023480000}"/>
    <cellStyle name="20% - Accent6 4 6 3 4 2" xfId="36549" xr:uid="{00000000-0005-0000-0000-000024480000}"/>
    <cellStyle name="20% - Accent6 4 6 3 5" xfId="25248" xr:uid="{00000000-0005-0000-0000-000025480000}"/>
    <cellStyle name="20% - Accent6 4 6 4" xfId="4245" xr:uid="{00000000-0005-0000-0000-000026480000}"/>
    <cellStyle name="20% - Accent6 4 6 4 2" xfId="9895" xr:uid="{00000000-0005-0000-0000-000027480000}"/>
    <cellStyle name="20% - Accent6 4 6 4 2 2" xfId="21196" xr:uid="{00000000-0005-0000-0000-000028480000}"/>
    <cellStyle name="20% - Accent6 4 6 4 2 2 2" xfId="43798" xr:uid="{00000000-0005-0000-0000-000029480000}"/>
    <cellStyle name="20% - Accent6 4 6 4 2 3" xfId="32497" xr:uid="{00000000-0005-0000-0000-00002A480000}"/>
    <cellStyle name="20% - Accent6 4 6 4 3" xfId="15546" xr:uid="{00000000-0005-0000-0000-00002B480000}"/>
    <cellStyle name="20% - Accent6 4 6 4 3 2" xfId="38148" xr:uid="{00000000-0005-0000-0000-00002C480000}"/>
    <cellStyle name="20% - Accent6 4 6 4 4" xfId="26847" xr:uid="{00000000-0005-0000-0000-00002D480000}"/>
    <cellStyle name="20% - Accent6 4 6 5" xfId="7043" xr:uid="{00000000-0005-0000-0000-00002E480000}"/>
    <cellStyle name="20% - Accent6 4 6 5 2" xfId="18344" xr:uid="{00000000-0005-0000-0000-00002F480000}"/>
    <cellStyle name="20% - Accent6 4 6 5 2 2" xfId="40946" xr:uid="{00000000-0005-0000-0000-000030480000}"/>
    <cellStyle name="20% - Accent6 4 6 5 3" xfId="29645" xr:uid="{00000000-0005-0000-0000-000031480000}"/>
    <cellStyle name="20% - Accent6 4 6 6" xfId="12694" xr:uid="{00000000-0005-0000-0000-000032480000}"/>
    <cellStyle name="20% - Accent6 4 6 6 2" xfId="35296" xr:uid="{00000000-0005-0000-0000-000033480000}"/>
    <cellStyle name="20% - Accent6 4 6 7" xfId="23995" xr:uid="{00000000-0005-0000-0000-000034480000}"/>
    <cellStyle name="20% - Accent6 4 7" xfId="728" xr:uid="{00000000-0005-0000-0000-000035480000}"/>
    <cellStyle name="20% - Accent6 4 7 2" xfId="2825" xr:uid="{00000000-0005-0000-0000-000036480000}"/>
    <cellStyle name="20% - Accent6 4 7 2 2" xfId="5797" xr:uid="{00000000-0005-0000-0000-000037480000}"/>
    <cellStyle name="20% - Accent6 4 7 2 2 2" xfId="11447" xr:uid="{00000000-0005-0000-0000-000038480000}"/>
    <cellStyle name="20% - Accent6 4 7 2 2 2 2" xfId="22748" xr:uid="{00000000-0005-0000-0000-000039480000}"/>
    <cellStyle name="20% - Accent6 4 7 2 2 2 2 2" xfId="45350" xr:uid="{00000000-0005-0000-0000-00003A480000}"/>
    <cellStyle name="20% - Accent6 4 7 2 2 2 3" xfId="34049" xr:uid="{00000000-0005-0000-0000-00003B480000}"/>
    <cellStyle name="20% - Accent6 4 7 2 2 3" xfId="17098" xr:uid="{00000000-0005-0000-0000-00003C480000}"/>
    <cellStyle name="20% - Accent6 4 7 2 2 3 2" xfId="39700" xr:uid="{00000000-0005-0000-0000-00003D480000}"/>
    <cellStyle name="20% - Accent6 4 7 2 2 4" xfId="28399" xr:uid="{00000000-0005-0000-0000-00003E480000}"/>
    <cellStyle name="20% - Accent6 4 7 2 3" xfId="8615" xr:uid="{00000000-0005-0000-0000-00003F480000}"/>
    <cellStyle name="20% - Accent6 4 7 2 3 2" xfId="19916" xr:uid="{00000000-0005-0000-0000-000040480000}"/>
    <cellStyle name="20% - Accent6 4 7 2 3 2 2" xfId="42518" xr:uid="{00000000-0005-0000-0000-000041480000}"/>
    <cellStyle name="20% - Accent6 4 7 2 3 3" xfId="31217" xr:uid="{00000000-0005-0000-0000-000042480000}"/>
    <cellStyle name="20% - Accent6 4 7 2 4" xfId="14266" xr:uid="{00000000-0005-0000-0000-000043480000}"/>
    <cellStyle name="20% - Accent6 4 7 2 4 2" xfId="36868" xr:uid="{00000000-0005-0000-0000-000044480000}"/>
    <cellStyle name="20% - Accent6 4 7 2 5" xfId="25567" xr:uid="{00000000-0005-0000-0000-000045480000}"/>
    <cellStyle name="20% - Accent6 4 7 3" xfId="4563" xr:uid="{00000000-0005-0000-0000-000046480000}"/>
    <cellStyle name="20% - Accent6 4 7 3 2" xfId="10213" xr:uid="{00000000-0005-0000-0000-000047480000}"/>
    <cellStyle name="20% - Accent6 4 7 3 2 2" xfId="21514" xr:uid="{00000000-0005-0000-0000-000048480000}"/>
    <cellStyle name="20% - Accent6 4 7 3 2 2 2" xfId="44116" xr:uid="{00000000-0005-0000-0000-000049480000}"/>
    <cellStyle name="20% - Accent6 4 7 3 2 3" xfId="32815" xr:uid="{00000000-0005-0000-0000-00004A480000}"/>
    <cellStyle name="20% - Accent6 4 7 3 3" xfId="15864" xr:uid="{00000000-0005-0000-0000-00004B480000}"/>
    <cellStyle name="20% - Accent6 4 7 3 3 2" xfId="38466" xr:uid="{00000000-0005-0000-0000-00004C480000}"/>
    <cellStyle name="20% - Accent6 4 7 3 4" xfId="27165" xr:uid="{00000000-0005-0000-0000-00004D480000}"/>
    <cellStyle name="20% - Accent6 4 7 4" xfId="6745" xr:uid="{00000000-0005-0000-0000-00004E480000}"/>
    <cellStyle name="20% - Accent6 4 7 4 2" xfId="18046" xr:uid="{00000000-0005-0000-0000-00004F480000}"/>
    <cellStyle name="20% - Accent6 4 7 4 2 2" xfId="40648" xr:uid="{00000000-0005-0000-0000-000050480000}"/>
    <cellStyle name="20% - Accent6 4 7 4 3" xfId="29347" xr:uid="{00000000-0005-0000-0000-000051480000}"/>
    <cellStyle name="20% - Accent6 4 7 5" xfId="12396" xr:uid="{00000000-0005-0000-0000-000052480000}"/>
    <cellStyle name="20% - Accent6 4 7 5 2" xfId="34998" xr:uid="{00000000-0005-0000-0000-000053480000}"/>
    <cellStyle name="20% - Accent6 4 7 6" xfId="23697" xr:uid="{00000000-0005-0000-0000-000054480000}"/>
    <cellStyle name="20% - Accent6 4 8" xfId="1721" xr:uid="{00000000-0005-0000-0000-000055480000}"/>
    <cellStyle name="20% - Accent6 4 8 2" xfId="3629" xr:uid="{00000000-0005-0000-0000-000056480000}"/>
    <cellStyle name="20% - Accent6 4 8 2 2" xfId="9340" xr:uid="{00000000-0005-0000-0000-000057480000}"/>
    <cellStyle name="20% - Accent6 4 8 2 2 2" xfId="20641" xr:uid="{00000000-0005-0000-0000-000058480000}"/>
    <cellStyle name="20% - Accent6 4 8 2 2 2 2" xfId="43243" xr:uid="{00000000-0005-0000-0000-000059480000}"/>
    <cellStyle name="20% - Accent6 4 8 2 2 3" xfId="31942" xr:uid="{00000000-0005-0000-0000-00005A480000}"/>
    <cellStyle name="20% - Accent6 4 8 2 3" xfId="14991" xr:uid="{00000000-0005-0000-0000-00005B480000}"/>
    <cellStyle name="20% - Accent6 4 8 2 3 2" xfId="37593" xr:uid="{00000000-0005-0000-0000-00005C480000}"/>
    <cellStyle name="20% - Accent6 4 8 2 4" xfId="26292" xr:uid="{00000000-0005-0000-0000-00005D480000}"/>
    <cellStyle name="20% - Accent6 4 8 3" xfId="5173" xr:uid="{00000000-0005-0000-0000-00005E480000}"/>
    <cellStyle name="20% - Accent6 4 8 3 2" xfId="10823" xr:uid="{00000000-0005-0000-0000-00005F480000}"/>
    <cellStyle name="20% - Accent6 4 8 3 2 2" xfId="22124" xr:uid="{00000000-0005-0000-0000-000060480000}"/>
    <cellStyle name="20% - Accent6 4 8 3 2 2 2" xfId="44726" xr:uid="{00000000-0005-0000-0000-000061480000}"/>
    <cellStyle name="20% - Accent6 4 8 3 2 3" xfId="33425" xr:uid="{00000000-0005-0000-0000-000062480000}"/>
    <cellStyle name="20% - Accent6 4 8 3 3" xfId="16474" xr:uid="{00000000-0005-0000-0000-000063480000}"/>
    <cellStyle name="20% - Accent6 4 8 3 3 2" xfId="39076" xr:uid="{00000000-0005-0000-0000-000064480000}"/>
    <cellStyle name="20% - Accent6 4 8 3 4" xfId="27775" xr:uid="{00000000-0005-0000-0000-000065480000}"/>
    <cellStyle name="20% - Accent6 4 8 4" xfId="7577" xr:uid="{00000000-0005-0000-0000-000066480000}"/>
    <cellStyle name="20% - Accent6 4 8 4 2" xfId="18878" xr:uid="{00000000-0005-0000-0000-000067480000}"/>
    <cellStyle name="20% - Accent6 4 8 4 2 2" xfId="41480" xr:uid="{00000000-0005-0000-0000-000068480000}"/>
    <cellStyle name="20% - Accent6 4 8 4 3" xfId="30179" xr:uid="{00000000-0005-0000-0000-000069480000}"/>
    <cellStyle name="20% - Accent6 4 8 5" xfId="13228" xr:uid="{00000000-0005-0000-0000-00006A480000}"/>
    <cellStyle name="20% - Accent6 4 8 5 2" xfId="35830" xr:uid="{00000000-0005-0000-0000-00006B480000}"/>
    <cellStyle name="20% - Accent6 4 8 6" xfId="24529" xr:uid="{00000000-0005-0000-0000-00006C480000}"/>
    <cellStyle name="20% - Accent6 4 9" xfId="2144" xr:uid="{00000000-0005-0000-0000-00006D480000}"/>
    <cellStyle name="20% - Accent6 4 9 2" xfId="7987" xr:uid="{00000000-0005-0000-0000-00006E480000}"/>
    <cellStyle name="20% - Accent6 4 9 2 2" xfId="19288" xr:uid="{00000000-0005-0000-0000-00006F480000}"/>
    <cellStyle name="20% - Accent6 4 9 2 2 2" xfId="41890" xr:uid="{00000000-0005-0000-0000-000070480000}"/>
    <cellStyle name="20% - Accent6 4 9 2 3" xfId="30589" xr:uid="{00000000-0005-0000-0000-000071480000}"/>
    <cellStyle name="20% - Accent6 4 9 3" xfId="13638" xr:uid="{00000000-0005-0000-0000-000072480000}"/>
    <cellStyle name="20% - Accent6 4 9 3 2" xfId="36240" xr:uid="{00000000-0005-0000-0000-000073480000}"/>
    <cellStyle name="20% - Accent6 4 9 4" xfId="24939" xr:uid="{00000000-0005-0000-0000-000074480000}"/>
    <cellStyle name="20% - Accent6 5" xfId="217" xr:uid="{00000000-0005-0000-0000-000075480000}"/>
    <cellStyle name="20% - Accent6 5 10" xfId="12082" xr:uid="{00000000-0005-0000-0000-000076480000}"/>
    <cellStyle name="20% - Accent6 5 10 2" xfId="34684" xr:uid="{00000000-0005-0000-0000-000077480000}"/>
    <cellStyle name="20% - Accent6 5 11" xfId="23383" xr:uid="{00000000-0005-0000-0000-000078480000}"/>
    <cellStyle name="20% - Accent6 5 2" xfId="383" xr:uid="{00000000-0005-0000-0000-000079480000}"/>
    <cellStyle name="20% - Accent6 5 2 10" xfId="23478" xr:uid="{00000000-0005-0000-0000-00007A480000}"/>
    <cellStyle name="20% - Accent6 5 2 2" xfId="628" xr:uid="{00000000-0005-0000-0000-00007B480000}"/>
    <cellStyle name="20% - Accent6 5 2 2 2" xfId="1338" xr:uid="{00000000-0005-0000-0000-00007C480000}"/>
    <cellStyle name="20% - Accent6 5 2 2 2 2" xfId="1738" xr:uid="{00000000-0005-0000-0000-00007D480000}"/>
    <cellStyle name="20% - Accent6 5 2 2 2 2 2" xfId="3407" xr:uid="{00000000-0005-0000-0000-00007E480000}"/>
    <cellStyle name="20% - Accent6 5 2 2 2 2 2 2" xfId="6379" xr:uid="{00000000-0005-0000-0000-00007F480000}"/>
    <cellStyle name="20% - Accent6 5 2 2 2 2 2 2 2" xfId="12029" xr:uid="{00000000-0005-0000-0000-000080480000}"/>
    <cellStyle name="20% - Accent6 5 2 2 2 2 2 2 2 2" xfId="23330" xr:uid="{00000000-0005-0000-0000-000081480000}"/>
    <cellStyle name="20% - Accent6 5 2 2 2 2 2 2 2 2 2" xfId="45932" xr:uid="{00000000-0005-0000-0000-000082480000}"/>
    <cellStyle name="20% - Accent6 5 2 2 2 2 2 2 2 3" xfId="34631" xr:uid="{00000000-0005-0000-0000-000083480000}"/>
    <cellStyle name="20% - Accent6 5 2 2 2 2 2 2 3" xfId="17680" xr:uid="{00000000-0005-0000-0000-000084480000}"/>
    <cellStyle name="20% - Accent6 5 2 2 2 2 2 2 3 2" xfId="40282" xr:uid="{00000000-0005-0000-0000-000085480000}"/>
    <cellStyle name="20% - Accent6 5 2 2 2 2 2 2 4" xfId="28981" xr:uid="{00000000-0005-0000-0000-000086480000}"/>
    <cellStyle name="20% - Accent6 5 2 2 2 2 2 3" xfId="9197" xr:uid="{00000000-0005-0000-0000-000087480000}"/>
    <cellStyle name="20% - Accent6 5 2 2 2 2 2 3 2" xfId="20498" xr:uid="{00000000-0005-0000-0000-000088480000}"/>
    <cellStyle name="20% - Accent6 5 2 2 2 2 2 3 2 2" xfId="43100" xr:uid="{00000000-0005-0000-0000-000089480000}"/>
    <cellStyle name="20% - Accent6 5 2 2 2 2 2 3 3" xfId="31799" xr:uid="{00000000-0005-0000-0000-00008A480000}"/>
    <cellStyle name="20% - Accent6 5 2 2 2 2 2 4" xfId="14848" xr:uid="{00000000-0005-0000-0000-00008B480000}"/>
    <cellStyle name="20% - Accent6 5 2 2 2 2 2 4 2" xfId="37450" xr:uid="{00000000-0005-0000-0000-00008C480000}"/>
    <cellStyle name="20% - Accent6 5 2 2 2 2 2 5" xfId="26149" xr:uid="{00000000-0005-0000-0000-00008D480000}"/>
    <cellStyle name="20% - Accent6 5 2 2 2 2 3" xfId="5145" xr:uid="{00000000-0005-0000-0000-00008E480000}"/>
    <cellStyle name="20% - Accent6 5 2 2 2 2 3 2" xfId="10795" xr:uid="{00000000-0005-0000-0000-00008F480000}"/>
    <cellStyle name="20% - Accent6 5 2 2 2 2 3 2 2" xfId="22096" xr:uid="{00000000-0005-0000-0000-000090480000}"/>
    <cellStyle name="20% - Accent6 5 2 2 2 2 3 2 2 2" xfId="44698" xr:uid="{00000000-0005-0000-0000-000091480000}"/>
    <cellStyle name="20% - Accent6 5 2 2 2 2 3 2 3" xfId="33397" xr:uid="{00000000-0005-0000-0000-000092480000}"/>
    <cellStyle name="20% - Accent6 5 2 2 2 2 3 3" xfId="16446" xr:uid="{00000000-0005-0000-0000-000093480000}"/>
    <cellStyle name="20% - Accent6 5 2 2 2 2 3 3 2" xfId="39048" xr:uid="{00000000-0005-0000-0000-000094480000}"/>
    <cellStyle name="20% - Accent6 5 2 2 2 2 3 4" xfId="27747" xr:uid="{00000000-0005-0000-0000-000095480000}"/>
    <cellStyle name="20% - Accent6 5 2 2 2 2 4" xfId="7594" xr:uid="{00000000-0005-0000-0000-000096480000}"/>
    <cellStyle name="20% - Accent6 5 2 2 2 2 4 2" xfId="18895" xr:uid="{00000000-0005-0000-0000-000097480000}"/>
    <cellStyle name="20% - Accent6 5 2 2 2 2 4 2 2" xfId="41497" xr:uid="{00000000-0005-0000-0000-000098480000}"/>
    <cellStyle name="20% - Accent6 5 2 2 2 2 4 3" xfId="30196" xr:uid="{00000000-0005-0000-0000-000099480000}"/>
    <cellStyle name="20% - Accent6 5 2 2 2 2 5" xfId="13245" xr:uid="{00000000-0005-0000-0000-00009A480000}"/>
    <cellStyle name="20% - Accent6 5 2 2 2 2 5 2" xfId="35847" xr:uid="{00000000-0005-0000-0000-00009B480000}"/>
    <cellStyle name="20% - Accent6 5 2 2 2 2 6" xfId="24546" xr:uid="{00000000-0005-0000-0000-00009C480000}"/>
    <cellStyle name="20% - Accent6 5 2 2 2 3" xfId="2736" xr:uid="{00000000-0005-0000-0000-00009D480000}"/>
    <cellStyle name="20% - Accent6 5 2 2 2 3 2" xfId="5755" xr:uid="{00000000-0005-0000-0000-00009E480000}"/>
    <cellStyle name="20% - Accent6 5 2 2 2 3 2 2" xfId="11405" xr:uid="{00000000-0005-0000-0000-00009F480000}"/>
    <cellStyle name="20% - Accent6 5 2 2 2 3 2 2 2" xfId="22706" xr:uid="{00000000-0005-0000-0000-0000A0480000}"/>
    <cellStyle name="20% - Accent6 5 2 2 2 3 2 2 2 2" xfId="45308" xr:uid="{00000000-0005-0000-0000-0000A1480000}"/>
    <cellStyle name="20% - Accent6 5 2 2 2 3 2 2 3" xfId="34007" xr:uid="{00000000-0005-0000-0000-0000A2480000}"/>
    <cellStyle name="20% - Accent6 5 2 2 2 3 2 3" xfId="17056" xr:uid="{00000000-0005-0000-0000-0000A3480000}"/>
    <cellStyle name="20% - Accent6 5 2 2 2 3 2 3 2" xfId="39658" xr:uid="{00000000-0005-0000-0000-0000A4480000}"/>
    <cellStyle name="20% - Accent6 5 2 2 2 3 2 4" xfId="28357" xr:uid="{00000000-0005-0000-0000-0000A5480000}"/>
    <cellStyle name="20% - Accent6 5 2 2 2 3 3" xfId="8572" xr:uid="{00000000-0005-0000-0000-0000A6480000}"/>
    <cellStyle name="20% - Accent6 5 2 2 2 3 3 2" xfId="19873" xr:uid="{00000000-0005-0000-0000-0000A7480000}"/>
    <cellStyle name="20% - Accent6 5 2 2 2 3 3 2 2" xfId="42475" xr:uid="{00000000-0005-0000-0000-0000A8480000}"/>
    <cellStyle name="20% - Accent6 5 2 2 2 3 3 3" xfId="31174" xr:uid="{00000000-0005-0000-0000-0000A9480000}"/>
    <cellStyle name="20% - Accent6 5 2 2 2 3 4" xfId="14223" xr:uid="{00000000-0005-0000-0000-0000AA480000}"/>
    <cellStyle name="20% - Accent6 5 2 2 2 3 4 2" xfId="36825" xr:uid="{00000000-0005-0000-0000-0000AB480000}"/>
    <cellStyle name="20% - Accent6 5 2 2 2 3 5" xfId="25524" xr:uid="{00000000-0005-0000-0000-0000AC480000}"/>
    <cellStyle name="20% - Accent6 5 2 2 2 4" xfId="4521" xr:uid="{00000000-0005-0000-0000-0000AD480000}"/>
    <cellStyle name="20% - Accent6 5 2 2 2 4 2" xfId="10171" xr:uid="{00000000-0005-0000-0000-0000AE480000}"/>
    <cellStyle name="20% - Accent6 5 2 2 2 4 2 2" xfId="21472" xr:uid="{00000000-0005-0000-0000-0000AF480000}"/>
    <cellStyle name="20% - Accent6 5 2 2 2 4 2 2 2" xfId="44074" xr:uid="{00000000-0005-0000-0000-0000B0480000}"/>
    <cellStyle name="20% - Accent6 5 2 2 2 4 2 3" xfId="32773" xr:uid="{00000000-0005-0000-0000-0000B1480000}"/>
    <cellStyle name="20% - Accent6 5 2 2 2 4 3" xfId="15822" xr:uid="{00000000-0005-0000-0000-0000B2480000}"/>
    <cellStyle name="20% - Accent6 5 2 2 2 4 3 2" xfId="38424" xr:uid="{00000000-0005-0000-0000-0000B3480000}"/>
    <cellStyle name="20% - Accent6 5 2 2 2 4 4" xfId="27123" xr:uid="{00000000-0005-0000-0000-0000B4480000}"/>
    <cellStyle name="20% - Accent6 5 2 2 2 5" xfId="7317" xr:uid="{00000000-0005-0000-0000-0000B5480000}"/>
    <cellStyle name="20% - Accent6 5 2 2 2 5 2" xfId="18618" xr:uid="{00000000-0005-0000-0000-0000B6480000}"/>
    <cellStyle name="20% - Accent6 5 2 2 2 5 2 2" xfId="41220" xr:uid="{00000000-0005-0000-0000-0000B7480000}"/>
    <cellStyle name="20% - Accent6 5 2 2 2 5 3" xfId="29919" xr:uid="{00000000-0005-0000-0000-0000B8480000}"/>
    <cellStyle name="20% - Accent6 5 2 2 2 6" xfId="12968" xr:uid="{00000000-0005-0000-0000-0000B9480000}"/>
    <cellStyle name="20% - Accent6 5 2 2 2 6 2" xfId="35570" xr:uid="{00000000-0005-0000-0000-0000BA480000}"/>
    <cellStyle name="20% - Accent6 5 2 2 2 7" xfId="24269" xr:uid="{00000000-0005-0000-0000-0000BB480000}"/>
    <cellStyle name="20% - Accent6 5 2 2 3" xfId="1036" xr:uid="{00000000-0005-0000-0000-0000BC480000}"/>
    <cellStyle name="20% - Accent6 5 2 2 3 2" xfId="3099" xr:uid="{00000000-0005-0000-0000-0000BD480000}"/>
    <cellStyle name="20% - Accent6 5 2 2 3 2 2" xfId="6071" xr:uid="{00000000-0005-0000-0000-0000BE480000}"/>
    <cellStyle name="20% - Accent6 5 2 2 3 2 2 2" xfId="11721" xr:uid="{00000000-0005-0000-0000-0000BF480000}"/>
    <cellStyle name="20% - Accent6 5 2 2 3 2 2 2 2" xfId="23022" xr:uid="{00000000-0005-0000-0000-0000C0480000}"/>
    <cellStyle name="20% - Accent6 5 2 2 3 2 2 2 2 2" xfId="45624" xr:uid="{00000000-0005-0000-0000-0000C1480000}"/>
    <cellStyle name="20% - Accent6 5 2 2 3 2 2 2 3" xfId="34323" xr:uid="{00000000-0005-0000-0000-0000C2480000}"/>
    <cellStyle name="20% - Accent6 5 2 2 3 2 2 3" xfId="17372" xr:uid="{00000000-0005-0000-0000-0000C3480000}"/>
    <cellStyle name="20% - Accent6 5 2 2 3 2 2 3 2" xfId="39974" xr:uid="{00000000-0005-0000-0000-0000C4480000}"/>
    <cellStyle name="20% - Accent6 5 2 2 3 2 2 4" xfId="28673" xr:uid="{00000000-0005-0000-0000-0000C5480000}"/>
    <cellStyle name="20% - Accent6 5 2 2 3 2 3" xfId="8889" xr:uid="{00000000-0005-0000-0000-0000C6480000}"/>
    <cellStyle name="20% - Accent6 5 2 2 3 2 3 2" xfId="20190" xr:uid="{00000000-0005-0000-0000-0000C7480000}"/>
    <cellStyle name="20% - Accent6 5 2 2 3 2 3 2 2" xfId="42792" xr:uid="{00000000-0005-0000-0000-0000C8480000}"/>
    <cellStyle name="20% - Accent6 5 2 2 3 2 3 3" xfId="31491" xr:uid="{00000000-0005-0000-0000-0000C9480000}"/>
    <cellStyle name="20% - Accent6 5 2 2 3 2 4" xfId="14540" xr:uid="{00000000-0005-0000-0000-0000CA480000}"/>
    <cellStyle name="20% - Accent6 5 2 2 3 2 4 2" xfId="37142" xr:uid="{00000000-0005-0000-0000-0000CB480000}"/>
    <cellStyle name="20% - Accent6 5 2 2 3 2 5" xfId="25841" xr:uid="{00000000-0005-0000-0000-0000CC480000}"/>
    <cellStyle name="20% - Accent6 5 2 2 3 3" xfId="4837" xr:uid="{00000000-0005-0000-0000-0000CD480000}"/>
    <cellStyle name="20% - Accent6 5 2 2 3 3 2" xfId="10487" xr:uid="{00000000-0005-0000-0000-0000CE480000}"/>
    <cellStyle name="20% - Accent6 5 2 2 3 3 2 2" xfId="21788" xr:uid="{00000000-0005-0000-0000-0000CF480000}"/>
    <cellStyle name="20% - Accent6 5 2 2 3 3 2 2 2" xfId="44390" xr:uid="{00000000-0005-0000-0000-0000D0480000}"/>
    <cellStyle name="20% - Accent6 5 2 2 3 3 2 3" xfId="33089" xr:uid="{00000000-0005-0000-0000-0000D1480000}"/>
    <cellStyle name="20% - Accent6 5 2 2 3 3 3" xfId="16138" xr:uid="{00000000-0005-0000-0000-0000D2480000}"/>
    <cellStyle name="20% - Accent6 5 2 2 3 3 3 2" xfId="38740" xr:uid="{00000000-0005-0000-0000-0000D3480000}"/>
    <cellStyle name="20% - Accent6 5 2 2 3 3 4" xfId="27439" xr:uid="{00000000-0005-0000-0000-0000D4480000}"/>
    <cellStyle name="20% - Accent6 5 2 2 3 4" xfId="7024" xr:uid="{00000000-0005-0000-0000-0000D5480000}"/>
    <cellStyle name="20% - Accent6 5 2 2 3 4 2" xfId="18325" xr:uid="{00000000-0005-0000-0000-0000D6480000}"/>
    <cellStyle name="20% - Accent6 5 2 2 3 4 2 2" xfId="40927" xr:uid="{00000000-0005-0000-0000-0000D7480000}"/>
    <cellStyle name="20% - Accent6 5 2 2 3 4 3" xfId="29626" xr:uid="{00000000-0005-0000-0000-0000D8480000}"/>
    <cellStyle name="20% - Accent6 5 2 2 3 5" xfId="12675" xr:uid="{00000000-0005-0000-0000-0000D9480000}"/>
    <cellStyle name="20% - Accent6 5 2 2 3 5 2" xfId="35277" xr:uid="{00000000-0005-0000-0000-0000DA480000}"/>
    <cellStyle name="20% - Accent6 5 2 2 3 6" xfId="23976" xr:uid="{00000000-0005-0000-0000-0000DB480000}"/>
    <cellStyle name="20% - Accent6 5 2 2 4" xfId="1737" xr:uid="{00000000-0005-0000-0000-0000DC480000}"/>
    <cellStyle name="20% - Accent6 5 2 2 4 2" xfId="3638" xr:uid="{00000000-0005-0000-0000-0000DD480000}"/>
    <cellStyle name="20% - Accent6 5 2 2 4 2 2" xfId="9349" xr:uid="{00000000-0005-0000-0000-0000DE480000}"/>
    <cellStyle name="20% - Accent6 5 2 2 4 2 2 2" xfId="20650" xr:uid="{00000000-0005-0000-0000-0000DF480000}"/>
    <cellStyle name="20% - Accent6 5 2 2 4 2 2 2 2" xfId="43252" xr:uid="{00000000-0005-0000-0000-0000E0480000}"/>
    <cellStyle name="20% - Accent6 5 2 2 4 2 2 3" xfId="31951" xr:uid="{00000000-0005-0000-0000-0000E1480000}"/>
    <cellStyle name="20% - Accent6 5 2 2 4 2 3" xfId="15000" xr:uid="{00000000-0005-0000-0000-0000E2480000}"/>
    <cellStyle name="20% - Accent6 5 2 2 4 2 3 2" xfId="37602" xr:uid="{00000000-0005-0000-0000-0000E3480000}"/>
    <cellStyle name="20% - Accent6 5 2 2 4 2 4" xfId="26301" xr:uid="{00000000-0005-0000-0000-0000E4480000}"/>
    <cellStyle name="20% - Accent6 5 2 2 4 3" xfId="5447" xr:uid="{00000000-0005-0000-0000-0000E5480000}"/>
    <cellStyle name="20% - Accent6 5 2 2 4 3 2" xfId="11097" xr:uid="{00000000-0005-0000-0000-0000E6480000}"/>
    <cellStyle name="20% - Accent6 5 2 2 4 3 2 2" xfId="22398" xr:uid="{00000000-0005-0000-0000-0000E7480000}"/>
    <cellStyle name="20% - Accent6 5 2 2 4 3 2 2 2" xfId="45000" xr:uid="{00000000-0005-0000-0000-0000E8480000}"/>
    <cellStyle name="20% - Accent6 5 2 2 4 3 2 3" xfId="33699" xr:uid="{00000000-0005-0000-0000-0000E9480000}"/>
    <cellStyle name="20% - Accent6 5 2 2 4 3 3" xfId="16748" xr:uid="{00000000-0005-0000-0000-0000EA480000}"/>
    <cellStyle name="20% - Accent6 5 2 2 4 3 3 2" xfId="39350" xr:uid="{00000000-0005-0000-0000-0000EB480000}"/>
    <cellStyle name="20% - Accent6 5 2 2 4 3 4" xfId="28049" xr:uid="{00000000-0005-0000-0000-0000EC480000}"/>
    <cellStyle name="20% - Accent6 5 2 2 4 4" xfId="7593" xr:uid="{00000000-0005-0000-0000-0000ED480000}"/>
    <cellStyle name="20% - Accent6 5 2 2 4 4 2" xfId="18894" xr:uid="{00000000-0005-0000-0000-0000EE480000}"/>
    <cellStyle name="20% - Accent6 5 2 2 4 4 2 2" xfId="41496" xr:uid="{00000000-0005-0000-0000-0000EF480000}"/>
    <cellStyle name="20% - Accent6 5 2 2 4 4 3" xfId="30195" xr:uid="{00000000-0005-0000-0000-0000F0480000}"/>
    <cellStyle name="20% - Accent6 5 2 2 4 5" xfId="13244" xr:uid="{00000000-0005-0000-0000-0000F1480000}"/>
    <cellStyle name="20% - Accent6 5 2 2 4 5 2" xfId="35846" xr:uid="{00000000-0005-0000-0000-0000F2480000}"/>
    <cellStyle name="20% - Accent6 5 2 2 4 6" xfId="24545" xr:uid="{00000000-0005-0000-0000-0000F3480000}"/>
    <cellStyle name="20% - Accent6 5 2 2 5" xfId="2428" xr:uid="{00000000-0005-0000-0000-0000F4480000}"/>
    <cellStyle name="20% - Accent6 5 2 2 5 2" xfId="8264" xr:uid="{00000000-0005-0000-0000-0000F5480000}"/>
    <cellStyle name="20% - Accent6 5 2 2 5 2 2" xfId="19565" xr:uid="{00000000-0005-0000-0000-0000F6480000}"/>
    <cellStyle name="20% - Accent6 5 2 2 5 2 2 2" xfId="42167" xr:uid="{00000000-0005-0000-0000-0000F7480000}"/>
    <cellStyle name="20% - Accent6 5 2 2 5 2 3" xfId="30866" xr:uid="{00000000-0005-0000-0000-0000F8480000}"/>
    <cellStyle name="20% - Accent6 5 2 2 5 3" xfId="13915" xr:uid="{00000000-0005-0000-0000-0000F9480000}"/>
    <cellStyle name="20% - Accent6 5 2 2 5 3 2" xfId="36517" xr:uid="{00000000-0005-0000-0000-0000FA480000}"/>
    <cellStyle name="20% - Accent6 5 2 2 5 4" xfId="25216" xr:uid="{00000000-0005-0000-0000-0000FB480000}"/>
    <cellStyle name="20% - Accent6 5 2 2 6" xfId="4213" xr:uid="{00000000-0005-0000-0000-0000FC480000}"/>
    <cellStyle name="20% - Accent6 5 2 2 6 2" xfId="9863" xr:uid="{00000000-0005-0000-0000-0000FD480000}"/>
    <cellStyle name="20% - Accent6 5 2 2 6 2 2" xfId="21164" xr:uid="{00000000-0005-0000-0000-0000FE480000}"/>
    <cellStyle name="20% - Accent6 5 2 2 6 2 2 2" xfId="43766" xr:uid="{00000000-0005-0000-0000-0000FF480000}"/>
    <cellStyle name="20% - Accent6 5 2 2 6 2 3" xfId="32465" xr:uid="{00000000-0005-0000-0000-000000490000}"/>
    <cellStyle name="20% - Accent6 5 2 2 6 3" xfId="15514" xr:uid="{00000000-0005-0000-0000-000001490000}"/>
    <cellStyle name="20% - Accent6 5 2 2 6 3 2" xfId="38116" xr:uid="{00000000-0005-0000-0000-000002490000}"/>
    <cellStyle name="20% - Accent6 5 2 2 6 4" xfId="26815" xr:uid="{00000000-0005-0000-0000-000003490000}"/>
    <cellStyle name="20% - Accent6 5 2 2 7" xfId="6693" xr:uid="{00000000-0005-0000-0000-000004490000}"/>
    <cellStyle name="20% - Accent6 5 2 2 7 2" xfId="17994" xr:uid="{00000000-0005-0000-0000-000005490000}"/>
    <cellStyle name="20% - Accent6 5 2 2 7 2 2" xfId="40596" xr:uid="{00000000-0005-0000-0000-000006490000}"/>
    <cellStyle name="20% - Accent6 5 2 2 7 3" xfId="29295" xr:uid="{00000000-0005-0000-0000-000007490000}"/>
    <cellStyle name="20% - Accent6 5 2 2 8" xfId="12344" xr:uid="{00000000-0005-0000-0000-000008490000}"/>
    <cellStyle name="20% - Accent6 5 2 2 8 2" xfId="34946" xr:uid="{00000000-0005-0000-0000-000009490000}"/>
    <cellStyle name="20% - Accent6 5 2 2 9" xfId="23645" xr:uid="{00000000-0005-0000-0000-00000A490000}"/>
    <cellStyle name="20% - Accent6 5 2 3" xfId="1200" xr:uid="{00000000-0005-0000-0000-00000B490000}"/>
    <cellStyle name="20% - Accent6 5 2 3 2" xfId="1739" xr:uid="{00000000-0005-0000-0000-00000C490000}"/>
    <cellStyle name="20% - Accent6 5 2 3 2 2" xfId="3268" xr:uid="{00000000-0005-0000-0000-00000D490000}"/>
    <cellStyle name="20% - Accent6 5 2 3 2 2 2" xfId="6240" xr:uid="{00000000-0005-0000-0000-00000E490000}"/>
    <cellStyle name="20% - Accent6 5 2 3 2 2 2 2" xfId="11890" xr:uid="{00000000-0005-0000-0000-00000F490000}"/>
    <cellStyle name="20% - Accent6 5 2 3 2 2 2 2 2" xfId="23191" xr:uid="{00000000-0005-0000-0000-000010490000}"/>
    <cellStyle name="20% - Accent6 5 2 3 2 2 2 2 2 2" xfId="45793" xr:uid="{00000000-0005-0000-0000-000011490000}"/>
    <cellStyle name="20% - Accent6 5 2 3 2 2 2 2 3" xfId="34492" xr:uid="{00000000-0005-0000-0000-000012490000}"/>
    <cellStyle name="20% - Accent6 5 2 3 2 2 2 3" xfId="17541" xr:uid="{00000000-0005-0000-0000-000013490000}"/>
    <cellStyle name="20% - Accent6 5 2 3 2 2 2 3 2" xfId="40143" xr:uid="{00000000-0005-0000-0000-000014490000}"/>
    <cellStyle name="20% - Accent6 5 2 3 2 2 2 4" xfId="28842" xr:uid="{00000000-0005-0000-0000-000015490000}"/>
    <cellStyle name="20% - Accent6 5 2 3 2 2 3" xfId="9058" xr:uid="{00000000-0005-0000-0000-000016490000}"/>
    <cellStyle name="20% - Accent6 5 2 3 2 2 3 2" xfId="20359" xr:uid="{00000000-0005-0000-0000-000017490000}"/>
    <cellStyle name="20% - Accent6 5 2 3 2 2 3 2 2" xfId="42961" xr:uid="{00000000-0005-0000-0000-000018490000}"/>
    <cellStyle name="20% - Accent6 5 2 3 2 2 3 3" xfId="31660" xr:uid="{00000000-0005-0000-0000-000019490000}"/>
    <cellStyle name="20% - Accent6 5 2 3 2 2 4" xfId="14709" xr:uid="{00000000-0005-0000-0000-00001A490000}"/>
    <cellStyle name="20% - Accent6 5 2 3 2 2 4 2" xfId="37311" xr:uid="{00000000-0005-0000-0000-00001B490000}"/>
    <cellStyle name="20% - Accent6 5 2 3 2 2 5" xfId="26010" xr:uid="{00000000-0005-0000-0000-00001C490000}"/>
    <cellStyle name="20% - Accent6 5 2 3 2 3" xfId="5006" xr:uid="{00000000-0005-0000-0000-00001D490000}"/>
    <cellStyle name="20% - Accent6 5 2 3 2 3 2" xfId="10656" xr:uid="{00000000-0005-0000-0000-00001E490000}"/>
    <cellStyle name="20% - Accent6 5 2 3 2 3 2 2" xfId="21957" xr:uid="{00000000-0005-0000-0000-00001F490000}"/>
    <cellStyle name="20% - Accent6 5 2 3 2 3 2 2 2" xfId="44559" xr:uid="{00000000-0005-0000-0000-000020490000}"/>
    <cellStyle name="20% - Accent6 5 2 3 2 3 2 3" xfId="33258" xr:uid="{00000000-0005-0000-0000-000021490000}"/>
    <cellStyle name="20% - Accent6 5 2 3 2 3 3" xfId="16307" xr:uid="{00000000-0005-0000-0000-000022490000}"/>
    <cellStyle name="20% - Accent6 5 2 3 2 3 3 2" xfId="38909" xr:uid="{00000000-0005-0000-0000-000023490000}"/>
    <cellStyle name="20% - Accent6 5 2 3 2 3 4" xfId="27608" xr:uid="{00000000-0005-0000-0000-000024490000}"/>
    <cellStyle name="20% - Accent6 5 2 3 2 4" xfId="7595" xr:uid="{00000000-0005-0000-0000-000025490000}"/>
    <cellStyle name="20% - Accent6 5 2 3 2 4 2" xfId="18896" xr:uid="{00000000-0005-0000-0000-000026490000}"/>
    <cellStyle name="20% - Accent6 5 2 3 2 4 2 2" xfId="41498" xr:uid="{00000000-0005-0000-0000-000027490000}"/>
    <cellStyle name="20% - Accent6 5 2 3 2 4 3" xfId="30197" xr:uid="{00000000-0005-0000-0000-000028490000}"/>
    <cellStyle name="20% - Accent6 5 2 3 2 5" xfId="13246" xr:uid="{00000000-0005-0000-0000-000029490000}"/>
    <cellStyle name="20% - Accent6 5 2 3 2 5 2" xfId="35848" xr:uid="{00000000-0005-0000-0000-00002A490000}"/>
    <cellStyle name="20% - Accent6 5 2 3 2 6" xfId="24547" xr:uid="{00000000-0005-0000-0000-00002B490000}"/>
    <cellStyle name="20% - Accent6 5 2 3 3" xfId="2597" xr:uid="{00000000-0005-0000-0000-00002C490000}"/>
    <cellStyle name="20% - Accent6 5 2 3 3 2" xfId="5616" xr:uid="{00000000-0005-0000-0000-00002D490000}"/>
    <cellStyle name="20% - Accent6 5 2 3 3 2 2" xfId="11266" xr:uid="{00000000-0005-0000-0000-00002E490000}"/>
    <cellStyle name="20% - Accent6 5 2 3 3 2 2 2" xfId="22567" xr:uid="{00000000-0005-0000-0000-00002F490000}"/>
    <cellStyle name="20% - Accent6 5 2 3 3 2 2 2 2" xfId="45169" xr:uid="{00000000-0005-0000-0000-000030490000}"/>
    <cellStyle name="20% - Accent6 5 2 3 3 2 2 3" xfId="33868" xr:uid="{00000000-0005-0000-0000-000031490000}"/>
    <cellStyle name="20% - Accent6 5 2 3 3 2 3" xfId="16917" xr:uid="{00000000-0005-0000-0000-000032490000}"/>
    <cellStyle name="20% - Accent6 5 2 3 3 2 3 2" xfId="39519" xr:uid="{00000000-0005-0000-0000-000033490000}"/>
    <cellStyle name="20% - Accent6 5 2 3 3 2 4" xfId="28218" xr:uid="{00000000-0005-0000-0000-000034490000}"/>
    <cellStyle name="20% - Accent6 5 2 3 3 3" xfId="8433" xr:uid="{00000000-0005-0000-0000-000035490000}"/>
    <cellStyle name="20% - Accent6 5 2 3 3 3 2" xfId="19734" xr:uid="{00000000-0005-0000-0000-000036490000}"/>
    <cellStyle name="20% - Accent6 5 2 3 3 3 2 2" xfId="42336" xr:uid="{00000000-0005-0000-0000-000037490000}"/>
    <cellStyle name="20% - Accent6 5 2 3 3 3 3" xfId="31035" xr:uid="{00000000-0005-0000-0000-000038490000}"/>
    <cellStyle name="20% - Accent6 5 2 3 3 4" xfId="14084" xr:uid="{00000000-0005-0000-0000-000039490000}"/>
    <cellStyle name="20% - Accent6 5 2 3 3 4 2" xfId="36686" xr:uid="{00000000-0005-0000-0000-00003A490000}"/>
    <cellStyle name="20% - Accent6 5 2 3 3 5" xfId="25385" xr:uid="{00000000-0005-0000-0000-00003B490000}"/>
    <cellStyle name="20% - Accent6 5 2 3 4" xfId="4382" xr:uid="{00000000-0005-0000-0000-00003C490000}"/>
    <cellStyle name="20% - Accent6 5 2 3 4 2" xfId="10032" xr:uid="{00000000-0005-0000-0000-00003D490000}"/>
    <cellStyle name="20% - Accent6 5 2 3 4 2 2" xfId="21333" xr:uid="{00000000-0005-0000-0000-00003E490000}"/>
    <cellStyle name="20% - Accent6 5 2 3 4 2 2 2" xfId="43935" xr:uid="{00000000-0005-0000-0000-00003F490000}"/>
    <cellStyle name="20% - Accent6 5 2 3 4 2 3" xfId="32634" xr:uid="{00000000-0005-0000-0000-000040490000}"/>
    <cellStyle name="20% - Accent6 5 2 3 4 3" xfId="15683" xr:uid="{00000000-0005-0000-0000-000041490000}"/>
    <cellStyle name="20% - Accent6 5 2 3 4 3 2" xfId="38285" xr:uid="{00000000-0005-0000-0000-000042490000}"/>
    <cellStyle name="20% - Accent6 5 2 3 4 4" xfId="26984" xr:uid="{00000000-0005-0000-0000-000043490000}"/>
    <cellStyle name="20% - Accent6 5 2 3 5" xfId="7179" xr:uid="{00000000-0005-0000-0000-000044490000}"/>
    <cellStyle name="20% - Accent6 5 2 3 5 2" xfId="18480" xr:uid="{00000000-0005-0000-0000-000045490000}"/>
    <cellStyle name="20% - Accent6 5 2 3 5 2 2" xfId="41082" xr:uid="{00000000-0005-0000-0000-000046490000}"/>
    <cellStyle name="20% - Accent6 5 2 3 5 3" xfId="29781" xr:uid="{00000000-0005-0000-0000-000047490000}"/>
    <cellStyle name="20% - Accent6 5 2 3 6" xfId="12830" xr:uid="{00000000-0005-0000-0000-000048490000}"/>
    <cellStyle name="20% - Accent6 5 2 3 6 2" xfId="35432" xr:uid="{00000000-0005-0000-0000-000049490000}"/>
    <cellStyle name="20% - Accent6 5 2 3 7" xfId="24131" xr:uid="{00000000-0005-0000-0000-00004A490000}"/>
    <cellStyle name="20% - Accent6 5 2 4" xfId="891" xr:uid="{00000000-0005-0000-0000-00004B490000}"/>
    <cellStyle name="20% - Accent6 5 2 4 2" xfId="2961" xr:uid="{00000000-0005-0000-0000-00004C490000}"/>
    <cellStyle name="20% - Accent6 5 2 4 2 2" xfId="5933" xr:uid="{00000000-0005-0000-0000-00004D490000}"/>
    <cellStyle name="20% - Accent6 5 2 4 2 2 2" xfId="11583" xr:uid="{00000000-0005-0000-0000-00004E490000}"/>
    <cellStyle name="20% - Accent6 5 2 4 2 2 2 2" xfId="22884" xr:uid="{00000000-0005-0000-0000-00004F490000}"/>
    <cellStyle name="20% - Accent6 5 2 4 2 2 2 2 2" xfId="45486" xr:uid="{00000000-0005-0000-0000-000050490000}"/>
    <cellStyle name="20% - Accent6 5 2 4 2 2 2 3" xfId="34185" xr:uid="{00000000-0005-0000-0000-000051490000}"/>
    <cellStyle name="20% - Accent6 5 2 4 2 2 3" xfId="17234" xr:uid="{00000000-0005-0000-0000-000052490000}"/>
    <cellStyle name="20% - Accent6 5 2 4 2 2 3 2" xfId="39836" xr:uid="{00000000-0005-0000-0000-000053490000}"/>
    <cellStyle name="20% - Accent6 5 2 4 2 2 4" xfId="28535" xr:uid="{00000000-0005-0000-0000-000054490000}"/>
    <cellStyle name="20% - Accent6 5 2 4 2 3" xfId="8751" xr:uid="{00000000-0005-0000-0000-000055490000}"/>
    <cellStyle name="20% - Accent6 5 2 4 2 3 2" xfId="20052" xr:uid="{00000000-0005-0000-0000-000056490000}"/>
    <cellStyle name="20% - Accent6 5 2 4 2 3 2 2" xfId="42654" xr:uid="{00000000-0005-0000-0000-000057490000}"/>
    <cellStyle name="20% - Accent6 5 2 4 2 3 3" xfId="31353" xr:uid="{00000000-0005-0000-0000-000058490000}"/>
    <cellStyle name="20% - Accent6 5 2 4 2 4" xfId="14402" xr:uid="{00000000-0005-0000-0000-000059490000}"/>
    <cellStyle name="20% - Accent6 5 2 4 2 4 2" xfId="37004" xr:uid="{00000000-0005-0000-0000-00005A490000}"/>
    <cellStyle name="20% - Accent6 5 2 4 2 5" xfId="25703" xr:uid="{00000000-0005-0000-0000-00005B490000}"/>
    <cellStyle name="20% - Accent6 5 2 4 3" xfId="4699" xr:uid="{00000000-0005-0000-0000-00005C490000}"/>
    <cellStyle name="20% - Accent6 5 2 4 3 2" xfId="10349" xr:uid="{00000000-0005-0000-0000-00005D490000}"/>
    <cellStyle name="20% - Accent6 5 2 4 3 2 2" xfId="21650" xr:uid="{00000000-0005-0000-0000-00005E490000}"/>
    <cellStyle name="20% - Accent6 5 2 4 3 2 2 2" xfId="44252" xr:uid="{00000000-0005-0000-0000-00005F490000}"/>
    <cellStyle name="20% - Accent6 5 2 4 3 2 3" xfId="32951" xr:uid="{00000000-0005-0000-0000-000060490000}"/>
    <cellStyle name="20% - Accent6 5 2 4 3 3" xfId="16000" xr:uid="{00000000-0005-0000-0000-000061490000}"/>
    <cellStyle name="20% - Accent6 5 2 4 3 3 2" xfId="38602" xr:uid="{00000000-0005-0000-0000-000062490000}"/>
    <cellStyle name="20% - Accent6 5 2 4 3 4" xfId="27301" xr:uid="{00000000-0005-0000-0000-000063490000}"/>
    <cellStyle name="20% - Accent6 5 2 4 4" xfId="6886" xr:uid="{00000000-0005-0000-0000-000064490000}"/>
    <cellStyle name="20% - Accent6 5 2 4 4 2" xfId="18187" xr:uid="{00000000-0005-0000-0000-000065490000}"/>
    <cellStyle name="20% - Accent6 5 2 4 4 2 2" xfId="40789" xr:uid="{00000000-0005-0000-0000-000066490000}"/>
    <cellStyle name="20% - Accent6 5 2 4 4 3" xfId="29488" xr:uid="{00000000-0005-0000-0000-000067490000}"/>
    <cellStyle name="20% - Accent6 5 2 4 5" xfId="12537" xr:uid="{00000000-0005-0000-0000-000068490000}"/>
    <cellStyle name="20% - Accent6 5 2 4 5 2" xfId="35139" xr:uid="{00000000-0005-0000-0000-000069490000}"/>
    <cellStyle name="20% - Accent6 5 2 4 6" xfId="23838" xr:uid="{00000000-0005-0000-0000-00006A490000}"/>
    <cellStyle name="20% - Accent6 5 2 5" xfId="1736" xr:uid="{00000000-0005-0000-0000-00006B490000}"/>
    <cellStyle name="20% - Accent6 5 2 5 2" xfId="3637" xr:uid="{00000000-0005-0000-0000-00006C490000}"/>
    <cellStyle name="20% - Accent6 5 2 5 2 2" xfId="9348" xr:uid="{00000000-0005-0000-0000-00006D490000}"/>
    <cellStyle name="20% - Accent6 5 2 5 2 2 2" xfId="20649" xr:uid="{00000000-0005-0000-0000-00006E490000}"/>
    <cellStyle name="20% - Accent6 5 2 5 2 2 2 2" xfId="43251" xr:uid="{00000000-0005-0000-0000-00006F490000}"/>
    <cellStyle name="20% - Accent6 5 2 5 2 2 3" xfId="31950" xr:uid="{00000000-0005-0000-0000-000070490000}"/>
    <cellStyle name="20% - Accent6 5 2 5 2 3" xfId="14999" xr:uid="{00000000-0005-0000-0000-000071490000}"/>
    <cellStyle name="20% - Accent6 5 2 5 2 3 2" xfId="37601" xr:uid="{00000000-0005-0000-0000-000072490000}"/>
    <cellStyle name="20% - Accent6 5 2 5 2 4" xfId="26300" xr:uid="{00000000-0005-0000-0000-000073490000}"/>
    <cellStyle name="20% - Accent6 5 2 5 3" xfId="5309" xr:uid="{00000000-0005-0000-0000-000074490000}"/>
    <cellStyle name="20% - Accent6 5 2 5 3 2" xfId="10959" xr:uid="{00000000-0005-0000-0000-000075490000}"/>
    <cellStyle name="20% - Accent6 5 2 5 3 2 2" xfId="22260" xr:uid="{00000000-0005-0000-0000-000076490000}"/>
    <cellStyle name="20% - Accent6 5 2 5 3 2 2 2" xfId="44862" xr:uid="{00000000-0005-0000-0000-000077490000}"/>
    <cellStyle name="20% - Accent6 5 2 5 3 2 3" xfId="33561" xr:uid="{00000000-0005-0000-0000-000078490000}"/>
    <cellStyle name="20% - Accent6 5 2 5 3 3" xfId="16610" xr:uid="{00000000-0005-0000-0000-000079490000}"/>
    <cellStyle name="20% - Accent6 5 2 5 3 3 2" xfId="39212" xr:uid="{00000000-0005-0000-0000-00007A490000}"/>
    <cellStyle name="20% - Accent6 5 2 5 3 4" xfId="27911" xr:uid="{00000000-0005-0000-0000-00007B490000}"/>
    <cellStyle name="20% - Accent6 5 2 5 4" xfId="7592" xr:uid="{00000000-0005-0000-0000-00007C490000}"/>
    <cellStyle name="20% - Accent6 5 2 5 4 2" xfId="18893" xr:uid="{00000000-0005-0000-0000-00007D490000}"/>
    <cellStyle name="20% - Accent6 5 2 5 4 2 2" xfId="41495" xr:uid="{00000000-0005-0000-0000-00007E490000}"/>
    <cellStyle name="20% - Accent6 5 2 5 4 3" xfId="30194" xr:uid="{00000000-0005-0000-0000-00007F490000}"/>
    <cellStyle name="20% - Accent6 5 2 5 5" xfId="13243" xr:uid="{00000000-0005-0000-0000-000080490000}"/>
    <cellStyle name="20% - Accent6 5 2 5 5 2" xfId="35845" xr:uid="{00000000-0005-0000-0000-000081490000}"/>
    <cellStyle name="20% - Accent6 5 2 5 6" xfId="24544" xr:uid="{00000000-0005-0000-0000-000082490000}"/>
    <cellStyle name="20% - Accent6 5 2 6" xfId="2288" xr:uid="{00000000-0005-0000-0000-000083490000}"/>
    <cellStyle name="20% - Accent6 5 2 6 2" xfId="8124" xr:uid="{00000000-0005-0000-0000-000084490000}"/>
    <cellStyle name="20% - Accent6 5 2 6 2 2" xfId="19425" xr:uid="{00000000-0005-0000-0000-000085490000}"/>
    <cellStyle name="20% - Accent6 5 2 6 2 2 2" xfId="42027" xr:uid="{00000000-0005-0000-0000-000086490000}"/>
    <cellStyle name="20% - Accent6 5 2 6 2 3" xfId="30726" xr:uid="{00000000-0005-0000-0000-000087490000}"/>
    <cellStyle name="20% - Accent6 5 2 6 3" xfId="13775" xr:uid="{00000000-0005-0000-0000-000088490000}"/>
    <cellStyle name="20% - Accent6 5 2 6 3 2" xfId="36377" xr:uid="{00000000-0005-0000-0000-000089490000}"/>
    <cellStyle name="20% - Accent6 5 2 6 4" xfId="25076" xr:uid="{00000000-0005-0000-0000-00008A490000}"/>
    <cellStyle name="20% - Accent6 5 2 7" xfId="4075" xr:uid="{00000000-0005-0000-0000-00008B490000}"/>
    <cellStyle name="20% - Accent6 5 2 7 2" xfId="9725" xr:uid="{00000000-0005-0000-0000-00008C490000}"/>
    <cellStyle name="20% - Accent6 5 2 7 2 2" xfId="21026" xr:uid="{00000000-0005-0000-0000-00008D490000}"/>
    <cellStyle name="20% - Accent6 5 2 7 2 2 2" xfId="43628" xr:uid="{00000000-0005-0000-0000-00008E490000}"/>
    <cellStyle name="20% - Accent6 5 2 7 2 3" xfId="32327" xr:uid="{00000000-0005-0000-0000-00008F490000}"/>
    <cellStyle name="20% - Accent6 5 2 7 3" xfId="15376" xr:uid="{00000000-0005-0000-0000-000090490000}"/>
    <cellStyle name="20% - Accent6 5 2 7 3 2" xfId="37978" xr:uid="{00000000-0005-0000-0000-000091490000}"/>
    <cellStyle name="20% - Accent6 5 2 7 4" xfId="26677" xr:uid="{00000000-0005-0000-0000-000092490000}"/>
    <cellStyle name="20% - Accent6 5 2 8" xfId="6526" xr:uid="{00000000-0005-0000-0000-000093490000}"/>
    <cellStyle name="20% - Accent6 5 2 8 2" xfId="17827" xr:uid="{00000000-0005-0000-0000-000094490000}"/>
    <cellStyle name="20% - Accent6 5 2 8 2 2" xfId="40429" xr:uid="{00000000-0005-0000-0000-000095490000}"/>
    <cellStyle name="20% - Accent6 5 2 8 3" xfId="29128" xr:uid="{00000000-0005-0000-0000-000096490000}"/>
    <cellStyle name="20% - Accent6 5 2 9" xfId="12177" xr:uid="{00000000-0005-0000-0000-000097490000}"/>
    <cellStyle name="20% - Accent6 5 2 9 2" xfId="34779" xr:uid="{00000000-0005-0000-0000-000098490000}"/>
    <cellStyle name="20% - Accent6 5 3" xfId="532" xr:uid="{00000000-0005-0000-0000-000099490000}"/>
    <cellStyle name="20% - Accent6 5 3 2" xfId="1245" xr:uid="{00000000-0005-0000-0000-00009A490000}"/>
    <cellStyle name="20% - Accent6 5 3 2 2" xfId="1741" xr:uid="{00000000-0005-0000-0000-00009B490000}"/>
    <cellStyle name="20% - Accent6 5 3 2 2 2" xfId="3314" xr:uid="{00000000-0005-0000-0000-00009C490000}"/>
    <cellStyle name="20% - Accent6 5 3 2 2 2 2" xfId="6286" xr:uid="{00000000-0005-0000-0000-00009D490000}"/>
    <cellStyle name="20% - Accent6 5 3 2 2 2 2 2" xfId="11936" xr:uid="{00000000-0005-0000-0000-00009E490000}"/>
    <cellStyle name="20% - Accent6 5 3 2 2 2 2 2 2" xfId="23237" xr:uid="{00000000-0005-0000-0000-00009F490000}"/>
    <cellStyle name="20% - Accent6 5 3 2 2 2 2 2 2 2" xfId="45839" xr:uid="{00000000-0005-0000-0000-0000A0490000}"/>
    <cellStyle name="20% - Accent6 5 3 2 2 2 2 2 3" xfId="34538" xr:uid="{00000000-0005-0000-0000-0000A1490000}"/>
    <cellStyle name="20% - Accent6 5 3 2 2 2 2 3" xfId="17587" xr:uid="{00000000-0005-0000-0000-0000A2490000}"/>
    <cellStyle name="20% - Accent6 5 3 2 2 2 2 3 2" xfId="40189" xr:uid="{00000000-0005-0000-0000-0000A3490000}"/>
    <cellStyle name="20% - Accent6 5 3 2 2 2 2 4" xfId="28888" xr:uid="{00000000-0005-0000-0000-0000A4490000}"/>
    <cellStyle name="20% - Accent6 5 3 2 2 2 3" xfId="9104" xr:uid="{00000000-0005-0000-0000-0000A5490000}"/>
    <cellStyle name="20% - Accent6 5 3 2 2 2 3 2" xfId="20405" xr:uid="{00000000-0005-0000-0000-0000A6490000}"/>
    <cellStyle name="20% - Accent6 5 3 2 2 2 3 2 2" xfId="43007" xr:uid="{00000000-0005-0000-0000-0000A7490000}"/>
    <cellStyle name="20% - Accent6 5 3 2 2 2 3 3" xfId="31706" xr:uid="{00000000-0005-0000-0000-0000A8490000}"/>
    <cellStyle name="20% - Accent6 5 3 2 2 2 4" xfId="14755" xr:uid="{00000000-0005-0000-0000-0000A9490000}"/>
    <cellStyle name="20% - Accent6 5 3 2 2 2 4 2" xfId="37357" xr:uid="{00000000-0005-0000-0000-0000AA490000}"/>
    <cellStyle name="20% - Accent6 5 3 2 2 2 5" xfId="26056" xr:uid="{00000000-0005-0000-0000-0000AB490000}"/>
    <cellStyle name="20% - Accent6 5 3 2 2 3" xfId="5052" xr:uid="{00000000-0005-0000-0000-0000AC490000}"/>
    <cellStyle name="20% - Accent6 5 3 2 2 3 2" xfId="10702" xr:uid="{00000000-0005-0000-0000-0000AD490000}"/>
    <cellStyle name="20% - Accent6 5 3 2 2 3 2 2" xfId="22003" xr:uid="{00000000-0005-0000-0000-0000AE490000}"/>
    <cellStyle name="20% - Accent6 5 3 2 2 3 2 2 2" xfId="44605" xr:uid="{00000000-0005-0000-0000-0000AF490000}"/>
    <cellStyle name="20% - Accent6 5 3 2 2 3 2 3" xfId="33304" xr:uid="{00000000-0005-0000-0000-0000B0490000}"/>
    <cellStyle name="20% - Accent6 5 3 2 2 3 3" xfId="16353" xr:uid="{00000000-0005-0000-0000-0000B1490000}"/>
    <cellStyle name="20% - Accent6 5 3 2 2 3 3 2" xfId="38955" xr:uid="{00000000-0005-0000-0000-0000B2490000}"/>
    <cellStyle name="20% - Accent6 5 3 2 2 3 4" xfId="27654" xr:uid="{00000000-0005-0000-0000-0000B3490000}"/>
    <cellStyle name="20% - Accent6 5 3 2 2 4" xfId="7597" xr:uid="{00000000-0005-0000-0000-0000B4490000}"/>
    <cellStyle name="20% - Accent6 5 3 2 2 4 2" xfId="18898" xr:uid="{00000000-0005-0000-0000-0000B5490000}"/>
    <cellStyle name="20% - Accent6 5 3 2 2 4 2 2" xfId="41500" xr:uid="{00000000-0005-0000-0000-0000B6490000}"/>
    <cellStyle name="20% - Accent6 5 3 2 2 4 3" xfId="30199" xr:uid="{00000000-0005-0000-0000-0000B7490000}"/>
    <cellStyle name="20% - Accent6 5 3 2 2 5" xfId="13248" xr:uid="{00000000-0005-0000-0000-0000B8490000}"/>
    <cellStyle name="20% - Accent6 5 3 2 2 5 2" xfId="35850" xr:uid="{00000000-0005-0000-0000-0000B9490000}"/>
    <cellStyle name="20% - Accent6 5 3 2 2 6" xfId="24549" xr:uid="{00000000-0005-0000-0000-0000BA490000}"/>
    <cellStyle name="20% - Accent6 5 3 2 3" xfId="2643" xr:uid="{00000000-0005-0000-0000-0000BB490000}"/>
    <cellStyle name="20% - Accent6 5 3 2 3 2" xfId="5662" xr:uid="{00000000-0005-0000-0000-0000BC490000}"/>
    <cellStyle name="20% - Accent6 5 3 2 3 2 2" xfId="11312" xr:uid="{00000000-0005-0000-0000-0000BD490000}"/>
    <cellStyle name="20% - Accent6 5 3 2 3 2 2 2" xfId="22613" xr:uid="{00000000-0005-0000-0000-0000BE490000}"/>
    <cellStyle name="20% - Accent6 5 3 2 3 2 2 2 2" xfId="45215" xr:uid="{00000000-0005-0000-0000-0000BF490000}"/>
    <cellStyle name="20% - Accent6 5 3 2 3 2 2 3" xfId="33914" xr:uid="{00000000-0005-0000-0000-0000C0490000}"/>
    <cellStyle name="20% - Accent6 5 3 2 3 2 3" xfId="16963" xr:uid="{00000000-0005-0000-0000-0000C1490000}"/>
    <cellStyle name="20% - Accent6 5 3 2 3 2 3 2" xfId="39565" xr:uid="{00000000-0005-0000-0000-0000C2490000}"/>
    <cellStyle name="20% - Accent6 5 3 2 3 2 4" xfId="28264" xr:uid="{00000000-0005-0000-0000-0000C3490000}"/>
    <cellStyle name="20% - Accent6 5 3 2 3 3" xfId="8479" xr:uid="{00000000-0005-0000-0000-0000C4490000}"/>
    <cellStyle name="20% - Accent6 5 3 2 3 3 2" xfId="19780" xr:uid="{00000000-0005-0000-0000-0000C5490000}"/>
    <cellStyle name="20% - Accent6 5 3 2 3 3 2 2" xfId="42382" xr:uid="{00000000-0005-0000-0000-0000C6490000}"/>
    <cellStyle name="20% - Accent6 5 3 2 3 3 3" xfId="31081" xr:uid="{00000000-0005-0000-0000-0000C7490000}"/>
    <cellStyle name="20% - Accent6 5 3 2 3 4" xfId="14130" xr:uid="{00000000-0005-0000-0000-0000C8490000}"/>
    <cellStyle name="20% - Accent6 5 3 2 3 4 2" xfId="36732" xr:uid="{00000000-0005-0000-0000-0000C9490000}"/>
    <cellStyle name="20% - Accent6 5 3 2 3 5" xfId="25431" xr:uid="{00000000-0005-0000-0000-0000CA490000}"/>
    <cellStyle name="20% - Accent6 5 3 2 4" xfId="4428" xr:uid="{00000000-0005-0000-0000-0000CB490000}"/>
    <cellStyle name="20% - Accent6 5 3 2 4 2" xfId="10078" xr:uid="{00000000-0005-0000-0000-0000CC490000}"/>
    <cellStyle name="20% - Accent6 5 3 2 4 2 2" xfId="21379" xr:uid="{00000000-0005-0000-0000-0000CD490000}"/>
    <cellStyle name="20% - Accent6 5 3 2 4 2 2 2" xfId="43981" xr:uid="{00000000-0005-0000-0000-0000CE490000}"/>
    <cellStyle name="20% - Accent6 5 3 2 4 2 3" xfId="32680" xr:uid="{00000000-0005-0000-0000-0000CF490000}"/>
    <cellStyle name="20% - Accent6 5 3 2 4 3" xfId="15729" xr:uid="{00000000-0005-0000-0000-0000D0490000}"/>
    <cellStyle name="20% - Accent6 5 3 2 4 3 2" xfId="38331" xr:uid="{00000000-0005-0000-0000-0000D1490000}"/>
    <cellStyle name="20% - Accent6 5 3 2 4 4" xfId="27030" xr:uid="{00000000-0005-0000-0000-0000D2490000}"/>
    <cellStyle name="20% - Accent6 5 3 2 5" xfId="7224" xr:uid="{00000000-0005-0000-0000-0000D3490000}"/>
    <cellStyle name="20% - Accent6 5 3 2 5 2" xfId="18525" xr:uid="{00000000-0005-0000-0000-0000D4490000}"/>
    <cellStyle name="20% - Accent6 5 3 2 5 2 2" xfId="41127" xr:uid="{00000000-0005-0000-0000-0000D5490000}"/>
    <cellStyle name="20% - Accent6 5 3 2 5 3" xfId="29826" xr:uid="{00000000-0005-0000-0000-0000D6490000}"/>
    <cellStyle name="20% - Accent6 5 3 2 6" xfId="12875" xr:uid="{00000000-0005-0000-0000-0000D7490000}"/>
    <cellStyle name="20% - Accent6 5 3 2 6 2" xfId="35477" xr:uid="{00000000-0005-0000-0000-0000D8490000}"/>
    <cellStyle name="20% - Accent6 5 3 2 7" xfId="24176" xr:uid="{00000000-0005-0000-0000-0000D9490000}"/>
    <cellStyle name="20% - Accent6 5 3 3" xfId="943" xr:uid="{00000000-0005-0000-0000-0000DA490000}"/>
    <cellStyle name="20% - Accent6 5 3 3 2" xfId="3006" xr:uid="{00000000-0005-0000-0000-0000DB490000}"/>
    <cellStyle name="20% - Accent6 5 3 3 2 2" xfId="5978" xr:uid="{00000000-0005-0000-0000-0000DC490000}"/>
    <cellStyle name="20% - Accent6 5 3 3 2 2 2" xfId="11628" xr:uid="{00000000-0005-0000-0000-0000DD490000}"/>
    <cellStyle name="20% - Accent6 5 3 3 2 2 2 2" xfId="22929" xr:uid="{00000000-0005-0000-0000-0000DE490000}"/>
    <cellStyle name="20% - Accent6 5 3 3 2 2 2 2 2" xfId="45531" xr:uid="{00000000-0005-0000-0000-0000DF490000}"/>
    <cellStyle name="20% - Accent6 5 3 3 2 2 2 3" xfId="34230" xr:uid="{00000000-0005-0000-0000-0000E0490000}"/>
    <cellStyle name="20% - Accent6 5 3 3 2 2 3" xfId="17279" xr:uid="{00000000-0005-0000-0000-0000E1490000}"/>
    <cellStyle name="20% - Accent6 5 3 3 2 2 3 2" xfId="39881" xr:uid="{00000000-0005-0000-0000-0000E2490000}"/>
    <cellStyle name="20% - Accent6 5 3 3 2 2 4" xfId="28580" xr:uid="{00000000-0005-0000-0000-0000E3490000}"/>
    <cellStyle name="20% - Accent6 5 3 3 2 3" xfId="8796" xr:uid="{00000000-0005-0000-0000-0000E4490000}"/>
    <cellStyle name="20% - Accent6 5 3 3 2 3 2" xfId="20097" xr:uid="{00000000-0005-0000-0000-0000E5490000}"/>
    <cellStyle name="20% - Accent6 5 3 3 2 3 2 2" xfId="42699" xr:uid="{00000000-0005-0000-0000-0000E6490000}"/>
    <cellStyle name="20% - Accent6 5 3 3 2 3 3" xfId="31398" xr:uid="{00000000-0005-0000-0000-0000E7490000}"/>
    <cellStyle name="20% - Accent6 5 3 3 2 4" xfId="14447" xr:uid="{00000000-0005-0000-0000-0000E8490000}"/>
    <cellStyle name="20% - Accent6 5 3 3 2 4 2" xfId="37049" xr:uid="{00000000-0005-0000-0000-0000E9490000}"/>
    <cellStyle name="20% - Accent6 5 3 3 2 5" xfId="25748" xr:uid="{00000000-0005-0000-0000-0000EA490000}"/>
    <cellStyle name="20% - Accent6 5 3 3 3" xfId="4744" xr:uid="{00000000-0005-0000-0000-0000EB490000}"/>
    <cellStyle name="20% - Accent6 5 3 3 3 2" xfId="10394" xr:uid="{00000000-0005-0000-0000-0000EC490000}"/>
    <cellStyle name="20% - Accent6 5 3 3 3 2 2" xfId="21695" xr:uid="{00000000-0005-0000-0000-0000ED490000}"/>
    <cellStyle name="20% - Accent6 5 3 3 3 2 2 2" xfId="44297" xr:uid="{00000000-0005-0000-0000-0000EE490000}"/>
    <cellStyle name="20% - Accent6 5 3 3 3 2 3" xfId="32996" xr:uid="{00000000-0005-0000-0000-0000EF490000}"/>
    <cellStyle name="20% - Accent6 5 3 3 3 3" xfId="16045" xr:uid="{00000000-0005-0000-0000-0000F0490000}"/>
    <cellStyle name="20% - Accent6 5 3 3 3 3 2" xfId="38647" xr:uid="{00000000-0005-0000-0000-0000F1490000}"/>
    <cellStyle name="20% - Accent6 5 3 3 3 4" xfId="27346" xr:uid="{00000000-0005-0000-0000-0000F2490000}"/>
    <cellStyle name="20% - Accent6 5 3 3 4" xfId="6931" xr:uid="{00000000-0005-0000-0000-0000F3490000}"/>
    <cellStyle name="20% - Accent6 5 3 3 4 2" xfId="18232" xr:uid="{00000000-0005-0000-0000-0000F4490000}"/>
    <cellStyle name="20% - Accent6 5 3 3 4 2 2" xfId="40834" xr:uid="{00000000-0005-0000-0000-0000F5490000}"/>
    <cellStyle name="20% - Accent6 5 3 3 4 3" xfId="29533" xr:uid="{00000000-0005-0000-0000-0000F6490000}"/>
    <cellStyle name="20% - Accent6 5 3 3 5" xfId="12582" xr:uid="{00000000-0005-0000-0000-0000F7490000}"/>
    <cellStyle name="20% - Accent6 5 3 3 5 2" xfId="35184" xr:uid="{00000000-0005-0000-0000-0000F8490000}"/>
    <cellStyle name="20% - Accent6 5 3 3 6" xfId="23883" xr:uid="{00000000-0005-0000-0000-0000F9490000}"/>
    <cellStyle name="20% - Accent6 5 3 4" xfId="1740" xr:uid="{00000000-0005-0000-0000-0000FA490000}"/>
    <cellStyle name="20% - Accent6 5 3 4 2" xfId="3639" xr:uid="{00000000-0005-0000-0000-0000FB490000}"/>
    <cellStyle name="20% - Accent6 5 3 4 2 2" xfId="9350" xr:uid="{00000000-0005-0000-0000-0000FC490000}"/>
    <cellStyle name="20% - Accent6 5 3 4 2 2 2" xfId="20651" xr:uid="{00000000-0005-0000-0000-0000FD490000}"/>
    <cellStyle name="20% - Accent6 5 3 4 2 2 2 2" xfId="43253" xr:uid="{00000000-0005-0000-0000-0000FE490000}"/>
    <cellStyle name="20% - Accent6 5 3 4 2 2 3" xfId="31952" xr:uid="{00000000-0005-0000-0000-0000FF490000}"/>
    <cellStyle name="20% - Accent6 5 3 4 2 3" xfId="15001" xr:uid="{00000000-0005-0000-0000-0000004A0000}"/>
    <cellStyle name="20% - Accent6 5 3 4 2 3 2" xfId="37603" xr:uid="{00000000-0005-0000-0000-0000014A0000}"/>
    <cellStyle name="20% - Accent6 5 3 4 2 4" xfId="26302" xr:uid="{00000000-0005-0000-0000-0000024A0000}"/>
    <cellStyle name="20% - Accent6 5 3 4 3" xfId="5354" xr:uid="{00000000-0005-0000-0000-0000034A0000}"/>
    <cellStyle name="20% - Accent6 5 3 4 3 2" xfId="11004" xr:uid="{00000000-0005-0000-0000-0000044A0000}"/>
    <cellStyle name="20% - Accent6 5 3 4 3 2 2" xfId="22305" xr:uid="{00000000-0005-0000-0000-0000054A0000}"/>
    <cellStyle name="20% - Accent6 5 3 4 3 2 2 2" xfId="44907" xr:uid="{00000000-0005-0000-0000-0000064A0000}"/>
    <cellStyle name="20% - Accent6 5 3 4 3 2 3" xfId="33606" xr:uid="{00000000-0005-0000-0000-0000074A0000}"/>
    <cellStyle name="20% - Accent6 5 3 4 3 3" xfId="16655" xr:uid="{00000000-0005-0000-0000-0000084A0000}"/>
    <cellStyle name="20% - Accent6 5 3 4 3 3 2" xfId="39257" xr:uid="{00000000-0005-0000-0000-0000094A0000}"/>
    <cellStyle name="20% - Accent6 5 3 4 3 4" xfId="27956" xr:uid="{00000000-0005-0000-0000-00000A4A0000}"/>
    <cellStyle name="20% - Accent6 5 3 4 4" xfId="7596" xr:uid="{00000000-0005-0000-0000-00000B4A0000}"/>
    <cellStyle name="20% - Accent6 5 3 4 4 2" xfId="18897" xr:uid="{00000000-0005-0000-0000-00000C4A0000}"/>
    <cellStyle name="20% - Accent6 5 3 4 4 2 2" xfId="41499" xr:uid="{00000000-0005-0000-0000-00000D4A0000}"/>
    <cellStyle name="20% - Accent6 5 3 4 4 3" xfId="30198" xr:uid="{00000000-0005-0000-0000-00000E4A0000}"/>
    <cellStyle name="20% - Accent6 5 3 4 5" xfId="13247" xr:uid="{00000000-0005-0000-0000-00000F4A0000}"/>
    <cellStyle name="20% - Accent6 5 3 4 5 2" xfId="35849" xr:uid="{00000000-0005-0000-0000-0000104A0000}"/>
    <cellStyle name="20% - Accent6 5 3 4 6" xfId="24548" xr:uid="{00000000-0005-0000-0000-0000114A0000}"/>
    <cellStyle name="20% - Accent6 5 3 5" xfId="2335" xr:uid="{00000000-0005-0000-0000-0000124A0000}"/>
    <cellStyle name="20% - Accent6 5 3 5 2" xfId="8171" xr:uid="{00000000-0005-0000-0000-0000134A0000}"/>
    <cellStyle name="20% - Accent6 5 3 5 2 2" xfId="19472" xr:uid="{00000000-0005-0000-0000-0000144A0000}"/>
    <cellStyle name="20% - Accent6 5 3 5 2 2 2" xfId="42074" xr:uid="{00000000-0005-0000-0000-0000154A0000}"/>
    <cellStyle name="20% - Accent6 5 3 5 2 3" xfId="30773" xr:uid="{00000000-0005-0000-0000-0000164A0000}"/>
    <cellStyle name="20% - Accent6 5 3 5 3" xfId="13822" xr:uid="{00000000-0005-0000-0000-0000174A0000}"/>
    <cellStyle name="20% - Accent6 5 3 5 3 2" xfId="36424" xr:uid="{00000000-0005-0000-0000-0000184A0000}"/>
    <cellStyle name="20% - Accent6 5 3 5 4" xfId="25123" xr:uid="{00000000-0005-0000-0000-0000194A0000}"/>
    <cellStyle name="20% - Accent6 5 3 6" xfId="4120" xr:uid="{00000000-0005-0000-0000-00001A4A0000}"/>
    <cellStyle name="20% - Accent6 5 3 6 2" xfId="9770" xr:uid="{00000000-0005-0000-0000-00001B4A0000}"/>
    <cellStyle name="20% - Accent6 5 3 6 2 2" xfId="21071" xr:uid="{00000000-0005-0000-0000-00001C4A0000}"/>
    <cellStyle name="20% - Accent6 5 3 6 2 2 2" xfId="43673" xr:uid="{00000000-0005-0000-0000-00001D4A0000}"/>
    <cellStyle name="20% - Accent6 5 3 6 2 3" xfId="32372" xr:uid="{00000000-0005-0000-0000-00001E4A0000}"/>
    <cellStyle name="20% - Accent6 5 3 6 3" xfId="15421" xr:uid="{00000000-0005-0000-0000-00001F4A0000}"/>
    <cellStyle name="20% - Accent6 5 3 6 3 2" xfId="38023" xr:uid="{00000000-0005-0000-0000-0000204A0000}"/>
    <cellStyle name="20% - Accent6 5 3 6 4" xfId="26722" xr:uid="{00000000-0005-0000-0000-0000214A0000}"/>
    <cellStyle name="20% - Accent6 5 3 7" xfId="6598" xr:uid="{00000000-0005-0000-0000-0000224A0000}"/>
    <cellStyle name="20% - Accent6 5 3 7 2" xfId="17899" xr:uid="{00000000-0005-0000-0000-0000234A0000}"/>
    <cellStyle name="20% - Accent6 5 3 7 2 2" xfId="40501" xr:uid="{00000000-0005-0000-0000-0000244A0000}"/>
    <cellStyle name="20% - Accent6 5 3 7 3" xfId="29200" xr:uid="{00000000-0005-0000-0000-0000254A0000}"/>
    <cellStyle name="20% - Accent6 5 3 8" xfId="12249" xr:uid="{00000000-0005-0000-0000-0000264A0000}"/>
    <cellStyle name="20% - Accent6 5 3 8 2" xfId="34851" xr:uid="{00000000-0005-0000-0000-0000274A0000}"/>
    <cellStyle name="20% - Accent6 5 3 9" xfId="23550" xr:uid="{00000000-0005-0000-0000-0000284A0000}"/>
    <cellStyle name="20% - Accent6 5 4" xfId="1105" xr:uid="{00000000-0005-0000-0000-0000294A0000}"/>
    <cellStyle name="20% - Accent6 5 4 2" xfId="1742" xr:uid="{00000000-0005-0000-0000-00002A4A0000}"/>
    <cellStyle name="20% - Accent6 5 4 2 2" xfId="3173" xr:uid="{00000000-0005-0000-0000-00002B4A0000}"/>
    <cellStyle name="20% - Accent6 5 4 2 2 2" xfId="6145" xr:uid="{00000000-0005-0000-0000-00002C4A0000}"/>
    <cellStyle name="20% - Accent6 5 4 2 2 2 2" xfId="11795" xr:uid="{00000000-0005-0000-0000-00002D4A0000}"/>
    <cellStyle name="20% - Accent6 5 4 2 2 2 2 2" xfId="23096" xr:uid="{00000000-0005-0000-0000-00002E4A0000}"/>
    <cellStyle name="20% - Accent6 5 4 2 2 2 2 2 2" xfId="45698" xr:uid="{00000000-0005-0000-0000-00002F4A0000}"/>
    <cellStyle name="20% - Accent6 5 4 2 2 2 2 3" xfId="34397" xr:uid="{00000000-0005-0000-0000-0000304A0000}"/>
    <cellStyle name="20% - Accent6 5 4 2 2 2 3" xfId="17446" xr:uid="{00000000-0005-0000-0000-0000314A0000}"/>
    <cellStyle name="20% - Accent6 5 4 2 2 2 3 2" xfId="40048" xr:uid="{00000000-0005-0000-0000-0000324A0000}"/>
    <cellStyle name="20% - Accent6 5 4 2 2 2 4" xfId="28747" xr:uid="{00000000-0005-0000-0000-0000334A0000}"/>
    <cellStyle name="20% - Accent6 5 4 2 2 3" xfId="8963" xr:uid="{00000000-0005-0000-0000-0000344A0000}"/>
    <cellStyle name="20% - Accent6 5 4 2 2 3 2" xfId="20264" xr:uid="{00000000-0005-0000-0000-0000354A0000}"/>
    <cellStyle name="20% - Accent6 5 4 2 2 3 2 2" xfId="42866" xr:uid="{00000000-0005-0000-0000-0000364A0000}"/>
    <cellStyle name="20% - Accent6 5 4 2 2 3 3" xfId="31565" xr:uid="{00000000-0005-0000-0000-0000374A0000}"/>
    <cellStyle name="20% - Accent6 5 4 2 2 4" xfId="14614" xr:uid="{00000000-0005-0000-0000-0000384A0000}"/>
    <cellStyle name="20% - Accent6 5 4 2 2 4 2" xfId="37216" xr:uid="{00000000-0005-0000-0000-0000394A0000}"/>
    <cellStyle name="20% - Accent6 5 4 2 2 5" xfId="25915" xr:uid="{00000000-0005-0000-0000-00003A4A0000}"/>
    <cellStyle name="20% - Accent6 5 4 2 3" xfId="4911" xr:uid="{00000000-0005-0000-0000-00003B4A0000}"/>
    <cellStyle name="20% - Accent6 5 4 2 3 2" xfId="10561" xr:uid="{00000000-0005-0000-0000-00003C4A0000}"/>
    <cellStyle name="20% - Accent6 5 4 2 3 2 2" xfId="21862" xr:uid="{00000000-0005-0000-0000-00003D4A0000}"/>
    <cellStyle name="20% - Accent6 5 4 2 3 2 2 2" xfId="44464" xr:uid="{00000000-0005-0000-0000-00003E4A0000}"/>
    <cellStyle name="20% - Accent6 5 4 2 3 2 3" xfId="33163" xr:uid="{00000000-0005-0000-0000-00003F4A0000}"/>
    <cellStyle name="20% - Accent6 5 4 2 3 3" xfId="16212" xr:uid="{00000000-0005-0000-0000-0000404A0000}"/>
    <cellStyle name="20% - Accent6 5 4 2 3 3 2" xfId="38814" xr:uid="{00000000-0005-0000-0000-0000414A0000}"/>
    <cellStyle name="20% - Accent6 5 4 2 3 4" xfId="27513" xr:uid="{00000000-0005-0000-0000-0000424A0000}"/>
    <cellStyle name="20% - Accent6 5 4 2 4" xfId="7598" xr:uid="{00000000-0005-0000-0000-0000434A0000}"/>
    <cellStyle name="20% - Accent6 5 4 2 4 2" xfId="18899" xr:uid="{00000000-0005-0000-0000-0000444A0000}"/>
    <cellStyle name="20% - Accent6 5 4 2 4 2 2" xfId="41501" xr:uid="{00000000-0005-0000-0000-0000454A0000}"/>
    <cellStyle name="20% - Accent6 5 4 2 4 3" xfId="30200" xr:uid="{00000000-0005-0000-0000-0000464A0000}"/>
    <cellStyle name="20% - Accent6 5 4 2 5" xfId="13249" xr:uid="{00000000-0005-0000-0000-0000474A0000}"/>
    <cellStyle name="20% - Accent6 5 4 2 5 2" xfId="35851" xr:uid="{00000000-0005-0000-0000-0000484A0000}"/>
    <cellStyle name="20% - Accent6 5 4 2 6" xfId="24550" xr:uid="{00000000-0005-0000-0000-0000494A0000}"/>
    <cellStyle name="20% - Accent6 5 4 3" xfId="2502" xr:uid="{00000000-0005-0000-0000-00004A4A0000}"/>
    <cellStyle name="20% - Accent6 5 4 3 2" xfId="5521" xr:uid="{00000000-0005-0000-0000-00004B4A0000}"/>
    <cellStyle name="20% - Accent6 5 4 3 2 2" xfId="11171" xr:uid="{00000000-0005-0000-0000-00004C4A0000}"/>
    <cellStyle name="20% - Accent6 5 4 3 2 2 2" xfId="22472" xr:uid="{00000000-0005-0000-0000-00004D4A0000}"/>
    <cellStyle name="20% - Accent6 5 4 3 2 2 2 2" xfId="45074" xr:uid="{00000000-0005-0000-0000-00004E4A0000}"/>
    <cellStyle name="20% - Accent6 5 4 3 2 2 3" xfId="33773" xr:uid="{00000000-0005-0000-0000-00004F4A0000}"/>
    <cellStyle name="20% - Accent6 5 4 3 2 3" xfId="16822" xr:uid="{00000000-0005-0000-0000-0000504A0000}"/>
    <cellStyle name="20% - Accent6 5 4 3 2 3 2" xfId="39424" xr:uid="{00000000-0005-0000-0000-0000514A0000}"/>
    <cellStyle name="20% - Accent6 5 4 3 2 4" xfId="28123" xr:uid="{00000000-0005-0000-0000-0000524A0000}"/>
    <cellStyle name="20% - Accent6 5 4 3 3" xfId="8338" xr:uid="{00000000-0005-0000-0000-0000534A0000}"/>
    <cellStyle name="20% - Accent6 5 4 3 3 2" xfId="19639" xr:uid="{00000000-0005-0000-0000-0000544A0000}"/>
    <cellStyle name="20% - Accent6 5 4 3 3 2 2" xfId="42241" xr:uid="{00000000-0005-0000-0000-0000554A0000}"/>
    <cellStyle name="20% - Accent6 5 4 3 3 3" xfId="30940" xr:uid="{00000000-0005-0000-0000-0000564A0000}"/>
    <cellStyle name="20% - Accent6 5 4 3 4" xfId="13989" xr:uid="{00000000-0005-0000-0000-0000574A0000}"/>
    <cellStyle name="20% - Accent6 5 4 3 4 2" xfId="36591" xr:uid="{00000000-0005-0000-0000-0000584A0000}"/>
    <cellStyle name="20% - Accent6 5 4 3 5" xfId="25290" xr:uid="{00000000-0005-0000-0000-0000594A0000}"/>
    <cellStyle name="20% - Accent6 5 4 4" xfId="4287" xr:uid="{00000000-0005-0000-0000-00005A4A0000}"/>
    <cellStyle name="20% - Accent6 5 4 4 2" xfId="9937" xr:uid="{00000000-0005-0000-0000-00005B4A0000}"/>
    <cellStyle name="20% - Accent6 5 4 4 2 2" xfId="21238" xr:uid="{00000000-0005-0000-0000-00005C4A0000}"/>
    <cellStyle name="20% - Accent6 5 4 4 2 2 2" xfId="43840" xr:uid="{00000000-0005-0000-0000-00005D4A0000}"/>
    <cellStyle name="20% - Accent6 5 4 4 2 3" xfId="32539" xr:uid="{00000000-0005-0000-0000-00005E4A0000}"/>
    <cellStyle name="20% - Accent6 5 4 4 3" xfId="15588" xr:uid="{00000000-0005-0000-0000-00005F4A0000}"/>
    <cellStyle name="20% - Accent6 5 4 4 3 2" xfId="38190" xr:uid="{00000000-0005-0000-0000-0000604A0000}"/>
    <cellStyle name="20% - Accent6 5 4 4 4" xfId="26889" xr:uid="{00000000-0005-0000-0000-0000614A0000}"/>
    <cellStyle name="20% - Accent6 5 4 5" xfId="7084" xr:uid="{00000000-0005-0000-0000-0000624A0000}"/>
    <cellStyle name="20% - Accent6 5 4 5 2" xfId="18385" xr:uid="{00000000-0005-0000-0000-0000634A0000}"/>
    <cellStyle name="20% - Accent6 5 4 5 2 2" xfId="40987" xr:uid="{00000000-0005-0000-0000-0000644A0000}"/>
    <cellStyle name="20% - Accent6 5 4 5 3" xfId="29686" xr:uid="{00000000-0005-0000-0000-0000654A0000}"/>
    <cellStyle name="20% - Accent6 5 4 6" xfId="12735" xr:uid="{00000000-0005-0000-0000-0000664A0000}"/>
    <cellStyle name="20% - Accent6 5 4 6 2" xfId="35337" xr:uid="{00000000-0005-0000-0000-0000674A0000}"/>
    <cellStyle name="20% - Accent6 5 4 7" xfId="24036" xr:uid="{00000000-0005-0000-0000-0000684A0000}"/>
    <cellStyle name="20% - Accent6 5 5" xfId="785" xr:uid="{00000000-0005-0000-0000-0000694A0000}"/>
    <cellStyle name="20% - Accent6 5 5 2" xfId="2866" xr:uid="{00000000-0005-0000-0000-00006A4A0000}"/>
    <cellStyle name="20% - Accent6 5 5 2 2" xfId="5838" xr:uid="{00000000-0005-0000-0000-00006B4A0000}"/>
    <cellStyle name="20% - Accent6 5 5 2 2 2" xfId="11488" xr:uid="{00000000-0005-0000-0000-00006C4A0000}"/>
    <cellStyle name="20% - Accent6 5 5 2 2 2 2" xfId="22789" xr:uid="{00000000-0005-0000-0000-00006D4A0000}"/>
    <cellStyle name="20% - Accent6 5 5 2 2 2 2 2" xfId="45391" xr:uid="{00000000-0005-0000-0000-00006E4A0000}"/>
    <cellStyle name="20% - Accent6 5 5 2 2 2 3" xfId="34090" xr:uid="{00000000-0005-0000-0000-00006F4A0000}"/>
    <cellStyle name="20% - Accent6 5 5 2 2 3" xfId="17139" xr:uid="{00000000-0005-0000-0000-0000704A0000}"/>
    <cellStyle name="20% - Accent6 5 5 2 2 3 2" xfId="39741" xr:uid="{00000000-0005-0000-0000-0000714A0000}"/>
    <cellStyle name="20% - Accent6 5 5 2 2 4" xfId="28440" xr:uid="{00000000-0005-0000-0000-0000724A0000}"/>
    <cellStyle name="20% - Accent6 5 5 2 3" xfId="8656" xr:uid="{00000000-0005-0000-0000-0000734A0000}"/>
    <cellStyle name="20% - Accent6 5 5 2 3 2" xfId="19957" xr:uid="{00000000-0005-0000-0000-0000744A0000}"/>
    <cellStyle name="20% - Accent6 5 5 2 3 2 2" xfId="42559" xr:uid="{00000000-0005-0000-0000-0000754A0000}"/>
    <cellStyle name="20% - Accent6 5 5 2 3 3" xfId="31258" xr:uid="{00000000-0005-0000-0000-0000764A0000}"/>
    <cellStyle name="20% - Accent6 5 5 2 4" xfId="14307" xr:uid="{00000000-0005-0000-0000-0000774A0000}"/>
    <cellStyle name="20% - Accent6 5 5 2 4 2" xfId="36909" xr:uid="{00000000-0005-0000-0000-0000784A0000}"/>
    <cellStyle name="20% - Accent6 5 5 2 5" xfId="25608" xr:uid="{00000000-0005-0000-0000-0000794A0000}"/>
    <cellStyle name="20% - Accent6 5 5 3" xfId="4604" xr:uid="{00000000-0005-0000-0000-00007A4A0000}"/>
    <cellStyle name="20% - Accent6 5 5 3 2" xfId="10254" xr:uid="{00000000-0005-0000-0000-00007B4A0000}"/>
    <cellStyle name="20% - Accent6 5 5 3 2 2" xfId="21555" xr:uid="{00000000-0005-0000-0000-00007C4A0000}"/>
    <cellStyle name="20% - Accent6 5 5 3 2 2 2" xfId="44157" xr:uid="{00000000-0005-0000-0000-00007D4A0000}"/>
    <cellStyle name="20% - Accent6 5 5 3 2 3" xfId="32856" xr:uid="{00000000-0005-0000-0000-00007E4A0000}"/>
    <cellStyle name="20% - Accent6 5 5 3 3" xfId="15905" xr:uid="{00000000-0005-0000-0000-00007F4A0000}"/>
    <cellStyle name="20% - Accent6 5 5 3 3 2" xfId="38507" xr:uid="{00000000-0005-0000-0000-0000804A0000}"/>
    <cellStyle name="20% - Accent6 5 5 3 4" xfId="27206" xr:uid="{00000000-0005-0000-0000-0000814A0000}"/>
    <cellStyle name="20% - Accent6 5 5 4" xfId="6790" xr:uid="{00000000-0005-0000-0000-0000824A0000}"/>
    <cellStyle name="20% - Accent6 5 5 4 2" xfId="18091" xr:uid="{00000000-0005-0000-0000-0000834A0000}"/>
    <cellStyle name="20% - Accent6 5 5 4 2 2" xfId="40693" xr:uid="{00000000-0005-0000-0000-0000844A0000}"/>
    <cellStyle name="20% - Accent6 5 5 4 3" xfId="29392" xr:uid="{00000000-0005-0000-0000-0000854A0000}"/>
    <cellStyle name="20% - Accent6 5 5 5" xfId="12441" xr:uid="{00000000-0005-0000-0000-0000864A0000}"/>
    <cellStyle name="20% - Accent6 5 5 5 2" xfId="35043" xr:uid="{00000000-0005-0000-0000-0000874A0000}"/>
    <cellStyle name="20% - Accent6 5 5 6" xfId="23742" xr:uid="{00000000-0005-0000-0000-0000884A0000}"/>
    <cellStyle name="20% - Accent6 5 6" xfId="1735" xr:uid="{00000000-0005-0000-0000-0000894A0000}"/>
    <cellStyle name="20% - Accent6 5 6 2" xfId="3636" xr:uid="{00000000-0005-0000-0000-00008A4A0000}"/>
    <cellStyle name="20% - Accent6 5 6 2 2" xfId="9347" xr:uid="{00000000-0005-0000-0000-00008B4A0000}"/>
    <cellStyle name="20% - Accent6 5 6 2 2 2" xfId="20648" xr:uid="{00000000-0005-0000-0000-00008C4A0000}"/>
    <cellStyle name="20% - Accent6 5 6 2 2 2 2" xfId="43250" xr:uid="{00000000-0005-0000-0000-00008D4A0000}"/>
    <cellStyle name="20% - Accent6 5 6 2 2 3" xfId="31949" xr:uid="{00000000-0005-0000-0000-00008E4A0000}"/>
    <cellStyle name="20% - Accent6 5 6 2 3" xfId="14998" xr:uid="{00000000-0005-0000-0000-00008F4A0000}"/>
    <cellStyle name="20% - Accent6 5 6 2 3 2" xfId="37600" xr:uid="{00000000-0005-0000-0000-0000904A0000}"/>
    <cellStyle name="20% - Accent6 5 6 2 4" xfId="26299" xr:uid="{00000000-0005-0000-0000-0000914A0000}"/>
    <cellStyle name="20% - Accent6 5 6 3" xfId="5214" xr:uid="{00000000-0005-0000-0000-0000924A0000}"/>
    <cellStyle name="20% - Accent6 5 6 3 2" xfId="10864" xr:uid="{00000000-0005-0000-0000-0000934A0000}"/>
    <cellStyle name="20% - Accent6 5 6 3 2 2" xfId="22165" xr:uid="{00000000-0005-0000-0000-0000944A0000}"/>
    <cellStyle name="20% - Accent6 5 6 3 2 2 2" xfId="44767" xr:uid="{00000000-0005-0000-0000-0000954A0000}"/>
    <cellStyle name="20% - Accent6 5 6 3 2 3" xfId="33466" xr:uid="{00000000-0005-0000-0000-0000964A0000}"/>
    <cellStyle name="20% - Accent6 5 6 3 3" xfId="16515" xr:uid="{00000000-0005-0000-0000-0000974A0000}"/>
    <cellStyle name="20% - Accent6 5 6 3 3 2" xfId="39117" xr:uid="{00000000-0005-0000-0000-0000984A0000}"/>
    <cellStyle name="20% - Accent6 5 6 3 4" xfId="27816" xr:uid="{00000000-0005-0000-0000-0000994A0000}"/>
    <cellStyle name="20% - Accent6 5 6 4" xfId="7591" xr:uid="{00000000-0005-0000-0000-00009A4A0000}"/>
    <cellStyle name="20% - Accent6 5 6 4 2" xfId="18892" xr:uid="{00000000-0005-0000-0000-00009B4A0000}"/>
    <cellStyle name="20% - Accent6 5 6 4 2 2" xfId="41494" xr:uid="{00000000-0005-0000-0000-00009C4A0000}"/>
    <cellStyle name="20% - Accent6 5 6 4 3" xfId="30193" xr:uid="{00000000-0005-0000-0000-00009D4A0000}"/>
    <cellStyle name="20% - Accent6 5 6 5" xfId="13242" xr:uid="{00000000-0005-0000-0000-00009E4A0000}"/>
    <cellStyle name="20% - Accent6 5 6 5 2" xfId="35844" xr:uid="{00000000-0005-0000-0000-00009F4A0000}"/>
    <cellStyle name="20% - Accent6 5 6 6" xfId="24543" xr:uid="{00000000-0005-0000-0000-0000A04A0000}"/>
    <cellStyle name="20% - Accent6 5 7" xfId="2187" xr:uid="{00000000-0005-0000-0000-0000A14A0000}"/>
    <cellStyle name="20% - Accent6 5 7 2" xfId="8028" xr:uid="{00000000-0005-0000-0000-0000A24A0000}"/>
    <cellStyle name="20% - Accent6 5 7 2 2" xfId="19329" xr:uid="{00000000-0005-0000-0000-0000A34A0000}"/>
    <cellStyle name="20% - Accent6 5 7 2 2 2" xfId="41931" xr:uid="{00000000-0005-0000-0000-0000A44A0000}"/>
    <cellStyle name="20% - Accent6 5 7 2 3" xfId="30630" xr:uid="{00000000-0005-0000-0000-0000A54A0000}"/>
    <cellStyle name="20% - Accent6 5 7 3" xfId="13679" xr:uid="{00000000-0005-0000-0000-0000A64A0000}"/>
    <cellStyle name="20% - Accent6 5 7 3 2" xfId="36281" xr:uid="{00000000-0005-0000-0000-0000A74A0000}"/>
    <cellStyle name="20% - Accent6 5 7 4" xfId="24980" xr:uid="{00000000-0005-0000-0000-0000A84A0000}"/>
    <cellStyle name="20% - Accent6 5 8" xfId="3980" xr:uid="{00000000-0005-0000-0000-0000A94A0000}"/>
    <cellStyle name="20% - Accent6 5 8 2" xfId="9630" xr:uid="{00000000-0005-0000-0000-0000AA4A0000}"/>
    <cellStyle name="20% - Accent6 5 8 2 2" xfId="20931" xr:uid="{00000000-0005-0000-0000-0000AB4A0000}"/>
    <cellStyle name="20% - Accent6 5 8 2 2 2" xfId="43533" xr:uid="{00000000-0005-0000-0000-0000AC4A0000}"/>
    <cellStyle name="20% - Accent6 5 8 2 3" xfId="32232" xr:uid="{00000000-0005-0000-0000-0000AD4A0000}"/>
    <cellStyle name="20% - Accent6 5 8 3" xfId="15281" xr:uid="{00000000-0005-0000-0000-0000AE4A0000}"/>
    <cellStyle name="20% - Accent6 5 8 3 2" xfId="37883" xr:uid="{00000000-0005-0000-0000-0000AF4A0000}"/>
    <cellStyle name="20% - Accent6 5 8 4" xfId="26582" xr:uid="{00000000-0005-0000-0000-0000B04A0000}"/>
    <cellStyle name="20% - Accent6 5 9" xfId="6431" xr:uid="{00000000-0005-0000-0000-0000B14A0000}"/>
    <cellStyle name="20% - Accent6 5 9 2" xfId="17732" xr:uid="{00000000-0005-0000-0000-0000B24A0000}"/>
    <cellStyle name="20% - Accent6 5 9 2 2" xfId="40334" xr:uid="{00000000-0005-0000-0000-0000B34A0000}"/>
    <cellStyle name="20% - Accent6 5 9 3" xfId="29033" xr:uid="{00000000-0005-0000-0000-0000B44A0000}"/>
    <cellStyle name="20% - Accent6 6" xfId="233" xr:uid="{00000000-0005-0000-0000-0000B54A0000}"/>
    <cellStyle name="20% - Accent6 7" xfId="341" xr:uid="{00000000-0005-0000-0000-0000B64A0000}"/>
    <cellStyle name="20% - Accent6 7 10" xfId="23436" xr:uid="{00000000-0005-0000-0000-0000B74A0000}"/>
    <cellStyle name="20% - Accent6 7 2" xfId="586" xr:uid="{00000000-0005-0000-0000-0000B84A0000}"/>
    <cellStyle name="20% - Accent6 7 2 2" xfId="1296" xr:uid="{00000000-0005-0000-0000-0000B94A0000}"/>
    <cellStyle name="20% - Accent6 7 2 2 2" xfId="1745" xr:uid="{00000000-0005-0000-0000-0000BA4A0000}"/>
    <cellStyle name="20% - Accent6 7 2 2 2 2" xfId="3365" xr:uid="{00000000-0005-0000-0000-0000BB4A0000}"/>
    <cellStyle name="20% - Accent6 7 2 2 2 2 2" xfId="6337" xr:uid="{00000000-0005-0000-0000-0000BC4A0000}"/>
    <cellStyle name="20% - Accent6 7 2 2 2 2 2 2" xfId="11987" xr:uid="{00000000-0005-0000-0000-0000BD4A0000}"/>
    <cellStyle name="20% - Accent6 7 2 2 2 2 2 2 2" xfId="23288" xr:uid="{00000000-0005-0000-0000-0000BE4A0000}"/>
    <cellStyle name="20% - Accent6 7 2 2 2 2 2 2 2 2" xfId="45890" xr:uid="{00000000-0005-0000-0000-0000BF4A0000}"/>
    <cellStyle name="20% - Accent6 7 2 2 2 2 2 2 3" xfId="34589" xr:uid="{00000000-0005-0000-0000-0000C04A0000}"/>
    <cellStyle name="20% - Accent6 7 2 2 2 2 2 3" xfId="17638" xr:uid="{00000000-0005-0000-0000-0000C14A0000}"/>
    <cellStyle name="20% - Accent6 7 2 2 2 2 2 3 2" xfId="40240" xr:uid="{00000000-0005-0000-0000-0000C24A0000}"/>
    <cellStyle name="20% - Accent6 7 2 2 2 2 2 4" xfId="28939" xr:uid="{00000000-0005-0000-0000-0000C34A0000}"/>
    <cellStyle name="20% - Accent6 7 2 2 2 2 3" xfId="9155" xr:uid="{00000000-0005-0000-0000-0000C44A0000}"/>
    <cellStyle name="20% - Accent6 7 2 2 2 2 3 2" xfId="20456" xr:uid="{00000000-0005-0000-0000-0000C54A0000}"/>
    <cellStyle name="20% - Accent6 7 2 2 2 2 3 2 2" xfId="43058" xr:uid="{00000000-0005-0000-0000-0000C64A0000}"/>
    <cellStyle name="20% - Accent6 7 2 2 2 2 3 3" xfId="31757" xr:uid="{00000000-0005-0000-0000-0000C74A0000}"/>
    <cellStyle name="20% - Accent6 7 2 2 2 2 4" xfId="14806" xr:uid="{00000000-0005-0000-0000-0000C84A0000}"/>
    <cellStyle name="20% - Accent6 7 2 2 2 2 4 2" xfId="37408" xr:uid="{00000000-0005-0000-0000-0000C94A0000}"/>
    <cellStyle name="20% - Accent6 7 2 2 2 2 5" xfId="26107" xr:uid="{00000000-0005-0000-0000-0000CA4A0000}"/>
    <cellStyle name="20% - Accent6 7 2 2 2 3" xfId="5103" xr:uid="{00000000-0005-0000-0000-0000CB4A0000}"/>
    <cellStyle name="20% - Accent6 7 2 2 2 3 2" xfId="10753" xr:uid="{00000000-0005-0000-0000-0000CC4A0000}"/>
    <cellStyle name="20% - Accent6 7 2 2 2 3 2 2" xfId="22054" xr:uid="{00000000-0005-0000-0000-0000CD4A0000}"/>
    <cellStyle name="20% - Accent6 7 2 2 2 3 2 2 2" xfId="44656" xr:uid="{00000000-0005-0000-0000-0000CE4A0000}"/>
    <cellStyle name="20% - Accent6 7 2 2 2 3 2 3" xfId="33355" xr:uid="{00000000-0005-0000-0000-0000CF4A0000}"/>
    <cellStyle name="20% - Accent6 7 2 2 2 3 3" xfId="16404" xr:uid="{00000000-0005-0000-0000-0000D04A0000}"/>
    <cellStyle name="20% - Accent6 7 2 2 2 3 3 2" xfId="39006" xr:uid="{00000000-0005-0000-0000-0000D14A0000}"/>
    <cellStyle name="20% - Accent6 7 2 2 2 3 4" xfId="27705" xr:uid="{00000000-0005-0000-0000-0000D24A0000}"/>
    <cellStyle name="20% - Accent6 7 2 2 2 4" xfId="7601" xr:uid="{00000000-0005-0000-0000-0000D34A0000}"/>
    <cellStyle name="20% - Accent6 7 2 2 2 4 2" xfId="18902" xr:uid="{00000000-0005-0000-0000-0000D44A0000}"/>
    <cellStyle name="20% - Accent6 7 2 2 2 4 2 2" xfId="41504" xr:uid="{00000000-0005-0000-0000-0000D54A0000}"/>
    <cellStyle name="20% - Accent6 7 2 2 2 4 3" xfId="30203" xr:uid="{00000000-0005-0000-0000-0000D64A0000}"/>
    <cellStyle name="20% - Accent6 7 2 2 2 5" xfId="13252" xr:uid="{00000000-0005-0000-0000-0000D74A0000}"/>
    <cellStyle name="20% - Accent6 7 2 2 2 5 2" xfId="35854" xr:uid="{00000000-0005-0000-0000-0000D84A0000}"/>
    <cellStyle name="20% - Accent6 7 2 2 2 6" xfId="24553" xr:uid="{00000000-0005-0000-0000-0000D94A0000}"/>
    <cellStyle name="20% - Accent6 7 2 2 3" xfId="2694" xr:uid="{00000000-0005-0000-0000-0000DA4A0000}"/>
    <cellStyle name="20% - Accent6 7 2 2 3 2" xfId="5713" xr:uid="{00000000-0005-0000-0000-0000DB4A0000}"/>
    <cellStyle name="20% - Accent6 7 2 2 3 2 2" xfId="11363" xr:uid="{00000000-0005-0000-0000-0000DC4A0000}"/>
    <cellStyle name="20% - Accent6 7 2 2 3 2 2 2" xfId="22664" xr:uid="{00000000-0005-0000-0000-0000DD4A0000}"/>
    <cellStyle name="20% - Accent6 7 2 2 3 2 2 2 2" xfId="45266" xr:uid="{00000000-0005-0000-0000-0000DE4A0000}"/>
    <cellStyle name="20% - Accent6 7 2 2 3 2 2 3" xfId="33965" xr:uid="{00000000-0005-0000-0000-0000DF4A0000}"/>
    <cellStyle name="20% - Accent6 7 2 2 3 2 3" xfId="17014" xr:uid="{00000000-0005-0000-0000-0000E04A0000}"/>
    <cellStyle name="20% - Accent6 7 2 2 3 2 3 2" xfId="39616" xr:uid="{00000000-0005-0000-0000-0000E14A0000}"/>
    <cellStyle name="20% - Accent6 7 2 2 3 2 4" xfId="28315" xr:uid="{00000000-0005-0000-0000-0000E24A0000}"/>
    <cellStyle name="20% - Accent6 7 2 2 3 3" xfId="8530" xr:uid="{00000000-0005-0000-0000-0000E34A0000}"/>
    <cellStyle name="20% - Accent6 7 2 2 3 3 2" xfId="19831" xr:uid="{00000000-0005-0000-0000-0000E44A0000}"/>
    <cellStyle name="20% - Accent6 7 2 2 3 3 2 2" xfId="42433" xr:uid="{00000000-0005-0000-0000-0000E54A0000}"/>
    <cellStyle name="20% - Accent6 7 2 2 3 3 3" xfId="31132" xr:uid="{00000000-0005-0000-0000-0000E64A0000}"/>
    <cellStyle name="20% - Accent6 7 2 2 3 4" xfId="14181" xr:uid="{00000000-0005-0000-0000-0000E74A0000}"/>
    <cellStyle name="20% - Accent6 7 2 2 3 4 2" xfId="36783" xr:uid="{00000000-0005-0000-0000-0000E84A0000}"/>
    <cellStyle name="20% - Accent6 7 2 2 3 5" xfId="25482" xr:uid="{00000000-0005-0000-0000-0000E94A0000}"/>
    <cellStyle name="20% - Accent6 7 2 2 4" xfId="4479" xr:uid="{00000000-0005-0000-0000-0000EA4A0000}"/>
    <cellStyle name="20% - Accent6 7 2 2 4 2" xfId="10129" xr:uid="{00000000-0005-0000-0000-0000EB4A0000}"/>
    <cellStyle name="20% - Accent6 7 2 2 4 2 2" xfId="21430" xr:uid="{00000000-0005-0000-0000-0000EC4A0000}"/>
    <cellStyle name="20% - Accent6 7 2 2 4 2 2 2" xfId="44032" xr:uid="{00000000-0005-0000-0000-0000ED4A0000}"/>
    <cellStyle name="20% - Accent6 7 2 2 4 2 3" xfId="32731" xr:uid="{00000000-0005-0000-0000-0000EE4A0000}"/>
    <cellStyle name="20% - Accent6 7 2 2 4 3" xfId="15780" xr:uid="{00000000-0005-0000-0000-0000EF4A0000}"/>
    <cellStyle name="20% - Accent6 7 2 2 4 3 2" xfId="38382" xr:uid="{00000000-0005-0000-0000-0000F04A0000}"/>
    <cellStyle name="20% - Accent6 7 2 2 4 4" xfId="27081" xr:uid="{00000000-0005-0000-0000-0000F14A0000}"/>
    <cellStyle name="20% - Accent6 7 2 2 5" xfId="7275" xr:uid="{00000000-0005-0000-0000-0000F24A0000}"/>
    <cellStyle name="20% - Accent6 7 2 2 5 2" xfId="18576" xr:uid="{00000000-0005-0000-0000-0000F34A0000}"/>
    <cellStyle name="20% - Accent6 7 2 2 5 2 2" xfId="41178" xr:uid="{00000000-0005-0000-0000-0000F44A0000}"/>
    <cellStyle name="20% - Accent6 7 2 2 5 3" xfId="29877" xr:uid="{00000000-0005-0000-0000-0000F54A0000}"/>
    <cellStyle name="20% - Accent6 7 2 2 6" xfId="12926" xr:uid="{00000000-0005-0000-0000-0000F64A0000}"/>
    <cellStyle name="20% - Accent6 7 2 2 6 2" xfId="35528" xr:uid="{00000000-0005-0000-0000-0000F74A0000}"/>
    <cellStyle name="20% - Accent6 7 2 2 7" xfId="24227" xr:uid="{00000000-0005-0000-0000-0000F84A0000}"/>
    <cellStyle name="20% - Accent6 7 2 3" xfId="994" xr:uid="{00000000-0005-0000-0000-0000F94A0000}"/>
    <cellStyle name="20% - Accent6 7 2 3 2" xfId="3057" xr:uid="{00000000-0005-0000-0000-0000FA4A0000}"/>
    <cellStyle name="20% - Accent6 7 2 3 2 2" xfId="6029" xr:uid="{00000000-0005-0000-0000-0000FB4A0000}"/>
    <cellStyle name="20% - Accent6 7 2 3 2 2 2" xfId="11679" xr:uid="{00000000-0005-0000-0000-0000FC4A0000}"/>
    <cellStyle name="20% - Accent6 7 2 3 2 2 2 2" xfId="22980" xr:uid="{00000000-0005-0000-0000-0000FD4A0000}"/>
    <cellStyle name="20% - Accent6 7 2 3 2 2 2 2 2" xfId="45582" xr:uid="{00000000-0005-0000-0000-0000FE4A0000}"/>
    <cellStyle name="20% - Accent6 7 2 3 2 2 2 3" xfId="34281" xr:uid="{00000000-0005-0000-0000-0000FF4A0000}"/>
    <cellStyle name="20% - Accent6 7 2 3 2 2 3" xfId="17330" xr:uid="{00000000-0005-0000-0000-0000004B0000}"/>
    <cellStyle name="20% - Accent6 7 2 3 2 2 3 2" xfId="39932" xr:uid="{00000000-0005-0000-0000-0000014B0000}"/>
    <cellStyle name="20% - Accent6 7 2 3 2 2 4" xfId="28631" xr:uid="{00000000-0005-0000-0000-0000024B0000}"/>
    <cellStyle name="20% - Accent6 7 2 3 2 3" xfId="8847" xr:uid="{00000000-0005-0000-0000-0000034B0000}"/>
    <cellStyle name="20% - Accent6 7 2 3 2 3 2" xfId="20148" xr:uid="{00000000-0005-0000-0000-0000044B0000}"/>
    <cellStyle name="20% - Accent6 7 2 3 2 3 2 2" xfId="42750" xr:uid="{00000000-0005-0000-0000-0000054B0000}"/>
    <cellStyle name="20% - Accent6 7 2 3 2 3 3" xfId="31449" xr:uid="{00000000-0005-0000-0000-0000064B0000}"/>
    <cellStyle name="20% - Accent6 7 2 3 2 4" xfId="14498" xr:uid="{00000000-0005-0000-0000-0000074B0000}"/>
    <cellStyle name="20% - Accent6 7 2 3 2 4 2" xfId="37100" xr:uid="{00000000-0005-0000-0000-0000084B0000}"/>
    <cellStyle name="20% - Accent6 7 2 3 2 5" xfId="25799" xr:uid="{00000000-0005-0000-0000-0000094B0000}"/>
    <cellStyle name="20% - Accent6 7 2 3 3" xfId="4795" xr:uid="{00000000-0005-0000-0000-00000A4B0000}"/>
    <cellStyle name="20% - Accent6 7 2 3 3 2" xfId="10445" xr:uid="{00000000-0005-0000-0000-00000B4B0000}"/>
    <cellStyle name="20% - Accent6 7 2 3 3 2 2" xfId="21746" xr:uid="{00000000-0005-0000-0000-00000C4B0000}"/>
    <cellStyle name="20% - Accent6 7 2 3 3 2 2 2" xfId="44348" xr:uid="{00000000-0005-0000-0000-00000D4B0000}"/>
    <cellStyle name="20% - Accent6 7 2 3 3 2 3" xfId="33047" xr:uid="{00000000-0005-0000-0000-00000E4B0000}"/>
    <cellStyle name="20% - Accent6 7 2 3 3 3" xfId="16096" xr:uid="{00000000-0005-0000-0000-00000F4B0000}"/>
    <cellStyle name="20% - Accent6 7 2 3 3 3 2" xfId="38698" xr:uid="{00000000-0005-0000-0000-0000104B0000}"/>
    <cellStyle name="20% - Accent6 7 2 3 3 4" xfId="27397" xr:uid="{00000000-0005-0000-0000-0000114B0000}"/>
    <cellStyle name="20% - Accent6 7 2 3 4" xfId="6982" xr:uid="{00000000-0005-0000-0000-0000124B0000}"/>
    <cellStyle name="20% - Accent6 7 2 3 4 2" xfId="18283" xr:uid="{00000000-0005-0000-0000-0000134B0000}"/>
    <cellStyle name="20% - Accent6 7 2 3 4 2 2" xfId="40885" xr:uid="{00000000-0005-0000-0000-0000144B0000}"/>
    <cellStyle name="20% - Accent6 7 2 3 4 3" xfId="29584" xr:uid="{00000000-0005-0000-0000-0000154B0000}"/>
    <cellStyle name="20% - Accent6 7 2 3 5" xfId="12633" xr:uid="{00000000-0005-0000-0000-0000164B0000}"/>
    <cellStyle name="20% - Accent6 7 2 3 5 2" xfId="35235" xr:uid="{00000000-0005-0000-0000-0000174B0000}"/>
    <cellStyle name="20% - Accent6 7 2 3 6" xfId="23934" xr:uid="{00000000-0005-0000-0000-0000184B0000}"/>
    <cellStyle name="20% - Accent6 7 2 4" xfId="1744" xr:uid="{00000000-0005-0000-0000-0000194B0000}"/>
    <cellStyle name="20% - Accent6 7 2 4 2" xfId="3641" xr:uid="{00000000-0005-0000-0000-00001A4B0000}"/>
    <cellStyle name="20% - Accent6 7 2 4 2 2" xfId="9352" xr:uid="{00000000-0005-0000-0000-00001B4B0000}"/>
    <cellStyle name="20% - Accent6 7 2 4 2 2 2" xfId="20653" xr:uid="{00000000-0005-0000-0000-00001C4B0000}"/>
    <cellStyle name="20% - Accent6 7 2 4 2 2 2 2" xfId="43255" xr:uid="{00000000-0005-0000-0000-00001D4B0000}"/>
    <cellStyle name="20% - Accent6 7 2 4 2 2 3" xfId="31954" xr:uid="{00000000-0005-0000-0000-00001E4B0000}"/>
    <cellStyle name="20% - Accent6 7 2 4 2 3" xfId="15003" xr:uid="{00000000-0005-0000-0000-00001F4B0000}"/>
    <cellStyle name="20% - Accent6 7 2 4 2 3 2" xfId="37605" xr:uid="{00000000-0005-0000-0000-0000204B0000}"/>
    <cellStyle name="20% - Accent6 7 2 4 2 4" xfId="26304" xr:uid="{00000000-0005-0000-0000-0000214B0000}"/>
    <cellStyle name="20% - Accent6 7 2 4 3" xfId="5405" xr:uid="{00000000-0005-0000-0000-0000224B0000}"/>
    <cellStyle name="20% - Accent6 7 2 4 3 2" xfId="11055" xr:uid="{00000000-0005-0000-0000-0000234B0000}"/>
    <cellStyle name="20% - Accent6 7 2 4 3 2 2" xfId="22356" xr:uid="{00000000-0005-0000-0000-0000244B0000}"/>
    <cellStyle name="20% - Accent6 7 2 4 3 2 2 2" xfId="44958" xr:uid="{00000000-0005-0000-0000-0000254B0000}"/>
    <cellStyle name="20% - Accent6 7 2 4 3 2 3" xfId="33657" xr:uid="{00000000-0005-0000-0000-0000264B0000}"/>
    <cellStyle name="20% - Accent6 7 2 4 3 3" xfId="16706" xr:uid="{00000000-0005-0000-0000-0000274B0000}"/>
    <cellStyle name="20% - Accent6 7 2 4 3 3 2" xfId="39308" xr:uid="{00000000-0005-0000-0000-0000284B0000}"/>
    <cellStyle name="20% - Accent6 7 2 4 3 4" xfId="28007" xr:uid="{00000000-0005-0000-0000-0000294B0000}"/>
    <cellStyle name="20% - Accent6 7 2 4 4" xfId="7600" xr:uid="{00000000-0005-0000-0000-00002A4B0000}"/>
    <cellStyle name="20% - Accent6 7 2 4 4 2" xfId="18901" xr:uid="{00000000-0005-0000-0000-00002B4B0000}"/>
    <cellStyle name="20% - Accent6 7 2 4 4 2 2" xfId="41503" xr:uid="{00000000-0005-0000-0000-00002C4B0000}"/>
    <cellStyle name="20% - Accent6 7 2 4 4 3" xfId="30202" xr:uid="{00000000-0005-0000-0000-00002D4B0000}"/>
    <cellStyle name="20% - Accent6 7 2 4 5" xfId="13251" xr:uid="{00000000-0005-0000-0000-00002E4B0000}"/>
    <cellStyle name="20% - Accent6 7 2 4 5 2" xfId="35853" xr:uid="{00000000-0005-0000-0000-00002F4B0000}"/>
    <cellStyle name="20% - Accent6 7 2 4 6" xfId="24552" xr:uid="{00000000-0005-0000-0000-0000304B0000}"/>
    <cellStyle name="20% - Accent6 7 2 5" xfId="2386" xr:uid="{00000000-0005-0000-0000-0000314B0000}"/>
    <cellStyle name="20% - Accent6 7 2 5 2" xfId="8222" xr:uid="{00000000-0005-0000-0000-0000324B0000}"/>
    <cellStyle name="20% - Accent6 7 2 5 2 2" xfId="19523" xr:uid="{00000000-0005-0000-0000-0000334B0000}"/>
    <cellStyle name="20% - Accent6 7 2 5 2 2 2" xfId="42125" xr:uid="{00000000-0005-0000-0000-0000344B0000}"/>
    <cellStyle name="20% - Accent6 7 2 5 2 3" xfId="30824" xr:uid="{00000000-0005-0000-0000-0000354B0000}"/>
    <cellStyle name="20% - Accent6 7 2 5 3" xfId="13873" xr:uid="{00000000-0005-0000-0000-0000364B0000}"/>
    <cellStyle name="20% - Accent6 7 2 5 3 2" xfId="36475" xr:uid="{00000000-0005-0000-0000-0000374B0000}"/>
    <cellStyle name="20% - Accent6 7 2 5 4" xfId="25174" xr:uid="{00000000-0005-0000-0000-0000384B0000}"/>
    <cellStyle name="20% - Accent6 7 2 6" xfId="4171" xr:uid="{00000000-0005-0000-0000-0000394B0000}"/>
    <cellStyle name="20% - Accent6 7 2 6 2" xfId="9821" xr:uid="{00000000-0005-0000-0000-00003A4B0000}"/>
    <cellStyle name="20% - Accent6 7 2 6 2 2" xfId="21122" xr:uid="{00000000-0005-0000-0000-00003B4B0000}"/>
    <cellStyle name="20% - Accent6 7 2 6 2 2 2" xfId="43724" xr:uid="{00000000-0005-0000-0000-00003C4B0000}"/>
    <cellStyle name="20% - Accent6 7 2 6 2 3" xfId="32423" xr:uid="{00000000-0005-0000-0000-00003D4B0000}"/>
    <cellStyle name="20% - Accent6 7 2 6 3" xfId="15472" xr:uid="{00000000-0005-0000-0000-00003E4B0000}"/>
    <cellStyle name="20% - Accent6 7 2 6 3 2" xfId="38074" xr:uid="{00000000-0005-0000-0000-00003F4B0000}"/>
    <cellStyle name="20% - Accent6 7 2 6 4" xfId="26773" xr:uid="{00000000-0005-0000-0000-0000404B0000}"/>
    <cellStyle name="20% - Accent6 7 2 7" xfId="6651" xr:uid="{00000000-0005-0000-0000-0000414B0000}"/>
    <cellStyle name="20% - Accent6 7 2 7 2" xfId="17952" xr:uid="{00000000-0005-0000-0000-0000424B0000}"/>
    <cellStyle name="20% - Accent6 7 2 7 2 2" xfId="40554" xr:uid="{00000000-0005-0000-0000-0000434B0000}"/>
    <cellStyle name="20% - Accent6 7 2 7 3" xfId="29253" xr:uid="{00000000-0005-0000-0000-0000444B0000}"/>
    <cellStyle name="20% - Accent6 7 2 8" xfId="12302" xr:uid="{00000000-0005-0000-0000-0000454B0000}"/>
    <cellStyle name="20% - Accent6 7 2 8 2" xfId="34904" xr:uid="{00000000-0005-0000-0000-0000464B0000}"/>
    <cellStyle name="20% - Accent6 7 2 9" xfId="23603" xr:uid="{00000000-0005-0000-0000-0000474B0000}"/>
    <cellStyle name="20% - Accent6 7 3" xfId="1158" xr:uid="{00000000-0005-0000-0000-0000484B0000}"/>
    <cellStyle name="20% - Accent6 7 3 2" xfId="1746" xr:uid="{00000000-0005-0000-0000-0000494B0000}"/>
    <cellStyle name="20% - Accent6 7 3 2 2" xfId="3226" xr:uid="{00000000-0005-0000-0000-00004A4B0000}"/>
    <cellStyle name="20% - Accent6 7 3 2 2 2" xfId="6198" xr:uid="{00000000-0005-0000-0000-00004B4B0000}"/>
    <cellStyle name="20% - Accent6 7 3 2 2 2 2" xfId="11848" xr:uid="{00000000-0005-0000-0000-00004C4B0000}"/>
    <cellStyle name="20% - Accent6 7 3 2 2 2 2 2" xfId="23149" xr:uid="{00000000-0005-0000-0000-00004D4B0000}"/>
    <cellStyle name="20% - Accent6 7 3 2 2 2 2 2 2" xfId="45751" xr:uid="{00000000-0005-0000-0000-00004E4B0000}"/>
    <cellStyle name="20% - Accent6 7 3 2 2 2 2 3" xfId="34450" xr:uid="{00000000-0005-0000-0000-00004F4B0000}"/>
    <cellStyle name="20% - Accent6 7 3 2 2 2 3" xfId="17499" xr:uid="{00000000-0005-0000-0000-0000504B0000}"/>
    <cellStyle name="20% - Accent6 7 3 2 2 2 3 2" xfId="40101" xr:uid="{00000000-0005-0000-0000-0000514B0000}"/>
    <cellStyle name="20% - Accent6 7 3 2 2 2 4" xfId="28800" xr:uid="{00000000-0005-0000-0000-0000524B0000}"/>
    <cellStyle name="20% - Accent6 7 3 2 2 3" xfId="9016" xr:uid="{00000000-0005-0000-0000-0000534B0000}"/>
    <cellStyle name="20% - Accent6 7 3 2 2 3 2" xfId="20317" xr:uid="{00000000-0005-0000-0000-0000544B0000}"/>
    <cellStyle name="20% - Accent6 7 3 2 2 3 2 2" xfId="42919" xr:uid="{00000000-0005-0000-0000-0000554B0000}"/>
    <cellStyle name="20% - Accent6 7 3 2 2 3 3" xfId="31618" xr:uid="{00000000-0005-0000-0000-0000564B0000}"/>
    <cellStyle name="20% - Accent6 7 3 2 2 4" xfId="14667" xr:uid="{00000000-0005-0000-0000-0000574B0000}"/>
    <cellStyle name="20% - Accent6 7 3 2 2 4 2" xfId="37269" xr:uid="{00000000-0005-0000-0000-0000584B0000}"/>
    <cellStyle name="20% - Accent6 7 3 2 2 5" xfId="25968" xr:uid="{00000000-0005-0000-0000-0000594B0000}"/>
    <cellStyle name="20% - Accent6 7 3 2 3" xfId="4964" xr:uid="{00000000-0005-0000-0000-00005A4B0000}"/>
    <cellStyle name="20% - Accent6 7 3 2 3 2" xfId="10614" xr:uid="{00000000-0005-0000-0000-00005B4B0000}"/>
    <cellStyle name="20% - Accent6 7 3 2 3 2 2" xfId="21915" xr:uid="{00000000-0005-0000-0000-00005C4B0000}"/>
    <cellStyle name="20% - Accent6 7 3 2 3 2 2 2" xfId="44517" xr:uid="{00000000-0005-0000-0000-00005D4B0000}"/>
    <cellStyle name="20% - Accent6 7 3 2 3 2 3" xfId="33216" xr:uid="{00000000-0005-0000-0000-00005E4B0000}"/>
    <cellStyle name="20% - Accent6 7 3 2 3 3" xfId="16265" xr:uid="{00000000-0005-0000-0000-00005F4B0000}"/>
    <cellStyle name="20% - Accent6 7 3 2 3 3 2" xfId="38867" xr:uid="{00000000-0005-0000-0000-0000604B0000}"/>
    <cellStyle name="20% - Accent6 7 3 2 3 4" xfId="27566" xr:uid="{00000000-0005-0000-0000-0000614B0000}"/>
    <cellStyle name="20% - Accent6 7 3 2 4" xfId="7602" xr:uid="{00000000-0005-0000-0000-0000624B0000}"/>
    <cellStyle name="20% - Accent6 7 3 2 4 2" xfId="18903" xr:uid="{00000000-0005-0000-0000-0000634B0000}"/>
    <cellStyle name="20% - Accent6 7 3 2 4 2 2" xfId="41505" xr:uid="{00000000-0005-0000-0000-0000644B0000}"/>
    <cellStyle name="20% - Accent6 7 3 2 4 3" xfId="30204" xr:uid="{00000000-0005-0000-0000-0000654B0000}"/>
    <cellStyle name="20% - Accent6 7 3 2 5" xfId="13253" xr:uid="{00000000-0005-0000-0000-0000664B0000}"/>
    <cellStyle name="20% - Accent6 7 3 2 5 2" xfId="35855" xr:uid="{00000000-0005-0000-0000-0000674B0000}"/>
    <cellStyle name="20% - Accent6 7 3 2 6" xfId="24554" xr:uid="{00000000-0005-0000-0000-0000684B0000}"/>
    <cellStyle name="20% - Accent6 7 3 3" xfId="2555" xr:uid="{00000000-0005-0000-0000-0000694B0000}"/>
    <cellStyle name="20% - Accent6 7 3 3 2" xfId="5574" xr:uid="{00000000-0005-0000-0000-00006A4B0000}"/>
    <cellStyle name="20% - Accent6 7 3 3 2 2" xfId="11224" xr:uid="{00000000-0005-0000-0000-00006B4B0000}"/>
    <cellStyle name="20% - Accent6 7 3 3 2 2 2" xfId="22525" xr:uid="{00000000-0005-0000-0000-00006C4B0000}"/>
    <cellStyle name="20% - Accent6 7 3 3 2 2 2 2" xfId="45127" xr:uid="{00000000-0005-0000-0000-00006D4B0000}"/>
    <cellStyle name="20% - Accent6 7 3 3 2 2 3" xfId="33826" xr:uid="{00000000-0005-0000-0000-00006E4B0000}"/>
    <cellStyle name="20% - Accent6 7 3 3 2 3" xfId="16875" xr:uid="{00000000-0005-0000-0000-00006F4B0000}"/>
    <cellStyle name="20% - Accent6 7 3 3 2 3 2" xfId="39477" xr:uid="{00000000-0005-0000-0000-0000704B0000}"/>
    <cellStyle name="20% - Accent6 7 3 3 2 4" xfId="28176" xr:uid="{00000000-0005-0000-0000-0000714B0000}"/>
    <cellStyle name="20% - Accent6 7 3 3 3" xfId="8391" xr:uid="{00000000-0005-0000-0000-0000724B0000}"/>
    <cellStyle name="20% - Accent6 7 3 3 3 2" xfId="19692" xr:uid="{00000000-0005-0000-0000-0000734B0000}"/>
    <cellStyle name="20% - Accent6 7 3 3 3 2 2" xfId="42294" xr:uid="{00000000-0005-0000-0000-0000744B0000}"/>
    <cellStyle name="20% - Accent6 7 3 3 3 3" xfId="30993" xr:uid="{00000000-0005-0000-0000-0000754B0000}"/>
    <cellStyle name="20% - Accent6 7 3 3 4" xfId="14042" xr:uid="{00000000-0005-0000-0000-0000764B0000}"/>
    <cellStyle name="20% - Accent6 7 3 3 4 2" xfId="36644" xr:uid="{00000000-0005-0000-0000-0000774B0000}"/>
    <cellStyle name="20% - Accent6 7 3 3 5" xfId="25343" xr:uid="{00000000-0005-0000-0000-0000784B0000}"/>
    <cellStyle name="20% - Accent6 7 3 4" xfId="4340" xr:uid="{00000000-0005-0000-0000-0000794B0000}"/>
    <cellStyle name="20% - Accent6 7 3 4 2" xfId="9990" xr:uid="{00000000-0005-0000-0000-00007A4B0000}"/>
    <cellStyle name="20% - Accent6 7 3 4 2 2" xfId="21291" xr:uid="{00000000-0005-0000-0000-00007B4B0000}"/>
    <cellStyle name="20% - Accent6 7 3 4 2 2 2" xfId="43893" xr:uid="{00000000-0005-0000-0000-00007C4B0000}"/>
    <cellStyle name="20% - Accent6 7 3 4 2 3" xfId="32592" xr:uid="{00000000-0005-0000-0000-00007D4B0000}"/>
    <cellStyle name="20% - Accent6 7 3 4 3" xfId="15641" xr:uid="{00000000-0005-0000-0000-00007E4B0000}"/>
    <cellStyle name="20% - Accent6 7 3 4 3 2" xfId="38243" xr:uid="{00000000-0005-0000-0000-00007F4B0000}"/>
    <cellStyle name="20% - Accent6 7 3 4 4" xfId="26942" xr:uid="{00000000-0005-0000-0000-0000804B0000}"/>
    <cellStyle name="20% - Accent6 7 3 5" xfId="7137" xr:uid="{00000000-0005-0000-0000-0000814B0000}"/>
    <cellStyle name="20% - Accent6 7 3 5 2" xfId="18438" xr:uid="{00000000-0005-0000-0000-0000824B0000}"/>
    <cellStyle name="20% - Accent6 7 3 5 2 2" xfId="41040" xr:uid="{00000000-0005-0000-0000-0000834B0000}"/>
    <cellStyle name="20% - Accent6 7 3 5 3" xfId="29739" xr:uid="{00000000-0005-0000-0000-0000844B0000}"/>
    <cellStyle name="20% - Accent6 7 3 6" xfId="12788" xr:uid="{00000000-0005-0000-0000-0000854B0000}"/>
    <cellStyle name="20% - Accent6 7 3 6 2" xfId="35390" xr:uid="{00000000-0005-0000-0000-0000864B0000}"/>
    <cellStyle name="20% - Accent6 7 3 7" xfId="24089" xr:uid="{00000000-0005-0000-0000-0000874B0000}"/>
    <cellStyle name="20% - Accent6 7 4" xfId="849" xr:uid="{00000000-0005-0000-0000-0000884B0000}"/>
    <cellStyle name="20% - Accent6 7 4 2" xfId="2919" xr:uid="{00000000-0005-0000-0000-0000894B0000}"/>
    <cellStyle name="20% - Accent6 7 4 2 2" xfId="5891" xr:uid="{00000000-0005-0000-0000-00008A4B0000}"/>
    <cellStyle name="20% - Accent6 7 4 2 2 2" xfId="11541" xr:uid="{00000000-0005-0000-0000-00008B4B0000}"/>
    <cellStyle name="20% - Accent6 7 4 2 2 2 2" xfId="22842" xr:uid="{00000000-0005-0000-0000-00008C4B0000}"/>
    <cellStyle name="20% - Accent6 7 4 2 2 2 2 2" xfId="45444" xr:uid="{00000000-0005-0000-0000-00008D4B0000}"/>
    <cellStyle name="20% - Accent6 7 4 2 2 2 3" xfId="34143" xr:uid="{00000000-0005-0000-0000-00008E4B0000}"/>
    <cellStyle name="20% - Accent6 7 4 2 2 3" xfId="17192" xr:uid="{00000000-0005-0000-0000-00008F4B0000}"/>
    <cellStyle name="20% - Accent6 7 4 2 2 3 2" xfId="39794" xr:uid="{00000000-0005-0000-0000-0000904B0000}"/>
    <cellStyle name="20% - Accent6 7 4 2 2 4" xfId="28493" xr:uid="{00000000-0005-0000-0000-0000914B0000}"/>
    <cellStyle name="20% - Accent6 7 4 2 3" xfId="8709" xr:uid="{00000000-0005-0000-0000-0000924B0000}"/>
    <cellStyle name="20% - Accent6 7 4 2 3 2" xfId="20010" xr:uid="{00000000-0005-0000-0000-0000934B0000}"/>
    <cellStyle name="20% - Accent6 7 4 2 3 2 2" xfId="42612" xr:uid="{00000000-0005-0000-0000-0000944B0000}"/>
    <cellStyle name="20% - Accent6 7 4 2 3 3" xfId="31311" xr:uid="{00000000-0005-0000-0000-0000954B0000}"/>
    <cellStyle name="20% - Accent6 7 4 2 4" xfId="14360" xr:uid="{00000000-0005-0000-0000-0000964B0000}"/>
    <cellStyle name="20% - Accent6 7 4 2 4 2" xfId="36962" xr:uid="{00000000-0005-0000-0000-0000974B0000}"/>
    <cellStyle name="20% - Accent6 7 4 2 5" xfId="25661" xr:uid="{00000000-0005-0000-0000-0000984B0000}"/>
    <cellStyle name="20% - Accent6 7 4 3" xfId="4657" xr:uid="{00000000-0005-0000-0000-0000994B0000}"/>
    <cellStyle name="20% - Accent6 7 4 3 2" xfId="10307" xr:uid="{00000000-0005-0000-0000-00009A4B0000}"/>
    <cellStyle name="20% - Accent6 7 4 3 2 2" xfId="21608" xr:uid="{00000000-0005-0000-0000-00009B4B0000}"/>
    <cellStyle name="20% - Accent6 7 4 3 2 2 2" xfId="44210" xr:uid="{00000000-0005-0000-0000-00009C4B0000}"/>
    <cellStyle name="20% - Accent6 7 4 3 2 3" xfId="32909" xr:uid="{00000000-0005-0000-0000-00009D4B0000}"/>
    <cellStyle name="20% - Accent6 7 4 3 3" xfId="15958" xr:uid="{00000000-0005-0000-0000-00009E4B0000}"/>
    <cellStyle name="20% - Accent6 7 4 3 3 2" xfId="38560" xr:uid="{00000000-0005-0000-0000-00009F4B0000}"/>
    <cellStyle name="20% - Accent6 7 4 3 4" xfId="27259" xr:uid="{00000000-0005-0000-0000-0000A04B0000}"/>
    <cellStyle name="20% - Accent6 7 4 4" xfId="6844" xr:uid="{00000000-0005-0000-0000-0000A14B0000}"/>
    <cellStyle name="20% - Accent6 7 4 4 2" xfId="18145" xr:uid="{00000000-0005-0000-0000-0000A24B0000}"/>
    <cellStyle name="20% - Accent6 7 4 4 2 2" xfId="40747" xr:uid="{00000000-0005-0000-0000-0000A34B0000}"/>
    <cellStyle name="20% - Accent6 7 4 4 3" xfId="29446" xr:uid="{00000000-0005-0000-0000-0000A44B0000}"/>
    <cellStyle name="20% - Accent6 7 4 5" xfId="12495" xr:uid="{00000000-0005-0000-0000-0000A54B0000}"/>
    <cellStyle name="20% - Accent6 7 4 5 2" xfId="35097" xr:uid="{00000000-0005-0000-0000-0000A64B0000}"/>
    <cellStyle name="20% - Accent6 7 4 6" xfId="23796" xr:uid="{00000000-0005-0000-0000-0000A74B0000}"/>
    <cellStyle name="20% - Accent6 7 5" xfId="1743" xr:uid="{00000000-0005-0000-0000-0000A84B0000}"/>
    <cellStyle name="20% - Accent6 7 5 2" xfId="3640" xr:uid="{00000000-0005-0000-0000-0000A94B0000}"/>
    <cellStyle name="20% - Accent6 7 5 2 2" xfId="9351" xr:uid="{00000000-0005-0000-0000-0000AA4B0000}"/>
    <cellStyle name="20% - Accent6 7 5 2 2 2" xfId="20652" xr:uid="{00000000-0005-0000-0000-0000AB4B0000}"/>
    <cellStyle name="20% - Accent6 7 5 2 2 2 2" xfId="43254" xr:uid="{00000000-0005-0000-0000-0000AC4B0000}"/>
    <cellStyle name="20% - Accent6 7 5 2 2 3" xfId="31953" xr:uid="{00000000-0005-0000-0000-0000AD4B0000}"/>
    <cellStyle name="20% - Accent6 7 5 2 3" xfId="15002" xr:uid="{00000000-0005-0000-0000-0000AE4B0000}"/>
    <cellStyle name="20% - Accent6 7 5 2 3 2" xfId="37604" xr:uid="{00000000-0005-0000-0000-0000AF4B0000}"/>
    <cellStyle name="20% - Accent6 7 5 2 4" xfId="26303" xr:uid="{00000000-0005-0000-0000-0000B04B0000}"/>
    <cellStyle name="20% - Accent6 7 5 3" xfId="5267" xr:uid="{00000000-0005-0000-0000-0000B14B0000}"/>
    <cellStyle name="20% - Accent6 7 5 3 2" xfId="10917" xr:uid="{00000000-0005-0000-0000-0000B24B0000}"/>
    <cellStyle name="20% - Accent6 7 5 3 2 2" xfId="22218" xr:uid="{00000000-0005-0000-0000-0000B34B0000}"/>
    <cellStyle name="20% - Accent6 7 5 3 2 2 2" xfId="44820" xr:uid="{00000000-0005-0000-0000-0000B44B0000}"/>
    <cellStyle name="20% - Accent6 7 5 3 2 3" xfId="33519" xr:uid="{00000000-0005-0000-0000-0000B54B0000}"/>
    <cellStyle name="20% - Accent6 7 5 3 3" xfId="16568" xr:uid="{00000000-0005-0000-0000-0000B64B0000}"/>
    <cellStyle name="20% - Accent6 7 5 3 3 2" xfId="39170" xr:uid="{00000000-0005-0000-0000-0000B74B0000}"/>
    <cellStyle name="20% - Accent6 7 5 3 4" xfId="27869" xr:uid="{00000000-0005-0000-0000-0000B84B0000}"/>
    <cellStyle name="20% - Accent6 7 5 4" xfId="7599" xr:uid="{00000000-0005-0000-0000-0000B94B0000}"/>
    <cellStyle name="20% - Accent6 7 5 4 2" xfId="18900" xr:uid="{00000000-0005-0000-0000-0000BA4B0000}"/>
    <cellStyle name="20% - Accent6 7 5 4 2 2" xfId="41502" xr:uid="{00000000-0005-0000-0000-0000BB4B0000}"/>
    <cellStyle name="20% - Accent6 7 5 4 3" xfId="30201" xr:uid="{00000000-0005-0000-0000-0000BC4B0000}"/>
    <cellStyle name="20% - Accent6 7 5 5" xfId="13250" xr:uid="{00000000-0005-0000-0000-0000BD4B0000}"/>
    <cellStyle name="20% - Accent6 7 5 5 2" xfId="35852" xr:uid="{00000000-0005-0000-0000-0000BE4B0000}"/>
    <cellStyle name="20% - Accent6 7 5 6" xfId="24551" xr:uid="{00000000-0005-0000-0000-0000BF4B0000}"/>
    <cellStyle name="20% - Accent6 7 6" xfId="2246" xr:uid="{00000000-0005-0000-0000-0000C04B0000}"/>
    <cellStyle name="20% - Accent6 7 6 2" xfId="8082" xr:uid="{00000000-0005-0000-0000-0000C14B0000}"/>
    <cellStyle name="20% - Accent6 7 6 2 2" xfId="19383" xr:uid="{00000000-0005-0000-0000-0000C24B0000}"/>
    <cellStyle name="20% - Accent6 7 6 2 2 2" xfId="41985" xr:uid="{00000000-0005-0000-0000-0000C34B0000}"/>
    <cellStyle name="20% - Accent6 7 6 2 3" xfId="30684" xr:uid="{00000000-0005-0000-0000-0000C44B0000}"/>
    <cellStyle name="20% - Accent6 7 6 3" xfId="13733" xr:uid="{00000000-0005-0000-0000-0000C54B0000}"/>
    <cellStyle name="20% - Accent6 7 6 3 2" xfId="36335" xr:uid="{00000000-0005-0000-0000-0000C64B0000}"/>
    <cellStyle name="20% - Accent6 7 6 4" xfId="25034" xr:uid="{00000000-0005-0000-0000-0000C74B0000}"/>
    <cellStyle name="20% - Accent6 7 7" xfId="4033" xr:uid="{00000000-0005-0000-0000-0000C84B0000}"/>
    <cellStyle name="20% - Accent6 7 7 2" xfId="9683" xr:uid="{00000000-0005-0000-0000-0000C94B0000}"/>
    <cellStyle name="20% - Accent6 7 7 2 2" xfId="20984" xr:uid="{00000000-0005-0000-0000-0000CA4B0000}"/>
    <cellStyle name="20% - Accent6 7 7 2 2 2" xfId="43586" xr:uid="{00000000-0005-0000-0000-0000CB4B0000}"/>
    <cellStyle name="20% - Accent6 7 7 2 3" xfId="32285" xr:uid="{00000000-0005-0000-0000-0000CC4B0000}"/>
    <cellStyle name="20% - Accent6 7 7 3" xfId="15334" xr:uid="{00000000-0005-0000-0000-0000CD4B0000}"/>
    <cellStyle name="20% - Accent6 7 7 3 2" xfId="37936" xr:uid="{00000000-0005-0000-0000-0000CE4B0000}"/>
    <cellStyle name="20% - Accent6 7 7 4" xfId="26635" xr:uid="{00000000-0005-0000-0000-0000CF4B0000}"/>
    <cellStyle name="20% - Accent6 7 8" xfId="6484" xr:uid="{00000000-0005-0000-0000-0000D04B0000}"/>
    <cellStyle name="20% - Accent6 7 8 2" xfId="17785" xr:uid="{00000000-0005-0000-0000-0000D14B0000}"/>
    <cellStyle name="20% - Accent6 7 8 2 2" xfId="40387" xr:uid="{00000000-0005-0000-0000-0000D24B0000}"/>
    <cellStyle name="20% - Accent6 7 8 3" xfId="29086" xr:uid="{00000000-0005-0000-0000-0000D34B0000}"/>
    <cellStyle name="20% - Accent6 7 9" xfId="12135" xr:uid="{00000000-0005-0000-0000-0000D44B0000}"/>
    <cellStyle name="20% - Accent6 7 9 2" xfId="34737" xr:uid="{00000000-0005-0000-0000-0000D54B0000}"/>
    <cellStyle name="20% - Accent6 8" xfId="444" xr:uid="{00000000-0005-0000-0000-0000D64B0000}"/>
    <cellStyle name="20% - Accent6 8 2" xfId="1215" xr:uid="{00000000-0005-0000-0000-0000D74B0000}"/>
    <cellStyle name="20% - Accent6 8 2 2" xfId="1748" xr:uid="{00000000-0005-0000-0000-0000D84B0000}"/>
    <cellStyle name="20% - Accent6 8 2 2 2" xfId="3284" xr:uid="{00000000-0005-0000-0000-0000D94B0000}"/>
    <cellStyle name="20% - Accent6 8 2 2 2 2" xfId="6256" xr:uid="{00000000-0005-0000-0000-0000DA4B0000}"/>
    <cellStyle name="20% - Accent6 8 2 2 2 2 2" xfId="11906" xr:uid="{00000000-0005-0000-0000-0000DB4B0000}"/>
    <cellStyle name="20% - Accent6 8 2 2 2 2 2 2" xfId="23207" xr:uid="{00000000-0005-0000-0000-0000DC4B0000}"/>
    <cellStyle name="20% - Accent6 8 2 2 2 2 2 2 2" xfId="45809" xr:uid="{00000000-0005-0000-0000-0000DD4B0000}"/>
    <cellStyle name="20% - Accent6 8 2 2 2 2 2 3" xfId="34508" xr:uid="{00000000-0005-0000-0000-0000DE4B0000}"/>
    <cellStyle name="20% - Accent6 8 2 2 2 2 3" xfId="17557" xr:uid="{00000000-0005-0000-0000-0000DF4B0000}"/>
    <cellStyle name="20% - Accent6 8 2 2 2 2 3 2" xfId="40159" xr:uid="{00000000-0005-0000-0000-0000E04B0000}"/>
    <cellStyle name="20% - Accent6 8 2 2 2 2 4" xfId="28858" xr:uid="{00000000-0005-0000-0000-0000E14B0000}"/>
    <cellStyle name="20% - Accent6 8 2 2 2 3" xfId="9074" xr:uid="{00000000-0005-0000-0000-0000E24B0000}"/>
    <cellStyle name="20% - Accent6 8 2 2 2 3 2" xfId="20375" xr:uid="{00000000-0005-0000-0000-0000E34B0000}"/>
    <cellStyle name="20% - Accent6 8 2 2 2 3 2 2" xfId="42977" xr:uid="{00000000-0005-0000-0000-0000E44B0000}"/>
    <cellStyle name="20% - Accent6 8 2 2 2 3 3" xfId="31676" xr:uid="{00000000-0005-0000-0000-0000E54B0000}"/>
    <cellStyle name="20% - Accent6 8 2 2 2 4" xfId="14725" xr:uid="{00000000-0005-0000-0000-0000E64B0000}"/>
    <cellStyle name="20% - Accent6 8 2 2 2 4 2" xfId="37327" xr:uid="{00000000-0005-0000-0000-0000E74B0000}"/>
    <cellStyle name="20% - Accent6 8 2 2 2 5" xfId="26026" xr:uid="{00000000-0005-0000-0000-0000E84B0000}"/>
    <cellStyle name="20% - Accent6 8 2 2 3" xfId="5022" xr:uid="{00000000-0005-0000-0000-0000E94B0000}"/>
    <cellStyle name="20% - Accent6 8 2 2 3 2" xfId="10672" xr:uid="{00000000-0005-0000-0000-0000EA4B0000}"/>
    <cellStyle name="20% - Accent6 8 2 2 3 2 2" xfId="21973" xr:uid="{00000000-0005-0000-0000-0000EB4B0000}"/>
    <cellStyle name="20% - Accent6 8 2 2 3 2 2 2" xfId="44575" xr:uid="{00000000-0005-0000-0000-0000EC4B0000}"/>
    <cellStyle name="20% - Accent6 8 2 2 3 2 3" xfId="33274" xr:uid="{00000000-0005-0000-0000-0000ED4B0000}"/>
    <cellStyle name="20% - Accent6 8 2 2 3 3" xfId="16323" xr:uid="{00000000-0005-0000-0000-0000EE4B0000}"/>
    <cellStyle name="20% - Accent6 8 2 2 3 3 2" xfId="38925" xr:uid="{00000000-0005-0000-0000-0000EF4B0000}"/>
    <cellStyle name="20% - Accent6 8 2 2 3 4" xfId="27624" xr:uid="{00000000-0005-0000-0000-0000F04B0000}"/>
    <cellStyle name="20% - Accent6 8 2 2 4" xfId="7604" xr:uid="{00000000-0005-0000-0000-0000F14B0000}"/>
    <cellStyle name="20% - Accent6 8 2 2 4 2" xfId="18905" xr:uid="{00000000-0005-0000-0000-0000F24B0000}"/>
    <cellStyle name="20% - Accent6 8 2 2 4 2 2" xfId="41507" xr:uid="{00000000-0005-0000-0000-0000F34B0000}"/>
    <cellStyle name="20% - Accent6 8 2 2 4 3" xfId="30206" xr:uid="{00000000-0005-0000-0000-0000F44B0000}"/>
    <cellStyle name="20% - Accent6 8 2 2 5" xfId="13255" xr:uid="{00000000-0005-0000-0000-0000F54B0000}"/>
    <cellStyle name="20% - Accent6 8 2 2 5 2" xfId="35857" xr:uid="{00000000-0005-0000-0000-0000F64B0000}"/>
    <cellStyle name="20% - Accent6 8 2 2 6" xfId="24556" xr:uid="{00000000-0005-0000-0000-0000F74B0000}"/>
    <cellStyle name="20% - Accent6 8 2 3" xfId="2613" xr:uid="{00000000-0005-0000-0000-0000F84B0000}"/>
    <cellStyle name="20% - Accent6 8 2 3 2" xfId="5632" xr:uid="{00000000-0005-0000-0000-0000F94B0000}"/>
    <cellStyle name="20% - Accent6 8 2 3 2 2" xfId="11282" xr:uid="{00000000-0005-0000-0000-0000FA4B0000}"/>
    <cellStyle name="20% - Accent6 8 2 3 2 2 2" xfId="22583" xr:uid="{00000000-0005-0000-0000-0000FB4B0000}"/>
    <cellStyle name="20% - Accent6 8 2 3 2 2 2 2" xfId="45185" xr:uid="{00000000-0005-0000-0000-0000FC4B0000}"/>
    <cellStyle name="20% - Accent6 8 2 3 2 2 3" xfId="33884" xr:uid="{00000000-0005-0000-0000-0000FD4B0000}"/>
    <cellStyle name="20% - Accent6 8 2 3 2 3" xfId="16933" xr:uid="{00000000-0005-0000-0000-0000FE4B0000}"/>
    <cellStyle name="20% - Accent6 8 2 3 2 3 2" xfId="39535" xr:uid="{00000000-0005-0000-0000-0000FF4B0000}"/>
    <cellStyle name="20% - Accent6 8 2 3 2 4" xfId="28234" xr:uid="{00000000-0005-0000-0000-0000004C0000}"/>
    <cellStyle name="20% - Accent6 8 2 3 3" xfId="8449" xr:uid="{00000000-0005-0000-0000-0000014C0000}"/>
    <cellStyle name="20% - Accent6 8 2 3 3 2" xfId="19750" xr:uid="{00000000-0005-0000-0000-0000024C0000}"/>
    <cellStyle name="20% - Accent6 8 2 3 3 2 2" xfId="42352" xr:uid="{00000000-0005-0000-0000-0000034C0000}"/>
    <cellStyle name="20% - Accent6 8 2 3 3 3" xfId="31051" xr:uid="{00000000-0005-0000-0000-0000044C0000}"/>
    <cellStyle name="20% - Accent6 8 2 3 4" xfId="14100" xr:uid="{00000000-0005-0000-0000-0000054C0000}"/>
    <cellStyle name="20% - Accent6 8 2 3 4 2" xfId="36702" xr:uid="{00000000-0005-0000-0000-0000064C0000}"/>
    <cellStyle name="20% - Accent6 8 2 3 5" xfId="25401" xr:uid="{00000000-0005-0000-0000-0000074C0000}"/>
    <cellStyle name="20% - Accent6 8 2 4" xfId="4398" xr:uid="{00000000-0005-0000-0000-0000084C0000}"/>
    <cellStyle name="20% - Accent6 8 2 4 2" xfId="10048" xr:uid="{00000000-0005-0000-0000-0000094C0000}"/>
    <cellStyle name="20% - Accent6 8 2 4 2 2" xfId="21349" xr:uid="{00000000-0005-0000-0000-00000A4C0000}"/>
    <cellStyle name="20% - Accent6 8 2 4 2 2 2" xfId="43951" xr:uid="{00000000-0005-0000-0000-00000B4C0000}"/>
    <cellStyle name="20% - Accent6 8 2 4 2 3" xfId="32650" xr:uid="{00000000-0005-0000-0000-00000C4C0000}"/>
    <cellStyle name="20% - Accent6 8 2 4 3" xfId="15699" xr:uid="{00000000-0005-0000-0000-00000D4C0000}"/>
    <cellStyle name="20% - Accent6 8 2 4 3 2" xfId="38301" xr:uid="{00000000-0005-0000-0000-00000E4C0000}"/>
    <cellStyle name="20% - Accent6 8 2 4 4" xfId="27000" xr:uid="{00000000-0005-0000-0000-00000F4C0000}"/>
    <cellStyle name="20% - Accent6 8 2 5" xfId="7194" xr:uid="{00000000-0005-0000-0000-0000104C0000}"/>
    <cellStyle name="20% - Accent6 8 2 5 2" xfId="18495" xr:uid="{00000000-0005-0000-0000-0000114C0000}"/>
    <cellStyle name="20% - Accent6 8 2 5 2 2" xfId="41097" xr:uid="{00000000-0005-0000-0000-0000124C0000}"/>
    <cellStyle name="20% - Accent6 8 2 5 3" xfId="29796" xr:uid="{00000000-0005-0000-0000-0000134C0000}"/>
    <cellStyle name="20% - Accent6 8 2 6" xfId="12845" xr:uid="{00000000-0005-0000-0000-0000144C0000}"/>
    <cellStyle name="20% - Accent6 8 2 6 2" xfId="35447" xr:uid="{00000000-0005-0000-0000-0000154C0000}"/>
    <cellStyle name="20% - Accent6 8 2 7" xfId="24146" xr:uid="{00000000-0005-0000-0000-0000164C0000}"/>
    <cellStyle name="20% - Accent6 8 3" xfId="912" xr:uid="{00000000-0005-0000-0000-0000174C0000}"/>
    <cellStyle name="20% - Accent6 8 3 2" xfId="2976" xr:uid="{00000000-0005-0000-0000-0000184C0000}"/>
    <cellStyle name="20% - Accent6 8 3 2 2" xfId="5948" xr:uid="{00000000-0005-0000-0000-0000194C0000}"/>
    <cellStyle name="20% - Accent6 8 3 2 2 2" xfId="11598" xr:uid="{00000000-0005-0000-0000-00001A4C0000}"/>
    <cellStyle name="20% - Accent6 8 3 2 2 2 2" xfId="22899" xr:uid="{00000000-0005-0000-0000-00001B4C0000}"/>
    <cellStyle name="20% - Accent6 8 3 2 2 2 2 2" xfId="45501" xr:uid="{00000000-0005-0000-0000-00001C4C0000}"/>
    <cellStyle name="20% - Accent6 8 3 2 2 2 3" xfId="34200" xr:uid="{00000000-0005-0000-0000-00001D4C0000}"/>
    <cellStyle name="20% - Accent6 8 3 2 2 3" xfId="17249" xr:uid="{00000000-0005-0000-0000-00001E4C0000}"/>
    <cellStyle name="20% - Accent6 8 3 2 2 3 2" xfId="39851" xr:uid="{00000000-0005-0000-0000-00001F4C0000}"/>
    <cellStyle name="20% - Accent6 8 3 2 2 4" xfId="28550" xr:uid="{00000000-0005-0000-0000-0000204C0000}"/>
    <cellStyle name="20% - Accent6 8 3 2 3" xfId="8766" xr:uid="{00000000-0005-0000-0000-0000214C0000}"/>
    <cellStyle name="20% - Accent6 8 3 2 3 2" xfId="20067" xr:uid="{00000000-0005-0000-0000-0000224C0000}"/>
    <cellStyle name="20% - Accent6 8 3 2 3 2 2" xfId="42669" xr:uid="{00000000-0005-0000-0000-0000234C0000}"/>
    <cellStyle name="20% - Accent6 8 3 2 3 3" xfId="31368" xr:uid="{00000000-0005-0000-0000-0000244C0000}"/>
    <cellStyle name="20% - Accent6 8 3 2 4" xfId="14417" xr:uid="{00000000-0005-0000-0000-0000254C0000}"/>
    <cellStyle name="20% - Accent6 8 3 2 4 2" xfId="37019" xr:uid="{00000000-0005-0000-0000-0000264C0000}"/>
    <cellStyle name="20% - Accent6 8 3 2 5" xfId="25718" xr:uid="{00000000-0005-0000-0000-0000274C0000}"/>
    <cellStyle name="20% - Accent6 8 3 3" xfId="4714" xr:uid="{00000000-0005-0000-0000-0000284C0000}"/>
    <cellStyle name="20% - Accent6 8 3 3 2" xfId="10364" xr:uid="{00000000-0005-0000-0000-0000294C0000}"/>
    <cellStyle name="20% - Accent6 8 3 3 2 2" xfId="21665" xr:uid="{00000000-0005-0000-0000-00002A4C0000}"/>
    <cellStyle name="20% - Accent6 8 3 3 2 2 2" xfId="44267" xr:uid="{00000000-0005-0000-0000-00002B4C0000}"/>
    <cellStyle name="20% - Accent6 8 3 3 2 3" xfId="32966" xr:uid="{00000000-0005-0000-0000-00002C4C0000}"/>
    <cellStyle name="20% - Accent6 8 3 3 3" xfId="16015" xr:uid="{00000000-0005-0000-0000-00002D4C0000}"/>
    <cellStyle name="20% - Accent6 8 3 3 3 2" xfId="38617" xr:uid="{00000000-0005-0000-0000-00002E4C0000}"/>
    <cellStyle name="20% - Accent6 8 3 3 4" xfId="27316" xr:uid="{00000000-0005-0000-0000-00002F4C0000}"/>
    <cellStyle name="20% - Accent6 8 3 4" xfId="6901" xr:uid="{00000000-0005-0000-0000-0000304C0000}"/>
    <cellStyle name="20% - Accent6 8 3 4 2" xfId="18202" xr:uid="{00000000-0005-0000-0000-0000314C0000}"/>
    <cellStyle name="20% - Accent6 8 3 4 2 2" xfId="40804" xr:uid="{00000000-0005-0000-0000-0000324C0000}"/>
    <cellStyle name="20% - Accent6 8 3 4 3" xfId="29503" xr:uid="{00000000-0005-0000-0000-0000334C0000}"/>
    <cellStyle name="20% - Accent6 8 3 5" xfId="12552" xr:uid="{00000000-0005-0000-0000-0000344C0000}"/>
    <cellStyle name="20% - Accent6 8 3 5 2" xfId="35154" xr:uid="{00000000-0005-0000-0000-0000354C0000}"/>
    <cellStyle name="20% - Accent6 8 3 6" xfId="23853" xr:uid="{00000000-0005-0000-0000-0000364C0000}"/>
    <cellStyle name="20% - Accent6 8 4" xfId="1747" xr:uid="{00000000-0005-0000-0000-0000374C0000}"/>
    <cellStyle name="20% - Accent6 8 4 2" xfId="3642" xr:uid="{00000000-0005-0000-0000-0000384C0000}"/>
    <cellStyle name="20% - Accent6 8 4 2 2" xfId="9353" xr:uid="{00000000-0005-0000-0000-0000394C0000}"/>
    <cellStyle name="20% - Accent6 8 4 2 2 2" xfId="20654" xr:uid="{00000000-0005-0000-0000-00003A4C0000}"/>
    <cellStyle name="20% - Accent6 8 4 2 2 2 2" xfId="43256" xr:uid="{00000000-0005-0000-0000-00003B4C0000}"/>
    <cellStyle name="20% - Accent6 8 4 2 2 3" xfId="31955" xr:uid="{00000000-0005-0000-0000-00003C4C0000}"/>
    <cellStyle name="20% - Accent6 8 4 2 3" xfId="15004" xr:uid="{00000000-0005-0000-0000-00003D4C0000}"/>
    <cellStyle name="20% - Accent6 8 4 2 3 2" xfId="37606" xr:uid="{00000000-0005-0000-0000-00003E4C0000}"/>
    <cellStyle name="20% - Accent6 8 4 2 4" xfId="26305" xr:uid="{00000000-0005-0000-0000-00003F4C0000}"/>
    <cellStyle name="20% - Accent6 8 4 3" xfId="5324" xr:uid="{00000000-0005-0000-0000-0000404C0000}"/>
    <cellStyle name="20% - Accent6 8 4 3 2" xfId="10974" xr:uid="{00000000-0005-0000-0000-0000414C0000}"/>
    <cellStyle name="20% - Accent6 8 4 3 2 2" xfId="22275" xr:uid="{00000000-0005-0000-0000-0000424C0000}"/>
    <cellStyle name="20% - Accent6 8 4 3 2 2 2" xfId="44877" xr:uid="{00000000-0005-0000-0000-0000434C0000}"/>
    <cellStyle name="20% - Accent6 8 4 3 2 3" xfId="33576" xr:uid="{00000000-0005-0000-0000-0000444C0000}"/>
    <cellStyle name="20% - Accent6 8 4 3 3" xfId="16625" xr:uid="{00000000-0005-0000-0000-0000454C0000}"/>
    <cellStyle name="20% - Accent6 8 4 3 3 2" xfId="39227" xr:uid="{00000000-0005-0000-0000-0000464C0000}"/>
    <cellStyle name="20% - Accent6 8 4 3 4" xfId="27926" xr:uid="{00000000-0005-0000-0000-0000474C0000}"/>
    <cellStyle name="20% - Accent6 8 4 4" xfId="7603" xr:uid="{00000000-0005-0000-0000-0000484C0000}"/>
    <cellStyle name="20% - Accent6 8 4 4 2" xfId="18904" xr:uid="{00000000-0005-0000-0000-0000494C0000}"/>
    <cellStyle name="20% - Accent6 8 4 4 2 2" xfId="41506" xr:uid="{00000000-0005-0000-0000-00004A4C0000}"/>
    <cellStyle name="20% - Accent6 8 4 4 3" xfId="30205" xr:uid="{00000000-0005-0000-0000-00004B4C0000}"/>
    <cellStyle name="20% - Accent6 8 4 5" xfId="13254" xr:uid="{00000000-0005-0000-0000-00004C4C0000}"/>
    <cellStyle name="20% - Accent6 8 4 5 2" xfId="35856" xr:uid="{00000000-0005-0000-0000-00004D4C0000}"/>
    <cellStyle name="20% - Accent6 8 4 6" xfId="24555" xr:uid="{00000000-0005-0000-0000-00004E4C0000}"/>
    <cellStyle name="20% - Accent6 8 5" xfId="2305" xr:uid="{00000000-0005-0000-0000-00004F4C0000}"/>
    <cellStyle name="20% - Accent6 8 5 2" xfId="8141" xr:uid="{00000000-0005-0000-0000-0000504C0000}"/>
    <cellStyle name="20% - Accent6 8 5 2 2" xfId="19442" xr:uid="{00000000-0005-0000-0000-0000514C0000}"/>
    <cellStyle name="20% - Accent6 8 5 2 2 2" xfId="42044" xr:uid="{00000000-0005-0000-0000-0000524C0000}"/>
    <cellStyle name="20% - Accent6 8 5 2 3" xfId="30743" xr:uid="{00000000-0005-0000-0000-0000534C0000}"/>
    <cellStyle name="20% - Accent6 8 5 3" xfId="13792" xr:uid="{00000000-0005-0000-0000-0000544C0000}"/>
    <cellStyle name="20% - Accent6 8 5 3 2" xfId="36394" xr:uid="{00000000-0005-0000-0000-0000554C0000}"/>
    <cellStyle name="20% - Accent6 8 5 4" xfId="25093" xr:uid="{00000000-0005-0000-0000-0000564C0000}"/>
    <cellStyle name="20% - Accent6 8 6" xfId="4090" xr:uid="{00000000-0005-0000-0000-0000574C0000}"/>
    <cellStyle name="20% - Accent6 8 6 2" xfId="9740" xr:uid="{00000000-0005-0000-0000-0000584C0000}"/>
    <cellStyle name="20% - Accent6 8 6 2 2" xfId="21041" xr:uid="{00000000-0005-0000-0000-0000594C0000}"/>
    <cellStyle name="20% - Accent6 8 6 2 2 2" xfId="43643" xr:uid="{00000000-0005-0000-0000-00005A4C0000}"/>
    <cellStyle name="20% - Accent6 8 6 2 3" xfId="32342" xr:uid="{00000000-0005-0000-0000-00005B4C0000}"/>
    <cellStyle name="20% - Accent6 8 6 3" xfId="15391" xr:uid="{00000000-0005-0000-0000-00005C4C0000}"/>
    <cellStyle name="20% - Accent6 8 6 3 2" xfId="37993" xr:uid="{00000000-0005-0000-0000-00005D4C0000}"/>
    <cellStyle name="20% - Accent6 8 6 4" xfId="26692" xr:uid="{00000000-0005-0000-0000-00005E4C0000}"/>
    <cellStyle name="20% - Accent6 8 7" xfId="6541" xr:uid="{00000000-0005-0000-0000-00005F4C0000}"/>
    <cellStyle name="20% - Accent6 8 7 2" xfId="17842" xr:uid="{00000000-0005-0000-0000-0000604C0000}"/>
    <cellStyle name="20% - Accent6 8 7 2 2" xfId="40444" xr:uid="{00000000-0005-0000-0000-0000614C0000}"/>
    <cellStyle name="20% - Accent6 8 7 3" xfId="29143" xr:uid="{00000000-0005-0000-0000-0000624C0000}"/>
    <cellStyle name="20% - Accent6 8 8" xfId="12192" xr:uid="{00000000-0005-0000-0000-0000634C0000}"/>
    <cellStyle name="20% - Accent6 8 8 2" xfId="34794" xr:uid="{00000000-0005-0000-0000-0000644C0000}"/>
    <cellStyle name="20% - Accent6 8 9" xfId="23493" xr:uid="{00000000-0005-0000-0000-0000654C0000}"/>
    <cellStyle name="20% - Accent6 9" xfId="646" xr:uid="{00000000-0005-0000-0000-0000664C0000}"/>
    <cellStyle name="20% - Accent6 9 2" xfId="711" xr:uid="{00000000-0005-0000-0000-0000674C0000}"/>
    <cellStyle name="20% - Accent6 9 2 2" xfId="3116" xr:uid="{00000000-0005-0000-0000-0000684C0000}"/>
    <cellStyle name="20% - Accent6 9 2 2 2" xfId="6088" xr:uid="{00000000-0005-0000-0000-0000694C0000}"/>
    <cellStyle name="20% - Accent6 9 2 2 2 2" xfId="11738" xr:uid="{00000000-0005-0000-0000-00006A4C0000}"/>
    <cellStyle name="20% - Accent6 9 2 2 2 2 2" xfId="23039" xr:uid="{00000000-0005-0000-0000-00006B4C0000}"/>
    <cellStyle name="20% - Accent6 9 2 2 2 2 2 2" xfId="45641" xr:uid="{00000000-0005-0000-0000-00006C4C0000}"/>
    <cellStyle name="20% - Accent6 9 2 2 2 2 3" xfId="34340" xr:uid="{00000000-0005-0000-0000-00006D4C0000}"/>
    <cellStyle name="20% - Accent6 9 2 2 2 3" xfId="17389" xr:uid="{00000000-0005-0000-0000-00006E4C0000}"/>
    <cellStyle name="20% - Accent6 9 2 2 2 3 2" xfId="39991" xr:uid="{00000000-0005-0000-0000-00006F4C0000}"/>
    <cellStyle name="20% - Accent6 9 2 2 2 4" xfId="28690" xr:uid="{00000000-0005-0000-0000-0000704C0000}"/>
    <cellStyle name="20% - Accent6 9 2 2 3" xfId="8906" xr:uid="{00000000-0005-0000-0000-0000714C0000}"/>
    <cellStyle name="20% - Accent6 9 2 2 3 2" xfId="20207" xr:uid="{00000000-0005-0000-0000-0000724C0000}"/>
    <cellStyle name="20% - Accent6 9 2 2 3 2 2" xfId="42809" xr:uid="{00000000-0005-0000-0000-0000734C0000}"/>
    <cellStyle name="20% - Accent6 9 2 2 3 3" xfId="31508" xr:uid="{00000000-0005-0000-0000-0000744C0000}"/>
    <cellStyle name="20% - Accent6 9 2 2 4" xfId="14557" xr:uid="{00000000-0005-0000-0000-0000754C0000}"/>
    <cellStyle name="20% - Accent6 9 2 2 4 2" xfId="37159" xr:uid="{00000000-0005-0000-0000-0000764C0000}"/>
    <cellStyle name="20% - Accent6 9 2 2 5" xfId="25858" xr:uid="{00000000-0005-0000-0000-0000774C0000}"/>
    <cellStyle name="20% - Accent6 9 2 3" xfId="4854" xr:uid="{00000000-0005-0000-0000-0000784C0000}"/>
    <cellStyle name="20% - Accent6 9 2 3 2" xfId="10504" xr:uid="{00000000-0005-0000-0000-0000794C0000}"/>
    <cellStyle name="20% - Accent6 9 2 3 2 2" xfId="21805" xr:uid="{00000000-0005-0000-0000-00007A4C0000}"/>
    <cellStyle name="20% - Accent6 9 2 3 2 2 2" xfId="44407" xr:uid="{00000000-0005-0000-0000-00007B4C0000}"/>
    <cellStyle name="20% - Accent6 9 2 3 2 3" xfId="33106" xr:uid="{00000000-0005-0000-0000-00007C4C0000}"/>
    <cellStyle name="20% - Accent6 9 2 3 3" xfId="16155" xr:uid="{00000000-0005-0000-0000-00007D4C0000}"/>
    <cellStyle name="20% - Accent6 9 2 3 3 2" xfId="38757" xr:uid="{00000000-0005-0000-0000-00007E4C0000}"/>
    <cellStyle name="20% - Accent6 9 2 3 4" xfId="27456" xr:uid="{00000000-0005-0000-0000-00007F4C0000}"/>
    <cellStyle name="20% - Accent6 9 2 4" xfId="6730" xr:uid="{00000000-0005-0000-0000-0000804C0000}"/>
    <cellStyle name="20% - Accent6 9 2 4 2" xfId="18031" xr:uid="{00000000-0005-0000-0000-0000814C0000}"/>
    <cellStyle name="20% - Accent6 9 2 4 2 2" xfId="40633" xr:uid="{00000000-0005-0000-0000-0000824C0000}"/>
    <cellStyle name="20% - Accent6 9 2 4 3" xfId="29332" xr:uid="{00000000-0005-0000-0000-0000834C0000}"/>
    <cellStyle name="20% - Accent6 9 2 5" xfId="12381" xr:uid="{00000000-0005-0000-0000-0000844C0000}"/>
    <cellStyle name="20% - Accent6 9 2 5 2" xfId="34983" xr:uid="{00000000-0005-0000-0000-0000854C0000}"/>
    <cellStyle name="20% - Accent6 9 2 6" xfId="23682" xr:uid="{00000000-0005-0000-0000-0000864C0000}"/>
    <cellStyle name="20% - Accent6 9 3" xfId="1749" xr:uid="{00000000-0005-0000-0000-0000874C0000}"/>
    <cellStyle name="20% - Accent6 9 3 2" xfId="3643" xr:uid="{00000000-0005-0000-0000-0000884C0000}"/>
    <cellStyle name="20% - Accent6 9 3 2 2" xfId="9354" xr:uid="{00000000-0005-0000-0000-0000894C0000}"/>
    <cellStyle name="20% - Accent6 9 3 2 2 2" xfId="20655" xr:uid="{00000000-0005-0000-0000-00008A4C0000}"/>
    <cellStyle name="20% - Accent6 9 3 2 2 2 2" xfId="43257" xr:uid="{00000000-0005-0000-0000-00008B4C0000}"/>
    <cellStyle name="20% - Accent6 9 3 2 2 3" xfId="31956" xr:uid="{00000000-0005-0000-0000-00008C4C0000}"/>
    <cellStyle name="20% - Accent6 9 3 2 3" xfId="15005" xr:uid="{00000000-0005-0000-0000-00008D4C0000}"/>
    <cellStyle name="20% - Accent6 9 3 2 3 2" xfId="37607" xr:uid="{00000000-0005-0000-0000-00008E4C0000}"/>
    <cellStyle name="20% - Accent6 9 3 2 4" xfId="26306" xr:uid="{00000000-0005-0000-0000-00008F4C0000}"/>
    <cellStyle name="20% - Accent6 9 3 3" xfId="5464" xr:uid="{00000000-0005-0000-0000-0000904C0000}"/>
    <cellStyle name="20% - Accent6 9 3 3 2" xfId="11114" xr:uid="{00000000-0005-0000-0000-0000914C0000}"/>
    <cellStyle name="20% - Accent6 9 3 3 2 2" xfId="22415" xr:uid="{00000000-0005-0000-0000-0000924C0000}"/>
    <cellStyle name="20% - Accent6 9 3 3 2 2 2" xfId="45017" xr:uid="{00000000-0005-0000-0000-0000934C0000}"/>
    <cellStyle name="20% - Accent6 9 3 3 2 3" xfId="33716" xr:uid="{00000000-0005-0000-0000-0000944C0000}"/>
    <cellStyle name="20% - Accent6 9 3 3 3" xfId="16765" xr:uid="{00000000-0005-0000-0000-0000954C0000}"/>
    <cellStyle name="20% - Accent6 9 3 3 3 2" xfId="39367" xr:uid="{00000000-0005-0000-0000-0000964C0000}"/>
    <cellStyle name="20% - Accent6 9 3 3 4" xfId="28066" xr:uid="{00000000-0005-0000-0000-0000974C0000}"/>
    <cellStyle name="20% - Accent6 9 3 4" xfId="7605" xr:uid="{00000000-0005-0000-0000-0000984C0000}"/>
    <cellStyle name="20% - Accent6 9 3 4 2" xfId="18906" xr:uid="{00000000-0005-0000-0000-0000994C0000}"/>
    <cellStyle name="20% - Accent6 9 3 4 2 2" xfId="41508" xr:uid="{00000000-0005-0000-0000-00009A4C0000}"/>
    <cellStyle name="20% - Accent6 9 3 4 3" xfId="30207" xr:uid="{00000000-0005-0000-0000-00009B4C0000}"/>
    <cellStyle name="20% - Accent6 9 3 5" xfId="13256" xr:uid="{00000000-0005-0000-0000-00009C4C0000}"/>
    <cellStyle name="20% - Accent6 9 3 5 2" xfId="35858" xr:uid="{00000000-0005-0000-0000-00009D4C0000}"/>
    <cellStyle name="20% - Accent6 9 3 6" xfId="24557" xr:uid="{00000000-0005-0000-0000-00009E4C0000}"/>
    <cellStyle name="20% - Accent6 9 4" xfId="2445" xr:uid="{00000000-0005-0000-0000-00009F4C0000}"/>
    <cellStyle name="20% - Accent6 9 4 2" xfId="8281" xr:uid="{00000000-0005-0000-0000-0000A04C0000}"/>
    <cellStyle name="20% - Accent6 9 4 2 2" xfId="19582" xr:uid="{00000000-0005-0000-0000-0000A14C0000}"/>
    <cellStyle name="20% - Accent6 9 4 2 2 2" xfId="42184" xr:uid="{00000000-0005-0000-0000-0000A24C0000}"/>
    <cellStyle name="20% - Accent6 9 4 2 3" xfId="30883" xr:uid="{00000000-0005-0000-0000-0000A34C0000}"/>
    <cellStyle name="20% - Accent6 9 4 3" xfId="13932" xr:uid="{00000000-0005-0000-0000-0000A44C0000}"/>
    <cellStyle name="20% - Accent6 9 4 3 2" xfId="36534" xr:uid="{00000000-0005-0000-0000-0000A54C0000}"/>
    <cellStyle name="20% - Accent6 9 4 4" xfId="25233" xr:uid="{00000000-0005-0000-0000-0000A64C0000}"/>
    <cellStyle name="20% - Accent6 9 5" xfId="4230" xr:uid="{00000000-0005-0000-0000-0000A74C0000}"/>
    <cellStyle name="20% - Accent6 9 5 2" xfId="9880" xr:uid="{00000000-0005-0000-0000-0000A84C0000}"/>
    <cellStyle name="20% - Accent6 9 5 2 2" xfId="21181" xr:uid="{00000000-0005-0000-0000-0000A94C0000}"/>
    <cellStyle name="20% - Accent6 9 5 2 2 2" xfId="43783" xr:uid="{00000000-0005-0000-0000-0000AA4C0000}"/>
    <cellStyle name="20% - Accent6 9 5 2 3" xfId="32482" xr:uid="{00000000-0005-0000-0000-0000AB4C0000}"/>
    <cellStyle name="20% - Accent6 9 5 3" xfId="15531" xr:uid="{00000000-0005-0000-0000-0000AC4C0000}"/>
    <cellStyle name="20% - Accent6 9 5 3 2" xfId="38133" xr:uid="{00000000-0005-0000-0000-0000AD4C0000}"/>
    <cellStyle name="20% - Accent6 9 5 4" xfId="26832" xr:uid="{00000000-0005-0000-0000-0000AE4C0000}"/>
    <cellStyle name="20% - Accent6 9 6" xfId="6709" xr:uid="{00000000-0005-0000-0000-0000AF4C0000}"/>
    <cellStyle name="20% - Accent6 9 6 2" xfId="18010" xr:uid="{00000000-0005-0000-0000-0000B04C0000}"/>
    <cellStyle name="20% - Accent6 9 6 2 2" xfId="40612" xr:uid="{00000000-0005-0000-0000-0000B14C0000}"/>
    <cellStyle name="20% - Accent6 9 6 3" xfId="29311" xr:uid="{00000000-0005-0000-0000-0000B24C0000}"/>
    <cellStyle name="20% - Accent6 9 7" xfId="12360" xr:uid="{00000000-0005-0000-0000-0000B34C0000}"/>
    <cellStyle name="20% - Accent6 9 7 2" xfId="34962" xr:uid="{00000000-0005-0000-0000-0000B44C0000}"/>
    <cellStyle name="20% - Accent6 9 8" xfId="23661" xr:uid="{00000000-0005-0000-0000-0000B54C0000}"/>
    <cellStyle name="40% - Accent1 10" xfId="1351" xr:uid="{00000000-0005-0000-0000-0000B64C0000}"/>
    <cellStyle name="40% - Accent1 10 2" xfId="1750" xr:uid="{00000000-0005-0000-0000-0000B74C0000}"/>
    <cellStyle name="40% - Accent1 10 2 2" xfId="3413" xr:uid="{00000000-0005-0000-0000-0000B84C0000}"/>
    <cellStyle name="40% - Accent1 10 2 2 2" xfId="6385" xr:uid="{00000000-0005-0000-0000-0000B94C0000}"/>
    <cellStyle name="40% - Accent1 10 2 2 2 2" xfId="12035" xr:uid="{00000000-0005-0000-0000-0000BA4C0000}"/>
    <cellStyle name="40% - Accent1 10 2 2 2 2 2" xfId="23336" xr:uid="{00000000-0005-0000-0000-0000BB4C0000}"/>
    <cellStyle name="40% - Accent1 10 2 2 2 2 2 2" xfId="45938" xr:uid="{00000000-0005-0000-0000-0000BC4C0000}"/>
    <cellStyle name="40% - Accent1 10 2 2 2 2 3" xfId="34637" xr:uid="{00000000-0005-0000-0000-0000BD4C0000}"/>
    <cellStyle name="40% - Accent1 10 2 2 2 3" xfId="17686" xr:uid="{00000000-0005-0000-0000-0000BE4C0000}"/>
    <cellStyle name="40% - Accent1 10 2 2 2 3 2" xfId="40288" xr:uid="{00000000-0005-0000-0000-0000BF4C0000}"/>
    <cellStyle name="40% - Accent1 10 2 2 2 4" xfId="28987" xr:uid="{00000000-0005-0000-0000-0000C04C0000}"/>
    <cellStyle name="40% - Accent1 10 2 2 3" xfId="9203" xr:uid="{00000000-0005-0000-0000-0000C14C0000}"/>
    <cellStyle name="40% - Accent1 10 2 2 3 2" xfId="20504" xr:uid="{00000000-0005-0000-0000-0000C24C0000}"/>
    <cellStyle name="40% - Accent1 10 2 2 3 2 2" xfId="43106" xr:uid="{00000000-0005-0000-0000-0000C34C0000}"/>
    <cellStyle name="40% - Accent1 10 2 2 3 3" xfId="31805" xr:uid="{00000000-0005-0000-0000-0000C44C0000}"/>
    <cellStyle name="40% - Accent1 10 2 2 4" xfId="14854" xr:uid="{00000000-0005-0000-0000-0000C54C0000}"/>
    <cellStyle name="40% - Accent1 10 2 2 4 2" xfId="37456" xr:uid="{00000000-0005-0000-0000-0000C64C0000}"/>
    <cellStyle name="40% - Accent1 10 2 2 5" xfId="26155" xr:uid="{00000000-0005-0000-0000-0000C74C0000}"/>
    <cellStyle name="40% - Accent1 10 2 3" xfId="5151" xr:uid="{00000000-0005-0000-0000-0000C84C0000}"/>
    <cellStyle name="40% - Accent1 10 2 3 2" xfId="10801" xr:uid="{00000000-0005-0000-0000-0000C94C0000}"/>
    <cellStyle name="40% - Accent1 10 2 3 2 2" xfId="22102" xr:uid="{00000000-0005-0000-0000-0000CA4C0000}"/>
    <cellStyle name="40% - Accent1 10 2 3 2 2 2" xfId="44704" xr:uid="{00000000-0005-0000-0000-0000CB4C0000}"/>
    <cellStyle name="40% - Accent1 10 2 3 2 3" xfId="33403" xr:uid="{00000000-0005-0000-0000-0000CC4C0000}"/>
    <cellStyle name="40% - Accent1 10 2 3 3" xfId="16452" xr:uid="{00000000-0005-0000-0000-0000CD4C0000}"/>
    <cellStyle name="40% - Accent1 10 2 3 3 2" xfId="39054" xr:uid="{00000000-0005-0000-0000-0000CE4C0000}"/>
    <cellStyle name="40% - Accent1 10 2 3 4" xfId="27753" xr:uid="{00000000-0005-0000-0000-0000CF4C0000}"/>
    <cellStyle name="40% - Accent1 10 2 4" xfId="7606" xr:uid="{00000000-0005-0000-0000-0000D04C0000}"/>
    <cellStyle name="40% - Accent1 10 2 4 2" xfId="18907" xr:uid="{00000000-0005-0000-0000-0000D14C0000}"/>
    <cellStyle name="40% - Accent1 10 2 4 2 2" xfId="41509" xr:uid="{00000000-0005-0000-0000-0000D24C0000}"/>
    <cellStyle name="40% - Accent1 10 2 4 3" xfId="30208" xr:uid="{00000000-0005-0000-0000-0000D34C0000}"/>
    <cellStyle name="40% - Accent1 10 2 5" xfId="13257" xr:uid="{00000000-0005-0000-0000-0000D44C0000}"/>
    <cellStyle name="40% - Accent1 10 2 5 2" xfId="35859" xr:uid="{00000000-0005-0000-0000-0000D54C0000}"/>
    <cellStyle name="40% - Accent1 10 2 6" xfId="24558" xr:uid="{00000000-0005-0000-0000-0000D64C0000}"/>
    <cellStyle name="40% - Accent1 10 3" xfId="2744" xr:uid="{00000000-0005-0000-0000-0000D74C0000}"/>
    <cellStyle name="40% - Accent1 10 3 2" xfId="5761" xr:uid="{00000000-0005-0000-0000-0000D84C0000}"/>
    <cellStyle name="40% - Accent1 10 3 2 2" xfId="11411" xr:uid="{00000000-0005-0000-0000-0000D94C0000}"/>
    <cellStyle name="40% - Accent1 10 3 2 2 2" xfId="22712" xr:uid="{00000000-0005-0000-0000-0000DA4C0000}"/>
    <cellStyle name="40% - Accent1 10 3 2 2 2 2" xfId="45314" xr:uid="{00000000-0005-0000-0000-0000DB4C0000}"/>
    <cellStyle name="40% - Accent1 10 3 2 2 3" xfId="34013" xr:uid="{00000000-0005-0000-0000-0000DC4C0000}"/>
    <cellStyle name="40% - Accent1 10 3 2 3" xfId="17062" xr:uid="{00000000-0005-0000-0000-0000DD4C0000}"/>
    <cellStyle name="40% - Accent1 10 3 2 3 2" xfId="39664" xr:uid="{00000000-0005-0000-0000-0000DE4C0000}"/>
    <cellStyle name="40% - Accent1 10 3 2 4" xfId="28363" xr:uid="{00000000-0005-0000-0000-0000DF4C0000}"/>
    <cellStyle name="40% - Accent1 10 3 3" xfId="8578" xr:uid="{00000000-0005-0000-0000-0000E04C0000}"/>
    <cellStyle name="40% - Accent1 10 3 3 2" xfId="19879" xr:uid="{00000000-0005-0000-0000-0000E14C0000}"/>
    <cellStyle name="40% - Accent1 10 3 3 2 2" xfId="42481" xr:uid="{00000000-0005-0000-0000-0000E24C0000}"/>
    <cellStyle name="40% - Accent1 10 3 3 3" xfId="31180" xr:uid="{00000000-0005-0000-0000-0000E34C0000}"/>
    <cellStyle name="40% - Accent1 10 3 4" xfId="14229" xr:uid="{00000000-0005-0000-0000-0000E44C0000}"/>
    <cellStyle name="40% - Accent1 10 3 4 2" xfId="36831" xr:uid="{00000000-0005-0000-0000-0000E54C0000}"/>
    <cellStyle name="40% - Accent1 10 3 5" xfId="25530" xr:uid="{00000000-0005-0000-0000-0000E64C0000}"/>
    <cellStyle name="40% - Accent1 10 4" xfId="4527" xr:uid="{00000000-0005-0000-0000-0000E74C0000}"/>
    <cellStyle name="40% - Accent1 10 4 2" xfId="10177" xr:uid="{00000000-0005-0000-0000-0000E84C0000}"/>
    <cellStyle name="40% - Accent1 10 4 2 2" xfId="21478" xr:uid="{00000000-0005-0000-0000-0000E94C0000}"/>
    <cellStyle name="40% - Accent1 10 4 2 2 2" xfId="44080" xr:uid="{00000000-0005-0000-0000-0000EA4C0000}"/>
    <cellStyle name="40% - Accent1 10 4 2 3" xfId="32779" xr:uid="{00000000-0005-0000-0000-0000EB4C0000}"/>
    <cellStyle name="40% - Accent1 10 4 3" xfId="15828" xr:uid="{00000000-0005-0000-0000-0000EC4C0000}"/>
    <cellStyle name="40% - Accent1 10 4 3 2" xfId="38430" xr:uid="{00000000-0005-0000-0000-0000ED4C0000}"/>
    <cellStyle name="40% - Accent1 10 4 4" xfId="27129" xr:uid="{00000000-0005-0000-0000-0000EE4C0000}"/>
    <cellStyle name="40% - Accent1 10 5" xfId="7321" xr:uid="{00000000-0005-0000-0000-0000EF4C0000}"/>
    <cellStyle name="40% - Accent1 10 5 2" xfId="18622" xr:uid="{00000000-0005-0000-0000-0000F04C0000}"/>
    <cellStyle name="40% - Accent1 10 5 2 2" xfId="41224" xr:uid="{00000000-0005-0000-0000-0000F14C0000}"/>
    <cellStyle name="40% - Accent1 10 5 3" xfId="29923" xr:uid="{00000000-0005-0000-0000-0000F24C0000}"/>
    <cellStyle name="40% - Accent1 10 6" xfId="12972" xr:uid="{00000000-0005-0000-0000-0000F34C0000}"/>
    <cellStyle name="40% - Accent1 10 6 2" xfId="35574" xr:uid="{00000000-0005-0000-0000-0000F44C0000}"/>
    <cellStyle name="40% - Accent1 10 7" xfId="24273" xr:uid="{00000000-0005-0000-0000-0000F54C0000}"/>
    <cellStyle name="40% - Accent1 11" xfId="669" xr:uid="{00000000-0005-0000-0000-0000F64C0000}"/>
    <cellStyle name="40% - Accent1 11 2" xfId="1751" xr:uid="{00000000-0005-0000-0000-0000F74C0000}"/>
    <cellStyle name="40% - Accent1 11 2 2" xfId="3644" xr:uid="{00000000-0005-0000-0000-0000F84C0000}"/>
    <cellStyle name="40% - Accent1 11 2 2 2" xfId="9355" xr:uid="{00000000-0005-0000-0000-0000F94C0000}"/>
    <cellStyle name="40% - Accent1 11 2 2 2 2" xfId="20656" xr:uid="{00000000-0005-0000-0000-0000FA4C0000}"/>
    <cellStyle name="40% - Accent1 11 2 2 2 2 2" xfId="43258" xr:uid="{00000000-0005-0000-0000-0000FB4C0000}"/>
    <cellStyle name="40% - Accent1 11 2 2 2 3" xfId="31957" xr:uid="{00000000-0005-0000-0000-0000FC4C0000}"/>
    <cellStyle name="40% - Accent1 11 2 2 3" xfId="15006" xr:uid="{00000000-0005-0000-0000-0000FD4C0000}"/>
    <cellStyle name="40% - Accent1 11 2 2 3 2" xfId="37608" xr:uid="{00000000-0005-0000-0000-0000FE4C0000}"/>
    <cellStyle name="40% - Accent1 11 2 2 4" xfId="26307" xr:uid="{00000000-0005-0000-0000-0000FF4C0000}"/>
    <cellStyle name="40% - Accent1 11 2 3" xfId="7607" xr:uid="{00000000-0005-0000-0000-0000004D0000}"/>
    <cellStyle name="40% - Accent1 11 2 3 2" xfId="18908" xr:uid="{00000000-0005-0000-0000-0000014D0000}"/>
    <cellStyle name="40% - Accent1 11 2 3 2 2" xfId="41510" xr:uid="{00000000-0005-0000-0000-0000024D0000}"/>
    <cellStyle name="40% - Accent1 11 2 3 3" xfId="30209" xr:uid="{00000000-0005-0000-0000-0000034D0000}"/>
    <cellStyle name="40% - Accent1 11 2 4" xfId="13258" xr:uid="{00000000-0005-0000-0000-0000044D0000}"/>
    <cellStyle name="40% - Accent1 11 2 4 2" xfId="35860" xr:uid="{00000000-0005-0000-0000-0000054D0000}"/>
    <cellStyle name="40% - Accent1 11 2 5" xfId="24559" xr:uid="{00000000-0005-0000-0000-0000064D0000}"/>
    <cellStyle name="40% - Accent1 11 3" xfId="2116" xr:uid="{00000000-0005-0000-0000-0000074D0000}"/>
    <cellStyle name="40% - Accent1 11 3 2" xfId="7961" xr:uid="{00000000-0005-0000-0000-0000084D0000}"/>
    <cellStyle name="40% - Accent1 11 3 2 2" xfId="19262" xr:uid="{00000000-0005-0000-0000-0000094D0000}"/>
    <cellStyle name="40% - Accent1 11 3 2 2 2" xfId="41864" xr:uid="{00000000-0005-0000-0000-00000A4D0000}"/>
    <cellStyle name="40% - Accent1 11 3 2 3" xfId="30563" xr:uid="{00000000-0005-0000-0000-00000B4D0000}"/>
    <cellStyle name="40% - Accent1 11 3 3" xfId="13612" xr:uid="{00000000-0005-0000-0000-00000C4D0000}"/>
    <cellStyle name="40% - Accent1 11 3 3 2" xfId="36214" xr:uid="{00000000-0005-0000-0000-00000D4D0000}"/>
    <cellStyle name="40% - Accent1 11 3 4" xfId="24913" xr:uid="{00000000-0005-0000-0000-00000E4D0000}"/>
    <cellStyle name="40% - Accent1 11 4" xfId="3914" xr:uid="{00000000-0005-0000-0000-00000F4D0000}"/>
    <cellStyle name="40% - Accent1 11 4 2" xfId="9564" xr:uid="{00000000-0005-0000-0000-0000104D0000}"/>
    <cellStyle name="40% - Accent1 11 4 2 2" xfId="20865" xr:uid="{00000000-0005-0000-0000-0000114D0000}"/>
    <cellStyle name="40% - Accent1 11 4 2 2 2" xfId="43467" xr:uid="{00000000-0005-0000-0000-0000124D0000}"/>
    <cellStyle name="40% - Accent1 11 4 2 3" xfId="32166" xr:uid="{00000000-0005-0000-0000-0000134D0000}"/>
    <cellStyle name="40% - Accent1 11 4 3" xfId="15215" xr:uid="{00000000-0005-0000-0000-0000144D0000}"/>
    <cellStyle name="40% - Accent1 11 4 3 2" xfId="37817" xr:uid="{00000000-0005-0000-0000-0000154D0000}"/>
    <cellStyle name="40% - Accent1 11 4 4" xfId="26516" xr:uid="{00000000-0005-0000-0000-0000164D0000}"/>
    <cellStyle name="40% - Accent1 11 5" xfId="6717" xr:uid="{00000000-0005-0000-0000-0000174D0000}"/>
    <cellStyle name="40% - Accent1 11 5 2" xfId="18018" xr:uid="{00000000-0005-0000-0000-0000184D0000}"/>
    <cellStyle name="40% - Accent1 11 5 2 2" xfId="40620" xr:uid="{00000000-0005-0000-0000-0000194D0000}"/>
    <cellStyle name="40% - Accent1 11 5 3" xfId="29319" xr:uid="{00000000-0005-0000-0000-00001A4D0000}"/>
    <cellStyle name="40% - Accent1 11 6" xfId="12368" xr:uid="{00000000-0005-0000-0000-00001B4D0000}"/>
    <cellStyle name="40% - Accent1 11 6 2" xfId="34970" xr:uid="{00000000-0005-0000-0000-00001C4D0000}"/>
    <cellStyle name="40% - Accent1 11 7" xfId="23669" xr:uid="{00000000-0005-0000-0000-00001D4D0000}"/>
    <cellStyle name="40% - Accent1 12" xfId="1476" xr:uid="{00000000-0005-0000-0000-00001E4D0000}"/>
    <cellStyle name="40% - Accent1 12 2" xfId="3494" xr:uid="{00000000-0005-0000-0000-00001F4D0000}"/>
    <cellStyle name="40% - Accent1 12 2 2" xfId="9236" xr:uid="{00000000-0005-0000-0000-0000204D0000}"/>
    <cellStyle name="40% - Accent1 12 2 2 2" xfId="20537" xr:uid="{00000000-0005-0000-0000-0000214D0000}"/>
    <cellStyle name="40% - Accent1 12 2 2 2 2" xfId="43139" xr:uid="{00000000-0005-0000-0000-0000224D0000}"/>
    <cellStyle name="40% - Accent1 12 2 2 3" xfId="31838" xr:uid="{00000000-0005-0000-0000-0000234D0000}"/>
    <cellStyle name="40% - Accent1 12 2 3" xfId="14887" xr:uid="{00000000-0005-0000-0000-0000244D0000}"/>
    <cellStyle name="40% - Accent1 12 2 3 2" xfId="37489" xr:uid="{00000000-0005-0000-0000-0000254D0000}"/>
    <cellStyle name="40% - Accent1 12 2 4" xfId="26188" xr:uid="{00000000-0005-0000-0000-0000264D0000}"/>
    <cellStyle name="40% - Accent1 13" xfId="3530" xr:uid="{00000000-0005-0000-0000-0000274D0000}"/>
    <cellStyle name="40% - Accent1 14" xfId="52" xr:uid="{00000000-0005-0000-0000-0000284D0000}"/>
    <cellStyle name="40% - Accent1 2" xfId="95" xr:uid="{00000000-0005-0000-0000-0000294D0000}"/>
    <cellStyle name="40% - Accent1 2 2" xfId="315" xr:uid="{00000000-0005-0000-0000-00002A4D0000}"/>
    <cellStyle name="40% - Accent1 2 2 10" xfId="23421" xr:uid="{00000000-0005-0000-0000-00002B4D0000}"/>
    <cellStyle name="40% - Accent1 2 2 2" xfId="571" xr:uid="{00000000-0005-0000-0000-00002C4D0000}"/>
    <cellStyle name="40% - Accent1 2 2 2 2" xfId="1281" xr:uid="{00000000-0005-0000-0000-00002D4D0000}"/>
    <cellStyle name="40% - Accent1 2 2 2 2 2" xfId="1754" xr:uid="{00000000-0005-0000-0000-00002E4D0000}"/>
    <cellStyle name="40% - Accent1 2 2 2 2 2 2" xfId="3350" xr:uid="{00000000-0005-0000-0000-00002F4D0000}"/>
    <cellStyle name="40% - Accent1 2 2 2 2 2 2 2" xfId="6322" xr:uid="{00000000-0005-0000-0000-0000304D0000}"/>
    <cellStyle name="40% - Accent1 2 2 2 2 2 2 2 2" xfId="11972" xr:uid="{00000000-0005-0000-0000-0000314D0000}"/>
    <cellStyle name="40% - Accent1 2 2 2 2 2 2 2 2 2" xfId="23273" xr:uid="{00000000-0005-0000-0000-0000324D0000}"/>
    <cellStyle name="40% - Accent1 2 2 2 2 2 2 2 2 2 2" xfId="45875" xr:uid="{00000000-0005-0000-0000-0000334D0000}"/>
    <cellStyle name="40% - Accent1 2 2 2 2 2 2 2 2 3" xfId="34574" xr:uid="{00000000-0005-0000-0000-0000344D0000}"/>
    <cellStyle name="40% - Accent1 2 2 2 2 2 2 2 3" xfId="17623" xr:uid="{00000000-0005-0000-0000-0000354D0000}"/>
    <cellStyle name="40% - Accent1 2 2 2 2 2 2 2 3 2" xfId="40225" xr:uid="{00000000-0005-0000-0000-0000364D0000}"/>
    <cellStyle name="40% - Accent1 2 2 2 2 2 2 2 4" xfId="28924" xr:uid="{00000000-0005-0000-0000-0000374D0000}"/>
    <cellStyle name="40% - Accent1 2 2 2 2 2 2 3" xfId="9140" xr:uid="{00000000-0005-0000-0000-0000384D0000}"/>
    <cellStyle name="40% - Accent1 2 2 2 2 2 2 3 2" xfId="20441" xr:uid="{00000000-0005-0000-0000-0000394D0000}"/>
    <cellStyle name="40% - Accent1 2 2 2 2 2 2 3 2 2" xfId="43043" xr:uid="{00000000-0005-0000-0000-00003A4D0000}"/>
    <cellStyle name="40% - Accent1 2 2 2 2 2 2 3 3" xfId="31742" xr:uid="{00000000-0005-0000-0000-00003B4D0000}"/>
    <cellStyle name="40% - Accent1 2 2 2 2 2 2 4" xfId="14791" xr:uid="{00000000-0005-0000-0000-00003C4D0000}"/>
    <cellStyle name="40% - Accent1 2 2 2 2 2 2 4 2" xfId="37393" xr:uid="{00000000-0005-0000-0000-00003D4D0000}"/>
    <cellStyle name="40% - Accent1 2 2 2 2 2 2 5" xfId="26092" xr:uid="{00000000-0005-0000-0000-00003E4D0000}"/>
    <cellStyle name="40% - Accent1 2 2 2 2 2 3" xfId="5088" xr:uid="{00000000-0005-0000-0000-00003F4D0000}"/>
    <cellStyle name="40% - Accent1 2 2 2 2 2 3 2" xfId="10738" xr:uid="{00000000-0005-0000-0000-0000404D0000}"/>
    <cellStyle name="40% - Accent1 2 2 2 2 2 3 2 2" xfId="22039" xr:uid="{00000000-0005-0000-0000-0000414D0000}"/>
    <cellStyle name="40% - Accent1 2 2 2 2 2 3 2 2 2" xfId="44641" xr:uid="{00000000-0005-0000-0000-0000424D0000}"/>
    <cellStyle name="40% - Accent1 2 2 2 2 2 3 2 3" xfId="33340" xr:uid="{00000000-0005-0000-0000-0000434D0000}"/>
    <cellStyle name="40% - Accent1 2 2 2 2 2 3 3" xfId="16389" xr:uid="{00000000-0005-0000-0000-0000444D0000}"/>
    <cellStyle name="40% - Accent1 2 2 2 2 2 3 3 2" xfId="38991" xr:uid="{00000000-0005-0000-0000-0000454D0000}"/>
    <cellStyle name="40% - Accent1 2 2 2 2 2 3 4" xfId="27690" xr:uid="{00000000-0005-0000-0000-0000464D0000}"/>
    <cellStyle name="40% - Accent1 2 2 2 2 2 4" xfId="7610" xr:uid="{00000000-0005-0000-0000-0000474D0000}"/>
    <cellStyle name="40% - Accent1 2 2 2 2 2 4 2" xfId="18911" xr:uid="{00000000-0005-0000-0000-0000484D0000}"/>
    <cellStyle name="40% - Accent1 2 2 2 2 2 4 2 2" xfId="41513" xr:uid="{00000000-0005-0000-0000-0000494D0000}"/>
    <cellStyle name="40% - Accent1 2 2 2 2 2 4 3" xfId="30212" xr:uid="{00000000-0005-0000-0000-00004A4D0000}"/>
    <cellStyle name="40% - Accent1 2 2 2 2 2 5" xfId="13261" xr:uid="{00000000-0005-0000-0000-00004B4D0000}"/>
    <cellStyle name="40% - Accent1 2 2 2 2 2 5 2" xfId="35863" xr:uid="{00000000-0005-0000-0000-00004C4D0000}"/>
    <cellStyle name="40% - Accent1 2 2 2 2 2 6" xfId="24562" xr:uid="{00000000-0005-0000-0000-00004D4D0000}"/>
    <cellStyle name="40% - Accent1 2 2 2 2 3" xfId="2679" xr:uid="{00000000-0005-0000-0000-00004E4D0000}"/>
    <cellStyle name="40% - Accent1 2 2 2 2 3 2" xfId="5698" xr:uid="{00000000-0005-0000-0000-00004F4D0000}"/>
    <cellStyle name="40% - Accent1 2 2 2 2 3 2 2" xfId="11348" xr:uid="{00000000-0005-0000-0000-0000504D0000}"/>
    <cellStyle name="40% - Accent1 2 2 2 2 3 2 2 2" xfId="22649" xr:uid="{00000000-0005-0000-0000-0000514D0000}"/>
    <cellStyle name="40% - Accent1 2 2 2 2 3 2 2 2 2" xfId="45251" xr:uid="{00000000-0005-0000-0000-0000524D0000}"/>
    <cellStyle name="40% - Accent1 2 2 2 2 3 2 2 3" xfId="33950" xr:uid="{00000000-0005-0000-0000-0000534D0000}"/>
    <cellStyle name="40% - Accent1 2 2 2 2 3 2 3" xfId="16999" xr:uid="{00000000-0005-0000-0000-0000544D0000}"/>
    <cellStyle name="40% - Accent1 2 2 2 2 3 2 3 2" xfId="39601" xr:uid="{00000000-0005-0000-0000-0000554D0000}"/>
    <cellStyle name="40% - Accent1 2 2 2 2 3 2 4" xfId="28300" xr:uid="{00000000-0005-0000-0000-0000564D0000}"/>
    <cellStyle name="40% - Accent1 2 2 2 2 3 3" xfId="8515" xr:uid="{00000000-0005-0000-0000-0000574D0000}"/>
    <cellStyle name="40% - Accent1 2 2 2 2 3 3 2" xfId="19816" xr:uid="{00000000-0005-0000-0000-0000584D0000}"/>
    <cellStyle name="40% - Accent1 2 2 2 2 3 3 2 2" xfId="42418" xr:uid="{00000000-0005-0000-0000-0000594D0000}"/>
    <cellStyle name="40% - Accent1 2 2 2 2 3 3 3" xfId="31117" xr:uid="{00000000-0005-0000-0000-00005A4D0000}"/>
    <cellStyle name="40% - Accent1 2 2 2 2 3 4" xfId="14166" xr:uid="{00000000-0005-0000-0000-00005B4D0000}"/>
    <cellStyle name="40% - Accent1 2 2 2 2 3 4 2" xfId="36768" xr:uid="{00000000-0005-0000-0000-00005C4D0000}"/>
    <cellStyle name="40% - Accent1 2 2 2 2 3 5" xfId="25467" xr:uid="{00000000-0005-0000-0000-00005D4D0000}"/>
    <cellStyle name="40% - Accent1 2 2 2 2 4" xfId="4464" xr:uid="{00000000-0005-0000-0000-00005E4D0000}"/>
    <cellStyle name="40% - Accent1 2 2 2 2 4 2" xfId="10114" xr:uid="{00000000-0005-0000-0000-00005F4D0000}"/>
    <cellStyle name="40% - Accent1 2 2 2 2 4 2 2" xfId="21415" xr:uid="{00000000-0005-0000-0000-0000604D0000}"/>
    <cellStyle name="40% - Accent1 2 2 2 2 4 2 2 2" xfId="44017" xr:uid="{00000000-0005-0000-0000-0000614D0000}"/>
    <cellStyle name="40% - Accent1 2 2 2 2 4 2 3" xfId="32716" xr:uid="{00000000-0005-0000-0000-0000624D0000}"/>
    <cellStyle name="40% - Accent1 2 2 2 2 4 3" xfId="15765" xr:uid="{00000000-0005-0000-0000-0000634D0000}"/>
    <cellStyle name="40% - Accent1 2 2 2 2 4 3 2" xfId="38367" xr:uid="{00000000-0005-0000-0000-0000644D0000}"/>
    <cellStyle name="40% - Accent1 2 2 2 2 4 4" xfId="27066" xr:uid="{00000000-0005-0000-0000-0000654D0000}"/>
    <cellStyle name="40% - Accent1 2 2 2 2 5" xfId="7260" xr:uid="{00000000-0005-0000-0000-0000664D0000}"/>
    <cellStyle name="40% - Accent1 2 2 2 2 5 2" xfId="18561" xr:uid="{00000000-0005-0000-0000-0000674D0000}"/>
    <cellStyle name="40% - Accent1 2 2 2 2 5 2 2" xfId="41163" xr:uid="{00000000-0005-0000-0000-0000684D0000}"/>
    <cellStyle name="40% - Accent1 2 2 2 2 5 3" xfId="29862" xr:uid="{00000000-0005-0000-0000-0000694D0000}"/>
    <cellStyle name="40% - Accent1 2 2 2 2 6" xfId="12911" xr:uid="{00000000-0005-0000-0000-00006A4D0000}"/>
    <cellStyle name="40% - Accent1 2 2 2 2 6 2" xfId="35513" xr:uid="{00000000-0005-0000-0000-00006B4D0000}"/>
    <cellStyle name="40% - Accent1 2 2 2 2 7" xfId="24212" xr:uid="{00000000-0005-0000-0000-00006C4D0000}"/>
    <cellStyle name="40% - Accent1 2 2 2 3" xfId="979" xr:uid="{00000000-0005-0000-0000-00006D4D0000}"/>
    <cellStyle name="40% - Accent1 2 2 2 3 2" xfId="3042" xr:uid="{00000000-0005-0000-0000-00006E4D0000}"/>
    <cellStyle name="40% - Accent1 2 2 2 3 2 2" xfId="6014" xr:uid="{00000000-0005-0000-0000-00006F4D0000}"/>
    <cellStyle name="40% - Accent1 2 2 2 3 2 2 2" xfId="11664" xr:uid="{00000000-0005-0000-0000-0000704D0000}"/>
    <cellStyle name="40% - Accent1 2 2 2 3 2 2 2 2" xfId="22965" xr:uid="{00000000-0005-0000-0000-0000714D0000}"/>
    <cellStyle name="40% - Accent1 2 2 2 3 2 2 2 2 2" xfId="45567" xr:uid="{00000000-0005-0000-0000-0000724D0000}"/>
    <cellStyle name="40% - Accent1 2 2 2 3 2 2 2 3" xfId="34266" xr:uid="{00000000-0005-0000-0000-0000734D0000}"/>
    <cellStyle name="40% - Accent1 2 2 2 3 2 2 3" xfId="17315" xr:uid="{00000000-0005-0000-0000-0000744D0000}"/>
    <cellStyle name="40% - Accent1 2 2 2 3 2 2 3 2" xfId="39917" xr:uid="{00000000-0005-0000-0000-0000754D0000}"/>
    <cellStyle name="40% - Accent1 2 2 2 3 2 2 4" xfId="28616" xr:uid="{00000000-0005-0000-0000-0000764D0000}"/>
    <cellStyle name="40% - Accent1 2 2 2 3 2 3" xfId="8832" xr:uid="{00000000-0005-0000-0000-0000774D0000}"/>
    <cellStyle name="40% - Accent1 2 2 2 3 2 3 2" xfId="20133" xr:uid="{00000000-0005-0000-0000-0000784D0000}"/>
    <cellStyle name="40% - Accent1 2 2 2 3 2 3 2 2" xfId="42735" xr:uid="{00000000-0005-0000-0000-0000794D0000}"/>
    <cellStyle name="40% - Accent1 2 2 2 3 2 3 3" xfId="31434" xr:uid="{00000000-0005-0000-0000-00007A4D0000}"/>
    <cellStyle name="40% - Accent1 2 2 2 3 2 4" xfId="14483" xr:uid="{00000000-0005-0000-0000-00007B4D0000}"/>
    <cellStyle name="40% - Accent1 2 2 2 3 2 4 2" xfId="37085" xr:uid="{00000000-0005-0000-0000-00007C4D0000}"/>
    <cellStyle name="40% - Accent1 2 2 2 3 2 5" xfId="25784" xr:uid="{00000000-0005-0000-0000-00007D4D0000}"/>
    <cellStyle name="40% - Accent1 2 2 2 3 3" xfId="4780" xr:uid="{00000000-0005-0000-0000-00007E4D0000}"/>
    <cellStyle name="40% - Accent1 2 2 2 3 3 2" xfId="10430" xr:uid="{00000000-0005-0000-0000-00007F4D0000}"/>
    <cellStyle name="40% - Accent1 2 2 2 3 3 2 2" xfId="21731" xr:uid="{00000000-0005-0000-0000-0000804D0000}"/>
    <cellStyle name="40% - Accent1 2 2 2 3 3 2 2 2" xfId="44333" xr:uid="{00000000-0005-0000-0000-0000814D0000}"/>
    <cellStyle name="40% - Accent1 2 2 2 3 3 2 3" xfId="33032" xr:uid="{00000000-0005-0000-0000-0000824D0000}"/>
    <cellStyle name="40% - Accent1 2 2 2 3 3 3" xfId="16081" xr:uid="{00000000-0005-0000-0000-0000834D0000}"/>
    <cellStyle name="40% - Accent1 2 2 2 3 3 3 2" xfId="38683" xr:uid="{00000000-0005-0000-0000-0000844D0000}"/>
    <cellStyle name="40% - Accent1 2 2 2 3 3 4" xfId="27382" xr:uid="{00000000-0005-0000-0000-0000854D0000}"/>
    <cellStyle name="40% - Accent1 2 2 2 3 4" xfId="6967" xr:uid="{00000000-0005-0000-0000-0000864D0000}"/>
    <cellStyle name="40% - Accent1 2 2 2 3 4 2" xfId="18268" xr:uid="{00000000-0005-0000-0000-0000874D0000}"/>
    <cellStyle name="40% - Accent1 2 2 2 3 4 2 2" xfId="40870" xr:uid="{00000000-0005-0000-0000-0000884D0000}"/>
    <cellStyle name="40% - Accent1 2 2 2 3 4 3" xfId="29569" xr:uid="{00000000-0005-0000-0000-0000894D0000}"/>
    <cellStyle name="40% - Accent1 2 2 2 3 5" xfId="12618" xr:uid="{00000000-0005-0000-0000-00008A4D0000}"/>
    <cellStyle name="40% - Accent1 2 2 2 3 5 2" xfId="35220" xr:uid="{00000000-0005-0000-0000-00008B4D0000}"/>
    <cellStyle name="40% - Accent1 2 2 2 3 6" xfId="23919" xr:uid="{00000000-0005-0000-0000-00008C4D0000}"/>
    <cellStyle name="40% - Accent1 2 2 2 4" xfId="1753" xr:uid="{00000000-0005-0000-0000-00008D4D0000}"/>
    <cellStyle name="40% - Accent1 2 2 2 4 2" xfId="3646" xr:uid="{00000000-0005-0000-0000-00008E4D0000}"/>
    <cellStyle name="40% - Accent1 2 2 2 4 2 2" xfId="9357" xr:uid="{00000000-0005-0000-0000-00008F4D0000}"/>
    <cellStyle name="40% - Accent1 2 2 2 4 2 2 2" xfId="20658" xr:uid="{00000000-0005-0000-0000-0000904D0000}"/>
    <cellStyle name="40% - Accent1 2 2 2 4 2 2 2 2" xfId="43260" xr:uid="{00000000-0005-0000-0000-0000914D0000}"/>
    <cellStyle name="40% - Accent1 2 2 2 4 2 2 3" xfId="31959" xr:uid="{00000000-0005-0000-0000-0000924D0000}"/>
    <cellStyle name="40% - Accent1 2 2 2 4 2 3" xfId="15008" xr:uid="{00000000-0005-0000-0000-0000934D0000}"/>
    <cellStyle name="40% - Accent1 2 2 2 4 2 3 2" xfId="37610" xr:uid="{00000000-0005-0000-0000-0000944D0000}"/>
    <cellStyle name="40% - Accent1 2 2 2 4 2 4" xfId="26309" xr:uid="{00000000-0005-0000-0000-0000954D0000}"/>
    <cellStyle name="40% - Accent1 2 2 2 4 3" xfId="5390" xr:uid="{00000000-0005-0000-0000-0000964D0000}"/>
    <cellStyle name="40% - Accent1 2 2 2 4 3 2" xfId="11040" xr:uid="{00000000-0005-0000-0000-0000974D0000}"/>
    <cellStyle name="40% - Accent1 2 2 2 4 3 2 2" xfId="22341" xr:uid="{00000000-0005-0000-0000-0000984D0000}"/>
    <cellStyle name="40% - Accent1 2 2 2 4 3 2 2 2" xfId="44943" xr:uid="{00000000-0005-0000-0000-0000994D0000}"/>
    <cellStyle name="40% - Accent1 2 2 2 4 3 2 3" xfId="33642" xr:uid="{00000000-0005-0000-0000-00009A4D0000}"/>
    <cellStyle name="40% - Accent1 2 2 2 4 3 3" xfId="16691" xr:uid="{00000000-0005-0000-0000-00009B4D0000}"/>
    <cellStyle name="40% - Accent1 2 2 2 4 3 3 2" xfId="39293" xr:uid="{00000000-0005-0000-0000-00009C4D0000}"/>
    <cellStyle name="40% - Accent1 2 2 2 4 3 4" xfId="27992" xr:uid="{00000000-0005-0000-0000-00009D4D0000}"/>
    <cellStyle name="40% - Accent1 2 2 2 4 4" xfId="7609" xr:uid="{00000000-0005-0000-0000-00009E4D0000}"/>
    <cellStyle name="40% - Accent1 2 2 2 4 4 2" xfId="18910" xr:uid="{00000000-0005-0000-0000-00009F4D0000}"/>
    <cellStyle name="40% - Accent1 2 2 2 4 4 2 2" xfId="41512" xr:uid="{00000000-0005-0000-0000-0000A04D0000}"/>
    <cellStyle name="40% - Accent1 2 2 2 4 4 3" xfId="30211" xr:uid="{00000000-0005-0000-0000-0000A14D0000}"/>
    <cellStyle name="40% - Accent1 2 2 2 4 5" xfId="13260" xr:uid="{00000000-0005-0000-0000-0000A24D0000}"/>
    <cellStyle name="40% - Accent1 2 2 2 4 5 2" xfId="35862" xr:uid="{00000000-0005-0000-0000-0000A34D0000}"/>
    <cellStyle name="40% - Accent1 2 2 2 4 6" xfId="24561" xr:uid="{00000000-0005-0000-0000-0000A44D0000}"/>
    <cellStyle name="40% - Accent1 2 2 2 5" xfId="2371" xr:uid="{00000000-0005-0000-0000-0000A54D0000}"/>
    <cellStyle name="40% - Accent1 2 2 2 5 2" xfId="8207" xr:uid="{00000000-0005-0000-0000-0000A64D0000}"/>
    <cellStyle name="40% - Accent1 2 2 2 5 2 2" xfId="19508" xr:uid="{00000000-0005-0000-0000-0000A74D0000}"/>
    <cellStyle name="40% - Accent1 2 2 2 5 2 2 2" xfId="42110" xr:uid="{00000000-0005-0000-0000-0000A84D0000}"/>
    <cellStyle name="40% - Accent1 2 2 2 5 2 3" xfId="30809" xr:uid="{00000000-0005-0000-0000-0000A94D0000}"/>
    <cellStyle name="40% - Accent1 2 2 2 5 3" xfId="13858" xr:uid="{00000000-0005-0000-0000-0000AA4D0000}"/>
    <cellStyle name="40% - Accent1 2 2 2 5 3 2" xfId="36460" xr:uid="{00000000-0005-0000-0000-0000AB4D0000}"/>
    <cellStyle name="40% - Accent1 2 2 2 5 4" xfId="25159" xr:uid="{00000000-0005-0000-0000-0000AC4D0000}"/>
    <cellStyle name="40% - Accent1 2 2 2 6" xfId="4156" xr:uid="{00000000-0005-0000-0000-0000AD4D0000}"/>
    <cellStyle name="40% - Accent1 2 2 2 6 2" xfId="9806" xr:uid="{00000000-0005-0000-0000-0000AE4D0000}"/>
    <cellStyle name="40% - Accent1 2 2 2 6 2 2" xfId="21107" xr:uid="{00000000-0005-0000-0000-0000AF4D0000}"/>
    <cellStyle name="40% - Accent1 2 2 2 6 2 2 2" xfId="43709" xr:uid="{00000000-0005-0000-0000-0000B04D0000}"/>
    <cellStyle name="40% - Accent1 2 2 2 6 2 3" xfId="32408" xr:uid="{00000000-0005-0000-0000-0000B14D0000}"/>
    <cellStyle name="40% - Accent1 2 2 2 6 3" xfId="15457" xr:uid="{00000000-0005-0000-0000-0000B24D0000}"/>
    <cellStyle name="40% - Accent1 2 2 2 6 3 2" xfId="38059" xr:uid="{00000000-0005-0000-0000-0000B34D0000}"/>
    <cellStyle name="40% - Accent1 2 2 2 6 4" xfId="26758" xr:uid="{00000000-0005-0000-0000-0000B44D0000}"/>
    <cellStyle name="40% - Accent1 2 2 2 7" xfId="6636" xr:uid="{00000000-0005-0000-0000-0000B54D0000}"/>
    <cellStyle name="40% - Accent1 2 2 2 7 2" xfId="17937" xr:uid="{00000000-0005-0000-0000-0000B64D0000}"/>
    <cellStyle name="40% - Accent1 2 2 2 7 2 2" xfId="40539" xr:uid="{00000000-0005-0000-0000-0000B74D0000}"/>
    <cellStyle name="40% - Accent1 2 2 2 7 3" xfId="29238" xr:uid="{00000000-0005-0000-0000-0000B84D0000}"/>
    <cellStyle name="40% - Accent1 2 2 2 8" xfId="12287" xr:uid="{00000000-0005-0000-0000-0000B94D0000}"/>
    <cellStyle name="40% - Accent1 2 2 2 8 2" xfId="34889" xr:uid="{00000000-0005-0000-0000-0000BA4D0000}"/>
    <cellStyle name="40% - Accent1 2 2 2 9" xfId="23588" xr:uid="{00000000-0005-0000-0000-0000BB4D0000}"/>
    <cellStyle name="40% - Accent1 2 2 3" xfId="1143" xr:uid="{00000000-0005-0000-0000-0000BC4D0000}"/>
    <cellStyle name="40% - Accent1 2 2 3 2" xfId="1755" xr:uid="{00000000-0005-0000-0000-0000BD4D0000}"/>
    <cellStyle name="40% - Accent1 2 2 3 2 2" xfId="3211" xr:uid="{00000000-0005-0000-0000-0000BE4D0000}"/>
    <cellStyle name="40% - Accent1 2 2 3 2 2 2" xfId="6183" xr:uid="{00000000-0005-0000-0000-0000BF4D0000}"/>
    <cellStyle name="40% - Accent1 2 2 3 2 2 2 2" xfId="11833" xr:uid="{00000000-0005-0000-0000-0000C04D0000}"/>
    <cellStyle name="40% - Accent1 2 2 3 2 2 2 2 2" xfId="23134" xr:uid="{00000000-0005-0000-0000-0000C14D0000}"/>
    <cellStyle name="40% - Accent1 2 2 3 2 2 2 2 2 2" xfId="45736" xr:uid="{00000000-0005-0000-0000-0000C24D0000}"/>
    <cellStyle name="40% - Accent1 2 2 3 2 2 2 2 3" xfId="34435" xr:uid="{00000000-0005-0000-0000-0000C34D0000}"/>
    <cellStyle name="40% - Accent1 2 2 3 2 2 2 3" xfId="17484" xr:uid="{00000000-0005-0000-0000-0000C44D0000}"/>
    <cellStyle name="40% - Accent1 2 2 3 2 2 2 3 2" xfId="40086" xr:uid="{00000000-0005-0000-0000-0000C54D0000}"/>
    <cellStyle name="40% - Accent1 2 2 3 2 2 2 4" xfId="28785" xr:uid="{00000000-0005-0000-0000-0000C64D0000}"/>
    <cellStyle name="40% - Accent1 2 2 3 2 2 3" xfId="9001" xr:uid="{00000000-0005-0000-0000-0000C74D0000}"/>
    <cellStyle name="40% - Accent1 2 2 3 2 2 3 2" xfId="20302" xr:uid="{00000000-0005-0000-0000-0000C84D0000}"/>
    <cellStyle name="40% - Accent1 2 2 3 2 2 3 2 2" xfId="42904" xr:uid="{00000000-0005-0000-0000-0000C94D0000}"/>
    <cellStyle name="40% - Accent1 2 2 3 2 2 3 3" xfId="31603" xr:uid="{00000000-0005-0000-0000-0000CA4D0000}"/>
    <cellStyle name="40% - Accent1 2 2 3 2 2 4" xfId="14652" xr:uid="{00000000-0005-0000-0000-0000CB4D0000}"/>
    <cellStyle name="40% - Accent1 2 2 3 2 2 4 2" xfId="37254" xr:uid="{00000000-0005-0000-0000-0000CC4D0000}"/>
    <cellStyle name="40% - Accent1 2 2 3 2 2 5" xfId="25953" xr:uid="{00000000-0005-0000-0000-0000CD4D0000}"/>
    <cellStyle name="40% - Accent1 2 2 3 2 3" xfId="4949" xr:uid="{00000000-0005-0000-0000-0000CE4D0000}"/>
    <cellStyle name="40% - Accent1 2 2 3 2 3 2" xfId="10599" xr:uid="{00000000-0005-0000-0000-0000CF4D0000}"/>
    <cellStyle name="40% - Accent1 2 2 3 2 3 2 2" xfId="21900" xr:uid="{00000000-0005-0000-0000-0000D04D0000}"/>
    <cellStyle name="40% - Accent1 2 2 3 2 3 2 2 2" xfId="44502" xr:uid="{00000000-0005-0000-0000-0000D14D0000}"/>
    <cellStyle name="40% - Accent1 2 2 3 2 3 2 3" xfId="33201" xr:uid="{00000000-0005-0000-0000-0000D24D0000}"/>
    <cellStyle name="40% - Accent1 2 2 3 2 3 3" xfId="16250" xr:uid="{00000000-0005-0000-0000-0000D34D0000}"/>
    <cellStyle name="40% - Accent1 2 2 3 2 3 3 2" xfId="38852" xr:uid="{00000000-0005-0000-0000-0000D44D0000}"/>
    <cellStyle name="40% - Accent1 2 2 3 2 3 4" xfId="27551" xr:uid="{00000000-0005-0000-0000-0000D54D0000}"/>
    <cellStyle name="40% - Accent1 2 2 3 2 4" xfId="7611" xr:uid="{00000000-0005-0000-0000-0000D64D0000}"/>
    <cellStyle name="40% - Accent1 2 2 3 2 4 2" xfId="18912" xr:uid="{00000000-0005-0000-0000-0000D74D0000}"/>
    <cellStyle name="40% - Accent1 2 2 3 2 4 2 2" xfId="41514" xr:uid="{00000000-0005-0000-0000-0000D84D0000}"/>
    <cellStyle name="40% - Accent1 2 2 3 2 4 3" xfId="30213" xr:uid="{00000000-0005-0000-0000-0000D94D0000}"/>
    <cellStyle name="40% - Accent1 2 2 3 2 5" xfId="13262" xr:uid="{00000000-0005-0000-0000-0000DA4D0000}"/>
    <cellStyle name="40% - Accent1 2 2 3 2 5 2" xfId="35864" xr:uid="{00000000-0005-0000-0000-0000DB4D0000}"/>
    <cellStyle name="40% - Accent1 2 2 3 2 6" xfId="24563" xr:uid="{00000000-0005-0000-0000-0000DC4D0000}"/>
    <cellStyle name="40% - Accent1 2 2 3 3" xfId="2540" xr:uid="{00000000-0005-0000-0000-0000DD4D0000}"/>
    <cellStyle name="40% - Accent1 2 2 3 3 2" xfId="5559" xr:uid="{00000000-0005-0000-0000-0000DE4D0000}"/>
    <cellStyle name="40% - Accent1 2 2 3 3 2 2" xfId="11209" xr:uid="{00000000-0005-0000-0000-0000DF4D0000}"/>
    <cellStyle name="40% - Accent1 2 2 3 3 2 2 2" xfId="22510" xr:uid="{00000000-0005-0000-0000-0000E04D0000}"/>
    <cellStyle name="40% - Accent1 2 2 3 3 2 2 2 2" xfId="45112" xr:uid="{00000000-0005-0000-0000-0000E14D0000}"/>
    <cellStyle name="40% - Accent1 2 2 3 3 2 2 3" xfId="33811" xr:uid="{00000000-0005-0000-0000-0000E24D0000}"/>
    <cellStyle name="40% - Accent1 2 2 3 3 2 3" xfId="16860" xr:uid="{00000000-0005-0000-0000-0000E34D0000}"/>
    <cellStyle name="40% - Accent1 2 2 3 3 2 3 2" xfId="39462" xr:uid="{00000000-0005-0000-0000-0000E44D0000}"/>
    <cellStyle name="40% - Accent1 2 2 3 3 2 4" xfId="28161" xr:uid="{00000000-0005-0000-0000-0000E54D0000}"/>
    <cellStyle name="40% - Accent1 2 2 3 3 3" xfId="8376" xr:uid="{00000000-0005-0000-0000-0000E64D0000}"/>
    <cellStyle name="40% - Accent1 2 2 3 3 3 2" xfId="19677" xr:uid="{00000000-0005-0000-0000-0000E74D0000}"/>
    <cellStyle name="40% - Accent1 2 2 3 3 3 2 2" xfId="42279" xr:uid="{00000000-0005-0000-0000-0000E84D0000}"/>
    <cellStyle name="40% - Accent1 2 2 3 3 3 3" xfId="30978" xr:uid="{00000000-0005-0000-0000-0000E94D0000}"/>
    <cellStyle name="40% - Accent1 2 2 3 3 4" xfId="14027" xr:uid="{00000000-0005-0000-0000-0000EA4D0000}"/>
    <cellStyle name="40% - Accent1 2 2 3 3 4 2" xfId="36629" xr:uid="{00000000-0005-0000-0000-0000EB4D0000}"/>
    <cellStyle name="40% - Accent1 2 2 3 3 5" xfId="25328" xr:uid="{00000000-0005-0000-0000-0000EC4D0000}"/>
    <cellStyle name="40% - Accent1 2 2 3 4" xfId="4325" xr:uid="{00000000-0005-0000-0000-0000ED4D0000}"/>
    <cellStyle name="40% - Accent1 2 2 3 4 2" xfId="9975" xr:uid="{00000000-0005-0000-0000-0000EE4D0000}"/>
    <cellStyle name="40% - Accent1 2 2 3 4 2 2" xfId="21276" xr:uid="{00000000-0005-0000-0000-0000EF4D0000}"/>
    <cellStyle name="40% - Accent1 2 2 3 4 2 2 2" xfId="43878" xr:uid="{00000000-0005-0000-0000-0000F04D0000}"/>
    <cellStyle name="40% - Accent1 2 2 3 4 2 3" xfId="32577" xr:uid="{00000000-0005-0000-0000-0000F14D0000}"/>
    <cellStyle name="40% - Accent1 2 2 3 4 3" xfId="15626" xr:uid="{00000000-0005-0000-0000-0000F24D0000}"/>
    <cellStyle name="40% - Accent1 2 2 3 4 3 2" xfId="38228" xr:uid="{00000000-0005-0000-0000-0000F34D0000}"/>
    <cellStyle name="40% - Accent1 2 2 3 4 4" xfId="26927" xr:uid="{00000000-0005-0000-0000-0000F44D0000}"/>
    <cellStyle name="40% - Accent1 2 2 3 5" xfId="7122" xr:uid="{00000000-0005-0000-0000-0000F54D0000}"/>
    <cellStyle name="40% - Accent1 2 2 3 5 2" xfId="18423" xr:uid="{00000000-0005-0000-0000-0000F64D0000}"/>
    <cellStyle name="40% - Accent1 2 2 3 5 2 2" xfId="41025" xr:uid="{00000000-0005-0000-0000-0000F74D0000}"/>
    <cellStyle name="40% - Accent1 2 2 3 5 3" xfId="29724" xr:uid="{00000000-0005-0000-0000-0000F84D0000}"/>
    <cellStyle name="40% - Accent1 2 2 3 6" xfId="12773" xr:uid="{00000000-0005-0000-0000-0000F94D0000}"/>
    <cellStyle name="40% - Accent1 2 2 3 6 2" xfId="35375" xr:uid="{00000000-0005-0000-0000-0000FA4D0000}"/>
    <cellStyle name="40% - Accent1 2 2 3 7" xfId="24074" xr:uid="{00000000-0005-0000-0000-0000FB4D0000}"/>
    <cellStyle name="40% - Accent1 2 2 4" xfId="833" xr:uid="{00000000-0005-0000-0000-0000FC4D0000}"/>
    <cellStyle name="40% - Accent1 2 2 4 2" xfId="2904" xr:uid="{00000000-0005-0000-0000-0000FD4D0000}"/>
    <cellStyle name="40% - Accent1 2 2 4 2 2" xfId="5876" xr:uid="{00000000-0005-0000-0000-0000FE4D0000}"/>
    <cellStyle name="40% - Accent1 2 2 4 2 2 2" xfId="11526" xr:uid="{00000000-0005-0000-0000-0000FF4D0000}"/>
    <cellStyle name="40% - Accent1 2 2 4 2 2 2 2" xfId="22827" xr:uid="{00000000-0005-0000-0000-0000004E0000}"/>
    <cellStyle name="40% - Accent1 2 2 4 2 2 2 2 2" xfId="45429" xr:uid="{00000000-0005-0000-0000-0000014E0000}"/>
    <cellStyle name="40% - Accent1 2 2 4 2 2 2 3" xfId="34128" xr:uid="{00000000-0005-0000-0000-0000024E0000}"/>
    <cellStyle name="40% - Accent1 2 2 4 2 2 3" xfId="17177" xr:uid="{00000000-0005-0000-0000-0000034E0000}"/>
    <cellStyle name="40% - Accent1 2 2 4 2 2 3 2" xfId="39779" xr:uid="{00000000-0005-0000-0000-0000044E0000}"/>
    <cellStyle name="40% - Accent1 2 2 4 2 2 4" xfId="28478" xr:uid="{00000000-0005-0000-0000-0000054E0000}"/>
    <cellStyle name="40% - Accent1 2 2 4 2 3" xfId="8694" xr:uid="{00000000-0005-0000-0000-0000064E0000}"/>
    <cellStyle name="40% - Accent1 2 2 4 2 3 2" xfId="19995" xr:uid="{00000000-0005-0000-0000-0000074E0000}"/>
    <cellStyle name="40% - Accent1 2 2 4 2 3 2 2" xfId="42597" xr:uid="{00000000-0005-0000-0000-0000084E0000}"/>
    <cellStyle name="40% - Accent1 2 2 4 2 3 3" xfId="31296" xr:uid="{00000000-0005-0000-0000-0000094E0000}"/>
    <cellStyle name="40% - Accent1 2 2 4 2 4" xfId="14345" xr:uid="{00000000-0005-0000-0000-00000A4E0000}"/>
    <cellStyle name="40% - Accent1 2 2 4 2 4 2" xfId="36947" xr:uid="{00000000-0005-0000-0000-00000B4E0000}"/>
    <cellStyle name="40% - Accent1 2 2 4 2 5" xfId="25646" xr:uid="{00000000-0005-0000-0000-00000C4E0000}"/>
    <cellStyle name="40% - Accent1 2 2 4 3" xfId="4642" xr:uid="{00000000-0005-0000-0000-00000D4E0000}"/>
    <cellStyle name="40% - Accent1 2 2 4 3 2" xfId="10292" xr:uid="{00000000-0005-0000-0000-00000E4E0000}"/>
    <cellStyle name="40% - Accent1 2 2 4 3 2 2" xfId="21593" xr:uid="{00000000-0005-0000-0000-00000F4E0000}"/>
    <cellStyle name="40% - Accent1 2 2 4 3 2 2 2" xfId="44195" xr:uid="{00000000-0005-0000-0000-0000104E0000}"/>
    <cellStyle name="40% - Accent1 2 2 4 3 2 3" xfId="32894" xr:uid="{00000000-0005-0000-0000-0000114E0000}"/>
    <cellStyle name="40% - Accent1 2 2 4 3 3" xfId="15943" xr:uid="{00000000-0005-0000-0000-0000124E0000}"/>
    <cellStyle name="40% - Accent1 2 2 4 3 3 2" xfId="38545" xr:uid="{00000000-0005-0000-0000-0000134E0000}"/>
    <cellStyle name="40% - Accent1 2 2 4 3 4" xfId="27244" xr:uid="{00000000-0005-0000-0000-0000144E0000}"/>
    <cellStyle name="40% - Accent1 2 2 4 4" xfId="6829" xr:uid="{00000000-0005-0000-0000-0000154E0000}"/>
    <cellStyle name="40% - Accent1 2 2 4 4 2" xfId="18130" xr:uid="{00000000-0005-0000-0000-0000164E0000}"/>
    <cellStyle name="40% - Accent1 2 2 4 4 2 2" xfId="40732" xr:uid="{00000000-0005-0000-0000-0000174E0000}"/>
    <cellStyle name="40% - Accent1 2 2 4 4 3" xfId="29431" xr:uid="{00000000-0005-0000-0000-0000184E0000}"/>
    <cellStyle name="40% - Accent1 2 2 4 5" xfId="12480" xr:uid="{00000000-0005-0000-0000-0000194E0000}"/>
    <cellStyle name="40% - Accent1 2 2 4 5 2" xfId="35082" xr:uid="{00000000-0005-0000-0000-00001A4E0000}"/>
    <cellStyle name="40% - Accent1 2 2 4 6" xfId="23781" xr:uid="{00000000-0005-0000-0000-00001B4E0000}"/>
    <cellStyle name="40% - Accent1 2 2 5" xfId="1752" xr:uid="{00000000-0005-0000-0000-00001C4E0000}"/>
    <cellStyle name="40% - Accent1 2 2 5 2" xfId="3645" xr:uid="{00000000-0005-0000-0000-00001D4E0000}"/>
    <cellStyle name="40% - Accent1 2 2 5 2 2" xfId="9356" xr:uid="{00000000-0005-0000-0000-00001E4E0000}"/>
    <cellStyle name="40% - Accent1 2 2 5 2 2 2" xfId="20657" xr:uid="{00000000-0005-0000-0000-00001F4E0000}"/>
    <cellStyle name="40% - Accent1 2 2 5 2 2 2 2" xfId="43259" xr:uid="{00000000-0005-0000-0000-0000204E0000}"/>
    <cellStyle name="40% - Accent1 2 2 5 2 2 3" xfId="31958" xr:uid="{00000000-0005-0000-0000-0000214E0000}"/>
    <cellStyle name="40% - Accent1 2 2 5 2 3" xfId="15007" xr:uid="{00000000-0005-0000-0000-0000224E0000}"/>
    <cellStyle name="40% - Accent1 2 2 5 2 3 2" xfId="37609" xr:uid="{00000000-0005-0000-0000-0000234E0000}"/>
    <cellStyle name="40% - Accent1 2 2 5 2 4" xfId="26308" xr:uid="{00000000-0005-0000-0000-0000244E0000}"/>
    <cellStyle name="40% - Accent1 2 2 5 3" xfId="5252" xr:uid="{00000000-0005-0000-0000-0000254E0000}"/>
    <cellStyle name="40% - Accent1 2 2 5 3 2" xfId="10902" xr:uid="{00000000-0005-0000-0000-0000264E0000}"/>
    <cellStyle name="40% - Accent1 2 2 5 3 2 2" xfId="22203" xr:uid="{00000000-0005-0000-0000-0000274E0000}"/>
    <cellStyle name="40% - Accent1 2 2 5 3 2 2 2" xfId="44805" xr:uid="{00000000-0005-0000-0000-0000284E0000}"/>
    <cellStyle name="40% - Accent1 2 2 5 3 2 3" xfId="33504" xr:uid="{00000000-0005-0000-0000-0000294E0000}"/>
    <cellStyle name="40% - Accent1 2 2 5 3 3" xfId="16553" xr:uid="{00000000-0005-0000-0000-00002A4E0000}"/>
    <cellStyle name="40% - Accent1 2 2 5 3 3 2" xfId="39155" xr:uid="{00000000-0005-0000-0000-00002B4E0000}"/>
    <cellStyle name="40% - Accent1 2 2 5 3 4" xfId="27854" xr:uid="{00000000-0005-0000-0000-00002C4E0000}"/>
    <cellStyle name="40% - Accent1 2 2 5 4" xfId="7608" xr:uid="{00000000-0005-0000-0000-00002D4E0000}"/>
    <cellStyle name="40% - Accent1 2 2 5 4 2" xfId="18909" xr:uid="{00000000-0005-0000-0000-00002E4E0000}"/>
    <cellStyle name="40% - Accent1 2 2 5 4 2 2" xfId="41511" xr:uid="{00000000-0005-0000-0000-00002F4E0000}"/>
    <cellStyle name="40% - Accent1 2 2 5 4 3" xfId="30210" xr:uid="{00000000-0005-0000-0000-0000304E0000}"/>
    <cellStyle name="40% - Accent1 2 2 5 5" xfId="13259" xr:uid="{00000000-0005-0000-0000-0000314E0000}"/>
    <cellStyle name="40% - Accent1 2 2 5 5 2" xfId="35861" xr:uid="{00000000-0005-0000-0000-0000324E0000}"/>
    <cellStyle name="40% - Accent1 2 2 5 6" xfId="24560" xr:uid="{00000000-0005-0000-0000-0000334E0000}"/>
    <cellStyle name="40% - Accent1 2 2 6" xfId="2231" xr:uid="{00000000-0005-0000-0000-0000344E0000}"/>
    <cellStyle name="40% - Accent1 2 2 6 2" xfId="8067" xr:uid="{00000000-0005-0000-0000-0000354E0000}"/>
    <cellStyle name="40% - Accent1 2 2 6 2 2" xfId="19368" xr:uid="{00000000-0005-0000-0000-0000364E0000}"/>
    <cellStyle name="40% - Accent1 2 2 6 2 2 2" xfId="41970" xr:uid="{00000000-0005-0000-0000-0000374E0000}"/>
    <cellStyle name="40% - Accent1 2 2 6 2 3" xfId="30669" xr:uid="{00000000-0005-0000-0000-0000384E0000}"/>
    <cellStyle name="40% - Accent1 2 2 6 3" xfId="13718" xr:uid="{00000000-0005-0000-0000-0000394E0000}"/>
    <cellStyle name="40% - Accent1 2 2 6 3 2" xfId="36320" xr:uid="{00000000-0005-0000-0000-00003A4E0000}"/>
    <cellStyle name="40% - Accent1 2 2 6 4" xfId="25019" xr:uid="{00000000-0005-0000-0000-00003B4E0000}"/>
    <cellStyle name="40% - Accent1 2 2 7" xfId="4018" xr:uid="{00000000-0005-0000-0000-00003C4E0000}"/>
    <cellStyle name="40% - Accent1 2 2 7 2" xfId="9668" xr:uid="{00000000-0005-0000-0000-00003D4E0000}"/>
    <cellStyle name="40% - Accent1 2 2 7 2 2" xfId="20969" xr:uid="{00000000-0005-0000-0000-00003E4E0000}"/>
    <cellStyle name="40% - Accent1 2 2 7 2 2 2" xfId="43571" xr:uid="{00000000-0005-0000-0000-00003F4E0000}"/>
    <cellStyle name="40% - Accent1 2 2 7 2 3" xfId="32270" xr:uid="{00000000-0005-0000-0000-0000404E0000}"/>
    <cellStyle name="40% - Accent1 2 2 7 3" xfId="15319" xr:uid="{00000000-0005-0000-0000-0000414E0000}"/>
    <cellStyle name="40% - Accent1 2 2 7 3 2" xfId="37921" xr:uid="{00000000-0005-0000-0000-0000424E0000}"/>
    <cellStyle name="40% - Accent1 2 2 7 4" xfId="26620" xr:uid="{00000000-0005-0000-0000-0000434E0000}"/>
    <cellStyle name="40% - Accent1 2 2 8" xfId="6469" xr:uid="{00000000-0005-0000-0000-0000444E0000}"/>
    <cellStyle name="40% - Accent1 2 2 8 2" xfId="17770" xr:uid="{00000000-0005-0000-0000-0000454E0000}"/>
    <cellStyle name="40% - Accent1 2 2 8 2 2" xfId="40372" xr:uid="{00000000-0005-0000-0000-0000464E0000}"/>
    <cellStyle name="40% - Accent1 2 2 8 3" xfId="29071" xr:uid="{00000000-0005-0000-0000-0000474E0000}"/>
    <cellStyle name="40% - Accent1 2 2 9" xfId="12120" xr:uid="{00000000-0005-0000-0000-0000484E0000}"/>
    <cellStyle name="40% - Accent1 2 2 9 2" xfId="34722" xr:uid="{00000000-0005-0000-0000-0000494E0000}"/>
    <cellStyle name="40% - Accent1 2 3" xfId="2759" xr:uid="{00000000-0005-0000-0000-00004A4E0000}"/>
    <cellStyle name="40% - Accent1 2 3 2" xfId="3828" xr:uid="{00000000-0005-0000-0000-00004B4E0000}"/>
    <cellStyle name="40% - Accent1 2 3 2 2" xfId="5774" xr:uid="{00000000-0005-0000-0000-00004C4E0000}"/>
    <cellStyle name="40% - Accent1 2 3 2 2 2" xfId="11424" xr:uid="{00000000-0005-0000-0000-00004D4E0000}"/>
    <cellStyle name="40% - Accent1 2 3 2 2 2 2" xfId="22725" xr:uid="{00000000-0005-0000-0000-00004E4E0000}"/>
    <cellStyle name="40% - Accent1 2 3 2 2 2 2 2" xfId="45327" xr:uid="{00000000-0005-0000-0000-00004F4E0000}"/>
    <cellStyle name="40% - Accent1 2 3 2 2 2 3" xfId="34026" xr:uid="{00000000-0005-0000-0000-0000504E0000}"/>
    <cellStyle name="40% - Accent1 2 3 2 2 3" xfId="17075" xr:uid="{00000000-0005-0000-0000-0000514E0000}"/>
    <cellStyle name="40% - Accent1 2 3 2 2 3 2" xfId="39677" xr:uid="{00000000-0005-0000-0000-0000524E0000}"/>
    <cellStyle name="40% - Accent1 2 3 2 2 4" xfId="28376" xr:uid="{00000000-0005-0000-0000-0000534E0000}"/>
    <cellStyle name="40% - Accent1 2 3 2 3" xfId="9536" xr:uid="{00000000-0005-0000-0000-0000544E0000}"/>
    <cellStyle name="40% - Accent1 2 3 2 3 2" xfId="20837" xr:uid="{00000000-0005-0000-0000-0000554E0000}"/>
    <cellStyle name="40% - Accent1 2 3 2 3 2 2" xfId="43439" xr:uid="{00000000-0005-0000-0000-0000564E0000}"/>
    <cellStyle name="40% - Accent1 2 3 2 3 3" xfId="32138" xr:uid="{00000000-0005-0000-0000-0000574E0000}"/>
    <cellStyle name="40% - Accent1 2 3 2 4" xfId="15187" xr:uid="{00000000-0005-0000-0000-0000584E0000}"/>
    <cellStyle name="40% - Accent1 2 3 2 4 2" xfId="37789" xr:uid="{00000000-0005-0000-0000-0000594E0000}"/>
    <cellStyle name="40% - Accent1 2 3 2 5" xfId="26488" xr:uid="{00000000-0005-0000-0000-00005A4E0000}"/>
    <cellStyle name="40% - Accent1 2 3 3" xfId="4540" xr:uid="{00000000-0005-0000-0000-00005B4E0000}"/>
    <cellStyle name="40% - Accent1 2 3 3 2" xfId="10190" xr:uid="{00000000-0005-0000-0000-00005C4E0000}"/>
    <cellStyle name="40% - Accent1 2 3 3 2 2" xfId="21491" xr:uid="{00000000-0005-0000-0000-00005D4E0000}"/>
    <cellStyle name="40% - Accent1 2 3 3 2 2 2" xfId="44093" xr:uid="{00000000-0005-0000-0000-00005E4E0000}"/>
    <cellStyle name="40% - Accent1 2 3 3 2 3" xfId="32792" xr:uid="{00000000-0005-0000-0000-00005F4E0000}"/>
    <cellStyle name="40% - Accent1 2 3 3 3" xfId="15841" xr:uid="{00000000-0005-0000-0000-0000604E0000}"/>
    <cellStyle name="40% - Accent1 2 3 3 3 2" xfId="38443" xr:uid="{00000000-0005-0000-0000-0000614E0000}"/>
    <cellStyle name="40% - Accent1 2 3 3 4" xfId="27142" xr:uid="{00000000-0005-0000-0000-0000624E0000}"/>
    <cellStyle name="40% - Accent1 2 3 4" xfId="8592" xr:uid="{00000000-0005-0000-0000-0000634E0000}"/>
    <cellStyle name="40% - Accent1 2 3 4 2" xfId="19893" xr:uid="{00000000-0005-0000-0000-0000644E0000}"/>
    <cellStyle name="40% - Accent1 2 3 4 2 2" xfId="42495" xr:uid="{00000000-0005-0000-0000-0000654E0000}"/>
    <cellStyle name="40% - Accent1 2 3 4 3" xfId="31194" xr:uid="{00000000-0005-0000-0000-0000664E0000}"/>
    <cellStyle name="40% - Accent1 2 3 5" xfId="14243" xr:uid="{00000000-0005-0000-0000-0000674E0000}"/>
    <cellStyle name="40% - Accent1 2 3 5 2" xfId="36845" xr:uid="{00000000-0005-0000-0000-0000684E0000}"/>
    <cellStyle name="40% - Accent1 2 3 6" xfId="25544" xr:uid="{00000000-0005-0000-0000-0000694E0000}"/>
    <cellStyle name="40% - Accent1 2 4" xfId="2775" xr:uid="{00000000-0005-0000-0000-00006A4E0000}"/>
    <cellStyle name="40% - Accent1 2 5" xfId="3755" xr:uid="{00000000-0005-0000-0000-00006B4E0000}"/>
    <cellStyle name="40% - Accent1 2 5 2" xfId="9465" xr:uid="{00000000-0005-0000-0000-00006C4E0000}"/>
    <cellStyle name="40% - Accent1 2 5 2 2" xfId="20766" xr:uid="{00000000-0005-0000-0000-00006D4E0000}"/>
    <cellStyle name="40% - Accent1 2 5 2 2 2" xfId="43368" xr:uid="{00000000-0005-0000-0000-00006E4E0000}"/>
    <cellStyle name="40% - Accent1 2 5 2 3" xfId="32067" xr:uid="{00000000-0005-0000-0000-00006F4E0000}"/>
    <cellStyle name="40% - Accent1 2 5 3" xfId="15116" xr:uid="{00000000-0005-0000-0000-0000704E0000}"/>
    <cellStyle name="40% - Accent1 2 5 3 2" xfId="37718" xr:uid="{00000000-0005-0000-0000-0000714E0000}"/>
    <cellStyle name="40% - Accent1 2 5 4" xfId="26417" xr:uid="{00000000-0005-0000-0000-0000724E0000}"/>
    <cellStyle name="40% - Accent1 2 6" xfId="3882" xr:uid="{00000000-0005-0000-0000-0000734E0000}"/>
    <cellStyle name="40% - Accent1 3" xfId="151" xr:uid="{00000000-0005-0000-0000-0000744E0000}"/>
    <cellStyle name="40% - Accent1 3 2" xfId="283" xr:uid="{00000000-0005-0000-0000-0000754E0000}"/>
    <cellStyle name="40% - Accent1 3 2 10" xfId="23394" xr:uid="{00000000-0005-0000-0000-0000764E0000}"/>
    <cellStyle name="40% - Accent1 3 2 2" xfId="544" xr:uid="{00000000-0005-0000-0000-0000774E0000}"/>
    <cellStyle name="40% - Accent1 3 2 2 2" xfId="1254" xr:uid="{00000000-0005-0000-0000-0000784E0000}"/>
    <cellStyle name="40% - Accent1 3 2 2 2 2" xfId="1758" xr:uid="{00000000-0005-0000-0000-0000794E0000}"/>
    <cellStyle name="40% - Accent1 3 2 2 2 2 2" xfId="3323" xr:uid="{00000000-0005-0000-0000-00007A4E0000}"/>
    <cellStyle name="40% - Accent1 3 2 2 2 2 2 2" xfId="6295" xr:uid="{00000000-0005-0000-0000-00007B4E0000}"/>
    <cellStyle name="40% - Accent1 3 2 2 2 2 2 2 2" xfId="11945" xr:uid="{00000000-0005-0000-0000-00007C4E0000}"/>
    <cellStyle name="40% - Accent1 3 2 2 2 2 2 2 2 2" xfId="23246" xr:uid="{00000000-0005-0000-0000-00007D4E0000}"/>
    <cellStyle name="40% - Accent1 3 2 2 2 2 2 2 2 2 2" xfId="45848" xr:uid="{00000000-0005-0000-0000-00007E4E0000}"/>
    <cellStyle name="40% - Accent1 3 2 2 2 2 2 2 2 3" xfId="34547" xr:uid="{00000000-0005-0000-0000-00007F4E0000}"/>
    <cellStyle name="40% - Accent1 3 2 2 2 2 2 2 3" xfId="17596" xr:uid="{00000000-0005-0000-0000-0000804E0000}"/>
    <cellStyle name="40% - Accent1 3 2 2 2 2 2 2 3 2" xfId="40198" xr:uid="{00000000-0005-0000-0000-0000814E0000}"/>
    <cellStyle name="40% - Accent1 3 2 2 2 2 2 2 4" xfId="28897" xr:uid="{00000000-0005-0000-0000-0000824E0000}"/>
    <cellStyle name="40% - Accent1 3 2 2 2 2 2 3" xfId="9113" xr:uid="{00000000-0005-0000-0000-0000834E0000}"/>
    <cellStyle name="40% - Accent1 3 2 2 2 2 2 3 2" xfId="20414" xr:uid="{00000000-0005-0000-0000-0000844E0000}"/>
    <cellStyle name="40% - Accent1 3 2 2 2 2 2 3 2 2" xfId="43016" xr:uid="{00000000-0005-0000-0000-0000854E0000}"/>
    <cellStyle name="40% - Accent1 3 2 2 2 2 2 3 3" xfId="31715" xr:uid="{00000000-0005-0000-0000-0000864E0000}"/>
    <cellStyle name="40% - Accent1 3 2 2 2 2 2 4" xfId="14764" xr:uid="{00000000-0005-0000-0000-0000874E0000}"/>
    <cellStyle name="40% - Accent1 3 2 2 2 2 2 4 2" xfId="37366" xr:uid="{00000000-0005-0000-0000-0000884E0000}"/>
    <cellStyle name="40% - Accent1 3 2 2 2 2 2 5" xfId="26065" xr:uid="{00000000-0005-0000-0000-0000894E0000}"/>
    <cellStyle name="40% - Accent1 3 2 2 2 2 3" xfId="5061" xr:uid="{00000000-0005-0000-0000-00008A4E0000}"/>
    <cellStyle name="40% - Accent1 3 2 2 2 2 3 2" xfId="10711" xr:uid="{00000000-0005-0000-0000-00008B4E0000}"/>
    <cellStyle name="40% - Accent1 3 2 2 2 2 3 2 2" xfId="22012" xr:uid="{00000000-0005-0000-0000-00008C4E0000}"/>
    <cellStyle name="40% - Accent1 3 2 2 2 2 3 2 2 2" xfId="44614" xr:uid="{00000000-0005-0000-0000-00008D4E0000}"/>
    <cellStyle name="40% - Accent1 3 2 2 2 2 3 2 3" xfId="33313" xr:uid="{00000000-0005-0000-0000-00008E4E0000}"/>
    <cellStyle name="40% - Accent1 3 2 2 2 2 3 3" xfId="16362" xr:uid="{00000000-0005-0000-0000-00008F4E0000}"/>
    <cellStyle name="40% - Accent1 3 2 2 2 2 3 3 2" xfId="38964" xr:uid="{00000000-0005-0000-0000-0000904E0000}"/>
    <cellStyle name="40% - Accent1 3 2 2 2 2 3 4" xfId="27663" xr:uid="{00000000-0005-0000-0000-0000914E0000}"/>
    <cellStyle name="40% - Accent1 3 2 2 2 2 4" xfId="7614" xr:uid="{00000000-0005-0000-0000-0000924E0000}"/>
    <cellStyle name="40% - Accent1 3 2 2 2 2 4 2" xfId="18915" xr:uid="{00000000-0005-0000-0000-0000934E0000}"/>
    <cellStyle name="40% - Accent1 3 2 2 2 2 4 2 2" xfId="41517" xr:uid="{00000000-0005-0000-0000-0000944E0000}"/>
    <cellStyle name="40% - Accent1 3 2 2 2 2 4 3" xfId="30216" xr:uid="{00000000-0005-0000-0000-0000954E0000}"/>
    <cellStyle name="40% - Accent1 3 2 2 2 2 5" xfId="13265" xr:uid="{00000000-0005-0000-0000-0000964E0000}"/>
    <cellStyle name="40% - Accent1 3 2 2 2 2 5 2" xfId="35867" xr:uid="{00000000-0005-0000-0000-0000974E0000}"/>
    <cellStyle name="40% - Accent1 3 2 2 2 2 6" xfId="24566" xr:uid="{00000000-0005-0000-0000-0000984E0000}"/>
    <cellStyle name="40% - Accent1 3 2 2 2 3" xfId="2652" xr:uid="{00000000-0005-0000-0000-0000994E0000}"/>
    <cellStyle name="40% - Accent1 3 2 2 2 3 2" xfId="5671" xr:uid="{00000000-0005-0000-0000-00009A4E0000}"/>
    <cellStyle name="40% - Accent1 3 2 2 2 3 2 2" xfId="11321" xr:uid="{00000000-0005-0000-0000-00009B4E0000}"/>
    <cellStyle name="40% - Accent1 3 2 2 2 3 2 2 2" xfId="22622" xr:uid="{00000000-0005-0000-0000-00009C4E0000}"/>
    <cellStyle name="40% - Accent1 3 2 2 2 3 2 2 2 2" xfId="45224" xr:uid="{00000000-0005-0000-0000-00009D4E0000}"/>
    <cellStyle name="40% - Accent1 3 2 2 2 3 2 2 3" xfId="33923" xr:uid="{00000000-0005-0000-0000-00009E4E0000}"/>
    <cellStyle name="40% - Accent1 3 2 2 2 3 2 3" xfId="16972" xr:uid="{00000000-0005-0000-0000-00009F4E0000}"/>
    <cellStyle name="40% - Accent1 3 2 2 2 3 2 3 2" xfId="39574" xr:uid="{00000000-0005-0000-0000-0000A04E0000}"/>
    <cellStyle name="40% - Accent1 3 2 2 2 3 2 4" xfId="28273" xr:uid="{00000000-0005-0000-0000-0000A14E0000}"/>
    <cellStyle name="40% - Accent1 3 2 2 2 3 3" xfId="8488" xr:uid="{00000000-0005-0000-0000-0000A24E0000}"/>
    <cellStyle name="40% - Accent1 3 2 2 2 3 3 2" xfId="19789" xr:uid="{00000000-0005-0000-0000-0000A34E0000}"/>
    <cellStyle name="40% - Accent1 3 2 2 2 3 3 2 2" xfId="42391" xr:uid="{00000000-0005-0000-0000-0000A44E0000}"/>
    <cellStyle name="40% - Accent1 3 2 2 2 3 3 3" xfId="31090" xr:uid="{00000000-0005-0000-0000-0000A54E0000}"/>
    <cellStyle name="40% - Accent1 3 2 2 2 3 4" xfId="14139" xr:uid="{00000000-0005-0000-0000-0000A64E0000}"/>
    <cellStyle name="40% - Accent1 3 2 2 2 3 4 2" xfId="36741" xr:uid="{00000000-0005-0000-0000-0000A74E0000}"/>
    <cellStyle name="40% - Accent1 3 2 2 2 3 5" xfId="25440" xr:uid="{00000000-0005-0000-0000-0000A84E0000}"/>
    <cellStyle name="40% - Accent1 3 2 2 2 4" xfId="4437" xr:uid="{00000000-0005-0000-0000-0000A94E0000}"/>
    <cellStyle name="40% - Accent1 3 2 2 2 4 2" xfId="10087" xr:uid="{00000000-0005-0000-0000-0000AA4E0000}"/>
    <cellStyle name="40% - Accent1 3 2 2 2 4 2 2" xfId="21388" xr:uid="{00000000-0005-0000-0000-0000AB4E0000}"/>
    <cellStyle name="40% - Accent1 3 2 2 2 4 2 2 2" xfId="43990" xr:uid="{00000000-0005-0000-0000-0000AC4E0000}"/>
    <cellStyle name="40% - Accent1 3 2 2 2 4 2 3" xfId="32689" xr:uid="{00000000-0005-0000-0000-0000AD4E0000}"/>
    <cellStyle name="40% - Accent1 3 2 2 2 4 3" xfId="15738" xr:uid="{00000000-0005-0000-0000-0000AE4E0000}"/>
    <cellStyle name="40% - Accent1 3 2 2 2 4 3 2" xfId="38340" xr:uid="{00000000-0005-0000-0000-0000AF4E0000}"/>
    <cellStyle name="40% - Accent1 3 2 2 2 4 4" xfId="27039" xr:uid="{00000000-0005-0000-0000-0000B04E0000}"/>
    <cellStyle name="40% - Accent1 3 2 2 2 5" xfId="7233" xr:uid="{00000000-0005-0000-0000-0000B14E0000}"/>
    <cellStyle name="40% - Accent1 3 2 2 2 5 2" xfId="18534" xr:uid="{00000000-0005-0000-0000-0000B24E0000}"/>
    <cellStyle name="40% - Accent1 3 2 2 2 5 2 2" xfId="41136" xr:uid="{00000000-0005-0000-0000-0000B34E0000}"/>
    <cellStyle name="40% - Accent1 3 2 2 2 5 3" xfId="29835" xr:uid="{00000000-0005-0000-0000-0000B44E0000}"/>
    <cellStyle name="40% - Accent1 3 2 2 2 6" xfId="12884" xr:uid="{00000000-0005-0000-0000-0000B54E0000}"/>
    <cellStyle name="40% - Accent1 3 2 2 2 6 2" xfId="35486" xr:uid="{00000000-0005-0000-0000-0000B64E0000}"/>
    <cellStyle name="40% - Accent1 3 2 2 2 7" xfId="24185" xr:uid="{00000000-0005-0000-0000-0000B74E0000}"/>
    <cellStyle name="40% - Accent1 3 2 2 3" xfId="952" xr:uid="{00000000-0005-0000-0000-0000B84E0000}"/>
    <cellStyle name="40% - Accent1 3 2 2 3 2" xfId="3015" xr:uid="{00000000-0005-0000-0000-0000B94E0000}"/>
    <cellStyle name="40% - Accent1 3 2 2 3 2 2" xfId="5987" xr:uid="{00000000-0005-0000-0000-0000BA4E0000}"/>
    <cellStyle name="40% - Accent1 3 2 2 3 2 2 2" xfId="11637" xr:uid="{00000000-0005-0000-0000-0000BB4E0000}"/>
    <cellStyle name="40% - Accent1 3 2 2 3 2 2 2 2" xfId="22938" xr:uid="{00000000-0005-0000-0000-0000BC4E0000}"/>
    <cellStyle name="40% - Accent1 3 2 2 3 2 2 2 2 2" xfId="45540" xr:uid="{00000000-0005-0000-0000-0000BD4E0000}"/>
    <cellStyle name="40% - Accent1 3 2 2 3 2 2 2 3" xfId="34239" xr:uid="{00000000-0005-0000-0000-0000BE4E0000}"/>
    <cellStyle name="40% - Accent1 3 2 2 3 2 2 3" xfId="17288" xr:uid="{00000000-0005-0000-0000-0000BF4E0000}"/>
    <cellStyle name="40% - Accent1 3 2 2 3 2 2 3 2" xfId="39890" xr:uid="{00000000-0005-0000-0000-0000C04E0000}"/>
    <cellStyle name="40% - Accent1 3 2 2 3 2 2 4" xfId="28589" xr:uid="{00000000-0005-0000-0000-0000C14E0000}"/>
    <cellStyle name="40% - Accent1 3 2 2 3 2 3" xfId="8805" xr:uid="{00000000-0005-0000-0000-0000C24E0000}"/>
    <cellStyle name="40% - Accent1 3 2 2 3 2 3 2" xfId="20106" xr:uid="{00000000-0005-0000-0000-0000C34E0000}"/>
    <cellStyle name="40% - Accent1 3 2 2 3 2 3 2 2" xfId="42708" xr:uid="{00000000-0005-0000-0000-0000C44E0000}"/>
    <cellStyle name="40% - Accent1 3 2 2 3 2 3 3" xfId="31407" xr:uid="{00000000-0005-0000-0000-0000C54E0000}"/>
    <cellStyle name="40% - Accent1 3 2 2 3 2 4" xfId="14456" xr:uid="{00000000-0005-0000-0000-0000C64E0000}"/>
    <cellStyle name="40% - Accent1 3 2 2 3 2 4 2" xfId="37058" xr:uid="{00000000-0005-0000-0000-0000C74E0000}"/>
    <cellStyle name="40% - Accent1 3 2 2 3 2 5" xfId="25757" xr:uid="{00000000-0005-0000-0000-0000C84E0000}"/>
    <cellStyle name="40% - Accent1 3 2 2 3 3" xfId="4753" xr:uid="{00000000-0005-0000-0000-0000C94E0000}"/>
    <cellStyle name="40% - Accent1 3 2 2 3 3 2" xfId="10403" xr:uid="{00000000-0005-0000-0000-0000CA4E0000}"/>
    <cellStyle name="40% - Accent1 3 2 2 3 3 2 2" xfId="21704" xr:uid="{00000000-0005-0000-0000-0000CB4E0000}"/>
    <cellStyle name="40% - Accent1 3 2 2 3 3 2 2 2" xfId="44306" xr:uid="{00000000-0005-0000-0000-0000CC4E0000}"/>
    <cellStyle name="40% - Accent1 3 2 2 3 3 2 3" xfId="33005" xr:uid="{00000000-0005-0000-0000-0000CD4E0000}"/>
    <cellStyle name="40% - Accent1 3 2 2 3 3 3" xfId="16054" xr:uid="{00000000-0005-0000-0000-0000CE4E0000}"/>
    <cellStyle name="40% - Accent1 3 2 2 3 3 3 2" xfId="38656" xr:uid="{00000000-0005-0000-0000-0000CF4E0000}"/>
    <cellStyle name="40% - Accent1 3 2 2 3 3 4" xfId="27355" xr:uid="{00000000-0005-0000-0000-0000D04E0000}"/>
    <cellStyle name="40% - Accent1 3 2 2 3 4" xfId="6940" xr:uid="{00000000-0005-0000-0000-0000D14E0000}"/>
    <cellStyle name="40% - Accent1 3 2 2 3 4 2" xfId="18241" xr:uid="{00000000-0005-0000-0000-0000D24E0000}"/>
    <cellStyle name="40% - Accent1 3 2 2 3 4 2 2" xfId="40843" xr:uid="{00000000-0005-0000-0000-0000D34E0000}"/>
    <cellStyle name="40% - Accent1 3 2 2 3 4 3" xfId="29542" xr:uid="{00000000-0005-0000-0000-0000D44E0000}"/>
    <cellStyle name="40% - Accent1 3 2 2 3 5" xfId="12591" xr:uid="{00000000-0005-0000-0000-0000D54E0000}"/>
    <cellStyle name="40% - Accent1 3 2 2 3 5 2" xfId="35193" xr:uid="{00000000-0005-0000-0000-0000D64E0000}"/>
    <cellStyle name="40% - Accent1 3 2 2 3 6" xfId="23892" xr:uid="{00000000-0005-0000-0000-0000D74E0000}"/>
    <cellStyle name="40% - Accent1 3 2 2 4" xfId="1757" xr:uid="{00000000-0005-0000-0000-0000D84E0000}"/>
    <cellStyle name="40% - Accent1 3 2 2 4 2" xfId="3648" xr:uid="{00000000-0005-0000-0000-0000D94E0000}"/>
    <cellStyle name="40% - Accent1 3 2 2 4 2 2" xfId="9359" xr:uid="{00000000-0005-0000-0000-0000DA4E0000}"/>
    <cellStyle name="40% - Accent1 3 2 2 4 2 2 2" xfId="20660" xr:uid="{00000000-0005-0000-0000-0000DB4E0000}"/>
    <cellStyle name="40% - Accent1 3 2 2 4 2 2 2 2" xfId="43262" xr:uid="{00000000-0005-0000-0000-0000DC4E0000}"/>
    <cellStyle name="40% - Accent1 3 2 2 4 2 2 3" xfId="31961" xr:uid="{00000000-0005-0000-0000-0000DD4E0000}"/>
    <cellStyle name="40% - Accent1 3 2 2 4 2 3" xfId="15010" xr:uid="{00000000-0005-0000-0000-0000DE4E0000}"/>
    <cellStyle name="40% - Accent1 3 2 2 4 2 3 2" xfId="37612" xr:uid="{00000000-0005-0000-0000-0000DF4E0000}"/>
    <cellStyle name="40% - Accent1 3 2 2 4 2 4" xfId="26311" xr:uid="{00000000-0005-0000-0000-0000E04E0000}"/>
    <cellStyle name="40% - Accent1 3 2 2 4 3" xfId="5363" xr:uid="{00000000-0005-0000-0000-0000E14E0000}"/>
    <cellStyle name="40% - Accent1 3 2 2 4 3 2" xfId="11013" xr:uid="{00000000-0005-0000-0000-0000E24E0000}"/>
    <cellStyle name="40% - Accent1 3 2 2 4 3 2 2" xfId="22314" xr:uid="{00000000-0005-0000-0000-0000E34E0000}"/>
    <cellStyle name="40% - Accent1 3 2 2 4 3 2 2 2" xfId="44916" xr:uid="{00000000-0005-0000-0000-0000E44E0000}"/>
    <cellStyle name="40% - Accent1 3 2 2 4 3 2 3" xfId="33615" xr:uid="{00000000-0005-0000-0000-0000E54E0000}"/>
    <cellStyle name="40% - Accent1 3 2 2 4 3 3" xfId="16664" xr:uid="{00000000-0005-0000-0000-0000E64E0000}"/>
    <cellStyle name="40% - Accent1 3 2 2 4 3 3 2" xfId="39266" xr:uid="{00000000-0005-0000-0000-0000E74E0000}"/>
    <cellStyle name="40% - Accent1 3 2 2 4 3 4" xfId="27965" xr:uid="{00000000-0005-0000-0000-0000E84E0000}"/>
    <cellStyle name="40% - Accent1 3 2 2 4 4" xfId="7613" xr:uid="{00000000-0005-0000-0000-0000E94E0000}"/>
    <cellStyle name="40% - Accent1 3 2 2 4 4 2" xfId="18914" xr:uid="{00000000-0005-0000-0000-0000EA4E0000}"/>
    <cellStyle name="40% - Accent1 3 2 2 4 4 2 2" xfId="41516" xr:uid="{00000000-0005-0000-0000-0000EB4E0000}"/>
    <cellStyle name="40% - Accent1 3 2 2 4 4 3" xfId="30215" xr:uid="{00000000-0005-0000-0000-0000EC4E0000}"/>
    <cellStyle name="40% - Accent1 3 2 2 4 5" xfId="13264" xr:uid="{00000000-0005-0000-0000-0000ED4E0000}"/>
    <cellStyle name="40% - Accent1 3 2 2 4 5 2" xfId="35866" xr:uid="{00000000-0005-0000-0000-0000EE4E0000}"/>
    <cellStyle name="40% - Accent1 3 2 2 4 6" xfId="24565" xr:uid="{00000000-0005-0000-0000-0000EF4E0000}"/>
    <cellStyle name="40% - Accent1 3 2 2 5" xfId="2344" xr:uid="{00000000-0005-0000-0000-0000F04E0000}"/>
    <cellStyle name="40% - Accent1 3 2 2 5 2" xfId="8180" xr:uid="{00000000-0005-0000-0000-0000F14E0000}"/>
    <cellStyle name="40% - Accent1 3 2 2 5 2 2" xfId="19481" xr:uid="{00000000-0005-0000-0000-0000F24E0000}"/>
    <cellStyle name="40% - Accent1 3 2 2 5 2 2 2" xfId="42083" xr:uid="{00000000-0005-0000-0000-0000F34E0000}"/>
    <cellStyle name="40% - Accent1 3 2 2 5 2 3" xfId="30782" xr:uid="{00000000-0005-0000-0000-0000F44E0000}"/>
    <cellStyle name="40% - Accent1 3 2 2 5 3" xfId="13831" xr:uid="{00000000-0005-0000-0000-0000F54E0000}"/>
    <cellStyle name="40% - Accent1 3 2 2 5 3 2" xfId="36433" xr:uid="{00000000-0005-0000-0000-0000F64E0000}"/>
    <cellStyle name="40% - Accent1 3 2 2 5 4" xfId="25132" xr:uid="{00000000-0005-0000-0000-0000F74E0000}"/>
    <cellStyle name="40% - Accent1 3 2 2 6" xfId="4129" xr:uid="{00000000-0005-0000-0000-0000F84E0000}"/>
    <cellStyle name="40% - Accent1 3 2 2 6 2" xfId="9779" xr:uid="{00000000-0005-0000-0000-0000F94E0000}"/>
    <cellStyle name="40% - Accent1 3 2 2 6 2 2" xfId="21080" xr:uid="{00000000-0005-0000-0000-0000FA4E0000}"/>
    <cellStyle name="40% - Accent1 3 2 2 6 2 2 2" xfId="43682" xr:uid="{00000000-0005-0000-0000-0000FB4E0000}"/>
    <cellStyle name="40% - Accent1 3 2 2 6 2 3" xfId="32381" xr:uid="{00000000-0005-0000-0000-0000FC4E0000}"/>
    <cellStyle name="40% - Accent1 3 2 2 6 3" xfId="15430" xr:uid="{00000000-0005-0000-0000-0000FD4E0000}"/>
    <cellStyle name="40% - Accent1 3 2 2 6 3 2" xfId="38032" xr:uid="{00000000-0005-0000-0000-0000FE4E0000}"/>
    <cellStyle name="40% - Accent1 3 2 2 6 4" xfId="26731" xr:uid="{00000000-0005-0000-0000-0000FF4E0000}"/>
    <cellStyle name="40% - Accent1 3 2 2 7" xfId="6609" xr:uid="{00000000-0005-0000-0000-0000004F0000}"/>
    <cellStyle name="40% - Accent1 3 2 2 7 2" xfId="17910" xr:uid="{00000000-0005-0000-0000-0000014F0000}"/>
    <cellStyle name="40% - Accent1 3 2 2 7 2 2" xfId="40512" xr:uid="{00000000-0005-0000-0000-0000024F0000}"/>
    <cellStyle name="40% - Accent1 3 2 2 7 3" xfId="29211" xr:uid="{00000000-0005-0000-0000-0000034F0000}"/>
    <cellStyle name="40% - Accent1 3 2 2 8" xfId="12260" xr:uid="{00000000-0005-0000-0000-0000044F0000}"/>
    <cellStyle name="40% - Accent1 3 2 2 8 2" xfId="34862" xr:uid="{00000000-0005-0000-0000-0000054F0000}"/>
    <cellStyle name="40% - Accent1 3 2 2 9" xfId="23561" xr:uid="{00000000-0005-0000-0000-0000064F0000}"/>
    <cellStyle name="40% - Accent1 3 2 3" xfId="1116" xr:uid="{00000000-0005-0000-0000-0000074F0000}"/>
    <cellStyle name="40% - Accent1 3 2 3 2" xfId="1759" xr:uid="{00000000-0005-0000-0000-0000084F0000}"/>
    <cellStyle name="40% - Accent1 3 2 3 2 2" xfId="3184" xr:uid="{00000000-0005-0000-0000-0000094F0000}"/>
    <cellStyle name="40% - Accent1 3 2 3 2 2 2" xfId="6156" xr:uid="{00000000-0005-0000-0000-00000A4F0000}"/>
    <cellStyle name="40% - Accent1 3 2 3 2 2 2 2" xfId="11806" xr:uid="{00000000-0005-0000-0000-00000B4F0000}"/>
    <cellStyle name="40% - Accent1 3 2 3 2 2 2 2 2" xfId="23107" xr:uid="{00000000-0005-0000-0000-00000C4F0000}"/>
    <cellStyle name="40% - Accent1 3 2 3 2 2 2 2 2 2" xfId="45709" xr:uid="{00000000-0005-0000-0000-00000D4F0000}"/>
    <cellStyle name="40% - Accent1 3 2 3 2 2 2 2 3" xfId="34408" xr:uid="{00000000-0005-0000-0000-00000E4F0000}"/>
    <cellStyle name="40% - Accent1 3 2 3 2 2 2 3" xfId="17457" xr:uid="{00000000-0005-0000-0000-00000F4F0000}"/>
    <cellStyle name="40% - Accent1 3 2 3 2 2 2 3 2" xfId="40059" xr:uid="{00000000-0005-0000-0000-0000104F0000}"/>
    <cellStyle name="40% - Accent1 3 2 3 2 2 2 4" xfId="28758" xr:uid="{00000000-0005-0000-0000-0000114F0000}"/>
    <cellStyle name="40% - Accent1 3 2 3 2 2 3" xfId="8974" xr:uid="{00000000-0005-0000-0000-0000124F0000}"/>
    <cellStyle name="40% - Accent1 3 2 3 2 2 3 2" xfId="20275" xr:uid="{00000000-0005-0000-0000-0000134F0000}"/>
    <cellStyle name="40% - Accent1 3 2 3 2 2 3 2 2" xfId="42877" xr:uid="{00000000-0005-0000-0000-0000144F0000}"/>
    <cellStyle name="40% - Accent1 3 2 3 2 2 3 3" xfId="31576" xr:uid="{00000000-0005-0000-0000-0000154F0000}"/>
    <cellStyle name="40% - Accent1 3 2 3 2 2 4" xfId="14625" xr:uid="{00000000-0005-0000-0000-0000164F0000}"/>
    <cellStyle name="40% - Accent1 3 2 3 2 2 4 2" xfId="37227" xr:uid="{00000000-0005-0000-0000-0000174F0000}"/>
    <cellStyle name="40% - Accent1 3 2 3 2 2 5" xfId="25926" xr:uid="{00000000-0005-0000-0000-0000184F0000}"/>
    <cellStyle name="40% - Accent1 3 2 3 2 3" xfId="4922" xr:uid="{00000000-0005-0000-0000-0000194F0000}"/>
    <cellStyle name="40% - Accent1 3 2 3 2 3 2" xfId="10572" xr:uid="{00000000-0005-0000-0000-00001A4F0000}"/>
    <cellStyle name="40% - Accent1 3 2 3 2 3 2 2" xfId="21873" xr:uid="{00000000-0005-0000-0000-00001B4F0000}"/>
    <cellStyle name="40% - Accent1 3 2 3 2 3 2 2 2" xfId="44475" xr:uid="{00000000-0005-0000-0000-00001C4F0000}"/>
    <cellStyle name="40% - Accent1 3 2 3 2 3 2 3" xfId="33174" xr:uid="{00000000-0005-0000-0000-00001D4F0000}"/>
    <cellStyle name="40% - Accent1 3 2 3 2 3 3" xfId="16223" xr:uid="{00000000-0005-0000-0000-00001E4F0000}"/>
    <cellStyle name="40% - Accent1 3 2 3 2 3 3 2" xfId="38825" xr:uid="{00000000-0005-0000-0000-00001F4F0000}"/>
    <cellStyle name="40% - Accent1 3 2 3 2 3 4" xfId="27524" xr:uid="{00000000-0005-0000-0000-0000204F0000}"/>
    <cellStyle name="40% - Accent1 3 2 3 2 4" xfId="7615" xr:uid="{00000000-0005-0000-0000-0000214F0000}"/>
    <cellStyle name="40% - Accent1 3 2 3 2 4 2" xfId="18916" xr:uid="{00000000-0005-0000-0000-0000224F0000}"/>
    <cellStyle name="40% - Accent1 3 2 3 2 4 2 2" xfId="41518" xr:uid="{00000000-0005-0000-0000-0000234F0000}"/>
    <cellStyle name="40% - Accent1 3 2 3 2 4 3" xfId="30217" xr:uid="{00000000-0005-0000-0000-0000244F0000}"/>
    <cellStyle name="40% - Accent1 3 2 3 2 5" xfId="13266" xr:uid="{00000000-0005-0000-0000-0000254F0000}"/>
    <cellStyle name="40% - Accent1 3 2 3 2 5 2" xfId="35868" xr:uid="{00000000-0005-0000-0000-0000264F0000}"/>
    <cellStyle name="40% - Accent1 3 2 3 2 6" xfId="24567" xr:uid="{00000000-0005-0000-0000-0000274F0000}"/>
    <cellStyle name="40% - Accent1 3 2 3 3" xfId="2513" xr:uid="{00000000-0005-0000-0000-0000284F0000}"/>
    <cellStyle name="40% - Accent1 3 2 3 3 2" xfId="5532" xr:uid="{00000000-0005-0000-0000-0000294F0000}"/>
    <cellStyle name="40% - Accent1 3 2 3 3 2 2" xfId="11182" xr:uid="{00000000-0005-0000-0000-00002A4F0000}"/>
    <cellStyle name="40% - Accent1 3 2 3 3 2 2 2" xfId="22483" xr:uid="{00000000-0005-0000-0000-00002B4F0000}"/>
    <cellStyle name="40% - Accent1 3 2 3 3 2 2 2 2" xfId="45085" xr:uid="{00000000-0005-0000-0000-00002C4F0000}"/>
    <cellStyle name="40% - Accent1 3 2 3 3 2 2 3" xfId="33784" xr:uid="{00000000-0005-0000-0000-00002D4F0000}"/>
    <cellStyle name="40% - Accent1 3 2 3 3 2 3" xfId="16833" xr:uid="{00000000-0005-0000-0000-00002E4F0000}"/>
    <cellStyle name="40% - Accent1 3 2 3 3 2 3 2" xfId="39435" xr:uid="{00000000-0005-0000-0000-00002F4F0000}"/>
    <cellStyle name="40% - Accent1 3 2 3 3 2 4" xfId="28134" xr:uid="{00000000-0005-0000-0000-0000304F0000}"/>
    <cellStyle name="40% - Accent1 3 2 3 3 3" xfId="8349" xr:uid="{00000000-0005-0000-0000-0000314F0000}"/>
    <cellStyle name="40% - Accent1 3 2 3 3 3 2" xfId="19650" xr:uid="{00000000-0005-0000-0000-0000324F0000}"/>
    <cellStyle name="40% - Accent1 3 2 3 3 3 2 2" xfId="42252" xr:uid="{00000000-0005-0000-0000-0000334F0000}"/>
    <cellStyle name="40% - Accent1 3 2 3 3 3 3" xfId="30951" xr:uid="{00000000-0005-0000-0000-0000344F0000}"/>
    <cellStyle name="40% - Accent1 3 2 3 3 4" xfId="14000" xr:uid="{00000000-0005-0000-0000-0000354F0000}"/>
    <cellStyle name="40% - Accent1 3 2 3 3 4 2" xfId="36602" xr:uid="{00000000-0005-0000-0000-0000364F0000}"/>
    <cellStyle name="40% - Accent1 3 2 3 3 5" xfId="25301" xr:uid="{00000000-0005-0000-0000-0000374F0000}"/>
    <cellStyle name="40% - Accent1 3 2 3 4" xfId="4298" xr:uid="{00000000-0005-0000-0000-0000384F0000}"/>
    <cellStyle name="40% - Accent1 3 2 3 4 2" xfId="9948" xr:uid="{00000000-0005-0000-0000-0000394F0000}"/>
    <cellStyle name="40% - Accent1 3 2 3 4 2 2" xfId="21249" xr:uid="{00000000-0005-0000-0000-00003A4F0000}"/>
    <cellStyle name="40% - Accent1 3 2 3 4 2 2 2" xfId="43851" xr:uid="{00000000-0005-0000-0000-00003B4F0000}"/>
    <cellStyle name="40% - Accent1 3 2 3 4 2 3" xfId="32550" xr:uid="{00000000-0005-0000-0000-00003C4F0000}"/>
    <cellStyle name="40% - Accent1 3 2 3 4 3" xfId="15599" xr:uid="{00000000-0005-0000-0000-00003D4F0000}"/>
    <cellStyle name="40% - Accent1 3 2 3 4 3 2" xfId="38201" xr:uid="{00000000-0005-0000-0000-00003E4F0000}"/>
    <cellStyle name="40% - Accent1 3 2 3 4 4" xfId="26900" xr:uid="{00000000-0005-0000-0000-00003F4F0000}"/>
    <cellStyle name="40% - Accent1 3 2 3 5" xfId="7095" xr:uid="{00000000-0005-0000-0000-0000404F0000}"/>
    <cellStyle name="40% - Accent1 3 2 3 5 2" xfId="18396" xr:uid="{00000000-0005-0000-0000-0000414F0000}"/>
    <cellStyle name="40% - Accent1 3 2 3 5 2 2" xfId="40998" xr:uid="{00000000-0005-0000-0000-0000424F0000}"/>
    <cellStyle name="40% - Accent1 3 2 3 5 3" xfId="29697" xr:uid="{00000000-0005-0000-0000-0000434F0000}"/>
    <cellStyle name="40% - Accent1 3 2 3 6" xfId="12746" xr:uid="{00000000-0005-0000-0000-0000444F0000}"/>
    <cellStyle name="40% - Accent1 3 2 3 6 2" xfId="35348" xr:uid="{00000000-0005-0000-0000-0000454F0000}"/>
    <cellStyle name="40% - Accent1 3 2 3 7" xfId="24047" xr:uid="{00000000-0005-0000-0000-0000464F0000}"/>
    <cellStyle name="40% - Accent1 3 2 4" xfId="805" xr:uid="{00000000-0005-0000-0000-0000474F0000}"/>
    <cellStyle name="40% - Accent1 3 2 4 2" xfId="2877" xr:uid="{00000000-0005-0000-0000-0000484F0000}"/>
    <cellStyle name="40% - Accent1 3 2 4 2 2" xfId="5849" xr:uid="{00000000-0005-0000-0000-0000494F0000}"/>
    <cellStyle name="40% - Accent1 3 2 4 2 2 2" xfId="11499" xr:uid="{00000000-0005-0000-0000-00004A4F0000}"/>
    <cellStyle name="40% - Accent1 3 2 4 2 2 2 2" xfId="22800" xr:uid="{00000000-0005-0000-0000-00004B4F0000}"/>
    <cellStyle name="40% - Accent1 3 2 4 2 2 2 2 2" xfId="45402" xr:uid="{00000000-0005-0000-0000-00004C4F0000}"/>
    <cellStyle name="40% - Accent1 3 2 4 2 2 2 3" xfId="34101" xr:uid="{00000000-0005-0000-0000-00004D4F0000}"/>
    <cellStyle name="40% - Accent1 3 2 4 2 2 3" xfId="17150" xr:uid="{00000000-0005-0000-0000-00004E4F0000}"/>
    <cellStyle name="40% - Accent1 3 2 4 2 2 3 2" xfId="39752" xr:uid="{00000000-0005-0000-0000-00004F4F0000}"/>
    <cellStyle name="40% - Accent1 3 2 4 2 2 4" xfId="28451" xr:uid="{00000000-0005-0000-0000-0000504F0000}"/>
    <cellStyle name="40% - Accent1 3 2 4 2 3" xfId="8667" xr:uid="{00000000-0005-0000-0000-0000514F0000}"/>
    <cellStyle name="40% - Accent1 3 2 4 2 3 2" xfId="19968" xr:uid="{00000000-0005-0000-0000-0000524F0000}"/>
    <cellStyle name="40% - Accent1 3 2 4 2 3 2 2" xfId="42570" xr:uid="{00000000-0005-0000-0000-0000534F0000}"/>
    <cellStyle name="40% - Accent1 3 2 4 2 3 3" xfId="31269" xr:uid="{00000000-0005-0000-0000-0000544F0000}"/>
    <cellStyle name="40% - Accent1 3 2 4 2 4" xfId="14318" xr:uid="{00000000-0005-0000-0000-0000554F0000}"/>
    <cellStyle name="40% - Accent1 3 2 4 2 4 2" xfId="36920" xr:uid="{00000000-0005-0000-0000-0000564F0000}"/>
    <cellStyle name="40% - Accent1 3 2 4 2 5" xfId="25619" xr:uid="{00000000-0005-0000-0000-0000574F0000}"/>
    <cellStyle name="40% - Accent1 3 2 4 3" xfId="4615" xr:uid="{00000000-0005-0000-0000-0000584F0000}"/>
    <cellStyle name="40% - Accent1 3 2 4 3 2" xfId="10265" xr:uid="{00000000-0005-0000-0000-0000594F0000}"/>
    <cellStyle name="40% - Accent1 3 2 4 3 2 2" xfId="21566" xr:uid="{00000000-0005-0000-0000-00005A4F0000}"/>
    <cellStyle name="40% - Accent1 3 2 4 3 2 2 2" xfId="44168" xr:uid="{00000000-0005-0000-0000-00005B4F0000}"/>
    <cellStyle name="40% - Accent1 3 2 4 3 2 3" xfId="32867" xr:uid="{00000000-0005-0000-0000-00005C4F0000}"/>
    <cellStyle name="40% - Accent1 3 2 4 3 3" xfId="15916" xr:uid="{00000000-0005-0000-0000-00005D4F0000}"/>
    <cellStyle name="40% - Accent1 3 2 4 3 3 2" xfId="38518" xr:uid="{00000000-0005-0000-0000-00005E4F0000}"/>
    <cellStyle name="40% - Accent1 3 2 4 3 4" xfId="27217" xr:uid="{00000000-0005-0000-0000-00005F4F0000}"/>
    <cellStyle name="40% - Accent1 3 2 4 4" xfId="6802" xr:uid="{00000000-0005-0000-0000-0000604F0000}"/>
    <cellStyle name="40% - Accent1 3 2 4 4 2" xfId="18103" xr:uid="{00000000-0005-0000-0000-0000614F0000}"/>
    <cellStyle name="40% - Accent1 3 2 4 4 2 2" xfId="40705" xr:uid="{00000000-0005-0000-0000-0000624F0000}"/>
    <cellStyle name="40% - Accent1 3 2 4 4 3" xfId="29404" xr:uid="{00000000-0005-0000-0000-0000634F0000}"/>
    <cellStyle name="40% - Accent1 3 2 4 5" xfId="12453" xr:uid="{00000000-0005-0000-0000-0000644F0000}"/>
    <cellStyle name="40% - Accent1 3 2 4 5 2" xfId="35055" xr:uid="{00000000-0005-0000-0000-0000654F0000}"/>
    <cellStyle name="40% - Accent1 3 2 4 6" xfId="23754" xr:uid="{00000000-0005-0000-0000-0000664F0000}"/>
    <cellStyle name="40% - Accent1 3 2 5" xfId="1756" xr:uid="{00000000-0005-0000-0000-0000674F0000}"/>
    <cellStyle name="40% - Accent1 3 2 5 2" xfId="3647" xr:uid="{00000000-0005-0000-0000-0000684F0000}"/>
    <cellStyle name="40% - Accent1 3 2 5 2 2" xfId="9358" xr:uid="{00000000-0005-0000-0000-0000694F0000}"/>
    <cellStyle name="40% - Accent1 3 2 5 2 2 2" xfId="20659" xr:uid="{00000000-0005-0000-0000-00006A4F0000}"/>
    <cellStyle name="40% - Accent1 3 2 5 2 2 2 2" xfId="43261" xr:uid="{00000000-0005-0000-0000-00006B4F0000}"/>
    <cellStyle name="40% - Accent1 3 2 5 2 2 3" xfId="31960" xr:uid="{00000000-0005-0000-0000-00006C4F0000}"/>
    <cellStyle name="40% - Accent1 3 2 5 2 3" xfId="15009" xr:uid="{00000000-0005-0000-0000-00006D4F0000}"/>
    <cellStyle name="40% - Accent1 3 2 5 2 3 2" xfId="37611" xr:uid="{00000000-0005-0000-0000-00006E4F0000}"/>
    <cellStyle name="40% - Accent1 3 2 5 2 4" xfId="26310" xr:uid="{00000000-0005-0000-0000-00006F4F0000}"/>
    <cellStyle name="40% - Accent1 3 2 5 3" xfId="5225" xr:uid="{00000000-0005-0000-0000-0000704F0000}"/>
    <cellStyle name="40% - Accent1 3 2 5 3 2" xfId="10875" xr:uid="{00000000-0005-0000-0000-0000714F0000}"/>
    <cellStyle name="40% - Accent1 3 2 5 3 2 2" xfId="22176" xr:uid="{00000000-0005-0000-0000-0000724F0000}"/>
    <cellStyle name="40% - Accent1 3 2 5 3 2 2 2" xfId="44778" xr:uid="{00000000-0005-0000-0000-0000734F0000}"/>
    <cellStyle name="40% - Accent1 3 2 5 3 2 3" xfId="33477" xr:uid="{00000000-0005-0000-0000-0000744F0000}"/>
    <cellStyle name="40% - Accent1 3 2 5 3 3" xfId="16526" xr:uid="{00000000-0005-0000-0000-0000754F0000}"/>
    <cellStyle name="40% - Accent1 3 2 5 3 3 2" xfId="39128" xr:uid="{00000000-0005-0000-0000-0000764F0000}"/>
    <cellStyle name="40% - Accent1 3 2 5 3 4" xfId="27827" xr:uid="{00000000-0005-0000-0000-0000774F0000}"/>
    <cellStyle name="40% - Accent1 3 2 5 4" xfId="7612" xr:uid="{00000000-0005-0000-0000-0000784F0000}"/>
    <cellStyle name="40% - Accent1 3 2 5 4 2" xfId="18913" xr:uid="{00000000-0005-0000-0000-0000794F0000}"/>
    <cellStyle name="40% - Accent1 3 2 5 4 2 2" xfId="41515" xr:uid="{00000000-0005-0000-0000-00007A4F0000}"/>
    <cellStyle name="40% - Accent1 3 2 5 4 3" xfId="30214" xr:uid="{00000000-0005-0000-0000-00007B4F0000}"/>
    <cellStyle name="40% - Accent1 3 2 5 5" xfId="13263" xr:uid="{00000000-0005-0000-0000-00007C4F0000}"/>
    <cellStyle name="40% - Accent1 3 2 5 5 2" xfId="35865" xr:uid="{00000000-0005-0000-0000-00007D4F0000}"/>
    <cellStyle name="40% - Accent1 3 2 5 6" xfId="24564" xr:uid="{00000000-0005-0000-0000-00007E4F0000}"/>
    <cellStyle name="40% - Accent1 3 2 6" xfId="2203" xr:uid="{00000000-0005-0000-0000-00007F4F0000}"/>
    <cellStyle name="40% - Accent1 3 2 6 2" xfId="8039" xr:uid="{00000000-0005-0000-0000-0000804F0000}"/>
    <cellStyle name="40% - Accent1 3 2 6 2 2" xfId="19340" xr:uid="{00000000-0005-0000-0000-0000814F0000}"/>
    <cellStyle name="40% - Accent1 3 2 6 2 2 2" xfId="41942" xr:uid="{00000000-0005-0000-0000-0000824F0000}"/>
    <cellStyle name="40% - Accent1 3 2 6 2 3" xfId="30641" xr:uid="{00000000-0005-0000-0000-0000834F0000}"/>
    <cellStyle name="40% - Accent1 3 2 6 3" xfId="13690" xr:uid="{00000000-0005-0000-0000-0000844F0000}"/>
    <cellStyle name="40% - Accent1 3 2 6 3 2" xfId="36292" xr:uid="{00000000-0005-0000-0000-0000854F0000}"/>
    <cellStyle name="40% - Accent1 3 2 6 4" xfId="24991" xr:uid="{00000000-0005-0000-0000-0000864F0000}"/>
    <cellStyle name="40% - Accent1 3 2 7" xfId="3991" xr:uid="{00000000-0005-0000-0000-0000874F0000}"/>
    <cellStyle name="40% - Accent1 3 2 7 2" xfId="9641" xr:uid="{00000000-0005-0000-0000-0000884F0000}"/>
    <cellStyle name="40% - Accent1 3 2 7 2 2" xfId="20942" xr:uid="{00000000-0005-0000-0000-0000894F0000}"/>
    <cellStyle name="40% - Accent1 3 2 7 2 2 2" xfId="43544" xr:uid="{00000000-0005-0000-0000-00008A4F0000}"/>
    <cellStyle name="40% - Accent1 3 2 7 2 3" xfId="32243" xr:uid="{00000000-0005-0000-0000-00008B4F0000}"/>
    <cellStyle name="40% - Accent1 3 2 7 3" xfId="15292" xr:uid="{00000000-0005-0000-0000-00008C4F0000}"/>
    <cellStyle name="40% - Accent1 3 2 7 3 2" xfId="37894" xr:uid="{00000000-0005-0000-0000-00008D4F0000}"/>
    <cellStyle name="40% - Accent1 3 2 7 4" xfId="26593" xr:uid="{00000000-0005-0000-0000-00008E4F0000}"/>
    <cellStyle name="40% - Accent1 3 2 8" xfId="6442" xr:uid="{00000000-0005-0000-0000-00008F4F0000}"/>
    <cellStyle name="40% - Accent1 3 2 8 2" xfId="17743" xr:uid="{00000000-0005-0000-0000-0000904F0000}"/>
    <cellStyle name="40% - Accent1 3 2 8 2 2" xfId="40345" xr:uid="{00000000-0005-0000-0000-0000914F0000}"/>
    <cellStyle name="40% - Accent1 3 2 8 3" xfId="29044" xr:uid="{00000000-0005-0000-0000-0000924F0000}"/>
    <cellStyle name="40% - Accent1 3 2 9" xfId="12093" xr:uid="{00000000-0005-0000-0000-0000934F0000}"/>
    <cellStyle name="40% - Accent1 3 2 9 2" xfId="34695" xr:uid="{00000000-0005-0000-0000-0000944F0000}"/>
    <cellStyle name="40% - Accent1 3 3" xfId="348" xr:uid="{00000000-0005-0000-0000-0000954F0000}"/>
    <cellStyle name="40% - Accent1 3 3 10" xfId="23443" xr:uid="{00000000-0005-0000-0000-0000964F0000}"/>
    <cellStyle name="40% - Accent1 3 3 2" xfId="593" xr:uid="{00000000-0005-0000-0000-0000974F0000}"/>
    <cellStyle name="40% - Accent1 3 3 2 2" xfId="1303" xr:uid="{00000000-0005-0000-0000-0000984F0000}"/>
    <cellStyle name="40% - Accent1 3 3 2 2 2" xfId="1762" xr:uid="{00000000-0005-0000-0000-0000994F0000}"/>
    <cellStyle name="40% - Accent1 3 3 2 2 2 2" xfId="3372" xr:uid="{00000000-0005-0000-0000-00009A4F0000}"/>
    <cellStyle name="40% - Accent1 3 3 2 2 2 2 2" xfId="6344" xr:uid="{00000000-0005-0000-0000-00009B4F0000}"/>
    <cellStyle name="40% - Accent1 3 3 2 2 2 2 2 2" xfId="11994" xr:uid="{00000000-0005-0000-0000-00009C4F0000}"/>
    <cellStyle name="40% - Accent1 3 3 2 2 2 2 2 2 2" xfId="23295" xr:uid="{00000000-0005-0000-0000-00009D4F0000}"/>
    <cellStyle name="40% - Accent1 3 3 2 2 2 2 2 2 2 2" xfId="45897" xr:uid="{00000000-0005-0000-0000-00009E4F0000}"/>
    <cellStyle name="40% - Accent1 3 3 2 2 2 2 2 2 3" xfId="34596" xr:uid="{00000000-0005-0000-0000-00009F4F0000}"/>
    <cellStyle name="40% - Accent1 3 3 2 2 2 2 2 3" xfId="17645" xr:uid="{00000000-0005-0000-0000-0000A04F0000}"/>
    <cellStyle name="40% - Accent1 3 3 2 2 2 2 2 3 2" xfId="40247" xr:uid="{00000000-0005-0000-0000-0000A14F0000}"/>
    <cellStyle name="40% - Accent1 3 3 2 2 2 2 2 4" xfId="28946" xr:uid="{00000000-0005-0000-0000-0000A24F0000}"/>
    <cellStyle name="40% - Accent1 3 3 2 2 2 2 3" xfId="9162" xr:uid="{00000000-0005-0000-0000-0000A34F0000}"/>
    <cellStyle name="40% - Accent1 3 3 2 2 2 2 3 2" xfId="20463" xr:uid="{00000000-0005-0000-0000-0000A44F0000}"/>
    <cellStyle name="40% - Accent1 3 3 2 2 2 2 3 2 2" xfId="43065" xr:uid="{00000000-0005-0000-0000-0000A54F0000}"/>
    <cellStyle name="40% - Accent1 3 3 2 2 2 2 3 3" xfId="31764" xr:uid="{00000000-0005-0000-0000-0000A64F0000}"/>
    <cellStyle name="40% - Accent1 3 3 2 2 2 2 4" xfId="14813" xr:uid="{00000000-0005-0000-0000-0000A74F0000}"/>
    <cellStyle name="40% - Accent1 3 3 2 2 2 2 4 2" xfId="37415" xr:uid="{00000000-0005-0000-0000-0000A84F0000}"/>
    <cellStyle name="40% - Accent1 3 3 2 2 2 2 5" xfId="26114" xr:uid="{00000000-0005-0000-0000-0000A94F0000}"/>
    <cellStyle name="40% - Accent1 3 3 2 2 2 3" xfId="5110" xr:uid="{00000000-0005-0000-0000-0000AA4F0000}"/>
    <cellStyle name="40% - Accent1 3 3 2 2 2 3 2" xfId="10760" xr:uid="{00000000-0005-0000-0000-0000AB4F0000}"/>
    <cellStyle name="40% - Accent1 3 3 2 2 2 3 2 2" xfId="22061" xr:uid="{00000000-0005-0000-0000-0000AC4F0000}"/>
    <cellStyle name="40% - Accent1 3 3 2 2 2 3 2 2 2" xfId="44663" xr:uid="{00000000-0005-0000-0000-0000AD4F0000}"/>
    <cellStyle name="40% - Accent1 3 3 2 2 2 3 2 3" xfId="33362" xr:uid="{00000000-0005-0000-0000-0000AE4F0000}"/>
    <cellStyle name="40% - Accent1 3 3 2 2 2 3 3" xfId="16411" xr:uid="{00000000-0005-0000-0000-0000AF4F0000}"/>
    <cellStyle name="40% - Accent1 3 3 2 2 2 3 3 2" xfId="39013" xr:uid="{00000000-0005-0000-0000-0000B04F0000}"/>
    <cellStyle name="40% - Accent1 3 3 2 2 2 3 4" xfId="27712" xr:uid="{00000000-0005-0000-0000-0000B14F0000}"/>
    <cellStyle name="40% - Accent1 3 3 2 2 2 4" xfId="7618" xr:uid="{00000000-0005-0000-0000-0000B24F0000}"/>
    <cellStyle name="40% - Accent1 3 3 2 2 2 4 2" xfId="18919" xr:uid="{00000000-0005-0000-0000-0000B34F0000}"/>
    <cellStyle name="40% - Accent1 3 3 2 2 2 4 2 2" xfId="41521" xr:uid="{00000000-0005-0000-0000-0000B44F0000}"/>
    <cellStyle name="40% - Accent1 3 3 2 2 2 4 3" xfId="30220" xr:uid="{00000000-0005-0000-0000-0000B54F0000}"/>
    <cellStyle name="40% - Accent1 3 3 2 2 2 5" xfId="13269" xr:uid="{00000000-0005-0000-0000-0000B64F0000}"/>
    <cellStyle name="40% - Accent1 3 3 2 2 2 5 2" xfId="35871" xr:uid="{00000000-0005-0000-0000-0000B74F0000}"/>
    <cellStyle name="40% - Accent1 3 3 2 2 2 6" xfId="24570" xr:uid="{00000000-0005-0000-0000-0000B84F0000}"/>
    <cellStyle name="40% - Accent1 3 3 2 2 3" xfId="2701" xr:uid="{00000000-0005-0000-0000-0000B94F0000}"/>
    <cellStyle name="40% - Accent1 3 3 2 2 3 2" xfId="5720" xr:uid="{00000000-0005-0000-0000-0000BA4F0000}"/>
    <cellStyle name="40% - Accent1 3 3 2 2 3 2 2" xfId="11370" xr:uid="{00000000-0005-0000-0000-0000BB4F0000}"/>
    <cellStyle name="40% - Accent1 3 3 2 2 3 2 2 2" xfId="22671" xr:uid="{00000000-0005-0000-0000-0000BC4F0000}"/>
    <cellStyle name="40% - Accent1 3 3 2 2 3 2 2 2 2" xfId="45273" xr:uid="{00000000-0005-0000-0000-0000BD4F0000}"/>
    <cellStyle name="40% - Accent1 3 3 2 2 3 2 2 3" xfId="33972" xr:uid="{00000000-0005-0000-0000-0000BE4F0000}"/>
    <cellStyle name="40% - Accent1 3 3 2 2 3 2 3" xfId="17021" xr:uid="{00000000-0005-0000-0000-0000BF4F0000}"/>
    <cellStyle name="40% - Accent1 3 3 2 2 3 2 3 2" xfId="39623" xr:uid="{00000000-0005-0000-0000-0000C04F0000}"/>
    <cellStyle name="40% - Accent1 3 3 2 2 3 2 4" xfId="28322" xr:uid="{00000000-0005-0000-0000-0000C14F0000}"/>
    <cellStyle name="40% - Accent1 3 3 2 2 3 3" xfId="8537" xr:uid="{00000000-0005-0000-0000-0000C24F0000}"/>
    <cellStyle name="40% - Accent1 3 3 2 2 3 3 2" xfId="19838" xr:uid="{00000000-0005-0000-0000-0000C34F0000}"/>
    <cellStyle name="40% - Accent1 3 3 2 2 3 3 2 2" xfId="42440" xr:uid="{00000000-0005-0000-0000-0000C44F0000}"/>
    <cellStyle name="40% - Accent1 3 3 2 2 3 3 3" xfId="31139" xr:uid="{00000000-0005-0000-0000-0000C54F0000}"/>
    <cellStyle name="40% - Accent1 3 3 2 2 3 4" xfId="14188" xr:uid="{00000000-0005-0000-0000-0000C64F0000}"/>
    <cellStyle name="40% - Accent1 3 3 2 2 3 4 2" xfId="36790" xr:uid="{00000000-0005-0000-0000-0000C74F0000}"/>
    <cellStyle name="40% - Accent1 3 3 2 2 3 5" xfId="25489" xr:uid="{00000000-0005-0000-0000-0000C84F0000}"/>
    <cellStyle name="40% - Accent1 3 3 2 2 4" xfId="4486" xr:uid="{00000000-0005-0000-0000-0000C94F0000}"/>
    <cellStyle name="40% - Accent1 3 3 2 2 4 2" xfId="10136" xr:uid="{00000000-0005-0000-0000-0000CA4F0000}"/>
    <cellStyle name="40% - Accent1 3 3 2 2 4 2 2" xfId="21437" xr:uid="{00000000-0005-0000-0000-0000CB4F0000}"/>
    <cellStyle name="40% - Accent1 3 3 2 2 4 2 2 2" xfId="44039" xr:uid="{00000000-0005-0000-0000-0000CC4F0000}"/>
    <cellStyle name="40% - Accent1 3 3 2 2 4 2 3" xfId="32738" xr:uid="{00000000-0005-0000-0000-0000CD4F0000}"/>
    <cellStyle name="40% - Accent1 3 3 2 2 4 3" xfId="15787" xr:uid="{00000000-0005-0000-0000-0000CE4F0000}"/>
    <cellStyle name="40% - Accent1 3 3 2 2 4 3 2" xfId="38389" xr:uid="{00000000-0005-0000-0000-0000CF4F0000}"/>
    <cellStyle name="40% - Accent1 3 3 2 2 4 4" xfId="27088" xr:uid="{00000000-0005-0000-0000-0000D04F0000}"/>
    <cellStyle name="40% - Accent1 3 3 2 2 5" xfId="7282" xr:uid="{00000000-0005-0000-0000-0000D14F0000}"/>
    <cellStyle name="40% - Accent1 3 3 2 2 5 2" xfId="18583" xr:uid="{00000000-0005-0000-0000-0000D24F0000}"/>
    <cellStyle name="40% - Accent1 3 3 2 2 5 2 2" xfId="41185" xr:uid="{00000000-0005-0000-0000-0000D34F0000}"/>
    <cellStyle name="40% - Accent1 3 3 2 2 5 3" xfId="29884" xr:uid="{00000000-0005-0000-0000-0000D44F0000}"/>
    <cellStyle name="40% - Accent1 3 3 2 2 6" xfId="12933" xr:uid="{00000000-0005-0000-0000-0000D54F0000}"/>
    <cellStyle name="40% - Accent1 3 3 2 2 6 2" xfId="35535" xr:uid="{00000000-0005-0000-0000-0000D64F0000}"/>
    <cellStyle name="40% - Accent1 3 3 2 2 7" xfId="24234" xr:uid="{00000000-0005-0000-0000-0000D74F0000}"/>
    <cellStyle name="40% - Accent1 3 3 2 3" xfId="1001" xr:uid="{00000000-0005-0000-0000-0000D84F0000}"/>
    <cellStyle name="40% - Accent1 3 3 2 3 2" xfId="3064" xr:uid="{00000000-0005-0000-0000-0000D94F0000}"/>
    <cellStyle name="40% - Accent1 3 3 2 3 2 2" xfId="6036" xr:uid="{00000000-0005-0000-0000-0000DA4F0000}"/>
    <cellStyle name="40% - Accent1 3 3 2 3 2 2 2" xfId="11686" xr:uid="{00000000-0005-0000-0000-0000DB4F0000}"/>
    <cellStyle name="40% - Accent1 3 3 2 3 2 2 2 2" xfId="22987" xr:uid="{00000000-0005-0000-0000-0000DC4F0000}"/>
    <cellStyle name="40% - Accent1 3 3 2 3 2 2 2 2 2" xfId="45589" xr:uid="{00000000-0005-0000-0000-0000DD4F0000}"/>
    <cellStyle name="40% - Accent1 3 3 2 3 2 2 2 3" xfId="34288" xr:uid="{00000000-0005-0000-0000-0000DE4F0000}"/>
    <cellStyle name="40% - Accent1 3 3 2 3 2 2 3" xfId="17337" xr:uid="{00000000-0005-0000-0000-0000DF4F0000}"/>
    <cellStyle name="40% - Accent1 3 3 2 3 2 2 3 2" xfId="39939" xr:uid="{00000000-0005-0000-0000-0000E04F0000}"/>
    <cellStyle name="40% - Accent1 3 3 2 3 2 2 4" xfId="28638" xr:uid="{00000000-0005-0000-0000-0000E14F0000}"/>
    <cellStyle name="40% - Accent1 3 3 2 3 2 3" xfId="8854" xr:uid="{00000000-0005-0000-0000-0000E24F0000}"/>
    <cellStyle name="40% - Accent1 3 3 2 3 2 3 2" xfId="20155" xr:uid="{00000000-0005-0000-0000-0000E34F0000}"/>
    <cellStyle name="40% - Accent1 3 3 2 3 2 3 2 2" xfId="42757" xr:uid="{00000000-0005-0000-0000-0000E44F0000}"/>
    <cellStyle name="40% - Accent1 3 3 2 3 2 3 3" xfId="31456" xr:uid="{00000000-0005-0000-0000-0000E54F0000}"/>
    <cellStyle name="40% - Accent1 3 3 2 3 2 4" xfId="14505" xr:uid="{00000000-0005-0000-0000-0000E64F0000}"/>
    <cellStyle name="40% - Accent1 3 3 2 3 2 4 2" xfId="37107" xr:uid="{00000000-0005-0000-0000-0000E74F0000}"/>
    <cellStyle name="40% - Accent1 3 3 2 3 2 5" xfId="25806" xr:uid="{00000000-0005-0000-0000-0000E84F0000}"/>
    <cellStyle name="40% - Accent1 3 3 2 3 3" xfId="4802" xr:uid="{00000000-0005-0000-0000-0000E94F0000}"/>
    <cellStyle name="40% - Accent1 3 3 2 3 3 2" xfId="10452" xr:uid="{00000000-0005-0000-0000-0000EA4F0000}"/>
    <cellStyle name="40% - Accent1 3 3 2 3 3 2 2" xfId="21753" xr:uid="{00000000-0005-0000-0000-0000EB4F0000}"/>
    <cellStyle name="40% - Accent1 3 3 2 3 3 2 2 2" xfId="44355" xr:uid="{00000000-0005-0000-0000-0000EC4F0000}"/>
    <cellStyle name="40% - Accent1 3 3 2 3 3 2 3" xfId="33054" xr:uid="{00000000-0005-0000-0000-0000ED4F0000}"/>
    <cellStyle name="40% - Accent1 3 3 2 3 3 3" xfId="16103" xr:uid="{00000000-0005-0000-0000-0000EE4F0000}"/>
    <cellStyle name="40% - Accent1 3 3 2 3 3 3 2" xfId="38705" xr:uid="{00000000-0005-0000-0000-0000EF4F0000}"/>
    <cellStyle name="40% - Accent1 3 3 2 3 3 4" xfId="27404" xr:uid="{00000000-0005-0000-0000-0000F04F0000}"/>
    <cellStyle name="40% - Accent1 3 3 2 3 4" xfId="6989" xr:uid="{00000000-0005-0000-0000-0000F14F0000}"/>
    <cellStyle name="40% - Accent1 3 3 2 3 4 2" xfId="18290" xr:uid="{00000000-0005-0000-0000-0000F24F0000}"/>
    <cellStyle name="40% - Accent1 3 3 2 3 4 2 2" xfId="40892" xr:uid="{00000000-0005-0000-0000-0000F34F0000}"/>
    <cellStyle name="40% - Accent1 3 3 2 3 4 3" xfId="29591" xr:uid="{00000000-0005-0000-0000-0000F44F0000}"/>
    <cellStyle name="40% - Accent1 3 3 2 3 5" xfId="12640" xr:uid="{00000000-0005-0000-0000-0000F54F0000}"/>
    <cellStyle name="40% - Accent1 3 3 2 3 5 2" xfId="35242" xr:uid="{00000000-0005-0000-0000-0000F64F0000}"/>
    <cellStyle name="40% - Accent1 3 3 2 3 6" xfId="23941" xr:uid="{00000000-0005-0000-0000-0000F74F0000}"/>
    <cellStyle name="40% - Accent1 3 3 2 4" xfId="1761" xr:uid="{00000000-0005-0000-0000-0000F84F0000}"/>
    <cellStyle name="40% - Accent1 3 3 2 4 2" xfId="3650" xr:uid="{00000000-0005-0000-0000-0000F94F0000}"/>
    <cellStyle name="40% - Accent1 3 3 2 4 2 2" xfId="9361" xr:uid="{00000000-0005-0000-0000-0000FA4F0000}"/>
    <cellStyle name="40% - Accent1 3 3 2 4 2 2 2" xfId="20662" xr:uid="{00000000-0005-0000-0000-0000FB4F0000}"/>
    <cellStyle name="40% - Accent1 3 3 2 4 2 2 2 2" xfId="43264" xr:uid="{00000000-0005-0000-0000-0000FC4F0000}"/>
    <cellStyle name="40% - Accent1 3 3 2 4 2 2 3" xfId="31963" xr:uid="{00000000-0005-0000-0000-0000FD4F0000}"/>
    <cellStyle name="40% - Accent1 3 3 2 4 2 3" xfId="15012" xr:uid="{00000000-0005-0000-0000-0000FE4F0000}"/>
    <cellStyle name="40% - Accent1 3 3 2 4 2 3 2" xfId="37614" xr:uid="{00000000-0005-0000-0000-0000FF4F0000}"/>
    <cellStyle name="40% - Accent1 3 3 2 4 2 4" xfId="26313" xr:uid="{00000000-0005-0000-0000-000000500000}"/>
    <cellStyle name="40% - Accent1 3 3 2 4 3" xfId="5412" xr:uid="{00000000-0005-0000-0000-000001500000}"/>
    <cellStyle name="40% - Accent1 3 3 2 4 3 2" xfId="11062" xr:uid="{00000000-0005-0000-0000-000002500000}"/>
    <cellStyle name="40% - Accent1 3 3 2 4 3 2 2" xfId="22363" xr:uid="{00000000-0005-0000-0000-000003500000}"/>
    <cellStyle name="40% - Accent1 3 3 2 4 3 2 2 2" xfId="44965" xr:uid="{00000000-0005-0000-0000-000004500000}"/>
    <cellStyle name="40% - Accent1 3 3 2 4 3 2 3" xfId="33664" xr:uid="{00000000-0005-0000-0000-000005500000}"/>
    <cellStyle name="40% - Accent1 3 3 2 4 3 3" xfId="16713" xr:uid="{00000000-0005-0000-0000-000006500000}"/>
    <cellStyle name="40% - Accent1 3 3 2 4 3 3 2" xfId="39315" xr:uid="{00000000-0005-0000-0000-000007500000}"/>
    <cellStyle name="40% - Accent1 3 3 2 4 3 4" xfId="28014" xr:uid="{00000000-0005-0000-0000-000008500000}"/>
    <cellStyle name="40% - Accent1 3 3 2 4 4" xfId="7617" xr:uid="{00000000-0005-0000-0000-000009500000}"/>
    <cellStyle name="40% - Accent1 3 3 2 4 4 2" xfId="18918" xr:uid="{00000000-0005-0000-0000-00000A500000}"/>
    <cellStyle name="40% - Accent1 3 3 2 4 4 2 2" xfId="41520" xr:uid="{00000000-0005-0000-0000-00000B500000}"/>
    <cellStyle name="40% - Accent1 3 3 2 4 4 3" xfId="30219" xr:uid="{00000000-0005-0000-0000-00000C500000}"/>
    <cellStyle name="40% - Accent1 3 3 2 4 5" xfId="13268" xr:uid="{00000000-0005-0000-0000-00000D500000}"/>
    <cellStyle name="40% - Accent1 3 3 2 4 5 2" xfId="35870" xr:uid="{00000000-0005-0000-0000-00000E500000}"/>
    <cellStyle name="40% - Accent1 3 3 2 4 6" xfId="24569" xr:uid="{00000000-0005-0000-0000-00000F500000}"/>
    <cellStyle name="40% - Accent1 3 3 2 5" xfId="2393" xr:uid="{00000000-0005-0000-0000-000010500000}"/>
    <cellStyle name="40% - Accent1 3 3 2 5 2" xfId="8229" xr:uid="{00000000-0005-0000-0000-000011500000}"/>
    <cellStyle name="40% - Accent1 3 3 2 5 2 2" xfId="19530" xr:uid="{00000000-0005-0000-0000-000012500000}"/>
    <cellStyle name="40% - Accent1 3 3 2 5 2 2 2" xfId="42132" xr:uid="{00000000-0005-0000-0000-000013500000}"/>
    <cellStyle name="40% - Accent1 3 3 2 5 2 3" xfId="30831" xr:uid="{00000000-0005-0000-0000-000014500000}"/>
    <cellStyle name="40% - Accent1 3 3 2 5 3" xfId="13880" xr:uid="{00000000-0005-0000-0000-000015500000}"/>
    <cellStyle name="40% - Accent1 3 3 2 5 3 2" xfId="36482" xr:uid="{00000000-0005-0000-0000-000016500000}"/>
    <cellStyle name="40% - Accent1 3 3 2 5 4" xfId="25181" xr:uid="{00000000-0005-0000-0000-000017500000}"/>
    <cellStyle name="40% - Accent1 3 3 2 6" xfId="4178" xr:uid="{00000000-0005-0000-0000-000018500000}"/>
    <cellStyle name="40% - Accent1 3 3 2 6 2" xfId="9828" xr:uid="{00000000-0005-0000-0000-000019500000}"/>
    <cellStyle name="40% - Accent1 3 3 2 6 2 2" xfId="21129" xr:uid="{00000000-0005-0000-0000-00001A500000}"/>
    <cellStyle name="40% - Accent1 3 3 2 6 2 2 2" xfId="43731" xr:uid="{00000000-0005-0000-0000-00001B500000}"/>
    <cellStyle name="40% - Accent1 3 3 2 6 2 3" xfId="32430" xr:uid="{00000000-0005-0000-0000-00001C500000}"/>
    <cellStyle name="40% - Accent1 3 3 2 6 3" xfId="15479" xr:uid="{00000000-0005-0000-0000-00001D500000}"/>
    <cellStyle name="40% - Accent1 3 3 2 6 3 2" xfId="38081" xr:uid="{00000000-0005-0000-0000-00001E500000}"/>
    <cellStyle name="40% - Accent1 3 3 2 6 4" xfId="26780" xr:uid="{00000000-0005-0000-0000-00001F500000}"/>
    <cellStyle name="40% - Accent1 3 3 2 7" xfId="6658" xr:uid="{00000000-0005-0000-0000-000020500000}"/>
    <cellStyle name="40% - Accent1 3 3 2 7 2" xfId="17959" xr:uid="{00000000-0005-0000-0000-000021500000}"/>
    <cellStyle name="40% - Accent1 3 3 2 7 2 2" xfId="40561" xr:uid="{00000000-0005-0000-0000-000022500000}"/>
    <cellStyle name="40% - Accent1 3 3 2 7 3" xfId="29260" xr:uid="{00000000-0005-0000-0000-000023500000}"/>
    <cellStyle name="40% - Accent1 3 3 2 8" xfId="12309" xr:uid="{00000000-0005-0000-0000-000024500000}"/>
    <cellStyle name="40% - Accent1 3 3 2 8 2" xfId="34911" xr:uid="{00000000-0005-0000-0000-000025500000}"/>
    <cellStyle name="40% - Accent1 3 3 2 9" xfId="23610" xr:uid="{00000000-0005-0000-0000-000026500000}"/>
    <cellStyle name="40% - Accent1 3 3 3" xfId="1165" xr:uid="{00000000-0005-0000-0000-000027500000}"/>
    <cellStyle name="40% - Accent1 3 3 3 2" xfId="1763" xr:uid="{00000000-0005-0000-0000-000028500000}"/>
    <cellStyle name="40% - Accent1 3 3 3 2 2" xfId="3233" xr:uid="{00000000-0005-0000-0000-000029500000}"/>
    <cellStyle name="40% - Accent1 3 3 3 2 2 2" xfId="6205" xr:uid="{00000000-0005-0000-0000-00002A500000}"/>
    <cellStyle name="40% - Accent1 3 3 3 2 2 2 2" xfId="11855" xr:uid="{00000000-0005-0000-0000-00002B500000}"/>
    <cellStyle name="40% - Accent1 3 3 3 2 2 2 2 2" xfId="23156" xr:uid="{00000000-0005-0000-0000-00002C500000}"/>
    <cellStyle name="40% - Accent1 3 3 3 2 2 2 2 2 2" xfId="45758" xr:uid="{00000000-0005-0000-0000-00002D500000}"/>
    <cellStyle name="40% - Accent1 3 3 3 2 2 2 2 3" xfId="34457" xr:uid="{00000000-0005-0000-0000-00002E500000}"/>
    <cellStyle name="40% - Accent1 3 3 3 2 2 2 3" xfId="17506" xr:uid="{00000000-0005-0000-0000-00002F500000}"/>
    <cellStyle name="40% - Accent1 3 3 3 2 2 2 3 2" xfId="40108" xr:uid="{00000000-0005-0000-0000-000030500000}"/>
    <cellStyle name="40% - Accent1 3 3 3 2 2 2 4" xfId="28807" xr:uid="{00000000-0005-0000-0000-000031500000}"/>
    <cellStyle name="40% - Accent1 3 3 3 2 2 3" xfId="9023" xr:uid="{00000000-0005-0000-0000-000032500000}"/>
    <cellStyle name="40% - Accent1 3 3 3 2 2 3 2" xfId="20324" xr:uid="{00000000-0005-0000-0000-000033500000}"/>
    <cellStyle name="40% - Accent1 3 3 3 2 2 3 2 2" xfId="42926" xr:uid="{00000000-0005-0000-0000-000034500000}"/>
    <cellStyle name="40% - Accent1 3 3 3 2 2 3 3" xfId="31625" xr:uid="{00000000-0005-0000-0000-000035500000}"/>
    <cellStyle name="40% - Accent1 3 3 3 2 2 4" xfId="14674" xr:uid="{00000000-0005-0000-0000-000036500000}"/>
    <cellStyle name="40% - Accent1 3 3 3 2 2 4 2" xfId="37276" xr:uid="{00000000-0005-0000-0000-000037500000}"/>
    <cellStyle name="40% - Accent1 3 3 3 2 2 5" xfId="25975" xr:uid="{00000000-0005-0000-0000-000038500000}"/>
    <cellStyle name="40% - Accent1 3 3 3 2 3" xfId="4971" xr:uid="{00000000-0005-0000-0000-000039500000}"/>
    <cellStyle name="40% - Accent1 3 3 3 2 3 2" xfId="10621" xr:uid="{00000000-0005-0000-0000-00003A500000}"/>
    <cellStyle name="40% - Accent1 3 3 3 2 3 2 2" xfId="21922" xr:uid="{00000000-0005-0000-0000-00003B500000}"/>
    <cellStyle name="40% - Accent1 3 3 3 2 3 2 2 2" xfId="44524" xr:uid="{00000000-0005-0000-0000-00003C500000}"/>
    <cellStyle name="40% - Accent1 3 3 3 2 3 2 3" xfId="33223" xr:uid="{00000000-0005-0000-0000-00003D500000}"/>
    <cellStyle name="40% - Accent1 3 3 3 2 3 3" xfId="16272" xr:uid="{00000000-0005-0000-0000-00003E500000}"/>
    <cellStyle name="40% - Accent1 3 3 3 2 3 3 2" xfId="38874" xr:uid="{00000000-0005-0000-0000-00003F500000}"/>
    <cellStyle name="40% - Accent1 3 3 3 2 3 4" xfId="27573" xr:uid="{00000000-0005-0000-0000-000040500000}"/>
    <cellStyle name="40% - Accent1 3 3 3 2 4" xfId="7619" xr:uid="{00000000-0005-0000-0000-000041500000}"/>
    <cellStyle name="40% - Accent1 3 3 3 2 4 2" xfId="18920" xr:uid="{00000000-0005-0000-0000-000042500000}"/>
    <cellStyle name="40% - Accent1 3 3 3 2 4 2 2" xfId="41522" xr:uid="{00000000-0005-0000-0000-000043500000}"/>
    <cellStyle name="40% - Accent1 3 3 3 2 4 3" xfId="30221" xr:uid="{00000000-0005-0000-0000-000044500000}"/>
    <cellStyle name="40% - Accent1 3 3 3 2 5" xfId="13270" xr:uid="{00000000-0005-0000-0000-000045500000}"/>
    <cellStyle name="40% - Accent1 3 3 3 2 5 2" xfId="35872" xr:uid="{00000000-0005-0000-0000-000046500000}"/>
    <cellStyle name="40% - Accent1 3 3 3 2 6" xfId="24571" xr:uid="{00000000-0005-0000-0000-000047500000}"/>
    <cellStyle name="40% - Accent1 3 3 3 3" xfId="2562" xr:uid="{00000000-0005-0000-0000-000048500000}"/>
    <cellStyle name="40% - Accent1 3 3 3 3 2" xfId="5581" xr:uid="{00000000-0005-0000-0000-000049500000}"/>
    <cellStyle name="40% - Accent1 3 3 3 3 2 2" xfId="11231" xr:uid="{00000000-0005-0000-0000-00004A500000}"/>
    <cellStyle name="40% - Accent1 3 3 3 3 2 2 2" xfId="22532" xr:uid="{00000000-0005-0000-0000-00004B500000}"/>
    <cellStyle name="40% - Accent1 3 3 3 3 2 2 2 2" xfId="45134" xr:uid="{00000000-0005-0000-0000-00004C500000}"/>
    <cellStyle name="40% - Accent1 3 3 3 3 2 2 3" xfId="33833" xr:uid="{00000000-0005-0000-0000-00004D500000}"/>
    <cellStyle name="40% - Accent1 3 3 3 3 2 3" xfId="16882" xr:uid="{00000000-0005-0000-0000-00004E500000}"/>
    <cellStyle name="40% - Accent1 3 3 3 3 2 3 2" xfId="39484" xr:uid="{00000000-0005-0000-0000-00004F500000}"/>
    <cellStyle name="40% - Accent1 3 3 3 3 2 4" xfId="28183" xr:uid="{00000000-0005-0000-0000-000050500000}"/>
    <cellStyle name="40% - Accent1 3 3 3 3 3" xfId="8398" xr:uid="{00000000-0005-0000-0000-000051500000}"/>
    <cellStyle name="40% - Accent1 3 3 3 3 3 2" xfId="19699" xr:uid="{00000000-0005-0000-0000-000052500000}"/>
    <cellStyle name="40% - Accent1 3 3 3 3 3 2 2" xfId="42301" xr:uid="{00000000-0005-0000-0000-000053500000}"/>
    <cellStyle name="40% - Accent1 3 3 3 3 3 3" xfId="31000" xr:uid="{00000000-0005-0000-0000-000054500000}"/>
    <cellStyle name="40% - Accent1 3 3 3 3 4" xfId="14049" xr:uid="{00000000-0005-0000-0000-000055500000}"/>
    <cellStyle name="40% - Accent1 3 3 3 3 4 2" xfId="36651" xr:uid="{00000000-0005-0000-0000-000056500000}"/>
    <cellStyle name="40% - Accent1 3 3 3 3 5" xfId="25350" xr:uid="{00000000-0005-0000-0000-000057500000}"/>
    <cellStyle name="40% - Accent1 3 3 3 4" xfId="4347" xr:uid="{00000000-0005-0000-0000-000058500000}"/>
    <cellStyle name="40% - Accent1 3 3 3 4 2" xfId="9997" xr:uid="{00000000-0005-0000-0000-000059500000}"/>
    <cellStyle name="40% - Accent1 3 3 3 4 2 2" xfId="21298" xr:uid="{00000000-0005-0000-0000-00005A500000}"/>
    <cellStyle name="40% - Accent1 3 3 3 4 2 2 2" xfId="43900" xr:uid="{00000000-0005-0000-0000-00005B500000}"/>
    <cellStyle name="40% - Accent1 3 3 3 4 2 3" xfId="32599" xr:uid="{00000000-0005-0000-0000-00005C500000}"/>
    <cellStyle name="40% - Accent1 3 3 3 4 3" xfId="15648" xr:uid="{00000000-0005-0000-0000-00005D500000}"/>
    <cellStyle name="40% - Accent1 3 3 3 4 3 2" xfId="38250" xr:uid="{00000000-0005-0000-0000-00005E500000}"/>
    <cellStyle name="40% - Accent1 3 3 3 4 4" xfId="26949" xr:uid="{00000000-0005-0000-0000-00005F500000}"/>
    <cellStyle name="40% - Accent1 3 3 3 5" xfId="7144" xr:uid="{00000000-0005-0000-0000-000060500000}"/>
    <cellStyle name="40% - Accent1 3 3 3 5 2" xfId="18445" xr:uid="{00000000-0005-0000-0000-000061500000}"/>
    <cellStyle name="40% - Accent1 3 3 3 5 2 2" xfId="41047" xr:uid="{00000000-0005-0000-0000-000062500000}"/>
    <cellStyle name="40% - Accent1 3 3 3 5 3" xfId="29746" xr:uid="{00000000-0005-0000-0000-000063500000}"/>
    <cellStyle name="40% - Accent1 3 3 3 6" xfId="12795" xr:uid="{00000000-0005-0000-0000-000064500000}"/>
    <cellStyle name="40% - Accent1 3 3 3 6 2" xfId="35397" xr:uid="{00000000-0005-0000-0000-000065500000}"/>
    <cellStyle name="40% - Accent1 3 3 3 7" xfId="24096" xr:uid="{00000000-0005-0000-0000-000066500000}"/>
    <cellStyle name="40% - Accent1 3 3 4" xfId="856" xr:uid="{00000000-0005-0000-0000-000067500000}"/>
    <cellStyle name="40% - Accent1 3 3 4 2" xfId="2926" xr:uid="{00000000-0005-0000-0000-000068500000}"/>
    <cellStyle name="40% - Accent1 3 3 4 2 2" xfId="5898" xr:uid="{00000000-0005-0000-0000-000069500000}"/>
    <cellStyle name="40% - Accent1 3 3 4 2 2 2" xfId="11548" xr:uid="{00000000-0005-0000-0000-00006A500000}"/>
    <cellStyle name="40% - Accent1 3 3 4 2 2 2 2" xfId="22849" xr:uid="{00000000-0005-0000-0000-00006B500000}"/>
    <cellStyle name="40% - Accent1 3 3 4 2 2 2 2 2" xfId="45451" xr:uid="{00000000-0005-0000-0000-00006C500000}"/>
    <cellStyle name="40% - Accent1 3 3 4 2 2 2 3" xfId="34150" xr:uid="{00000000-0005-0000-0000-00006D500000}"/>
    <cellStyle name="40% - Accent1 3 3 4 2 2 3" xfId="17199" xr:uid="{00000000-0005-0000-0000-00006E500000}"/>
    <cellStyle name="40% - Accent1 3 3 4 2 2 3 2" xfId="39801" xr:uid="{00000000-0005-0000-0000-00006F500000}"/>
    <cellStyle name="40% - Accent1 3 3 4 2 2 4" xfId="28500" xr:uid="{00000000-0005-0000-0000-000070500000}"/>
    <cellStyle name="40% - Accent1 3 3 4 2 3" xfId="8716" xr:uid="{00000000-0005-0000-0000-000071500000}"/>
    <cellStyle name="40% - Accent1 3 3 4 2 3 2" xfId="20017" xr:uid="{00000000-0005-0000-0000-000072500000}"/>
    <cellStyle name="40% - Accent1 3 3 4 2 3 2 2" xfId="42619" xr:uid="{00000000-0005-0000-0000-000073500000}"/>
    <cellStyle name="40% - Accent1 3 3 4 2 3 3" xfId="31318" xr:uid="{00000000-0005-0000-0000-000074500000}"/>
    <cellStyle name="40% - Accent1 3 3 4 2 4" xfId="14367" xr:uid="{00000000-0005-0000-0000-000075500000}"/>
    <cellStyle name="40% - Accent1 3 3 4 2 4 2" xfId="36969" xr:uid="{00000000-0005-0000-0000-000076500000}"/>
    <cellStyle name="40% - Accent1 3 3 4 2 5" xfId="25668" xr:uid="{00000000-0005-0000-0000-000077500000}"/>
    <cellStyle name="40% - Accent1 3 3 4 3" xfId="4664" xr:uid="{00000000-0005-0000-0000-000078500000}"/>
    <cellStyle name="40% - Accent1 3 3 4 3 2" xfId="10314" xr:uid="{00000000-0005-0000-0000-000079500000}"/>
    <cellStyle name="40% - Accent1 3 3 4 3 2 2" xfId="21615" xr:uid="{00000000-0005-0000-0000-00007A500000}"/>
    <cellStyle name="40% - Accent1 3 3 4 3 2 2 2" xfId="44217" xr:uid="{00000000-0005-0000-0000-00007B500000}"/>
    <cellStyle name="40% - Accent1 3 3 4 3 2 3" xfId="32916" xr:uid="{00000000-0005-0000-0000-00007C500000}"/>
    <cellStyle name="40% - Accent1 3 3 4 3 3" xfId="15965" xr:uid="{00000000-0005-0000-0000-00007D500000}"/>
    <cellStyle name="40% - Accent1 3 3 4 3 3 2" xfId="38567" xr:uid="{00000000-0005-0000-0000-00007E500000}"/>
    <cellStyle name="40% - Accent1 3 3 4 3 4" xfId="27266" xr:uid="{00000000-0005-0000-0000-00007F500000}"/>
    <cellStyle name="40% - Accent1 3 3 4 4" xfId="6851" xr:uid="{00000000-0005-0000-0000-000080500000}"/>
    <cellStyle name="40% - Accent1 3 3 4 4 2" xfId="18152" xr:uid="{00000000-0005-0000-0000-000081500000}"/>
    <cellStyle name="40% - Accent1 3 3 4 4 2 2" xfId="40754" xr:uid="{00000000-0005-0000-0000-000082500000}"/>
    <cellStyle name="40% - Accent1 3 3 4 4 3" xfId="29453" xr:uid="{00000000-0005-0000-0000-000083500000}"/>
    <cellStyle name="40% - Accent1 3 3 4 5" xfId="12502" xr:uid="{00000000-0005-0000-0000-000084500000}"/>
    <cellStyle name="40% - Accent1 3 3 4 5 2" xfId="35104" xr:uid="{00000000-0005-0000-0000-000085500000}"/>
    <cellStyle name="40% - Accent1 3 3 4 6" xfId="23803" xr:uid="{00000000-0005-0000-0000-000086500000}"/>
    <cellStyle name="40% - Accent1 3 3 5" xfId="1760" xr:uid="{00000000-0005-0000-0000-000087500000}"/>
    <cellStyle name="40% - Accent1 3 3 5 2" xfId="3649" xr:uid="{00000000-0005-0000-0000-000088500000}"/>
    <cellStyle name="40% - Accent1 3 3 5 2 2" xfId="9360" xr:uid="{00000000-0005-0000-0000-000089500000}"/>
    <cellStyle name="40% - Accent1 3 3 5 2 2 2" xfId="20661" xr:uid="{00000000-0005-0000-0000-00008A500000}"/>
    <cellStyle name="40% - Accent1 3 3 5 2 2 2 2" xfId="43263" xr:uid="{00000000-0005-0000-0000-00008B500000}"/>
    <cellStyle name="40% - Accent1 3 3 5 2 2 3" xfId="31962" xr:uid="{00000000-0005-0000-0000-00008C500000}"/>
    <cellStyle name="40% - Accent1 3 3 5 2 3" xfId="15011" xr:uid="{00000000-0005-0000-0000-00008D500000}"/>
    <cellStyle name="40% - Accent1 3 3 5 2 3 2" xfId="37613" xr:uid="{00000000-0005-0000-0000-00008E500000}"/>
    <cellStyle name="40% - Accent1 3 3 5 2 4" xfId="26312" xr:uid="{00000000-0005-0000-0000-00008F500000}"/>
    <cellStyle name="40% - Accent1 3 3 5 3" xfId="5274" xr:uid="{00000000-0005-0000-0000-000090500000}"/>
    <cellStyle name="40% - Accent1 3 3 5 3 2" xfId="10924" xr:uid="{00000000-0005-0000-0000-000091500000}"/>
    <cellStyle name="40% - Accent1 3 3 5 3 2 2" xfId="22225" xr:uid="{00000000-0005-0000-0000-000092500000}"/>
    <cellStyle name="40% - Accent1 3 3 5 3 2 2 2" xfId="44827" xr:uid="{00000000-0005-0000-0000-000093500000}"/>
    <cellStyle name="40% - Accent1 3 3 5 3 2 3" xfId="33526" xr:uid="{00000000-0005-0000-0000-000094500000}"/>
    <cellStyle name="40% - Accent1 3 3 5 3 3" xfId="16575" xr:uid="{00000000-0005-0000-0000-000095500000}"/>
    <cellStyle name="40% - Accent1 3 3 5 3 3 2" xfId="39177" xr:uid="{00000000-0005-0000-0000-000096500000}"/>
    <cellStyle name="40% - Accent1 3 3 5 3 4" xfId="27876" xr:uid="{00000000-0005-0000-0000-000097500000}"/>
    <cellStyle name="40% - Accent1 3 3 5 4" xfId="7616" xr:uid="{00000000-0005-0000-0000-000098500000}"/>
    <cellStyle name="40% - Accent1 3 3 5 4 2" xfId="18917" xr:uid="{00000000-0005-0000-0000-000099500000}"/>
    <cellStyle name="40% - Accent1 3 3 5 4 2 2" xfId="41519" xr:uid="{00000000-0005-0000-0000-00009A500000}"/>
    <cellStyle name="40% - Accent1 3 3 5 4 3" xfId="30218" xr:uid="{00000000-0005-0000-0000-00009B500000}"/>
    <cellStyle name="40% - Accent1 3 3 5 5" xfId="13267" xr:uid="{00000000-0005-0000-0000-00009C500000}"/>
    <cellStyle name="40% - Accent1 3 3 5 5 2" xfId="35869" xr:uid="{00000000-0005-0000-0000-00009D500000}"/>
    <cellStyle name="40% - Accent1 3 3 5 6" xfId="24568" xr:uid="{00000000-0005-0000-0000-00009E500000}"/>
    <cellStyle name="40% - Accent1 3 3 6" xfId="2253" xr:uid="{00000000-0005-0000-0000-00009F500000}"/>
    <cellStyle name="40% - Accent1 3 3 6 2" xfId="8089" xr:uid="{00000000-0005-0000-0000-0000A0500000}"/>
    <cellStyle name="40% - Accent1 3 3 6 2 2" xfId="19390" xr:uid="{00000000-0005-0000-0000-0000A1500000}"/>
    <cellStyle name="40% - Accent1 3 3 6 2 2 2" xfId="41992" xr:uid="{00000000-0005-0000-0000-0000A2500000}"/>
    <cellStyle name="40% - Accent1 3 3 6 2 3" xfId="30691" xr:uid="{00000000-0005-0000-0000-0000A3500000}"/>
    <cellStyle name="40% - Accent1 3 3 6 3" xfId="13740" xr:uid="{00000000-0005-0000-0000-0000A4500000}"/>
    <cellStyle name="40% - Accent1 3 3 6 3 2" xfId="36342" xr:uid="{00000000-0005-0000-0000-0000A5500000}"/>
    <cellStyle name="40% - Accent1 3 3 6 4" xfId="25041" xr:uid="{00000000-0005-0000-0000-0000A6500000}"/>
    <cellStyle name="40% - Accent1 3 3 7" xfId="4040" xr:uid="{00000000-0005-0000-0000-0000A7500000}"/>
    <cellStyle name="40% - Accent1 3 3 7 2" xfId="9690" xr:uid="{00000000-0005-0000-0000-0000A8500000}"/>
    <cellStyle name="40% - Accent1 3 3 7 2 2" xfId="20991" xr:uid="{00000000-0005-0000-0000-0000A9500000}"/>
    <cellStyle name="40% - Accent1 3 3 7 2 2 2" xfId="43593" xr:uid="{00000000-0005-0000-0000-0000AA500000}"/>
    <cellStyle name="40% - Accent1 3 3 7 2 3" xfId="32292" xr:uid="{00000000-0005-0000-0000-0000AB500000}"/>
    <cellStyle name="40% - Accent1 3 3 7 3" xfId="15341" xr:uid="{00000000-0005-0000-0000-0000AC500000}"/>
    <cellStyle name="40% - Accent1 3 3 7 3 2" xfId="37943" xr:uid="{00000000-0005-0000-0000-0000AD500000}"/>
    <cellStyle name="40% - Accent1 3 3 7 4" xfId="26642" xr:uid="{00000000-0005-0000-0000-0000AE500000}"/>
    <cellStyle name="40% - Accent1 3 3 8" xfId="6491" xr:uid="{00000000-0005-0000-0000-0000AF500000}"/>
    <cellStyle name="40% - Accent1 3 3 8 2" xfId="17792" xr:uid="{00000000-0005-0000-0000-0000B0500000}"/>
    <cellStyle name="40% - Accent1 3 3 8 2 2" xfId="40394" xr:uid="{00000000-0005-0000-0000-0000B1500000}"/>
    <cellStyle name="40% - Accent1 3 3 8 3" xfId="29093" xr:uid="{00000000-0005-0000-0000-0000B2500000}"/>
    <cellStyle name="40% - Accent1 3 3 9" xfId="12142" xr:uid="{00000000-0005-0000-0000-0000B3500000}"/>
    <cellStyle name="40% - Accent1 3 3 9 2" xfId="34744" xr:uid="{00000000-0005-0000-0000-0000B4500000}"/>
    <cellStyle name="40% - Accent1 3 4" xfId="484" xr:uid="{00000000-0005-0000-0000-0000B5500000}"/>
    <cellStyle name="40% - Accent1 3 4 2" xfId="1069" xr:uid="{00000000-0005-0000-0000-0000B6500000}"/>
    <cellStyle name="40% - Accent1 3 4 2 2" xfId="1765" xr:uid="{00000000-0005-0000-0000-0000B7500000}"/>
    <cellStyle name="40% - Accent1 3 4 2 2 2" xfId="3136" xr:uid="{00000000-0005-0000-0000-0000B8500000}"/>
    <cellStyle name="40% - Accent1 3 4 2 2 2 2" xfId="6108" xr:uid="{00000000-0005-0000-0000-0000B9500000}"/>
    <cellStyle name="40% - Accent1 3 4 2 2 2 2 2" xfId="11758" xr:uid="{00000000-0005-0000-0000-0000BA500000}"/>
    <cellStyle name="40% - Accent1 3 4 2 2 2 2 2 2" xfId="23059" xr:uid="{00000000-0005-0000-0000-0000BB500000}"/>
    <cellStyle name="40% - Accent1 3 4 2 2 2 2 2 2 2" xfId="45661" xr:uid="{00000000-0005-0000-0000-0000BC500000}"/>
    <cellStyle name="40% - Accent1 3 4 2 2 2 2 2 3" xfId="34360" xr:uid="{00000000-0005-0000-0000-0000BD500000}"/>
    <cellStyle name="40% - Accent1 3 4 2 2 2 2 3" xfId="17409" xr:uid="{00000000-0005-0000-0000-0000BE500000}"/>
    <cellStyle name="40% - Accent1 3 4 2 2 2 2 3 2" xfId="40011" xr:uid="{00000000-0005-0000-0000-0000BF500000}"/>
    <cellStyle name="40% - Accent1 3 4 2 2 2 2 4" xfId="28710" xr:uid="{00000000-0005-0000-0000-0000C0500000}"/>
    <cellStyle name="40% - Accent1 3 4 2 2 2 3" xfId="8926" xr:uid="{00000000-0005-0000-0000-0000C1500000}"/>
    <cellStyle name="40% - Accent1 3 4 2 2 2 3 2" xfId="20227" xr:uid="{00000000-0005-0000-0000-0000C2500000}"/>
    <cellStyle name="40% - Accent1 3 4 2 2 2 3 2 2" xfId="42829" xr:uid="{00000000-0005-0000-0000-0000C3500000}"/>
    <cellStyle name="40% - Accent1 3 4 2 2 2 3 3" xfId="31528" xr:uid="{00000000-0005-0000-0000-0000C4500000}"/>
    <cellStyle name="40% - Accent1 3 4 2 2 2 4" xfId="14577" xr:uid="{00000000-0005-0000-0000-0000C5500000}"/>
    <cellStyle name="40% - Accent1 3 4 2 2 2 4 2" xfId="37179" xr:uid="{00000000-0005-0000-0000-0000C6500000}"/>
    <cellStyle name="40% - Accent1 3 4 2 2 2 5" xfId="25878" xr:uid="{00000000-0005-0000-0000-0000C7500000}"/>
    <cellStyle name="40% - Accent1 3 4 2 2 3" xfId="4874" xr:uid="{00000000-0005-0000-0000-0000C8500000}"/>
    <cellStyle name="40% - Accent1 3 4 2 2 3 2" xfId="10524" xr:uid="{00000000-0005-0000-0000-0000C9500000}"/>
    <cellStyle name="40% - Accent1 3 4 2 2 3 2 2" xfId="21825" xr:uid="{00000000-0005-0000-0000-0000CA500000}"/>
    <cellStyle name="40% - Accent1 3 4 2 2 3 2 2 2" xfId="44427" xr:uid="{00000000-0005-0000-0000-0000CB500000}"/>
    <cellStyle name="40% - Accent1 3 4 2 2 3 2 3" xfId="33126" xr:uid="{00000000-0005-0000-0000-0000CC500000}"/>
    <cellStyle name="40% - Accent1 3 4 2 2 3 3" xfId="16175" xr:uid="{00000000-0005-0000-0000-0000CD500000}"/>
    <cellStyle name="40% - Accent1 3 4 2 2 3 3 2" xfId="38777" xr:uid="{00000000-0005-0000-0000-0000CE500000}"/>
    <cellStyle name="40% - Accent1 3 4 2 2 3 4" xfId="27476" xr:uid="{00000000-0005-0000-0000-0000CF500000}"/>
    <cellStyle name="40% - Accent1 3 4 2 2 4" xfId="7621" xr:uid="{00000000-0005-0000-0000-0000D0500000}"/>
    <cellStyle name="40% - Accent1 3 4 2 2 4 2" xfId="18922" xr:uid="{00000000-0005-0000-0000-0000D1500000}"/>
    <cellStyle name="40% - Accent1 3 4 2 2 4 2 2" xfId="41524" xr:uid="{00000000-0005-0000-0000-0000D2500000}"/>
    <cellStyle name="40% - Accent1 3 4 2 2 4 3" xfId="30223" xr:uid="{00000000-0005-0000-0000-0000D3500000}"/>
    <cellStyle name="40% - Accent1 3 4 2 2 5" xfId="13272" xr:uid="{00000000-0005-0000-0000-0000D4500000}"/>
    <cellStyle name="40% - Accent1 3 4 2 2 5 2" xfId="35874" xr:uid="{00000000-0005-0000-0000-0000D5500000}"/>
    <cellStyle name="40% - Accent1 3 4 2 2 6" xfId="24573" xr:uid="{00000000-0005-0000-0000-0000D6500000}"/>
    <cellStyle name="40% - Accent1 3 4 2 3" xfId="2465" xr:uid="{00000000-0005-0000-0000-0000D7500000}"/>
    <cellStyle name="40% - Accent1 3 4 2 3 2" xfId="5484" xr:uid="{00000000-0005-0000-0000-0000D8500000}"/>
    <cellStyle name="40% - Accent1 3 4 2 3 2 2" xfId="11134" xr:uid="{00000000-0005-0000-0000-0000D9500000}"/>
    <cellStyle name="40% - Accent1 3 4 2 3 2 2 2" xfId="22435" xr:uid="{00000000-0005-0000-0000-0000DA500000}"/>
    <cellStyle name="40% - Accent1 3 4 2 3 2 2 2 2" xfId="45037" xr:uid="{00000000-0005-0000-0000-0000DB500000}"/>
    <cellStyle name="40% - Accent1 3 4 2 3 2 2 3" xfId="33736" xr:uid="{00000000-0005-0000-0000-0000DC500000}"/>
    <cellStyle name="40% - Accent1 3 4 2 3 2 3" xfId="16785" xr:uid="{00000000-0005-0000-0000-0000DD500000}"/>
    <cellStyle name="40% - Accent1 3 4 2 3 2 3 2" xfId="39387" xr:uid="{00000000-0005-0000-0000-0000DE500000}"/>
    <cellStyle name="40% - Accent1 3 4 2 3 2 4" xfId="28086" xr:uid="{00000000-0005-0000-0000-0000DF500000}"/>
    <cellStyle name="40% - Accent1 3 4 2 3 3" xfId="8301" xr:uid="{00000000-0005-0000-0000-0000E0500000}"/>
    <cellStyle name="40% - Accent1 3 4 2 3 3 2" xfId="19602" xr:uid="{00000000-0005-0000-0000-0000E1500000}"/>
    <cellStyle name="40% - Accent1 3 4 2 3 3 2 2" xfId="42204" xr:uid="{00000000-0005-0000-0000-0000E2500000}"/>
    <cellStyle name="40% - Accent1 3 4 2 3 3 3" xfId="30903" xr:uid="{00000000-0005-0000-0000-0000E3500000}"/>
    <cellStyle name="40% - Accent1 3 4 2 3 4" xfId="13952" xr:uid="{00000000-0005-0000-0000-0000E4500000}"/>
    <cellStyle name="40% - Accent1 3 4 2 3 4 2" xfId="36554" xr:uid="{00000000-0005-0000-0000-0000E5500000}"/>
    <cellStyle name="40% - Accent1 3 4 2 3 5" xfId="25253" xr:uid="{00000000-0005-0000-0000-0000E6500000}"/>
    <cellStyle name="40% - Accent1 3 4 2 4" xfId="4250" xr:uid="{00000000-0005-0000-0000-0000E7500000}"/>
    <cellStyle name="40% - Accent1 3 4 2 4 2" xfId="9900" xr:uid="{00000000-0005-0000-0000-0000E8500000}"/>
    <cellStyle name="40% - Accent1 3 4 2 4 2 2" xfId="21201" xr:uid="{00000000-0005-0000-0000-0000E9500000}"/>
    <cellStyle name="40% - Accent1 3 4 2 4 2 2 2" xfId="43803" xr:uid="{00000000-0005-0000-0000-0000EA500000}"/>
    <cellStyle name="40% - Accent1 3 4 2 4 2 3" xfId="32502" xr:uid="{00000000-0005-0000-0000-0000EB500000}"/>
    <cellStyle name="40% - Accent1 3 4 2 4 3" xfId="15551" xr:uid="{00000000-0005-0000-0000-0000EC500000}"/>
    <cellStyle name="40% - Accent1 3 4 2 4 3 2" xfId="38153" xr:uid="{00000000-0005-0000-0000-0000ED500000}"/>
    <cellStyle name="40% - Accent1 3 4 2 4 4" xfId="26852" xr:uid="{00000000-0005-0000-0000-0000EE500000}"/>
    <cellStyle name="40% - Accent1 3 4 2 5" xfId="7048" xr:uid="{00000000-0005-0000-0000-0000EF500000}"/>
    <cellStyle name="40% - Accent1 3 4 2 5 2" xfId="18349" xr:uid="{00000000-0005-0000-0000-0000F0500000}"/>
    <cellStyle name="40% - Accent1 3 4 2 5 2 2" xfId="40951" xr:uid="{00000000-0005-0000-0000-0000F1500000}"/>
    <cellStyle name="40% - Accent1 3 4 2 5 3" xfId="29650" xr:uid="{00000000-0005-0000-0000-0000F2500000}"/>
    <cellStyle name="40% - Accent1 3 4 2 6" xfId="12699" xr:uid="{00000000-0005-0000-0000-0000F3500000}"/>
    <cellStyle name="40% - Accent1 3 4 2 6 2" xfId="35301" xr:uid="{00000000-0005-0000-0000-0000F4500000}"/>
    <cellStyle name="40% - Accent1 3 4 2 7" xfId="24000" xr:uid="{00000000-0005-0000-0000-0000F5500000}"/>
    <cellStyle name="40% - Accent1 3 4 3" xfId="740" xr:uid="{00000000-0005-0000-0000-0000F6500000}"/>
    <cellStyle name="40% - Accent1 3 4 3 2" xfId="2830" xr:uid="{00000000-0005-0000-0000-0000F7500000}"/>
    <cellStyle name="40% - Accent1 3 4 3 2 2" xfId="5802" xr:uid="{00000000-0005-0000-0000-0000F8500000}"/>
    <cellStyle name="40% - Accent1 3 4 3 2 2 2" xfId="11452" xr:uid="{00000000-0005-0000-0000-0000F9500000}"/>
    <cellStyle name="40% - Accent1 3 4 3 2 2 2 2" xfId="22753" xr:uid="{00000000-0005-0000-0000-0000FA500000}"/>
    <cellStyle name="40% - Accent1 3 4 3 2 2 2 2 2" xfId="45355" xr:uid="{00000000-0005-0000-0000-0000FB500000}"/>
    <cellStyle name="40% - Accent1 3 4 3 2 2 2 3" xfId="34054" xr:uid="{00000000-0005-0000-0000-0000FC500000}"/>
    <cellStyle name="40% - Accent1 3 4 3 2 2 3" xfId="17103" xr:uid="{00000000-0005-0000-0000-0000FD500000}"/>
    <cellStyle name="40% - Accent1 3 4 3 2 2 3 2" xfId="39705" xr:uid="{00000000-0005-0000-0000-0000FE500000}"/>
    <cellStyle name="40% - Accent1 3 4 3 2 2 4" xfId="28404" xr:uid="{00000000-0005-0000-0000-0000FF500000}"/>
    <cellStyle name="40% - Accent1 3 4 3 2 3" xfId="8620" xr:uid="{00000000-0005-0000-0000-000000510000}"/>
    <cellStyle name="40% - Accent1 3 4 3 2 3 2" xfId="19921" xr:uid="{00000000-0005-0000-0000-000001510000}"/>
    <cellStyle name="40% - Accent1 3 4 3 2 3 2 2" xfId="42523" xr:uid="{00000000-0005-0000-0000-000002510000}"/>
    <cellStyle name="40% - Accent1 3 4 3 2 3 3" xfId="31222" xr:uid="{00000000-0005-0000-0000-000003510000}"/>
    <cellStyle name="40% - Accent1 3 4 3 2 4" xfId="14271" xr:uid="{00000000-0005-0000-0000-000004510000}"/>
    <cellStyle name="40% - Accent1 3 4 3 2 4 2" xfId="36873" xr:uid="{00000000-0005-0000-0000-000005510000}"/>
    <cellStyle name="40% - Accent1 3 4 3 2 5" xfId="25572" xr:uid="{00000000-0005-0000-0000-000006510000}"/>
    <cellStyle name="40% - Accent1 3 4 3 3" xfId="4568" xr:uid="{00000000-0005-0000-0000-000007510000}"/>
    <cellStyle name="40% - Accent1 3 4 3 3 2" xfId="10218" xr:uid="{00000000-0005-0000-0000-000008510000}"/>
    <cellStyle name="40% - Accent1 3 4 3 3 2 2" xfId="21519" xr:uid="{00000000-0005-0000-0000-000009510000}"/>
    <cellStyle name="40% - Accent1 3 4 3 3 2 2 2" xfId="44121" xr:uid="{00000000-0005-0000-0000-00000A510000}"/>
    <cellStyle name="40% - Accent1 3 4 3 3 2 3" xfId="32820" xr:uid="{00000000-0005-0000-0000-00000B510000}"/>
    <cellStyle name="40% - Accent1 3 4 3 3 3" xfId="15869" xr:uid="{00000000-0005-0000-0000-00000C510000}"/>
    <cellStyle name="40% - Accent1 3 4 3 3 3 2" xfId="38471" xr:uid="{00000000-0005-0000-0000-00000D510000}"/>
    <cellStyle name="40% - Accent1 3 4 3 3 4" xfId="27170" xr:uid="{00000000-0005-0000-0000-00000E510000}"/>
    <cellStyle name="40% - Accent1 3 4 3 4" xfId="6751" xr:uid="{00000000-0005-0000-0000-00000F510000}"/>
    <cellStyle name="40% - Accent1 3 4 3 4 2" xfId="18052" xr:uid="{00000000-0005-0000-0000-000010510000}"/>
    <cellStyle name="40% - Accent1 3 4 3 4 2 2" xfId="40654" xr:uid="{00000000-0005-0000-0000-000011510000}"/>
    <cellStyle name="40% - Accent1 3 4 3 4 3" xfId="29353" xr:uid="{00000000-0005-0000-0000-000012510000}"/>
    <cellStyle name="40% - Accent1 3 4 3 5" xfId="12402" xr:uid="{00000000-0005-0000-0000-000013510000}"/>
    <cellStyle name="40% - Accent1 3 4 3 5 2" xfId="35004" xr:uid="{00000000-0005-0000-0000-000014510000}"/>
    <cellStyle name="40% - Accent1 3 4 3 6" xfId="23703" xr:uid="{00000000-0005-0000-0000-000015510000}"/>
    <cellStyle name="40% - Accent1 3 4 4" xfId="1764" xr:uid="{00000000-0005-0000-0000-000016510000}"/>
    <cellStyle name="40% - Accent1 3 4 4 2" xfId="3651" xr:uid="{00000000-0005-0000-0000-000017510000}"/>
    <cellStyle name="40% - Accent1 3 4 4 2 2" xfId="9362" xr:uid="{00000000-0005-0000-0000-000018510000}"/>
    <cellStyle name="40% - Accent1 3 4 4 2 2 2" xfId="20663" xr:uid="{00000000-0005-0000-0000-000019510000}"/>
    <cellStyle name="40% - Accent1 3 4 4 2 2 2 2" xfId="43265" xr:uid="{00000000-0005-0000-0000-00001A510000}"/>
    <cellStyle name="40% - Accent1 3 4 4 2 2 3" xfId="31964" xr:uid="{00000000-0005-0000-0000-00001B510000}"/>
    <cellStyle name="40% - Accent1 3 4 4 2 3" xfId="15013" xr:uid="{00000000-0005-0000-0000-00001C510000}"/>
    <cellStyle name="40% - Accent1 3 4 4 2 3 2" xfId="37615" xr:uid="{00000000-0005-0000-0000-00001D510000}"/>
    <cellStyle name="40% - Accent1 3 4 4 2 4" xfId="26314" xr:uid="{00000000-0005-0000-0000-00001E510000}"/>
    <cellStyle name="40% - Accent1 3 4 4 3" xfId="5178" xr:uid="{00000000-0005-0000-0000-00001F510000}"/>
    <cellStyle name="40% - Accent1 3 4 4 3 2" xfId="10828" xr:uid="{00000000-0005-0000-0000-000020510000}"/>
    <cellStyle name="40% - Accent1 3 4 4 3 2 2" xfId="22129" xr:uid="{00000000-0005-0000-0000-000021510000}"/>
    <cellStyle name="40% - Accent1 3 4 4 3 2 2 2" xfId="44731" xr:uid="{00000000-0005-0000-0000-000022510000}"/>
    <cellStyle name="40% - Accent1 3 4 4 3 2 3" xfId="33430" xr:uid="{00000000-0005-0000-0000-000023510000}"/>
    <cellStyle name="40% - Accent1 3 4 4 3 3" xfId="16479" xr:uid="{00000000-0005-0000-0000-000024510000}"/>
    <cellStyle name="40% - Accent1 3 4 4 3 3 2" xfId="39081" xr:uid="{00000000-0005-0000-0000-000025510000}"/>
    <cellStyle name="40% - Accent1 3 4 4 3 4" xfId="27780" xr:uid="{00000000-0005-0000-0000-000026510000}"/>
    <cellStyle name="40% - Accent1 3 4 4 4" xfId="7620" xr:uid="{00000000-0005-0000-0000-000027510000}"/>
    <cellStyle name="40% - Accent1 3 4 4 4 2" xfId="18921" xr:uid="{00000000-0005-0000-0000-000028510000}"/>
    <cellStyle name="40% - Accent1 3 4 4 4 2 2" xfId="41523" xr:uid="{00000000-0005-0000-0000-000029510000}"/>
    <cellStyle name="40% - Accent1 3 4 4 4 3" xfId="30222" xr:uid="{00000000-0005-0000-0000-00002A510000}"/>
    <cellStyle name="40% - Accent1 3 4 4 5" xfId="13271" xr:uid="{00000000-0005-0000-0000-00002B510000}"/>
    <cellStyle name="40% - Accent1 3 4 4 5 2" xfId="35873" xr:uid="{00000000-0005-0000-0000-00002C510000}"/>
    <cellStyle name="40% - Accent1 3 4 4 6" xfId="24572" xr:uid="{00000000-0005-0000-0000-00002D510000}"/>
    <cellStyle name="40% - Accent1 3 4 5" xfId="2150" xr:uid="{00000000-0005-0000-0000-00002E510000}"/>
    <cellStyle name="40% - Accent1 3 4 5 2" xfId="7992" xr:uid="{00000000-0005-0000-0000-00002F510000}"/>
    <cellStyle name="40% - Accent1 3 4 5 2 2" xfId="19293" xr:uid="{00000000-0005-0000-0000-000030510000}"/>
    <cellStyle name="40% - Accent1 3 4 5 2 2 2" xfId="41895" xr:uid="{00000000-0005-0000-0000-000031510000}"/>
    <cellStyle name="40% - Accent1 3 4 5 2 3" xfId="30594" xr:uid="{00000000-0005-0000-0000-000032510000}"/>
    <cellStyle name="40% - Accent1 3 4 5 3" xfId="13643" xr:uid="{00000000-0005-0000-0000-000033510000}"/>
    <cellStyle name="40% - Accent1 3 4 5 3 2" xfId="36245" xr:uid="{00000000-0005-0000-0000-000034510000}"/>
    <cellStyle name="40% - Accent1 3 4 5 4" xfId="24944" xr:uid="{00000000-0005-0000-0000-000035510000}"/>
    <cellStyle name="40% - Accent1 3 4 6" xfId="3944" xr:uid="{00000000-0005-0000-0000-000036510000}"/>
    <cellStyle name="40% - Accent1 3 4 6 2" xfId="9594" xr:uid="{00000000-0005-0000-0000-000037510000}"/>
    <cellStyle name="40% - Accent1 3 4 6 2 2" xfId="20895" xr:uid="{00000000-0005-0000-0000-000038510000}"/>
    <cellStyle name="40% - Accent1 3 4 6 2 2 2" xfId="43497" xr:uid="{00000000-0005-0000-0000-000039510000}"/>
    <cellStyle name="40% - Accent1 3 4 6 2 3" xfId="32196" xr:uid="{00000000-0005-0000-0000-00003A510000}"/>
    <cellStyle name="40% - Accent1 3 4 6 3" xfId="15245" xr:uid="{00000000-0005-0000-0000-00003B510000}"/>
    <cellStyle name="40% - Accent1 3 4 6 3 2" xfId="37847" xr:uid="{00000000-0005-0000-0000-00003C510000}"/>
    <cellStyle name="40% - Accent1 3 4 6 4" xfId="26546" xr:uid="{00000000-0005-0000-0000-00003D510000}"/>
    <cellStyle name="40% - Accent1 3 4 7" xfId="6562" xr:uid="{00000000-0005-0000-0000-00003E510000}"/>
    <cellStyle name="40% - Accent1 3 4 7 2" xfId="17863" xr:uid="{00000000-0005-0000-0000-00003F510000}"/>
    <cellStyle name="40% - Accent1 3 4 7 2 2" xfId="40465" xr:uid="{00000000-0005-0000-0000-000040510000}"/>
    <cellStyle name="40% - Accent1 3 4 7 3" xfId="29164" xr:uid="{00000000-0005-0000-0000-000041510000}"/>
    <cellStyle name="40% - Accent1 3 4 8" xfId="12213" xr:uid="{00000000-0005-0000-0000-000042510000}"/>
    <cellStyle name="40% - Accent1 3 4 8 2" xfId="34815" xr:uid="{00000000-0005-0000-0000-000043510000}"/>
    <cellStyle name="40% - Accent1 3 4 9" xfId="23514" xr:uid="{00000000-0005-0000-0000-000044510000}"/>
    <cellStyle name="40% - Accent1 3 5" xfId="395" xr:uid="{00000000-0005-0000-0000-000045510000}"/>
    <cellStyle name="40% - Accent1 3 6" xfId="1408" xr:uid="{00000000-0005-0000-0000-000046510000}"/>
    <cellStyle name="40% - Accent1 3 7" xfId="6395" xr:uid="{00000000-0005-0000-0000-000047510000}"/>
    <cellStyle name="40% - Accent1 3 7 2" xfId="17696" xr:uid="{00000000-0005-0000-0000-000048510000}"/>
    <cellStyle name="40% - Accent1 3 7 2 2" xfId="40298" xr:uid="{00000000-0005-0000-0000-000049510000}"/>
    <cellStyle name="40% - Accent1 3 7 3" xfId="28997" xr:uid="{00000000-0005-0000-0000-00004A510000}"/>
    <cellStyle name="40% - Accent1 3 8" xfId="12046" xr:uid="{00000000-0005-0000-0000-00004B510000}"/>
    <cellStyle name="40% - Accent1 3 8 2" xfId="34648" xr:uid="{00000000-0005-0000-0000-00004C510000}"/>
    <cellStyle name="40% - Accent1 3 9" xfId="23347" xr:uid="{00000000-0005-0000-0000-00004D510000}"/>
    <cellStyle name="40% - Accent1 4" xfId="177" xr:uid="{00000000-0005-0000-0000-00004E510000}"/>
    <cellStyle name="40% - Accent1 4 10" xfId="3930" xr:uid="{00000000-0005-0000-0000-00004F510000}"/>
    <cellStyle name="40% - Accent1 4 10 2" xfId="9580" xr:uid="{00000000-0005-0000-0000-000050510000}"/>
    <cellStyle name="40% - Accent1 4 10 2 2" xfId="20881" xr:uid="{00000000-0005-0000-0000-000051510000}"/>
    <cellStyle name="40% - Accent1 4 10 2 2 2" xfId="43483" xr:uid="{00000000-0005-0000-0000-000052510000}"/>
    <cellStyle name="40% - Accent1 4 10 2 3" xfId="32182" xr:uid="{00000000-0005-0000-0000-000053510000}"/>
    <cellStyle name="40% - Accent1 4 10 3" xfId="15231" xr:uid="{00000000-0005-0000-0000-000054510000}"/>
    <cellStyle name="40% - Accent1 4 10 3 2" xfId="37833" xr:uid="{00000000-0005-0000-0000-000055510000}"/>
    <cellStyle name="40% - Accent1 4 10 4" xfId="26532" xr:uid="{00000000-0005-0000-0000-000056510000}"/>
    <cellStyle name="40% - Accent1 4 11" xfId="6409" xr:uid="{00000000-0005-0000-0000-000057510000}"/>
    <cellStyle name="40% - Accent1 4 11 2" xfId="17710" xr:uid="{00000000-0005-0000-0000-000058510000}"/>
    <cellStyle name="40% - Accent1 4 11 2 2" xfId="40312" xr:uid="{00000000-0005-0000-0000-000059510000}"/>
    <cellStyle name="40% - Accent1 4 11 3" xfId="29011" xr:uid="{00000000-0005-0000-0000-00005A510000}"/>
    <cellStyle name="40% - Accent1 4 12" xfId="12060" xr:uid="{00000000-0005-0000-0000-00005B510000}"/>
    <cellStyle name="40% - Accent1 4 12 2" xfId="34662" xr:uid="{00000000-0005-0000-0000-00005C510000}"/>
    <cellStyle name="40% - Accent1 4 13" xfId="23361" xr:uid="{00000000-0005-0000-0000-00005D510000}"/>
    <cellStyle name="40% - Accent1 4 2" xfId="300" xr:uid="{00000000-0005-0000-0000-00005E510000}"/>
    <cellStyle name="40% - Accent1 4 2 10" xfId="23408" xr:uid="{00000000-0005-0000-0000-00005F510000}"/>
    <cellStyle name="40% - Accent1 4 2 2" xfId="558" xr:uid="{00000000-0005-0000-0000-000060510000}"/>
    <cellStyle name="40% - Accent1 4 2 2 2" xfId="1268" xr:uid="{00000000-0005-0000-0000-000061510000}"/>
    <cellStyle name="40% - Accent1 4 2 2 2 2" xfId="1769" xr:uid="{00000000-0005-0000-0000-000062510000}"/>
    <cellStyle name="40% - Accent1 4 2 2 2 2 2" xfId="3337" xr:uid="{00000000-0005-0000-0000-000063510000}"/>
    <cellStyle name="40% - Accent1 4 2 2 2 2 2 2" xfId="6309" xr:uid="{00000000-0005-0000-0000-000064510000}"/>
    <cellStyle name="40% - Accent1 4 2 2 2 2 2 2 2" xfId="11959" xr:uid="{00000000-0005-0000-0000-000065510000}"/>
    <cellStyle name="40% - Accent1 4 2 2 2 2 2 2 2 2" xfId="23260" xr:uid="{00000000-0005-0000-0000-000066510000}"/>
    <cellStyle name="40% - Accent1 4 2 2 2 2 2 2 2 2 2" xfId="45862" xr:uid="{00000000-0005-0000-0000-000067510000}"/>
    <cellStyle name="40% - Accent1 4 2 2 2 2 2 2 2 3" xfId="34561" xr:uid="{00000000-0005-0000-0000-000068510000}"/>
    <cellStyle name="40% - Accent1 4 2 2 2 2 2 2 3" xfId="17610" xr:uid="{00000000-0005-0000-0000-000069510000}"/>
    <cellStyle name="40% - Accent1 4 2 2 2 2 2 2 3 2" xfId="40212" xr:uid="{00000000-0005-0000-0000-00006A510000}"/>
    <cellStyle name="40% - Accent1 4 2 2 2 2 2 2 4" xfId="28911" xr:uid="{00000000-0005-0000-0000-00006B510000}"/>
    <cellStyle name="40% - Accent1 4 2 2 2 2 2 3" xfId="9127" xr:uid="{00000000-0005-0000-0000-00006C510000}"/>
    <cellStyle name="40% - Accent1 4 2 2 2 2 2 3 2" xfId="20428" xr:uid="{00000000-0005-0000-0000-00006D510000}"/>
    <cellStyle name="40% - Accent1 4 2 2 2 2 2 3 2 2" xfId="43030" xr:uid="{00000000-0005-0000-0000-00006E510000}"/>
    <cellStyle name="40% - Accent1 4 2 2 2 2 2 3 3" xfId="31729" xr:uid="{00000000-0005-0000-0000-00006F510000}"/>
    <cellStyle name="40% - Accent1 4 2 2 2 2 2 4" xfId="14778" xr:uid="{00000000-0005-0000-0000-000070510000}"/>
    <cellStyle name="40% - Accent1 4 2 2 2 2 2 4 2" xfId="37380" xr:uid="{00000000-0005-0000-0000-000071510000}"/>
    <cellStyle name="40% - Accent1 4 2 2 2 2 2 5" xfId="26079" xr:uid="{00000000-0005-0000-0000-000072510000}"/>
    <cellStyle name="40% - Accent1 4 2 2 2 2 3" xfId="5075" xr:uid="{00000000-0005-0000-0000-000073510000}"/>
    <cellStyle name="40% - Accent1 4 2 2 2 2 3 2" xfId="10725" xr:uid="{00000000-0005-0000-0000-000074510000}"/>
    <cellStyle name="40% - Accent1 4 2 2 2 2 3 2 2" xfId="22026" xr:uid="{00000000-0005-0000-0000-000075510000}"/>
    <cellStyle name="40% - Accent1 4 2 2 2 2 3 2 2 2" xfId="44628" xr:uid="{00000000-0005-0000-0000-000076510000}"/>
    <cellStyle name="40% - Accent1 4 2 2 2 2 3 2 3" xfId="33327" xr:uid="{00000000-0005-0000-0000-000077510000}"/>
    <cellStyle name="40% - Accent1 4 2 2 2 2 3 3" xfId="16376" xr:uid="{00000000-0005-0000-0000-000078510000}"/>
    <cellStyle name="40% - Accent1 4 2 2 2 2 3 3 2" xfId="38978" xr:uid="{00000000-0005-0000-0000-000079510000}"/>
    <cellStyle name="40% - Accent1 4 2 2 2 2 3 4" xfId="27677" xr:uid="{00000000-0005-0000-0000-00007A510000}"/>
    <cellStyle name="40% - Accent1 4 2 2 2 2 4" xfId="7625" xr:uid="{00000000-0005-0000-0000-00007B510000}"/>
    <cellStyle name="40% - Accent1 4 2 2 2 2 4 2" xfId="18926" xr:uid="{00000000-0005-0000-0000-00007C510000}"/>
    <cellStyle name="40% - Accent1 4 2 2 2 2 4 2 2" xfId="41528" xr:uid="{00000000-0005-0000-0000-00007D510000}"/>
    <cellStyle name="40% - Accent1 4 2 2 2 2 4 3" xfId="30227" xr:uid="{00000000-0005-0000-0000-00007E510000}"/>
    <cellStyle name="40% - Accent1 4 2 2 2 2 5" xfId="13276" xr:uid="{00000000-0005-0000-0000-00007F510000}"/>
    <cellStyle name="40% - Accent1 4 2 2 2 2 5 2" xfId="35878" xr:uid="{00000000-0005-0000-0000-000080510000}"/>
    <cellStyle name="40% - Accent1 4 2 2 2 2 6" xfId="24577" xr:uid="{00000000-0005-0000-0000-000081510000}"/>
    <cellStyle name="40% - Accent1 4 2 2 2 3" xfId="2666" xr:uid="{00000000-0005-0000-0000-000082510000}"/>
    <cellStyle name="40% - Accent1 4 2 2 2 3 2" xfId="5685" xr:uid="{00000000-0005-0000-0000-000083510000}"/>
    <cellStyle name="40% - Accent1 4 2 2 2 3 2 2" xfId="11335" xr:uid="{00000000-0005-0000-0000-000084510000}"/>
    <cellStyle name="40% - Accent1 4 2 2 2 3 2 2 2" xfId="22636" xr:uid="{00000000-0005-0000-0000-000085510000}"/>
    <cellStyle name="40% - Accent1 4 2 2 2 3 2 2 2 2" xfId="45238" xr:uid="{00000000-0005-0000-0000-000086510000}"/>
    <cellStyle name="40% - Accent1 4 2 2 2 3 2 2 3" xfId="33937" xr:uid="{00000000-0005-0000-0000-000087510000}"/>
    <cellStyle name="40% - Accent1 4 2 2 2 3 2 3" xfId="16986" xr:uid="{00000000-0005-0000-0000-000088510000}"/>
    <cellStyle name="40% - Accent1 4 2 2 2 3 2 3 2" xfId="39588" xr:uid="{00000000-0005-0000-0000-000089510000}"/>
    <cellStyle name="40% - Accent1 4 2 2 2 3 2 4" xfId="28287" xr:uid="{00000000-0005-0000-0000-00008A510000}"/>
    <cellStyle name="40% - Accent1 4 2 2 2 3 3" xfId="8502" xr:uid="{00000000-0005-0000-0000-00008B510000}"/>
    <cellStyle name="40% - Accent1 4 2 2 2 3 3 2" xfId="19803" xr:uid="{00000000-0005-0000-0000-00008C510000}"/>
    <cellStyle name="40% - Accent1 4 2 2 2 3 3 2 2" xfId="42405" xr:uid="{00000000-0005-0000-0000-00008D510000}"/>
    <cellStyle name="40% - Accent1 4 2 2 2 3 3 3" xfId="31104" xr:uid="{00000000-0005-0000-0000-00008E510000}"/>
    <cellStyle name="40% - Accent1 4 2 2 2 3 4" xfId="14153" xr:uid="{00000000-0005-0000-0000-00008F510000}"/>
    <cellStyle name="40% - Accent1 4 2 2 2 3 4 2" xfId="36755" xr:uid="{00000000-0005-0000-0000-000090510000}"/>
    <cellStyle name="40% - Accent1 4 2 2 2 3 5" xfId="25454" xr:uid="{00000000-0005-0000-0000-000091510000}"/>
    <cellStyle name="40% - Accent1 4 2 2 2 4" xfId="4451" xr:uid="{00000000-0005-0000-0000-000092510000}"/>
    <cellStyle name="40% - Accent1 4 2 2 2 4 2" xfId="10101" xr:uid="{00000000-0005-0000-0000-000093510000}"/>
    <cellStyle name="40% - Accent1 4 2 2 2 4 2 2" xfId="21402" xr:uid="{00000000-0005-0000-0000-000094510000}"/>
    <cellStyle name="40% - Accent1 4 2 2 2 4 2 2 2" xfId="44004" xr:uid="{00000000-0005-0000-0000-000095510000}"/>
    <cellStyle name="40% - Accent1 4 2 2 2 4 2 3" xfId="32703" xr:uid="{00000000-0005-0000-0000-000096510000}"/>
    <cellStyle name="40% - Accent1 4 2 2 2 4 3" xfId="15752" xr:uid="{00000000-0005-0000-0000-000097510000}"/>
    <cellStyle name="40% - Accent1 4 2 2 2 4 3 2" xfId="38354" xr:uid="{00000000-0005-0000-0000-000098510000}"/>
    <cellStyle name="40% - Accent1 4 2 2 2 4 4" xfId="27053" xr:uid="{00000000-0005-0000-0000-000099510000}"/>
    <cellStyle name="40% - Accent1 4 2 2 2 5" xfId="7247" xr:uid="{00000000-0005-0000-0000-00009A510000}"/>
    <cellStyle name="40% - Accent1 4 2 2 2 5 2" xfId="18548" xr:uid="{00000000-0005-0000-0000-00009B510000}"/>
    <cellStyle name="40% - Accent1 4 2 2 2 5 2 2" xfId="41150" xr:uid="{00000000-0005-0000-0000-00009C510000}"/>
    <cellStyle name="40% - Accent1 4 2 2 2 5 3" xfId="29849" xr:uid="{00000000-0005-0000-0000-00009D510000}"/>
    <cellStyle name="40% - Accent1 4 2 2 2 6" xfId="12898" xr:uid="{00000000-0005-0000-0000-00009E510000}"/>
    <cellStyle name="40% - Accent1 4 2 2 2 6 2" xfId="35500" xr:uid="{00000000-0005-0000-0000-00009F510000}"/>
    <cellStyle name="40% - Accent1 4 2 2 2 7" xfId="24199" xr:uid="{00000000-0005-0000-0000-0000A0510000}"/>
    <cellStyle name="40% - Accent1 4 2 2 3" xfId="966" xr:uid="{00000000-0005-0000-0000-0000A1510000}"/>
    <cellStyle name="40% - Accent1 4 2 2 3 2" xfId="3029" xr:uid="{00000000-0005-0000-0000-0000A2510000}"/>
    <cellStyle name="40% - Accent1 4 2 2 3 2 2" xfId="6001" xr:uid="{00000000-0005-0000-0000-0000A3510000}"/>
    <cellStyle name="40% - Accent1 4 2 2 3 2 2 2" xfId="11651" xr:uid="{00000000-0005-0000-0000-0000A4510000}"/>
    <cellStyle name="40% - Accent1 4 2 2 3 2 2 2 2" xfId="22952" xr:uid="{00000000-0005-0000-0000-0000A5510000}"/>
    <cellStyle name="40% - Accent1 4 2 2 3 2 2 2 2 2" xfId="45554" xr:uid="{00000000-0005-0000-0000-0000A6510000}"/>
    <cellStyle name="40% - Accent1 4 2 2 3 2 2 2 3" xfId="34253" xr:uid="{00000000-0005-0000-0000-0000A7510000}"/>
    <cellStyle name="40% - Accent1 4 2 2 3 2 2 3" xfId="17302" xr:uid="{00000000-0005-0000-0000-0000A8510000}"/>
    <cellStyle name="40% - Accent1 4 2 2 3 2 2 3 2" xfId="39904" xr:uid="{00000000-0005-0000-0000-0000A9510000}"/>
    <cellStyle name="40% - Accent1 4 2 2 3 2 2 4" xfId="28603" xr:uid="{00000000-0005-0000-0000-0000AA510000}"/>
    <cellStyle name="40% - Accent1 4 2 2 3 2 3" xfId="8819" xr:uid="{00000000-0005-0000-0000-0000AB510000}"/>
    <cellStyle name="40% - Accent1 4 2 2 3 2 3 2" xfId="20120" xr:uid="{00000000-0005-0000-0000-0000AC510000}"/>
    <cellStyle name="40% - Accent1 4 2 2 3 2 3 2 2" xfId="42722" xr:uid="{00000000-0005-0000-0000-0000AD510000}"/>
    <cellStyle name="40% - Accent1 4 2 2 3 2 3 3" xfId="31421" xr:uid="{00000000-0005-0000-0000-0000AE510000}"/>
    <cellStyle name="40% - Accent1 4 2 2 3 2 4" xfId="14470" xr:uid="{00000000-0005-0000-0000-0000AF510000}"/>
    <cellStyle name="40% - Accent1 4 2 2 3 2 4 2" xfId="37072" xr:uid="{00000000-0005-0000-0000-0000B0510000}"/>
    <cellStyle name="40% - Accent1 4 2 2 3 2 5" xfId="25771" xr:uid="{00000000-0005-0000-0000-0000B1510000}"/>
    <cellStyle name="40% - Accent1 4 2 2 3 3" xfId="4767" xr:uid="{00000000-0005-0000-0000-0000B2510000}"/>
    <cellStyle name="40% - Accent1 4 2 2 3 3 2" xfId="10417" xr:uid="{00000000-0005-0000-0000-0000B3510000}"/>
    <cellStyle name="40% - Accent1 4 2 2 3 3 2 2" xfId="21718" xr:uid="{00000000-0005-0000-0000-0000B4510000}"/>
    <cellStyle name="40% - Accent1 4 2 2 3 3 2 2 2" xfId="44320" xr:uid="{00000000-0005-0000-0000-0000B5510000}"/>
    <cellStyle name="40% - Accent1 4 2 2 3 3 2 3" xfId="33019" xr:uid="{00000000-0005-0000-0000-0000B6510000}"/>
    <cellStyle name="40% - Accent1 4 2 2 3 3 3" xfId="16068" xr:uid="{00000000-0005-0000-0000-0000B7510000}"/>
    <cellStyle name="40% - Accent1 4 2 2 3 3 3 2" xfId="38670" xr:uid="{00000000-0005-0000-0000-0000B8510000}"/>
    <cellStyle name="40% - Accent1 4 2 2 3 3 4" xfId="27369" xr:uid="{00000000-0005-0000-0000-0000B9510000}"/>
    <cellStyle name="40% - Accent1 4 2 2 3 4" xfId="6954" xr:uid="{00000000-0005-0000-0000-0000BA510000}"/>
    <cellStyle name="40% - Accent1 4 2 2 3 4 2" xfId="18255" xr:uid="{00000000-0005-0000-0000-0000BB510000}"/>
    <cellStyle name="40% - Accent1 4 2 2 3 4 2 2" xfId="40857" xr:uid="{00000000-0005-0000-0000-0000BC510000}"/>
    <cellStyle name="40% - Accent1 4 2 2 3 4 3" xfId="29556" xr:uid="{00000000-0005-0000-0000-0000BD510000}"/>
    <cellStyle name="40% - Accent1 4 2 2 3 5" xfId="12605" xr:uid="{00000000-0005-0000-0000-0000BE510000}"/>
    <cellStyle name="40% - Accent1 4 2 2 3 5 2" xfId="35207" xr:uid="{00000000-0005-0000-0000-0000BF510000}"/>
    <cellStyle name="40% - Accent1 4 2 2 3 6" xfId="23906" xr:uid="{00000000-0005-0000-0000-0000C0510000}"/>
    <cellStyle name="40% - Accent1 4 2 2 4" xfId="1768" xr:uid="{00000000-0005-0000-0000-0000C1510000}"/>
    <cellStyle name="40% - Accent1 4 2 2 4 2" xfId="3654" xr:uid="{00000000-0005-0000-0000-0000C2510000}"/>
    <cellStyle name="40% - Accent1 4 2 2 4 2 2" xfId="9365" xr:uid="{00000000-0005-0000-0000-0000C3510000}"/>
    <cellStyle name="40% - Accent1 4 2 2 4 2 2 2" xfId="20666" xr:uid="{00000000-0005-0000-0000-0000C4510000}"/>
    <cellStyle name="40% - Accent1 4 2 2 4 2 2 2 2" xfId="43268" xr:uid="{00000000-0005-0000-0000-0000C5510000}"/>
    <cellStyle name="40% - Accent1 4 2 2 4 2 2 3" xfId="31967" xr:uid="{00000000-0005-0000-0000-0000C6510000}"/>
    <cellStyle name="40% - Accent1 4 2 2 4 2 3" xfId="15016" xr:uid="{00000000-0005-0000-0000-0000C7510000}"/>
    <cellStyle name="40% - Accent1 4 2 2 4 2 3 2" xfId="37618" xr:uid="{00000000-0005-0000-0000-0000C8510000}"/>
    <cellStyle name="40% - Accent1 4 2 2 4 2 4" xfId="26317" xr:uid="{00000000-0005-0000-0000-0000C9510000}"/>
    <cellStyle name="40% - Accent1 4 2 2 4 3" xfId="5377" xr:uid="{00000000-0005-0000-0000-0000CA510000}"/>
    <cellStyle name="40% - Accent1 4 2 2 4 3 2" xfId="11027" xr:uid="{00000000-0005-0000-0000-0000CB510000}"/>
    <cellStyle name="40% - Accent1 4 2 2 4 3 2 2" xfId="22328" xr:uid="{00000000-0005-0000-0000-0000CC510000}"/>
    <cellStyle name="40% - Accent1 4 2 2 4 3 2 2 2" xfId="44930" xr:uid="{00000000-0005-0000-0000-0000CD510000}"/>
    <cellStyle name="40% - Accent1 4 2 2 4 3 2 3" xfId="33629" xr:uid="{00000000-0005-0000-0000-0000CE510000}"/>
    <cellStyle name="40% - Accent1 4 2 2 4 3 3" xfId="16678" xr:uid="{00000000-0005-0000-0000-0000CF510000}"/>
    <cellStyle name="40% - Accent1 4 2 2 4 3 3 2" xfId="39280" xr:uid="{00000000-0005-0000-0000-0000D0510000}"/>
    <cellStyle name="40% - Accent1 4 2 2 4 3 4" xfId="27979" xr:uid="{00000000-0005-0000-0000-0000D1510000}"/>
    <cellStyle name="40% - Accent1 4 2 2 4 4" xfId="7624" xr:uid="{00000000-0005-0000-0000-0000D2510000}"/>
    <cellStyle name="40% - Accent1 4 2 2 4 4 2" xfId="18925" xr:uid="{00000000-0005-0000-0000-0000D3510000}"/>
    <cellStyle name="40% - Accent1 4 2 2 4 4 2 2" xfId="41527" xr:uid="{00000000-0005-0000-0000-0000D4510000}"/>
    <cellStyle name="40% - Accent1 4 2 2 4 4 3" xfId="30226" xr:uid="{00000000-0005-0000-0000-0000D5510000}"/>
    <cellStyle name="40% - Accent1 4 2 2 4 5" xfId="13275" xr:uid="{00000000-0005-0000-0000-0000D6510000}"/>
    <cellStyle name="40% - Accent1 4 2 2 4 5 2" xfId="35877" xr:uid="{00000000-0005-0000-0000-0000D7510000}"/>
    <cellStyle name="40% - Accent1 4 2 2 4 6" xfId="24576" xr:uid="{00000000-0005-0000-0000-0000D8510000}"/>
    <cellStyle name="40% - Accent1 4 2 2 5" xfId="2358" xr:uid="{00000000-0005-0000-0000-0000D9510000}"/>
    <cellStyle name="40% - Accent1 4 2 2 5 2" xfId="8194" xr:uid="{00000000-0005-0000-0000-0000DA510000}"/>
    <cellStyle name="40% - Accent1 4 2 2 5 2 2" xfId="19495" xr:uid="{00000000-0005-0000-0000-0000DB510000}"/>
    <cellStyle name="40% - Accent1 4 2 2 5 2 2 2" xfId="42097" xr:uid="{00000000-0005-0000-0000-0000DC510000}"/>
    <cellStyle name="40% - Accent1 4 2 2 5 2 3" xfId="30796" xr:uid="{00000000-0005-0000-0000-0000DD510000}"/>
    <cellStyle name="40% - Accent1 4 2 2 5 3" xfId="13845" xr:uid="{00000000-0005-0000-0000-0000DE510000}"/>
    <cellStyle name="40% - Accent1 4 2 2 5 3 2" xfId="36447" xr:uid="{00000000-0005-0000-0000-0000DF510000}"/>
    <cellStyle name="40% - Accent1 4 2 2 5 4" xfId="25146" xr:uid="{00000000-0005-0000-0000-0000E0510000}"/>
    <cellStyle name="40% - Accent1 4 2 2 6" xfId="4143" xr:uid="{00000000-0005-0000-0000-0000E1510000}"/>
    <cellStyle name="40% - Accent1 4 2 2 6 2" xfId="9793" xr:uid="{00000000-0005-0000-0000-0000E2510000}"/>
    <cellStyle name="40% - Accent1 4 2 2 6 2 2" xfId="21094" xr:uid="{00000000-0005-0000-0000-0000E3510000}"/>
    <cellStyle name="40% - Accent1 4 2 2 6 2 2 2" xfId="43696" xr:uid="{00000000-0005-0000-0000-0000E4510000}"/>
    <cellStyle name="40% - Accent1 4 2 2 6 2 3" xfId="32395" xr:uid="{00000000-0005-0000-0000-0000E5510000}"/>
    <cellStyle name="40% - Accent1 4 2 2 6 3" xfId="15444" xr:uid="{00000000-0005-0000-0000-0000E6510000}"/>
    <cellStyle name="40% - Accent1 4 2 2 6 3 2" xfId="38046" xr:uid="{00000000-0005-0000-0000-0000E7510000}"/>
    <cellStyle name="40% - Accent1 4 2 2 6 4" xfId="26745" xr:uid="{00000000-0005-0000-0000-0000E8510000}"/>
    <cellStyle name="40% - Accent1 4 2 2 7" xfId="6623" xr:uid="{00000000-0005-0000-0000-0000E9510000}"/>
    <cellStyle name="40% - Accent1 4 2 2 7 2" xfId="17924" xr:uid="{00000000-0005-0000-0000-0000EA510000}"/>
    <cellStyle name="40% - Accent1 4 2 2 7 2 2" xfId="40526" xr:uid="{00000000-0005-0000-0000-0000EB510000}"/>
    <cellStyle name="40% - Accent1 4 2 2 7 3" xfId="29225" xr:uid="{00000000-0005-0000-0000-0000EC510000}"/>
    <cellStyle name="40% - Accent1 4 2 2 8" xfId="12274" xr:uid="{00000000-0005-0000-0000-0000ED510000}"/>
    <cellStyle name="40% - Accent1 4 2 2 8 2" xfId="34876" xr:uid="{00000000-0005-0000-0000-0000EE510000}"/>
    <cellStyle name="40% - Accent1 4 2 2 9" xfId="23575" xr:uid="{00000000-0005-0000-0000-0000EF510000}"/>
    <cellStyle name="40% - Accent1 4 2 3" xfId="1130" xr:uid="{00000000-0005-0000-0000-0000F0510000}"/>
    <cellStyle name="40% - Accent1 4 2 3 2" xfId="1770" xr:uid="{00000000-0005-0000-0000-0000F1510000}"/>
    <cellStyle name="40% - Accent1 4 2 3 2 2" xfId="3198" xr:uid="{00000000-0005-0000-0000-0000F2510000}"/>
    <cellStyle name="40% - Accent1 4 2 3 2 2 2" xfId="6170" xr:uid="{00000000-0005-0000-0000-0000F3510000}"/>
    <cellStyle name="40% - Accent1 4 2 3 2 2 2 2" xfId="11820" xr:uid="{00000000-0005-0000-0000-0000F4510000}"/>
    <cellStyle name="40% - Accent1 4 2 3 2 2 2 2 2" xfId="23121" xr:uid="{00000000-0005-0000-0000-0000F5510000}"/>
    <cellStyle name="40% - Accent1 4 2 3 2 2 2 2 2 2" xfId="45723" xr:uid="{00000000-0005-0000-0000-0000F6510000}"/>
    <cellStyle name="40% - Accent1 4 2 3 2 2 2 2 3" xfId="34422" xr:uid="{00000000-0005-0000-0000-0000F7510000}"/>
    <cellStyle name="40% - Accent1 4 2 3 2 2 2 3" xfId="17471" xr:uid="{00000000-0005-0000-0000-0000F8510000}"/>
    <cellStyle name="40% - Accent1 4 2 3 2 2 2 3 2" xfId="40073" xr:uid="{00000000-0005-0000-0000-0000F9510000}"/>
    <cellStyle name="40% - Accent1 4 2 3 2 2 2 4" xfId="28772" xr:uid="{00000000-0005-0000-0000-0000FA510000}"/>
    <cellStyle name="40% - Accent1 4 2 3 2 2 3" xfId="8988" xr:uid="{00000000-0005-0000-0000-0000FB510000}"/>
    <cellStyle name="40% - Accent1 4 2 3 2 2 3 2" xfId="20289" xr:uid="{00000000-0005-0000-0000-0000FC510000}"/>
    <cellStyle name="40% - Accent1 4 2 3 2 2 3 2 2" xfId="42891" xr:uid="{00000000-0005-0000-0000-0000FD510000}"/>
    <cellStyle name="40% - Accent1 4 2 3 2 2 3 3" xfId="31590" xr:uid="{00000000-0005-0000-0000-0000FE510000}"/>
    <cellStyle name="40% - Accent1 4 2 3 2 2 4" xfId="14639" xr:uid="{00000000-0005-0000-0000-0000FF510000}"/>
    <cellStyle name="40% - Accent1 4 2 3 2 2 4 2" xfId="37241" xr:uid="{00000000-0005-0000-0000-000000520000}"/>
    <cellStyle name="40% - Accent1 4 2 3 2 2 5" xfId="25940" xr:uid="{00000000-0005-0000-0000-000001520000}"/>
    <cellStyle name="40% - Accent1 4 2 3 2 3" xfId="4936" xr:uid="{00000000-0005-0000-0000-000002520000}"/>
    <cellStyle name="40% - Accent1 4 2 3 2 3 2" xfId="10586" xr:uid="{00000000-0005-0000-0000-000003520000}"/>
    <cellStyle name="40% - Accent1 4 2 3 2 3 2 2" xfId="21887" xr:uid="{00000000-0005-0000-0000-000004520000}"/>
    <cellStyle name="40% - Accent1 4 2 3 2 3 2 2 2" xfId="44489" xr:uid="{00000000-0005-0000-0000-000005520000}"/>
    <cellStyle name="40% - Accent1 4 2 3 2 3 2 3" xfId="33188" xr:uid="{00000000-0005-0000-0000-000006520000}"/>
    <cellStyle name="40% - Accent1 4 2 3 2 3 3" xfId="16237" xr:uid="{00000000-0005-0000-0000-000007520000}"/>
    <cellStyle name="40% - Accent1 4 2 3 2 3 3 2" xfId="38839" xr:uid="{00000000-0005-0000-0000-000008520000}"/>
    <cellStyle name="40% - Accent1 4 2 3 2 3 4" xfId="27538" xr:uid="{00000000-0005-0000-0000-000009520000}"/>
    <cellStyle name="40% - Accent1 4 2 3 2 4" xfId="7626" xr:uid="{00000000-0005-0000-0000-00000A520000}"/>
    <cellStyle name="40% - Accent1 4 2 3 2 4 2" xfId="18927" xr:uid="{00000000-0005-0000-0000-00000B520000}"/>
    <cellStyle name="40% - Accent1 4 2 3 2 4 2 2" xfId="41529" xr:uid="{00000000-0005-0000-0000-00000C520000}"/>
    <cellStyle name="40% - Accent1 4 2 3 2 4 3" xfId="30228" xr:uid="{00000000-0005-0000-0000-00000D520000}"/>
    <cellStyle name="40% - Accent1 4 2 3 2 5" xfId="13277" xr:uid="{00000000-0005-0000-0000-00000E520000}"/>
    <cellStyle name="40% - Accent1 4 2 3 2 5 2" xfId="35879" xr:uid="{00000000-0005-0000-0000-00000F520000}"/>
    <cellStyle name="40% - Accent1 4 2 3 2 6" xfId="24578" xr:uid="{00000000-0005-0000-0000-000010520000}"/>
    <cellStyle name="40% - Accent1 4 2 3 3" xfId="2527" xr:uid="{00000000-0005-0000-0000-000011520000}"/>
    <cellStyle name="40% - Accent1 4 2 3 3 2" xfId="5546" xr:uid="{00000000-0005-0000-0000-000012520000}"/>
    <cellStyle name="40% - Accent1 4 2 3 3 2 2" xfId="11196" xr:uid="{00000000-0005-0000-0000-000013520000}"/>
    <cellStyle name="40% - Accent1 4 2 3 3 2 2 2" xfId="22497" xr:uid="{00000000-0005-0000-0000-000014520000}"/>
    <cellStyle name="40% - Accent1 4 2 3 3 2 2 2 2" xfId="45099" xr:uid="{00000000-0005-0000-0000-000015520000}"/>
    <cellStyle name="40% - Accent1 4 2 3 3 2 2 3" xfId="33798" xr:uid="{00000000-0005-0000-0000-000016520000}"/>
    <cellStyle name="40% - Accent1 4 2 3 3 2 3" xfId="16847" xr:uid="{00000000-0005-0000-0000-000017520000}"/>
    <cellStyle name="40% - Accent1 4 2 3 3 2 3 2" xfId="39449" xr:uid="{00000000-0005-0000-0000-000018520000}"/>
    <cellStyle name="40% - Accent1 4 2 3 3 2 4" xfId="28148" xr:uid="{00000000-0005-0000-0000-000019520000}"/>
    <cellStyle name="40% - Accent1 4 2 3 3 3" xfId="8363" xr:uid="{00000000-0005-0000-0000-00001A520000}"/>
    <cellStyle name="40% - Accent1 4 2 3 3 3 2" xfId="19664" xr:uid="{00000000-0005-0000-0000-00001B520000}"/>
    <cellStyle name="40% - Accent1 4 2 3 3 3 2 2" xfId="42266" xr:uid="{00000000-0005-0000-0000-00001C520000}"/>
    <cellStyle name="40% - Accent1 4 2 3 3 3 3" xfId="30965" xr:uid="{00000000-0005-0000-0000-00001D520000}"/>
    <cellStyle name="40% - Accent1 4 2 3 3 4" xfId="14014" xr:uid="{00000000-0005-0000-0000-00001E520000}"/>
    <cellStyle name="40% - Accent1 4 2 3 3 4 2" xfId="36616" xr:uid="{00000000-0005-0000-0000-00001F520000}"/>
    <cellStyle name="40% - Accent1 4 2 3 3 5" xfId="25315" xr:uid="{00000000-0005-0000-0000-000020520000}"/>
    <cellStyle name="40% - Accent1 4 2 3 4" xfId="4312" xr:uid="{00000000-0005-0000-0000-000021520000}"/>
    <cellStyle name="40% - Accent1 4 2 3 4 2" xfId="9962" xr:uid="{00000000-0005-0000-0000-000022520000}"/>
    <cellStyle name="40% - Accent1 4 2 3 4 2 2" xfId="21263" xr:uid="{00000000-0005-0000-0000-000023520000}"/>
    <cellStyle name="40% - Accent1 4 2 3 4 2 2 2" xfId="43865" xr:uid="{00000000-0005-0000-0000-000024520000}"/>
    <cellStyle name="40% - Accent1 4 2 3 4 2 3" xfId="32564" xr:uid="{00000000-0005-0000-0000-000025520000}"/>
    <cellStyle name="40% - Accent1 4 2 3 4 3" xfId="15613" xr:uid="{00000000-0005-0000-0000-000026520000}"/>
    <cellStyle name="40% - Accent1 4 2 3 4 3 2" xfId="38215" xr:uid="{00000000-0005-0000-0000-000027520000}"/>
    <cellStyle name="40% - Accent1 4 2 3 4 4" xfId="26914" xr:uid="{00000000-0005-0000-0000-000028520000}"/>
    <cellStyle name="40% - Accent1 4 2 3 5" xfId="7109" xr:uid="{00000000-0005-0000-0000-000029520000}"/>
    <cellStyle name="40% - Accent1 4 2 3 5 2" xfId="18410" xr:uid="{00000000-0005-0000-0000-00002A520000}"/>
    <cellStyle name="40% - Accent1 4 2 3 5 2 2" xfId="41012" xr:uid="{00000000-0005-0000-0000-00002B520000}"/>
    <cellStyle name="40% - Accent1 4 2 3 5 3" xfId="29711" xr:uid="{00000000-0005-0000-0000-00002C520000}"/>
    <cellStyle name="40% - Accent1 4 2 3 6" xfId="12760" xr:uid="{00000000-0005-0000-0000-00002D520000}"/>
    <cellStyle name="40% - Accent1 4 2 3 6 2" xfId="35362" xr:uid="{00000000-0005-0000-0000-00002E520000}"/>
    <cellStyle name="40% - Accent1 4 2 3 7" xfId="24061" xr:uid="{00000000-0005-0000-0000-00002F520000}"/>
    <cellStyle name="40% - Accent1 4 2 4" xfId="820" xr:uid="{00000000-0005-0000-0000-000030520000}"/>
    <cellStyle name="40% - Accent1 4 2 4 2" xfId="2891" xr:uid="{00000000-0005-0000-0000-000031520000}"/>
    <cellStyle name="40% - Accent1 4 2 4 2 2" xfId="5863" xr:uid="{00000000-0005-0000-0000-000032520000}"/>
    <cellStyle name="40% - Accent1 4 2 4 2 2 2" xfId="11513" xr:uid="{00000000-0005-0000-0000-000033520000}"/>
    <cellStyle name="40% - Accent1 4 2 4 2 2 2 2" xfId="22814" xr:uid="{00000000-0005-0000-0000-000034520000}"/>
    <cellStyle name="40% - Accent1 4 2 4 2 2 2 2 2" xfId="45416" xr:uid="{00000000-0005-0000-0000-000035520000}"/>
    <cellStyle name="40% - Accent1 4 2 4 2 2 2 3" xfId="34115" xr:uid="{00000000-0005-0000-0000-000036520000}"/>
    <cellStyle name="40% - Accent1 4 2 4 2 2 3" xfId="17164" xr:uid="{00000000-0005-0000-0000-000037520000}"/>
    <cellStyle name="40% - Accent1 4 2 4 2 2 3 2" xfId="39766" xr:uid="{00000000-0005-0000-0000-000038520000}"/>
    <cellStyle name="40% - Accent1 4 2 4 2 2 4" xfId="28465" xr:uid="{00000000-0005-0000-0000-000039520000}"/>
    <cellStyle name="40% - Accent1 4 2 4 2 3" xfId="8681" xr:uid="{00000000-0005-0000-0000-00003A520000}"/>
    <cellStyle name="40% - Accent1 4 2 4 2 3 2" xfId="19982" xr:uid="{00000000-0005-0000-0000-00003B520000}"/>
    <cellStyle name="40% - Accent1 4 2 4 2 3 2 2" xfId="42584" xr:uid="{00000000-0005-0000-0000-00003C520000}"/>
    <cellStyle name="40% - Accent1 4 2 4 2 3 3" xfId="31283" xr:uid="{00000000-0005-0000-0000-00003D520000}"/>
    <cellStyle name="40% - Accent1 4 2 4 2 4" xfId="14332" xr:uid="{00000000-0005-0000-0000-00003E520000}"/>
    <cellStyle name="40% - Accent1 4 2 4 2 4 2" xfId="36934" xr:uid="{00000000-0005-0000-0000-00003F520000}"/>
    <cellStyle name="40% - Accent1 4 2 4 2 5" xfId="25633" xr:uid="{00000000-0005-0000-0000-000040520000}"/>
    <cellStyle name="40% - Accent1 4 2 4 3" xfId="4629" xr:uid="{00000000-0005-0000-0000-000041520000}"/>
    <cellStyle name="40% - Accent1 4 2 4 3 2" xfId="10279" xr:uid="{00000000-0005-0000-0000-000042520000}"/>
    <cellStyle name="40% - Accent1 4 2 4 3 2 2" xfId="21580" xr:uid="{00000000-0005-0000-0000-000043520000}"/>
    <cellStyle name="40% - Accent1 4 2 4 3 2 2 2" xfId="44182" xr:uid="{00000000-0005-0000-0000-000044520000}"/>
    <cellStyle name="40% - Accent1 4 2 4 3 2 3" xfId="32881" xr:uid="{00000000-0005-0000-0000-000045520000}"/>
    <cellStyle name="40% - Accent1 4 2 4 3 3" xfId="15930" xr:uid="{00000000-0005-0000-0000-000046520000}"/>
    <cellStyle name="40% - Accent1 4 2 4 3 3 2" xfId="38532" xr:uid="{00000000-0005-0000-0000-000047520000}"/>
    <cellStyle name="40% - Accent1 4 2 4 3 4" xfId="27231" xr:uid="{00000000-0005-0000-0000-000048520000}"/>
    <cellStyle name="40% - Accent1 4 2 4 4" xfId="6816" xr:uid="{00000000-0005-0000-0000-000049520000}"/>
    <cellStyle name="40% - Accent1 4 2 4 4 2" xfId="18117" xr:uid="{00000000-0005-0000-0000-00004A520000}"/>
    <cellStyle name="40% - Accent1 4 2 4 4 2 2" xfId="40719" xr:uid="{00000000-0005-0000-0000-00004B520000}"/>
    <cellStyle name="40% - Accent1 4 2 4 4 3" xfId="29418" xr:uid="{00000000-0005-0000-0000-00004C520000}"/>
    <cellStyle name="40% - Accent1 4 2 4 5" xfId="12467" xr:uid="{00000000-0005-0000-0000-00004D520000}"/>
    <cellStyle name="40% - Accent1 4 2 4 5 2" xfId="35069" xr:uid="{00000000-0005-0000-0000-00004E520000}"/>
    <cellStyle name="40% - Accent1 4 2 4 6" xfId="23768" xr:uid="{00000000-0005-0000-0000-00004F520000}"/>
    <cellStyle name="40% - Accent1 4 2 5" xfId="1767" xr:uid="{00000000-0005-0000-0000-000050520000}"/>
    <cellStyle name="40% - Accent1 4 2 5 2" xfId="3653" xr:uid="{00000000-0005-0000-0000-000051520000}"/>
    <cellStyle name="40% - Accent1 4 2 5 2 2" xfId="9364" xr:uid="{00000000-0005-0000-0000-000052520000}"/>
    <cellStyle name="40% - Accent1 4 2 5 2 2 2" xfId="20665" xr:uid="{00000000-0005-0000-0000-000053520000}"/>
    <cellStyle name="40% - Accent1 4 2 5 2 2 2 2" xfId="43267" xr:uid="{00000000-0005-0000-0000-000054520000}"/>
    <cellStyle name="40% - Accent1 4 2 5 2 2 3" xfId="31966" xr:uid="{00000000-0005-0000-0000-000055520000}"/>
    <cellStyle name="40% - Accent1 4 2 5 2 3" xfId="15015" xr:uid="{00000000-0005-0000-0000-000056520000}"/>
    <cellStyle name="40% - Accent1 4 2 5 2 3 2" xfId="37617" xr:uid="{00000000-0005-0000-0000-000057520000}"/>
    <cellStyle name="40% - Accent1 4 2 5 2 4" xfId="26316" xr:uid="{00000000-0005-0000-0000-000058520000}"/>
    <cellStyle name="40% - Accent1 4 2 5 3" xfId="5239" xr:uid="{00000000-0005-0000-0000-000059520000}"/>
    <cellStyle name="40% - Accent1 4 2 5 3 2" xfId="10889" xr:uid="{00000000-0005-0000-0000-00005A520000}"/>
    <cellStyle name="40% - Accent1 4 2 5 3 2 2" xfId="22190" xr:uid="{00000000-0005-0000-0000-00005B520000}"/>
    <cellStyle name="40% - Accent1 4 2 5 3 2 2 2" xfId="44792" xr:uid="{00000000-0005-0000-0000-00005C520000}"/>
    <cellStyle name="40% - Accent1 4 2 5 3 2 3" xfId="33491" xr:uid="{00000000-0005-0000-0000-00005D520000}"/>
    <cellStyle name="40% - Accent1 4 2 5 3 3" xfId="16540" xr:uid="{00000000-0005-0000-0000-00005E520000}"/>
    <cellStyle name="40% - Accent1 4 2 5 3 3 2" xfId="39142" xr:uid="{00000000-0005-0000-0000-00005F520000}"/>
    <cellStyle name="40% - Accent1 4 2 5 3 4" xfId="27841" xr:uid="{00000000-0005-0000-0000-000060520000}"/>
    <cellStyle name="40% - Accent1 4 2 5 4" xfId="7623" xr:uid="{00000000-0005-0000-0000-000061520000}"/>
    <cellStyle name="40% - Accent1 4 2 5 4 2" xfId="18924" xr:uid="{00000000-0005-0000-0000-000062520000}"/>
    <cellStyle name="40% - Accent1 4 2 5 4 2 2" xfId="41526" xr:uid="{00000000-0005-0000-0000-000063520000}"/>
    <cellStyle name="40% - Accent1 4 2 5 4 3" xfId="30225" xr:uid="{00000000-0005-0000-0000-000064520000}"/>
    <cellStyle name="40% - Accent1 4 2 5 5" xfId="13274" xr:uid="{00000000-0005-0000-0000-000065520000}"/>
    <cellStyle name="40% - Accent1 4 2 5 5 2" xfId="35876" xr:uid="{00000000-0005-0000-0000-000066520000}"/>
    <cellStyle name="40% - Accent1 4 2 5 6" xfId="24575" xr:uid="{00000000-0005-0000-0000-000067520000}"/>
    <cellStyle name="40% - Accent1 4 2 6" xfId="2218" xr:uid="{00000000-0005-0000-0000-000068520000}"/>
    <cellStyle name="40% - Accent1 4 2 6 2" xfId="8054" xr:uid="{00000000-0005-0000-0000-000069520000}"/>
    <cellStyle name="40% - Accent1 4 2 6 2 2" xfId="19355" xr:uid="{00000000-0005-0000-0000-00006A520000}"/>
    <cellStyle name="40% - Accent1 4 2 6 2 2 2" xfId="41957" xr:uid="{00000000-0005-0000-0000-00006B520000}"/>
    <cellStyle name="40% - Accent1 4 2 6 2 3" xfId="30656" xr:uid="{00000000-0005-0000-0000-00006C520000}"/>
    <cellStyle name="40% - Accent1 4 2 6 3" xfId="13705" xr:uid="{00000000-0005-0000-0000-00006D520000}"/>
    <cellStyle name="40% - Accent1 4 2 6 3 2" xfId="36307" xr:uid="{00000000-0005-0000-0000-00006E520000}"/>
    <cellStyle name="40% - Accent1 4 2 6 4" xfId="25006" xr:uid="{00000000-0005-0000-0000-00006F520000}"/>
    <cellStyle name="40% - Accent1 4 2 7" xfId="4005" xr:uid="{00000000-0005-0000-0000-000070520000}"/>
    <cellStyle name="40% - Accent1 4 2 7 2" xfId="9655" xr:uid="{00000000-0005-0000-0000-000071520000}"/>
    <cellStyle name="40% - Accent1 4 2 7 2 2" xfId="20956" xr:uid="{00000000-0005-0000-0000-000072520000}"/>
    <cellStyle name="40% - Accent1 4 2 7 2 2 2" xfId="43558" xr:uid="{00000000-0005-0000-0000-000073520000}"/>
    <cellStyle name="40% - Accent1 4 2 7 2 3" xfId="32257" xr:uid="{00000000-0005-0000-0000-000074520000}"/>
    <cellStyle name="40% - Accent1 4 2 7 3" xfId="15306" xr:uid="{00000000-0005-0000-0000-000075520000}"/>
    <cellStyle name="40% - Accent1 4 2 7 3 2" xfId="37908" xr:uid="{00000000-0005-0000-0000-000076520000}"/>
    <cellStyle name="40% - Accent1 4 2 7 4" xfId="26607" xr:uid="{00000000-0005-0000-0000-000077520000}"/>
    <cellStyle name="40% - Accent1 4 2 8" xfId="6456" xr:uid="{00000000-0005-0000-0000-000078520000}"/>
    <cellStyle name="40% - Accent1 4 2 8 2" xfId="17757" xr:uid="{00000000-0005-0000-0000-000079520000}"/>
    <cellStyle name="40% - Accent1 4 2 8 2 2" xfId="40359" xr:uid="{00000000-0005-0000-0000-00007A520000}"/>
    <cellStyle name="40% - Accent1 4 2 8 3" xfId="29058" xr:uid="{00000000-0005-0000-0000-00007B520000}"/>
    <cellStyle name="40% - Accent1 4 2 9" xfId="12107" xr:uid="{00000000-0005-0000-0000-00007C520000}"/>
    <cellStyle name="40% - Accent1 4 2 9 2" xfId="34709" xr:uid="{00000000-0005-0000-0000-00007D520000}"/>
    <cellStyle name="40% - Accent1 4 3" xfId="362" xr:uid="{00000000-0005-0000-0000-00007E520000}"/>
    <cellStyle name="40% - Accent1 4 3 10" xfId="23457" xr:uid="{00000000-0005-0000-0000-00007F520000}"/>
    <cellStyle name="40% - Accent1 4 3 2" xfId="607" xr:uid="{00000000-0005-0000-0000-000080520000}"/>
    <cellStyle name="40% - Accent1 4 3 2 2" xfId="1317" xr:uid="{00000000-0005-0000-0000-000081520000}"/>
    <cellStyle name="40% - Accent1 4 3 2 2 2" xfId="1773" xr:uid="{00000000-0005-0000-0000-000082520000}"/>
    <cellStyle name="40% - Accent1 4 3 2 2 2 2" xfId="3386" xr:uid="{00000000-0005-0000-0000-000083520000}"/>
    <cellStyle name="40% - Accent1 4 3 2 2 2 2 2" xfId="6358" xr:uid="{00000000-0005-0000-0000-000084520000}"/>
    <cellStyle name="40% - Accent1 4 3 2 2 2 2 2 2" xfId="12008" xr:uid="{00000000-0005-0000-0000-000085520000}"/>
    <cellStyle name="40% - Accent1 4 3 2 2 2 2 2 2 2" xfId="23309" xr:uid="{00000000-0005-0000-0000-000086520000}"/>
    <cellStyle name="40% - Accent1 4 3 2 2 2 2 2 2 2 2" xfId="45911" xr:uid="{00000000-0005-0000-0000-000087520000}"/>
    <cellStyle name="40% - Accent1 4 3 2 2 2 2 2 2 3" xfId="34610" xr:uid="{00000000-0005-0000-0000-000088520000}"/>
    <cellStyle name="40% - Accent1 4 3 2 2 2 2 2 3" xfId="17659" xr:uid="{00000000-0005-0000-0000-000089520000}"/>
    <cellStyle name="40% - Accent1 4 3 2 2 2 2 2 3 2" xfId="40261" xr:uid="{00000000-0005-0000-0000-00008A520000}"/>
    <cellStyle name="40% - Accent1 4 3 2 2 2 2 2 4" xfId="28960" xr:uid="{00000000-0005-0000-0000-00008B520000}"/>
    <cellStyle name="40% - Accent1 4 3 2 2 2 2 3" xfId="9176" xr:uid="{00000000-0005-0000-0000-00008C520000}"/>
    <cellStyle name="40% - Accent1 4 3 2 2 2 2 3 2" xfId="20477" xr:uid="{00000000-0005-0000-0000-00008D520000}"/>
    <cellStyle name="40% - Accent1 4 3 2 2 2 2 3 2 2" xfId="43079" xr:uid="{00000000-0005-0000-0000-00008E520000}"/>
    <cellStyle name="40% - Accent1 4 3 2 2 2 2 3 3" xfId="31778" xr:uid="{00000000-0005-0000-0000-00008F520000}"/>
    <cellStyle name="40% - Accent1 4 3 2 2 2 2 4" xfId="14827" xr:uid="{00000000-0005-0000-0000-000090520000}"/>
    <cellStyle name="40% - Accent1 4 3 2 2 2 2 4 2" xfId="37429" xr:uid="{00000000-0005-0000-0000-000091520000}"/>
    <cellStyle name="40% - Accent1 4 3 2 2 2 2 5" xfId="26128" xr:uid="{00000000-0005-0000-0000-000092520000}"/>
    <cellStyle name="40% - Accent1 4 3 2 2 2 3" xfId="5124" xr:uid="{00000000-0005-0000-0000-000093520000}"/>
    <cellStyle name="40% - Accent1 4 3 2 2 2 3 2" xfId="10774" xr:uid="{00000000-0005-0000-0000-000094520000}"/>
    <cellStyle name="40% - Accent1 4 3 2 2 2 3 2 2" xfId="22075" xr:uid="{00000000-0005-0000-0000-000095520000}"/>
    <cellStyle name="40% - Accent1 4 3 2 2 2 3 2 2 2" xfId="44677" xr:uid="{00000000-0005-0000-0000-000096520000}"/>
    <cellStyle name="40% - Accent1 4 3 2 2 2 3 2 3" xfId="33376" xr:uid="{00000000-0005-0000-0000-000097520000}"/>
    <cellStyle name="40% - Accent1 4 3 2 2 2 3 3" xfId="16425" xr:uid="{00000000-0005-0000-0000-000098520000}"/>
    <cellStyle name="40% - Accent1 4 3 2 2 2 3 3 2" xfId="39027" xr:uid="{00000000-0005-0000-0000-000099520000}"/>
    <cellStyle name="40% - Accent1 4 3 2 2 2 3 4" xfId="27726" xr:uid="{00000000-0005-0000-0000-00009A520000}"/>
    <cellStyle name="40% - Accent1 4 3 2 2 2 4" xfId="7629" xr:uid="{00000000-0005-0000-0000-00009B520000}"/>
    <cellStyle name="40% - Accent1 4 3 2 2 2 4 2" xfId="18930" xr:uid="{00000000-0005-0000-0000-00009C520000}"/>
    <cellStyle name="40% - Accent1 4 3 2 2 2 4 2 2" xfId="41532" xr:uid="{00000000-0005-0000-0000-00009D520000}"/>
    <cellStyle name="40% - Accent1 4 3 2 2 2 4 3" xfId="30231" xr:uid="{00000000-0005-0000-0000-00009E520000}"/>
    <cellStyle name="40% - Accent1 4 3 2 2 2 5" xfId="13280" xr:uid="{00000000-0005-0000-0000-00009F520000}"/>
    <cellStyle name="40% - Accent1 4 3 2 2 2 5 2" xfId="35882" xr:uid="{00000000-0005-0000-0000-0000A0520000}"/>
    <cellStyle name="40% - Accent1 4 3 2 2 2 6" xfId="24581" xr:uid="{00000000-0005-0000-0000-0000A1520000}"/>
    <cellStyle name="40% - Accent1 4 3 2 2 3" xfId="2715" xr:uid="{00000000-0005-0000-0000-0000A2520000}"/>
    <cellStyle name="40% - Accent1 4 3 2 2 3 2" xfId="5734" xr:uid="{00000000-0005-0000-0000-0000A3520000}"/>
    <cellStyle name="40% - Accent1 4 3 2 2 3 2 2" xfId="11384" xr:uid="{00000000-0005-0000-0000-0000A4520000}"/>
    <cellStyle name="40% - Accent1 4 3 2 2 3 2 2 2" xfId="22685" xr:uid="{00000000-0005-0000-0000-0000A5520000}"/>
    <cellStyle name="40% - Accent1 4 3 2 2 3 2 2 2 2" xfId="45287" xr:uid="{00000000-0005-0000-0000-0000A6520000}"/>
    <cellStyle name="40% - Accent1 4 3 2 2 3 2 2 3" xfId="33986" xr:uid="{00000000-0005-0000-0000-0000A7520000}"/>
    <cellStyle name="40% - Accent1 4 3 2 2 3 2 3" xfId="17035" xr:uid="{00000000-0005-0000-0000-0000A8520000}"/>
    <cellStyle name="40% - Accent1 4 3 2 2 3 2 3 2" xfId="39637" xr:uid="{00000000-0005-0000-0000-0000A9520000}"/>
    <cellStyle name="40% - Accent1 4 3 2 2 3 2 4" xfId="28336" xr:uid="{00000000-0005-0000-0000-0000AA520000}"/>
    <cellStyle name="40% - Accent1 4 3 2 2 3 3" xfId="8551" xr:uid="{00000000-0005-0000-0000-0000AB520000}"/>
    <cellStyle name="40% - Accent1 4 3 2 2 3 3 2" xfId="19852" xr:uid="{00000000-0005-0000-0000-0000AC520000}"/>
    <cellStyle name="40% - Accent1 4 3 2 2 3 3 2 2" xfId="42454" xr:uid="{00000000-0005-0000-0000-0000AD520000}"/>
    <cellStyle name="40% - Accent1 4 3 2 2 3 3 3" xfId="31153" xr:uid="{00000000-0005-0000-0000-0000AE520000}"/>
    <cellStyle name="40% - Accent1 4 3 2 2 3 4" xfId="14202" xr:uid="{00000000-0005-0000-0000-0000AF520000}"/>
    <cellStyle name="40% - Accent1 4 3 2 2 3 4 2" xfId="36804" xr:uid="{00000000-0005-0000-0000-0000B0520000}"/>
    <cellStyle name="40% - Accent1 4 3 2 2 3 5" xfId="25503" xr:uid="{00000000-0005-0000-0000-0000B1520000}"/>
    <cellStyle name="40% - Accent1 4 3 2 2 4" xfId="4500" xr:uid="{00000000-0005-0000-0000-0000B2520000}"/>
    <cellStyle name="40% - Accent1 4 3 2 2 4 2" xfId="10150" xr:uid="{00000000-0005-0000-0000-0000B3520000}"/>
    <cellStyle name="40% - Accent1 4 3 2 2 4 2 2" xfId="21451" xr:uid="{00000000-0005-0000-0000-0000B4520000}"/>
    <cellStyle name="40% - Accent1 4 3 2 2 4 2 2 2" xfId="44053" xr:uid="{00000000-0005-0000-0000-0000B5520000}"/>
    <cellStyle name="40% - Accent1 4 3 2 2 4 2 3" xfId="32752" xr:uid="{00000000-0005-0000-0000-0000B6520000}"/>
    <cellStyle name="40% - Accent1 4 3 2 2 4 3" xfId="15801" xr:uid="{00000000-0005-0000-0000-0000B7520000}"/>
    <cellStyle name="40% - Accent1 4 3 2 2 4 3 2" xfId="38403" xr:uid="{00000000-0005-0000-0000-0000B8520000}"/>
    <cellStyle name="40% - Accent1 4 3 2 2 4 4" xfId="27102" xr:uid="{00000000-0005-0000-0000-0000B9520000}"/>
    <cellStyle name="40% - Accent1 4 3 2 2 5" xfId="7296" xr:uid="{00000000-0005-0000-0000-0000BA520000}"/>
    <cellStyle name="40% - Accent1 4 3 2 2 5 2" xfId="18597" xr:uid="{00000000-0005-0000-0000-0000BB520000}"/>
    <cellStyle name="40% - Accent1 4 3 2 2 5 2 2" xfId="41199" xr:uid="{00000000-0005-0000-0000-0000BC520000}"/>
    <cellStyle name="40% - Accent1 4 3 2 2 5 3" xfId="29898" xr:uid="{00000000-0005-0000-0000-0000BD520000}"/>
    <cellStyle name="40% - Accent1 4 3 2 2 6" xfId="12947" xr:uid="{00000000-0005-0000-0000-0000BE520000}"/>
    <cellStyle name="40% - Accent1 4 3 2 2 6 2" xfId="35549" xr:uid="{00000000-0005-0000-0000-0000BF520000}"/>
    <cellStyle name="40% - Accent1 4 3 2 2 7" xfId="24248" xr:uid="{00000000-0005-0000-0000-0000C0520000}"/>
    <cellStyle name="40% - Accent1 4 3 2 3" xfId="1015" xr:uid="{00000000-0005-0000-0000-0000C1520000}"/>
    <cellStyle name="40% - Accent1 4 3 2 3 2" xfId="3078" xr:uid="{00000000-0005-0000-0000-0000C2520000}"/>
    <cellStyle name="40% - Accent1 4 3 2 3 2 2" xfId="6050" xr:uid="{00000000-0005-0000-0000-0000C3520000}"/>
    <cellStyle name="40% - Accent1 4 3 2 3 2 2 2" xfId="11700" xr:uid="{00000000-0005-0000-0000-0000C4520000}"/>
    <cellStyle name="40% - Accent1 4 3 2 3 2 2 2 2" xfId="23001" xr:uid="{00000000-0005-0000-0000-0000C5520000}"/>
    <cellStyle name="40% - Accent1 4 3 2 3 2 2 2 2 2" xfId="45603" xr:uid="{00000000-0005-0000-0000-0000C6520000}"/>
    <cellStyle name="40% - Accent1 4 3 2 3 2 2 2 3" xfId="34302" xr:uid="{00000000-0005-0000-0000-0000C7520000}"/>
    <cellStyle name="40% - Accent1 4 3 2 3 2 2 3" xfId="17351" xr:uid="{00000000-0005-0000-0000-0000C8520000}"/>
    <cellStyle name="40% - Accent1 4 3 2 3 2 2 3 2" xfId="39953" xr:uid="{00000000-0005-0000-0000-0000C9520000}"/>
    <cellStyle name="40% - Accent1 4 3 2 3 2 2 4" xfId="28652" xr:uid="{00000000-0005-0000-0000-0000CA520000}"/>
    <cellStyle name="40% - Accent1 4 3 2 3 2 3" xfId="8868" xr:uid="{00000000-0005-0000-0000-0000CB520000}"/>
    <cellStyle name="40% - Accent1 4 3 2 3 2 3 2" xfId="20169" xr:uid="{00000000-0005-0000-0000-0000CC520000}"/>
    <cellStyle name="40% - Accent1 4 3 2 3 2 3 2 2" xfId="42771" xr:uid="{00000000-0005-0000-0000-0000CD520000}"/>
    <cellStyle name="40% - Accent1 4 3 2 3 2 3 3" xfId="31470" xr:uid="{00000000-0005-0000-0000-0000CE520000}"/>
    <cellStyle name="40% - Accent1 4 3 2 3 2 4" xfId="14519" xr:uid="{00000000-0005-0000-0000-0000CF520000}"/>
    <cellStyle name="40% - Accent1 4 3 2 3 2 4 2" xfId="37121" xr:uid="{00000000-0005-0000-0000-0000D0520000}"/>
    <cellStyle name="40% - Accent1 4 3 2 3 2 5" xfId="25820" xr:uid="{00000000-0005-0000-0000-0000D1520000}"/>
    <cellStyle name="40% - Accent1 4 3 2 3 3" xfId="4816" xr:uid="{00000000-0005-0000-0000-0000D2520000}"/>
    <cellStyle name="40% - Accent1 4 3 2 3 3 2" xfId="10466" xr:uid="{00000000-0005-0000-0000-0000D3520000}"/>
    <cellStyle name="40% - Accent1 4 3 2 3 3 2 2" xfId="21767" xr:uid="{00000000-0005-0000-0000-0000D4520000}"/>
    <cellStyle name="40% - Accent1 4 3 2 3 3 2 2 2" xfId="44369" xr:uid="{00000000-0005-0000-0000-0000D5520000}"/>
    <cellStyle name="40% - Accent1 4 3 2 3 3 2 3" xfId="33068" xr:uid="{00000000-0005-0000-0000-0000D6520000}"/>
    <cellStyle name="40% - Accent1 4 3 2 3 3 3" xfId="16117" xr:uid="{00000000-0005-0000-0000-0000D7520000}"/>
    <cellStyle name="40% - Accent1 4 3 2 3 3 3 2" xfId="38719" xr:uid="{00000000-0005-0000-0000-0000D8520000}"/>
    <cellStyle name="40% - Accent1 4 3 2 3 3 4" xfId="27418" xr:uid="{00000000-0005-0000-0000-0000D9520000}"/>
    <cellStyle name="40% - Accent1 4 3 2 3 4" xfId="7003" xr:uid="{00000000-0005-0000-0000-0000DA520000}"/>
    <cellStyle name="40% - Accent1 4 3 2 3 4 2" xfId="18304" xr:uid="{00000000-0005-0000-0000-0000DB520000}"/>
    <cellStyle name="40% - Accent1 4 3 2 3 4 2 2" xfId="40906" xr:uid="{00000000-0005-0000-0000-0000DC520000}"/>
    <cellStyle name="40% - Accent1 4 3 2 3 4 3" xfId="29605" xr:uid="{00000000-0005-0000-0000-0000DD520000}"/>
    <cellStyle name="40% - Accent1 4 3 2 3 5" xfId="12654" xr:uid="{00000000-0005-0000-0000-0000DE520000}"/>
    <cellStyle name="40% - Accent1 4 3 2 3 5 2" xfId="35256" xr:uid="{00000000-0005-0000-0000-0000DF520000}"/>
    <cellStyle name="40% - Accent1 4 3 2 3 6" xfId="23955" xr:uid="{00000000-0005-0000-0000-0000E0520000}"/>
    <cellStyle name="40% - Accent1 4 3 2 4" xfId="1772" xr:uid="{00000000-0005-0000-0000-0000E1520000}"/>
    <cellStyle name="40% - Accent1 4 3 2 4 2" xfId="3656" xr:uid="{00000000-0005-0000-0000-0000E2520000}"/>
    <cellStyle name="40% - Accent1 4 3 2 4 2 2" xfId="9367" xr:uid="{00000000-0005-0000-0000-0000E3520000}"/>
    <cellStyle name="40% - Accent1 4 3 2 4 2 2 2" xfId="20668" xr:uid="{00000000-0005-0000-0000-0000E4520000}"/>
    <cellStyle name="40% - Accent1 4 3 2 4 2 2 2 2" xfId="43270" xr:uid="{00000000-0005-0000-0000-0000E5520000}"/>
    <cellStyle name="40% - Accent1 4 3 2 4 2 2 3" xfId="31969" xr:uid="{00000000-0005-0000-0000-0000E6520000}"/>
    <cellStyle name="40% - Accent1 4 3 2 4 2 3" xfId="15018" xr:uid="{00000000-0005-0000-0000-0000E7520000}"/>
    <cellStyle name="40% - Accent1 4 3 2 4 2 3 2" xfId="37620" xr:uid="{00000000-0005-0000-0000-0000E8520000}"/>
    <cellStyle name="40% - Accent1 4 3 2 4 2 4" xfId="26319" xr:uid="{00000000-0005-0000-0000-0000E9520000}"/>
    <cellStyle name="40% - Accent1 4 3 2 4 3" xfId="5426" xr:uid="{00000000-0005-0000-0000-0000EA520000}"/>
    <cellStyle name="40% - Accent1 4 3 2 4 3 2" xfId="11076" xr:uid="{00000000-0005-0000-0000-0000EB520000}"/>
    <cellStyle name="40% - Accent1 4 3 2 4 3 2 2" xfId="22377" xr:uid="{00000000-0005-0000-0000-0000EC520000}"/>
    <cellStyle name="40% - Accent1 4 3 2 4 3 2 2 2" xfId="44979" xr:uid="{00000000-0005-0000-0000-0000ED520000}"/>
    <cellStyle name="40% - Accent1 4 3 2 4 3 2 3" xfId="33678" xr:uid="{00000000-0005-0000-0000-0000EE520000}"/>
    <cellStyle name="40% - Accent1 4 3 2 4 3 3" xfId="16727" xr:uid="{00000000-0005-0000-0000-0000EF520000}"/>
    <cellStyle name="40% - Accent1 4 3 2 4 3 3 2" xfId="39329" xr:uid="{00000000-0005-0000-0000-0000F0520000}"/>
    <cellStyle name="40% - Accent1 4 3 2 4 3 4" xfId="28028" xr:uid="{00000000-0005-0000-0000-0000F1520000}"/>
    <cellStyle name="40% - Accent1 4 3 2 4 4" xfId="7628" xr:uid="{00000000-0005-0000-0000-0000F2520000}"/>
    <cellStyle name="40% - Accent1 4 3 2 4 4 2" xfId="18929" xr:uid="{00000000-0005-0000-0000-0000F3520000}"/>
    <cellStyle name="40% - Accent1 4 3 2 4 4 2 2" xfId="41531" xr:uid="{00000000-0005-0000-0000-0000F4520000}"/>
    <cellStyle name="40% - Accent1 4 3 2 4 4 3" xfId="30230" xr:uid="{00000000-0005-0000-0000-0000F5520000}"/>
    <cellStyle name="40% - Accent1 4 3 2 4 5" xfId="13279" xr:uid="{00000000-0005-0000-0000-0000F6520000}"/>
    <cellStyle name="40% - Accent1 4 3 2 4 5 2" xfId="35881" xr:uid="{00000000-0005-0000-0000-0000F7520000}"/>
    <cellStyle name="40% - Accent1 4 3 2 4 6" xfId="24580" xr:uid="{00000000-0005-0000-0000-0000F8520000}"/>
    <cellStyle name="40% - Accent1 4 3 2 5" xfId="2407" xr:uid="{00000000-0005-0000-0000-0000F9520000}"/>
    <cellStyle name="40% - Accent1 4 3 2 5 2" xfId="8243" xr:uid="{00000000-0005-0000-0000-0000FA520000}"/>
    <cellStyle name="40% - Accent1 4 3 2 5 2 2" xfId="19544" xr:uid="{00000000-0005-0000-0000-0000FB520000}"/>
    <cellStyle name="40% - Accent1 4 3 2 5 2 2 2" xfId="42146" xr:uid="{00000000-0005-0000-0000-0000FC520000}"/>
    <cellStyle name="40% - Accent1 4 3 2 5 2 3" xfId="30845" xr:uid="{00000000-0005-0000-0000-0000FD520000}"/>
    <cellStyle name="40% - Accent1 4 3 2 5 3" xfId="13894" xr:uid="{00000000-0005-0000-0000-0000FE520000}"/>
    <cellStyle name="40% - Accent1 4 3 2 5 3 2" xfId="36496" xr:uid="{00000000-0005-0000-0000-0000FF520000}"/>
    <cellStyle name="40% - Accent1 4 3 2 5 4" xfId="25195" xr:uid="{00000000-0005-0000-0000-000000530000}"/>
    <cellStyle name="40% - Accent1 4 3 2 6" xfId="4192" xr:uid="{00000000-0005-0000-0000-000001530000}"/>
    <cellStyle name="40% - Accent1 4 3 2 6 2" xfId="9842" xr:uid="{00000000-0005-0000-0000-000002530000}"/>
    <cellStyle name="40% - Accent1 4 3 2 6 2 2" xfId="21143" xr:uid="{00000000-0005-0000-0000-000003530000}"/>
    <cellStyle name="40% - Accent1 4 3 2 6 2 2 2" xfId="43745" xr:uid="{00000000-0005-0000-0000-000004530000}"/>
    <cellStyle name="40% - Accent1 4 3 2 6 2 3" xfId="32444" xr:uid="{00000000-0005-0000-0000-000005530000}"/>
    <cellStyle name="40% - Accent1 4 3 2 6 3" xfId="15493" xr:uid="{00000000-0005-0000-0000-000006530000}"/>
    <cellStyle name="40% - Accent1 4 3 2 6 3 2" xfId="38095" xr:uid="{00000000-0005-0000-0000-000007530000}"/>
    <cellStyle name="40% - Accent1 4 3 2 6 4" xfId="26794" xr:uid="{00000000-0005-0000-0000-000008530000}"/>
    <cellStyle name="40% - Accent1 4 3 2 7" xfId="6672" xr:uid="{00000000-0005-0000-0000-000009530000}"/>
    <cellStyle name="40% - Accent1 4 3 2 7 2" xfId="17973" xr:uid="{00000000-0005-0000-0000-00000A530000}"/>
    <cellStyle name="40% - Accent1 4 3 2 7 2 2" xfId="40575" xr:uid="{00000000-0005-0000-0000-00000B530000}"/>
    <cellStyle name="40% - Accent1 4 3 2 7 3" xfId="29274" xr:uid="{00000000-0005-0000-0000-00000C530000}"/>
    <cellStyle name="40% - Accent1 4 3 2 8" xfId="12323" xr:uid="{00000000-0005-0000-0000-00000D530000}"/>
    <cellStyle name="40% - Accent1 4 3 2 8 2" xfId="34925" xr:uid="{00000000-0005-0000-0000-00000E530000}"/>
    <cellStyle name="40% - Accent1 4 3 2 9" xfId="23624" xr:uid="{00000000-0005-0000-0000-00000F530000}"/>
    <cellStyle name="40% - Accent1 4 3 3" xfId="1179" xr:uid="{00000000-0005-0000-0000-000010530000}"/>
    <cellStyle name="40% - Accent1 4 3 3 2" xfId="1774" xr:uid="{00000000-0005-0000-0000-000011530000}"/>
    <cellStyle name="40% - Accent1 4 3 3 2 2" xfId="3247" xr:uid="{00000000-0005-0000-0000-000012530000}"/>
    <cellStyle name="40% - Accent1 4 3 3 2 2 2" xfId="6219" xr:uid="{00000000-0005-0000-0000-000013530000}"/>
    <cellStyle name="40% - Accent1 4 3 3 2 2 2 2" xfId="11869" xr:uid="{00000000-0005-0000-0000-000014530000}"/>
    <cellStyle name="40% - Accent1 4 3 3 2 2 2 2 2" xfId="23170" xr:uid="{00000000-0005-0000-0000-000015530000}"/>
    <cellStyle name="40% - Accent1 4 3 3 2 2 2 2 2 2" xfId="45772" xr:uid="{00000000-0005-0000-0000-000016530000}"/>
    <cellStyle name="40% - Accent1 4 3 3 2 2 2 2 3" xfId="34471" xr:uid="{00000000-0005-0000-0000-000017530000}"/>
    <cellStyle name="40% - Accent1 4 3 3 2 2 2 3" xfId="17520" xr:uid="{00000000-0005-0000-0000-000018530000}"/>
    <cellStyle name="40% - Accent1 4 3 3 2 2 2 3 2" xfId="40122" xr:uid="{00000000-0005-0000-0000-000019530000}"/>
    <cellStyle name="40% - Accent1 4 3 3 2 2 2 4" xfId="28821" xr:uid="{00000000-0005-0000-0000-00001A530000}"/>
    <cellStyle name="40% - Accent1 4 3 3 2 2 3" xfId="9037" xr:uid="{00000000-0005-0000-0000-00001B530000}"/>
    <cellStyle name="40% - Accent1 4 3 3 2 2 3 2" xfId="20338" xr:uid="{00000000-0005-0000-0000-00001C530000}"/>
    <cellStyle name="40% - Accent1 4 3 3 2 2 3 2 2" xfId="42940" xr:uid="{00000000-0005-0000-0000-00001D530000}"/>
    <cellStyle name="40% - Accent1 4 3 3 2 2 3 3" xfId="31639" xr:uid="{00000000-0005-0000-0000-00001E530000}"/>
    <cellStyle name="40% - Accent1 4 3 3 2 2 4" xfId="14688" xr:uid="{00000000-0005-0000-0000-00001F530000}"/>
    <cellStyle name="40% - Accent1 4 3 3 2 2 4 2" xfId="37290" xr:uid="{00000000-0005-0000-0000-000020530000}"/>
    <cellStyle name="40% - Accent1 4 3 3 2 2 5" xfId="25989" xr:uid="{00000000-0005-0000-0000-000021530000}"/>
    <cellStyle name="40% - Accent1 4 3 3 2 3" xfId="4985" xr:uid="{00000000-0005-0000-0000-000022530000}"/>
    <cellStyle name="40% - Accent1 4 3 3 2 3 2" xfId="10635" xr:uid="{00000000-0005-0000-0000-000023530000}"/>
    <cellStyle name="40% - Accent1 4 3 3 2 3 2 2" xfId="21936" xr:uid="{00000000-0005-0000-0000-000024530000}"/>
    <cellStyle name="40% - Accent1 4 3 3 2 3 2 2 2" xfId="44538" xr:uid="{00000000-0005-0000-0000-000025530000}"/>
    <cellStyle name="40% - Accent1 4 3 3 2 3 2 3" xfId="33237" xr:uid="{00000000-0005-0000-0000-000026530000}"/>
    <cellStyle name="40% - Accent1 4 3 3 2 3 3" xfId="16286" xr:uid="{00000000-0005-0000-0000-000027530000}"/>
    <cellStyle name="40% - Accent1 4 3 3 2 3 3 2" xfId="38888" xr:uid="{00000000-0005-0000-0000-000028530000}"/>
    <cellStyle name="40% - Accent1 4 3 3 2 3 4" xfId="27587" xr:uid="{00000000-0005-0000-0000-000029530000}"/>
    <cellStyle name="40% - Accent1 4 3 3 2 4" xfId="7630" xr:uid="{00000000-0005-0000-0000-00002A530000}"/>
    <cellStyle name="40% - Accent1 4 3 3 2 4 2" xfId="18931" xr:uid="{00000000-0005-0000-0000-00002B530000}"/>
    <cellStyle name="40% - Accent1 4 3 3 2 4 2 2" xfId="41533" xr:uid="{00000000-0005-0000-0000-00002C530000}"/>
    <cellStyle name="40% - Accent1 4 3 3 2 4 3" xfId="30232" xr:uid="{00000000-0005-0000-0000-00002D530000}"/>
    <cellStyle name="40% - Accent1 4 3 3 2 5" xfId="13281" xr:uid="{00000000-0005-0000-0000-00002E530000}"/>
    <cellStyle name="40% - Accent1 4 3 3 2 5 2" xfId="35883" xr:uid="{00000000-0005-0000-0000-00002F530000}"/>
    <cellStyle name="40% - Accent1 4 3 3 2 6" xfId="24582" xr:uid="{00000000-0005-0000-0000-000030530000}"/>
    <cellStyle name="40% - Accent1 4 3 3 3" xfId="2576" xr:uid="{00000000-0005-0000-0000-000031530000}"/>
    <cellStyle name="40% - Accent1 4 3 3 3 2" xfId="5595" xr:uid="{00000000-0005-0000-0000-000032530000}"/>
    <cellStyle name="40% - Accent1 4 3 3 3 2 2" xfId="11245" xr:uid="{00000000-0005-0000-0000-000033530000}"/>
    <cellStyle name="40% - Accent1 4 3 3 3 2 2 2" xfId="22546" xr:uid="{00000000-0005-0000-0000-000034530000}"/>
    <cellStyle name="40% - Accent1 4 3 3 3 2 2 2 2" xfId="45148" xr:uid="{00000000-0005-0000-0000-000035530000}"/>
    <cellStyle name="40% - Accent1 4 3 3 3 2 2 3" xfId="33847" xr:uid="{00000000-0005-0000-0000-000036530000}"/>
    <cellStyle name="40% - Accent1 4 3 3 3 2 3" xfId="16896" xr:uid="{00000000-0005-0000-0000-000037530000}"/>
    <cellStyle name="40% - Accent1 4 3 3 3 2 3 2" xfId="39498" xr:uid="{00000000-0005-0000-0000-000038530000}"/>
    <cellStyle name="40% - Accent1 4 3 3 3 2 4" xfId="28197" xr:uid="{00000000-0005-0000-0000-000039530000}"/>
    <cellStyle name="40% - Accent1 4 3 3 3 3" xfId="8412" xr:uid="{00000000-0005-0000-0000-00003A530000}"/>
    <cellStyle name="40% - Accent1 4 3 3 3 3 2" xfId="19713" xr:uid="{00000000-0005-0000-0000-00003B530000}"/>
    <cellStyle name="40% - Accent1 4 3 3 3 3 2 2" xfId="42315" xr:uid="{00000000-0005-0000-0000-00003C530000}"/>
    <cellStyle name="40% - Accent1 4 3 3 3 3 3" xfId="31014" xr:uid="{00000000-0005-0000-0000-00003D530000}"/>
    <cellStyle name="40% - Accent1 4 3 3 3 4" xfId="14063" xr:uid="{00000000-0005-0000-0000-00003E530000}"/>
    <cellStyle name="40% - Accent1 4 3 3 3 4 2" xfId="36665" xr:uid="{00000000-0005-0000-0000-00003F530000}"/>
    <cellStyle name="40% - Accent1 4 3 3 3 5" xfId="25364" xr:uid="{00000000-0005-0000-0000-000040530000}"/>
    <cellStyle name="40% - Accent1 4 3 3 4" xfId="4361" xr:uid="{00000000-0005-0000-0000-000041530000}"/>
    <cellStyle name="40% - Accent1 4 3 3 4 2" xfId="10011" xr:uid="{00000000-0005-0000-0000-000042530000}"/>
    <cellStyle name="40% - Accent1 4 3 3 4 2 2" xfId="21312" xr:uid="{00000000-0005-0000-0000-000043530000}"/>
    <cellStyle name="40% - Accent1 4 3 3 4 2 2 2" xfId="43914" xr:uid="{00000000-0005-0000-0000-000044530000}"/>
    <cellStyle name="40% - Accent1 4 3 3 4 2 3" xfId="32613" xr:uid="{00000000-0005-0000-0000-000045530000}"/>
    <cellStyle name="40% - Accent1 4 3 3 4 3" xfId="15662" xr:uid="{00000000-0005-0000-0000-000046530000}"/>
    <cellStyle name="40% - Accent1 4 3 3 4 3 2" xfId="38264" xr:uid="{00000000-0005-0000-0000-000047530000}"/>
    <cellStyle name="40% - Accent1 4 3 3 4 4" xfId="26963" xr:uid="{00000000-0005-0000-0000-000048530000}"/>
    <cellStyle name="40% - Accent1 4 3 3 5" xfId="7158" xr:uid="{00000000-0005-0000-0000-000049530000}"/>
    <cellStyle name="40% - Accent1 4 3 3 5 2" xfId="18459" xr:uid="{00000000-0005-0000-0000-00004A530000}"/>
    <cellStyle name="40% - Accent1 4 3 3 5 2 2" xfId="41061" xr:uid="{00000000-0005-0000-0000-00004B530000}"/>
    <cellStyle name="40% - Accent1 4 3 3 5 3" xfId="29760" xr:uid="{00000000-0005-0000-0000-00004C530000}"/>
    <cellStyle name="40% - Accent1 4 3 3 6" xfId="12809" xr:uid="{00000000-0005-0000-0000-00004D530000}"/>
    <cellStyle name="40% - Accent1 4 3 3 6 2" xfId="35411" xr:uid="{00000000-0005-0000-0000-00004E530000}"/>
    <cellStyle name="40% - Accent1 4 3 3 7" xfId="24110" xr:uid="{00000000-0005-0000-0000-00004F530000}"/>
    <cellStyle name="40% - Accent1 4 3 4" xfId="870" xr:uid="{00000000-0005-0000-0000-000050530000}"/>
    <cellStyle name="40% - Accent1 4 3 4 2" xfId="2940" xr:uid="{00000000-0005-0000-0000-000051530000}"/>
    <cellStyle name="40% - Accent1 4 3 4 2 2" xfId="5912" xr:uid="{00000000-0005-0000-0000-000052530000}"/>
    <cellStyle name="40% - Accent1 4 3 4 2 2 2" xfId="11562" xr:uid="{00000000-0005-0000-0000-000053530000}"/>
    <cellStyle name="40% - Accent1 4 3 4 2 2 2 2" xfId="22863" xr:uid="{00000000-0005-0000-0000-000054530000}"/>
    <cellStyle name="40% - Accent1 4 3 4 2 2 2 2 2" xfId="45465" xr:uid="{00000000-0005-0000-0000-000055530000}"/>
    <cellStyle name="40% - Accent1 4 3 4 2 2 2 3" xfId="34164" xr:uid="{00000000-0005-0000-0000-000056530000}"/>
    <cellStyle name="40% - Accent1 4 3 4 2 2 3" xfId="17213" xr:uid="{00000000-0005-0000-0000-000057530000}"/>
    <cellStyle name="40% - Accent1 4 3 4 2 2 3 2" xfId="39815" xr:uid="{00000000-0005-0000-0000-000058530000}"/>
    <cellStyle name="40% - Accent1 4 3 4 2 2 4" xfId="28514" xr:uid="{00000000-0005-0000-0000-000059530000}"/>
    <cellStyle name="40% - Accent1 4 3 4 2 3" xfId="8730" xr:uid="{00000000-0005-0000-0000-00005A530000}"/>
    <cellStyle name="40% - Accent1 4 3 4 2 3 2" xfId="20031" xr:uid="{00000000-0005-0000-0000-00005B530000}"/>
    <cellStyle name="40% - Accent1 4 3 4 2 3 2 2" xfId="42633" xr:uid="{00000000-0005-0000-0000-00005C530000}"/>
    <cellStyle name="40% - Accent1 4 3 4 2 3 3" xfId="31332" xr:uid="{00000000-0005-0000-0000-00005D530000}"/>
    <cellStyle name="40% - Accent1 4 3 4 2 4" xfId="14381" xr:uid="{00000000-0005-0000-0000-00005E530000}"/>
    <cellStyle name="40% - Accent1 4 3 4 2 4 2" xfId="36983" xr:uid="{00000000-0005-0000-0000-00005F530000}"/>
    <cellStyle name="40% - Accent1 4 3 4 2 5" xfId="25682" xr:uid="{00000000-0005-0000-0000-000060530000}"/>
    <cellStyle name="40% - Accent1 4 3 4 3" xfId="4678" xr:uid="{00000000-0005-0000-0000-000061530000}"/>
    <cellStyle name="40% - Accent1 4 3 4 3 2" xfId="10328" xr:uid="{00000000-0005-0000-0000-000062530000}"/>
    <cellStyle name="40% - Accent1 4 3 4 3 2 2" xfId="21629" xr:uid="{00000000-0005-0000-0000-000063530000}"/>
    <cellStyle name="40% - Accent1 4 3 4 3 2 2 2" xfId="44231" xr:uid="{00000000-0005-0000-0000-000064530000}"/>
    <cellStyle name="40% - Accent1 4 3 4 3 2 3" xfId="32930" xr:uid="{00000000-0005-0000-0000-000065530000}"/>
    <cellStyle name="40% - Accent1 4 3 4 3 3" xfId="15979" xr:uid="{00000000-0005-0000-0000-000066530000}"/>
    <cellStyle name="40% - Accent1 4 3 4 3 3 2" xfId="38581" xr:uid="{00000000-0005-0000-0000-000067530000}"/>
    <cellStyle name="40% - Accent1 4 3 4 3 4" xfId="27280" xr:uid="{00000000-0005-0000-0000-000068530000}"/>
    <cellStyle name="40% - Accent1 4 3 4 4" xfId="6865" xr:uid="{00000000-0005-0000-0000-000069530000}"/>
    <cellStyle name="40% - Accent1 4 3 4 4 2" xfId="18166" xr:uid="{00000000-0005-0000-0000-00006A530000}"/>
    <cellStyle name="40% - Accent1 4 3 4 4 2 2" xfId="40768" xr:uid="{00000000-0005-0000-0000-00006B530000}"/>
    <cellStyle name="40% - Accent1 4 3 4 4 3" xfId="29467" xr:uid="{00000000-0005-0000-0000-00006C530000}"/>
    <cellStyle name="40% - Accent1 4 3 4 5" xfId="12516" xr:uid="{00000000-0005-0000-0000-00006D530000}"/>
    <cellStyle name="40% - Accent1 4 3 4 5 2" xfId="35118" xr:uid="{00000000-0005-0000-0000-00006E530000}"/>
    <cellStyle name="40% - Accent1 4 3 4 6" xfId="23817" xr:uid="{00000000-0005-0000-0000-00006F530000}"/>
    <cellStyle name="40% - Accent1 4 3 5" xfId="1771" xr:uid="{00000000-0005-0000-0000-000070530000}"/>
    <cellStyle name="40% - Accent1 4 3 5 2" xfId="3655" xr:uid="{00000000-0005-0000-0000-000071530000}"/>
    <cellStyle name="40% - Accent1 4 3 5 2 2" xfId="9366" xr:uid="{00000000-0005-0000-0000-000072530000}"/>
    <cellStyle name="40% - Accent1 4 3 5 2 2 2" xfId="20667" xr:uid="{00000000-0005-0000-0000-000073530000}"/>
    <cellStyle name="40% - Accent1 4 3 5 2 2 2 2" xfId="43269" xr:uid="{00000000-0005-0000-0000-000074530000}"/>
    <cellStyle name="40% - Accent1 4 3 5 2 2 3" xfId="31968" xr:uid="{00000000-0005-0000-0000-000075530000}"/>
    <cellStyle name="40% - Accent1 4 3 5 2 3" xfId="15017" xr:uid="{00000000-0005-0000-0000-000076530000}"/>
    <cellStyle name="40% - Accent1 4 3 5 2 3 2" xfId="37619" xr:uid="{00000000-0005-0000-0000-000077530000}"/>
    <cellStyle name="40% - Accent1 4 3 5 2 4" xfId="26318" xr:uid="{00000000-0005-0000-0000-000078530000}"/>
    <cellStyle name="40% - Accent1 4 3 5 3" xfId="5288" xr:uid="{00000000-0005-0000-0000-000079530000}"/>
    <cellStyle name="40% - Accent1 4 3 5 3 2" xfId="10938" xr:uid="{00000000-0005-0000-0000-00007A530000}"/>
    <cellStyle name="40% - Accent1 4 3 5 3 2 2" xfId="22239" xr:uid="{00000000-0005-0000-0000-00007B530000}"/>
    <cellStyle name="40% - Accent1 4 3 5 3 2 2 2" xfId="44841" xr:uid="{00000000-0005-0000-0000-00007C530000}"/>
    <cellStyle name="40% - Accent1 4 3 5 3 2 3" xfId="33540" xr:uid="{00000000-0005-0000-0000-00007D530000}"/>
    <cellStyle name="40% - Accent1 4 3 5 3 3" xfId="16589" xr:uid="{00000000-0005-0000-0000-00007E530000}"/>
    <cellStyle name="40% - Accent1 4 3 5 3 3 2" xfId="39191" xr:uid="{00000000-0005-0000-0000-00007F530000}"/>
    <cellStyle name="40% - Accent1 4 3 5 3 4" xfId="27890" xr:uid="{00000000-0005-0000-0000-000080530000}"/>
    <cellStyle name="40% - Accent1 4 3 5 4" xfId="7627" xr:uid="{00000000-0005-0000-0000-000081530000}"/>
    <cellStyle name="40% - Accent1 4 3 5 4 2" xfId="18928" xr:uid="{00000000-0005-0000-0000-000082530000}"/>
    <cellStyle name="40% - Accent1 4 3 5 4 2 2" xfId="41530" xr:uid="{00000000-0005-0000-0000-000083530000}"/>
    <cellStyle name="40% - Accent1 4 3 5 4 3" xfId="30229" xr:uid="{00000000-0005-0000-0000-000084530000}"/>
    <cellStyle name="40% - Accent1 4 3 5 5" xfId="13278" xr:uid="{00000000-0005-0000-0000-000085530000}"/>
    <cellStyle name="40% - Accent1 4 3 5 5 2" xfId="35880" xr:uid="{00000000-0005-0000-0000-000086530000}"/>
    <cellStyle name="40% - Accent1 4 3 5 6" xfId="24579" xr:uid="{00000000-0005-0000-0000-000087530000}"/>
    <cellStyle name="40% - Accent1 4 3 6" xfId="2267" xr:uid="{00000000-0005-0000-0000-000088530000}"/>
    <cellStyle name="40% - Accent1 4 3 6 2" xfId="8103" xr:uid="{00000000-0005-0000-0000-000089530000}"/>
    <cellStyle name="40% - Accent1 4 3 6 2 2" xfId="19404" xr:uid="{00000000-0005-0000-0000-00008A530000}"/>
    <cellStyle name="40% - Accent1 4 3 6 2 2 2" xfId="42006" xr:uid="{00000000-0005-0000-0000-00008B530000}"/>
    <cellStyle name="40% - Accent1 4 3 6 2 3" xfId="30705" xr:uid="{00000000-0005-0000-0000-00008C530000}"/>
    <cellStyle name="40% - Accent1 4 3 6 3" xfId="13754" xr:uid="{00000000-0005-0000-0000-00008D530000}"/>
    <cellStyle name="40% - Accent1 4 3 6 3 2" xfId="36356" xr:uid="{00000000-0005-0000-0000-00008E530000}"/>
    <cellStyle name="40% - Accent1 4 3 6 4" xfId="25055" xr:uid="{00000000-0005-0000-0000-00008F530000}"/>
    <cellStyle name="40% - Accent1 4 3 7" xfId="4054" xr:uid="{00000000-0005-0000-0000-000090530000}"/>
    <cellStyle name="40% - Accent1 4 3 7 2" xfId="9704" xr:uid="{00000000-0005-0000-0000-000091530000}"/>
    <cellStyle name="40% - Accent1 4 3 7 2 2" xfId="21005" xr:uid="{00000000-0005-0000-0000-000092530000}"/>
    <cellStyle name="40% - Accent1 4 3 7 2 2 2" xfId="43607" xr:uid="{00000000-0005-0000-0000-000093530000}"/>
    <cellStyle name="40% - Accent1 4 3 7 2 3" xfId="32306" xr:uid="{00000000-0005-0000-0000-000094530000}"/>
    <cellStyle name="40% - Accent1 4 3 7 3" xfId="15355" xr:uid="{00000000-0005-0000-0000-000095530000}"/>
    <cellStyle name="40% - Accent1 4 3 7 3 2" xfId="37957" xr:uid="{00000000-0005-0000-0000-000096530000}"/>
    <cellStyle name="40% - Accent1 4 3 7 4" xfId="26656" xr:uid="{00000000-0005-0000-0000-000097530000}"/>
    <cellStyle name="40% - Accent1 4 3 8" xfId="6505" xr:uid="{00000000-0005-0000-0000-000098530000}"/>
    <cellStyle name="40% - Accent1 4 3 8 2" xfId="17806" xr:uid="{00000000-0005-0000-0000-000099530000}"/>
    <cellStyle name="40% - Accent1 4 3 8 2 2" xfId="40408" xr:uid="{00000000-0005-0000-0000-00009A530000}"/>
    <cellStyle name="40% - Accent1 4 3 8 3" xfId="29107" xr:uid="{00000000-0005-0000-0000-00009B530000}"/>
    <cellStyle name="40% - Accent1 4 3 9" xfId="12156" xr:uid="{00000000-0005-0000-0000-00009C530000}"/>
    <cellStyle name="40% - Accent1 4 3 9 2" xfId="34758" xr:uid="{00000000-0005-0000-0000-00009D530000}"/>
    <cellStyle name="40% - Accent1 4 4" xfId="509" xr:uid="{00000000-0005-0000-0000-00009E530000}"/>
    <cellStyle name="40% - Accent1 4 4 2" xfId="1083" xr:uid="{00000000-0005-0000-0000-00009F530000}"/>
    <cellStyle name="40% - Accent1 4 4 2 2" xfId="1776" xr:uid="{00000000-0005-0000-0000-0000A0530000}"/>
    <cellStyle name="40% - Accent1 4 4 2 2 2" xfId="3151" xr:uid="{00000000-0005-0000-0000-0000A1530000}"/>
    <cellStyle name="40% - Accent1 4 4 2 2 2 2" xfId="6123" xr:uid="{00000000-0005-0000-0000-0000A2530000}"/>
    <cellStyle name="40% - Accent1 4 4 2 2 2 2 2" xfId="11773" xr:uid="{00000000-0005-0000-0000-0000A3530000}"/>
    <cellStyle name="40% - Accent1 4 4 2 2 2 2 2 2" xfId="23074" xr:uid="{00000000-0005-0000-0000-0000A4530000}"/>
    <cellStyle name="40% - Accent1 4 4 2 2 2 2 2 2 2" xfId="45676" xr:uid="{00000000-0005-0000-0000-0000A5530000}"/>
    <cellStyle name="40% - Accent1 4 4 2 2 2 2 2 3" xfId="34375" xr:uid="{00000000-0005-0000-0000-0000A6530000}"/>
    <cellStyle name="40% - Accent1 4 4 2 2 2 2 3" xfId="17424" xr:uid="{00000000-0005-0000-0000-0000A7530000}"/>
    <cellStyle name="40% - Accent1 4 4 2 2 2 2 3 2" xfId="40026" xr:uid="{00000000-0005-0000-0000-0000A8530000}"/>
    <cellStyle name="40% - Accent1 4 4 2 2 2 2 4" xfId="28725" xr:uid="{00000000-0005-0000-0000-0000A9530000}"/>
    <cellStyle name="40% - Accent1 4 4 2 2 2 3" xfId="8941" xr:uid="{00000000-0005-0000-0000-0000AA530000}"/>
    <cellStyle name="40% - Accent1 4 4 2 2 2 3 2" xfId="20242" xr:uid="{00000000-0005-0000-0000-0000AB530000}"/>
    <cellStyle name="40% - Accent1 4 4 2 2 2 3 2 2" xfId="42844" xr:uid="{00000000-0005-0000-0000-0000AC530000}"/>
    <cellStyle name="40% - Accent1 4 4 2 2 2 3 3" xfId="31543" xr:uid="{00000000-0005-0000-0000-0000AD530000}"/>
    <cellStyle name="40% - Accent1 4 4 2 2 2 4" xfId="14592" xr:uid="{00000000-0005-0000-0000-0000AE530000}"/>
    <cellStyle name="40% - Accent1 4 4 2 2 2 4 2" xfId="37194" xr:uid="{00000000-0005-0000-0000-0000AF530000}"/>
    <cellStyle name="40% - Accent1 4 4 2 2 2 5" xfId="25893" xr:uid="{00000000-0005-0000-0000-0000B0530000}"/>
    <cellStyle name="40% - Accent1 4 4 2 2 3" xfId="4889" xr:uid="{00000000-0005-0000-0000-0000B1530000}"/>
    <cellStyle name="40% - Accent1 4 4 2 2 3 2" xfId="10539" xr:uid="{00000000-0005-0000-0000-0000B2530000}"/>
    <cellStyle name="40% - Accent1 4 4 2 2 3 2 2" xfId="21840" xr:uid="{00000000-0005-0000-0000-0000B3530000}"/>
    <cellStyle name="40% - Accent1 4 4 2 2 3 2 2 2" xfId="44442" xr:uid="{00000000-0005-0000-0000-0000B4530000}"/>
    <cellStyle name="40% - Accent1 4 4 2 2 3 2 3" xfId="33141" xr:uid="{00000000-0005-0000-0000-0000B5530000}"/>
    <cellStyle name="40% - Accent1 4 4 2 2 3 3" xfId="16190" xr:uid="{00000000-0005-0000-0000-0000B6530000}"/>
    <cellStyle name="40% - Accent1 4 4 2 2 3 3 2" xfId="38792" xr:uid="{00000000-0005-0000-0000-0000B7530000}"/>
    <cellStyle name="40% - Accent1 4 4 2 2 3 4" xfId="27491" xr:uid="{00000000-0005-0000-0000-0000B8530000}"/>
    <cellStyle name="40% - Accent1 4 4 2 2 4" xfId="7632" xr:uid="{00000000-0005-0000-0000-0000B9530000}"/>
    <cellStyle name="40% - Accent1 4 4 2 2 4 2" xfId="18933" xr:uid="{00000000-0005-0000-0000-0000BA530000}"/>
    <cellStyle name="40% - Accent1 4 4 2 2 4 2 2" xfId="41535" xr:uid="{00000000-0005-0000-0000-0000BB530000}"/>
    <cellStyle name="40% - Accent1 4 4 2 2 4 3" xfId="30234" xr:uid="{00000000-0005-0000-0000-0000BC530000}"/>
    <cellStyle name="40% - Accent1 4 4 2 2 5" xfId="13283" xr:uid="{00000000-0005-0000-0000-0000BD530000}"/>
    <cellStyle name="40% - Accent1 4 4 2 2 5 2" xfId="35885" xr:uid="{00000000-0005-0000-0000-0000BE530000}"/>
    <cellStyle name="40% - Accent1 4 4 2 2 6" xfId="24584" xr:uid="{00000000-0005-0000-0000-0000BF530000}"/>
    <cellStyle name="40% - Accent1 4 4 2 3" xfId="2480" xr:uid="{00000000-0005-0000-0000-0000C0530000}"/>
    <cellStyle name="40% - Accent1 4 4 2 3 2" xfId="5499" xr:uid="{00000000-0005-0000-0000-0000C1530000}"/>
    <cellStyle name="40% - Accent1 4 4 2 3 2 2" xfId="11149" xr:uid="{00000000-0005-0000-0000-0000C2530000}"/>
    <cellStyle name="40% - Accent1 4 4 2 3 2 2 2" xfId="22450" xr:uid="{00000000-0005-0000-0000-0000C3530000}"/>
    <cellStyle name="40% - Accent1 4 4 2 3 2 2 2 2" xfId="45052" xr:uid="{00000000-0005-0000-0000-0000C4530000}"/>
    <cellStyle name="40% - Accent1 4 4 2 3 2 2 3" xfId="33751" xr:uid="{00000000-0005-0000-0000-0000C5530000}"/>
    <cellStyle name="40% - Accent1 4 4 2 3 2 3" xfId="16800" xr:uid="{00000000-0005-0000-0000-0000C6530000}"/>
    <cellStyle name="40% - Accent1 4 4 2 3 2 3 2" xfId="39402" xr:uid="{00000000-0005-0000-0000-0000C7530000}"/>
    <cellStyle name="40% - Accent1 4 4 2 3 2 4" xfId="28101" xr:uid="{00000000-0005-0000-0000-0000C8530000}"/>
    <cellStyle name="40% - Accent1 4 4 2 3 3" xfId="8316" xr:uid="{00000000-0005-0000-0000-0000C9530000}"/>
    <cellStyle name="40% - Accent1 4 4 2 3 3 2" xfId="19617" xr:uid="{00000000-0005-0000-0000-0000CA530000}"/>
    <cellStyle name="40% - Accent1 4 4 2 3 3 2 2" xfId="42219" xr:uid="{00000000-0005-0000-0000-0000CB530000}"/>
    <cellStyle name="40% - Accent1 4 4 2 3 3 3" xfId="30918" xr:uid="{00000000-0005-0000-0000-0000CC530000}"/>
    <cellStyle name="40% - Accent1 4 4 2 3 4" xfId="13967" xr:uid="{00000000-0005-0000-0000-0000CD530000}"/>
    <cellStyle name="40% - Accent1 4 4 2 3 4 2" xfId="36569" xr:uid="{00000000-0005-0000-0000-0000CE530000}"/>
    <cellStyle name="40% - Accent1 4 4 2 3 5" xfId="25268" xr:uid="{00000000-0005-0000-0000-0000CF530000}"/>
    <cellStyle name="40% - Accent1 4 4 2 4" xfId="4265" xr:uid="{00000000-0005-0000-0000-0000D0530000}"/>
    <cellStyle name="40% - Accent1 4 4 2 4 2" xfId="9915" xr:uid="{00000000-0005-0000-0000-0000D1530000}"/>
    <cellStyle name="40% - Accent1 4 4 2 4 2 2" xfId="21216" xr:uid="{00000000-0005-0000-0000-0000D2530000}"/>
    <cellStyle name="40% - Accent1 4 4 2 4 2 2 2" xfId="43818" xr:uid="{00000000-0005-0000-0000-0000D3530000}"/>
    <cellStyle name="40% - Accent1 4 4 2 4 2 3" xfId="32517" xr:uid="{00000000-0005-0000-0000-0000D4530000}"/>
    <cellStyle name="40% - Accent1 4 4 2 4 3" xfId="15566" xr:uid="{00000000-0005-0000-0000-0000D5530000}"/>
    <cellStyle name="40% - Accent1 4 4 2 4 3 2" xfId="38168" xr:uid="{00000000-0005-0000-0000-0000D6530000}"/>
    <cellStyle name="40% - Accent1 4 4 2 4 4" xfId="26867" xr:uid="{00000000-0005-0000-0000-0000D7530000}"/>
    <cellStyle name="40% - Accent1 4 4 2 5" xfId="7062" xr:uid="{00000000-0005-0000-0000-0000D8530000}"/>
    <cellStyle name="40% - Accent1 4 4 2 5 2" xfId="18363" xr:uid="{00000000-0005-0000-0000-0000D9530000}"/>
    <cellStyle name="40% - Accent1 4 4 2 5 2 2" xfId="40965" xr:uid="{00000000-0005-0000-0000-0000DA530000}"/>
    <cellStyle name="40% - Accent1 4 4 2 5 3" xfId="29664" xr:uid="{00000000-0005-0000-0000-0000DB530000}"/>
    <cellStyle name="40% - Accent1 4 4 2 6" xfId="12713" xr:uid="{00000000-0005-0000-0000-0000DC530000}"/>
    <cellStyle name="40% - Accent1 4 4 2 6 2" xfId="35315" xr:uid="{00000000-0005-0000-0000-0000DD530000}"/>
    <cellStyle name="40% - Accent1 4 4 2 7" xfId="24014" xr:uid="{00000000-0005-0000-0000-0000DE530000}"/>
    <cellStyle name="40% - Accent1 4 4 3" xfId="757" xr:uid="{00000000-0005-0000-0000-0000DF530000}"/>
    <cellStyle name="40% - Accent1 4 4 3 2" xfId="2844" xr:uid="{00000000-0005-0000-0000-0000E0530000}"/>
    <cellStyle name="40% - Accent1 4 4 3 2 2" xfId="5816" xr:uid="{00000000-0005-0000-0000-0000E1530000}"/>
    <cellStyle name="40% - Accent1 4 4 3 2 2 2" xfId="11466" xr:uid="{00000000-0005-0000-0000-0000E2530000}"/>
    <cellStyle name="40% - Accent1 4 4 3 2 2 2 2" xfId="22767" xr:uid="{00000000-0005-0000-0000-0000E3530000}"/>
    <cellStyle name="40% - Accent1 4 4 3 2 2 2 2 2" xfId="45369" xr:uid="{00000000-0005-0000-0000-0000E4530000}"/>
    <cellStyle name="40% - Accent1 4 4 3 2 2 2 3" xfId="34068" xr:uid="{00000000-0005-0000-0000-0000E5530000}"/>
    <cellStyle name="40% - Accent1 4 4 3 2 2 3" xfId="17117" xr:uid="{00000000-0005-0000-0000-0000E6530000}"/>
    <cellStyle name="40% - Accent1 4 4 3 2 2 3 2" xfId="39719" xr:uid="{00000000-0005-0000-0000-0000E7530000}"/>
    <cellStyle name="40% - Accent1 4 4 3 2 2 4" xfId="28418" xr:uid="{00000000-0005-0000-0000-0000E8530000}"/>
    <cellStyle name="40% - Accent1 4 4 3 2 3" xfId="8634" xr:uid="{00000000-0005-0000-0000-0000E9530000}"/>
    <cellStyle name="40% - Accent1 4 4 3 2 3 2" xfId="19935" xr:uid="{00000000-0005-0000-0000-0000EA530000}"/>
    <cellStyle name="40% - Accent1 4 4 3 2 3 2 2" xfId="42537" xr:uid="{00000000-0005-0000-0000-0000EB530000}"/>
    <cellStyle name="40% - Accent1 4 4 3 2 3 3" xfId="31236" xr:uid="{00000000-0005-0000-0000-0000EC530000}"/>
    <cellStyle name="40% - Accent1 4 4 3 2 4" xfId="14285" xr:uid="{00000000-0005-0000-0000-0000ED530000}"/>
    <cellStyle name="40% - Accent1 4 4 3 2 4 2" xfId="36887" xr:uid="{00000000-0005-0000-0000-0000EE530000}"/>
    <cellStyle name="40% - Accent1 4 4 3 2 5" xfId="25586" xr:uid="{00000000-0005-0000-0000-0000EF530000}"/>
    <cellStyle name="40% - Accent1 4 4 3 3" xfId="4582" xr:uid="{00000000-0005-0000-0000-0000F0530000}"/>
    <cellStyle name="40% - Accent1 4 4 3 3 2" xfId="10232" xr:uid="{00000000-0005-0000-0000-0000F1530000}"/>
    <cellStyle name="40% - Accent1 4 4 3 3 2 2" xfId="21533" xr:uid="{00000000-0005-0000-0000-0000F2530000}"/>
    <cellStyle name="40% - Accent1 4 4 3 3 2 2 2" xfId="44135" xr:uid="{00000000-0005-0000-0000-0000F3530000}"/>
    <cellStyle name="40% - Accent1 4 4 3 3 2 3" xfId="32834" xr:uid="{00000000-0005-0000-0000-0000F4530000}"/>
    <cellStyle name="40% - Accent1 4 4 3 3 3" xfId="15883" xr:uid="{00000000-0005-0000-0000-0000F5530000}"/>
    <cellStyle name="40% - Accent1 4 4 3 3 3 2" xfId="38485" xr:uid="{00000000-0005-0000-0000-0000F6530000}"/>
    <cellStyle name="40% - Accent1 4 4 3 3 4" xfId="27184" xr:uid="{00000000-0005-0000-0000-0000F7530000}"/>
    <cellStyle name="40% - Accent1 4 4 3 4" xfId="6765" xr:uid="{00000000-0005-0000-0000-0000F8530000}"/>
    <cellStyle name="40% - Accent1 4 4 3 4 2" xfId="18066" xr:uid="{00000000-0005-0000-0000-0000F9530000}"/>
    <cellStyle name="40% - Accent1 4 4 3 4 2 2" xfId="40668" xr:uid="{00000000-0005-0000-0000-0000FA530000}"/>
    <cellStyle name="40% - Accent1 4 4 3 4 3" xfId="29367" xr:uid="{00000000-0005-0000-0000-0000FB530000}"/>
    <cellStyle name="40% - Accent1 4 4 3 5" xfId="12416" xr:uid="{00000000-0005-0000-0000-0000FC530000}"/>
    <cellStyle name="40% - Accent1 4 4 3 5 2" xfId="35018" xr:uid="{00000000-0005-0000-0000-0000FD530000}"/>
    <cellStyle name="40% - Accent1 4 4 3 6" xfId="23717" xr:uid="{00000000-0005-0000-0000-0000FE530000}"/>
    <cellStyle name="40% - Accent1 4 4 4" xfId="1775" xr:uid="{00000000-0005-0000-0000-0000FF530000}"/>
    <cellStyle name="40% - Accent1 4 4 4 2" xfId="3657" xr:uid="{00000000-0005-0000-0000-000000540000}"/>
    <cellStyle name="40% - Accent1 4 4 4 2 2" xfId="9368" xr:uid="{00000000-0005-0000-0000-000001540000}"/>
    <cellStyle name="40% - Accent1 4 4 4 2 2 2" xfId="20669" xr:uid="{00000000-0005-0000-0000-000002540000}"/>
    <cellStyle name="40% - Accent1 4 4 4 2 2 2 2" xfId="43271" xr:uid="{00000000-0005-0000-0000-000003540000}"/>
    <cellStyle name="40% - Accent1 4 4 4 2 2 3" xfId="31970" xr:uid="{00000000-0005-0000-0000-000004540000}"/>
    <cellStyle name="40% - Accent1 4 4 4 2 3" xfId="15019" xr:uid="{00000000-0005-0000-0000-000005540000}"/>
    <cellStyle name="40% - Accent1 4 4 4 2 3 2" xfId="37621" xr:uid="{00000000-0005-0000-0000-000006540000}"/>
    <cellStyle name="40% - Accent1 4 4 4 2 4" xfId="26320" xr:uid="{00000000-0005-0000-0000-000007540000}"/>
    <cellStyle name="40% - Accent1 4 4 4 3" xfId="5192" xr:uid="{00000000-0005-0000-0000-000008540000}"/>
    <cellStyle name="40% - Accent1 4 4 4 3 2" xfId="10842" xr:uid="{00000000-0005-0000-0000-000009540000}"/>
    <cellStyle name="40% - Accent1 4 4 4 3 2 2" xfId="22143" xr:uid="{00000000-0005-0000-0000-00000A540000}"/>
    <cellStyle name="40% - Accent1 4 4 4 3 2 2 2" xfId="44745" xr:uid="{00000000-0005-0000-0000-00000B540000}"/>
    <cellStyle name="40% - Accent1 4 4 4 3 2 3" xfId="33444" xr:uid="{00000000-0005-0000-0000-00000C540000}"/>
    <cellStyle name="40% - Accent1 4 4 4 3 3" xfId="16493" xr:uid="{00000000-0005-0000-0000-00000D540000}"/>
    <cellStyle name="40% - Accent1 4 4 4 3 3 2" xfId="39095" xr:uid="{00000000-0005-0000-0000-00000E540000}"/>
    <cellStyle name="40% - Accent1 4 4 4 3 4" xfId="27794" xr:uid="{00000000-0005-0000-0000-00000F540000}"/>
    <cellStyle name="40% - Accent1 4 4 4 4" xfId="7631" xr:uid="{00000000-0005-0000-0000-000010540000}"/>
    <cellStyle name="40% - Accent1 4 4 4 4 2" xfId="18932" xr:uid="{00000000-0005-0000-0000-000011540000}"/>
    <cellStyle name="40% - Accent1 4 4 4 4 2 2" xfId="41534" xr:uid="{00000000-0005-0000-0000-000012540000}"/>
    <cellStyle name="40% - Accent1 4 4 4 4 3" xfId="30233" xr:uid="{00000000-0005-0000-0000-000013540000}"/>
    <cellStyle name="40% - Accent1 4 4 4 5" xfId="13282" xr:uid="{00000000-0005-0000-0000-000014540000}"/>
    <cellStyle name="40% - Accent1 4 4 4 5 2" xfId="35884" xr:uid="{00000000-0005-0000-0000-000015540000}"/>
    <cellStyle name="40% - Accent1 4 4 4 6" xfId="24583" xr:uid="{00000000-0005-0000-0000-000016540000}"/>
    <cellStyle name="40% - Accent1 4 4 5" xfId="2164" xr:uid="{00000000-0005-0000-0000-000017540000}"/>
    <cellStyle name="40% - Accent1 4 4 5 2" xfId="8006" xr:uid="{00000000-0005-0000-0000-000018540000}"/>
    <cellStyle name="40% - Accent1 4 4 5 2 2" xfId="19307" xr:uid="{00000000-0005-0000-0000-000019540000}"/>
    <cellStyle name="40% - Accent1 4 4 5 2 2 2" xfId="41909" xr:uid="{00000000-0005-0000-0000-00001A540000}"/>
    <cellStyle name="40% - Accent1 4 4 5 2 3" xfId="30608" xr:uid="{00000000-0005-0000-0000-00001B540000}"/>
    <cellStyle name="40% - Accent1 4 4 5 3" xfId="13657" xr:uid="{00000000-0005-0000-0000-00001C540000}"/>
    <cellStyle name="40% - Accent1 4 4 5 3 2" xfId="36259" xr:uid="{00000000-0005-0000-0000-00001D540000}"/>
    <cellStyle name="40% - Accent1 4 4 5 4" xfId="24958" xr:uid="{00000000-0005-0000-0000-00001E540000}"/>
    <cellStyle name="40% - Accent1 4 4 6" xfId="3958" xr:uid="{00000000-0005-0000-0000-00001F540000}"/>
    <cellStyle name="40% - Accent1 4 4 6 2" xfId="9608" xr:uid="{00000000-0005-0000-0000-000020540000}"/>
    <cellStyle name="40% - Accent1 4 4 6 2 2" xfId="20909" xr:uid="{00000000-0005-0000-0000-000021540000}"/>
    <cellStyle name="40% - Accent1 4 4 6 2 2 2" xfId="43511" xr:uid="{00000000-0005-0000-0000-000022540000}"/>
    <cellStyle name="40% - Accent1 4 4 6 2 3" xfId="32210" xr:uid="{00000000-0005-0000-0000-000023540000}"/>
    <cellStyle name="40% - Accent1 4 4 6 3" xfId="15259" xr:uid="{00000000-0005-0000-0000-000024540000}"/>
    <cellStyle name="40% - Accent1 4 4 6 3 2" xfId="37861" xr:uid="{00000000-0005-0000-0000-000025540000}"/>
    <cellStyle name="40% - Accent1 4 4 6 4" xfId="26560" xr:uid="{00000000-0005-0000-0000-000026540000}"/>
    <cellStyle name="40% - Accent1 4 4 7" xfId="6576" xr:uid="{00000000-0005-0000-0000-000027540000}"/>
    <cellStyle name="40% - Accent1 4 4 7 2" xfId="17877" xr:uid="{00000000-0005-0000-0000-000028540000}"/>
    <cellStyle name="40% - Accent1 4 4 7 2 2" xfId="40479" xr:uid="{00000000-0005-0000-0000-000029540000}"/>
    <cellStyle name="40% - Accent1 4 4 7 3" xfId="29178" xr:uid="{00000000-0005-0000-0000-00002A540000}"/>
    <cellStyle name="40% - Accent1 4 4 8" xfId="12227" xr:uid="{00000000-0005-0000-0000-00002B540000}"/>
    <cellStyle name="40% - Accent1 4 4 8 2" xfId="34829" xr:uid="{00000000-0005-0000-0000-00002C540000}"/>
    <cellStyle name="40% - Accent1 4 4 9" xfId="23528" xr:uid="{00000000-0005-0000-0000-00002D540000}"/>
    <cellStyle name="40% - Accent1 4 5" xfId="453" xr:uid="{00000000-0005-0000-0000-00002E540000}"/>
    <cellStyle name="40% - Accent1 4 5 2" xfId="1222" xr:uid="{00000000-0005-0000-0000-00002F540000}"/>
    <cellStyle name="40% - Accent1 4 5 2 2" xfId="1778" xr:uid="{00000000-0005-0000-0000-000030540000}"/>
    <cellStyle name="40% - Accent1 4 5 2 2 2" xfId="3291" xr:uid="{00000000-0005-0000-0000-000031540000}"/>
    <cellStyle name="40% - Accent1 4 5 2 2 2 2" xfId="6263" xr:uid="{00000000-0005-0000-0000-000032540000}"/>
    <cellStyle name="40% - Accent1 4 5 2 2 2 2 2" xfId="11913" xr:uid="{00000000-0005-0000-0000-000033540000}"/>
    <cellStyle name="40% - Accent1 4 5 2 2 2 2 2 2" xfId="23214" xr:uid="{00000000-0005-0000-0000-000034540000}"/>
    <cellStyle name="40% - Accent1 4 5 2 2 2 2 2 2 2" xfId="45816" xr:uid="{00000000-0005-0000-0000-000035540000}"/>
    <cellStyle name="40% - Accent1 4 5 2 2 2 2 2 3" xfId="34515" xr:uid="{00000000-0005-0000-0000-000036540000}"/>
    <cellStyle name="40% - Accent1 4 5 2 2 2 2 3" xfId="17564" xr:uid="{00000000-0005-0000-0000-000037540000}"/>
    <cellStyle name="40% - Accent1 4 5 2 2 2 2 3 2" xfId="40166" xr:uid="{00000000-0005-0000-0000-000038540000}"/>
    <cellStyle name="40% - Accent1 4 5 2 2 2 2 4" xfId="28865" xr:uid="{00000000-0005-0000-0000-000039540000}"/>
    <cellStyle name="40% - Accent1 4 5 2 2 2 3" xfId="9081" xr:uid="{00000000-0005-0000-0000-00003A540000}"/>
    <cellStyle name="40% - Accent1 4 5 2 2 2 3 2" xfId="20382" xr:uid="{00000000-0005-0000-0000-00003B540000}"/>
    <cellStyle name="40% - Accent1 4 5 2 2 2 3 2 2" xfId="42984" xr:uid="{00000000-0005-0000-0000-00003C540000}"/>
    <cellStyle name="40% - Accent1 4 5 2 2 2 3 3" xfId="31683" xr:uid="{00000000-0005-0000-0000-00003D540000}"/>
    <cellStyle name="40% - Accent1 4 5 2 2 2 4" xfId="14732" xr:uid="{00000000-0005-0000-0000-00003E540000}"/>
    <cellStyle name="40% - Accent1 4 5 2 2 2 4 2" xfId="37334" xr:uid="{00000000-0005-0000-0000-00003F540000}"/>
    <cellStyle name="40% - Accent1 4 5 2 2 2 5" xfId="26033" xr:uid="{00000000-0005-0000-0000-000040540000}"/>
    <cellStyle name="40% - Accent1 4 5 2 2 3" xfId="5029" xr:uid="{00000000-0005-0000-0000-000041540000}"/>
    <cellStyle name="40% - Accent1 4 5 2 2 3 2" xfId="10679" xr:uid="{00000000-0005-0000-0000-000042540000}"/>
    <cellStyle name="40% - Accent1 4 5 2 2 3 2 2" xfId="21980" xr:uid="{00000000-0005-0000-0000-000043540000}"/>
    <cellStyle name="40% - Accent1 4 5 2 2 3 2 2 2" xfId="44582" xr:uid="{00000000-0005-0000-0000-000044540000}"/>
    <cellStyle name="40% - Accent1 4 5 2 2 3 2 3" xfId="33281" xr:uid="{00000000-0005-0000-0000-000045540000}"/>
    <cellStyle name="40% - Accent1 4 5 2 2 3 3" xfId="16330" xr:uid="{00000000-0005-0000-0000-000046540000}"/>
    <cellStyle name="40% - Accent1 4 5 2 2 3 3 2" xfId="38932" xr:uid="{00000000-0005-0000-0000-000047540000}"/>
    <cellStyle name="40% - Accent1 4 5 2 2 3 4" xfId="27631" xr:uid="{00000000-0005-0000-0000-000048540000}"/>
    <cellStyle name="40% - Accent1 4 5 2 2 4" xfId="7634" xr:uid="{00000000-0005-0000-0000-000049540000}"/>
    <cellStyle name="40% - Accent1 4 5 2 2 4 2" xfId="18935" xr:uid="{00000000-0005-0000-0000-00004A540000}"/>
    <cellStyle name="40% - Accent1 4 5 2 2 4 2 2" xfId="41537" xr:uid="{00000000-0005-0000-0000-00004B540000}"/>
    <cellStyle name="40% - Accent1 4 5 2 2 4 3" xfId="30236" xr:uid="{00000000-0005-0000-0000-00004C540000}"/>
    <cellStyle name="40% - Accent1 4 5 2 2 5" xfId="13285" xr:uid="{00000000-0005-0000-0000-00004D540000}"/>
    <cellStyle name="40% - Accent1 4 5 2 2 5 2" xfId="35887" xr:uid="{00000000-0005-0000-0000-00004E540000}"/>
    <cellStyle name="40% - Accent1 4 5 2 2 6" xfId="24586" xr:uid="{00000000-0005-0000-0000-00004F540000}"/>
    <cellStyle name="40% - Accent1 4 5 2 3" xfId="2620" xr:uid="{00000000-0005-0000-0000-000050540000}"/>
    <cellStyle name="40% - Accent1 4 5 2 3 2" xfId="5639" xr:uid="{00000000-0005-0000-0000-000051540000}"/>
    <cellStyle name="40% - Accent1 4 5 2 3 2 2" xfId="11289" xr:uid="{00000000-0005-0000-0000-000052540000}"/>
    <cellStyle name="40% - Accent1 4 5 2 3 2 2 2" xfId="22590" xr:uid="{00000000-0005-0000-0000-000053540000}"/>
    <cellStyle name="40% - Accent1 4 5 2 3 2 2 2 2" xfId="45192" xr:uid="{00000000-0005-0000-0000-000054540000}"/>
    <cellStyle name="40% - Accent1 4 5 2 3 2 2 3" xfId="33891" xr:uid="{00000000-0005-0000-0000-000055540000}"/>
    <cellStyle name="40% - Accent1 4 5 2 3 2 3" xfId="16940" xr:uid="{00000000-0005-0000-0000-000056540000}"/>
    <cellStyle name="40% - Accent1 4 5 2 3 2 3 2" xfId="39542" xr:uid="{00000000-0005-0000-0000-000057540000}"/>
    <cellStyle name="40% - Accent1 4 5 2 3 2 4" xfId="28241" xr:uid="{00000000-0005-0000-0000-000058540000}"/>
    <cellStyle name="40% - Accent1 4 5 2 3 3" xfId="8456" xr:uid="{00000000-0005-0000-0000-000059540000}"/>
    <cellStyle name="40% - Accent1 4 5 2 3 3 2" xfId="19757" xr:uid="{00000000-0005-0000-0000-00005A540000}"/>
    <cellStyle name="40% - Accent1 4 5 2 3 3 2 2" xfId="42359" xr:uid="{00000000-0005-0000-0000-00005B540000}"/>
    <cellStyle name="40% - Accent1 4 5 2 3 3 3" xfId="31058" xr:uid="{00000000-0005-0000-0000-00005C540000}"/>
    <cellStyle name="40% - Accent1 4 5 2 3 4" xfId="14107" xr:uid="{00000000-0005-0000-0000-00005D540000}"/>
    <cellStyle name="40% - Accent1 4 5 2 3 4 2" xfId="36709" xr:uid="{00000000-0005-0000-0000-00005E540000}"/>
    <cellStyle name="40% - Accent1 4 5 2 3 5" xfId="25408" xr:uid="{00000000-0005-0000-0000-00005F540000}"/>
    <cellStyle name="40% - Accent1 4 5 2 4" xfId="4405" xr:uid="{00000000-0005-0000-0000-000060540000}"/>
    <cellStyle name="40% - Accent1 4 5 2 4 2" xfId="10055" xr:uid="{00000000-0005-0000-0000-000061540000}"/>
    <cellStyle name="40% - Accent1 4 5 2 4 2 2" xfId="21356" xr:uid="{00000000-0005-0000-0000-000062540000}"/>
    <cellStyle name="40% - Accent1 4 5 2 4 2 2 2" xfId="43958" xr:uid="{00000000-0005-0000-0000-000063540000}"/>
    <cellStyle name="40% - Accent1 4 5 2 4 2 3" xfId="32657" xr:uid="{00000000-0005-0000-0000-000064540000}"/>
    <cellStyle name="40% - Accent1 4 5 2 4 3" xfId="15706" xr:uid="{00000000-0005-0000-0000-000065540000}"/>
    <cellStyle name="40% - Accent1 4 5 2 4 3 2" xfId="38308" xr:uid="{00000000-0005-0000-0000-000066540000}"/>
    <cellStyle name="40% - Accent1 4 5 2 4 4" xfId="27007" xr:uid="{00000000-0005-0000-0000-000067540000}"/>
    <cellStyle name="40% - Accent1 4 5 2 5" xfId="7201" xr:uid="{00000000-0005-0000-0000-000068540000}"/>
    <cellStyle name="40% - Accent1 4 5 2 5 2" xfId="18502" xr:uid="{00000000-0005-0000-0000-000069540000}"/>
    <cellStyle name="40% - Accent1 4 5 2 5 2 2" xfId="41104" xr:uid="{00000000-0005-0000-0000-00006A540000}"/>
    <cellStyle name="40% - Accent1 4 5 2 5 3" xfId="29803" xr:uid="{00000000-0005-0000-0000-00006B540000}"/>
    <cellStyle name="40% - Accent1 4 5 2 6" xfId="12852" xr:uid="{00000000-0005-0000-0000-00006C540000}"/>
    <cellStyle name="40% - Accent1 4 5 2 6 2" xfId="35454" xr:uid="{00000000-0005-0000-0000-00006D540000}"/>
    <cellStyle name="40% - Accent1 4 5 2 7" xfId="24153" xr:uid="{00000000-0005-0000-0000-00006E540000}"/>
    <cellStyle name="40% - Accent1 4 5 3" xfId="920" xr:uid="{00000000-0005-0000-0000-00006F540000}"/>
    <cellStyle name="40% - Accent1 4 5 3 2" xfId="2983" xr:uid="{00000000-0005-0000-0000-000070540000}"/>
    <cellStyle name="40% - Accent1 4 5 3 2 2" xfId="5955" xr:uid="{00000000-0005-0000-0000-000071540000}"/>
    <cellStyle name="40% - Accent1 4 5 3 2 2 2" xfId="11605" xr:uid="{00000000-0005-0000-0000-000072540000}"/>
    <cellStyle name="40% - Accent1 4 5 3 2 2 2 2" xfId="22906" xr:uid="{00000000-0005-0000-0000-000073540000}"/>
    <cellStyle name="40% - Accent1 4 5 3 2 2 2 2 2" xfId="45508" xr:uid="{00000000-0005-0000-0000-000074540000}"/>
    <cellStyle name="40% - Accent1 4 5 3 2 2 2 3" xfId="34207" xr:uid="{00000000-0005-0000-0000-000075540000}"/>
    <cellStyle name="40% - Accent1 4 5 3 2 2 3" xfId="17256" xr:uid="{00000000-0005-0000-0000-000076540000}"/>
    <cellStyle name="40% - Accent1 4 5 3 2 2 3 2" xfId="39858" xr:uid="{00000000-0005-0000-0000-000077540000}"/>
    <cellStyle name="40% - Accent1 4 5 3 2 2 4" xfId="28557" xr:uid="{00000000-0005-0000-0000-000078540000}"/>
    <cellStyle name="40% - Accent1 4 5 3 2 3" xfId="8773" xr:uid="{00000000-0005-0000-0000-000079540000}"/>
    <cellStyle name="40% - Accent1 4 5 3 2 3 2" xfId="20074" xr:uid="{00000000-0005-0000-0000-00007A540000}"/>
    <cellStyle name="40% - Accent1 4 5 3 2 3 2 2" xfId="42676" xr:uid="{00000000-0005-0000-0000-00007B540000}"/>
    <cellStyle name="40% - Accent1 4 5 3 2 3 3" xfId="31375" xr:uid="{00000000-0005-0000-0000-00007C540000}"/>
    <cellStyle name="40% - Accent1 4 5 3 2 4" xfId="14424" xr:uid="{00000000-0005-0000-0000-00007D540000}"/>
    <cellStyle name="40% - Accent1 4 5 3 2 4 2" xfId="37026" xr:uid="{00000000-0005-0000-0000-00007E540000}"/>
    <cellStyle name="40% - Accent1 4 5 3 2 5" xfId="25725" xr:uid="{00000000-0005-0000-0000-00007F540000}"/>
    <cellStyle name="40% - Accent1 4 5 3 3" xfId="4721" xr:uid="{00000000-0005-0000-0000-000080540000}"/>
    <cellStyle name="40% - Accent1 4 5 3 3 2" xfId="10371" xr:uid="{00000000-0005-0000-0000-000081540000}"/>
    <cellStyle name="40% - Accent1 4 5 3 3 2 2" xfId="21672" xr:uid="{00000000-0005-0000-0000-000082540000}"/>
    <cellStyle name="40% - Accent1 4 5 3 3 2 2 2" xfId="44274" xr:uid="{00000000-0005-0000-0000-000083540000}"/>
    <cellStyle name="40% - Accent1 4 5 3 3 2 3" xfId="32973" xr:uid="{00000000-0005-0000-0000-000084540000}"/>
    <cellStyle name="40% - Accent1 4 5 3 3 3" xfId="16022" xr:uid="{00000000-0005-0000-0000-000085540000}"/>
    <cellStyle name="40% - Accent1 4 5 3 3 3 2" xfId="38624" xr:uid="{00000000-0005-0000-0000-000086540000}"/>
    <cellStyle name="40% - Accent1 4 5 3 3 4" xfId="27323" xr:uid="{00000000-0005-0000-0000-000087540000}"/>
    <cellStyle name="40% - Accent1 4 5 3 4" xfId="6908" xr:uid="{00000000-0005-0000-0000-000088540000}"/>
    <cellStyle name="40% - Accent1 4 5 3 4 2" xfId="18209" xr:uid="{00000000-0005-0000-0000-000089540000}"/>
    <cellStyle name="40% - Accent1 4 5 3 4 2 2" xfId="40811" xr:uid="{00000000-0005-0000-0000-00008A540000}"/>
    <cellStyle name="40% - Accent1 4 5 3 4 3" xfId="29510" xr:uid="{00000000-0005-0000-0000-00008B540000}"/>
    <cellStyle name="40% - Accent1 4 5 3 5" xfId="12559" xr:uid="{00000000-0005-0000-0000-00008C540000}"/>
    <cellStyle name="40% - Accent1 4 5 3 5 2" xfId="35161" xr:uid="{00000000-0005-0000-0000-00008D540000}"/>
    <cellStyle name="40% - Accent1 4 5 3 6" xfId="23860" xr:uid="{00000000-0005-0000-0000-00008E540000}"/>
    <cellStyle name="40% - Accent1 4 5 4" xfId="1777" xr:uid="{00000000-0005-0000-0000-00008F540000}"/>
    <cellStyle name="40% - Accent1 4 5 4 2" xfId="3658" xr:uid="{00000000-0005-0000-0000-000090540000}"/>
    <cellStyle name="40% - Accent1 4 5 4 2 2" xfId="9369" xr:uid="{00000000-0005-0000-0000-000091540000}"/>
    <cellStyle name="40% - Accent1 4 5 4 2 2 2" xfId="20670" xr:uid="{00000000-0005-0000-0000-000092540000}"/>
    <cellStyle name="40% - Accent1 4 5 4 2 2 2 2" xfId="43272" xr:uid="{00000000-0005-0000-0000-000093540000}"/>
    <cellStyle name="40% - Accent1 4 5 4 2 2 3" xfId="31971" xr:uid="{00000000-0005-0000-0000-000094540000}"/>
    <cellStyle name="40% - Accent1 4 5 4 2 3" xfId="15020" xr:uid="{00000000-0005-0000-0000-000095540000}"/>
    <cellStyle name="40% - Accent1 4 5 4 2 3 2" xfId="37622" xr:uid="{00000000-0005-0000-0000-000096540000}"/>
    <cellStyle name="40% - Accent1 4 5 4 2 4" xfId="26321" xr:uid="{00000000-0005-0000-0000-000097540000}"/>
    <cellStyle name="40% - Accent1 4 5 4 3" xfId="5331" xr:uid="{00000000-0005-0000-0000-000098540000}"/>
    <cellStyle name="40% - Accent1 4 5 4 3 2" xfId="10981" xr:uid="{00000000-0005-0000-0000-000099540000}"/>
    <cellStyle name="40% - Accent1 4 5 4 3 2 2" xfId="22282" xr:uid="{00000000-0005-0000-0000-00009A540000}"/>
    <cellStyle name="40% - Accent1 4 5 4 3 2 2 2" xfId="44884" xr:uid="{00000000-0005-0000-0000-00009B540000}"/>
    <cellStyle name="40% - Accent1 4 5 4 3 2 3" xfId="33583" xr:uid="{00000000-0005-0000-0000-00009C540000}"/>
    <cellStyle name="40% - Accent1 4 5 4 3 3" xfId="16632" xr:uid="{00000000-0005-0000-0000-00009D540000}"/>
    <cellStyle name="40% - Accent1 4 5 4 3 3 2" xfId="39234" xr:uid="{00000000-0005-0000-0000-00009E540000}"/>
    <cellStyle name="40% - Accent1 4 5 4 3 4" xfId="27933" xr:uid="{00000000-0005-0000-0000-00009F540000}"/>
    <cellStyle name="40% - Accent1 4 5 4 4" xfId="7633" xr:uid="{00000000-0005-0000-0000-0000A0540000}"/>
    <cellStyle name="40% - Accent1 4 5 4 4 2" xfId="18934" xr:uid="{00000000-0005-0000-0000-0000A1540000}"/>
    <cellStyle name="40% - Accent1 4 5 4 4 2 2" xfId="41536" xr:uid="{00000000-0005-0000-0000-0000A2540000}"/>
    <cellStyle name="40% - Accent1 4 5 4 4 3" xfId="30235" xr:uid="{00000000-0005-0000-0000-0000A3540000}"/>
    <cellStyle name="40% - Accent1 4 5 4 5" xfId="13284" xr:uid="{00000000-0005-0000-0000-0000A4540000}"/>
    <cellStyle name="40% - Accent1 4 5 4 5 2" xfId="35886" xr:uid="{00000000-0005-0000-0000-0000A5540000}"/>
    <cellStyle name="40% - Accent1 4 5 4 6" xfId="24585" xr:uid="{00000000-0005-0000-0000-0000A6540000}"/>
    <cellStyle name="40% - Accent1 4 5 5" xfId="2312" xr:uid="{00000000-0005-0000-0000-0000A7540000}"/>
    <cellStyle name="40% - Accent1 4 5 5 2" xfId="8148" xr:uid="{00000000-0005-0000-0000-0000A8540000}"/>
    <cellStyle name="40% - Accent1 4 5 5 2 2" xfId="19449" xr:uid="{00000000-0005-0000-0000-0000A9540000}"/>
    <cellStyle name="40% - Accent1 4 5 5 2 2 2" xfId="42051" xr:uid="{00000000-0005-0000-0000-0000AA540000}"/>
    <cellStyle name="40% - Accent1 4 5 5 2 3" xfId="30750" xr:uid="{00000000-0005-0000-0000-0000AB540000}"/>
    <cellStyle name="40% - Accent1 4 5 5 3" xfId="13799" xr:uid="{00000000-0005-0000-0000-0000AC540000}"/>
    <cellStyle name="40% - Accent1 4 5 5 3 2" xfId="36401" xr:uid="{00000000-0005-0000-0000-0000AD540000}"/>
    <cellStyle name="40% - Accent1 4 5 5 4" xfId="25100" xr:uid="{00000000-0005-0000-0000-0000AE540000}"/>
    <cellStyle name="40% - Accent1 4 5 6" xfId="4097" xr:uid="{00000000-0005-0000-0000-0000AF540000}"/>
    <cellStyle name="40% - Accent1 4 5 6 2" xfId="9747" xr:uid="{00000000-0005-0000-0000-0000B0540000}"/>
    <cellStyle name="40% - Accent1 4 5 6 2 2" xfId="21048" xr:uid="{00000000-0005-0000-0000-0000B1540000}"/>
    <cellStyle name="40% - Accent1 4 5 6 2 2 2" xfId="43650" xr:uid="{00000000-0005-0000-0000-0000B2540000}"/>
    <cellStyle name="40% - Accent1 4 5 6 2 3" xfId="32349" xr:uid="{00000000-0005-0000-0000-0000B3540000}"/>
    <cellStyle name="40% - Accent1 4 5 6 3" xfId="15398" xr:uid="{00000000-0005-0000-0000-0000B4540000}"/>
    <cellStyle name="40% - Accent1 4 5 6 3 2" xfId="38000" xr:uid="{00000000-0005-0000-0000-0000B5540000}"/>
    <cellStyle name="40% - Accent1 4 5 6 4" xfId="26699" xr:uid="{00000000-0005-0000-0000-0000B6540000}"/>
    <cellStyle name="40% - Accent1 4 5 7" xfId="6548" xr:uid="{00000000-0005-0000-0000-0000B7540000}"/>
    <cellStyle name="40% - Accent1 4 5 7 2" xfId="17849" xr:uid="{00000000-0005-0000-0000-0000B8540000}"/>
    <cellStyle name="40% - Accent1 4 5 7 2 2" xfId="40451" xr:uid="{00000000-0005-0000-0000-0000B9540000}"/>
    <cellStyle name="40% - Accent1 4 5 7 3" xfId="29150" xr:uid="{00000000-0005-0000-0000-0000BA540000}"/>
    <cellStyle name="40% - Accent1 4 5 8" xfId="12199" xr:uid="{00000000-0005-0000-0000-0000BB540000}"/>
    <cellStyle name="40% - Accent1 4 5 8 2" xfId="34801" xr:uid="{00000000-0005-0000-0000-0000BC540000}"/>
    <cellStyle name="40% - Accent1 4 5 9" xfId="23500" xr:uid="{00000000-0005-0000-0000-0000BD540000}"/>
    <cellStyle name="40% - Accent1 4 6" xfId="1055" xr:uid="{00000000-0005-0000-0000-0000BE540000}"/>
    <cellStyle name="40% - Accent1 4 6 2" xfId="1779" xr:uid="{00000000-0005-0000-0000-0000BF540000}"/>
    <cellStyle name="40% - Accent1 4 6 2 2" xfId="3122" xr:uid="{00000000-0005-0000-0000-0000C0540000}"/>
    <cellStyle name="40% - Accent1 4 6 2 2 2" xfId="6094" xr:uid="{00000000-0005-0000-0000-0000C1540000}"/>
    <cellStyle name="40% - Accent1 4 6 2 2 2 2" xfId="11744" xr:uid="{00000000-0005-0000-0000-0000C2540000}"/>
    <cellStyle name="40% - Accent1 4 6 2 2 2 2 2" xfId="23045" xr:uid="{00000000-0005-0000-0000-0000C3540000}"/>
    <cellStyle name="40% - Accent1 4 6 2 2 2 2 2 2" xfId="45647" xr:uid="{00000000-0005-0000-0000-0000C4540000}"/>
    <cellStyle name="40% - Accent1 4 6 2 2 2 2 3" xfId="34346" xr:uid="{00000000-0005-0000-0000-0000C5540000}"/>
    <cellStyle name="40% - Accent1 4 6 2 2 2 3" xfId="17395" xr:uid="{00000000-0005-0000-0000-0000C6540000}"/>
    <cellStyle name="40% - Accent1 4 6 2 2 2 3 2" xfId="39997" xr:uid="{00000000-0005-0000-0000-0000C7540000}"/>
    <cellStyle name="40% - Accent1 4 6 2 2 2 4" xfId="28696" xr:uid="{00000000-0005-0000-0000-0000C8540000}"/>
    <cellStyle name="40% - Accent1 4 6 2 2 3" xfId="8912" xr:uid="{00000000-0005-0000-0000-0000C9540000}"/>
    <cellStyle name="40% - Accent1 4 6 2 2 3 2" xfId="20213" xr:uid="{00000000-0005-0000-0000-0000CA540000}"/>
    <cellStyle name="40% - Accent1 4 6 2 2 3 2 2" xfId="42815" xr:uid="{00000000-0005-0000-0000-0000CB540000}"/>
    <cellStyle name="40% - Accent1 4 6 2 2 3 3" xfId="31514" xr:uid="{00000000-0005-0000-0000-0000CC540000}"/>
    <cellStyle name="40% - Accent1 4 6 2 2 4" xfId="14563" xr:uid="{00000000-0005-0000-0000-0000CD540000}"/>
    <cellStyle name="40% - Accent1 4 6 2 2 4 2" xfId="37165" xr:uid="{00000000-0005-0000-0000-0000CE540000}"/>
    <cellStyle name="40% - Accent1 4 6 2 2 5" xfId="25864" xr:uid="{00000000-0005-0000-0000-0000CF540000}"/>
    <cellStyle name="40% - Accent1 4 6 2 3" xfId="4860" xr:uid="{00000000-0005-0000-0000-0000D0540000}"/>
    <cellStyle name="40% - Accent1 4 6 2 3 2" xfId="10510" xr:uid="{00000000-0005-0000-0000-0000D1540000}"/>
    <cellStyle name="40% - Accent1 4 6 2 3 2 2" xfId="21811" xr:uid="{00000000-0005-0000-0000-0000D2540000}"/>
    <cellStyle name="40% - Accent1 4 6 2 3 2 2 2" xfId="44413" xr:uid="{00000000-0005-0000-0000-0000D3540000}"/>
    <cellStyle name="40% - Accent1 4 6 2 3 2 3" xfId="33112" xr:uid="{00000000-0005-0000-0000-0000D4540000}"/>
    <cellStyle name="40% - Accent1 4 6 2 3 3" xfId="16161" xr:uid="{00000000-0005-0000-0000-0000D5540000}"/>
    <cellStyle name="40% - Accent1 4 6 2 3 3 2" xfId="38763" xr:uid="{00000000-0005-0000-0000-0000D6540000}"/>
    <cellStyle name="40% - Accent1 4 6 2 3 4" xfId="27462" xr:uid="{00000000-0005-0000-0000-0000D7540000}"/>
    <cellStyle name="40% - Accent1 4 6 2 4" xfId="7635" xr:uid="{00000000-0005-0000-0000-0000D8540000}"/>
    <cellStyle name="40% - Accent1 4 6 2 4 2" xfId="18936" xr:uid="{00000000-0005-0000-0000-0000D9540000}"/>
    <cellStyle name="40% - Accent1 4 6 2 4 2 2" xfId="41538" xr:uid="{00000000-0005-0000-0000-0000DA540000}"/>
    <cellStyle name="40% - Accent1 4 6 2 4 3" xfId="30237" xr:uid="{00000000-0005-0000-0000-0000DB540000}"/>
    <cellStyle name="40% - Accent1 4 6 2 5" xfId="13286" xr:uid="{00000000-0005-0000-0000-0000DC540000}"/>
    <cellStyle name="40% - Accent1 4 6 2 5 2" xfId="35888" xr:uid="{00000000-0005-0000-0000-0000DD540000}"/>
    <cellStyle name="40% - Accent1 4 6 2 6" xfId="24587" xr:uid="{00000000-0005-0000-0000-0000DE540000}"/>
    <cellStyle name="40% - Accent1 4 6 3" xfId="2451" xr:uid="{00000000-0005-0000-0000-0000DF540000}"/>
    <cellStyle name="40% - Accent1 4 6 3 2" xfId="5470" xr:uid="{00000000-0005-0000-0000-0000E0540000}"/>
    <cellStyle name="40% - Accent1 4 6 3 2 2" xfId="11120" xr:uid="{00000000-0005-0000-0000-0000E1540000}"/>
    <cellStyle name="40% - Accent1 4 6 3 2 2 2" xfId="22421" xr:uid="{00000000-0005-0000-0000-0000E2540000}"/>
    <cellStyle name="40% - Accent1 4 6 3 2 2 2 2" xfId="45023" xr:uid="{00000000-0005-0000-0000-0000E3540000}"/>
    <cellStyle name="40% - Accent1 4 6 3 2 2 3" xfId="33722" xr:uid="{00000000-0005-0000-0000-0000E4540000}"/>
    <cellStyle name="40% - Accent1 4 6 3 2 3" xfId="16771" xr:uid="{00000000-0005-0000-0000-0000E5540000}"/>
    <cellStyle name="40% - Accent1 4 6 3 2 3 2" xfId="39373" xr:uid="{00000000-0005-0000-0000-0000E6540000}"/>
    <cellStyle name="40% - Accent1 4 6 3 2 4" xfId="28072" xr:uid="{00000000-0005-0000-0000-0000E7540000}"/>
    <cellStyle name="40% - Accent1 4 6 3 3" xfId="8287" xr:uid="{00000000-0005-0000-0000-0000E8540000}"/>
    <cellStyle name="40% - Accent1 4 6 3 3 2" xfId="19588" xr:uid="{00000000-0005-0000-0000-0000E9540000}"/>
    <cellStyle name="40% - Accent1 4 6 3 3 2 2" xfId="42190" xr:uid="{00000000-0005-0000-0000-0000EA540000}"/>
    <cellStyle name="40% - Accent1 4 6 3 3 3" xfId="30889" xr:uid="{00000000-0005-0000-0000-0000EB540000}"/>
    <cellStyle name="40% - Accent1 4 6 3 4" xfId="13938" xr:uid="{00000000-0005-0000-0000-0000EC540000}"/>
    <cellStyle name="40% - Accent1 4 6 3 4 2" xfId="36540" xr:uid="{00000000-0005-0000-0000-0000ED540000}"/>
    <cellStyle name="40% - Accent1 4 6 3 5" xfId="25239" xr:uid="{00000000-0005-0000-0000-0000EE540000}"/>
    <cellStyle name="40% - Accent1 4 6 4" xfId="4236" xr:uid="{00000000-0005-0000-0000-0000EF540000}"/>
    <cellStyle name="40% - Accent1 4 6 4 2" xfId="9886" xr:uid="{00000000-0005-0000-0000-0000F0540000}"/>
    <cellStyle name="40% - Accent1 4 6 4 2 2" xfId="21187" xr:uid="{00000000-0005-0000-0000-0000F1540000}"/>
    <cellStyle name="40% - Accent1 4 6 4 2 2 2" xfId="43789" xr:uid="{00000000-0005-0000-0000-0000F2540000}"/>
    <cellStyle name="40% - Accent1 4 6 4 2 3" xfId="32488" xr:uid="{00000000-0005-0000-0000-0000F3540000}"/>
    <cellStyle name="40% - Accent1 4 6 4 3" xfId="15537" xr:uid="{00000000-0005-0000-0000-0000F4540000}"/>
    <cellStyle name="40% - Accent1 4 6 4 3 2" xfId="38139" xr:uid="{00000000-0005-0000-0000-0000F5540000}"/>
    <cellStyle name="40% - Accent1 4 6 4 4" xfId="26838" xr:uid="{00000000-0005-0000-0000-0000F6540000}"/>
    <cellStyle name="40% - Accent1 4 6 5" xfId="7034" xr:uid="{00000000-0005-0000-0000-0000F7540000}"/>
    <cellStyle name="40% - Accent1 4 6 5 2" xfId="18335" xr:uid="{00000000-0005-0000-0000-0000F8540000}"/>
    <cellStyle name="40% - Accent1 4 6 5 2 2" xfId="40937" xr:uid="{00000000-0005-0000-0000-0000F9540000}"/>
    <cellStyle name="40% - Accent1 4 6 5 3" xfId="29636" xr:uid="{00000000-0005-0000-0000-0000FA540000}"/>
    <cellStyle name="40% - Accent1 4 6 6" xfId="12685" xr:uid="{00000000-0005-0000-0000-0000FB540000}"/>
    <cellStyle name="40% - Accent1 4 6 6 2" xfId="35287" xr:uid="{00000000-0005-0000-0000-0000FC540000}"/>
    <cellStyle name="40% - Accent1 4 6 7" xfId="23986" xr:uid="{00000000-0005-0000-0000-0000FD540000}"/>
    <cellStyle name="40% - Accent1 4 7" xfId="719" xr:uid="{00000000-0005-0000-0000-0000FE540000}"/>
    <cellStyle name="40% - Accent1 4 7 2" xfId="2816" xr:uid="{00000000-0005-0000-0000-0000FF540000}"/>
    <cellStyle name="40% - Accent1 4 7 2 2" xfId="5788" xr:uid="{00000000-0005-0000-0000-000000550000}"/>
    <cellStyle name="40% - Accent1 4 7 2 2 2" xfId="11438" xr:uid="{00000000-0005-0000-0000-000001550000}"/>
    <cellStyle name="40% - Accent1 4 7 2 2 2 2" xfId="22739" xr:uid="{00000000-0005-0000-0000-000002550000}"/>
    <cellStyle name="40% - Accent1 4 7 2 2 2 2 2" xfId="45341" xr:uid="{00000000-0005-0000-0000-000003550000}"/>
    <cellStyle name="40% - Accent1 4 7 2 2 2 3" xfId="34040" xr:uid="{00000000-0005-0000-0000-000004550000}"/>
    <cellStyle name="40% - Accent1 4 7 2 2 3" xfId="17089" xr:uid="{00000000-0005-0000-0000-000005550000}"/>
    <cellStyle name="40% - Accent1 4 7 2 2 3 2" xfId="39691" xr:uid="{00000000-0005-0000-0000-000006550000}"/>
    <cellStyle name="40% - Accent1 4 7 2 2 4" xfId="28390" xr:uid="{00000000-0005-0000-0000-000007550000}"/>
    <cellStyle name="40% - Accent1 4 7 2 3" xfId="8606" xr:uid="{00000000-0005-0000-0000-000008550000}"/>
    <cellStyle name="40% - Accent1 4 7 2 3 2" xfId="19907" xr:uid="{00000000-0005-0000-0000-000009550000}"/>
    <cellStyle name="40% - Accent1 4 7 2 3 2 2" xfId="42509" xr:uid="{00000000-0005-0000-0000-00000A550000}"/>
    <cellStyle name="40% - Accent1 4 7 2 3 3" xfId="31208" xr:uid="{00000000-0005-0000-0000-00000B550000}"/>
    <cellStyle name="40% - Accent1 4 7 2 4" xfId="14257" xr:uid="{00000000-0005-0000-0000-00000C550000}"/>
    <cellStyle name="40% - Accent1 4 7 2 4 2" xfId="36859" xr:uid="{00000000-0005-0000-0000-00000D550000}"/>
    <cellStyle name="40% - Accent1 4 7 2 5" xfId="25558" xr:uid="{00000000-0005-0000-0000-00000E550000}"/>
    <cellStyle name="40% - Accent1 4 7 3" xfId="4554" xr:uid="{00000000-0005-0000-0000-00000F550000}"/>
    <cellStyle name="40% - Accent1 4 7 3 2" xfId="10204" xr:uid="{00000000-0005-0000-0000-000010550000}"/>
    <cellStyle name="40% - Accent1 4 7 3 2 2" xfId="21505" xr:uid="{00000000-0005-0000-0000-000011550000}"/>
    <cellStyle name="40% - Accent1 4 7 3 2 2 2" xfId="44107" xr:uid="{00000000-0005-0000-0000-000012550000}"/>
    <cellStyle name="40% - Accent1 4 7 3 2 3" xfId="32806" xr:uid="{00000000-0005-0000-0000-000013550000}"/>
    <cellStyle name="40% - Accent1 4 7 3 3" xfId="15855" xr:uid="{00000000-0005-0000-0000-000014550000}"/>
    <cellStyle name="40% - Accent1 4 7 3 3 2" xfId="38457" xr:uid="{00000000-0005-0000-0000-000015550000}"/>
    <cellStyle name="40% - Accent1 4 7 3 4" xfId="27156" xr:uid="{00000000-0005-0000-0000-000016550000}"/>
    <cellStyle name="40% - Accent1 4 7 4" xfId="6736" xr:uid="{00000000-0005-0000-0000-000017550000}"/>
    <cellStyle name="40% - Accent1 4 7 4 2" xfId="18037" xr:uid="{00000000-0005-0000-0000-000018550000}"/>
    <cellStyle name="40% - Accent1 4 7 4 2 2" xfId="40639" xr:uid="{00000000-0005-0000-0000-000019550000}"/>
    <cellStyle name="40% - Accent1 4 7 4 3" xfId="29338" xr:uid="{00000000-0005-0000-0000-00001A550000}"/>
    <cellStyle name="40% - Accent1 4 7 5" xfId="12387" xr:uid="{00000000-0005-0000-0000-00001B550000}"/>
    <cellStyle name="40% - Accent1 4 7 5 2" xfId="34989" xr:uid="{00000000-0005-0000-0000-00001C550000}"/>
    <cellStyle name="40% - Accent1 4 7 6" xfId="23688" xr:uid="{00000000-0005-0000-0000-00001D550000}"/>
    <cellStyle name="40% - Accent1 4 8" xfId="1766" xr:uid="{00000000-0005-0000-0000-00001E550000}"/>
    <cellStyle name="40% - Accent1 4 8 2" xfId="3652" xr:uid="{00000000-0005-0000-0000-00001F550000}"/>
    <cellStyle name="40% - Accent1 4 8 2 2" xfId="9363" xr:uid="{00000000-0005-0000-0000-000020550000}"/>
    <cellStyle name="40% - Accent1 4 8 2 2 2" xfId="20664" xr:uid="{00000000-0005-0000-0000-000021550000}"/>
    <cellStyle name="40% - Accent1 4 8 2 2 2 2" xfId="43266" xr:uid="{00000000-0005-0000-0000-000022550000}"/>
    <cellStyle name="40% - Accent1 4 8 2 2 3" xfId="31965" xr:uid="{00000000-0005-0000-0000-000023550000}"/>
    <cellStyle name="40% - Accent1 4 8 2 3" xfId="15014" xr:uid="{00000000-0005-0000-0000-000024550000}"/>
    <cellStyle name="40% - Accent1 4 8 2 3 2" xfId="37616" xr:uid="{00000000-0005-0000-0000-000025550000}"/>
    <cellStyle name="40% - Accent1 4 8 2 4" xfId="26315" xr:uid="{00000000-0005-0000-0000-000026550000}"/>
    <cellStyle name="40% - Accent1 4 8 3" xfId="5164" xr:uid="{00000000-0005-0000-0000-000027550000}"/>
    <cellStyle name="40% - Accent1 4 8 3 2" xfId="10814" xr:uid="{00000000-0005-0000-0000-000028550000}"/>
    <cellStyle name="40% - Accent1 4 8 3 2 2" xfId="22115" xr:uid="{00000000-0005-0000-0000-000029550000}"/>
    <cellStyle name="40% - Accent1 4 8 3 2 2 2" xfId="44717" xr:uid="{00000000-0005-0000-0000-00002A550000}"/>
    <cellStyle name="40% - Accent1 4 8 3 2 3" xfId="33416" xr:uid="{00000000-0005-0000-0000-00002B550000}"/>
    <cellStyle name="40% - Accent1 4 8 3 3" xfId="16465" xr:uid="{00000000-0005-0000-0000-00002C550000}"/>
    <cellStyle name="40% - Accent1 4 8 3 3 2" xfId="39067" xr:uid="{00000000-0005-0000-0000-00002D550000}"/>
    <cellStyle name="40% - Accent1 4 8 3 4" xfId="27766" xr:uid="{00000000-0005-0000-0000-00002E550000}"/>
    <cellStyle name="40% - Accent1 4 8 4" xfId="7622" xr:uid="{00000000-0005-0000-0000-00002F550000}"/>
    <cellStyle name="40% - Accent1 4 8 4 2" xfId="18923" xr:uid="{00000000-0005-0000-0000-000030550000}"/>
    <cellStyle name="40% - Accent1 4 8 4 2 2" xfId="41525" xr:uid="{00000000-0005-0000-0000-000031550000}"/>
    <cellStyle name="40% - Accent1 4 8 4 3" xfId="30224" xr:uid="{00000000-0005-0000-0000-000032550000}"/>
    <cellStyle name="40% - Accent1 4 8 5" xfId="13273" xr:uid="{00000000-0005-0000-0000-000033550000}"/>
    <cellStyle name="40% - Accent1 4 8 5 2" xfId="35875" xr:uid="{00000000-0005-0000-0000-000034550000}"/>
    <cellStyle name="40% - Accent1 4 8 6" xfId="24574" xr:uid="{00000000-0005-0000-0000-000035550000}"/>
    <cellStyle name="40% - Accent1 4 9" xfId="2135" xr:uid="{00000000-0005-0000-0000-000036550000}"/>
    <cellStyle name="40% - Accent1 4 9 2" xfId="7978" xr:uid="{00000000-0005-0000-0000-000037550000}"/>
    <cellStyle name="40% - Accent1 4 9 2 2" xfId="19279" xr:uid="{00000000-0005-0000-0000-000038550000}"/>
    <cellStyle name="40% - Accent1 4 9 2 2 2" xfId="41881" xr:uid="{00000000-0005-0000-0000-000039550000}"/>
    <cellStyle name="40% - Accent1 4 9 2 3" xfId="30580" xr:uid="{00000000-0005-0000-0000-00003A550000}"/>
    <cellStyle name="40% - Accent1 4 9 3" xfId="13629" xr:uid="{00000000-0005-0000-0000-00003B550000}"/>
    <cellStyle name="40% - Accent1 4 9 3 2" xfId="36231" xr:uid="{00000000-0005-0000-0000-00003C550000}"/>
    <cellStyle name="40% - Accent1 4 9 4" xfId="24930" xr:uid="{00000000-0005-0000-0000-00003D550000}"/>
    <cellStyle name="40% - Accent1 5" xfId="206" xr:uid="{00000000-0005-0000-0000-00003E550000}"/>
    <cellStyle name="40% - Accent1 5 10" xfId="12072" xr:uid="{00000000-0005-0000-0000-00003F550000}"/>
    <cellStyle name="40% - Accent1 5 10 2" xfId="34674" xr:uid="{00000000-0005-0000-0000-000040550000}"/>
    <cellStyle name="40% - Accent1 5 11" xfId="23373" xr:uid="{00000000-0005-0000-0000-000041550000}"/>
    <cellStyle name="40% - Accent1 5 2" xfId="374" xr:uid="{00000000-0005-0000-0000-000042550000}"/>
    <cellStyle name="40% - Accent1 5 2 10" xfId="23469" xr:uid="{00000000-0005-0000-0000-000043550000}"/>
    <cellStyle name="40% - Accent1 5 2 2" xfId="619" xr:uid="{00000000-0005-0000-0000-000044550000}"/>
    <cellStyle name="40% - Accent1 5 2 2 2" xfId="1329" xr:uid="{00000000-0005-0000-0000-000045550000}"/>
    <cellStyle name="40% - Accent1 5 2 2 2 2" xfId="1783" xr:uid="{00000000-0005-0000-0000-000046550000}"/>
    <cellStyle name="40% - Accent1 5 2 2 2 2 2" xfId="3398" xr:uid="{00000000-0005-0000-0000-000047550000}"/>
    <cellStyle name="40% - Accent1 5 2 2 2 2 2 2" xfId="6370" xr:uid="{00000000-0005-0000-0000-000048550000}"/>
    <cellStyle name="40% - Accent1 5 2 2 2 2 2 2 2" xfId="12020" xr:uid="{00000000-0005-0000-0000-000049550000}"/>
    <cellStyle name="40% - Accent1 5 2 2 2 2 2 2 2 2" xfId="23321" xr:uid="{00000000-0005-0000-0000-00004A550000}"/>
    <cellStyle name="40% - Accent1 5 2 2 2 2 2 2 2 2 2" xfId="45923" xr:uid="{00000000-0005-0000-0000-00004B550000}"/>
    <cellStyle name="40% - Accent1 5 2 2 2 2 2 2 2 3" xfId="34622" xr:uid="{00000000-0005-0000-0000-00004C550000}"/>
    <cellStyle name="40% - Accent1 5 2 2 2 2 2 2 3" xfId="17671" xr:uid="{00000000-0005-0000-0000-00004D550000}"/>
    <cellStyle name="40% - Accent1 5 2 2 2 2 2 2 3 2" xfId="40273" xr:uid="{00000000-0005-0000-0000-00004E550000}"/>
    <cellStyle name="40% - Accent1 5 2 2 2 2 2 2 4" xfId="28972" xr:uid="{00000000-0005-0000-0000-00004F550000}"/>
    <cellStyle name="40% - Accent1 5 2 2 2 2 2 3" xfId="9188" xr:uid="{00000000-0005-0000-0000-000050550000}"/>
    <cellStyle name="40% - Accent1 5 2 2 2 2 2 3 2" xfId="20489" xr:uid="{00000000-0005-0000-0000-000051550000}"/>
    <cellStyle name="40% - Accent1 5 2 2 2 2 2 3 2 2" xfId="43091" xr:uid="{00000000-0005-0000-0000-000052550000}"/>
    <cellStyle name="40% - Accent1 5 2 2 2 2 2 3 3" xfId="31790" xr:uid="{00000000-0005-0000-0000-000053550000}"/>
    <cellStyle name="40% - Accent1 5 2 2 2 2 2 4" xfId="14839" xr:uid="{00000000-0005-0000-0000-000054550000}"/>
    <cellStyle name="40% - Accent1 5 2 2 2 2 2 4 2" xfId="37441" xr:uid="{00000000-0005-0000-0000-000055550000}"/>
    <cellStyle name="40% - Accent1 5 2 2 2 2 2 5" xfId="26140" xr:uid="{00000000-0005-0000-0000-000056550000}"/>
    <cellStyle name="40% - Accent1 5 2 2 2 2 3" xfId="5136" xr:uid="{00000000-0005-0000-0000-000057550000}"/>
    <cellStyle name="40% - Accent1 5 2 2 2 2 3 2" xfId="10786" xr:uid="{00000000-0005-0000-0000-000058550000}"/>
    <cellStyle name="40% - Accent1 5 2 2 2 2 3 2 2" xfId="22087" xr:uid="{00000000-0005-0000-0000-000059550000}"/>
    <cellStyle name="40% - Accent1 5 2 2 2 2 3 2 2 2" xfId="44689" xr:uid="{00000000-0005-0000-0000-00005A550000}"/>
    <cellStyle name="40% - Accent1 5 2 2 2 2 3 2 3" xfId="33388" xr:uid="{00000000-0005-0000-0000-00005B550000}"/>
    <cellStyle name="40% - Accent1 5 2 2 2 2 3 3" xfId="16437" xr:uid="{00000000-0005-0000-0000-00005C550000}"/>
    <cellStyle name="40% - Accent1 5 2 2 2 2 3 3 2" xfId="39039" xr:uid="{00000000-0005-0000-0000-00005D550000}"/>
    <cellStyle name="40% - Accent1 5 2 2 2 2 3 4" xfId="27738" xr:uid="{00000000-0005-0000-0000-00005E550000}"/>
    <cellStyle name="40% - Accent1 5 2 2 2 2 4" xfId="7639" xr:uid="{00000000-0005-0000-0000-00005F550000}"/>
    <cellStyle name="40% - Accent1 5 2 2 2 2 4 2" xfId="18940" xr:uid="{00000000-0005-0000-0000-000060550000}"/>
    <cellStyle name="40% - Accent1 5 2 2 2 2 4 2 2" xfId="41542" xr:uid="{00000000-0005-0000-0000-000061550000}"/>
    <cellStyle name="40% - Accent1 5 2 2 2 2 4 3" xfId="30241" xr:uid="{00000000-0005-0000-0000-000062550000}"/>
    <cellStyle name="40% - Accent1 5 2 2 2 2 5" xfId="13290" xr:uid="{00000000-0005-0000-0000-000063550000}"/>
    <cellStyle name="40% - Accent1 5 2 2 2 2 5 2" xfId="35892" xr:uid="{00000000-0005-0000-0000-000064550000}"/>
    <cellStyle name="40% - Accent1 5 2 2 2 2 6" xfId="24591" xr:uid="{00000000-0005-0000-0000-000065550000}"/>
    <cellStyle name="40% - Accent1 5 2 2 2 3" xfId="2727" xr:uid="{00000000-0005-0000-0000-000066550000}"/>
    <cellStyle name="40% - Accent1 5 2 2 2 3 2" xfId="5746" xr:uid="{00000000-0005-0000-0000-000067550000}"/>
    <cellStyle name="40% - Accent1 5 2 2 2 3 2 2" xfId="11396" xr:uid="{00000000-0005-0000-0000-000068550000}"/>
    <cellStyle name="40% - Accent1 5 2 2 2 3 2 2 2" xfId="22697" xr:uid="{00000000-0005-0000-0000-000069550000}"/>
    <cellStyle name="40% - Accent1 5 2 2 2 3 2 2 2 2" xfId="45299" xr:uid="{00000000-0005-0000-0000-00006A550000}"/>
    <cellStyle name="40% - Accent1 5 2 2 2 3 2 2 3" xfId="33998" xr:uid="{00000000-0005-0000-0000-00006B550000}"/>
    <cellStyle name="40% - Accent1 5 2 2 2 3 2 3" xfId="17047" xr:uid="{00000000-0005-0000-0000-00006C550000}"/>
    <cellStyle name="40% - Accent1 5 2 2 2 3 2 3 2" xfId="39649" xr:uid="{00000000-0005-0000-0000-00006D550000}"/>
    <cellStyle name="40% - Accent1 5 2 2 2 3 2 4" xfId="28348" xr:uid="{00000000-0005-0000-0000-00006E550000}"/>
    <cellStyle name="40% - Accent1 5 2 2 2 3 3" xfId="8563" xr:uid="{00000000-0005-0000-0000-00006F550000}"/>
    <cellStyle name="40% - Accent1 5 2 2 2 3 3 2" xfId="19864" xr:uid="{00000000-0005-0000-0000-000070550000}"/>
    <cellStyle name="40% - Accent1 5 2 2 2 3 3 2 2" xfId="42466" xr:uid="{00000000-0005-0000-0000-000071550000}"/>
    <cellStyle name="40% - Accent1 5 2 2 2 3 3 3" xfId="31165" xr:uid="{00000000-0005-0000-0000-000072550000}"/>
    <cellStyle name="40% - Accent1 5 2 2 2 3 4" xfId="14214" xr:uid="{00000000-0005-0000-0000-000073550000}"/>
    <cellStyle name="40% - Accent1 5 2 2 2 3 4 2" xfId="36816" xr:uid="{00000000-0005-0000-0000-000074550000}"/>
    <cellStyle name="40% - Accent1 5 2 2 2 3 5" xfId="25515" xr:uid="{00000000-0005-0000-0000-000075550000}"/>
    <cellStyle name="40% - Accent1 5 2 2 2 4" xfId="4512" xr:uid="{00000000-0005-0000-0000-000076550000}"/>
    <cellStyle name="40% - Accent1 5 2 2 2 4 2" xfId="10162" xr:uid="{00000000-0005-0000-0000-000077550000}"/>
    <cellStyle name="40% - Accent1 5 2 2 2 4 2 2" xfId="21463" xr:uid="{00000000-0005-0000-0000-000078550000}"/>
    <cellStyle name="40% - Accent1 5 2 2 2 4 2 2 2" xfId="44065" xr:uid="{00000000-0005-0000-0000-000079550000}"/>
    <cellStyle name="40% - Accent1 5 2 2 2 4 2 3" xfId="32764" xr:uid="{00000000-0005-0000-0000-00007A550000}"/>
    <cellStyle name="40% - Accent1 5 2 2 2 4 3" xfId="15813" xr:uid="{00000000-0005-0000-0000-00007B550000}"/>
    <cellStyle name="40% - Accent1 5 2 2 2 4 3 2" xfId="38415" xr:uid="{00000000-0005-0000-0000-00007C550000}"/>
    <cellStyle name="40% - Accent1 5 2 2 2 4 4" xfId="27114" xr:uid="{00000000-0005-0000-0000-00007D550000}"/>
    <cellStyle name="40% - Accent1 5 2 2 2 5" xfId="7308" xr:uid="{00000000-0005-0000-0000-00007E550000}"/>
    <cellStyle name="40% - Accent1 5 2 2 2 5 2" xfId="18609" xr:uid="{00000000-0005-0000-0000-00007F550000}"/>
    <cellStyle name="40% - Accent1 5 2 2 2 5 2 2" xfId="41211" xr:uid="{00000000-0005-0000-0000-000080550000}"/>
    <cellStyle name="40% - Accent1 5 2 2 2 5 3" xfId="29910" xr:uid="{00000000-0005-0000-0000-000081550000}"/>
    <cellStyle name="40% - Accent1 5 2 2 2 6" xfId="12959" xr:uid="{00000000-0005-0000-0000-000082550000}"/>
    <cellStyle name="40% - Accent1 5 2 2 2 6 2" xfId="35561" xr:uid="{00000000-0005-0000-0000-000083550000}"/>
    <cellStyle name="40% - Accent1 5 2 2 2 7" xfId="24260" xr:uid="{00000000-0005-0000-0000-000084550000}"/>
    <cellStyle name="40% - Accent1 5 2 2 3" xfId="1027" xr:uid="{00000000-0005-0000-0000-000085550000}"/>
    <cellStyle name="40% - Accent1 5 2 2 3 2" xfId="3090" xr:uid="{00000000-0005-0000-0000-000086550000}"/>
    <cellStyle name="40% - Accent1 5 2 2 3 2 2" xfId="6062" xr:uid="{00000000-0005-0000-0000-000087550000}"/>
    <cellStyle name="40% - Accent1 5 2 2 3 2 2 2" xfId="11712" xr:uid="{00000000-0005-0000-0000-000088550000}"/>
    <cellStyle name="40% - Accent1 5 2 2 3 2 2 2 2" xfId="23013" xr:uid="{00000000-0005-0000-0000-000089550000}"/>
    <cellStyle name="40% - Accent1 5 2 2 3 2 2 2 2 2" xfId="45615" xr:uid="{00000000-0005-0000-0000-00008A550000}"/>
    <cellStyle name="40% - Accent1 5 2 2 3 2 2 2 3" xfId="34314" xr:uid="{00000000-0005-0000-0000-00008B550000}"/>
    <cellStyle name="40% - Accent1 5 2 2 3 2 2 3" xfId="17363" xr:uid="{00000000-0005-0000-0000-00008C550000}"/>
    <cellStyle name="40% - Accent1 5 2 2 3 2 2 3 2" xfId="39965" xr:uid="{00000000-0005-0000-0000-00008D550000}"/>
    <cellStyle name="40% - Accent1 5 2 2 3 2 2 4" xfId="28664" xr:uid="{00000000-0005-0000-0000-00008E550000}"/>
    <cellStyle name="40% - Accent1 5 2 2 3 2 3" xfId="8880" xr:uid="{00000000-0005-0000-0000-00008F550000}"/>
    <cellStyle name="40% - Accent1 5 2 2 3 2 3 2" xfId="20181" xr:uid="{00000000-0005-0000-0000-000090550000}"/>
    <cellStyle name="40% - Accent1 5 2 2 3 2 3 2 2" xfId="42783" xr:uid="{00000000-0005-0000-0000-000091550000}"/>
    <cellStyle name="40% - Accent1 5 2 2 3 2 3 3" xfId="31482" xr:uid="{00000000-0005-0000-0000-000092550000}"/>
    <cellStyle name="40% - Accent1 5 2 2 3 2 4" xfId="14531" xr:uid="{00000000-0005-0000-0000-000093550000}"/>
    <cellStyle name="40% - Accent1 5 2 2 3 2 4 2" xfId="37133" xr:uid="{00000000-0005-0000-0000-000094550000}"/>
    <cellStyle name="40% - Accent1 5 2 2 3 2 5" xfId="25832" xr:uid="{00000000-0005-0000-0000-000095550000}"/>
    <cellStyle name="40% - Accent1 5 2 2 3 3" xfId="4828" xr:uid="{00000000-0005-0000-0000-000096550000}"/>
    <cellStyle name="40% - Accent1 5 2 2 3 3 2" xfId="10478" xr:uid="{00000000-0005-0000-0000-000097550000}"/>
    <cellStyle name="40% - Accent1 5 2 2 3 3 2 2" xfId="21779" xr:uid="{00000000-0005-0000-0000-000098550000}"/>
    <cellStyle name="40% - Accent1 5 2 2 3 3 2 2 2" xfId="44381" xr:uid="{00000000-0005-0000-0000-000099550000}"/>
    <cellStyle name="40% - Accent1 5 2 2 3 3 2 3" xfId="33080" xr:uid="{00000000-0005-0000-0000-00009A550000}"/>
    <cellStyle name="40% - Accent1 5 2 2 3 3 3" xfId="16129" xr:uid="{00000000-0005-0000-0000-00009B550000}"/>
    <cellStyle name="40% - Accent1 5 2 2 3 3 3 2" xfId="38731" xr:uid="{00000000-0005-0000-0000-00009C550000}"/>
    <cellStyle name="40% - Accent1 5 2 2 3 3 4" xfId="27430" xr:uid="{00000000-0005-0000-0000-00009D550000}"/>
    <cellStyle name="40% - Accent1 5 2 2 3 4" xfId="7015" xr:uid="{00000000-0005-0000-0000-00009E550000}"/>
    <cellStyle name="40% - Accent1 5 2 2 3 4 2" xfId="18316" xr:uid="{00000000-0005-0000-0000-00009F550000}"/>
    <cellStyle name="40% - Accent1 5 2 2 3 4 2 2" xfId="40918" xr:uid="{00000000-0005-0000-0000-0000A0550000}"/>
    <cellStyle name="40% - Accent1 5 2 2 3 4 3" xfId="29617" xr:uid="{00000000-0005-0000-0000-0000A1550000}"/>
    <cellStyle name="40% - Accent1 5 2 2 3 5" xfId="12666" xr:uid="{00000000-0005-0000-0000-0000A2550000}"/>
    <cellStyle name="40% - Accent1 5 2 2 3 5 2" xfId="35268" xr:uid="{00000000-0005-0000-0000-0000A3550000}"/>
    <cellStyle name="40% - Accent1 5 2 2 3 6" xfId="23967" xr:uid="{00000000-0005-0000-0000-0000A4550000}"/>
    <cellStyle name="40% - Accent1 5 2 2 4" xfId="1782" xr:uid="{00000000-0005-0000-0000-0000A5550000}"/>
    <cellStyle name="40% - Accent1 5 2 2 4 2" xfId="3662" xr:uid="{00000000-0005-0000-0000-0000A6550000}"/>
    <cellStyle name="40% - Accent1 5 2 2 4 2 2" xfId="9372" xr:uid="{00000000-0005-0000-0000-0000A7550000}"/>
    <cellStyle name="40% - Accent1 5 2 2 4 2 2 2" xfId="20673" xr:uid="{00000000-0005-0000-0000-0000A8550000}"/>
    <cellStyle name="40% - Accent1 5 2 2 4 2 2 2 2" xfId="43275" xr:uid="{00000000-0005-0000-0000-0000A9550000}"/>
    <cellStyle name="40% - Accent1 5 2 2 4 2 2 3" xfId="31974" xr:uid="{00000000-0005-0000-0000-0000AA550000}"/>
    <cellStyle name="40% - Accent1 5 2 2 4 2 3" xfId="15023" xr:uid="{00000000-0005-0000-0000-0000AB550000}"/>
    <cellStyle name="40% - Accent1 5 2 2 4 2 3 2" xfId="37625" xr:uid="{00000000-0005-0000-0000-0000AC550000}"/>
    <cellStyle name="40% - Accent1 5 2 2 4 2 4" xfId="26324" xr:uid="{00000000-0005-0000-0000-0000AD550000}"/>
    <cellStyle name="40% - Accent1 5 2 2 4 3" xfId="5438" xr:uid="{00000000-0005-0000-0000-0000AE550000}"/>
    <cellStyle name="40% - Accent1 5 2 2 4 3 2" xfId="11088" xr:uid="{00000000-0005-0000-0000-0000AF550000}"/>
    <cellStyle name="40% - Accent1 5 2 2 4 3 2 2" xfId="22389" xr:uid="{00000000-0005-0000-0000-0000B0550000}"/>
    <cellStyle name="40% - Accent1 5 2 2 4 3 2 2 2" xfId="44991" xr:uid="{00000000-0005-0000-0000-0000B1550000}"/>
    <cellStyle name="40% - Accent1 5 2 2 4 3 2 3" xfId="33690" xr:uid="{00000000-0005-0000-0000-0000B2550000}"/>
    <cellStyle name="40% - Accent1 5 2 2 4 3 3" xfId="16739" xr:uid="{00000000-0005-0000-0000-0000B3550000}"/>
    <cellStyle name="40% - Accent1 5 2 2 4 3 3 2" xfId="39341" xr:uid="{00000000-0005-0000-0000-0000B4550000}"/>
    <cellStyle name="40% - Accent1 5 2 2 4 3 4" xfId="28040" xr:uid="{00000000-0005-0000-0000-0000B5550000}"/>
    <cellStyle name="40% - Accent1 5 2 2 4 4" xfId="7638" xr:uid="{00000000-0005-0000-0000-0000B6550000}"/>
    <cellStyle name="40% - Accent1 5 2 2 4 4 2" xfId="18939" xr:uid="{00000000-0005-0000-0000-0000B7550000}"/>
    <cellStyle name="40% - Accent1 5 2 2 4 4 2 2" xfId="41541" xr:uid="{00000000-0005-0000-0000-0000B8550000}"/>
    <cellStyle name="40% - Accent1 5 2 2 4 4 3" xfId="30240" xr:uid="{00000000-0005-0000-0000-0000B9550000}"/>
    <cellStyle name="40% - Accent1 5 2 2 4 5" xfId="13289" xr:uid="{00000000-0005-0000-0000-0000BA550000}"/>
    <cellStyle name="40% - Accent1 5 2 2 4 5 2" xfId="35891" xr:uid="{00000000-0005-0000-0000-0000BB550000}"/>
    <cellStyle name="40% - Accent1 5 2 2 4 6" xfId="24590" xr:uid="{00000000-0005-0000-0000-0000BC550000}"/>
    <cellStyle name="40% - Accent1 5 2 2 5" xfId="2419" xr:uid="{00000000-0005-0000-0000-0000BD550000}"/>
    <cellStyle name="40% - Accent1 5 2 2 5 2" xfId="8255" xr:uid="{00000000-0005-0000-0000-0000BE550000}"/>
    <cellStyle name="40% - Accent1 5 2 2 5 2 2" xfId="19556" xr:uid="{00000000-0005-0000-0000-0000BF550000}"/>
    <cellStyle name="40% - Accent1 5 2 2 5 2 2 2" xfId="42158" xr:uid="{00000000-0005-0000-0000-0000C0550000}"/>
    <cellStyle name="40% - Accent1 5 2 2 5 2 3" xfId="30857" xr:uid="{00000000-0005-0000-0000-0000C1550000}"/>
    <cellStyle name="40% - Accent1 5 2 2 5 3" xfId="13906" xr:uid="{00000000-0005-0000-0000-0000C2550000}"/>
    <cellStyle name="40% - Accent1 5 2 2 5 3 2" xfId="36508" xr:uid="{00000000-0005-0000-0000-0000C3550000}"/>
    <cellStyle name="40% - Accent1 5 2 2 5 4" xfId="25207" xr:uid="{00000000-0005-0000-0000-0000C4550000}"/>
    <cellStyle name="40% - Accent1 5 2 2 6" xfId="4204" xr:uid="{00000000-0005-0000-0000-0000C5550000}"/>
    <cellStyle name="40% - Accent1 5 2 2 6 2" xfId="9854" xr:uid="{00000000-0005-0000-0000-0000C6550000}"/>
    <cellStyle name="40% - Accent1 5 2 2 6 2 2" xfId="21155" xr:uid="{00000000-0005-0000-0000-0000C7550000}"/>
    <cellStyle name="40% - Accent1 5 2 2 6 2 2 2" xfId="43757" xr:uid="{00000000-0005-0000-0000-0000C8550000}"/>
    <cellStyle name="40% - Accent1 5 2 2 6 2 3" xfId="32456" xr:uid="{00000000-0005-0000-0000-0000C9550000}"/>
    <cellStyle name="40% - Accent1 5 2 2 6 3" xfId="15505" xr:uid="{00000000-0005-0000-0000-0000CA550000}"/>
    <cellStyle name="40% - Accent1 5 2 2 6 3 2" xfId="38107" xr:uid="{00000000-0005-0000-0000-0000CB550000}"/>
    <cellStyle name="40% - Accent1 5 2 2 6 4" xfId="26806" xr:uid="{00000000-0005-0000-0000-0000CC550000}"/>
    <cellStyle name="40% - Accent1 5 2 2 7" xfId="6684" xr:uid="{00000000-0005-0000-0000-0000CD550000}"/>
    <cellStyle name="40% - Accent1 5 2 2 7 2" xfId="17985" xr:uid="{00000000-0005-0000-0000-0000CE550000}"/>
    <cellStyle name="40% - Accent1 5 2 2 7 2 2" xfId="40587" xr:uid="{00000000-0005-0000-0000-0000CF550000}"/>
    <cellStyle name="40% - Accent1 5 2 2 7 3" xfId="29286" xr:uid="{00000000-0005-0000-0000-0000D0550000}"/>
    <cellStyle name="40% - Accent1 5 2 2 8" xfId="12335" xr:uid="{00000000-0005-0000-0000-0000D1550000}"/>
    <cellStyle name="40% - Accent1 5 2 2 8 2" xfId="34937" xr:uid="{00000000-0005-0000-0000-0000D2550000}"/>
    <cellStyle name="40% - Accent1 5 2 2 9" xfId="23636" xr:uid="{00000000-0005-0000-0000-0000D3550000}"/>
    <cellStyle name="40% - Accent1 5 2 3" xfId="1191" xr:uid="{00000000-0005-0000-0000-0000D4550000}"/>
    <cellStyle name="40% - Accent1 5 2 3 2" xfId="1784" xr:uid="{00000000-0005-0000-0000-0000D5550000}"/>
    <cellStyle name="40% - Accent1 5 2 3 2 2" xfId="3259" xr:uid="{00000000-0005-0000-0000-0000D6550000}"/>
    <cellStyle name="40% - Accent1 5 2 3 2 2 2" xfId="6231" xr:uid="{00000000-0005-0000-0000-0000D7550000}"/>
    <cellStyle name="40% - Accent1 5 2 3 2 2 2 2" xfId="11881" xr:uid="{00000000-0005-0000-0000-0000D8550000}"/>
    <cellStyle name="40% - Accent1 5 2 3 2 2 2 2 2" xfId="23182" xr:uid="{00000000-0005-0000-0000-0000D9550000}"/>
    <cellStyle name="40% - Accent1 5 2 3 2 2 2 2 2 2" xfId="45784" xr:uid="{00000000-0005-0000-0000-0000DA550000}"/>
    <cellStyle name="40% - Accent1 5 2 3 2 2 2 2 3" xfId="34483" xr:uid="{00000000-0005-0000-0000-0000DB550000}"/>
    <cellStyle name="40% - Accent1 5 2 3 2 2 2 3" xfId="17532" xr:uid="{00000000-0005-0000-0000-0000DC550000}"/>
    <cellStyle name="40% - Accent1 5 2 3 2 2 2 3 2" xfId="40134" xr:uid="{00000000-0005-0000-0000-0000DD550000}"/>
    <cellStyle name="40% - Accent1 5 2 3 2 2 2 4" xfId="28833" xr:uid="{00000000-0005-0000-0000-0000DE550000}"/>
    <cellStyle name="40% - Accent1 5 2 3 2 2 3" xfId="9049" xr:uid="{00000000-0005-0000-0000-0000DF550000}"/>
    <cellStyle name="40% - Accent1 5 2 3 2 2 3 2" xfId="20350" xr:uid="{00000000-0005-0000-0000-0000E0550000}"/>
    <cellStyle name="40% - Accent1 5 2 3 2 2 3 2 2" xfId="42952" xr:uid="{00000000-0005-0000-0000-0000E1550000}"/>
    <cellStyle name="40% - Accent1 5 2 3 2 2 3 3" xfId="31651" xr:uid="{00000000-0005-0000-0000-0000E2550000}"/>
    <cellStyle name="40% - Accent1 5 2 3 2 2 4" xfId="14700" xr:uid="{00000000-0005-0000-0000-0000E3550000}"/>
    <cellStyle name="40% - Accent1 5 2 3 2 2 4 2" xfId="37302" xr:uid="{00000000-0005-0000-0000-0000E4550000}"/>
    <cellStyle name="40% - Accent1 5 2 3 2 2 5" xfId="26001" xr:uid="{00000000-0005-0000-0000-0000E5550000}"/>
    <cellStyle name="40% - Accent1 5 2 3 2 3" xfId="4997" xr:uid="{00000000-0005-0000-0000-0000E6550000}"/>
    <cellStyle name="40% - Accent1 5 2 3 2 3 2" xfId="10647" xr:uid="{00000000-0005-0000-0000-0000E7550000}"/>
    <cellStyle name="40% - Accent1 5 2 3 2 3 2 2" xfId="21948" xr:uid="{00000000-0005-0000-0000-0000E8550000}"/>
    <cellStyle name="40% - Accent1 5 2 3 2 3 2 2 2" xfId="44550" xr:uid="{00000000-0005-0000-0000-0000E9550000}"/>
    <cellStyle name="40% - Accent1 5 2 3 2 3 2 3" xfId="33249" xr:uid="{00000000-0005-0000-0000-0000EA550000}"/>
    <cellStyle name="40% - Accent1 5 2 3 2 3 3" xfId="16298" xr:uid="{00000000-0005-0000-0000-0000EB550000}"/>
    <cellStyle name="40% - Accent1 5 2 3 2 3 3 2" xfId="38900" xr:uid="{00000000-0005-0000-0000-0000EC550000}"/>
    <cellStyle name="40% - Accent1 5 2 3 2 3 4" xfId="27599" xr:uid="{00000000-0005-0000-0000-0000ED550000}"/>
    <cellStyle name="40% - Accent1 5 2 3 2 4" xfId="7640" xr:uid="{00000000-0005-0000-0000-0000EE550000}"/>
    <cellStyle name="40% - Accent1 5 2 3 2 4 2" xfId="18941" xr:uid="{00000000-0005-0000-0000-0000EF550000}"/>
    <cellStyle name="40% - Accent1 5 2 3 2 4 2 2" xfId="41543" xr:uid="{00000000-0005-0000-0000-0000F0550000}"/>
    <cellStyle name="40% - Accent1 5 2 3 2 4 3" xfId="30242" xr:uid="{00000000-0005-0000-0000-0000F1550000}"/>
    <cellStyle name="40% - Accent1 5 2 3 2 5" xfId="13291" xr:uid="{00000000-0005-0000-0000-0000F2550000}"/>
    <cellStyle name="40% - Accent1 5 2 3 2 5 2" xfId="35893" xr:uid="{00000000-0005-0000-0000-0000F3550000}"/>
    <cellStyle name="40% - Accent1 5 2 3 2 6" xfId="24592" xr:uid="{00000000-0005-0000-0000-0000F4550000}"/>
    <cellStyle name="40% - Accent1 5 2 3 3" xfId="2588" xr:uid="{00000000-0005-0000-0000-0000F5550000}"/>
    <cellStyle name="40% - Accent1 5 2 3 3 2" xfId="5607" xr:uid="{00000000-0005-0000-0000-0000F6550000}"/>
    <cellStyle name="40% - Accent1 5 2 3 3 2 2" xfId="11257" xr:uid="{00000000-0005-0000-0000-0000F7550000}"/>
    <cellStyle name="40% - Accent1 5 2 3 3 2 2 2" xfId="22558" xr:uid="{00000000-0005-0000-0000-0000F8550000}"/>
    <cellStyle name="40% - Accent1 5 2 3 3 2 2 2 2" xfId="45160" xr:uid="{00000000-0005-0000-0000-0000F9550000}"/>
    <cellStyle name="40% - Accent1 5 2 3 3 2 2 3" xfId="33859" xr:uid="{00000000-0005-0000-0000-0000FA550000}"/>
    <cellStyle name="40% - Accent1 5 2 3 3 2 3" xfId="16908" xr:uid="{00000000-0005-0000-0000-0000FB550000}"/>
    <cellStyle name="40% - Accent1 5 2 3 3 2 3 2" xfId="39510" xr:uid="{00000000-0005-0000-0000-0000FC550000}"/>
    <cellStyle name="40% - Accent1 5 2 3 3 2 4" xfId="28209" xr:uid="{00000000-0005-0000-0000-0000FD550000}"/>
    <cellStyle name="40% - Accent1 5 2 3 3 3" xfId="8424" xr:uid="{00000000-0005-0000-0000-0000FE550000}"/>
    <cellStyle name="40% - Accent1 5 2 3 3 3 2" xfId="19725" xr:uid="{00000000-0005-0000-0000-0000FF550000}"/>
    <cellStyle name="40% - Accent1 5 2 3 3 3 2 2" xfId="42327" xr:uid="{00000000-0005-0000-0000-000000560000}"/>
    <cellStyle name="40% - Accent1 5 2 3 3 3 3" xfId="31026" xr:uid="{00000000-0005-0000-0000-000001560000}"/>
    <cellStyle name="40% - Accent1 5 2 3 3 4" xfId="14075" xr:uid="{00000000-0005-0000-0000-000002560000}"/>
    <cellStyle name="40% - Accent1 5 2 3 3 4 2" xfId="36677" xr:uid="{00000000-0005-0000-0000-000003560000}"/>
    <cellStyle name="40% - Accent1 5 2 3 3 5" xfId="25376" xr:uid="{00000000-0005-0000-0000-000004560000}"/>
    <cellStyle name="40% - Accent1 5 2 3 4" xfId="4373" xr:uid="{00000000-0005-0000-0000-000005560000}"/>
    <cellStyle name="40% - Accent1 5 2 3 4 2" xfId="10023" xr:uid="{00000000-0005-0000-0000-000006560000}"/>
    <cellStyle name="40% - Accent1 5 2 3 4 2 2" xfId="21324" xr:uid="{00000000-0005-0000-0000-000007560000}"/>
    <cellStyle name="40% - Accent1 5 2 3 4 2 2 2" xfId="43926" xr:uid="{00000000-0005-0000-0000-000008560000}"/>
    <cellStyle name="40% - Accent1 5 2 3 4 2 3" xfId="32625" xr:uid="{00000000-0005-0000-0000-000009560000}"/>
    <cellStyle name="40% - Accent1 5 2 3 4 3" xfId="15674" xr:uid="{00000000-0005-0000-0000-00000A560000}"/>
    <cellStyle name="40% - Accent1 5 2 3 4 3 2" xfId="38276" xr:uid="{00000000-0005-0000-0000-00000B560000}"/>
    <cellStyle name="40% - Accent1 5 2 3 4 4" xfId="26975" xr:uid="{00000000-0005-0000-0000-00000C560000}"/>
    <cellStyle name="40% - Accent1 5 2 3 5" xfId="7170" xr:uid="{00000000-0005-0000-0000-00000D560000}"/>
    <cellStyle name="40% - Accent1 5 2 3 5 2" xfId="18471" xr:uid="{00000000-0005-0000-0000-00000E560000}"/>
    <cellStyle name="40% - Accent1 5 2 3 5 2 2" xfId="41073" xr:uid="{00000000-0005-0000-0000-00000F560000}"/>
    <cellStyle name="40% - Accent1 5 2 3 5 3" xfId="29772" xr:uid="{00000000-0005-0000-0000-000010560000}"/>
    <cellStyle name="40% - Accent1 5 2 3 6" xfId="12821" xr:uid="{00000000-0005-0000-0000-000011560000}"/>
    <cellStyle name="40% - Accent1 5 2 3 6 2" xfId="35423" xr:uid="{00000000-0005-0000-0000-000012560000}"/>
    <cellStyle name="40% - Accent1 5 2 3 7" xfId="24122" xr:uid="{00000000-0005-0000-0000-000013560000}"/>
    <cellStyle name="40% - Accent1 5 2 4" xfId="882" xr:uid="{00000000-0005-0000-0000-000014560000}"/>
    <cellStyle name="40% - Accent1 5 2 4 2" xfId="2952" xr:uid="{00000000-0005-0000-0000-000015560000}"/>
    <cellStyle name="40% - Accent1 5 2 4 2 2" xfId="5924" xr:uid="{00000000-0005-0000-0000-000016560000}"/>
    <cellStyle name="40% - Accent1 5 2 4 2 2 2" xfId="11574" xr:uid="{00000000-0005-0000-0000-000017560000}"/>
    <cellStyle name="40% - Accent1 5 2 4 2 2 2 2" xfId="22875" xr:uid="{00000000-0005-0000-0000-000018560000}"/>
    <cellStyle name="40% - Accent1 5 2 4 2 2 2 2 2" xfId="45477" xr:uid="{00000000-0005-0000-0000-000019560000}"/>
    <cellStyle name="40% - Accent1 5 2 4 2 2 2 3" xfId="34176" xr:uid="{00000000-0005-0000-0000-00001A560000}"/>
    <cellStyle name="40% - Accent1 5 2 4 2 2 3" xfId="17225" xr:uid="{00000000-0005-0000-0000-00001B560000}"/>
    <cellStyle name="40% - Accent1 5 2 4 2 2 3 2" xfId="39827" xr:uid="{00000000-0005-0000-0000-00001C560000}"/>
    <cellStyle name="40% - Accent1 5 2 4 2 2 4" xfId="28526" xr:uid="{00000000-0005-0000-0000-00001D560000}"/>
    <cellStyle name="40% - Accent1 5 2 4 2 3" xfId="8742" xr:uid="{00000000-0005-0000-0000-00001E560000}"/>
    <cellStyle name="40% - Accent1 5 2 4 2 3 2" xfId="20043" xr:uid="{00000000-0005-0000-0000-00001F560000}"/>
    <cellStyle name="40% - Accent1 5 2 4 2 3 2 2" xfId="42645" xr:uid="{00000000-0005-0000-0000-000020560000}"/>
    <cellStyle name="40% - Accent1 5 2 4 2 3 3" xfId="31344" xr:uid="{00000000-0005-0000-0000-000021560000}"/>
    <cellStyle name="40% - Accent1 5 2 4 2 4" xfId="14393" xr:uid="{00000000-0005-0000-0000-000022560000}"/>
    <cellStyle name="40% - Accent1 5 2 4 2 4 2" xfId="36995" xr:uid="{00000000-0005-0000-0000-000023560000}"/>
    <cellStyle name="40% - Accent1 5 2 4 2 5" xfId="25694" xr:uid="{00000000-0005-0000-0000-000024560000}"/>
    <cellStyle name="40% - Accent1 5 2 4 3" xfId="4690" xr:uid="{00000000-0005-0000-0000-000025560000}"/>
    <cellStyle name="40% - Accent1 5 2 4 3 2" xfId="10340" xr:uid="{00000000-0005-0000-0000-000026560000}"/>
    <cellStyle name="40% - Accent1 5 2 4 3 2 2" xfId="21641" xr:uid="{00000000-0005-0000-0000-000027560000}"/>
    <cellStyle name="40% - Accent1 5 2 4 3 2 2 2" xfId="44243" xr:uid="{00000000-0005-0000-0000-000028560000}"/>
    <cellStyle name="40% - Accent1 5 2 4 3 2 3" xfId="32942" xr:uid="{00000000-0005-0000-0000-000029560000}"/>
    <cellStyle name="40% - Accent1 5 2 4 3 3" xfId="15991" xr:uid="{00000000-0005-0000-0000-00002A560000}"/>
    <cellStyle name="40% - Accent1 5 2 4 3 3 2" xfId="38593" xr:uid="{00000000-0005-0000-0000-00002B560000}"/>
    <cellStyle name="40% - Accent1 5 2 4 3 4" xfId="27292" xr:uid="{00000000-0005-0000-0000-00002C560000}"/>
    <cellStyle name="40% - Accent1 5 2 4 4" xfId="6877" xr:uid="{00000000-0005-0000-0000-00002D560000}"/>
    <cellStyle name="40% - Accent1 5 2 4 4 2" xfId="18178" xr:uid="{00000000-0005-0000-0000-00002E560000}"/>
    <cellStyle name="40% - Accent1 5 2 4 4 2 2" xfId="40780" xr:uid="{00000000-0005-0000-0000-00002F560000}"/>
    <cellStyle name="40% - Accent1 5 2 4 4 3" xfId="29479" xr:uid="{00000000-0005-0000-0000-000030560000}"/>
    <cellStyle name="40% - Accent1 5 2 4 5" xfId="12528" xr:uid="{00000000-0005-0000-0000-000031560000}"/>
    <cellStyle name="40% - Accent1 5 2 4 5 2" xfId="35130" xr:uid="{00000000-0005-0000-0000-000032560000}"/>
    <cellStyle name="40% - Accent1 5 2 4 6" xfId="23829" xr:uid="{00000000-0005-0000-0000-000033560000}"/>
    <cellStyle name="40% - Accent1 5 2 5" xfId="1781" xr:uid="{00000000-0005-0000-0000-000034560000}"/>
    <cellStyle name="40% - Accent1 5 2 5 2" xfId="3661" xr:uid="{00000000-0005-0000-0000-000035560000}"/>
    <cellStyle name="40% - Accent1 5 2 5 2 2" xfId="9371" xr:uid="{00000000-0005-0000-0000-000036560000}"/>
    <cellStyle name="40% - Accent1 5 2 5 2 2 2" xfId="20672" xr:uid="{00000000-0005-0000-0000-000037560000}"/>
    <cellStyle name="40% - Accent1 5 2 5 2 2 2 2" xfId="43274" xr:uid="{00000000-0005-0000-0000-000038560000}"/>
    <cellStyle name="40% - Accent1 5 2 5 2 2 3" xfId="31973" xr:uid="{00000000-0005-0000-0000-000039560000}"/>
    <cellStyle name="40% - Accent1 5 2 5 2 3" xfId="15022" xr:uid="{00000000-0005-0000-0000-00003A560000}"/>
    <cellStyle name="40% - Accent1 5 2 5 2 3 2" xfId="37624" xr:uid="{00000000-0005-0000-0000-00003B560000}"/>
    <cellStyle name="40% - Accent1 5 2 5 2 4" xfId="26323" xr:uid="{00000000-0005-0000-0000-00003C560000}"/>
    <cellStyle name="40% - Accent1 5 2 5 3" xfId="5300" xr:uid="{00000000-0005-0000-0000-00003D560000}"/>
    <cellStyle name="40% - Accent1 5 2 5 3 2" xfId="10950" xr:uid="{00000000-0005-0000-0000-00003E560000}"/>
    <cellStyle name="40% - Accent1 5 2 5 3 2 2" xfId="22251" xr:uid="{00000000-0005-0000-0000-00003F560000}"/>
    <cellStyle name="40% - Accent1 5 2 5 3 2 2 2" xfId="44853" xr:uid="{00000000-0005-0000-0000-000040560000}"/>
    <cellStyle name="40% - Accent1 5 2 5 3 2 3" xfId="33552" xr:uid="{00000000-0005-0000-0000-000041560000}"/>
    <cellStyle name="40% - Accent1 5 2 5 3 3" xfId="16601" xr:uid="{00000000-0005-0000-0000-000042560000}"/>
    <cellStyle name="40% - Accent1 5 2 5 3 3 2" xfId="39203" xr:uid="{00000000-0005-0000-0000-000043560000}"/>
    <cellStyle name="40% - Accent1 5 2 5 3 4" xfId="27902" xr:uid="{00000000-0005-0000-0000-000044560000}"/>
    <cellStyle name="40% - Accent1 5 2 5 4" xfId="7637" xr:uid="{00000000-0005-0000-0000-000045560000}"/>
    <cellStyle name="40% - Accent1 5 2 5 4 2" xfId="18938" xr:uid="{00000000-0005-0000-0000-000046560000}"/>
    <cellStyle name="40% - Accent1 5 2 5 4 2 2" xfId="41540" xr:uid="{00000000-0005-0000-0000-000047560000}"/>
    <cellStyle name="40% - Accent1 5 2 5 4 3" xfId="30239" xr:uid="{00000000-0005-0000-0000-000048560000}"/>
    <cellStyle name="40% - Accent1 5 2 5 5" xfId="13288" xr:uid="{00000000-0005-0000-0000-000049560000}"/>
    <cellStyle name="40% - Accent1 5 2 5 5 2" xfId="35890" xr:uid="{00000000-0005-0000-0000-00004A560000}"/>
    <cellStyle name="40% - Accent1 5 2 5 6" xfId="24589" xr:uid="{00000000-0005-0000-0000-00004B560000}"/>
    <cellStyle name="40% - Accent1 5 2 6" xfId="2279" xr:uid="{00000000-0005-0000-0000-00004C560000}"/>
    <cellStyle name="40% - Accent1 5 2 6 2" xfId="8115" xr:uid="{00000000-0005-0000-0000-00004D560000}"/>
    <cellStyle name="40% - Accent1 5 2 6 2 2" xfId="19416" xr:uid="{00000000-0005-0000-0000-00004E560000}"/>
    <cellStyle name="40% - Accent1 5 2 6 2 2 2" xfId="42018" xr:uid="{00000000-0005-0000-0000-00004F560000}"/>
    <cellStyle name="40% - Accent1 5 2 6 2 3" xfId="30717" xr:uid="{00000000-0005-0000-0000-000050560000}"/>
    <cellStyle name="40% - Accent1 5 2 6 3" xfId="13766" xr:uid="{00000000-0005-0000-0000-000051560000}"/>
    <cellStyle name="40% - Accent1 5 2 6 3 2" xfId="36368" xr:uid="{00000000-0005-0000-0000-000052560000}"/>
    <cellStyle name="40% - Accent1 5 2 6 4" xfId="25067" xr:uid="{00000000-0005-0000-0000-000053560000}"/>
    <cellStyle name="40% - Accent1 5 2 7" xfId="4066" xr:uid="{00000000-0005-0000-0000-000054560000}"/>
    <cellStyle name="40% - Accent1 5 2 7 2" xfId="9716" xr:uid="{00000000-0005-0000-0000-000055560000}"/>
    <cellStyle name="40% - Accent1 5 2 7 2 2" xfId="21017" xr:uid="{00000000-0005-0000-0000-000056560000}"/>
    <cellStyle name="40% - Accent1 5 2 7 2 2 2" xfId="43619" xr:uid="{00000000-0005-0000-0000-000057560000}"/>
    <cellStyle name="40% - Accent1 5 2 7 2 3" xfId="32318" xr:uid="{00000000-0005-0000-0000-000058560000}"/>
    <cellStyle name="40% - Accent1 5 2 7 3" xfId="15367" xr:uid="{00000000-0005-0000-0000-000059560000}"/>
    <cellStyle name="40% - Accent1 5 2 7 3 2" xfId="37969" xr:uid="{00000000-0005-0000-0000-00005A560000}"/>
    <cellStyle name="40% - Accent1 5 2 7 4" xfId="26668" xr:uid="{00000000-0005-0000-0000-00005B560000}"/>
    <cellStyle name="40% - Accent1 5 2 8" xfId="6517" xr:uid="{00000000-0005-0000-0000-00005C560000}"/>
    <cellStyle name="40% - Accent1 5 2 8 2" xfId="17818" xr:uid="{00000000-0005-0000-0000-00005D560000}"/>
    <cellStyle name="40% - Accent1 5 2 8 2 2" xfId="40420" xr:uid="{00000000-0005-0000-0000-00005E560000}"/>
    <cellStyle name="40% - Accent1 5 2 8 3" xfId="29119" xr:uid="{00000000-0005-0000-0000-00005F560000}"/>
    <cellStyle name="40% - Accent1 5 2 9" xfId="12168" xr:uid="{00000000-0005-0000-0000-000060560000}"/>
    <cellStyle name="40% - Accent1 5 2 9 2" xfId="34770" xr:uid="{00000000-0005-0000-0000-000061560000}"/>
    <cellStyle name="40% - Accent1 5 3" xfId="522" xr:uid="{00000000-0005-0000-0000-000062560000}"/>
    <cellStyle name="40% - Accent1 5 3 2" xfId="1235" xr:uid="{00000000-0005-0000-0000-000063560000}"/>
    <cellStyle name="40% - Accent1 5 3 2 2" xfId="1786" xr:uid="{00000000-0005-0000-0000-000064560000}"/>
    <cellStyle name="40% - Accent1 5 3 2 2 2" xfId="3304" xr:uid="{00000000-0005-0000-0000-000065560000}"/>
    <cellStyle name="40% - Accent1 5 3 2 2 2 2" xfId="6276" xr:uid="{00000000-0005-0000-0000-000066560000}"/>
    <cellStyle name="40% - Accent1 5 3 2 2 2 2 2" xfId="11926" xr:uid="{00000000-0005-0000-0000-000067560000}"/>
    <cellStyle name="40% - Accent1 5 3 2 2 2 2 2 2" xfId="23227" xr:uid="{00000000-0005-0000-0000-000068560000}"/>
    <cellStyle name="40% - Accent1 5 3 2 2 2 2 2 2 2" xfId="45829" xr:uid="{00000000-0005-0000-0000-000069560000}"/>
    <cellStyle name="40% - Accent1 5 3 2 2 2 2 2 3" xfId="34528" xr:uid="{00000000-0005-0000-0000-00006A560000}"/>
    <cellStyle name="40% - Accent1 5 3 2 2 2 2 3" xfId="17577" xr:uid="{00000000-0005-0000-0000-00006B560000}"/>
    <cellStyle name="40% - Accent1 5 3 2 2 2 2 3 2" xfId="40179" xr:uid="{00000000-0005-0000-0000-00006C560000}"/>
    <cellStyle name="40% - Accent1 5 3 2 2 2 2 4" xfId="28878" xr:uid="{00000000-0005-0000-0000-00006D560000}"/>
    <cellStyle name="40% - Accent1 5 3 2 2 2 3" xfId="9094" xr:uid="{00000000-0005-0000-0000-00006E560000}"/>
    <cellStyle name="40% - Accent1 5 3 2 2 2 3 2" xfId="20395" xr:uid="{00000000-0005-0000-0000-00006F560000}"/>
    <cellStyle name="40% - Accent1 5 3 2 2 2 3 2 2" xfId="42997" xr:uid="{00000000-0005-0000-0000-000070560000}"/>
    <cellStyle name="40% - Accent1 5 3 2 2 2 3 3" xfId="31696" xr:uid="{00000000-0005-0000-0000-000071560000}"/>
    <cellStyle name="40% - Accent1 5 3 2 2 2 4" xfId="14745" xr:uid="{00000000-0005-0000-0000-000072560000}"/>
    <cellStyle name="40% - Accent1 5 3 2 2 2 4 2" xfId="37347" xr:uid="{00000000-0005-0000-0000-000073560000}"/>
    <cellStyle name="40% - Accent1 5 3 2 2 2 5" xfId="26046" xr:uid="{00000000-0005-0000-0000-000074560000}"/>
    <cellStyle name="40% - Accent1 5 3 2 2 3" xfId="5042" xr:uid="{00000000-0005-0000-0000-000075560000}"/>
    <cellStyle name="40% - Accent1 5 3 2 2 3 2" xfId="10692" xr:uid="{00000000-0005-0000-0000-000076560000}"/>
    <cellStyle name="40% - Accent1 5 3 2 2 3 2 2" xfId="21993" xr:uid="{00000000-0005-0000-0000-000077560000}"/>
    <cellStyle name="40% - Accent1 5 3 2 2 3 2 2 2" xfId="44595" xr:uid="{00000000-0005-0000-0000-000078560000}"/>
    <cellStyle name="40% - Accent1 5 3 2 2 3 2 3" xfId="33294" xr:uid="{00000000-0005-0000-0000-000079560000}"/>
    <cellStyle name="40% - Accent1 5 3 2 2 3 3" xfId="16343" xr:uid="{00000000-0005-0000-0000-00007A560000}"/>
    <cellStyle name="40% - Accent1 5 3 2 2 3 3 2" xfId="38945" xr:uid="{00000000-0005-0000-0000-00007B560000}"/>
    <cellStyle name="40% - Accent1 5 3 2 2 3 4" xfId="27644" xr:uid="{00000000-0005-0000-0000-00007C560000}"/>
    <cellStyle name="40% - Accent1 5 3 2 2 4" xfId="7642" xr:uid="{00000000-0005-0000-0000-00007D560000}"/>
    <cellStyle name="40% - Accent1 5 3 2 2 4 2" xfId="18943" xr:uid="{00000000-0005-0000-0000-00007E560000}"/>
    <cellStyle name="40% - Accent1 5 3 2 2 4 2 2" xfId="41545" xr:uid="{00000000-0005-0000-0000-00007F560000}"/>
    <cellStyle name="40% - Accent1 5 3 2 2 4 3" xfId="30244" xr:uid="{00000000-0005-0000-0000-000080560000}"/>
    <cellStyle name="40% - Accent1 5 3 2 2 5" xfId="13293" xr:uid="{00000000-0005-0000-0000-000081560000}"/>
    <cellStyle name="40% - Accent1 5 3 2 2 5 2" xfId="35895" xr:uid="{00000000-0005-0000-0000-000082560000}"/>
    <cellStyle name="40% - Accent1 5 3 2 2 6" xfId="24594" xr:uid="{00000000-0005-0000-0000-000083560000}"/>
    <cellStyle name="40% - Accent1 5 3 2 3" xfId="2633" xr:uid="{00000000-0005-0000-0000-000084560000}"/>
    <cellStyle name="40% - Accent1 5 3 2 3 2" xfId="5652" xr:uid="{00000000-0005-0000-0000-000085560000}"/>
    <cellStyle name="40% - Accent1 5 3 2 3 2 2" xfId="11302" xr:uid="{00000000-0005-0000-0000-000086560000}"/>
    <cellStyle name="40% - Accent1 5 3 2 3 2 2 2" xfId="22603" xr:uid="{00000000-0005-0000-0000-000087560000}"/>
    <cellStyle name="40% - Accent1 5 3 2 3 2 2 2 2" xfId="45205" xr:uid="{00000000-0005-0000-0000-000088560000}"/>
    <cellStyle name="40% - Accent1 5 3 2 3 2 2 3" xfId="33904" xr:uid="{00000000-0005-0000-0000-000089560000}"/>
    <cellStyle name="40% - Accent1 5 3 2 3 2 3" xfId="16953" xr:uid="{00000000-0005-0000-0000-00008A560000}"/>
    <cellStyle name="40% - Accent1 5 3 2 3 2 3 2" xfId="39555" xr:uid="{00000000-0005-0000-0000-00008B560000}"/>
    <cellStyle name="40% - Accent1 5 3 2 3 2 4" xfId="28254" xr:uid="{00000000-0005-0000-0000-00008C560000}"/>
    <cellStyle name="40% - Accent1 5 3 2 3 3" xfId="8469" xr:uid="{00000000-0005-0000-0000-00008D560000}"/>
    <cellStyle name="40% - Accent1 5 3 2 3 3 2" xfId="19770" xr:uid="{00000000-0005-0000-0000-00008E560000}"/>
    <cellStyle name="40% - Accent1 5 3 2 3 3 2 2" xfId="42372" xr:uid="{00000000-0005-0000-0000-00008F560000}"/>
    <cellStyle name="40% - Accent1 5 3 2 3 3 3" xfId="31071" xr:uid="{00000000-0005-0000-0000-000090560000}"/>
    <cellStyle name="40% - Accent1 5 3 2 3 4" xfId="14120" xr:uid="{00000000-0005-0000-0000-000091560000}"/>
    <cellStyle name="40% - Accent1 5 3 2 3 4 2" xfId="36722" xr:uid="{00000000-0005-0000-0000-000092560000}"/>
    <cellStyle name="40% - Accent1 5 3 2 3 5" xfId="25421" xr:uid="{00000000-0005-0000-0000-000093560000}"/>
    <cellStyle name="40% - Accent1 5 3 2 4" xfId="4418" xr:uid="{00000000-0005-0000-0000-000094560000}"/>
    <cellStyle name="40% - Accent1 5 3 2 4 2" xfId="10068" xr:uid="{00000000-0005-0000-0000-000095560000}"/>
    <cellStyle name="40% - Accent1 5 3 2 4 2 2" xfId="21369" xr:uid="{00000000-0005-0000-0000-000096560000}"/>
    <cellStyle name="40% - Accent1 5 3 2 4 2 2 2" xfId="43971" xr:uid="{00000000-0005-0000-0000-000097560000}"/>
    <cellStyle name="40% - Accent1 5 3 2 4 2 3" xfId="32670" xr:uid="{00000000-0005-0000-0000-000098560000}"/>
    <cellStyle name="40% - Accent1 5 3 2 4 3" xfId="15719" xr:uid="{00000000-0005-0000-0000-000099560000}"/>
    <cellStyle name="40% - Accent1 5 3 2 4 3 2" xfId="38321" xr:uid="{00000000-0005-0000-0000-00009A560000}"/>
    <cellStyle name="40% - Accent1 5 3 2 4 4" xfId="27020" xr:uid="{00000000-0005-0000-0000-00009B560000}"/>
    <cellStyle name="40% - Accent1 5 3 2 5" xfId="7214" xr:uid="{00000000-0005-0000-0000-00009C560000}"/>
    <cellStyle name="40% - Accent1 5 3 2 5 2" xfId="18515" xr:uid="{00000000-0005-0000-0000-00009D560000}"/>
    <cellStyle name="40% - Accent1 5 3 2 5 2 2" xfId="41117" xr:uid="{00000000-0005-0000-0000-00009E560000}"/>
    <cellStyle name="40% - Accent1 5 3 2 5 3" xfId="29816" xr:uid="{00000000-0005-0000-0000-00009F560000}"/>
    <cellStyle name="40% - Accent1 5 3 2 6" xfId="12865" xr:uid="{00000000-0005-0000-0000-0000A0560000}"/>
    <cellStyle name="40% - Accent1 5 3 2 6 2" xfId="35467" xr:uid="{00000000-0005-0000-0000-0000A1560000}"/>
    <cellStyle name="40% - Accent1 5 3 2 7" xfId="24166" xr:uid="{00000000-0005-0000-0000-0000A2560000}"/>
    <cellStyle name="40% - Accent1 5 3 3" xfId="933" xr:uid="{00000000-0005-0000-0000-0000A3560000}"/>
    <cellStyle name="40% - Accent1 5 3 3 2" xfId="2996" xr:uid="{00000000-0005-0000-0000-0000A4560000}"/>
    <cellStyle name="40% - Accent1 5 3 3 2 2" xfId="5968" xr:uid="{00000000-0005-0000-0000-0000A5560000}"/>
    <cellStyle name="40% - Accent1 5 3 3 2 2 2" xfId="11618" xr:uid="{00000000-0005-0000-0000-0000A6560000}"/>
    <cellStyle name="40% - Accent1 5 3 3 2 2 2 2" xfId="22919" xr:uid="{00000000-0005-0000-0000-0000A7560000}"/>
    <cellStyle name="40% - Accent1 5 3 3 2 2 2 2 2" xfId="45521" xr:uid="{00000000-0005-0000-0000-0000A8560000}"/>
    <cellStyle name="40% - Accent1 5 3 3 2 2 2 3" xfId="34220" xr:uid="{00000000-0005-0000-0000-0000A9560000}"/>
    <cellStyle name="40% - Accent1 5 3 3 2 2 3" xfId="17269" xr:uid="{00000000-0005-0000-0000-0000AA560000}"/>
    <cellStyle name="40% - Accent1 5 3 3 2 2 3 2" xfId="39871" xr:uid="{00000000-0005-0000-0000-0000AB560000}"/>
    <cellStyle name="40% - Accent1 5 3 3 2 2 4" xfId="28570" xr:uid="{00000000-0005-0000-0000-0000AC560000}"/>
    <cellStyle name="40% - Accent1 5 3 3 2 3" xfId="8786" xr:uid="{00000000-0005-0000-0000-0000AD560000}"/>
    <cellStyle name="40% - Accent1 5 3 3 2 3 2" xfId="20087" xr:uid="{00000000-0005-0000-0000-0000AE560000}"/>
    <cellStyle name="40% - Accent1 5 3 3 2 3 2 2" xfId="42689" xr:uid="{00000000-0005-0000-0000-0000AF560000}"/>
    <cellStyle name="40% - Accent1 5 3 3 2 3 3" xfId="31388" xr:uid="{00000000-0005-0000-0000-0000B0560000}"/>
    <cellStyle name="40% - Accent1 5 3 3 2 4" xfId="14437" xr:uid="{00000000-0005-0000-0000-0000B1560000}"/>
    <cellStyle name="40% - Accent1 5 3 3 2 4 2" xfId="37039" xr:uid="{00000000-0005-0000-0000-0000B2560000}"/>
    <cellStyle name="40% - Accent1 5 3 3 2 5" xfId="25738" xr:uid="{00000000-0005-0000-0000-0000B3560000}"/>
    <cellStyle name="40% - Accent1 5 3 3 3" xfId="4734" xr:uid="{00000000-0005-0000-0000-0000B4560000}"/>
    <cellStyle name="40% - Accent1 5 3 3 3 2" xfId="10384" xr:uid="{00000000-0005-0000-0000-0000B5560000}"/>
    <cellStyle name="40% - Accent1 5 3 3 3 2 2" xfId="21685" xr:uid="{00000000-0005-0000-0000-0000B6560000}"/>
    <cellStyle name="40% - Accent1 5 3 3 3 2 2 2" xfId="44287" xr:uid="{00000000-0005-0000-0000-0000B7560000}"/>
    <cellStyle name="40% - Accent1 5 3 3 3 2 3" xfId="32986" xr:uid="{00000000-0005-0000-0000-0000B8560000}"/>
    <cellStyle name="40% - Accent1 5 3 3 3 3" xfId="16035" xr:uid="{00000000-0005-0000-0000-0000B9560000}"/>
    <cellStyle name="40% - Accent1 5 3 3 3 3 2" xfId="38637" xr:uid="{00000000-0005-0000-0000-0000BA560000}"/>
    <cellStyle name="40% - Accent1 5 3 3 3 4" xfId="27336" xr:uid="{00000000-0005-0000-0000-0000BB560000}"/>
    <cellStyle name="40% - Accent1 5 3 3 4" xfId="6921" xr:uid="{00000000-0005-0000-0000-0000BC560000}"/>
    <cellStyle name="40% - Accent1 5 3 3 4 2" xfId="18222" xr:uid="{00000000-0005-0000-0000-0000BD560000}"/>
    <cellStyle name="40% - Accent1 5 3 3 4 2 2" xfId="40824" xr:uid="{00000000-0005-0000-0000-0000BE560000}"/>
    <cellStyle name="40% - Accent1 5 3 3 4 3" xfId="29523" xr:uid="{00000000-0005-0000-0000-0000BF560000}"/>
    <cellStyle name="40% - Accent1 5 3 3 5" xfId="12572" xr:uid="{00000000-0005-0000-0000-0000C0560000}"/>
    <cellStyle name="40% - Accent1 5 3 3 5 2" xfId="35174" xr:uid="{00000000-0005-0000-0000-0000C1560000}"/>
    <cellStyle name="40% - Accent1 5 3 3 6" xfId="23873" xr:uid="{00000000-0005-0000-0000-0000C2560000}"/>
    <cellStyle name="40% - Accent1 5 3 4" xfId="1785" xr:uid="{00000000-0005-0000-0000-0000C3560000}"/>
    <cellStyle name="40% - Accent1 5 3 4 2" xfId="3663" xr:uid="{00000000-0005-0000-0000-0000C4560000}"/>
    <cellStyle name="40% - Accent1 5 3 4 2 2" xfId="9373" xr:uid="{00000000-0005-0000-0000-0000C5560000}"/>
    <cellStyle name="40% - Accent1 5 3 4 2 2 2" xfId="20674" xr:uid="{00000000-0005-0000-0000-0000C6560000}"/>
    <cellStyle name="40% - Accent1 5 3 4 2 2 2 2" xfId="43276" xr:uid="{00000000-0005-0000-0000-0000C7560000}"/>
    <cellStyle name="40% - Accent1 5 3 4 2 2 3" xfId="31975" xr:uid="{00000000-0005-0000-0000-0000C8560000}"/>
    <cellStyle name="40% - Accent1 5 3 4 2 3" xfId="15024" xr:uid="{00000000-0005-0000-0000-0000C9560000}"/>
    <cellStyle name="40% - Accent1 5 3 4 2 3 2" xfId="37626" xr:uid="{00000000-0005-0000-0000-0000CA560000}"/>
    <cellStyle name="40% - Accent1 5 3 4 2 4" xfId="26325" xr:uid="{00000000-0005-0000-0000-0000CB560000}"/>
    <cellStyle name="40% - Accent1 5 3 4 3" xfId="5344" xr:uid="{00000000-0005-0000-0000-0000CC560000}"/>
    <cellStyle name="40% - Accent1 5 3 4 3 2" xfId="10994" xr:uid="{00000000-0005-0000-0000-0000CD560000}"/>
    <cellStyle name="40% - Accent1 5 3 4 3 2 2" xfId="22295" xr:uid="{00000000-0005-0000-0000-0000CE560000}"/>
    <cellStyle name="40% - Accent1 5 3 4 3 2 2 2" xfId="44897" xr:uid="{00000000-0005-0000-0000-0000CF560000}"/>
    <cellStyle name="40% - Accent1 5 3 4 3 2 3" xfId="33596" xr:uid="{00000000-0005-0000-0000-0000D0560000}"/>
    <cellStyle name="40% - Accent1 5 3 4 3 3" xfId="16645" xr:uid="{00000000-0005-0000-0000-0000D1560000}"/>
    <cellStyle name="40% - Accent1 5 3 4 3 3 2" xfId="39247" xr:uid="{00000000-0005-0000-0000-0000D2560000}"/>
    <cellStyle name="40% - Accent1 5 3 4 3 4" xfId="27946" xr:uid="{00000000-0005-0000-0000-0000D3560000}"/>
    <cellStyle name="40% - Accent1 5 3 4 4" xfId="7641" xr:uid="{00000000-0005-0000-0000-0000D4560000}"/>
    <cellStyle name="40% - Accent1 5 3 4 4 2" xfId="18942" xr:uid="{00000000-0005-0000-0000-0000D5560000}"/>
    <cellStyle name="40% - Accent1 5 3 4 4 2 2" xfId="41544" xr:uid="{00000000-0005-0000-0000-0000D6560000}"/>
    <cellStyle name="40% - Accent1 5 3 4 4 3" xfId="30243" xr:uid="{00000000-0005-0000-0000-0000D7560000}"/>
    <cellStyle name="40% - Accent1 5 3 4 5" xfId="13292" xr:uid="{00000000-0005-0000-0000-0000D8560000}"/>
    <cellStyle name="40% - Accent1 5 3 4 5 2" xfId="35894" xr:uid="{00000000-0005-0000-0000-0000D9560000}"/>
    <cellStyle name="40% - Accent1 5 3 4 6" xfId="24593" xr:uid="{00000000-0005-0000-0000-0000DA560000}"/>
    <cellStyle name="40% - Accent1 5 3 5" xfId="2325" xr:uid="{00000000-0005-0000-0000-0000DB560000}"/>
    <cellStyle name="40% - Accent1 5 3 5 2" xfId="8161" xr:uid="{00000000-0005-0000-0000-0000DC560000}"/>
    <cellStyle name="40% - Accent1 5 3 5 2 2" xfId="19462" xr:uid="{00000000-0005-0000-0000-0000DD560000}"/>
    <cellStyle name="40% - Accent1 5 3 5 2 2 2" xfId="42064" xr:uid="{00000000-0005-0000-0000-0000DE560000}"/>
    <cellStyle name="40% - Accent1 5 3 5 2 3" xfId="30763" xr:uid="{00000000-0005-0000-0000-0000DF560000}"/>
    <cellStyle name="40% - Accent1 5 3 5 3" xfId="13812" xr:uid="{00000000-0005-0000-0000-0000E0560000}"/>
    <cellStyle name="40% - Accent1 5 3 5 3 2" xfId="36414" xr:uid="{00000000-0005-0000-0000-0000E1560000}"/>
    <cellStyle name="40% - Accent1 5 3 5 4" xfId="25113" xr:uid="{00000000-0005-0000-0000-0000E2560000}"/>
    <cellStyle name="40% - Accent1 5 3 6" xfId="4110" xr:uid="{00000000-0005-0000-0000-0000E3560000}"/>
    <cellStyle name="40% - Accent1 5 3 6 2" xfId="9760" xr:uid="{00000000-0005-0000-0000-0000E4560000}"/>
    <cellStyle name="40% - Accent1 5 3 6 2 2" xfId="21061" xr:uid="{00000000-0005-0000-0000-0000E5560000}"/>
    <cellStyle name="40% - Accent1 5 3 6 2 2 2" xfId="43663" xr:uid="{00000000-0005-0000-0000-0000E6560000}"/>
    <cellStyle name="40% - Accent1 5 3 6 2 3" xfId="32362" xr:uid="{00000000-0005-0000-0000-0000E7560000}"/>
    <cellStyle name="40% - Accent1 5 3 6 3" xfId="15411" xr:uid="{00000000-0005-0000-0000-0000E8560000}"/>
    <cellStyle name="40% - Accent1 5 3 6 3 2" xfId="38013" xr:uid="{00000000-0005-0000-0000-0000E9560000}"/>
    <cellStyle name="40% - Accent1 5 3 6 4" xfId="26712" xr:uid="{00000000-0005-0000-0000-0000EA560000}"/>
    <cellStyle name="40% - Accent1 5 3 7" xfId="6588" xr:uid="{00000000-0005-0000-0000-0000EB560000}"/>
    <cellStyle name="40% - Accent1 5 3 7 2" xfId="17889" xr:uid="{00000000-0005-0000-0000-0000EC560000}"/>
    <cellStyle name="40% - Accent1 5 3 7 2 2" xfId="40491" xr:uid="{00000000-0005-0000-0000-0000ED560000}"/>
    <cellStyle name="40% - Accent1 5 3 7 3" xfId="29190" xr:uid="{00000000-0005-0000-0000-0000EE560000}"/>
    <cellStyle name="40% - Accent1 5 3 8" xfId="12239" xr:uid="{00000000-0005-0000-0000-0000EF560000}"/>
    <cellStyle name="40% - Accent1 5 3 8 2" xfId="34841" xr:uid="{00000000-0005-0000-0000-0000F0560000}"/>
    <cellStyle name="40% - Accent1 5 3 9" xfId="23540" xr:uid="{00000000-0005-0000-0000-0000F1560000}"/>
    <cellStyle name="40% - Accent1 5 4" xfId="1095" xr:uid="{00000000-0005-0000-0000-0000F2560000}"/>
    <cellStyle name="40% - Accent1 5 4 2" xfId="1787" xr:uid="{00000000-0005-0000-0000-0000F3560000}"/>
    <cellStyle name="40% - Accent1 5 4 2 2" xfId="3163" xr:uid="{00000000-0005-0000-0000-0000F4560000}"/>
    <cellStyle name="40% - Accent1 5 4 2 2 2" xfId="6135" xr:uid="{00000000-0005-0000-0000-0000F5560000}"/>
    <cellStyle name="40% - Accent1 5 4 2 2 2 2" xfId="11785" xr:uid="{00000000-0005-0000-0000-0000F6560000}"/>
    <cellStyle name="40% - Accent1 5 4 2 2 2 2 2" xfId="23086" xr:uid="{00000000-0005-0000-0000-0000F7560000}"/>
    <cellStyle name="40% - Accent1 5 4 2 2 2 2 2 2" xfId="45688" xr:uid="{00000000-0005-0000-0000-0000F8560000}"/>
    <cellStyle name="40% - Accent1 5 4 2 2 2 2 3" xfId="34387" xr:uid="{00000000-0005-0000-0000-0000F9560000}"/>
    <cellStyle name="40% - Accent1 5 4 2 2 2 3" xfId="17436" xr:uid="{00000000-0005-0000-0000-0000FA560000}"/>
    <cellStyle name="40% - Accent1 5 4 2 2 2 3 2" xfId="40038" xr:uid="{00000000-0005-0000-0000-0000FB560000}"/>
    <cellStyle name="40% - Accent1 5 4 2 2 2 4" xfId="28737" xr:uid="{00000000-0005-0000-0000-0000FC560000}"/>
    <cellStyle name="40% - Accent1 5 4 2 2 3" xfId="8953" xr:uid="{00000000-0005-0000-0000-0000FD560000}"/>
    <cellStyle name="40% - Accent1 5 4 2 2 3 2" xfId="20254" xr:uid="{00000000-0005-0000-0000-0000FE560000}"/>
    <cellStyle name="40% - Accent1 5 4 2 2 3 2 2" xfId="42856" xr:uid="{00000000-0005-0000-0000-0000FF560000}"/>
    <cellStyle name="40% - Accent1 5 4 2 2 3 3" xfId="31555" xr:uid="{00000000-0005-0000-0000-000000570000}"/>
    <cellStyle name="40% - Accent1 5 4 2 2 4" xfId="14604" xr:uid="{00000000-0005-0000-0000-000001570000}"/>
    <cellStyle name="40% - Accent1 5 4 2 2 4 2" xfId="37206" xr:uid="{00000000-0005-0000-0000-000002570000}"/>
    <cellStyle name="40% - Accent1 5 4 2 2 5" xfId="25905" xr:uid="{00000000-0005-0000-0000-000003570000}"/>
    <cellStyle name="40% - Accent1 5 4 2 3" xfId="4901" xr:uid="{00000000-0005-0000-0000-000004570000}"/>
    <cellStyle name="40% - Accent1 5 4 2 3 2" xfId="10551" xr:uid="{00000000-0005-0000-0000-000005570000}"/>
    <cellStyle name="40% - Accent1 5 4 2 3 2 2" xfId="21852" xr:uid="{00000000-0005-0000-0000-000006570000}"/>
    <cellStyle name="40% - Accent1 5 4 2 3 2 2 2" xfId="44454" xr:uid="{00000000-0005-0000-0000-000007570000}"/>
    <cellStyle name="40% - Accent1 5 4 2 3 2 3" xfId="33153" xr:uid="{00000000-0005-0000-0000-000008570000}"/>
    <cellStyle name="40% - Accent1 5 4 2 3 3" xfId="16202" xr:uid="{00000000-0005-0000-0000-000009570000}"/>
    <cellStyle name="40% - Accent1 5 4 2 3 3 2" xfId="38804" xr:uid="{00000000-0005-0000-0000-00000A570000}"/>
    <cellStyle name="40% - Accent1 5 4 2 3 4" xfId="27503" xr:uid="{00000000-0005-0000-0000-00000B570000}"/>
    <cellStyle name="40% - Accent1 5 4 2 4" xfId="7643" xr:uid="{00000000-0005-0000-0000-00000C570000}"/>
    <cellStyle name="40% - Accent1 5 4 2 4 2" xfId="18944" xr:uid="{00000000-0005-0000-0000-00000D570000}"/>
    <cellStyle name="40% - Accent1 5 4 2 4 2 2" xfId="41546" xr:uid="{00000000-0005-0000-0000-00000E570000}"/>
    <cellStyle name="40% - Accent1 5 4 2 4 3" xfId="30245" xr:uid="{00000000-0005-0000-0000-00000F570000}"/>
    <cellStyle name="40% - Accent1 5 4 2 5" xfId="13294" xr:uid="{00000000-0005-0000-0000-000010570000}"/>
    <cellStyle name="40% - Accent1 5 4 2 5 2" xfId="35896" xr:uid="{00000000-0005-0000-0000-000011570000}"/>
    <cellStyle name="40% - Accent1 5 4 2 6" xfId="24595" xr:uid="{00000000-0005-0000-0000-000012570000}"/>
    <cellStyle name="40% - Accent1 5 4 3" xfId="2492" xr:uid="{00000000-0005-0000-0000-000013570000}"/>
    <cellStyle name="40% - Accent1 5 4 3 2" xfId="5511" xr:uid="{00000000-0005-0000-0000-000014570000}"/>
    <cellStyle name="40% - Accent1 5 4 3 2 2" xfId="11161" xr:uid="{00000000-0005-0000-0000-000015570000}"/>
    <cellStyle name="40% - Accent1 5 4 3 2 2 2" xfId="22462" xr:uid="{00000000-0005-0000-0000-000016570000}"/>
    <cellStyle name="40% - Accent1 5 4 3 2 2 2 2" xfId="45064" xr:uid="{00000000-0005-0000-0000-000017570000}"/>
    <cellStyle name="40% - Accent1 5 4 3 2 2 3" xfId="33763" xr:uid="{00000000-0005-0000-0000-000018570000}"/>
    <cellStyle name="40% - Accent1 5 4 3 2 3" xfId="16812" xr:uid="{00000000-0005-0000-0000-000019570000}"/>
    <cellStyle name="40% - Accent1 5 4 3 2 3 2" xfId="39414" xr:uid="{00000000-0005-0000-0000-00001A570000}"/>
    <cellStyle name="40% - Accent1 5 4 3 2 4" xfId="28113" xr:uid="{00000000-0005-0000-0000-00001B570000}"/>
    <cellStyle name="40% - Accent1 5 4 3 3" xfId="8328" xr:uid="{00000000-0005-0000-0000-00001C570000}"/>
    <cellStyle name="40% - Accent1 5 4 3 3 2" xfId="19629" xr:uid="{00000000-0005-0000-0000-00001D570000}"/>
    <cellStyle name="40% - Accent1 5 4 3 3 2 2" xfId="42231" xr:uid="{00000000-0005-0000-0000-00001E570000}"/>
    <cellStyle name="40% - Accent1 5 4 3 3 3" xfId="30930" xr:uid="{00000000-0005-0000-0000-00001F570000}"/>
    <cellStyle name="40% - Accent1 5 4 3 4" xfId="13979" xr:uid="{00000000-0005-0000-0000-000020570000}"/>
    <cellStyle name="40% - Accent1 5 4 3 4 2" xfId="36581" xr:uid="{00000000-0005-0000-0000-000021570000}"/>
    <cellStyle name="40% - Accent1 5 4 3 5" xfId="25280" xr:uid="{00000000-0005-0000-0000-000022570000}"/>
    <cellStyle name="40% - Accent1 5 4 4" xfId="4277" xr:uid="{00000000-0005-0000-0000-000023570000}"/>
    <cellStyle name="40% - Accent1 5 4 4 2" xfId="9927" xr:uid="{00000000-0005-0000-0000-000024570000}"/>
    <cellStyle name="40% - Accent1 5 4 4 2 2" xfId="21228" xr:uid="{00000000-0005-0000-0000-000025570000}"/>
    <cellStyle name="40% - Accent1 5 4 4 2 2 2" xfId="43830" xr:uid="{00000000-0005-0000-0000-000026570000}"/>
    <cellStyle name="40% - Accent1 5 4 4 2 3" xfId="32529" xr:uid="{00000000-0005-0000-0000-000027570000}"/>
    <cellStyle name="40% - Accent1 5 4 4 3" xfId="15578" xr:uid="{00000000-0005-0000-0000-000028570000}"/>
    <cellStyle name="40% - Accent1 5 4 4 3 2" xfId="38180" xr:uid="{00000000-0005-0000-0000-000029570000}"/>
    <cellStyle name="40% - Accent1 5 4 4 4" xfId="26879" xr:uid="{00000000-0005-0000-0000-00002A570000}"/>
    <cellStyle name="40% - Accent1 5 4 5" xfId="7074" xr:uid="{00000000-0005-0000-0000-00002B570000}"/>
    <cellStyle name="40% - Accent1 5 4 5 2" xfId="18375" xr:uid="{00000000-0005-0000-0000-00002C570000}"/>
    <cellStyle name="40% - Accent1 5 4 5 2 2" xfId="40977" xr:uid="{00000000-0005-0000-0000-00002D570000}"/>
    <cellStyle name="40% - Accent1 5 4 5 3" xfId="29676" xr:uid="{00000000-0005-0000-0000-00002E570000}"/>
    <cellStyle name="40% - Accent1 5 4 6" xfId="12725" xr:uid="{00000000-0005-0000-0000-00002F570000}"/>
    <cellStyle name="40% - Accent1 5 4 6 2" xfId="35327" xr:uid="{00000000-0005-0000-0000-000030570000}"/>
    <cellStyle name="40% - Accent1 5 4 7" xfId="24026" xr:uid="{00000000-0005-0000-0000-000031570000}"/>
    <cellStyle name="40% - Accent1 5 5" xfId="774" xr:uid="{00000000-0005-0000-0000-000032570000}"/>
    <cellStyle name="40% - Accent1 5 5 2" xfId="2856" xr:uid="{00000000-0005-0000-0000-000033570000}"/>
    <cellStyle name="40% - Accent1 5 5 2 2" xfId="5828" xr:uid="{00000000-0005-0000-0000-000034570000}"/>
    <cellStyle name="40% - Accent1 5 5 2 2 2" xfId="11478" xr:uid="{00000000-0005-0000-0000-000035570000}"/>
    <cellStyle name="40% - Accent1 5 5 2 2 2 2" xfId="22779" xr:uid="{00000000-0005-0000-0000-000036570000}"/>
    <cellStyle name="40% - Accent1 5 5 2 2 2 2 2" xfId="45381" xr:uid="{00000000-0005-0000-0000-000037570000}"/>
    <cellStyle name="40% - Accent1 5 5 2 2 2 3" xfId="34080" xr:uid="{00000000-0005-0000-0000-000038570000}"/>
    <cellStyle name="40% - Accent1 5 5 2 2 3" xfId="17129" xr:uid="{00000000-0005-0000-0000-000039570000}"/>
    <cellStyle name="40% - Accent1 5 5 2 2 3 2" xfId="39731" xr:uid="{00000000-0005-0000-0000-00003A570000}"/>
    <cellStyle name="40% - Accent1 5 5 2 2 4" xfId="28430" xr:uid="{00000000-0005-0000-0000-00003B570000}"/>
    <cellStyle name="40% - Accent1 5 5 2 3" xfId="8646" xr:uid="{00000000-0005-0000-0000-00003C570000}"/>
    <cellStyle name="40% - Accent1 5 5 2 3 2" xfId="19947" xr:uid="{00000000-0005-0000-0000-00003D570000}"/>
    <cellStyle name="40% - Accent1 5 5 2 3 2 2" xfId="42549" xr:uid="{00000000-0005-0000-0000-00003E570000}"/>
    <cellStyle name="40% - Accent1 5 5 2 3 3" xfId="31248" xr:uid="{00000000-0005-0000-0000-00003F570000}"/>
    <cellStyle name="40% - Accent1 5 5 2 4" xfId="14297" xr:uid="{00000000-0005-0000-0000-000040570000}"/>
    <cellStyle name="40% - Accent1 5 5 2 4 2" xfId="36899" xr:uid="{00000000-0005-0000-0000-000041570000}"/>
    <cellStyle name="40% - Accent1 5 5 2 5" xfId="25598" xr:uid="{00000000-0005-0000-0000-000042570000}"/>
    <cellStyle name="40% - Accent1 5 5 3" xfId="4594" xr:uid="{00000000-0005-0000-0000-000043570000}"/>
    <cellStyle name="40% - Accent1 5 5 3 2" xfId="10244" xr:uid="{00000000-0005-0000-0000-000044570000}"/>
    <cellStyle name="40% - Accent1 5 5 3 2 2" xfId="21545" xr:uid="{00000000-0005-0000-0000-000045570000}"/>
    <cellStyle name="40% - Accent1 5 5 3 2 2 2" xfId="44147" xr:uid="{00000000-0005-0000-0000-000046570000}"/>
    <cellStyle name="40% - Accent1 5 5 3 2 3" xfId="32846" xr:uid="{00000000-0005-0000-0000-000047570000}"/>
    <cellStyle name="40% - Accent1 5 5 3 3" xfId="15895" xr:uid="{00000000-0005-0000-0000-000048570000}"/>
    <cellStyle name="40% - Accent1 5 5 3 3 2" xfId="38497" xr:uid="{00000000-0005-0000-0000-000049570000}"/>
    <cellStyle name="40% - Accent1 5 5 3 4" xfId="27196" xr:uid="{00000000-0005-0000-0000-00004A570000}"/>
    <cellStyle name="40% - Accent1 5 5 4" xfId="6779" xr:uid="{00000000-0005-0000-0000-00004B570000}"/>
    <cellStyle name="40% - Accent1 5 5 4 2" xfId="18080" xr:uid="{00000000-0005-0000-0000-00004C570000}"/>
    <cellStyle name="40% - Accent1 5 5 4 2 2" xfId="40682" xr:uid="{00000000-0005-0000-0000-00004D570000}"/>
    <cellStyle name="40% - Accent1 5 5 4 3" xfId="29381" xr:uid="{00000000-0005-0000-0000-00004E570000}"/>
    <cellStyle name="40% - Accent1 5 5 5" xfId="12430" xr:uid="{00000000-0005-0000-0000-00004F570000}"/>
    <cellStyle name="40% - Accent1 5 5 5 2" xfId="35032" xr:uid="{00000000-0005-0000-0000-000050570000}"/>
    <cellStyle name="40% - Accent1 5 5 6" xfId="23731" xr:uid="{00000000-0005-0000-0000-000051570000}"/>
    <cellStyle name="40% - Accent1 5 6" xfId="1780" xr:uid="{00000000-0005-0000-0000-000052570000}"/>
    <cellStyle name="40% - Accent1 5 6 2" xfId="3660" xr:uid="{00000000-0005-0000-0000-000053570000}"/>
    <cellStyle name="40% - Accent1 5 6 2 2" xfId="9370" xr:uid="{00000000-0005-0000-0000-000054570000}"/>
    <cellStyle name="40% - Accent1 5 6 2 2 2" xfId="20671" xr:uid="{00000000-0005-0000-0000-000055570000}"/>
    <cellStyle name="40% - Accent1 5 6 2 2 2 2" xfId="43273" xr:uid="{00000000-0005-0000-0000-000056570000}"/>
    <cellStyle name="40% - Accent1 5 6 2 2 3" xfId="31972" xr:uid="{00000000-0005-0000-0000-000057570000}"/>
    <cellStyle name="40% - Accent1 5 6 2 3" xfId="15021" xr:uid="{00000000-0005-0000-0000-000058570000}"/>
    <cellStyle name="40% - Accent1 5 6 2 3 2" xfId="37623" xr:uid="{00000000-0005-0000-0000-000059570000}"/>
    <cellStyle name="40% - Accent1 5 6 2 4" xfId="26322" xr:uid="{00000000-0005-0000-0000-00005A570000}"/>
    <cellStyle name="40% - Accent1 5 6 3" xfId="5204" xr:uid="{00000000-0005-0000-0000-00005B570000}"/>
    <cellStyle name="40% - Accent1 5 6 3 2" xfId="10854" xr:uid="{00000000-0005-0000-0000-00005C570000}"/>
    <cellStyle name="40% - Accent1 5 6 3 2 2" xfId="22155" xr:uid="{00000000-0005-0000-0000-00005D570000}"/>
    <cellStyle name="40% - Accent1 5 6 3 2 2 2" xfId="44757" xr:uid="{00000000-0005-0000-0000-00005E570000}"/>
    <cellStyle name="40% - Accent1 5 6 3 2 3" xfId="33456" xr:uid="{00000000-0005-0000-0000-00005F570000}"/>
    <cellStyle name="40% - Accent1 5 6 3 3" xfId="16505" xr:uid="{00000000-0005-0000-0000-000060570000}"/>
    <cellStyle name="40% - Accent1 5 6 3 3 2" xfId="39107" xr:uid="{00000000-0005-0000-0000-000061570000}"/>
    <cellStyle name="40% - Accent1 5 6 3 4" xfId="27806" xr:uid="{00000000-0005-0000-0000-000062570000}"/>
    <cellStyle name="40% - Accent1 5 6 4" xfId="7636" xr:uid="{00000000-0005-0000-0000-000063570000}"/>
    <cellStyle name="40% - Accent1 5 6 4 2" xfId="18937" xr:uid="{00000000-0005-0000-0000-000064570000}"/>
    <cellStyle name="40% - Accent1 5 6 4 2 2" xfId="41539" xr:uid="{00000000-0005-0000-0000-000065570000}"/>
    <cellStyle name="40% - Accent1 5 6 4 3" xfId="30238" xr:uid="{00000000-0005-0000-0000-000066570000}"/>
    <cellStyle name="40% - Accent1 5 6 5" xfId="13287" xr:uid="{00000000-0005-0000-0000-000067570000}"/>
    <cellStyle name="40% - Accent1 5 6 5 2" xfId="35889" xr:uid="{00000000-0005-0000-0000-000068570000}"/>
    <cellStyle name="40% - Accent1 5 6 6" xfId="24588" xr:uid="{00000000-0005-0000-0000-000069570000}"/>
    <cellStyle name="40% - Accent1 5 7" xfId="2177" xr:uid="{00000000-0005-0000-0000-00006A570000}"/>
    <cellStyle name="40% - Accent1 5 7 2" xfId="8018" xr:uid="{00000000-0005-0000-0000-00006B570000}"/>
    <cellStyle name="40% - Accent1 5 7 2 2" xfId="19319" xr:uid="{00000000-0005-0000-0000-00006C570000}"/>
    <cellStyle name="40% - Accent1 5 7 2 2 2" xfId="41921" xr:uid="{00000000-0005-0000-0000-00006D570000}"/>
    <cellStyle name="40% - Accent1 5 7 2 3" xfId="30620" xr:uid="{00000000-0005-0000-0000-00006E570000}"/>
    <cellStyle name="40% - Accent1 5 7 3" xfId="13669" xr:uid="{00000000-0005-0000-0000-00006F570000}"/>
    <cellStyle name="40% - Accent1 5 7 3 2" xfId="36271" xr:uid="{00000000-0005-0000-0000-000070570000}"/>
    <cellStyle name="40% - Accent1 5 7 4" xfId="24970" xr:uid="{00000000-0005-0000-0000-000071570000}"/>
    <cellStyle name="40% - Accent1 5 8" xfId="3970" xr:uid="{00000000-0005-0000-0000-000072570000}"/>
    <cellStyle name="40% - Accent1 5 8 2" xfId="9620" xr:uid="{00000000-0005-0000-0000-000073570000}"/>
    <cellStyle name="40% - Accent1 5 8 2 2" xfId="20921" xr:uid="{00000000-0005-0000-0000-000074570000}"/>
    <cellStyle name="40% - Accent1 5 8 2 2 2" xfId="43523" xr:uid="{00000000-0005-0000-0000-000075570000}"/>
    <cellStyle name="40% - Accent1 5 8 2 3" xfId="32222" xr:uid="{00000000-0005-0000-0000-000076570000}"/>
    <cellStyle name="40% - Accent1 5 8 3" xfId="15271" xr:uid="{00000000-0005-0000-0000-000077570000}"/>
    <cellStyle name="40% - Accent1 5 8 3 2" xfId="37873" xr:uid="{00000000-0005-0000-0000-000078570000}"/>
    <cellStyle name="40% - Accent1 5 8 4" xfId="26572" xr:uid="{00000000-0005-0000-0000-000079570000}"/>
    <cellStyle name="40% - Accent1 5 9" xfId="6421" xr:uid="{00000000-0005-0000-0000-00007A570000}"/>
    <cellStyle name="40% - Accent1 5 9 2" xfId="17722" xr:uid="{00000000-0005-0000-0000-00007B570000}"/>
    <cellStyle name="40% - Accent1 5 9 2 2" xfId="40324" xr:uid="{00000000-0005-0000-0000-00007C570000}"/>
    <cellStyle name="40% - Accent1 5 9 3" xfId="29023" xr:uid="{00000000-0005-0000-0000-00007D570000}"/>
    <cellStyle name="40% - Accent1 6" xfId="234" xr:uid="{00000000-0005-0000-0000-00007E570000}"/>
    <cellStyle name="40% - Accent1 7" xfId="332" xr:uid="{00000000-0005-0000-0000-00007F570000}"/>
    <cellStyle name="40% - Accent1 7 10" xfId="23427" xr:uid="{00000000-0005-0000-0000-000080570000}"/>
    <cellStyle name="40% - Accent1 7 2" xfId="577" xr:uid="{00000000-0005-0000-0000-000081570000}"/>
    <cellStyle name="40% - Accent1 7 2 2" xfId="1287" xr:uid="{00000000-0005-0000-0000-000082570000}"/>
    <cellStyle name="40% - Accent1 7 2 2 2" xfId="1790" xr:uid="{00000000-0005-0000-0000-000083570000}"/>
    <cellStyle name="40% - Accent1 7 2 2 2 2" xfId="3356" xr:uid="{00000000-0005-0000-0000-000084570000}"/>
    <cellStyle name="40% - Accent1 7 2 2 2 2 2" xfId="6328" xr:uid="{00000000-0005-0000-0000-000085570000}"/>
    <cellStyle name="40% - Accent1 7 2 2 2 2 2 2" xfId="11978" xr:uid="{00000000-0005-0000-0000-000086570000}"/>
    <cellStyle name="40% - Accent1 7 2 2 2 2 2 2 2" xfId="23279" xr:uid="{00000000-0005-0000-0000-000087570000}"/>
    <cellStyle name="40% - Accent1 7 2 2 2 2 2 2 2 2" xfId="45881" xr:uid="{00000000-0005-0000-0000-000088570000}"/>
    <cellStyle name="40% - Accent1 7 2 2 2 2 2 2 3" xfId="34580" xr:uid="{00000000-0005-0000-0000-000089570000}"/>
    <cellStyle name="40% - Accent1 7 2 2 2 2 2 3" xfId="17629" xr:uid="{00000000-0005-0000-0000-00008A570000}"/>
    <cellStyle name="40% - Accent1 7 2 2 2 2 2 3 2" xfId="40231" xr:uid="{00000000-0005-0000-0000-00008B570000}"/>
    <cellStyle name="40% - Accent1 7 2 2 2 2 2 4" xfId="28930" xr:uid="{00000000-0005-0000-0000-00008C570000}"/>
    <cellStyle name="40% - Accent1 7 2 2 2 2 3" xfId="9146" xr:uid="{00000000-0005-0000-0000-00008D570000}"/>
    <cellStyle name="40% - Accent1 7 2 2 2 2 3 2" xfId="20447" xr:uid="{00000000-0005-0000-0000-00008E570000}"/>
    <cellStyle name="40% - Accent1 7 2 2 2 2 3 2 2" xfId="43049" xr:uid="{00000000-0005-0000-0000-00008F570000}"/>
    <cellStyle name="40% - Accent1 7 2 2 2 2 3 3" xfId="31748" xr:uid="{00000000-0005-0000-0000-000090570000}"/>
    <cellStyle name="40% - Accent1 7 2 2 2 2 4" xfId="14797" xr:uid="{00000000-0005-0000-0000-000091570000}"/>
    <cellStyle name="40% - Accent1 7 2 2 2 2 4 2" xfId="37399" xr:uid="{00000000-0005-0000-0000-000092570000}"/>
    <cellStyle name="40% - Accent1 7 2 2 2 2 5" xfId="26098" xr:uid="{00000000-0005-0000-0000-000093570000}"/>
    <cellStyle name="40% - Accent1 7 2 2 2 3" xfId="5094" xr:uid="{00000000-0005-0000-0000-000094570000}"/>
    <cellStyle name="40% - Accent1 7 2 2 2 3 2" xfId="10744" xr:uid="{00000000-0005-0000-0000-000095570000}"/>
    <cellStyle name="40% - Accent1 7 2 2 2 3 2 2" xfId="22045" xr:uid="{00000000-0005-0000-0000-000096570000}"/>
    <cellStyle name="40% - Accent1 7 2 2 2 3 2 2 2" xfId="44647" xr:uid="{00000000-0005-0000-0000-000097570000}"/>
    <cellStyle name="40% - Accent1 7 2 2 2 3 2 3" xfId="33346" xr:uid="{00000000-0005-0000-0000-000098570000}"/>
    <cellStyle name="40% - Accent1 7 2 2 2 3 3" xfId="16395" xr:uid="{00000000-0005-0000-0000-000099570000}"/>
    <cellStyle name="40% - Accent1 7 2 2 2 3 3 2" xfId="38997" xr:uid="{00000000-0005-0000-0000-00009A570000}"/>
    <cellStyle name="40% - Accent1 7 2 2 2 3 4" xfId="27696" xr:uid="{00000000-0005-0000-0000-00009B570000}"/>
    <cellStyle name="40% - Accent1 7 2 2 2 4" xfId="7646" xr:uid="{00000000-0005-0000-0000-00009C570000}"/>
    <cellStyle name="40% - Accent1 7 2 2 2 4 2" xfId="18947" xr:uid="{00000000-0005-0000-0000-00009D570000}"/>
    <cellStyle name="40% - Accent1 7 2 2 2 4 2 2" xfId="41549" xr:uid="{00000000-0005-0000-0000-00009E570000}"/>
    <cellStyle name="40% - Accent1 7 2 2 2 4 3" xfId="30248" xr:uid="{00000000-0005-0000-0000-00009F570000}"/>
    <cellStyle name="40% - Accent1 7 2 2 2 5" xfId="13297" xr:uid="{00000000-0005-0000-0000-0000A0570000}"/>
    <cellStyle name="40% - Accent1 7 2 2 2 5 2" xfId="35899" xr:uid="{00000000-0005-0000-0000-0000A1570000}"/>
    <cellStyle name="40% - Accent1 7 2 2 2 6" xfId="24598" xr:uid="{00000000-0005-0000-0000-0000A2570000}"/>
    <cellStyle name="40% - Accent1 7 2 2 3" xfId="2685" xr:uid="{00000000-0005-0000-0000-0000A3570000}"/>
    <cellStyle name="40% - Accent1 7 2 2 3 2" xfId="5704" xr:uid="{00000000-0005-0000-0000-0000A4570000}"/>
    <cellStyle name="40% - Accent1 7 2 2 3 2 2" xfId="11354" xr:uid="{00000000-0005-0000-0000-0000A5570000}"/>
    <cellStyle name="40% - Accent1 7 2 2 3 2 2 2" xfId="22655" xr:uid="{00000000-0005-0000-0000-0000A6570000}"/>
    <cellStyle name="40% - Accent1 7 2 2 3 2 2 2 2" xfId="45257" xr:uid="{00000000-0005-0000-0000-0000A7570000}"/>
    <cellStyle name="40% - Accent1 7 2 2 3 2 2 3" xfId="33956" xr:uid="{00000000-0005-0000-0000-0000A8570000}"/>
    <cellStyle name="40% - Accent1 7 2 2 3 2 3" xfId="17005" xr:uid="{00000000-0005-0000-0000-0000A9570000}"/>
    <cellStyle name="40% - Accent1 7 2 2 3 2 3 2" xfId="39607" xr:uid="{00000000-0005-0000-0000-0000AA570000}"/>
    <cellStyle name="40% - Accent1 7 2 2 3 2 4" xfId="28306" xr:uid="{00000000-0005-0000-0000-0000AB570000}"/>
    <cellStyle name="40% - Accent1 7 2 2 3 3" xfId="8521" xr:uid="{00000000-0005-0000-0000-0000AC570000}"/>
    <cellStyle name="40% - Accent1 7 2 2 3 3 2" xfId="19822" xr:uid="{00000000-0005-0000-0000-0000AD570000}"/>
    <cellStyle name="40% - Accent1 7 2 2 3 3 2 2" xfId="42424" xr:uid="{00000000-0005-0000-0000-0000AE570000}"/>
    <cellStyle name="40% - Accent1 7 2 2 3 3 3" xfId="31123" xr:uid="{00000000-0005-0000-0000-0000AF570000}"/>
    <cellStyle name="40% - Accent1 7 2 2 3 4" xfId="14172" xr:uid="{00000000-0005-0000-0000-0000B0570000}"/>
    <cellStyle name="40% - Accent1 7 2 2 3 4 2" xfId="36774" xr:uid="{00000000-0005-0000-0000-0000B1570000}"/>
    <cellStyle name="40% - Accent1 7 2 2 3 5" xfId="25473" xr:uid="{00000000-0005-0000-0000-0000B2570000}"/>
    <cellStyle name="40% - Accent1 7 2 2 4" xfId="4470" xr:uid="{00000000-0005-0000-0000-0000B3570000}"/>
    <cellStyle name="40% - Accent1 7 2 2 4 2" xfId="10120" xr:uid="{00000000-0005-0000-0000-0000B4570000}"/>
    <cellStyle name="40% - Accent1 7 2 2 4 2 2" xfId="21421" xr:uid="{00000000-0005-0000-0000-0000B5570000}"/>
    <cellStyle name="40% - Accent1 7 2 2 4 2 2 2" xfId="44023" xr:uid="{00000000-0005-0000-0000-0000B6570000}"/>
    <cellStyle name="40% - Accent1 7 2 2 4 2 3" xfId="32722" xr:uid="{00000000-0005-0000-0000-0000B7570000}"/>
    <cellStyle name="40% - Accent1 7 2 2 4 3" xfId="15771" xr:uid="{00000000-0005-0000-0000-0000B8570000}"/>
    <cellStyle name="40% - Accent1 7 2 2 4 3 2" xfId="38373" xr:uid="{00000000-0005-0000-0000-0000B9570000}"/>
    <cellStyle name="40% - Accent1 7 2 2 4 4" xfId="27072" xr:uid="{00000000-0005-0000-0000-0000BA570000}"/>
    <cellStyle name="40% - Accent1 7 2 2 5" xfId="7266" xr:uid="{00000000-0005-0000-0000-0000BB570000}"/>
    <cellStyle name="40% - Accent1 7 2 2 5 2" xfId="18567" xr:uid="{00000000-0005-0000-0000-0000BC570000}"/>
    <cellStyle name="40% - Accent1 7 2 2 5 2 2" xfId="41169" xr:uid="{00000000-0005-0000-0000-0000BD570000}"/>
    <cellStyle name="40% - Accent1 7 2 2 5 3" xfId="29868" xr:uid="{00000000-0005-0000-0000-0000BE570000}"/>
    <cellStyle name="40% - Accent1 7 2 2 6" xfId="12917" xr:uid="{00000000-0005-0000-0000-0000BF570000}"/>
    <cellStyle name="40% - Accent1 7 2 2 6 2" xfId="35519" xr:uid="{00000000-0005-0000-0000-0000C0570000}"/>
    <cellStyle name="40% - Accent1 7 2 2 7" xfId="24218" xr:uid="{00000000-0005-0000-0000-0000C1570000}"/>
    <cellStyle name="40% - Accent1 7 2 3" xfId="985" xr:uid="{00000000-0005-0000-0000-0000C2570000}"/>
    <cellStyle name="40% - Accent1 7 2 3 2" xfId="3048" xr:uid="{00000000-0005-0000-0000-0000C3570000}"/>
    <cellStyle name="40% - Accent1 7 2 3 2 2" xfId="6020" xr:uid="{00000000-0005-0000-0000-0000C4570000}"/>
    <cellStyle name="40% - Accent1 7 2 3 2 2 2" xfId="11670" xr:uid="{00000000-0005-0000-0000-0000C5570000}"/>
    <cellStyle name="40% - Accent1 7 2 3 2 2 2 2" xfId="22971" xr:uid="{00000000-0005-0000-0000-0000C6570000}"/>
    <cellStyle name="40% - Accent1 7 2 3 2 2 2 2 2" xfId="45573" xr:uid="{00000000-0005-0000-0000-0000C7570000}"/>
    <cellStyle name="40% - Accent1 7 2 3 2 2 2 3" xfId="34272" xr:uid="{00000000-0005-0000-0000-0000C8570000}"/>
    <cellStyle name="40% - Accent1 7 2 3 2 2 3" xfId="17321" xr:uid="{00000000-0005-0000-0000-0000C9570000}"/>
    <cellStyle name="40% - Accent1 7 2 3 2 2 3 2" xfId="39923" xr:uid="{00000000-0005-0000-0000-0000CA570000}"/>
    <cellStyle name="40% - Accent1 7 2 3 2 2 4" xfId="28622" xr:uid="{00000000-0005-0000-0000-0000CB570000}"/>
    <cellStyle name="40% - Accent1 7 2 3 2 3" xfId="8838" xr:uid="{00000000-0005-0000-0000-0000CC570000}"/>
    <cellStyle name="40% - Accent1 7 2 3 2 3 2" xfId="20139" xr:uid="{00000000-0005-0000-0000-0000CD570000}"/>
    <cellStyle name="40% - Accent1 7 2 3 2 3 2 2" xfId="42741" xr:uid="{00000000-0005-0000-0000-0000CE570000}"/>
    <cellStyle name="40% - Accent1 7 2 3 2 3 3" xfId="31440" xr:uid="{00000000-0005-0000-0000-0000CF570000}"/>
    <cellStyle name="40% - Accent1 7 2 3 2 4" xfId="14489" xr:uid="{00000000-0005-0000-0000-0000D0570000}"/>
    <cellStyle name="40% - Accent1 7 2 3 2 4 2" xfId="37091" xr:uid="{00000000-0005-0000-0000-0000D1570000}"/>
    <cellStyle name="40% - Accent1 7 2 3 2 5" xfId="25790" xr:uid="{00000000-0005-0000-0000-0000D2570000}"/>
    <cellStyle name="40% - Accent1 7 2 3 3" xfId="4786" xr:uid="{00000000-0005-0000-0000-0000D3570000}"/>
    <cellStyle name="40% - Accent1 7 2 3 3 2" xfId="10436" xr:uid="{00000000-0005-0000-0000-0000D4570000}"/>
    <cellStyle name="40% - Accent1 7 2 3 3 2 2" xfId="21737" xr:uid="{00000000-0005-0000-0000-0000D5570000}"/>
    <cellStyle name="40% - Accent1 7 2 3 3 2 2 2" xfId="44339" xr:uid="{00000000-0005-0000-0000-0000D6570000}"/>
    <cellStyle name="40% - Accent1 7 2 3 3 2 3" xfId="33038" xr:uid="{00000000-0005-0000-0000-0000D7570000}"/>
    <cellStyle name="40% - Accent1 7 2 3 3 3" xfId="16087" xr:uid="{00000000-0005-0000-0000-0000D8570000}"/>
    <cellStyle name="40% - Accent1 7 2 3 3 3 2" xfId="38689" xr:uid="{00000000-0005-0000-0000-0000D9570000}"/>
    <cellStyle name="40% - Accent1 7 2 3 3 4" xfId="27388" xr:uid="{00000000-0005-0000-0000-0000DA570000}"/>
    <cellStyle name="40% - Accent1 7 2 3 4" xfId="6973" xr:uid="{00000000-0005-0000-0000-0000DB570000}"/>
    <cellStyle name="40% - Accent1 7 2 3 4 2" xfId="18274" xr:uid="{00000000-0005-0000-0000-0000DC570000}"/>
    <cellStyle name="40% - Accent1 7 2 3 4 2 2" xfId="40876" xr:uid="{00000000-0005-0000-0000-0000DD570000}"/>
    <cellStyle name="40% - Accent1 7 2 3 4 3" xfId="29575" xr:uid="{00000000-0005-0000-0000-0000DE570000}"/>
    <cellStyle name="40% - Accent1 7 2 3 5" xfId="12624" xr:uid="{00000000-0005-0000-0000-0000DF570000}"/>
    <cellStyle name="40% - Accent1 7 2 3 5 2" xfId="35226" xr:uid="{00000000-0005-0000-0000-0000E0570000}"/>
    <cellStyle name="40% - Accent1 7 2 3 6" xfId="23925" xr:uid="{00000000-0005-0000-0000-0000E1570000}"/>
    <cellStyle name="40% - Accent1 7 2 4" xfId="1789" xr:uid="{00000000-0005-0000-0000-0000E2570000}"/>
    <cellStyle name="40% - Accent1 7 2 4 2" xfId="3665" xr:uid="{00000000-0005-0000-0000-0000E3570000}"/>
    <cellStyle name="40% - Accent1 7 2 4 2 2" xfId="9375" xr:uid="{00000000-0005-0000-0000-0000E4570000}"/>
    <cellStyle name="40% - Accent1 7 2 4 2 2 2" xfId="20676" xr:uid="{00000000-0005-0000-0000-0000E5570000}"/>
    <cellStyle name="40% - Accent1 7 2 4 2 2 2 2" xfId="43278" xr:uid="{00000000-0005-0000-0000-0000E6570000}"/>
    <cellStyle name="40% - Accent1 7 2 4 2 2 3" xfId="31977" xr:uid="{00000000-0005-0000-0000-0000E7570000}"/>
    <cellStyle name="40% - Accent1 7 2 4 2 3" xfId="15026" xr:uid="{00000000-0005-0000-0000-0000E8570000}"/>
    <cellStyle name="40% - Accent1 7 2 4 2 3 2" xfId="37628" xr:uid="{00000000-0005-0000-0000-0000E9570000}"/>
    <cellStyle name="40% - Accent1 7 2 4 2 4" xfId="26327" xr:uid="{00000000-0005-0000-0000-0000EA570000}"/>
    <cellStyle name="40% - Accent1 7 2 4 3" xfId="5396" xr:uid="{00000000-0005-0000-0000-0000EB570000}"/>
    <cellStyle name="40% - Accent1 7 2 4 3 2" xfId="11046" xr:uid="{00000000-0005-0000-0000-0000EC570000}"/>
    <cellStyle name="40% - Accent1 7 2 4 3 2 2" xfId="22347" xr:uid="{00000000-0005-0000-0000-0000ED570000}"/>
    <cellStyle name="40% - Accent1 7 2 4 3 2 2 2" xfId="44949" xr:uid="{00000000-0005-0000-0000-0000EE570000}"/>
    <cellStyle name="40% - Accent1 7 2 4 3 2 3" xfId="33648" xr:uid="{00000000-0005-0000-0000-0000EF570000}"/>
    <cellStyle name="40% - Accent1 7 2 4 3 3" xfId="16697" xr:uid="{00000000-0005-0000-0000-0000F0570000}"/>
    <cellStyle name="40% - Accent1 7 2 4 3 3 2" xfId="39299" xr:uid="{00000000-0005-0000-0000-0000F1570000}"/>
    <cellStyle name="40% - Accent1 7 2 4 3 4" xfId="27998" xr:uid="{00000000-0005-0000-0000-0000F2570000}"/>
    <cellStyle name="40% - Accent1 7 2 4 4" xfId="7645" xr:uid="{00000000-0005-0000-0000-0000F3570000}"/>
    <cellStyle name="40% - Accent1 7 2 4 4 2" xfId="18946" xr:uid="{00000000-0005-0000-0000-0000F4570000}"/>
    <cellStyle name="40% - Accent1 7 2 4 4 2 2" xfId="41548" xr:uid="{00000000-0005-0000-0000-0000F5570000}"/>
    <cellStyle name="40% - Accent1 7 2 4 4 3" xfId="30247" xr:uid="{00000000-0005-0000-0000-0000F6570000}"/>
    <cellStyle name="40% - Accent1 7 2 4 5" xfId="13296" xr:uid="{00000000-0005-0000-0000-0000F7570000}"/>
    <cellStyle name="40% - Accent1 7 2 4 5 2" xfId="35898" xr:uid="{00000000-0005-0000-0000-0000F8570000}"/>
    <cellStyle name="40% - Accent1 7 2 4 6" xfId="24597" xr:uid="{00000000-0005-0000-0000-0000F9570000}"/>
    <cellStyle name="40% - Accent1 7 2 5" xfId="2377" xr:uid="{00000000-0005-0000-0000-0000FA570000}"/>
    <cellStyle name="40% - Accent1 7 2 5 2" xfId="8213" xr:uid="{00000000-0005-0000-0000-0000FB570000}"/>
    <cellStyle name="40% - Accent1 7 2 5 2 2" xfId="19514" xr:uid="{00000000-0005-0000-0000-0000FC570000}"/>
    <cellStyle name="40% - Accent1 7 2 5 2 2 2" xfId="42116" xr:uid="{00000000-0005-0000-0000-0000FD570000}"/>
    <cellStyle name="40% - Accent1 7 2 5 2 3" xfId="30815" xr:uid="{00000000-0005-0000-0000-0000FE570000}"/>
    <cellStyle name="40% - Accent1 7 2 5 3" xfId="13864" xr:uid="{00000000-0005-0000-0000-0000FF570000}"/>
    <cellStyle name="40% - Accent1 7 2 5 3 2" xfId="36466" xr:uid="{00000000-0005-0000-0000-000000580000}"/>
    <cellStyle name="40% - Accent1 7 2 5 4" xfId="25165" xr:uid="{00000000-0005-0000-0000-000001580000}"/>
    <cellStyle name="40% - Accent1 7 2 6" xfId="4162" xr:uid="{00000000-0005-0000-0000-000002580000}"/>
    <cellStyle name="40% - Accent1 7 2 6 2" xfId="9812" xr:uid="{00000000-0005-0000-0000-000003580000}"/>
    <cellStyle name="40% - Accent1 7 2 6 2 2" xfId="21113" xr:uid="{00000000-0005-0000-0000-000004580000}"/>
    <cellStyle name="40% - Accent1 7 2 6 2 2 2" xfId="43715" xr:uid="{00000000-0005-0000-0000-000005580000}"/>
    <cellStyle name="40% - Accent1 7 2 6 2 3" xfId="32414" xr:uid="{00000000-0005-0000-0000-000006580000}"/>
    <cellStyle name="40% - Accent1 7 2 6 3" xfId="15463" xr:uid="{00000000-0005-0000-0000-000007580000}"/>
    <cellStyle name="40% - Accent1 7 2 6 3 2" xfId="38065" xr:uid="{00000000-0005-0000-0000-000008580000}"/>
    <cellStyle name="40% - Accent1 7 2 6 4" xfId="26764" xr:uid="{00000000-0005-0000-0000-000009580000}"/>
    <cellStyle name="40% - Accent1 7 2 7" xfId="6642" xr:uid="{00000000-0005-0000-0000-00000A580000}"/>
    <cellStyle name="40% - Accent1 7 2 7 2" xfId="17943" xr:uid="{00000000-0005-0000-0000-00000B580000}"/>
    <cellStyle name="40% - Accent1 7 2 7 2 2" xfId="40545" xr:uid="{00000000-0005-0000-0000-00000C580000}"/>
    <cellStyle name="40% - Accent1 7 2 7 3" xfId="29244" xr:uid="{00000000-0005-0000-0000-00000D580000}"/>
    <cellStyle name="40% - Accent1 7 2 8" xfId="12293" xr:uid="{00000000-0005-0000-0000-00000E580000}"/>
    <cellStyle name="40% - Accent1 7 2 8 2" xfId="34895" xr:uid="{00000000-0005-0000-0000-00000F580000}"/>
    <cellStyle name="40% - Accent1 7 2 9" xfId="23594" xr:uid="{00000000-0005-0000-0000-000010580000}"/>
    <cellStyle name="40% - Accent1 7 3" xfId="1149" xr:uid="{00000000-0005-0000-0000-000011580000}"/>
    <cellStyle name="40% - Accent1 7 3 2" xfId="1791" xr:uid="{00000000-0005-0000-0000-000012580000}"/>
    <cellStyle name="40% - Accent1 7 3 2 2" xfId="3217" xr:uid="{00000000-0005-0000-0000-000013580000}"/>
    <cellStyle name="40% - Accent1 7 3 2 2 2" xfId="6189" xr:uid="{00000000-0005-0000-0000-000014580000}"/>
    <cellStyle name="40% - Accent1 7 3 2 2 2 2" xfId="11839" xr:uid="{00000000-0005-0000-0000-000015580000}"/>
    <cellStyle name="40% - Accent1 7 3 2 2 2 2 2" xfId="23140" xr:uid="{00000000-0005-0000-0000-000016580000}"/>
    <cellStyle name="40% - Accent1 7 3 2 2 2 2 2 2" xfId="45742" xr:uid="{00000000-0005-0000-0000-000017580000}"/>
    <cellStyle name="40% - Accent1 7 3 2 2 2 2 3" xfId="34441" xr:uid="{00000000-0005-0000-0000-000018580000}"/>
    <cellStyle name="40% - Accent1 7 3 2 2 2 3" xfId="17490" xr:uid="{00000000-0005-0000-0000-000019580000}"/>
    <cellStyle name="40% - Accent1 7 3 2 2 2 3 2" xfId="40092" xr:uid="{00000000-0005-0000-0000-00001A580000}"/>
    <cellStyle name="40% - Accent1 7 3 2 2 2 4" xfId="28791" xr:uid="{00000000-0005-0000-0000-00001B580000}"/>
    <cellStyle name="40% - Accent1 7 3 2 2 3" xfId="9007" xr:uid="{00000000-0005-0000-0000-00001C580000}"/>
    <cellStyle name="40% - Accent1 7 3 2 2 3 2" xfId="20308" xr:uid="{00000000-0005-0000-0000-00001D580000}"/>
    <cellStyle name="40% - Accent1 7 3 2 2 3 2 2" xfId="42910" xr:uid="{00000000-0005-0000-0000-00001E580000}"/>
    <cellStyle name="40% - Accent1 7 3 2 2 3 3" xfId="31609" xr:uid="{00000000-0005-0000-0000-00001F580000}"/>
    <cellStyle name="40% - Accent1 7 3 2 2 4" xfId="14658" xr:uid="{00000000-0005-0000-0000-000020580000}"/>
    <cellStyle name="40% - Accent1 7 3 2 2 4 2" xfId="37260" xr:uid="{00000000-0005-0000-0000-000021580000}"/>
    <cellStyle name="40% - Accent1 7 3 2 2 5" xfId="25959" xr:uid="{00000000-0005-0000-0000-000022580000}"/>
    <cellStyle name="40% - Accent1 7 3 2 3" xfId="4955" xr:uid="{00000000-0005-0000-0000-000023580000}"/>
    <cellStyle name="40% - Accent1 7 3 2 3 2" xfId="10605" xr:uid="{00000000-0005-0000-0000-000024580000}"/>
    <cellStyle name="40% - Accent1 7 3 2 3 2 2" xfId="21906" xr:uid="{00000000-0005-0000-0000-000025580000}"/>
    <cellStyle name="40% - Accent1 7 3 2 3 2 2 2" xfId="44508" xr:uid="{00000000-0005-0000-0000-000026580000}"/>
    <cellStyle name="40% - Accent1 7 3 2 3 2 3" xfId="33207" xr:uid="{00000000-0005-0000-0000-000027580000}"/>
    <cellStyle name="40% - Accent1 7 3 2 3 3" xfId="16256" xr:uid="{00000000-0005-0000-0000-000028580000}"/>
    <cellStyle name="40% - Accent1 7 3 2 3 3 2" xfId="38858" xr:uid="{00000000-0005-0000-0000-000029580000}"/>
    <cellStyle name="40% - Accent1 7 3 2 3 4" xfId="27557" xr:uid="{00000000-0005-0000-0000-00002A580000}"/>
    <cellStyle name="40% - Accent1 7 3 2 4" xfId="7647" xr:uid="{00000000-0005-0000-0000-00002B580000}"/>
    <cellStyle name="40% - Accent1 7 3 2 4 2" xfId="18948" xr:uid="{00000000-0005-0000-0000-00002C580000}"/>
    <cellStyle name="40% - Accent1 7 3 2 4 2 2" xfId="41550" xr:uid="{00000000-0005-0000-0000-00002D580000}"/>
    <cellStyle name="40% - Accent1 7 3 2 4 3" xfId="30249" xr:uid="{00000000-0005-0000-0000-00002E580000}"/>
    <cellStyle name="40% - Accent1 7 3 2 5" xfId="13298" xr:uid="{00000000-0005-0000-0000-00002F580000}"/>
    <cellStyle name="40% - Accent1 7 3 2 5 2" xfId="35900" xr:uid="{00000000-0005-0000-0000-000030580000}"/>
    <cellStyle name="40% - Accent1 7 3 2 6" xfId="24599" xr:uid="{00000000-0005-0000-0000-000031580000}"/>
    <cellStyle name="40% - Accent1 7 3 3" xfId="2546" xr:uid="{00000000-0005-0000-0000-000032580000}"/>
    <cellStyle name="40% - Accent1 7 3 3 2" xfId="5565" xr:uid="{00000000-0005-0000-0000-000033580000}"/>
    <cellStyle name="40% - Accent1 7 3 3 2 2" xfId="11215" xr:uid="{00000000-0005-0000-0000-000034580000}"/>
    <cellStyle name="40% - Accent1 7 3 3 2 2 2" xfId="22516" xr:uid="{00000000-0005-0000-0000-000035580000}"/>
    <cellStyle name="40% - Accent1 7 3 3 2 2 2 2" xfId="45118" xr:uid="{00000000-0005-0000-0000-000036580000}"/>
    <cellStyle name="40% - Accent1 7 3 3 2 2 3" xfId="33817" xr:uid="{00000000-0005-0000-0000-000037580000}"/>
    <cellStyle name="40% - Accent1 7 3 3 2 3" xfId="16866" xr:uid="{00000000-0005-0000-0000-000038580000}"/>
    <cellStyle name="40% - Accent1 7 3 3 2 3 2" xfId="39468" xr:uid="{00000000-0005-0000-0000-000039580000}"/>
    <cellStyle name="40% - Accent1 7 3 3 2 4" xfId="28167" xr:uid="{00000000-0005-0000-0000-00003A580000}"/>
    <cellStyle name="40% - Accent1 7 3 3 3" xfId="8382" xr:uid="{00000000-0005-0000-0000-00003B580000}"/>
    <cellStyle name="40% - Accent1 7 3 3 3 2" xfId="19683" xr:uid="{00000000-0005-0000-0000-00003C580000}"/>
    <cellStyle name="40% - Accent1 7 3 3 3 2 2" xfId="42285" xr:uid="{00000000-0005-0000-0000-00003D580000}"/>
    <cellStyle name="40% - Accent1 7 3 3 3 3" xfId="30984" xr:uid="{00000000-0005-0000-0000-00003E580000}"/>
    <cellStyle name="40% - Accent1 7 3 3 4" xfId="14033" xr:uid="{00000000-0005-0000-0000-00003F580000}"/>
    <cellStyle name="40% - Accent1 7 3 3 4 2" xfId="36635" xr:uid="{00000000-0005-0000-0000-000040580000}"/>
    <cellStyle name="40% - Accent1 7 3 3 5" xfId="25334" xr:uid="{00000000-0005-0000-0000-000041580000}"/>
    <cellStyle name="40% - Accent1 7 3 4" xfId="4331" xr:uid="{00000000-0005-0000-0000-000042580000}"/>
    <cellStyle name="40% - Accent1 7 3 4 2" xfId="9981" xr:uid="{00000000-0005-0000-0000-000043580000}"/>
    <cellStyle name="40% - Accent1 7 3 4 2 2" xfId="21282" xr:uid="{00000000-0005-0000-0000-000044580000}"/>
    <cellStyle name="40% - Accent1 7 3 4 2 2 2" xfId="43884" xr:uid="{00000000-0005-0000-0000-000045580000}"/>
    <cellStyle name="40% - Accent1 7 3 4 2 3" xfId="32583" xr:uid="{00000000-0005-0000-0000-000046580000}"/>
    <cellStyle name="40% - Accent1 7 3 4 3" xfId="15632" xr:uid="{00000000-0005-0000-0000-000047580000}"/>
    <cellStyle name="40% - Accent1 7 3 4 3 2" xfId="38234" xr:uid="{00000000-0005-0000-0000-000048580000}"/>
    <cellStyle name="40% - Accent1 7 3 4 4" xfId="26933" xr:uid="{00000000-0005-0000-0000-000049580000}"/>
    <cellStyle name="40% - Accent1 7 3 5" xfId="7128" xr:uid="{00000000-0005-0000-0000-00004A580000}"/>
    <cellStyle name="40% - Accent1 7 3 5 2" xfId="18429" xr:uid="{00000000-0005-0000-0000-00004B580000}"/>
    <cellStyle name="40% - Accent1 7 3 5 2 2" xfId="41031" xr:uid="{00000000-0005-0000-0000-00004C580000}"/>
    <cellStyle name="40% - Accent1 7 3 5 3" xfId="29730" xr:uid="{00000000-0005-0000-0000-00004D580000}"/>
    <cellStyle name="40% - Accent1 7 3 6" xfId="12779" xr:uid="{00000000-0005-0000-0000-00004E580000}"/>
    <cellStyle name="40% - Accent1 7 3 6 2" xfId="35381" xr:uid="{00000000-0005-0000-0000-00004F580000}"/>
    <cellStyle name="40% - Accent1 7 3 7" xfId="24080" xr:uid="{00000000-0005-0000-0000-000050580000}"/>
    <cellStyle name="40% - Accent1 7 4" xfId="840" xr:uid="{00000000-0005-0000-0000-000051580000}"/>
    <cellStyle name="40% - Accent1 7 4 2" xfId="2910" xr:uid="{00000000-0005-0000-0000-000052580000}"/>
    <cellStyle name="40% - Accent1 7 4 2 2" xfId="5882" xr:uid="{00000000-0005-0000-0000-000053580000}"/>
    <cellStyle name="40% - Accent1 7 4 2 2 2" xfId="11532" xr:uid="{00000000-0005-0000-0000-000054580000}"/>
    <cellStyle name="40% - Accent1 7 4 2 2 2 2" xfId="22833" xr:uid="{00000000-0005-0000-0000-000055580000}"/>
    <cellStyle name="40% - Accent1 7 4 2 2 2 2 2" xfId="45435" xr:uid="{00000000-0005-0000-0000-000056580000}"/>
    <cellStyle name="40% - Accent1 7 4 2 2 2 3" xfId="34134" xr:uid="{00000000-0005-0000-0000-000057580000}"/>
    <cellStyle name="40% - Accent1 7 4 2 2 3" xfId="17183" xr:uid="{00000000-0005-0000-0000-000058580000}"/>
    <cellStyle name="40% - Accent1 7 4 2 2 3 2" xfId="39785" xr:uid="{00000000-0005-0000-0000-000059580000}"/>
    <cellStyle name="40% - Accent1 7 4 2 2 4" xfId="28484" xr:uid="{00000000-0005-0000-0000-00005A580000}"/>
    <cellStyle name="40% - Accent1 7 4 2 3" xfId="8700" xr:uid="{00000000-0005-0000-0000-00005B580000}"/>
    <cellStyle name="40% - Accent1 7 4 2 3 2" xfId="20001" xr:uid="{00000000-0005-0000-0000-00005C580000}"/>
    <cellStyle name="40% - Accent1 7 4 2 3 2 2" xfId="42603" xr:uid="{00000000-0005-0000-0000-00005D580000}"/>
    <cellStyle name="40% - Accent1 7 4 2 3 3" xfId="31302" xr:uid="{00000000-0005-0000-0000-00005E580000}"/>
    <cellStyle name="40% - Accent1 7 4 2 4" xfId="14351" xr:uid="{00000000-0005-0000-0000-00005F580000}"/>
    <cellStyle name="40% - Accent1 7 4 2 4 2" xfId="36953" xr:uid="{00000000-0005-0000-0000-000060580000}"/>
    <cellStyle name="40% - Accent1 7 4 2 5" xfId="25652" xr:uid="{00000000-0005-0000-0000-000061580000}"/>
    <cellStyle name="40% - Accent1 7 4 3" xfId="4648" xr:uid="{00000000-0005-0000-0000-000062580000}"/>
    <cellStyle name="40% - Accent1 7 4 3 2" xfId="10298" xr:uid="{00000000-0005-0000-0000-000063580000}"/>
    <cellStyle name="40% - Accent1 7 4 3 2 2" xfId="21599" xr:uid="{00000000-0005-0000-0000-000064580000}"/>
    <cellStyle name="40% - Accent1 7 4 3 2 2 2" xfId="44201" xr:uid="{00000000-0005-0000-0000-000065580000}"/>
    <cellStyle name="40% - Accent1 7 4 3 2 3" xfId="32900" xr:uid="{00000000-0005-0000-0000-000066580000}"/>
    <cellStyle name="40% - Accent1 7 4 3 3" xfId="15949" xr:uid="{00000000-0005-0000-0000-000067580000}"/>
    <cellStyle name="40% - Accent1 7 4 3 3 2" xfId="38551" xr:uid="{00000000-0005-0000-0000-000068580000}"/>
    <cellStyle name="40% - Accent1 7 4 3 4" xfId="27250" xr:uid="{00000000-0005-0000-0000-000069580000}"/>
    <cellStyle name="40% - Accent1 7 4 4" xfId="6835" xr:uid="{00000000-0005-0000-0000-00006A580000}"/>
    <cellStyle name="40% - Accent1 7 4 4 2" xfId="18136" xr:uid="{00000000-0005-0000-0000-00006B580000}"/>
    <cellStyle name="40% - Accent1 7 4 4 2 2" xfId="40738" xr:uid="{00000000-0005-0000-0000-00006C580000}"/>
    <cellStyle name="40% - Accent1 7 4 4 3" xfId="29437" xr:uid="{00000000-0005-0000-0000-00006D580000}"/>
    <cellStyle name="40% - Accent1 7 4 5" xfId="12486" xr:uid="{00000000-0005-0000-0000-00006E580000}"/>
    <cellStyle name="40% - Accent1 7 4 5 2" xfId="35088" xr:uid="{00000000-0005-0000-0000-00006F580000}"/>
    <cellStyle name="40% - Accent1 7 4 6" xfId="23787" xr:uid="{00000000-0005-0000-0000-000070580000}"/>
    <cellStyle name="40% - Accent1 7 5" xfId="1788" xr:uid="{00000000-0005-0000-0000-000071580000}"/>
    <cellStyle name="40% - Accent1 7 5 2" xfId="3664" xr:uid="{00000000-0005-0000-0000-000072580000}"/>
    <cellStyle name="40% - Accent1 7 5 2 2" xfId="9374" xr:uid="{00000000-0005-0000-0000-000073580000}"/>
    <cellStyle name="40% - Accent1 7 5 2 2 2" xfId="20675" xr:uid="{00000000-0005-0000-0000-000074580000}"/>
    <cellStyle name="40% - Accent1 7 5 2 2 2 2" xfId="43277" xr:uid="{00000000-0005-0000-0000-000075580000}"/>
    <cellStyle name="40% - Accent1 7 5 2 2 3" xfId="31976" xr:uid="{00000000-0005-0000-0000-000076580000}"/>
    <cellStyle name="40% - Accent1 7 5 2 3" xfId="15025" xr:uid="{00000000-0005-0000-0000-000077580000}"/>
    <cellStyle name="40% - Accent1 7 5 2 3 2" xfId="37627" xr:uid="{00000000-0005-0000-0000-000078580000}"/>
    <cellStyle name="40% - Accent1 7 5 2 4" xfId="26326" xr:uid="{00000000-0005-0000-0000-000079580000}"/>
    <cellStyle name="40% - Accent1 7 5 3" xfId="5258" xr:uid="{00000000-0005-0000-0000-00007A580000}"/>
    <cellStyle name="40% - Accent1 7 5 3 2" xfId="10908" xr:uid="{00000000-0005-0000-0000-00007B580000}"/>
    <cellStyle name="40% - Accent1 7 5 3 2 2" xfId="22209" xr:uid="{00000000-0005-0000-0000-00007C580000}"/>
    <cellStyle name="40% - Accent1 7 5 3 2 2 2" xfId="44811" xr:uid="{00000000-0005-0000-0000-00007D580000}"/>
    <cellStyle name="40% - Accent1 7 5 3 2 3" xfId="33510" xr:uid="{00000000-0005-0000-0000-00007E580000}"/>
    <cellStyle name="40% - Accent1 7 5 3 3" xfId="16559" xr:uid="{00000000-0005-0000-0000-00007F580000}"/>
    <cellStyle name="40% - Accent1 7 5 3 3 2" xfId="39161" xr:uid="{00000000-0005-0000-0000-000080580000}"/>
    <cellStyle name="40% - Accent1 7 5 3 4" xfId="27860" xr:uid="{00000000-0005-0000-0000-000081580000}"/>
    <cellStyle name="40% - Accent1 7 5 4" xfId="7644" xr:uid="{00000000-0005-0000-0000-000082580000}"/>
    <cellStyle name="40% - Accent1 7 5 4 2" xfId="18945" xr:uid="{00000000-0005-0000-0000-000083580000}"/>
    <cellStyle name="40% - Accent1 7 5 4 2 2" xfId="41547" xr:uid="{00000000-0005-0000-0000-000084580000}"/>
    <cellStyle name="40% - Accent1 7 5 4 3" xfId="30246" xr:uid="{00000000-0005-0000-0000-000085580000}"/>
    <cellStyle name="40% - Accent1 7 5 5" xfId="13295" xr:uid="{00000000-0005-0000-0000-000086580000}"/>
    <cellStyle name="40% - Accent1 7 5 5 2" xfId="35897" xr:uid="{00000000-0005-0000-0000-000087580000}"/>
    <cellStyle name="40% - Accent1 7 5 6" xfId="24596" xr:uid="{00000000-0005-0000-0000-000088580000}"/>
    <cellStyle name="40% - Accent1 7 6" xfId="2237" xr:uid="{00000000-0005-0000-0000-000089580000}"/>
    <cellStyle name="40% - Accent1 7 6 2" xfId="8073" xr:uid="{00000000-0005-0000-0000-00008A580000}"/>
    <cellStyle name="40% - Accent1 7 6 2 2" xfId="19374" xr:uid="{00000000-0005-0000-0000-00008B580000}"/>
    <cellStyle name="40% - Accent1 7 6 2 2 2" xfId="41976" xr:uid="{00000000-0005-0000-0000-00008C580000}"/>
    <cellStyle name="40% - Accent1 7 6 2 3" xfId="30675" xr:uid="{00000000-0005-0000-0000-00008D580000}"/>
    <cellStyle name="40% - Accent1 7 6 3" xfId="13724" xr:uid="{00000000-0005-0000-0000-00008E580000}"/>
    <cellStyle name="40% - Accent1 7 6 3 2" xfId="36326" xr:uid="{00000000-0005-0000-0000-00008F580000}"/>
    <cellStyle name="40% - Accent1 7 6 4" xfId="25025" xr:uid="{00000000-0005-0000-0000-000090580000}"/>
    <cellStyle name="40% - Accent1 7 7" xfId="4024" xr:uid="{00000000-0005-0000-0000-000091580000}"/>
    <cellStyle name="40% - Accent1 7 7 2" xfId="9674" xr:uid="{00000000-0005-0000-0000-000092580000}"/>
    <cellStyle name="40% - Accent1 7 7 2 2" xfId="20975" xr:uid="{00000000-0005-0000-0000-000093580000}"/>
    <cellStyle name="40% - Accent1 7 7 2 2 2" xfId="43577" xr:uid="{00000000-0005-0000-0000-000094580000}"/>
    <cellStyle name="40% - Accent1 7 7 2 3" xfId="32276" xr:uid="{00000000-0005-0000-0000-000095580000}"/>
    <cellStyle name="40% - Accent1 7 7 3" xfId="15325" xr:uid="{00000000-0005-0000-0000-000096580000}"/>
    <cellStyle name="40% - Accent1 7 7 3 2" xfId="37927" xr:uid="{00000000-0005-0000-0000-000097580000}"/>
    <cellStyle name="40% - Accent1 7 7 4" xfId="26626" xr:uid="{00000000-0005-0000-0000-000098580000}"/>
    <cellStyle name="40% - Accent1 7 8" xfId="6475" xr:uid="{00000000-0005-0000-0000-000099580000}"/>
    <cellStyle name="40% - Accent1 7 8 2" xfId="17776" xr:uid="{00000000-0005-0000-0000-00009A580000}"/>
    <cellStyle name="40% - Accent1 7 8 2 2" xfId="40378" xr:uid="{00000000-0005-0000-0000-00009B580000}"/>
    <cellStyle name="40% - Accent1 7 8 3" xfId="29077" xr:uid="{00000000-0005-0000-0000-00009C580000}"/>
    <cellStyle name="40% - Accent1 7 9" xfId="12126" xr:uid="{00000000-0005-0000-0000-00009D580000}"/>
    <cellStyle name="40% - Accent1 7 9 2" xfId="34728" xr:uid="{00000000-0005-0000-0000-00009E580000}"/>
    <cellStyle name="40% - Accent1 8" xfId="435" xr:uid="{00000000-0005-0000-0000-00009F580000}"/>
    <cellStyle name="40% - Accent1 8 2" xfId="1206" xr:uid="{00000000-0005-0000-0000-0000A0580000}"/>
    <cellStyle name="40% - Accent1 8 2 2" xfId="1793" xr:uid="{00000000-0005-0000-0000-0000A1580000}"/>
    <cellStyle name="40% - Accent1 8 2 2 2" xfId="3275" xr:uid="{00000000-0005-0000-0000-0000A2580000}"/>
    <cellStyle name="40% - Accent1 8 2 2 2 2" xfId="6247" xr:uid="{00000000-0005-0000-0000-0000A3580000}"/>
    <cellStyle name="40% - Accent1 8 2 2 2 2 2" xfId="11897" xr:uid="{00000000-0005-0000-0000-0000A4580000}"/>
    <cellStyle name="40% - Accent1 8 2 2 2 2 2 2" xfId="23198" xr:uid="{00000000-0005-0000-0000-0000A5580000}"/>
    <cellStyle name="40% - Accent1 8 2 2 2 2 2 2 2" xfId="45800" xr:uid="{00000000-0005-0000-0000-0000A6580000}"/>
    <cellStyle name="40% - Accent1 8 2 2 2 2 2 3" xfId="34499" xr:uid="{00000000-0005-0000-0000-0000A7580000}"/>
    <cellStyle name="40% - Accent1 8 2 2 2 2 3" xfId="17548" xr:uid="{00000000-0005-0000-0000-0000A8580000}"/>
    <cellStyle name="40% - Accent1 8 2 2 2 2 3 2" xfId="40150" xr:uid="{00000000-0005-0000-0000-0000A9580000}"/>
    <cellStyle name="40% - Accent1 8 2 2 2 2 4" xfId="28849" xr:uid="{00000000-0005-0000-0000-0000AA580000}"/>
    <cellStyle name="40% - Accent1 8 2 2 2 3" xfId="9065" xr:uid="{00000000-0005-0000-0000-0000AB580000}"/>
    <cellStyle name="40% - Accent1 8 2 2 2 3 2" xfId="20366" xr:uid="{00000000-0005-0000-0000-0000AC580000}"/>
    <cellStyle name="40% - Accent1 8 2 2 2 3 2 2" xfId="42968" xr:uid="{00000000-0005-0000-0000-0000AD580000}"/>
    <cellStyle name="40% - Accent1 8 2 2 2 3 3" xfId="31667" xr:uid="{00000000-0005-0000-0000-0000AE580000}"/>
    <cellStyle name="40% - Accent1 8 2 2 2 4" xfId="14716" xr:uid="{00000000-0005-0000-0000-0000AF580000}"/>
    <cellStyle name="40% - Accent1 8 2 2 2 4 2" xfId="37318" xr:uid="{00000000-0005-0000-0000-0000B0580000}"/>
    <cellStyle name="40% - Accent1 8 2 2 2 5" xfId="26017" xr:uid="{00000000-0005-0000-0000-0000B1580000}"/>
    <cellStyle name="40% - Accent1 8 2 2 3" xfId="5013" xr:uid="{00000000-0005-0000-0000-0000B2580000}"/>
    <cellStyle name="40% - Accent1 8 2 2 3 2" xfId="10663" xr:uid="{00000000-0005-0000-0000-0000B3580000}"/>
    <cellStyle name="40% - Accent1 8 2 2 3 2 2" xfId="21964" xr:uid="{00000000-0005-0000-0000-0000B4580000}"/>
    <cellStyle name="40% - Accent1 8 2 2 3 2 2 2" xfId="44566" xr:uid="{00000000-0005-0000-0000-0000B5580000}"/>
    <cellStyle name="40% - Accent1 8 2 2 3 2 3" xfId="33265" xr:uid="{00000000-0005-0000-0000-0000B6580000}"/>
    <cellStyle name="40% - Accent1 8 2 2 3 3" xfId="16314" xr:uid="{00000000-0005-0000-0000-0000B7580000}"/>
    <cellStyle name="40% - Accent1 8 2 2 3 3 2" xfId="38916" xr:uid="{00000000-0005-0000-0000-0000B8580000}"/>
    <cellStyle name="40% - Accent1 8 2 2 3 4" xfId="27615" xr:uid="{00000000-0005-0000-0000-0000B9580000}"/>
    <cellStyle name="40% - Accent1 8 2 2 4" xfId="7649" xr:uid="{00000000-0005-0000-0000-0000BA580000}"/>
    <cellStyle name="40% - Accent1 8 2 2 4 2" xfId="18950" xr:uid="{00000000-0005-0000-0000-0000BB580000}"/>
    <cellStyle name="40% - Accent1 8 2 2 4 2 2" xfId="41552" xr:uid="{00000000-0005-0000-0000-0000BC580000}"/>
    <cellStyle name="40% - Accent1 8 2 2 4 3" xfId="30251" xr:uid="{00000000-0005-0000-0000-0000BD580000}"/>
    <cellStyle name="40% - Accent1 8 2 2 5" xfId="13300" xr:uid="{00000000-0005-0000-0000-0000BE580000}"/>
    <cellStyle name="40% - Accent1 8 2 2 5 2" xfId="35902" xr:uid="{00000000-0005-0000-0000-0000BF580000}"/>
    <cellStyle name="40% - Accent1 8 2 2 6" xfId="24601" xr:uid="{00000000-0005-0000-0000-0000C0580000}"/>
    <cellStyle name="40% - Accent1 8 2 3" xfId="2604" xr:uid="{00000000-0005-0000-0000-0000C1580000}"/>
    <cellStyle name="40% - Accent1 8 2 3 2" xfId="5623" xr:uid="{00000000-0005-0000-0000-0000C2580000}"/>
    <cellStyle name="40% - Accent1 8 2 3 2 2" xfId="11273" xr:uid="{00000000-0005-0000-0000-0000C3580000}"/>
    <cellStyle name="40% - Accent1 8 2 3 2 2 2" xfId="22574" xr:uid="{00000000-0005-0000-0000-0000C4580000}"/>
    <cellStyle name="40% - Accent1 8 2 3 2 2 2 2" xfId="45176" xr:uid="{00000000-0005-0000-0000-0000C5580000}"/>
    <cellStyle name="40% - Accent1 8 2 3 2 2 3" xfId="33875" xr:uid="{00000000-0005-0000-0000-0000C6580000}"/>
    <cellStyle name="40% - Accent1 8 2 3 2 3" xfId="16924" xr:uid="{00000000-0005-0000-0000-0000C7580000}"/>
    <cellStyle name="40% - Accent1 8 2 3 2 3 2" xfId="39526" xr:uid="{00000000-0005-0000-0000-0000C8580000}"/>
    <cellStyle name="40% - Accent1 8 2 3 2 4" xfId="28225" xr:uid="{00000000-0005-0000-0000-0000C9580000}"/>
    <cellStyle name="40% - Accent1 8 2 3 3" xfId="8440" xr:uid="{00000000-0005-0000-0000-0000CA580000}"/>
    <cellStyle name="40% - Accent1 8 2 3 3 2" xfId="19741" xr:uid="{00000000-0005-0000-0000-0000CB580000}"/>
    <cellStyle name="40% - Accent1 8 2 3 3 2 2" xfId="42343" xr:uid="{00000000-0005-0000-0000-0000CC580000}"/>
    <cellStyle name="40% - Accent1 8 2 3 3 3" xfId="31042" xr:uid="{00000000-0005-0000-0000-0000CD580000}"/>
    <cellStyle name="40% - Accent1 8 2 3 4" xfId="14091" xr:uid="{00000000-0005-0000-0000-0000CE580000}"/>
    <cellStyle name="40% - Accent1 8 2 3 4 2" xfId="36693" xr:uid="{00000000-0005-0000-0000-0000CF580000}"/>
    <cellStyle name="40% - Accent1 8 2 3 5" xfId="25392" xr:uid="{00000000-0005-0000-0000-0000D0580000}"/>
    <cellStyle name="40% - Accent1 8 2 4" xfId="4389" xr:uid="{00000000-0005-0000-0000-0000D1580000}"/>
    <cellStyle name="40% - Accent1 8 2 4 2" xfId="10039" xr:uid="{00000000-0005-0000-0000-0000D2580000}"/>
    <cellStyle name="40% - Accent1 8 2 4 2 2" xfId="21340" xr:uid="{00000000-0005-0000-0000-0000D3580000}"/>
    <cellStyle name="40% - Accent1 8 2 4 2 2 2" xfId="43942" xr:uid="{00000000-0005-0000-0000-0000D4580000}"/>
    <cellStyle name="40% - Accent1 8 2 4 2 3" xfId="32641" xr:uid="{00000000-0005-0000-0000-0000D5580000}"/>
    <cellStyle name="40% - Accent1 8 2 4 3" xfId="15690" xr:uid="{00000000-0005-0000-0000-0000D6580000}"/>
    <cellStyle name="40% - Accent1 8 2 4 3 2" xfId="38292" xr:uid="{00000000-0005-0000-0000-0000D7580000}"/>
    <cellStyle name="40% - Accent1 8 2 4 4" xfId="26991" xr:uid="{00000000-0005-0000-0000-0000D8580000}"/>
    <cellStyle name="40% - Accent1 8 2 5" xfId="7185" xr:uid="{00000000-0005-0000-0000-0000D9580000}"/>
    <cellStyle name="40% - Accent1 8 2 5 2" xfId="18486" xr:uid="{00000000-0005-0000-0000-0000DA580000}"/>
    <cellStyle name="40% - Accent1 8 2 5 2 2" xfId="41088" xr:uid="{00000000-0005-0000-0000-0000DB580000}"/>
    <cellStyle name="40% - Accent1 8 2 5 3" xfId="29787" xr:uid="{00000000-0005-0000-0000-0000DC580000}"/>
    <cellStyle name="40% - Accent1 8 2 6" xfId="12836" xr:uid="{00000000-0005-0000-0000-0000DD580000}"/>
    <cellStyle name="40% - Accent1 8 2 6 2" xfId="35438" xr:uid="{00000000-0005-0000-0000-0000DE580000}"/>
    <cellStyle name="40% - Accent1 8 2 7" xfId="24137" xr:uid="{00000000-0005-0000-0000-0000DF580000}"/>
    <cellStyle name="40% - Accent1 8 3" xfId="903" xr:uid="{00000000-0005-0000-0000-0000E0580000}"/>
    <cellStyle name="40% - Accent1 8 3 2" xfId="2967" xr:uid="{00000000-0005-0000-0000-0000E1580000}"/>
    <cellStyle name="40% - Accent1 8 3 2 2" xfId="5939" xr:uid="{00000000-0005-0000-0000-0000E2580000}"/>
    <cellStyle name="40% - Accent1 8 3 2 2 2" xfId="11589" xr:uid="{00000000-0005-0000-0000-0000E3580000}"/>
    <cellStyle name="40% - Accent1 8 3 2 2 2 2" xfId="22890" xr:uid="{00000000-0005-0000-0000-0000E4580000}"/>
    <cellStyle name="40% - Accent1 8 3 2 2 2 2 2" xfId="45492" xr:uid="{00000000-0005-0000-0000-0000E5580000}"/>
    <cellStyle name="40% - Accent1 8 3 2 2 2 3" xfId="34191" xr:uid="{00000000-0005-0000-0000-0000E6580000}"/>
    <cellStyle name="40% - Accent1 8 3 2 2 3" xfId="17240" xr:uid="{00000000-0005-0000-0000-0000E7580000}"/>
    <cellStyle name="40% - Accent1 8 3 2 2 3 2" xfId="39842" xr:uid="{00000000-0005-0000-0000-0000E8580000}"/>
    <cellStyle name="40% - Accent1 8 3 2 2 4" xfId="28541" xr:uid="{00000000-0005-0000-0000-0000E9580000}"/>
    <cellStyle name="40% - Accent1 8 3 2 3" xfId="8757" xr:uid="{00000000-0005-0000-0000-0000EA580000}"/>
    <cellStyle name="40% - Accent1 8 3 2 3 2" xfId="20058" xr:uid="{00000000-0005-0000-0000-0000EB580000}"/>
    <cellStyle name="40% - Accent1 8 3 2 3 2 2" xfId="42660" xr:uid="{00000000-0005-0000-0000-0000EC580000}"/>
    <cellStyle name="40% - Accent1 8 3 2 3 3" xfId="31359" xr:uid="{00000000-0005-0000-0000-0000ED580000}"/>
    <cellStyle name="40% - Accent1 8 3 2 4" xfId="14408" xr:uid="{00000000-0005-0000-0000-0000EE580000}"/>
    <cellStyle name="40% - Accent1 8 3 2 4 2" xfId="37010" xr:uid="{00000000-0005-0000-0000-0000EF580000}"/>
    <cellStyle name="40% - Accent1 8 3 2 5" xfId="25709" xr:uid="{00000000-0005-0000-0000-0000F0580000}"/>
    <cellStyle name="40% - Accent1 8 3 3" xfId="4705" xr:uid="{00000000-0005-0000-0000-0000F1580000}"/>
    <cellStyle name="40% - Accent1 8 3 3 2" xfId="10355" xr:uid="{00000000-0005-0000-0000-0000F2580000}"/>
    <cellStyle name="40% - Accent1 8 3 3 2 2" xfId="21656" xr:uid="{00000000-0005-0000-0000-0000F3580000}"/>
    <cellStyle name="40% - Accent1 8 3 3 2 2 2" xfId="44258" xr:uid="{00000000-0005-0000-0000-0000F4580000}"/>
    <cellStyle name="40% - Accent1 8 3 3 2 3" xfId="32957" xr:uid="{00000000-0005-0000-0000-0000F5580000}"/>
    <cellStyle name="40% - Accent1 8 3 3 3" xfId="16006" xr:uid="{00000000-0005-0000-0000-0000F6580000}"/>
    <cellStyle name="40% - Accent1 8 3 3 3 2" xfId="38608" xr:uid="{00000000-0005-0000-0000-0000F7580000}"/>
    <cellStyle name="40% - Accent1 8 3 3 4" xfId="27307" xr:uid="{00000000-0005-0000-0000-0000F8580000}"/>
    <cellStyle name="40% - Accent1 8 3 4" xfId="6892" xr:uid="{00000000-0005-0000-0000-0000F9580000}"/>
    <cellStyle name="40% - Accent1 8 3 4 2" xfId="18193" xr:uid="{00000000-0005-0000-0000-0000FA580000}"/>
    <cellStyle name="40% - Accent1 8 3 4 2 2" xfId="40795" xr:uid="{00000000-0005-0000-0000-0000FB580000}"/>
    <cellStyle name="40% - Accent1 8 3 4 3" xfId="29494" xr:uid="{00000000-0005-0000-0000-0000FC580000}"/>
    <cellStyle name="40% - Accent1 8 3 5" xfId="12543" xr:uid="{00000000-0005-0000-0000-0000FD580000}"/>
    <cellStyle name="40% - Accent1 8 3 5 2" xfId="35145" xr:uid="{00000000-0005-0000-0000-0000FE580000}"/>
    <cellStyle name="40% - Accent1 8 3 6" xfId="23844" xr:uid="{00000000-0005-0000-0000-0000FF580000}"/>
    <cellStyle name="40% - Accent1 8 4" xfId="1792" xr:uid="{00000000-0005-0000-0000-000000590000}"/>
    <cellStyle name="40% - Accent1 8 4 2" xfId="3666" xr:uid="{00000000-0005-0000-0000-000001590000}"/>
    <cellStyle name="40% - Accent1 8 4 2 2" xfId="9376" xr:uid="{00000000-0005-0000-0000-000002590000}"/>
    <cellStyle name="40% - Accent1 8 4 2 2 2" xfId="20677" xr:uid="{00000000-0005-0000-0000-000003590000}"/>
    <cellStyle name="40% - Accent1 8 4 2 2 2 2" xfId="43279" xr:uid="{00000000-0005-0000-0000-000004590000}"/>
    <cellStyle name="40% - Accent1 8 4 2 2 3" xfId="31978" xr:uid="{00000000-0005-0000-0000-000005590000}"/>
    <cellStyle name="40% - Accent1 8 4 2 3" xfId="15027" xr:uid="{00000000-0005-0000-0000-000006590000}"/>
    <cellStyle name="40% - Accent1 8 4 2 3 2" xfId="37629" xr:uid="{00000000-0005-0000-0000-000007590000}"/>
    <cellStyle name="40% - Accent1 8 4 2 4" xfId="26328" xr:uid="{00000000-0005-0000-0000-000008590000}"/>
    <cellStyle name="40% - Accent1 8 4 3" xfId="5315" xr:uid="{00000000-0005-0000-0000-000009590000}"/>
    <cellStyle name="40% - Accent1 8 4 3 2" xfId="10965" xr:uid="{00000000-0005-0000-0000-00000A590000}"/>
    <cellStyle name="40% - Accent1 8 4 3 2 2" xfId="22266" xr:uid="{00000000-0005-0000-0000-00000B590000}"/>
    <cellStyle name="40% - Accent1 8 4 3 2 2 2" xfId="44868" xr:uid="{00000000-0005-0000-0000-00000C590000}"/>
    <cellStyle name="40% - Accent1 8 4 3 2 3" xfId="33567" xr:uid="{00000000-0005-0000-0000-00000D590000}"/>
    <cellStyle name="40% - Accent1 8 4 3 3" xfId="16616" xr:uid="{00000000-0005-0000-0000-00000E590000}"/>
    <cellStyle name="40% - Accent1 8 4 3 3 2" xfId="39218" xr:uid="{00000000-0005-0000-0000-00000F590000}"/>
    <cellStyle name="40% - Accent1 8 4 3 4" xfId="27917" xr:uid="{00000000-0005-0000-0000-000010590000}"/>
    <cellStyle name="40% - Accent1 8 4 4" xfId="7648" xr:uid="{00000000-0005-0000-0000-000011590000}"/>
    <cellStyle name="40% - Accent1 8 4 4 2" xfId="18949" xr:uid="{00000000-0005-0000-0000-000012590000}"/>
    <cellStyle name="40% - Accent1 8 4 4 2 2" xfId="41551" xr:uid="{00000000-0005-0000-0000-000013590000}"/>
    <cellStyle name="40% - Accent1 8 4 4 3" xfId="30250" xr:uid="{00000000-0005-0000-0000-000014590000}"/>
    <cellStyle name="40% - Accent1 8 4 5" xfId="13299" xr:uid="{00000000-0005-0000-0000-000015590000}"/>
    <cellStyle name="40% - Accent1 8 4 5 2" xfId="35901" xr:uid="{00000000-0005-0000-0000-000016590000}"/>
    <cellStyle name="40% - Accent1 8 4 6" xfId="24600" xr:uid="{00000000-0005-0000-0000-000017590000}"/>
    <cellStyle name="40% - Accent1 8 5" xfId="2296" xr:uid="{00000000-0005-0000-0000-000018590000}"/>
    <cellStyle name="40% - Accent1 8 5 2" xfId="8132" xr:uid="{00000000-0005-0000-0000-000019590000}"/>
    <cellStyle name="40% - Accent1 8 5 2 2" xfId="19433" xr:uid="{00000000-0005-0000-0000-00001A590000}"/>
    <cellStyle name="40% - Accent1 8 5 2 2 2" xfId="42035" xr:uid="{00000000-0005-0000-0000-00001B590000}"/>
    <cellStyle name="40% - Accent1 8 5 2 3" xfId="30734" xr:uid="{00000000-0005-0000-0000-00001C590000}"/>
    <cellStyle name="40% - Accent1 8 5 3" xfId="13783" xr:uid="{00000000-0005-0000-0000-00001D590000}"/>
    <cellStyle name="40% - Accent1 8 5 3 2" xfId="36385" xr:uid="{00000000-0005-0000-0000-00001E590000}"/>
    <cellStyle name="40% - Accent1 8 5 4" xfId="25084" xr:uid="{00000000-0005-0000-0000-00001F590000}"/>
    <cellStyle name="40% - Accent1 8 6" xfId="4081" xr:uid="{00000000-0005-0000-0000-000020590000}"/>
    <cellStyle name="40% - Accent1 8 6 2" xfId="9731" xr:uid="{00000000-0005-0000-0000-000021590000}"/>
    <cellStyle name="40% - Accent1 8 6 2 2" xfId="21032" xr:uid="{00000000-0005-0000-0000-000022590000}"/>
    <cellStyle name="40% - Accent1 8 6 2 2 2" xfId="43634" xr:uid="{00000000-0005-0000-0000-000023590000}"/>
    <cellStyle name="40% - Accent1 8 6 2 3" xfId="32333" xr:uid="{00000000-0005-0000-0000-000024590000}"/>
    <cellStyle name="40% - Accent1 8 6 3" xfId="15382" xr:uid="{00000000-0005-0000-0000-000025590000}"/>
    <cellStyle name="40% - Accent1 8 6 3 2" xfId="37984" xr:uid="{00000000-0005-0000-0000-000026590000}"/>
    <cellStyle name="40% - Accent1 8 6 4" xfId="26683" xr:uid="{00000000-0005-0000-0000-000027590000}"/>
    <cellStyle name="40% - Accent1 8 7" xfId="6532" xr:uid="{00000000-0005-0000-0000-000028590000}"/>
    <cellStyle name="40% - Accent1 8 7 2" xfId="17833" xr:uid="{00000000-0005-0000-0000-000029590000}"/>
    <cellStyle name="40% - Accent1 8 7 2 2" xfId="40435" xr:uid="{00000000-0005-0000-0000-00002A590000}"/>
    <cellStyle name="40% - Accent1 8 7 3" xfId="29134" xr:uid="{00000000-0005-0000-0000-00002B590000}"/>
    <cellStyle name="40% - Accent1 8 8" xfId="12183" xr:uid="{00000000-0005-0000-0000-00002C590000}"/>
    <cellStyle name="40% - Accent1 8 8 2" xfId="34785" xr:uid="{00000000-0005-0000-0000-00002D590000}"/>
    <cellStyle name="40% - Accent1 8 9" xfId="23484" xr:uid="{00000000-0005-0000-0000-00002E590000}"/>
    <cellStyle name="40% - Accent1 9" xfId="637" xr:uid="{00000000-0005-0000-0000-00002F590000}"/>
    <cellStyle name="40% - Accent1 9 2" xfId="692" xr:uid="{00000000-0005-0000-0000-000030590000}"/>
    <cellStyle name="40% - Accent1 9 2 2" xfId="3107" xr:uid="{00000000-0005-0000-0000-000031590000}"/>
    <cellStyle name="40% - Accent1 9 2 2 2" xfId="6079" xr:uid="{00000000-0005-0000-0000-000032590000}"/>
    <cellStyle name="40% - Accent1 9 2 2 2 2" xfId="11729" xr:uid="{00000000-0005-0000-0000-000033590000}"/>
    <cellStyle name="40% - Accent1 9 2 2 2 2 2" xfId="23030" xr:uid="{00000000-0005-0000-0000-000034590000}"/>
    <cellStyle name="40% - Accent1 9 2 2 2 2 2 2" xfId="45632" xr:uid="{00000000-0005-0000-0000-000035590000}"/>
    <cellStyle name="40% - Accent1 9 2 2 2 2 3" xfId="34331" xr:uid="{00000000-0005-0000-0000-000036590000}"/>
    <cellStyle name="40% - Accent1 9 2 2 2 3" xfId="17380" xr:uid="{00000000-0005-0000-0000-000037590000}"/>
    <cellStyle name="40% - Accent1 9 2 2 2 3 2" xfId="39982" xr:uid="{00000000-0005-0000-0000-000038590000}"/>
    <cellStyle name="40% - Accent1 9 2 2 2 4" xfId="28681" xr:uid="{00000000-0005-0000-0000-000039590000}"/>
    <cellStyle name="40% - Accent1 9 2 2 3" xfId="8897" xr:uid="{00000000-0005-0000-0000-00003A590000}"/>
    <cellStyle name="40% - Accent1 9 2 2 3 2" xfId="20198" xr:uid="{00000000-0005-0000-0000-00003B590000}"/>
    <cellStyle name="40% - Accent1 9 2 2 3 2 2" xfId="42800" xr:uid="{00000000-0005-0000-0000-00003C590000}"/>
    <cellStyle name="40% - Accent1 9 2 2 3 3" xfId="31499" xr:uid="{00000000-0005-0000-0000-00003D590000}"/>
    <cellStyle name="40% - Accent1 9 2 2 4" xfId="14548" xr:uid="{00000000-0005-0000-0000-00003E590000}"/>
    <cellStyle name="40% - Accent1 9 2 2 4 2" xfId="37150" xr:uid="{00000000-0005-0000-0000-00003F590000}"/>
    <cellStyle name="40% - Accent1 9 2 2 5" xfId="25849" xr:uid="{00000000-0005-0000-0000-000040590000}"/>
    <cellStyle name="40% - Accent1 9 2 3" xfId="4845" xr:uid="{00000000-0005-0000-0000-000041590000}"/>
    <cellStyle name="40% - Accent1 9 2 3 2" xfId="10495" xr:uid="{00000000-0005-0000-0000-000042590000}"/>
    <cellStyle name="40% - Accent1 9 2 3 2 2" xfId="21796" xr:uid="{00000000-0005-0000-0000-000043590000}"/>
    <cellStyle name="40% - Accent1 9 2 3 2 2 2" xfId="44398" xr:uid="{00000000-0005-0000-0000-000044590000}"/>
    <cellStyle name="40% - Accent1 9 2 3 2 3" xfId="33097" xr:uid="{00000000-0005-0000-0000-000045590000}"/>
    <cellStyle name="40% - Accent1 9 2 3 3" xfId="16146" xr:uid="{00000000-0005-0000-0000-000046590000}"/>
    <cellStyle name="40% - Accent1 9 2 3 3 2" xfId="38748" xr:uid="{00000000-0005-0000-0000-000047590000}"/>
    <cellStyle name="40% - Accent1 9 2 3 4" xfId="27447" xr:uid="{00000000-0005-0000-0000-000048590000}"/>
    <cellStyle name="40% - Accent1 9 2 4" xfId="6721" xr:uid="{00000000-0005-0000-0000-000049590000}"/>
    <cellStyle name="40% - Accent1 9 2 4 2" xfId="18022" xr:uid="{00000000-0005-0000-0000-00004A590000}"/>
    <cellStyle name="40% - Accent1 9 2 4 2 2" xfId="40624" xr:uid="{00000000-0005-0000-0000-00004B590000}"/>
    <cellStyle name="40% - Accent1 9 2 4 3" xfId="29323" xr:uid="{00000000-0005-0000-0000-00004C590000}"/>
    <cellStyle name="40% - Accent1 9 2 5" xfId="12372" xr:uid="{00000000-0005-0000-0000-00004D590000}"/>
    <cellStyle name="40% - Accent1 9 2 5 2" xfId="34974" xr:uid="{00000000-0005-0000-0000-00004E590000}"/>
    <cellStyle name="40% - Accent1 9 2 6" xfId="23673" xr:uid="{00000000-0005-0000-0000-00004F590000}"/>
    <cellStyle name="40% - Accent1 9 3" xfId="1794" xr:uid="{00000000-0005-0000-0000-000050590000}"/>
    <cellStyle name="40% - Accent1 9 3 2" xfId="3667" xr:uid="{00000000-0005-0000-0000-000051590000}"/>
    <cellStyle name="40% - Accent1 9 3 2 2" xfId="9377" xr:uid="{00000000-0005-0000-0000-000052590000}"/>
    <cellStyle name="40% - Accent1 9 3 2 2 2" xfId="20678" xr:uid="{00000000-0005-0000-0000-000053590000}"/>
    <cellStyle name="40% - Accent1 9 3 2 2 2 2" xfId="43280" xr:uid="{00000000-0005-0000-0000-000054590000}"/>
    <cellStyle name="40% - Accent1 9 3 2 2 3" xfId="31979" xr:uid="{00000000-0005-0000-0000-000055590000}"/>
    <cellStyle name="40% - Accent1 9 3 2 3" xfId="15028" xr:uid="{00000000-0005-0000-0000-000056590000}"/>
    <cellStyle name="40% - Accent1 9 3 2 3 2" xfId="37630" xr:uid="{00000000-0005-0000-0000-000057590000}"/>
    <cellStyle name="40% - Accent1 9 3 2 4" xfId="26329" xr:uid="{00000000-0005-0000-0000-000058590000}"/>
    <cellStyle name="40% - Accent1 9 3 3" xfId="5455" xr:uid="{00000000-0005-0000-0000-000059590000}"/>
    <cellStyle name="40% - Accent1 9 3 3 2" xfId="11105" xr:uid="{00000000-0005-0000-0000-00005A590000}"/>
    <cellStyle name="40% - Accent1 9 3 3 2 2" xfId="22406" xr:uid="{00000000-0005-0000-0000-00005B590000}"/>
    <cellStyle name="40% - Accent1 9 3 3 2 2 2" xfId="45008" xr:uid="{00000000-0005-0000-0000-00005C590000}"/>
    <cellStyle name="40% - Accent1 9 3 3 2 3" xfId="33707" xr:uid="{00000000-0005-0000-0000-00005D590000}"/>
    <cellStyle name="40% - Accent1 9 3 3 3" xfId="16756" xr:uid="{00000000-0005-0000-0000-00005E590000}"/>
    <cellStyle name="40% - Accent1 9 3 3 3 2" xfId="39358" xr:uid="{00000000-0005-0000-0000-00005F590000}"/>
    <cellStyle name="40% - Accent1 9 3 3 4" xfId="28057" xr:uid="{00000000-0005-0000-0000-000060590000}"/>
    <cellStyle name="40% - Accent1 9 3 4" xfId="7650" xr:uid="{00000000-0005-0000-0000-000061590000}"/>
    <cellStyle name="40% - Accent1 9 3 4 2" xfId="18951" xr:uid="{00000000-0005-0000-0000-000062590000}"/>
    <cellStyle name="40% - Accent1 9 3 4 2 2" xfId="41553" xr:uid="{00000000-0005-0000-0000-000063590000}"/>
    <cellStyle name="40% - Accent1 9 3 4 3" xfId="30252" xr:uid="{00000000-0005-0000-0000-000064590000}"/>
    <cellStyle name="40% - Accent1 9 3 5" xfId="13301" xr:uid="{00000000-0005-0000-0000-000065590000}"/>
    <cellStyle name="40% - Accent1 9 3 5 2" xfId="35903" xr:uid="{00000000-0005-0000-0000-000066590000}"/>
    <cellStyle name="40% - Accent1 9 3 6" xfId="24602" xr:uid="{00000000-0005-0000-0000-000067590000}"/>
    <cellStyle name="40% - Accent1 9 4" xfId="2436" xr:uid="{00000000-0005-0000-0000-000068590000}"/>
    <cellStyle name="40% - Accent1 9 4 2" xfId="8272" xr:uid="{00000000-0005-0000-0000-000069590000}"/>
    <cellStyle name="40% - Accent1 9 4 2 2" xfId="19573" xr:uid="{00000000-0005-0000-0000-00006A590000}"/>
    <cellStyle name="40% - Accent1 9 4 2 2 2" xfId="42175" xr:uid="{00000000-0005-0000-0000-00006B590000}"/>
    <cellStyle name="40% - Accent1 9 4 2 3" xfId="30874" xr:uid="{00000000-0005-0000-0000-00006C590000}"/>
    <cellStyle name="40% - Accent1 9 4 3" xfId="13923" xr:uid="{00000000-0005-0000-0000-00006D590000}"/>
    <cellStyle name="40% - Accent1 9 4 3 2" xfId="36525" xr:uid="{00000000-0005-0000-0000-00006E590000}"/>
    <cellStyle name="40% - Accent1 9 4 4" xfId="25224" xr:uid="{00000000-0005-0000-0000-00006F590000}"/>
    <cellStyle name="40% - Accent1 9 5" xfId="4221" xr:uid="{00000000-0005-0000-0000-000070590000}"/>
    <cellStyle name="40% - Accent1 9 5 2" xfId="9871" xr:uid="{00000000-0005-0000-0000-000071590000}"/>
    <cellStyle name="40% - Accent1 9 5 2 2" xfId="21172" xr:uid="{00000000-0005-0000-0000-000072590000}"/>
    <cellStyle name="40% - Accent1 9 5 2 2 2" xfId="43774" xr:uid="{00000000-0005-0000-0000-000073590000}"/>
    <cellStyle name="40% - Accent1 9 5 2 3" xfId="32473" xr:uid="{00000000-0005-0000-0000-000074590000}"/>
    <cellStyle name="40% - Accent1 9 5 3" xfId="15522" xr:uid="{00000000-0005-0000-0000-000075590000}"/>
    <cellStyle name="40% - Accent1 9 5 3 2" xfId="38124" xr:uid="{00000000-0005-0000-0000-000076590000}"/>
    <cellStyle name="40% - Accent1 9 5 4" xfId="26823" xr:uid="{00000000-0005-0000-0000-000077590000}"/>
    <cellStyle name="40% - Accent1 9 6" xfId="6700" xr:uid="{00000000-0005-0000-0000-000078590000}"/>
    <cellStyle name="40% - Accent1 9 6 2" xfId="18001" xr:uid="{00000000-0005-0000-0000-000079590000}"/>
    <cellStyle name="40% - Accent1 9 6 2 2" xfId="40603" xr:uid="{00000000-0005-0000-0000-00007A590000}"/>
    <cellStyle name="40% - Accent1 9 6 3" xfId="29302" xr:uid="{00000000-0005-0000-0000-00007B590000}"/>
    <cellStyle name="40% - Accent1 9 7" xfId="12351" xr:uid="{00000000-0005-0000-0000-00007C590000}"/>
    <cellStyle name="40% - Accent1 9 7 2" xfId="34953" xr:uid="{00000000-0005-0000-0000-00007D590000}"/>
    <cellStyle name="40% - Accent1 9 8" xfId="23652" xr:uid="{00000000-0005-0000-0000-00007E590000}"/>
    <cellStyle name="40% - Accent2 10" xfId="1399" xr:uid="{00000000-0005-0000-0000-00007F590000}"/>
    <cellStyle name="40% - Accent2 10 2" xfId="1795" xr:uid="{00000000-0005-0000-0000-000080590000}"/>
    <cellStyle name="40% - Accent2 10 2 2" xfId="3419" xr:uid="{00000000-0005-0000-0000-000081590000}"/>
    <cellStyle name="40% - Accent2 10 2 2 2" xfId="6391" xr:uid="{00000000-0005-0000-0000-000082590000}"/>
    <cellStyle name="40% - Accent2 10 2 2 2 2" xfId="12041" xr:uid="{00000000-0005-0000-0000-000083590000}"/>
    <cellStyle name="40% - Accent2 10 2 2 2 2 2" xfId="23342" xr:uid="{00000000-0005-0000-0000-000084590000}"/>
    <cellStyle name="40% - Accent2 10 2 2 2 2 2 2" xfId="45944" xr:uid="{00000000-0005-0000-0000-000085590000}"/>
    <cellStyle name="40% - Accent2 10 2 2 2 2 3" xfId="34643" xr:uid="{00000000-0005-0000-0000-000086590000}"/>
    <cellStyle name="40% - Accent2 10 2 2 2 3" xfId="17692" xr:uid="{00000000-0005-0000-0000-000087590000}"/>
    <cellStyle name="40% - Accent2 10 2 2 2 3 2" xfId="40294" xr:uid="{00000000-0005-0000-0000-000088590000}"/>
    <cellStyle name="40% - Accent2 10 2 2 2 4" xfId="28993" xr:uid="{00000000-0005-0000-0000-000089590000}"/>
    <cellStyle name="40% - Accent2 10 2 2 3" xfId="9209" xr:uid="{00000000-0005-0000-0000-00008A590000}"/>
    <cellStyle name="40% - Accent2 10 2 2 3 2" xfId="20510" xr:uid="{00000000-0005-0000-0000-00008B590000}"/>
    <cellStyle name="40% - Accent2 10 2 2 3 2 2" xfId="43112" xr:uid="{00000000-0005-0000-0000-00008C590000}"/>
    <cellStyle name="40% - Accent2 10 2 2 3 3" xfId="31811" xr:uid="{00000000-0005-0000-0000-00008D590000}"/>
    <cellStyle name="40% - Accent2 10 2 2 4" xfId="14860" xr:uid="{00000000-0005-0000-0000-00008E590000}"/>
    <cellStyle name="40% - Accent2 10 2 2 4 2" xfId="37462" xr:uid="{00000000-0005-0000-0000-00008F590000}"/>
    <cellStyle name="40% - Accent2 10 2 2 5" xfId="26161" xr:uid="{00000000-0005-0000-0000-000090590000}"/>
    <cellStyle name="40% - Accent2 10 2 3" xfId="5157" xr:uid="{00000000-0005-0000-0000-000091590000}"/>
    <cellStyle name="40% - Accent2 10 2 3 2" xfId="10807" xr:uid="{00000000-0005-0000-0000-000092590000}"/>
    <cellStyle name="40% - Accent2 10 2 3 2 2" xfId="22108" xr:uid="{00000000-0005-0000-0000-000093590000}"/>
    <cellStyle name="40% - Accent2 10 2 3 2 2 2" xfId="44710" xr:uid="{00000000-0005-0000-0000-000094590000}"/>
    <cellStyle name="40% - Accent2 10 2 3 2 3" xfId="33409" xr:uid="{00000000-0005-0000-0000-000095590000}"/>
    <cellStyle name="40% - Accent2 10 2 3 3" xfId="16458" xr:uid="{00000000-0005-0000-0000-000096590000}"/>
    <cellStyle name="40% - Accent2 10 2 3 3 2" xfId="39060" xr:uid="{00000000-0005-0000-0000-000097590000}"/>
    <cellStyle name="40% - Accent2 10 2 3 4" xfId="27759" xr:uid="{00000000-0005-0000-0000-000098590000}"/>
    <cellStyle name="40% - Accent2 10 2 4" xfId="7651" xr:uid="{00000000-0005-0000-0000-000099590000}"/>
    <cellStyle name="40% - Accent2 10 2 4 2" xfId="18952" xr:uid="{00000000-0005-0000-0000-00009A590000}"/>
    <cellStyle name="40% - Accent2 10 2 4 2 2" xfId="41554" xr:uid="{00000000-0005-0000-0000-00009B590000}"/>
    <cellStyle name="40% - Accent2 10 2 4 3" xfId="30253" xr:uid="{00000000-0005-0000-0000-00009C590000}"/>
    <cellStyle name="40% - Accent2 10 2 5" xfId="13302" xr:uid="{00000000-0005-0000-0000-00009D590000}"/>
    <cellStyle name="40% - Accent2 10 2 5 2" xfId="35904" xr:uid="{00000000-0005-0000-0000-00009E590000}"/>
    <cellStyle name="40% - Accent2 10 2 6" xfId="24603" xr:uid="{00000000-0005-0000-0000-00009F590000}"/>
    <cellStyle name="40% - Accent2 10 3" xfId="2750" xr:uid="{00000000-0005-0000-0000-0000A0590000}"/>
    <cellStyle name="40% - Accent2 10 3 2" xfId="5767" xr:uid="{00000000-0005-0000-0000-0000A1590000}"/>
    <cellStyle name="40% - Accent2 10 3 2 2" xfId="11417" xr:uid="{00000000-0005-0000-0000-0000A2590000}"/>
    <cellStyle name="40% - Accent2 10 3 2 2 2" xfId="22718" xr:uid="{00000000-0005-0000-0000-0000A3590000}"/>
    <cellStyle name="40% - Accent2 10 3 2 2 2 2" xfId="45320" xr:uid="{00000000-0005-0000-0000-0000A4590000}"/>
    <cellStyle name="40% - Accent2 10 3 2 2 3" xfId="34019" xr:uid="{00000000-0005-0000-0000-0000A5590000}"/>
    <cellStyle name="40% - Accent2 10 3 2 3" xfId="17068" xr:uid="{00000000-0005-0000-0000-0000A6590000}"/>
    <cellStyle name="40% - Accent2 10 3 2 3 2" xfId="39670" xr:uid="{00000000-0005-0000-0000-0000A7590000}"/>
    <cellStyle name="40% - Accent2 10 3 2 4" xfId="28369" xr:uid="{00000000-0005-0000-0000-0000A8590000}"/>
    <cellStyle name="40% - Accent2 10 3 3" xfId="8584" xr:uid="{00000000-0005-0000-0000-0000A9590000}"/>
    <cellStyle name="40% - Accent2 10 3 3 2" xfId="19885" xr:uid="{00000000-0005-0000-0000-0000AA590000}"/>
    <cellStyle name="40% - Accent2 10 3 3 2 2" xfId="42487" xr:uid="{00000000-0005-0000-0000-0000AB590000}"/>
    <cellStyle name="40% - Accent2 10 3 3 3" xfId="31186" xr:uid="{00000000-0005-0000-0000-0000AC590000}"/>
    <cellStyle name="40% - Accent2 10 3 4" xfId="14235" xr:uid="{00000000-0005-0000-0000-0000AD590000}"/>
    <cellStyle name="40% - Accent2 10 3 4 2" xfId="36837" xr:uid="{00000000-0005-0000-0000-0000AE590000}"/>
    <cellStyle name="40% - Accent2 10 3 5" xfId="25536" xr:uid="{00000000-0005-0000-0000-0000AF590000}"/>
    <cellStyle name="40% - Accent2 10 4" xfId="4533" xr:uid="{00000000-0005-0000-0000-0000B0590000}"/>
    <cellStyle name="40% - Accent2 10 4 2" xfId="10183" xr:uid="{00000000-0005-0000-0000-0000B1590000}"/>
    <cellStyle name="40% - Accent2 10 4 2 2" xfId="21484" xr:uid="{00000000-0005-0000-0000-0000B2590000}"/>
    <cellStyle name="40% - Accent2 10 4 2 2 2" xfId="44086" xr:uid="{00000000-0005-0000-0000-0000B3590000}"/>
    <cellStyle name="40% - Accent2 10 4 2 3" xfId="32785" xr:uid="{00000000-0005-0000-0000-0000B4590000}"/>
    <cellStyle name="40% - Accent2 10 4 3" xfId="15834" xr:uid="{00000000-0005-0000-0000-0000B5590000}"/>
    <cellStyle name="40% - Accent2 10 4 3 2" xfId="38436" xr:uid="{00000000-0005-0000-0000-0000B6590000}"/>
    <cellStyle name="40% - Accent2 10 4 4" xfId="27135" xr:uid="{00000000-0005-0000-0000-0000B7590000}"/>
    <cellStyle name="40% - Accent2 10 5" xfId="7326" xr:uid="{00000000-0005-0000-0000-0000B8590000}"/>
    <cellStyle name="40% - Accent2 10 5 2" xfId="18627" xr:uid="{00000000-0005-0000-0000-0000B9590000}"/>
    <cellStyle name="40% - Accent2 10 5 2 2" xfId="41229" xr:uid="{00000000-0005-0000-0000-0000BA590000}"/>
    <cellStyle name="40% - Accent2 10 5 3" xfId="29928" xr:uid="{00000000-0005-0000-0000-0000BB590000}"/>
    <cellStyle name="40% - Accent2 10 6" xfId="12977" xr:uid="{00000000-0005-0000-0000-0000BC590000}"/>
    <cellStyle name="40% - Accent2 10 6 2" xfId="35579" xr:uid="{00000000-0005-0000-0000-0000BD590000}"/>
    <cellStyle name="40% - Accent2 10 7" xfId="24278" xr:uid="{00000000-0005-0000-0000-0000BE590000}"/>
    <cellStyle name="40% - Accent2 11" xfId="1397" xr:uid="{00000000-0005-0000-0000-0000BF590000}"/>
    <cellStyle name="40% - Accent2 11 2" xfId="1796" xr:uid="{00000000-0005-0000-0000-0000C0590000}"/>
    <cellStyle name="40% - Accent2 11 2 2" xfId="3668" xr:uid="{00000000-0005-0000-0000-0000C1590000}"/>
    <cellStyle name="40% - Accent2 11 2 2 2" xfId="9378" xr:uid="{00000000-0005-0000-0000-0000C2590000}"/>
    <cellStyle name="40% - Accent2 11 2 2 2 2" xfId="20679" xr:uid="{00000000-0005-0000-0000-0000C3590000}"/>
    <cellStyle name="40% - Accent2 11 2 2 2 2 2" xfId="43281" xr:uid="{00000000-0005-0000-0000-0000C4590000}"/>
    <cellStyle name="40% - Accent2 11 2 2 2 3" xfId="31980" xr:uid="{00000000-0005-0000-0000-0000C5590000}"/>
    <cellStyle name="40% - Accent2 11 2 2 3" xfId="15029" xr:uid="{00000000-0005-0000-0000-0000C6590000}"/>
    <cellStyle name="40% - Accent2 11 2 2 3 2" xfId="37631" xr:uid="{00000000-0005-0000-0000-0000C7590000}"/>
    <cellStyle name="40% - Accent2 11 2 2 4" xfId="26330" xr:uid="{00000000-0005-0000-0000-0000C8590000}"/>
    <cellStyle name="40% - Accent2 11 2 3" xfId="7652" xr:uid="{00000000-0005-0000-0000-0000C9590000}"/>
    <cellStyle name="40% - Accent2 11 2 3 2" xfId="18953" xr:uid="{00000000-0005-0000-0000-0000CA590000}"/>
    <cellStyle name="40% - Accent2 11 2 3 2 2" xfId="41555" xr:uid="{00000000-0005-0000-0000-0000CB590000}"/>
    <cellStyle name="40% - Accent2 11 2 3 3" xfId="30254" xr:uid="{00000000-0005-0000-0000-0000CC590000}"/>
    <cellStyle name="40% - Accent2 11 2 4" xfId="13303" xr:uid="{00000000-0005-0000-0000-0000CD590000}"/>
    <cellStyle name="40% - Accent2 11 2 4 2" xfId="35905" xr:uid="{00000000-0005-0000-0000-0000CE590000}"/>
    <cellStyle name="40% - Accent2 11 2 5" xfId="24604" xr:uid="{00000000-0005-0000-0000-0000CF590000}"/>
    <cellStyle name="40% - Accent2 11 3" xfId="2119" xr:uid="{00000000-0005-0000-0000-0000D0590000}"/>
    <cellStyle name="40% - Accent2 11 3 2" xfId="7963" xr:uid="{00000000-0005-0000-0000-0000D1590000}"/>
    <cellStyle name="40% - Accent2 11 3 2 2" xfId="19264" xr:uid="{00000000-0005-0000-0000-0000D2590000}"/>
    <cellStyle name="40% - Accent2 11 3 2 2 2" xfId="41866" xr:uid="{00000000-0005-0000-0000-0000D3590000}"/>
    <cellStyle name="40% - Accent2 11 3 2 3" xfId="30565" xr:uid="{00000000-0005-0000-0000-0000D4590000}"/>
    <cellStyle name="40% - Accent2 11 3 3" xfId="13614" xr:uid="{00000000-0005-0000-0000-0000D5590000}"/>
    <cellStyle name="40% - Accent2 11 3 3 2" xfId="36216" xr:uid="{00000000-0005-0000-0000-0000D6590000}"/>
    <cellStyle name="40% - Accent2 11 3 4" xfId="24915" xr:uid="{00000000-0005-0000-0000-0000D7590000}"/>
    <cellStyle name="40% - Accent2 11 4" xfId="3916" xr:uid="{00000000-0005-0000-0000-0000D8590000}"/>
    <cellStyle name="40% - Accent2 11 4 2" xfId="9566" xr:uid="{00000000-0005-0000-0000-0000D9590000}"/>
    <cellStyle name="40% - Accent2 11 4 2 2" xfId="20867" xr:uid="{00000000-0005-0000-0000-0000DA590000}"/>
    <cellStyle name="40% - Accent2 11 4 2 2 2" xfId="43469" xr:uid="{00000000-0005-0000-0000-0000DB590000}"/>
    <cellStyle name="40% - Accent2 11 4 2 3" xfId="32168" xr:uid="{00000000-0005-0000-0000-0000DC590000}"/>
    <cellStyle name="40% - Accent2 11 4 3" xfId="15217" xr:uid="{00000000-0005-0000-0000-0000DD590000}"/>
    <cellStyle name="40% - Accent2 11 4 3 2" xfId="37819" xr:uid="{00000000-0005-0000-0000-0000DE590000}"/>
    <cellStyle name="40% - Accent2 11 4 4" xfId="26518" xr:uid="{00000000-0005-0000-0000-0000DF590000}"/>
    <cellStyle name="40% - Accent2 11 5" xfId="7325" xr:uid="{00000000-0005-0000-0000-0000E0590000}"/>
    <cellStyle name="40% - Accent2 11 5 2" xfId="18626" xr:uid="{00000000-0005-0000-0000-0000E1590000}"/>
    <cellStyle name="40% - Accent2 11 5 2 2" xfId="41228" xr:uid="{00000000-0005-0000-0000-0000E2590000}"/>
    <cellStyle name="40% - Accent2 11 5 3" xfId="29927" xr:uid="{00000000-0005-0000-0000-0000E3590000}"/>
    <cellStyle name="40% - Accent2 11 6" xfId="12976" xr:uid="{00000000-0005-0000-0000-0000E4590000}"/>
    <cellStyle name="40% - Accent2 11 6 2" xfId="35578" xr:uid="{00000000-0005-0000-0000-0000E5590000}"/>
    <cellStyle name="40% - Accent2 11 7" xfId="24277" xr:uid="{00000000-0005-0000-0000-0000E6590000}"/>
    <cellStyle name="40% - Accent2 12" xfId="795" xr:uid="{00000000-0005-0000-0000-0000E7590000}"/>
    <cellStyle name="40% - Accent2 12 2" xfId="2292" xr:uid="{00000000-0005-0000-0000-0000E8590000}"/>
    <cellStyle name="40% - Accent2 12 2 2" xfId="8128" xr:uid="{00000000-0005-0000-0000-0000E9590000}"/>
    <cellStyle name="40% - Accent2 12 2 2 2" xfId="19429" xr:uid="{00000000-0005-0000-0000-0000EA590000}"/>
    <cellStyle name="40% - Accent2 12 2 2 2 2" xfId="42031" xr:uid="{00000000-0005-0000-0000-0000EB590000}"/>
    <cellStyle name="40% - Accent2 12 2 2 3" xfId="30730" xr:uid="{00000000-0005-0000-0000-0000EC590000}"/>
    <cellStyle name="40% - Accent2 12 2 3" xfId="13779" xr:uid="{00000000-0005-0000-0000-0000ED590000}"/>
    <cellStyle name="40% - Accent2 12 2 3 2" xfId="36381" xr:uid="{00000000-0005-0000-0000-0000EE590000}"/>
    <cellStyle name="40% - Accent2 12 2 4" xfId="25080" xr:uid="{00000000-0005-0000-0000-0000EF590000}"/>
    <cellStyle name="40% - Accent2 13" xfId="3496" xr:uid="{00000000-0005-0000-0000-0000F0590000}"/>
    <cellStyle name="40% - Accent2 14" xfId="53" xr:uid="{00000000-0005-0000-0000-0000F1590000}"/>
    <cellStyle name="40% - Accent2 2" xfId="94" xr:uid="{00000000-0005-0000-0000-0000F2590000}"/>
    <cellStyle name="40% - Accent2 2 2" xfId="274" xr:uid="{00000000-0005-0000-0000-0000F3590000}"/>
    <cellStyle name="40% - Accent2 2 2 10" xfId="23390" xr:uid="{00000000-0005-0000-0000-0000F4590000}"/>
    <cellStyle name="40% - Accent2 2 2 2" xfId="540" xr:uid="{00000000-0005-0000-0000-0000F5590000}"/>
    <cellStyle name="40% - Accent2 2 2 2 2" xfId="1250" xr:uid="{00000000-0005-0000-0000-0000F6590000}"/>
    <cellStyle name="40% - Accent2 2 2 2 2 2" xfId="1799" xr:uid="{00000000-0005-0000-0000-0000F7590000}"/>
    <cellStyle name="40% - Accent2 2 2 2 2 2 2" xfId="3319" xr:uid="{00000000-0005-0000-0000-0000F8590000}"/>
    <cellStyle name="40% - Accent2 2 2 2 2 2 2 2" xfId="6291" xr:uid="{00000000-0005-0000-0000-0000F9590000}"/>
    <cellStyle name="40% - Accent2 2 2 2 2 2 2 2 2" xfId="11941" xr:uid="{00000000-0005-0000-0000-0000FA590000}"/>
    <cellStyle name="40% - Accent2 2 2 2 2 2 2 2 2 2" xfId="23242" xr:uid="{00000000-0005-0000-0000-0000FB590000}"/>
    <cellStyle name="40% - Accent2 2 2 2 2 2 2 2 2 2 2" xfId="45844" xr:uid="{00000000-0005-0000-0000-0000FC590000}"/>
    <cellStyle name="40% - Accent2 2 2 2 2 2 2 2 2 3" xfId="34543" xr:uid="{00000000-0005-0000-0000-0000FD590000}"/>
    <cellStyle name="40% - Accent2 2 2 2 2 2 2 2 3" xfId="17592" xr:uid="{00000000-0005-0000-0000-0000FE590000}"/>
    <cellStyle name="40% - Accent2 2 2 2 2 2 2 2 3 2" xfId="40194" xr:uid="{00000000-0005-0000-0000-0000FF590000}"/>
    <cellStyle name="40% - Accent2 2 2 2 2 2 2 2 4" xfId="28893" xr:uid="{00000000-0005-0000-0000-0000005A0000}"/>
    <cellStyle name="40% - Accent2 2 2 2 2 2 2 3" xfId="9109" xr:uid="{00000000-0005-0000-0000-0000015A0000}"/>
    <cellStyle name="40% - Accent2 2 2 2 2 2 2 3 2" xfId="20410" xr:uid="{00000000-0005-0000-0000-0000025A0000}"/>
    <cellStyle name="40% - Accent2 2 2 2 2 2 2 3 2 2" xfId="43012" xr:uid="{00000000-0005-0000-0000-0000035A0000}"/>
    <cellStyle name="40% - Accent2 2 2 2 2 2 2 3 3" xfId="31711" xr:uid="{00000000-0005-0000-0000-0000045A0000}"/>
    <cellStyle name="40% - Accent2 2 2 2 2 2 2 4" xfId="14760" xr:uid="{00000000-0005-0000-0000-0000055A0000}"/>
    <cellStyle name="40% - Accent2 2 2 2 2 2 2 4 2" xfId="37362" xr:uid="{00000000-0005-0000-0000-0000065A0000}"/>
    <cellStyle name="40% - Accent2 2 2 2 2 2 2 5" xfId="26061" xr:uid="{00000000-0005-0000-0000-0000075A0000}"/>
    <cellStyle name="40% - Accent2 2 2 2 2 2 3" xfId="5057" xr:uid="{00000000-0005-0000-0000-0000085A0000}"/>
    <cellStyle name="40% - Accent2 2 2 2 2 2 3 2" xfId="10707" xr:uid="{00000000-0005-0000-0000-0000095A0000}"/>
    <cellStyle name="40% - Accent2 2 2 2 2 2 3 2 2" xfId="22008" xr:uid="{00000000-0005-0000-0000-00000A5A0000}"/>
    <cellStyle name="40% - Accent2 2 2 2 2 2 3 2 2 2" xfId="44610" xr:uid="{00000000-0005-0000-0000-00000B5A0000}"/>
    <cellStyle name="40% - Accent2 2 2 2 2 2 3 2 3" xfId="33309" xr:uid="{00000000-0005-0000-0000-00000C5A0000}"/>
    <cellStyle name="40% - Accent2 2 2 2 2 2 3 3" xfId="16358" xr:uid="{00000000-0005-0000-0000-00000D5A0000}"/>
    <cellStyle name="40% - Accent2 2 2 2 2 2 3 3 2" xfId="38960" xr:uid="{00000000-0005-0000-0000-00000E5A0000}"/>
    <cellStyle name="40% - Accent2 2 2 2 2 2 3 4" xfId="27659" xr:uid="{00000000-0005-0000-0000-00000F5A0000}"/>
    <cellStyle name="40% - Accent2 2 2 2 2 2 4" xfId="7655" xr:uid="{00000000-0005-0000-0000-0000105A0000}"/>
    <cellStyle name="40% - Accent2 2 2 2 2 2 4 2" xfId="18956" xr:uid="{00000000-0005-0000-0000-0000115A0000}"/>
    <cellStyle name="40% - Accent2 2 2 2 2 2 4 2 2" xfId="41558" xr:uid="{00000000-0005-0000-0000-0000125A0000}"/>
    <cellStyle name="40% - Accent2 2 2 2 2 2 4 3" xfId="30257" xr:uid="{00000000-0005-0000-0000-0000135A0000}"/>
    <cellStyle name="40% - Accent2 2 2 2 2 2 5" xfId="13306" xr:uid="{00000000-0005-0000-0000-0000145A0000}"/>
    <cellStyle name="40% - Accent2 2 2 2 2 2 5 2" xfId="35908" xr:uid="{00000000-0005-0000-0000-0000155A0000}"/>
    <cellStyle name="40% - Accent2 2 2 2 2 2 6" xfId="24607" xr:uid="{00000000-0005-0000-0000-0000165A0000}"/>
    <cellStyle name="40% - Accent2 2 2 2 2 3" xfId="2648" xr:uid="{00000000-0005-0000-0000-0000175A0000}"/>
    <cellStyle name="40% - Accent2 2 2 2 2 3 2" xfId="5667" xr:uid="{00000000-0005-0000-0000-0000185A0000}"/>
    <cellStyle name="40% - Accent2 2 2 2 2 3 2 2" xfId="11317" xr:uid="{00000000-0005-0000-0000-0000195A0000}"/>
    <cellStyle name="40% - Accent2 2 2 2 2 3 2 2 2" xfId="22618" xr:uid="{00000000-0005-0000-0000-00001A5A0000}"/>
    <cellStyle name="40% - Accent2 2 2 2 2 3 2 2 2 2" xfId="45220" xr:uid="{00000000-0005-0000-0000-00001B5A0000}"/>
    <cellStyle name="40% - Accent2 2 2 2 2 3 2 2 3" xfId="33919" xr:uid="{00000000-0005-0000-0000-00001C5A0000}"/>
    <cellStyle name="40% - Accent2 2 2 2 2 3 2 3" xfId="16968" xr:uid="{00000000-0005-0000-0000-00001D5A0000}"/>
    <cellStyle name="40% - Accent2 2 2 2 2 3 2 3 2" xfId="39570" xr:uid="{00000000-0005-0000-0000-00001E5A0000}"/>
    <cellStyle name="40% - Accent2 2 2 2 2 3 2 4" xfId="28269" xr:uid="{00000000-0005-0000-0000-00001F5A0000}"/>
    <cellStyle name="40% - Accent2 2 2 2 2 3 3" xfId="8484" xr:uid="{00000000-0005-0000-0000-0000205A0000}"/>
    <cellStyle name="40% - Accent2 2 2 2 2 3 3 2" xfId="19785" xr:uid="{00000000-0005-0000-0000-0000215A0000}"/>
    <cellStyle name="40% - Accent2 2 2 2 2 3 3 2 2" xfId="42387" xr:uid="{00000000-0005-0000-0000-0000225A0000}"/>
    <cellStyle name="40% - Accent2 2 2 2 2 3 3 3" xfId="31086" xr:uid="{00000000-0005-0000-0000-0000235A0000}"/>
    <cellStyle name="40% - Accent2 2 2 2 2 3 4" xfId="14135" xr:uid="{00000000-0005-0000-0000-0000245A0000}"/>
    <cellStyle name="40% - Accent2 2 2 2 2 3 4 2" xfId="36737" xr:uid="{00000000-0005-0000-0000-0000255A0000}"/>
    <cellStyle name="40% - Accent2 2 2 2 2 3 5" xfId="25436" xr:uid="{00000000-0005-0000-0000-0000265A0000}"/>
    <cellStyle name="40% - Accent2 2 2 2 2 4" xfId="4433" xr:uid="{00000000-0005-0000-0000-0000275A0000}"/>
    <cellStyle name="40% - Accent2 2 2 2 2 4 2" xfId="10083" xr:uid="{00000000-0005-0000-0000-0000285A0000}"/>
    <cellStyle name="40% - Accent2 2 2 2 2 4 2 2" xfId="21384" xr:uid="{00000000-0005-0000-0000-0000295A0000}"/>
    <cellStyle name="40% - Accent2 2 2 2 2 4 2 2 2" xfId="43986" xr:uid="{00000000-0005-0000-0000-00002A5A0000}"/>
    <cellStyle name="40% - Accent2 2 2 2 2 4 2 3" xfId="32685" xr:uid="{00000000-0005-0000-0000-00002B5A0000}"/>
    <cellStyle name="40% - Accent2 2 2 2 2 4 3" xfId="15734" xr:uid="{00000000-0005-0000-0000-00002C5A0000}"/>
    <cellStyle name="40% - Accent2 2 2 2 2 4 3 2" xfId="38336" xr:uid="{00000000-0005-0000-0000-00002D5A0000}"/>
    <cellStyle name="40% - Accent2 2 2 2 2 4 4" xfId="27035" xr:uid="{00000000-0005-0000-0000-00002E5A0000}"/>
    <cellStyle name="40% - Accent2 2 2 2 2 5" xfId="7229" xr:uid="{00000000-0005-0000-0000-00002F5A0000}"/>
    <cellStyle name="40% - Accent2 2 2 2 2 5 2" xfId="18530" xr:uid="{00000000-0005-0000-0000-0000305A0000}"/>
    <cellStyle name="40% - Accent2 2 2 2 2 5 2 2" xfId="41132" xr:uid="{00000000-0005-0000-0000-0000315A0000}"/>
    <cellStyle name="40% - Accent2 2 2 2 2 5 3" xfId="29831" xr:uid="{00000000-0005-0000-0000-0000325A0000}"/>
    <cellStyle name="40% - Accent2 2 2 2 2 6" xfId="12880" xr:uid="{00000000-0005-0000-0000-0000335A0000}"/>
    <cellStyle name="40% - Accent2 2 2 2 2 6 2" xfId="35482" xr:uid="{00000000-0005-0000-0000-0000345A0000}"/>
    <cellStyle name="40% - Accent2 2 2 2 2 7" xfId="24181" xr:uid="{00000000-0005-0000-0000-0000355A0000}"/>
    <cellStyle name="40% - Accent2 2 2 2 3" xfId="948" xr:uid="{00000000-0005-0000-0000-0000365A0000}"/>
    <cellStyle name="40% - Accent2 2 2 2 3 2" xfId="3011" xr:uid="{00000000-0005-0000-0000-0000375A0000}"/>
    <cellStyle name="40% - Accent2 2 2 2 3 2 2" xfId="5983" xr:uid="{00000000-0005-0000-0000-0000385A0000}"/>
    <cellStyle name="40% - Accent2 2 2 2 3 2 2 2" xfId="11633" xr:uid="{00000000-0005-0000-0000-0000395A0000}"/>
    <cellStyle name="40% - Accent2 2 2 2 3 2 2 2 2" xfId="22934" xr:uid="{00000000-0005-0000-0000-00003A5A0000}"/>
    <cellStyle name="40% - Accent2 2 2 2 3 2 2 2 2 2" xfId="45536" xr:uid="{00000000-0005-0000-0000-00003B5A0000}"/>
    <cellStyle name="40% - Accent2 2 2 2 3 2 2 2 3" xfId="34235" xr:uid="{00000000-0005-0000-0000-00003C5A0000}"/>
    <cellStyle name="40% - Accent2 2 2 2 3 2 2 3" xfId="17284" xr:uid="{00000000-0005-0000-0000-00003D5A0000}"/>
    <cellStyle name="40% - Accent2 2 2 2 3 2 2 3 2" xfId="39886" xr:uid="{00000000-0005-0000-0000-00003E5A0000}"/>
    <cellStyle name="40% - Accent2 2 2 2 3 2 2 4" xfId="28585" xr:uid="{00000000-0005-0000-0000-00003F5A0000}"/>
    <cellStyle name="40% - Accent2 2 2 2 3 2 3" xfId="8801" xr:uid="{00000000-0005-0000-0000-0000405A0000}"/>
    <cellStyle name="40% - Accent2 2 2 2 3 2 3 2" xfId="20102" xr:uid="{00000000-0005-0000-0000-0000415A0000}"/>
    <cellStyle name="40% - Accent2 2 2 2 3 2 3 2 2" xfId="42704" xr:uid="{00000000-0005-0000-0000-0000425A0000}"/>
    <cellStyle name="40% - Accent2 2 2 2 3 2 3 3" xfId="31403" xr:uid="{00000000-0005-0000-0000-0000435A0000}"/>
    <cellStyle name="40% - Accent2 2 2 2 3 2 4" xfId="14452" xr:uid="{00000000-0005-0000-0000-0000445A0000}"/>
    <cellStyle name="40% - Accent2 2 2 2 3 2 4 2" xfId="37054" xr:uid="{00000000-0005-0000-0000-0000455A0000}"/>
    <cellStyle name="40% - Accent2 2 2 2 3 2 5" xfId="25753" xr:uid="{00000000-0005-0000-0000-0000465A0000}"/>
    <cellStyle name="40% - Accent2 2 2 2 3 3" xfId="4749" xr:uid="{00000000-0005-0000-0000-0000475A0000}"/>
    <cellStyle name="40% - Accent2 2 2 2 3 3 2" xfId="10399" xr:uid="{00000000-0005-0000-0000-0000485A0000}"/>
    <cellStyle name="40% - Accent2 2 2 2 3 3 2 2" xfId="21700" xr:uid="{00000000-0005-0000-0000-0000495A0000}"/>
    <cellStyle name="40% - Accent2 2 2 2 3 3 2 2 2" xfId="44302" xr:uid="{00000000-0005-0000-0000-00004A5A0000}"/>
    <cellStyle name="40% - Accent2 2 2 2 3 3 2 3" xfId="33001" xr:uid="{00000000-0005-0000-0000-00004B5A0000}"/>
    <cellStyle name="40% - Accent2 2 2 2 3 3 3" xfId="16050" xr:uid="{00000000-0005-0000-0000-00004C5A0000}"/>
    <cellStyle name="40% - Accent2 2 2 2 3 3 3 2" xfId="38652" xr:uid="{00000000-0005-0000-0000-00004D5A0000}"/>
    <cellStyle name="40% - Accent2 2 2 2 3 3 4" xfId="27351" xr:uid="{00000000-0005-0000-0000-00004E5A0000}"/>
    <cellStyle name="40% - Accent2 2 2 2 3 4" xfId="6936" xr:uid="{00000000-0005-0000-0000-00004F5A0000}"/>
    <cellStyle name="40% - Accent2 2 2 2 3 4 2" xfId="18237" xr:uid="{00000000-0005-0000-0000-0000505A0000}"/>
    <cellStyle name="40% - Accent2 2 2 2 3 4 2 2" xfId="40839" xr:uid="{00000000-0005-0000-0000-0000515A0000}"/>
    <cellStyle name="40% - Accent2 2 2 2 3 4 3" xfId="29538" xr:uid="{00000000-0005-0000-0000-0000525A0000}"/>
    <cellStyle name="40% - Accent2 2 2 2 3 5" xfId="12587" xr:uid="{00000000-0005-0000-0000-0000535A0000}"/>
    <cellStyle name="40% - Accent2 2 2 2 3 5 2" xfId="35189" xr:uid="{00000000-0005-0000-0000-0000545A0000}"/>
    <cellStyle name="40% - Accent2 2 2 2 3 6" xfId="23888" xr:uid="{00000000-0005-0000-0000-0000555A0000}"/>
    <cellStyle name="40% - Accent2 2 2 2 4" xfId="1798" xr:uid="{00000000-0005-0000-0000-0000565A0000}"/>
    <cellStyle name="40% - Accent2 2 2 2 4 2" xfId="3670" xr:uid="{00000000-0005-0000-0000-0000575A0000}"/>
    <cellStyle name="40% - Accent2 2 2 2 4 2 2" xfId="9380" xr:uid="{00000000-0005-0000-0000-0000585A0000}"/>
    <cellStyle name="40% - Accent2 2 2 2 4 2 2 2" xfId="20681" xr:uid="{00000000-0005-0000-0000-0000595A0000}"/>
    <cellStyle name="40% - Accent2 2 2 2 4 2 2 2 2" xfId="43283" xr:uid="{00000000-0005-0000-0000-00005A5A0000}"/>
    <cellStyle name="40% - Accent2 2 2 2 4 2 2 3" xfId="31982" xr:uid="{00000000-0005-0000-0000-00005B5A0000}"/>
    <cellStyle name="40% - Accent2 2 2 2 4 2 3" xfId="15031" xr:uid="{00000000-0005-0000-0000-00005C5A0000}"/>
    <cellStyle name="40% - Accent2 2 2 2 4 2 3 2" xfId="37633" xr:uid="{00000000-0005-0000-0000-00005D5A0000}"/>
    <cellStyle name="40% - Accent2 2 2 2 4 2 4" xfId="26332" xr:uid="{00000000-0005-0000-0000-00005E5A0000}"/>
    <cellStyle name="40% - Accent2 2 2 2 4 3" xfId="5359" xr:uid="{00000000-0005-0000-0000-00005F5A0000}"/>
    <cellStyle name="40% - Accent2 2 2 2 4 3 2" xfId="11009" xr:uid="{00000000-0005-0000-0000-0000605A0000}"/>
    <cellStyle name="40% - Accent2 2 2 2 4 3 2 2" xfId="22310" xr:uid="{00000000-0005-0000-0000-0000615A0000}"/>
    <cellStyle name="40% - Accent2 2 2 2 4 3 2 2 2" xfId="44912" xr:uid="{00000000-0005-0000-0000-0000625A0000}"/>
    <cellStyle name="40% - Accent2 2 2 2 4 3 2 3" xfId="33611" xr:uid="{00000000-0005-0000-0000-0000635A0000}"/>
    <cellStyle name="40% - Accent2 2 2 2 4 3 3" xfId="16660" xr:uid="{00000000-0005-0000-0000-0000645A0000}"/>
    <cellStyle name="40% - Accent2 2 2 2 4 3 3 2" xfId="39262" xr:uid="{00000000-0005-0000-0000-0000655A0000}"/>
    <cellStyle name="40% - Accent2 2 2 2 4 3 4" xfId="27961" xr:uid="{00000000-0005-0000-0000-0000665A0000}"/>
    <cellStyle name="40% - Accent2 2 2 2 4 4" xfId="7654" xr:uid="{00000000-0005-0000-0000-0000675A0000}"/>
    <cellStyle name="40% - Accent2 2 2 2 4 4 2" xfId="18955" xr:uid="{00000000-0005-0000-0000-0000685A0000}"/>
    <cellStyle name="40% - Accent2 2 2 2 4 4 2 2" xfId="41557" xr:uid="{00000000-0005-0000-0000-0000695A0000}"/>
    <cellStyle name="40% - Accent2 2 2 2 4 4 3" xfId="30256" xr:uid="{00000000-0005-0000-0000-00006A5A0000}"/>
    <cellStyle name="40% - Accent2 2 2 2 4 5" xfId="13305" xr:uid="{00000000-0005-0000-0000-00006B5A0000}"/>
    <cellStyle name="40% - Accent2 2 2 2 4 5 2" xfId="35907" xr:uid="{00000000-0005-0000-0000-00006C5A0000}"/>
    <cellStyle name="40% - Accent2 2 2 2 4 6" xfId="24606" xr:uid="{00000000-0005-0000-0000-00006D5A0000}"/>
    <cellStyle name="40% - Accent2 2 2 2 5" xfId="2340" xr:uid="{00000000-0005-0000-0000-00006E5A0000}"/>
    <cellStyle name="40% - Accent2 2 2 2 5 2" xfId="8176" xr:uid="{00000000-0005-0000-0000-00006F5A0000}"/>
    <cellStyle name="40% - Accent2 2 2 2 5 2 2" xfId="19477" xr:uid="{00000000-0005-0000-0000-0000705A0000}"/>
    <cellStyle name="40% - Accent2 2 2 2 5 2 2 2" xfId="42079" xr:uid="{00000000-0005-0000-0000-0000715A0000}"/>
    <cellStyle name="40% - Accent2 2 2 2 5 2 3" xfId="30778" xr:uid="{00000000-0005-0000-0000-0000725A0000}"/>
    <cellStyle name="40% - Accent2 2 2 2 5 3" xfId="13827" xr:uid="{00000000-0005-0000-0000-0000735A0000}"/>
    <cellStyle name="40% - Accent2 2 2 2 5 3 2" xfId="36429" xr:uid="{00000000-0005-0000-0000-0000745A0000}"/>
    <cellStyle name="40% - Accent2 2 2 2 5 4" xfId="25128" xr:uid="{00000000-0005-0000-0000-0000755A0000}"/>
    <cellStyle name="40% - Accent2 2 2 2 6" xfId="4125" xr:uid="{00000000-0005-0000-0000-0000765A0000}"/>
    <cellStyle name="40% - Accent2 2 2 2 6 2" xfId="9775" xr:uid="{00000000-0005-0000-0000-0000775A0000}"/>
    <cellStyle name="40% - Accent2 2 2 2 6 2 2" xfId="21076" xr:uid="{00000000-0005-0000-0000-0000785A0000}"/>
    <cellStyle name="40% - Accent2 2 2 2 6 2 2 2" xfId="43678" xr:uid="{00000000-0005-0000-0000-0000795A0000}"/>
    <cellStyle name="40% - Accent2 2 2 2 6 2 3" xfId="32377" xr:uid="{00000000-0005-0000-0000-00007A5A0000}"/>
    <cellStyle name="40% - Accent2 2 2 2 6 3" xfId="15426" xr:uid="{00000000-0005-0000-0000-00007B5A0000}"/>
    <cellStyle name="40% - Accent2 2 2 2 6 3 2" xfId="38028" xr:uid="{00000000-0005-0000-0000-00007C5A0000}"/>
    <cellStyle name="40% - Accent2 2 2 2 6 4" xfId="26727" xr:uid="{00000000-0005-0000-0000-00007D5A0000}"/>
    <cellStyle name="40% - Accent2 2 2 2 7" xfId="6605" xr:uid="{00000000-0005-0000-0000-00007E5A0000}"/>
    <cellStyle name="40% - Accent2 2 2 2 7 2" xfId="17906" xr:uid="{00000000-0005-0000-0000-00007F5A0000}"/>
    <cellStyle name="40% - Accent2 2 2 2 7 2 2" xfId="40508" xr:uid="{00000000-0005-0000-0000-0000805A0000}"/>
    <cellStyle name="40% - Accent2 2 2 2 7 3" xfId="29207" xr:uid="{00000000-0005-0000-0000-0000815A0000}"/>
    <cellStyle name="40% - Accent2 2 2 2 8" xfId="12256" xr:uid="{00000000-0005-0000-0000-0000825A0000}"/>
    <cellStyle name="40% - Accent2 2 2 2 8 2" xfId="34858" xr:uid="{00000000-0005-0000-0000-0000835A0000}"/>
    <cellStyle name="40% - Accent2 2 2 2 9" xfId="23557" xr:uid="{00000000-0005-0000-0000-0000845A0000}"/>
    <cellStyle name="40% - Accent2 2 2 3" xfId="1112" xr:uid="{00000000-0005-0000-0000-0000855A0000}"/>
    <cellStyle name="40% - Accent2 2 2 3 2" xfId="1800" xr:uid="{00000000-0005-0000-0000-0000865A0000}"/>
    <cellStyle name="40% - Accent2 2 2 3 2 2" xfId="3180" xr:uid="{00000000-0005-0000-0000-0000875A0000}"/>
    <cellStyle name="40% - Accent2 2 2 3 2 2 2" xfId="6152" xr:uid="{00000000-0005-0000-0000-0000885A0000}"/>
    <cellStyle name="40% - Accent2 2 2 3 2 2 2 2" xfId="11802" xr:uid="{00000000-0005-0000-0000-0000895A0000}"/>
    <cellStyle name="40% - Accent2 2 2 3 2 2 2 2 2" xfId="23103" xr:uid="{00000000-0005-0000-0000-00008A5A0000}"/>
    <cellStyle name="40% - Accent2 2 2 3 2 2 2 2 2 2" xfId="45705" xr:uid="{00000000-0005-0000-0000-00008B5A0000}"/>
    <cellStyle name="40% - Accent2 2 2 3 2 2 2 2 3" xfId="34404" xr:uid="{00000000-0005-0000-0000-00008C5A0000}"/>
    <cellStyle name="40% - Accent2 2 2 3 2 2 2 3" xfId="17453" xr:uid="{00000000-0005-0000-0000-00008D5A0000}"/>
    <cellStyle name="40% - Accent2 2 2 3 2 2 2 3 2" xfId="40055" xr:uid="{00000000-0005-0000-0000-00008E5A0000}"/>
    <cellStyle name="40% - Accent2 2 2 3 2 2 2 4" xfId="28754" xr:uid="{00000000-0005-0000-0000-00008F5A0000}"/>
    <cellStyle name="40% - Accent2 2 2 3 2 2 3" xfId="8970" xr:uid="{00000000-0005-0000-0000-0000905A0000}"/>
    <cellStyle name="40% - Accent2 2 2 3 2 2 3 2" xfId="20271" xr:uid="{00000000-0005-0000-0000-0000915A0000}"/>
    <cellStyle name="40% - Accent2 2 2 3 2 2 3 2 2" xfId="42873" xr:uid="{00000000-0005-0000-0000-0000925A0000}"/>
    <cellStyle name="40% - Accent2 2 2 3 2 2 3 3" xfId="31572" xr:uid="{00000000-0005-0000-0000-0000935A0000}"/>
    <cellStyle name="40% - Accent2 2 2 3 2 2 4" xfId="14621" xr:uid="{00000000-0005-0000-0000-0000945A0000}"/>
    <cellStyle name="40% - Accent2 2 2 3 2 2 4 2" xfId="37223" xr:uid="{00000000-0005-0000-0000-0000955A0000}"/>
    <cellStyle name="40% - Accent2 2 2 3 2 2 5" xfId="25922" xr:uid="{00000000-0005-0000-0000-0000965A0000}"/>
    <cellStyle name="40% - Accent2 2 2 3 2 3" xfId="4918" xr:uid="{00000000-0005-0000-0000-0000975A0000}"/>
    <cellStyle name="40% - Accent2 2 2 3 2 3 2" xfId="10568" xr:uid="{00000000-0005-0000-0000-0000985A0000}"/>
    <cellStyle name="40% - Accent2 2 2 3 2 3 2 2" xfId="21869" xr:uid="{00000000-0005-0000-0000-0000995A0000}"/>
    <cellStyle name="40% - Accent2 2 2 3 2 3 2 2 2" xfId="44471" xr:uid="{00000000-0005-0000-0000-00009A5A0000}"/>
    <cellStyle name="40% - Accent2 2 2 3 2 3 2 3" xfId="33170" xr:uid="{00000000-0005-0000-0000-00009B5A0000}"/>
    <cellStyle name="40% - Accent2 2 2 3 2 3 3" xfId="16219" xr:uid="{00000000-0005-0000-0000-00009C5A0000}"/>
    <cellStyle name="40% - Accent2 2 2 3 2 3 3 2" xfId="38821" xr:uid="{00000000-0005-0000-0000-00009D5A0000}"/>
    <cellStyle name="40% - Accent2 2 2 3 2 3 4" xfId="27520" xr:uid="{00000000-0005-0000-0000-00009E5A0000}"/>
    <cellStyle name="40% - Accent2 2 2 3 2 4" xfId="7656" xr:uid="{00000000-0005-0000-0000-00009F5A0000}"/>
    <cellStyle name="40% - Accent2 2 2 3 2 4 2" xfId="18957" xr:uid="{00000000-0005-0000-0000-0000A05A0000}"/>
    <cellStyle name="40% - Accent2 2 2 3 2 4 2 2" xfId="41559" xr:uid="{00000000-0005-0000-0000-0000A15A0000}"/>
    <cellStyle name="40% - Accent2 2 2 3 2 4 3" xfId="30258" xr:uid="{00000000-0005-0000-0000-0000A25A0000}"/>
    <cellStyle name="40% - Accent2 2 2 3 2 5" xfId="13307" xr:uid="{00000000-0005-0000-0000-0000A35A0000}"/>
    <cellStyle name="40% - Accent2 2 2 3 2 5 2" xfId="35909" xr:uid="{00000000-0005-0000-0000-0000A45A0000}"/>
    <cellStyle name="40% - Accent2 2 2 3 2 6" xfId="24608" xr:uid="{00000000-0005-0000-0000-0000A55A0000}"/>
    <cellStyle name="40% - Accent2 2 2 3 3" xfId="2509" xr:uid="{00000000-0005-0000-0000-0000A65A0000}"/>
    <cellStyle name="40% - Accent2 2 2 3 3 2" xfId="5528" xr:uid="{00000000-0005-0000-0000-0000A75A0000}"/>
    <cellStyle name="40% - Accent2 2 2 3 3 2 2" xfId="11178" xr:uid="{00000000-0005-0000-0000-0000A85A0000}"/>
    <cellStyle name="40% - Accent2 2 2 3 3 2 2 2" xfId="22479" xr:uid="{00000000-0005-0000-0000-0000A95A0000}"/>
    <cellStyle name="40% - Accent2 2 2 3 3 2 2 2 2" xfId="45081" xr:uid="{00000000-0005-0000-0000-0000AA5A0000}"/>
    <cellStyle name="40% - Accent2 2 2 3 3 2 2 3" xfId="33780" xr:uid="{00000000-0005-0000-0000-0000AB5A0000}"/>
    <cellStyle name="40% - Accent2 2 2 3 3 2 3" xfId="16829" xr:uid="{00000000-0005-0000-0000-0000AC5A0000}"/>
    <cellStyle name="40% - Accent2 2 2 3 3 2 3 2" xfId="39431" xr:uid="{00000000-0005-0000-0000-0000AD5A0000}"/>
    <cellStyle name="40% - Accent2 2 2 3 3 2 4" xfId="28130" xr:uid="{00000000-0005-0000-0000-0000AE5A0000}"/>
    <cellStyle name="40% - Accent2 2 2 3 3 3" xfId="8345" xr:uid="{00000000-0005-0000-0000-0000AF5A0000}"/>
    <cellStyle name="40% - Accent2 2 2 3 3 3 2" xfId="19646" xr:uid="{00000000-0005-0000-0000-0000B05A0000}"/>
    <cellStyle name="40% - Accent2 2 2 3 3 3 2 2" xfId="42248" xr:uid="{00000000-0005-0000-0000-0000B15A0000}"/>
    <cellStyle name="40% - Accent2 2 2 3 3 3 3" xfId="30947" xr:uid="{00000000-0005-0000-0000-0000B25A0000}"/>
    <cellStyle name="40% - Accent2 2 2 3 3 4" xfId="13996" xr:uid="{00000000-0005-0000-0000-0000B35A0000}"/>
    <cellStyle name="40% - Accent2 2 2 3 3 4 2" xfId="36598" xr:uid="{00000000-0005-0000-0000-0000B45A0000}"/>
    <cellStyle name="40% - Accent2 2 2 3 3 5" xfId="25297" xr:uid="{00000000-0005-0000-0000-0000B55A0000}"/>
    <cellStyle name="40% - Accent2 2 2 3 4" xfId="4294" xr:uid="{00000000-0005-0000-0000-0000B65A0000}"/>
    <cellStyle name="40% - Accent2 2 2 3 4 2" xfId="9944" xr:uid="{00000000-0005-0000-0000-0000B75A0000}"/>
    <cellStyle name="40% - Accent2 2 2 3 4 2 2" xfId="21245" xr:uid="{00000000-0005-0000-0000-0000B85A0000}"/>
    <cellStyle name="40% - Accent2 2 2 3 4 2 2 2" xfId="43847" xr:uid="{00000000-0005-0000-0000-0000B95A0000}"/>
    <cellStyle name="40% - Accent2 2 2 3 4 2 3" xfId="32546" xr:uid="{00000000-0005-0000-0000-0000BA5A0000}"/>
    <cellStyle name="40% - Accent2 2 2 3 4 3" xfId="15595" xr:uid="{00000000-0005-0000-0000-0000BB5A0000}"/>
    <cellStyle name="40% - Accent2 2 2 3 4 3 2" xfId="38197" xr:uid="{00000000-0005-0000-0000-0000BC5A0000}"/>
    <cellStyle name="40% - Accent2 2 2 3 4 4" xfId="26896" xr:uid="{00000000-0005-0000-0000-0000BD5A0000}"/>
    <cellStyle name="40% - Accent2 2 2 3 5" xfId="7091" xr:uid="{00000000-0005-0000-0000-0000BE5A0000}"/>
    <cellStyle name="40% - Accent2 2 2 3 5 2" xfId="18392" xr:uid="{00000000-0005-0000-0000-0000BF5A0000}"/>
    <cellStyle name="40% - Accent2 2 2 3 5 2 2" xfId="40994" xr:uid="{00000000-0005-0000-0000-0000C05A0000}"/>
    <cellStyle name="40% - Accent2 2 2 3 5 3" xfId="29693" xr:uid="{00000000-0005-0000-0000-0000C15A0000}"/>
    <cellStyle name="40% - Accent2 2 2 3 6" xfId="12742" xr:uid="{00000000-0005-0000-0000-0000C25A0000}"/>
    <cellStyle name="40% - Accent2 2 2 3 6 2" xfId="35344" xr:uid="{00000000-0005-0000-0000-0000C35A0000}"/>
    <cellStyle name="40% - Accent2 2 2 3 7" xfId="24043" xr:uid="{00000000-0005-0000-0000-0000C45A0000}"/>
    <cellStyle name="40% - Accent2 2 2 4" xfId="800" xr:uid="{00000000-0005-0000-0000-0000C55A0000}"/>
    <cellStyle name="40% - Accent2 2 2 4 2" xfId="2873" xr:uid="{00000000-0005-0000-0000-0000C65A0000}"/>
    <cellStyle name="40% - Accent2 2 2 4 2 2" xfId="5845" xr:uid="{00000000-0005-0000-0000-0000C75A0000}"/>
    <cellStyle name="40% - Accent2 2 2 4 2 2 2" xfId="11495" xr:uid="{00000000-0005-0000-0000-0000C85A0000}"/>
    <cellStyle name="40% - Accent2 2 2 4 2 2 2 2" xfId="22796" xr:uid="{00000000-0005-0000-0000-0000C95A0000}"/>
    <cellStyle name="40% - Accent2 2 2 4 2 2 2 2 2" xfId="45398" xr:uid="{00000000-0005-0000-0000-0000CA5A0000}"/>
    <cellStyle name="40% - Accent2 2 2 4 2 2 2 3" xfId="34097" xr:uid="{00000000-0005-0000-0000-0000CB5A0000}"/>
    <cellStyle name="40% - Accent2 2 2 4 2 2 3" xfId="17146" xr:uid="{00000000-0005-0000-0000-0000CC5A0000}"/>
    <cellStyle name="40% - Accent2 2 2 4 2 2 3 2" xfId="39748" xr:uid="{00000000-0005-0000-0000-0000CD5A0000}"/>
    <cellStyle name="40% - Accent2 2 2 4 2 2 4" xfId="28447" xr:uid="{00000000-0005-0000-0000-0000CE5A0000}"/>
    <cellStyle name="40% - Accent2 2 2 4 2 3" xfId="8663" xr:uid="{00000000-0005-0000-0000-0000CF5A0000}"/>
    <cellStyle name="40% - Accent2 2 2 4 2 3 2" xfId="19964" xr:uid="{00000000-0005-0000-0000-0000D05A0000}"/>
    <cellStyle name="40% - Accent2 2 2 4 2 3 2 2" xfId="42566" xr:uid="{00000000-0005-0000-0000-0000D15A0000}"/>
    <cellStyle name="40% - Accent2 2 2 4 2 3 3" xfId="31265" xr:uid="{00000000-0005-0000-0000-0000D25A0000}"/>
    <cellStyle name="40% - Accent2 2 2 4 2 4" xfId="14314" xr:uid="{00000000-0005-0000-0000-0000D35A0000}"/>
    <cellStyle name="40% - Accent2 2 2 4 2 4 2" xfId="36916" xr:uid="{00000000-0005-0000-0000-0000D45A0000}"/>
    <cellStyle name="40% - Accent2 2 2 4 2 5" xfId="25615" xr:uid="{00000000-0005-0000-0000-0000D55A0000}"/>
    <cellStyle name="40% - Accent2 2 2 4 3" xfId="4611" xr:uid="{00000000-0005-0000-0000-0000D65A0000}"/>
    <cellStyle name="40% - Accent2 2 2 4 3 2" xfId="10261" xr:uid="{00000000-0005-0000-0000-0000D75A0000}"/>
    <cellStyle name="40% - Accent2 2 2 4 3 2 2" xfId="21562" xr:uid="{00000000-0005-0000-0000-0000D85A0000}"/>
    <cellStyle name="40% - Accent2 2 2 4 3 2 2 2" xfId="44164" xr:uid="{00000000-0005-0000-0000-0000D95A0000}"/>
    <cellStyle name="40% - Accent2 2 2 4 3 2 3" xfId="32863" xr:uid="{00000000-0005-0000-0000-0000DA5A0000}"/>
    <cellStyle name="40% - Accent2 2 2 4 3 3" xfId="15912" xr:uid="{00000000-0005-0000-0000-0000DB5A0000}"/>
    <cellStyle name="40% - Accent2 2 2 4 3 3 2" xfId="38514" xr:uid="{00000000-0005-0000-0000-0000DC5A0000}"/>
    <cellStyle name="40% - Accent2 2 2 4 3 4" xfId="27213" xr:uid="{00000000-0005-0000-0000-0000DD5A0000}"/>
    <cellStyle name="40% - Accent2 2 2 4 4" xfId="6798" xr:uid="{00000000-0005-0000-0000-0000DE5A0000}"/>
    <cellStyle name="40% - Accent2 2 2 4 4 2" xfId="18099" xr:uid="{00000000-0005-0000-0000-0000DF5A0000}"/>
    <cellStyle name="40% - Accent2 2 2 4 4 2 2" xfId="40701" xr:uid="{00000000-0005-0000-0000-0000E05A0000}"/>
    <cellStyle name="40% - Accent2 2 2 4 4 3" xfId="29400" xr:uid="{00000000-0005-0000-0000-0000E15A0000}"/>
    <cellStyle name="40% - Accent2 2 2 4 5" xfId="12449" xr:uid="{00000000-0005-0000-0000-0000E25A0000}"/>
    <cellStyle name="40% - Accent2 2 2 4 5 2" xfId="35051" xr:uid="{00000000-0005-0000-0000-0000E35A0000}"/>
    <cellStyle name="40% - Accent2 2 2 4 6" xfId="23750" xr:uid="{00000000-0005-0000-0000-0000E45A0000}"/>
    <cellStyle name="40% - Accent2 2 2 5" xfId="1797" xr:uid="{00000000-0005-0000-0000-0000E55A0000}"/>
    <cellStyle name="40% - Accent2 2 2 5 2" xfId="3669" xr:uid="{00000000-0005-0000-0000-0000E65A0000}"/>
    <cellStyle name="40% - Accent2 2 2 5 2 2" xfId="9379" xr:uid="{00000000-0005-0000-0000-0000E75A0000}"/>
    <cellStyle name="40% - Accent2 2 2 5 2 2 2" xfId="20680" xr:uid="{00000000-0005-0000-0000-0000E85A0000}"/>
    <cellStyle name="40% - Accent2 2 2 5 2 2 2 2" xfId="43282" xr:uid="{00000000-0005-0000-0000-0000E95A0000}"/>
    <cellStyle name="40% - Accent2 2 2 5 2 2 3" xfId="31981" xr:uid="{00000000-0005-0000-0000-0000EA5A0000}"/>
    <cellStyle name="40% - Accent2 2 2 5 2 3" xfId="15030" xr:uid="{00000000-0005-0000-0000-0000EB5A0000}"/>
    <cellStyle name="40% - Accent2 2 2 5 2 3 2" xfId="37632" xr:uid="{00000000-0005-0000-0000-0000EC5A0000}"/>
    <cellStyle name="40% - Accent2 2 2 5 2 4" xfId="26331" xr:uid="{00000000-0005-0000-0000-0000ED5A0000}"/>
    <cellStyle name="40% - Accent2 2 2 5 3" xfId="5221" xr:uid="{00000000-0005-0000-0000-0000EE5A0000}"/>
    <cellStyle name="40% - Accent2 2 2 5 3 2" xfId="10871" xr:uid="{00000000-0005-0000-0000-0000EF5A0000}"/>
    <cellStyle name="40% - Accent2 2 2 5 3 2 2" xfId="22172" xr:uid="{00000000-0005-0000-0000-0000F05A0000}"/>
    <cellStyle name="40% - Accent2 2 2 5 3 2 2 2" xfId="44774" xr:uid="{00000000-0005-0000-0000-0000F15A0000}"/>
    <cellStyle name="40% - Accent2 2 2 5 3 2 3" xfId="33473" xr:uid="{00000000-0005-0000-0000-0000F25A0000}"/>
    <cellStyle name="40% - Accent2 2 2 5 3 3" xfId="16522" xr:uid="{00000000-0005-0000-0000-0000F35A0000}"/>
    <cellStyle name="40% - Accent2 2 2 5 3 3 2" xfId="39124" xr:uid="{00000000-0005-0000-0000-0000F45A0000}"/>
    <cellStyle name="40% - Accent2 2 2 5 3 4" xfId="27823" xr:uid="{00000000-0005-0000-0000-0000F55A0000}"/>
    <cellStyle name="40% - Accent2 2 2 5 4" xfId="7653" xr:uid="{00000000-0005-0000-0000-0000F65A0000}"/>
    <cellStyle name="40% - Accent2 2 2 5 4 2" xfId="18954" xr:uid="{00000000-0005-0000-0000-0000F75A0000}"/>
    <cellStyle name="40% - Accent2 2 2 5 4 2 2" xfId="41556" xr:uid="{00000000-0005-0000-0000-0000F85A0000}"/>
    <cellStyle name="40% - Accent2 2 2 5 4 3" xfId="30255" xr:uid="{00000000-0005-0000-0000-0000F95A0000}"/>
    <cellStyle name="40% - Accent2 2 2 5 5" xfId="13304" xr:uid="{00000000-0005-0000-0000-0000FA5A0000}"/>
    <cellStyle name="40% - Accent2 2 2 5 5 2" xfId="35906" xr:uid="{00000000-0005-0000-0000-0000FB5A0000}"/>
    <cellStyle name="40% - Accent2 2 2 5 6" xfId="24605" xr:uid="{00000000-0005-0000-0000-0000FC5A0000}"/>
    <cellStyle name="40% - Accent2 2 2 6" xfId="2198" xr:uid="{00000000-0005-0000-0000-0000FD5A0000}"/>
    <cellStyle name="40% - Accent2 2 2 6 2" xfId="8035" xr:uid="{00000000-0005-0000-0000-0000FE5A0000}"/>
    <cellStyle name="40% - Accent2 2 2 6 2 2" xfId="19336" xr:uid="{00000000-0005-0000-0000-0000FF5A0000}"/>
    <cellStyle name="40% - Accent2 2 2 6 2 2 2" xfId="41938" xr:uid="{00000000-0005-0000-0000-0000005B0000}"/>
    <cellStyle name="40% - Accent2 2 2 6 2 3" xfId="30637" xr:uid="{00000000-0005-0000-0000-0000015B0000}"/>
    <cellStyle name="40% - Accent2 2 2 6 3" xfId="13686" xr:uid="{00000000-0005-0000-0000-0000025B0000}"/>
    <cellStyle name="40% - Accent2 2 2 6 3 2" xfId="36288" xr:uid="{00000000-0005-0000-0000-0000035B0000}"/>
    <cellStyle name="40% - Accent2 2 2 6 4" xfId="24987" xr:uid="{00000000-0005-0000-0000-0000045B0000}"/>
    <cellStyle name="40% - Accent2 2 2 7" xfId="3987" xr:uid="{00000000-0005-0000-0000-0000055B0000}"/>
    <cellStyle name="40% - Accent2 2 2 7 2" xfId="9637" xr:uid="{00000000-0005-0000-0000-0000065B0000}"/>
    <cellStyle name="40% - Accent2 2 2 7 2 2" xfId="20938" xr:uid="{00000000-0005-0000-0000-0000075B0000}"/>
    <cellStyle name="40% - Accent2 2 2 7 2 2 2" xfId="43540" xr:uid="{00000000-0005-0000-0000-0000085B0000}"/>
    <cellStyle name="40% - Accent2 2 2 7 2 3" xfId="32239" xr:uid="{00000000-0005-0000-0000-0000095B0000}"/>
    <cellStyle name="40% - Accent2 2 2 7 3" xfId="15288" xr:uid="{00000000-0005-0000-0000-00000A5B0000}"/>
    <cellStyle name="40% - Accent2 2 2 7 3 2" xfId="37890" xr:uid="{00000000-0005-0000-0000-00000B5B0000}"/>
    <cellStyle name="40% - Accent2 2 2 7 4" xfId="26589" xr:uid="{00000000-0005-0000-0000-00000C5B0000}"/>
    <cellStyle name="40% - Accent2 2 2 8" xfId="6438" xr:uid="{00000000-0005-0000-0000-00000D5B0000}"/>
    <cellStyle name="40% - Accent2 2 2 8 2" xfId="17739" xr:uid="{00000000-0005-0000-0000-00000E5B0000}"/>
    <cellStyle name="40% - Accent2 2 2 8 2 2" xfId="40341" xr:uid="{00000000-0005-0000-0000-00000F5B0000}"/>
    <cellStyle name="40% - Accent2 2 2 8 3" xfId="29040" xr:uid="{00000000-0005-0000-0000-0000105B0000}"/>
    <cellStyle name="40% - Accent2 2 2 9" xfId="12089" xr:uid="{00000000-0005-0000-0000-0000115B0000}"/>
    <cellStyle name="40% - Accent2 2 2 9 2" xfId="34691" xr:uid="{00000000-0005-0000-0000-0000125B0000}"/>
    <cellStyle name="40% - Accent2 2 3" xfId="2760" xr:uid="{00000000-0005-0000-0000-0000135B0000}"/>
    <cellStyle name="40% - Accent2 2 3 2" xfId="3898" xr:uid="{00000000-0005-0000-0000-0000145B0000}"/>
    <cellStyle name="40% - Accent2 2 3 2 2" xfId="5775" xr:uid="{00000000-0005-0000-0000-0000155B0000}"/>
    <cellStyle name="40% - Accent2 2 3 2 2 2" xfId="11425" xr:uid="{00000000-0005-0000-0000-0000165B0000}"/>
    <cellStyle name="40% - Accent2 2 3 2 2 2 2" xfId="22726" xr:uid="{00000000-0005-0000-0000-0000175B0000}"/>
    <cellStyle name="40% - Accent2 2 3 2 2 2 2 2" xfId="45328" xr:uid="{00000000-0005-0000-0000-0000185B0000}"/>
    <cellStyle name="40% - Accent2 2 3 2 2 2 3" xfId="34027" xr:uid="{00000000-0005-0000-0000-0000195B0000}"/>
    <cellStyle name="40% - Accent2 2 3 2 2 3" xfId="17076" xr:uid="{00000000-0005-0000-0000-00001A5B0000}"/>
    <cellStyle name="40% - Accent2 2 3 2 2 3 2" xfId="39678" xr:uid="{00000000-0005-0000-0000-00001B5B0000}"/>
    <cellStyle name="40% - Accent2 2 3 2 2 4" xfId="28377" xr:uid="{00000000-0005-0000-0000-00001C5B0000}"/>
    <cellStyle name="40% - Accent2 2 3 2 3" xfId="9560" xr:uid="{00000000-0005-0000-0000-00001D5B0000}"/>
    <cellStyle name="40% - Accent2 2 3 2 3 2" xfId="20861" xr:uid="{00000000-0005-0000-0000-00001E5B0000}"/>
    <cellStyle name="40% - Accent2 2 3 2 3 2 2" xfId="43463" xr:uid="{00000000-0005-0000-0000-00001F5B0000}"/>
    <cellStyle name="40% - Accent2 2 3 2 3 3" xfId="32162" xr:uid="{00000000-0005-0000-0000-0000205B0000}"/>
    <cellStyle name="40% - Accent2 2 3 2 4" xfId="15211" xr:uid="{00000000-0005-0000-0000-0000215B0000}"/>
    <cellStyle name="40% - Accent2 2 3 2 4 2" xfId="37813" xr:uid="{00000000-0005-0000-0000-0000225B0000}"/>
    <cellStyle name="40% - Accent2 2 3 2 5" xfId="26512" xr:uid="{00000000-0005-0000-0000-0000235B0000}"/>
    <cellStyle name="40% - Accent2 2 3 3" xfId="4541" xr:uid="{00000000-0005-0000-0000-0000245B0000}"/>
    <cellStyle name="40% - Accent2 2 3 3 2" xfId="10191" xr:uid="{00000000-0005-0000-0000-0000255B0000}"/>
    <cellStyle name="40% - Accent2 2 3 3 2 2" xfId="21492" xr:uid="{00000000-0005-0000-0000-0000265B0000}"/>
    <cellStyle name="40% - Accent2 2 3 3 2 2 2" xfId="44094" xr:uid="{00000000-0005-0000-0000-0000275B0000}"/>
    <cellStyle name="40% - Accent2 2 3 3 2 3" xfId="32793" xr:uid="{00000000-0005-0000-0000-0000285B0000}"/>
    <cellStyle name="40% - Accent2 2 3 3 3" xfId="15842" xr:uid="{00000000-0005-0000-0000-0000295B0000}"/>
    <cellStyle name="40% - Accent2 2 3 3 3 2" xfId="38444" xr:uid="{00000000-0005-0000-0000-00002A5B0000}"/>
    <cellStyle name="40% - Accent2 2 3 3 4" xfId="27143" xr:uid="{00000000-0005-0000-0000-00002B5B0000}"/>
    <cellStyle name="40% - Accent2 2 3 4" xfId="8593" xr:uid="{00000000-0005-0000-0000-00002C5B0000}"/>
    <cellStyle name="40% - Accent2 2 3 4 2" xfId="19894" xr:uid="{00000000-0005-0000-0000-00002D5B0000}"/>
    <cellStyle name="40% - Accent2 2 3 4 2 2" xfId="42496" xr:uid="{00000000-0005-0000-0000-00002E5B0000}"/>
    <cellStyle name="40% - Accent2 2 3 4 3" xfId="31195" xr:uid="{00000000-0005-0000-0000-00002F5B0000}"/>
    <cellStyle name="40% - Accent2 2 3 5" xfId="14244" xr:uid="{00000000-0005-0000-0000-0000305B0000}"/>
    <cellStyle name="40% - Accent2 2 3 5 2" xfId="36846" xr:uid="{00000000-0005-0000-0000-0000315B0000}"/>
    <cellStyle name="40% - Accent2 2 3 6" xfId="25545" xr:uid="{00000000-0005-0000-0000-0000325B0000}"/>
    <cellStyle name="40% - Accent2 2 4" xfId="2774" xr:uid="{00000000-0005-0000-0000-0000335B0000}"/>
    <cellStyle name="40% - Accent2 2 5" xfId="3538" xr:uid="{00000000-0005-0000-0000-0000345B0000}"/>
    <cellStyle name="40% - Accent2 2 5 2" xfId="9253" xr:uid="{00000000-0005-0000-0000-0000355B0000}"/>
    <cellStyle name="40% - Accent2 2 5 2 2" xfId="20554" xr:uid="{00000000-0005-0000-0000-0000365B0000}"/>
    <cellStyle name="40% - Accent2 2 5 2 2 2" xfId="43156" xr:uid="{00000000-0005-0000-0000-0000375B0000}"/>
    <cellStyle name="40% - Accent2 2 5 2 3" xfId="31855" xr:uid="{00000000-0005-0000-0000-0000385B0000}"/>
    <cellStyle name="40% - Accent2 2 5 3" xfId="14904" xr:uid="{00000000-0005-0000-0000-0000395B0000}"/>
    <cellStyle name="40% - Accent2 2 5 3 2" xfId="37506" xr:uid="{00000000-0005-0000-0000-00003A5B0000}"/>
    <cellStyle name="40% - Accent2 2 5 4" xfId="26205" xr:uid="{00000000-0005-0000-0000-00003B5B0000}"/>
    <cellStyle name="40% - Accent2 2 6" xfId="3425" xr:uid="{00000000-0005-0000-0000-00003C5B0000}"/>
    <cellStyle name="40% - Accent2 3" xfId="155" xr:uid="{00000000-0005-0000-0000-00003D5B0000}"/>
    <cellStyle name="40% - Accent2 3 2" xfId="285" xr:uid="{00000000-0005-0000-0000-00003E5B0000}"/>
    <cellStyle name="40% - Accent2 3 2 10" xfId="23396" xr:uid="{00000000-0005-0000-0000-00003F5B0000}"/>
    <cellStyle name="40% - Accent2 3 2 2" xfId="546" xr:uid="{00000000-0005-0000-0000-0000405B0000}"/>
    <cellStyle name="40% - Accent2 3 2 2 2" xfId="1256" xr:uid="{00000000-0005-0000-0000-0000415B0000}"/>
    <cellStyle name="40% - Accent2 3 2 2 2 2" xfId="1803" xr:uid="{00000000-0005-0000-0000-0000425B0000}"/>
    <cellStyle name="40% - Accent2 3 2 2 2 2 2" xfId="3325" xr:uid="{00000000-0005-0000-0000-0000435B0000}"/>
    <cellStyle name="40% - Accent2 3 2 2 2 2 2 2" xfId="6297" xr:uid="{00000000-0005-0000-0000-0000445B0000}"/>
    <cellStyle name="40% - Accent2 3 2 2 2 2 2 2 2" xfId="11947" xr:uid="{00000000-0005-0000-0000-0000455B0000}"/>
    <cellStyle name="40% - Accent2 3 2 2 2 2 2 2 2 2" xfId="23248" xr:uid="{00000000-0005-0000-0000-0000465B0000}"/>
    <cellStyle name="40% - Accent2 3 2 2 2 2 2 2 2 2 2" xfId="45850" xr:uid="{00000000-0005-0000-0000-0000475B0000}"/>
    <cellStyle name="40% - Accent2 3 2 2 2 2 2 2 2 3" xfId="34549" xr:uid="{00000000-0005-0000-0000-0000485B0000}"/>
    <cellStyle name="40% - Accent2 3 2 2 2 2 2 2 3" xfId="17598" xr:uid="{00000000-0005-0000-0000-0000495B0000}"/>
    <cellStyle name="40% - Accent2 3 2 2 2 2 2 2 3 2" xfId="40200" xr:uid="{00000000-0005-0000-0000-00004A5B0000}"/>
    <cellStyle name="40% - Accent2 3 2 2 2 2 2 2 4" xfId="28899" xr:uid="{00000000-0005-0000-0000-00004B5B0000}"/>
    <cellStyle name="40% - Accent2 3 2 2 2 2 2 3" xfId="9115" xr:uid="{00000000-0005-0000-0000-00004C5B0000}"/>
    <cellStyle name="40% - Accent2 3 2 2 2 2 2 3 2" xfId="20416" xr:uid="{00000000-0005-0000-0000-00004D5B0000}"/>
    <cellStyle name="40% - Accent2 3 2 2 2 2 2 3 2 2" xfId="43018" xr:uid="{00000000-0005-0000-0000-00004E5B0000}"/>
    <cellStyle name="40% - Accent2 3 2 2 2 2 2 3 3" xfId="31717" xr:uid="{00000000-0005-0000-0000-00004F5B0000}"/>
    <cellStyle name="40% - Accent2 3 2 2 2 2 2 4" xfId="14766" xr:uid="{00000000-0005-0000-0000-0000505B0000}"/>
    <cellStyle name="40% - Accent2 3 2 2 2 2 2 4 2" xfId="37368" xr:uid="{00000000-0005-0000-0000-0000515B0000}"/>
    <cellStyle name="40% - Accent2 3 2 2 2 2 2 5" xfId="26067" xr:uid="{00000000-0005-0000-0000-0000525B0000}"/>
    <cellStyle name="40% - Accent2 3 2 2 2 2 3" xfId="5063" xr:uid="{00000000-0005-0000-0000-0000535B0000}"/>
    <cellStyle name="40% - Accent2 3 2 2 2 2 3 2" xfId="10713" xr:uid="{00000000-0005-0000-0000-0000545B0000}"/>
    <cellStyle name="40% - Accent2 3 2 2 2 2 3 2 2" xfId="22014" xr:uid="{00000000-0005-0000-0000-0000555B0000}"/>
    <cellStyle name="40% - Accent2 3 2 2 2 2 3 2 2 2" xfId="44616" xr:uid="{00000000-0005-0000-0000-0000565B0000}"/>
    <cellStyle name="40% - Accent2 3 2 2 2 2 3 2 3" xfId="33315" xr:uid="{00000000-0005-0000-0000-0000575B0000}"/>
    <cellStyle name="40% - Accent2 3 2 2 2 2 3 3" xfId="16364" xr:uid="{00000000-0005-0000-0000-0000585B0000}"/>
    <cellStyle name="40% - Accent2 3 2 2 2 2 3 3 2" xfId="38966" xr:uid="{00000000-0005-0000-0000-0000595B0000}"/>
    <cellStyle name="40% - Accent2 3 2 2 2 2 3 4" xfId="27665" xr:uid="{00000000-0005-0000-0000-00005A5B0000}"/>
    <cellStyle name="40% - Accent2 3 2 2 2 2 4" xfId="7659" xr:uid="{00000000-0005-0000-0000-00005B5B0000}"/>
    <cellStyle name="40% - Accent2 3 2 2 2 2 4 2" xfId="18960" xr:uid="{00000000-0005-0000-0000-00005C5B0000}"/>
    <cellStyle name="40% - Accent2 3 2 2 2 2 4 2 2" xfId="41562" xr:uid="{00000000-0005-0000-0000-00005D5B0000}"/>
    <cellStyle name="40% - Accent2 3 2 2 2 2 4 3" xfId="30261" xr:uid="{00000000-0005-0000-0000-00005E5B0000}"/>
    <cellStyle name="40% - Accent2 3 2 2 2 2 5" xfId="13310" xr:uid="{00000000-0005-0000-0000-00005F5B0000}"/>
    <cellStyle name="40% - Accent2 3 2 2 2 2 5 2" xfId="35912" xr:uid="{00000000-0005-0000-0000-0000605B0000}"/>
    <cellStyle name="40% - Accent2 3 2 2 2 2 6" xfId="24611" xr:uid="{00000000-0005-0000-0000-0000615B0000}"/>
    <cellStyle name="40% - Accent2 3 2 2 2 3" xfId="2654" xr:uid="{00000000-0005-0000-0000-0000625B0000}"/>
    <cellStyle name="40% - Accent2 3 2 2 2 3 2" xfId="5673" xr:uid="{00000000-0005-0000-0000-0000635B0000}"/>
    <cellStyle name="40% - Accent2 3 2 2 2 3 2 2" xfId="11323" xr:uid="{00000000-0005-0000-0000-0000645B0000}"/>
    <cellStyle name="40% - Accent2 3 2 2 2 3 2 2 2" xfId="22624" xr:uid="{00000000-0005-0000-0000-0000655B0000}"/>
    <cellStyle name="40% - Accent2 3 2 2 2 3 2 2 2 2" xfId="45226" xr:uid="{00000000-0005-0000-0000-0000665B0000}"/>
    <cellStyle name="40% - Accent2 3 2 2 2 3 2 2 3" xfId="33925" xr:uid="{00000000-0005-0000-0000-0000675B0000}"/>
    <cellStyle name="40% - Accent2 3 2 2 2 3 2 3" xfId="16974" xr:uid="{00000000-0005-0000-0000-0000685B0000}"/>
    <cellStyle name="40% - Accent2 3 2 2 2 3 2 3 2" xfId="39576" xr:uid="{00000000-0005-0000-0000-0000695B0000}"/>
    <cellStyle name="40% - Accent2 3 2 2 2 3 2 4" xfId="28275" xr:uid="{00000000-0005-0000-0000-00006A5B0000}"/>
    <cellStyle name="40% - Accent2 3 2 2 2 3 3" xfId="8490" xr:uid="{00000000-0005-0000-0000-00006B5B0000}"/>
    <cellStyle name="40% - Accent2 3 2 2 2 3 3 2" xfId="19791" xr:uid="{00000000-0005-0000-0000-00006C5B0000}"/>
    <cellStyle name="40% - Accent2 3 2 2 2 3 3 2 2" xfId="42393" xr:uid="{00000000-0005-0000-0000-00006D5B0000}"/>
    <cellStyle name="40% - Accent2 3 2 2 2 3 3 3" xfId="31092" xr:uid="{00000000-0005-0000-0000-00006E5B0000}"/>
    <cellStyle name="40% - Accent2 3 2 2 2 3 4" xfId="14141" xr:uid="{00000000-0005-0000-0000-00006F5B0000}"/>
    <cellStyle name="40% - Accent2 3 2 2 2 3 4 2" xfId="36743" xr:uid="{00000000-0005-0000-0000-0000705B0000}"/>
    <cellStyle name="40% - Accent2 3 2 2 2 3 5" xfId="25442" xr:uid="{00000000-0005-0000-0000-0000715B0000}"/>
    <cellStyle name="40% - Accent2 3 2 2 2 4" xfId="4439" xr:uid="{00000000-0005-0000-0000-0000725B0000}"/>
    <cellStyle name="40% - Accent2 3 2 2 2 4 2" xfId="10089" xr:uid="{00000000-0005-0000-0000-0000735B0000}"/>
    <cellStyle name="40% - Accent2 3 2 2 2 4 2 2" xfId="21390" xr:uid="{00000000-0005-0000-0000-0000745B0000}"/>
    <cellStyle name="40% - Accent2 3 2 2 2 4 2 2 2" xfId="43992" xr:uid="{00000000-0005-0000-0000-0000755B0000}"/>
    <cellStyle name="40% - Accent2 3 2 2 2 4 2 3" xfId="32691" xr:uid="{00000000-0005-0000-0000-0000765B0000}"/>
    <cellStyle name="40% - Accent2 3 2 2 2 4 3" xfId="15740" xr:uid="{00000000-0005-0000-0000-0000775B0000}"/>
    <cellStyle name="40% - Accent2 3 2 2 2 4 3 2" xfId="38342" xr:uid="{00000000-0005-0000-0000-0000785B0000}"/>
    <cellStyle name="40% - Accent2 3 2 2 2 4 4" xfId="27041" xr:uid="{00000000-0005-0000-0000-0000795B0000}"/>
    <cellStyle name="40% - Accent2 3 2 2 2 5" xfId="7235" xr:uid="{00000000-0005-0000-0000-00007A5B0000}"/>
    <cellStyle name="40% - Accent2 3 2 2 2 5 2" xfId="18536" xr:uid="{00000000-0005-0000-0000-00007B5B0000}"/>
    <cellStyle name="40% - Accent2 3 2 2 2 5 2 2" xfId="41138" xr:uid="{00000000-0005-0000-0000-00007C5B0000}"/>
    <cellStyle name="40% - Accent2 3 2 2 2 5 3" xfId="29837" xr:uid="{00000000-0005-0000-0000-00007D5B0000}"/>
    <cellStyle name="40% - Accent2 3 2 2 2 6" xfId="12886" xr:uid="{00000000-0005-0000-0000-00007E5B0000}"/>
    <cellStyle name="40% - Accent2 3 2 2 2 6 2" xfId="35488" xr:uid="{00000000-0005-0000-0000-00007F5B0000}"/>
    <cellStyle name="40% - Accent2 3 2 2 2 7" xfId="24187" xr:uid="{00000000-0005-0000-0000-0000805B0000}"/>
    <cellStyle name="40% - Accent2 3 2 2 3" xfId="954" xr:uid="{00000000-0005-0000-0000-0000815B0000}"/>
    <cellStyle name="40% - Accent2 3 2 2 3 2" xfId="3017" xr:uid="{00000000-0005-0000-0000-0000825B0000}"/>
    <cellStyle name="40% - Accent2 3 2 2 3 2 2" xfId="5989" xr:uid="{00000000-0005-0000-0000-0000835B0000}"/>
    <cellStyle name="40% - Accent2 3 2 2 3 2 2 2" xfId="11639" xr:uid="{00000000-0005-0000-0000-0000845B0000}"/>
    <cellStyle name="40% - Accent2 3 2 2 3 2 2 2 2" xfId="22940" xr:uid="{00000000-0005-0000-0000-0000855B0000}"/>
    <cellStyle name="40% - Accent2 3 2 2 3 2 2 2 2 2" xfId="45542" xr:uid="{00000000-0005-0000-0000-0000865B0000}"/>
    <cellStyle name="40% - Accent2 3 2 2 3 2 2 2 3" xfId="34241" xr:uid="{00000000-0005-0000-0000-0000875B0000}"/>
    <cellStyle name="40% - Accent2 3 2 2 3 2 2 3" xfId="17290" xr:uid="{00000000-0005-0000-0000-0000885B0000}"/>
    <cellStyle name="40% - Accent2 3 2 2 3 2 2 3 2" xfId="39892" xr:uid="{00000000-0005-0000-0000-0000895B0000}"/>
    <cellStyle name="40% - Accent2 3 2 2 3 2 2 4" xfId="28591" xr:uid="{00000000-0005-0000-0000-00008A5B0000}"/>
    <cellStyle name="40% - Accent2 3 2 2 3 2 3" xfId="8807" xr:uid="{00000000-0005-0000-0000-00008B5B0000}"/>
    <cellStyle name="40% - Accent2 3 2 2 3 2 3 2" xfId="20108" xr:uid="{00000000-0005-0000-0000-00008C5B0000}"/>
    <cellStyle name="40% - Accent2 3 2 2 3 2 3 2 2" xfId="42710" xr:uid="{00000000-0005-0000-0000-00008D5B0000}"/>
    <cellStyle name="40% - Accent2 3 2 2 3 2 3 3" xfId="31409" xr:uid="{00000000-0005-0000-0000-00008E5B0000}"/>
    <cellStyle name="40% - Accent2 3 2 2 3 2 4" xfId="14458" xr:uid="{00000000-0005-0000-0000-00008F5B0000}"/>
    <cellStyle name="40% - Accent2 3 2 2 3 2 4 2" xfId="37060" xr:uid="{00000000-0005-0000-0000-0000905B0000}"/>
    <cellStyle name="40% - Accent2 3 2 2 3 2 5" xfId="25759" xr:uid="{00000000-0005-0000-0000-0000915B0000}"/>
    <cellStyle name="40% - Accent2 3 2 2 3 3" xfId="4755" xr:uid="{00000000-0005-0000-0000-0000925B0000}"/>
    <cellStyle name="40% - Accent2 3 2 2 3 3 2" xfId="10405" xr:uid="{00000000-0005-0000-0000-0000935B0000}"/>
    <cellStyle name="40% - Accent2 3 2 2 3 3 2 2" xfId="21706" xr:uid="{00000000-0005-0000-0000-0000945B0000}"/>
    <cellStyle name="40% - Accent2 3 2 2 3 3 2 2 2" xfId="44308" xr:uid="{00000000-0005-0000-0000-0000955B0000}"/>
    <cellStyle name="40% - Accent2 3 2 2 3 3 2 3" xfId="33007" xr:uid="{00000000-0005-0000-0000-0000965B0000}"/>
    <cellStyle name="40% - Accent2 3 2 2 3 3 3" xfId="16056" xr:uid="{00000000-0005-0000-0000-0000975B0000}"/>
    <cellStyle name="40% - Accent2 3 2 2 3 3 3 2" xfId="38658" xr:uid="{00000000-0005-0000-0000-0000985B0000}"/>
    <cellStyle name="40% - Accent2 3 2 2 3 3 4" xfId="27357" xr:uid="{00000000-0005-0000-0000-0000995B0000}"/>
    <cellStyle name="40% - Accent2 3 2 2 3 4" xfId="6942" xr:uid="{00000000-0005-0000-0000-00009A5B0000}"/>
    <cellStyle name="40% - Accent2 3 2 2 3 4 2" xfId="18243" xr:uid="{00000000-0005-0000-0000-00009B5B0000}"/>
    <cellStyle name="40% - Accent2 3 2 2 3 4 2 2" xfId="40845" xr:uid="{00000000-0005-0000-0000-00009C5B0000}"/>
    <cellStyle name="40% - Accent2 3 2 2 3 4 3" xfId="29544" xr:uid="{00000000-0005-0000-0000-00009D5B0000}"/>
    <cellStyle name="40% - Accent2 3 2 2 3 5" xfId="12593" xr:uid="{00000000-0005-0000-0000-00009E5B0000}"/>
    <cellStyle name="40% - Accent2 3 2 2 3 5 2" xfId="35195" xr:uid="{00000000-0005-0000-0000-00009F5B0000}"/>
    <cellStyle name="40% - Accent2 3 2 2 3 6" xfId="23894" xr:uid="{00000000-0005-0000-0000-0000A05B0000}"/>
    <cellStyle name="40% - Accent2 3 2 2 4" xfId="1802" xr:uid="{00000000-0005-0000-0000-0000A15B0000}"/>
    <cellStyle name="40% - Accent2 3 2 2 4 2" xfId="3672" xr:uid="{00000000-0005-0000-0000-0000A25B0000}"/>
    <cellStyle name="40% - Accent2 3 2 2 4 2 2" xfId="9382" xr:uid="{00000000-0005-0000-0000-0000A35B0000}"/>
    <cellStyle name="40% - Accent2 3 2 2 4 2 2 2" xfId="20683" xr:uid="{00000000-0005-0000-0000-0000A45B0000}"/>
    <cellStyle name="40% - Accent2 3 2 2 4 2 2 2 2" xfId="43285" xr:uid="{00000000-0005-0000-0000-0000A55B0000}"/>
    <cellStyle name="40% - Accent2 3 2 2 4 2 2 3" xfId="31984" xr:uid="{00000000-0005-0000-0000-0000A65B0000}"/>
    <cellStyle name="40% - Accent2 3 2 2 4 2 3" xfId="15033" xr:uid="{00000000-0005-0000-0000-0000A75B0000}"/>
    <cellStyle name="40% - Accent2 3 2 2 4 2 3 2" xfId="37635" xr:uid="{00000000-0005-0000-0000-0000A85B0000}"/>
    <cellStyle name="40% - Accent2 3 2 2 4 2 4" xfId="26334" xr:uid="{00000000-0005-0000-0000-0000A95B0000}"/>
    <cellStyle name="40% - Accent2 3 2 2 4 3" xfId="5365" xr:uid="{00000000-0005-0000-0000-0000AA5B0000}"/>
    <cellStyle name="40% - Accent2 3 2 2 4 3 2" xfId="11015" xr:uid="{00000000-0005-0000-0000-0000AB5B0000}"/>
    <cellStyle name="40% - Accent2 3 2 2 4 3 2 2" xfId="22316" xr:uid="{00000000-0005-0000-0000-0000AC5B0000}"/>
    <cellStyle name="40% - Accent2 3 2 2 4 3 2 2 2" xfId="44918" xr:uid="{00000000-0005-0000-0000-0000AD5B0000}"/>
    <cellStyle name="40% - Accent2 3 2 2 4 3 2 3" xfId="33617" xr:uid="{00000000-0005-0000-0000-0000AE5B0000}"/>
    <cellStyle name="40% - Accent2 3 2 2 4 3 3" xfId="16666" xr:uid="{00000000-0005-0000-0000-0000AF5B0000}"/>
    <cellStyle name="40% - Accent2 3 2 2 4 3 3 2" xfId="39268" xr:uid="{00000000-0005-0000-0000-0000B05B0000}"/>
    <cellStyle name="40% - Accent2 3 2 2 4 3 4" xfId="27967" xr:uid="{00000000-0005-0000-0000-0000B15B0000}"/>
    <cellStyle name="40% - Accent2 3 2 2 4 4" xfId="7658" xr:uid="{00000000-0005-0000-0000-0000B25B0000}"/>
    <cellStyle name="40% - Accent2 3 2 2 4 4 2" xfId="18959" xr:uid="{00000000-0005-0000-0000-0000B35B0000}"/>
    <cellStyle name="40% - Accent2 3 2 2 4 4 2 2" xfId="41561" xr:uid="{00000000-0005-0000-0000-0000B45B0000}"/>
    <cellStyle name="40% - Accent2 3 2 2 4 4 3" xfId="30260" xr:uid="{00000000-0005-0000-0000-0000B55B0000}"/>
    <cellStyle name="40% - Accent2 3 2 2 4 5" xfId="13309" xr:uid="{00000000-0005-0000-0000-0000B65B0000}"/>
    <cellStyle name="40% - Accent2 3 2 2 4 5 2" xfId="35911" xr:uid="{00000000-0005-0000-0000-0000B75B0000}"/>
    <cellStyle name="40% - Accent2 3 2 2 4 6" xfId="24610" xr:uid="{00000000-0005-0000-0000-0000B85B0000}"/>
    <cellStyle name="40% - Accent2 3 2 2 5" xfId="2346" xr:uid="{00000000-0005-0000-0000-0000B95B0000}"/>
    <cellStyle name="40% - Accent2 3 2 2 5 2" xfId="8182" xr:uid="{00000000-0005-0000-0000-0000BA5B0000}"/>
    <cellStyle name="40% - Accent2 3 2 2 5 2 2" xfId="19483" xr:uid="{00000000-0005-0000-0000-0000BB5B0000}"/>
    <cellStyle name="40% - Accent2 3 2 2 5 2 2 2" xfId="42085" xr:uid="{00000000-0005-0000-0000-0000BC5B0000}"/>
    <cellStyle name="40% - Accent2 3 2 2 5 2 3" xfId="30784" xr:uid="{00000000-0005-0000-0000-0000BD5B0000}"/>
    <cellStyle name="40% - Accent2 3 2 2 5 3" xfId="13833" xr:uid="{00000000-0005-0000-0000-0000BE5B0000}"/>
    <cellStyle name="40% - Accent2 3 2 2 5 3 2" xfId="36435" xr:uid="{00000000-0005-0000-0000-0000BF5B0000}"/>
    <cellStyle name="40% - Accent2 3 2 2 5 4" xfId="25134" xr:uid="{00000000-0005-0000-0000-0000C05B0000}"/>
    <cellStyle name="40% - Accent2 3 2 2 6" xfId="4131" xr:uid="{00000000-0005-0000-0000-0000C15B0000}"/>
    <cellStyle name="40% - Accent2 3 2 2 6 2" xfId="9781" xr:uid="{00000000-0005-0000-0000-0000C25B0000}"/>
    <cellStyle name="40% - Accent2 3 2 2 6 2 2" xfId="21082" xr:uid="{00000000-0005-0000-0000-0000C35B0000}"/>
    <cellStyle name="40% - Accent2 3 2 2 6 2 2 2" xfId="43684" xr:uid="{00000000-0005-0000-0000-0000C45B0000}"/>
    <cellStyle name="40% - Accent2 3 2 2 6 2 3" xfId="32383" xr:uid="{00000000-0005-0000-0000-0000C55B0000}"/>
    <cellStyle name="40% - Accent2 3 2 2 6 3" xfId="15432" xr:uid="{00000000-0005-0000-0000-0000C65B0000}"/>
    <cellStyle name="40% - Accent2 3 2 2 6 3 2" xfId="38034" xr:uid="{00000000-0005-0000-0000-0000C75B0000}"/>
    <cellStyle name="40% - Accent2 3 2 2 6 4" xfId="26733" xr:uid="{00000000-0005-0000-0000-0000C85B0000}"/>
    <cellStyle name="40% - Accent2 3 2 2 7" xfId="6611" xr:uid="{00000000-0005-0000-0000-0000C95B0000}"/>
    <cellStyle name="40% - Accent2 3 2 2 7 2" xfId="17912" xr:uid="{00000000-0005-0000-0000-0000CA5B0000}"/>
    <cellStyle name="40% - Accent2 3 2 2 7 2 2" xfId="40514" xr:uid="{00000000-0005-0000-0000-0000CB5B0000}"/>
    <cellStyle name="40% - Accent2 3 2 2 7 3" xfId="29213" xr:uid="{00000000-0005-0000-0000-0000CC5B0000}"/>
    <cellStyle name="40% - Accent2 3 2 2 8" xfId="12262" xr:uid="{00000000-0005-0000-0000-0000CD5B0000}"/>
    <cellStyle name="40% - Accent2 3 2 2 8 2" xfId="34864" xr:uid="{00000000-0005-0000-0000-0000CE5B0000}"/>
    <cellStyle name="40% - Accent2 3 2 2 9" xfId="23563" xr:uid="{00000000-0005-0000-0000-0000CF5B0000}"/>
    <cellStyle name="40% - Accent2 3 2 3" xfId="1118" xr:uid="{00000000-0005-0000-0000-0000D05B0000}"/>
    <cellStyle name="40% - Accent2 3 2 3 2" xfId="1804" xr:uid="{00000000-0005-0000-0000-0000D15B0000}"/>
    <cellStyle name="40% - Accent2 3 2 3 2 2" xfId="3186" xr:uid="{00000000-0005-0000-0000-0000D25B0000}"/>
    <cellStyle name="40% - Accent2 3 2 3 2 2 2" xfId="6158" xr:uid="{00000000-0005-0000-0000-0000D35B0000}"/>
    <cellStyle name="40% - Accent2 3 2 3 2 2 2 2" xfId="11808" xr:uid="{00000000-0005-0000-0000-0000D45B0000}"/>
    <cellStyle name="40% - Accent2 3 2 3 2 2 2 2 2" xfId="23109" xr:uid="{00000000-0005-0000-0000-0000D55B0000}"/>
    <cellStyle name="40% - Accent2 3 2 3 2 2 2 2 2 2" xfId="45711" xr:uid="{00000000-0005-0000-0000-0000D65B0000}"/>
    <cellStyle name="40% - Accent2 3 2 3 2 2 2 2 3" xfId="34410" xr:uid="{00000000-0005-0000-0000-0000D75B0000}"/>
    <cellStyle name="40% - Accent2 3 2 3 2 2 2 3" xfId="17459" xr:uid="{00000000-0005-0000-0000-0000D85B0000}"/>
    <cellStyle name="40% - Accent2 3 2 3 2 2 2 3 2" xfId="40061" xr:uid="{00000000-0005-0000-0000-0000D95B0000}"/>
    <cellStyle name="40% - Accent2 3 2 3 2 2 2 4" xfId="28760" xr:uid="{00000000-0005-0000-0000-0000DA5B0000}"/>
    <cellStyle name="40% - Accent2 3 2 3 2 2 3" xfId="8976" xr:uid="{00000000-0005-0000-0000-0000DB5B0000}"/>
    <cellStyle name="40% - Accent2 3 2 3 2 2 3 2" xfId="20277" xr:uid="{00000000-0005-0000-0000-0000DC5B0000}"/>
    <cellStyle name="40% - Accent2 3 2 3 2 2 3 2 2" xfId="42879" xr:uid="{00000000-0005-0000-0000-0000DD5B0000}"/>
    <cellStyle name="40% - Accent2 3 2 3 2 2 3 3" xfId="31578" xr:uid="{00000000-0005-0000-0000-0000DE5B0000}"/>
    <cellStyle name="40% - Accent2 3 2 3 2 2 4" xfId="14627" xr:uid="{00000000-0005-0000-0000-0000DF5B0000}"/>
    <cellStyle name="40% - Accent2 3 2 3 2 2 4 2" xfId="37229" xr:uid="{00000000-0005-0000-0000-0000E05B0000}"/>
    <cellStyle name="40% - Accent2 3 2 3 2 2 5" xfId="25928" xr:uid="{00000000-0005-0000-0000-0000E15B0000}"/>
    <cellStyle name="40% - Accent2 3 2 3 2 3" xfId="4924" xr:uid="{00000000-0005-0000-0000-0000E25B0000}"/>
    <cellStyle name="40% - Accent2 3 2 3 2 3 2" xfId="10574" xr:uid="{00000000-0005-0000-0000-0000E35B0000}"/>
    <cellStyle name="40% - Accent2 3 2 3 2 3 2 2" xfId="21875" xr:uid="{00000000-0005-0000-0000-0000E45B0000}"/>
    <cellStyle name="40% - Accent2 3 2 3 2 3 2 2 2" xfId="44477" xr:uid="{00000000-0005-0000-0000-0000E55B0000}"/>
    <cellStyle name="40% - Accent2 3 2 3 2 3 2 3" xfId="33176" xr:uid="{00000000-0005-0000-0000-0000E65B0000}"/>
    <cellStyle name="40% - Accent2 3 2 3 2 3 3" xfId="16225" xr:uid="{00000000-0005-0000-0000-0000E75B0000}"/>
    <cellStyle name="40% - Accent2 3 2 3 2 3 3 2" xfId="38827" xr:uid="{00000000-0005-0000-0000-0000E85B0000}"/>
    <cellStyle name="40% - Accent2 3 2 3 2 3 4" xfId="27526" xr:uid="{00000000-0005-0000-0000-0000E95B0000}"/>
    <cellStyle name="40% - Accent2 3 2 3 2 4" xfId="7660" xr:uid="{00000000-0005-0000-0000-0000EA5B0000}"/>
    <cellStyle name="40% - Accent2 3 2 3 2 4 2" xfId="18961" xr:uid="{00000000-0005-0000-0000-0000EB5B0000}"/>
    <cellStyle name="40% - Accent2 3 2 3 2 4 2 2" xfId="41563" xr:uid="{00000000-0005-0000-0000-0000EC5B0000}"/>
    <cellStyle name="40% - Accent2 3 2 3 2 4 3" xfId="30262" xr:uid="{00000000-0005-0000-0000-0000ED5B0000}"/>
    <cellStyle name="40% - Accent2 3 2 3 2 5" xfId="13311" xr:uid="{00000000-0005-0000-0000-0000EE5B0000}"/>
    <cellStyle name="40% - Accent2 3 2 3 2 5 2" xfId="35913" xr:uid="{00000000-0005-0000-0000-0000EF5B0000}"/>
    <cellStyle name="40% - Accent2 3 2 3 2 6" xfId="24612" xr:uid="{00000000-0005-0000-0000-0000F05B0000}"/>
    <cellStyle name="40% - Accent2 3 2 3 3" xfId="2515" xr:uid="{00000000-0005-0000-0000-0000F15B0000}"/>
    <cellStyle name="40% - Accent2 3 2 3 3 2" xfId="5534" xr:uid="{00000000-0005-0000-0000-0000F25B0000}"/>
    <cellStyle name="40% - Accent2 3 2 3 3 2 2" xfId="11184" xr:uid="{00000000-0005-0000-0000-0000F35B0000}"/>
    <cellStyle name="40% - Accent2 3 2 3 3 2 2 2" xfId="22485" xr:uid="{00000000-0005-0000-0000-0000F45B0000}"/>
    <cellStyle name="40% - Accent2 3 2 3 3 2 2 2 2" xfId="45087" xr:uid="{00000000-0005-0000-0000-0000F55B0000}"/>
    <cellStyle name="40% - Accent2 3 2 3 3 2 2 3" xfId="33786" xr:uid="{00000000-0005-0000-0000-0000F65B0000}"/>
    <cellStyle name="40% - Accent2 3 2 3 3 2 3" xfId="16835" xr:uid="{00000000-0005-0000-0000-0000F75B0000}"/>
    <cellStyle name="40% - Accent2 3 2 3 3 2 3 2" xfId="39437" xr:uid="{00000000-0005-0000-0000-0000F85B0000}"/>
    <cellStyle name="40% - Accent2 3 2 3 3 2 4" xfId="28136" xr:uid="{00000000-0005-0000-0000-0000F95B0000}"/>
    <cellStyle name="40% - Accent2 3 2 3 3 3" xfId="8351" xr:uid="{00000000-0005-0000-0000-0000FA5B0000}"/>
    <cellStyle name="40% - Accent2 3 2 3 3 3 2" xfId="19652" xr:uid="{00000000-0005-0000-0000-0000FB5B0000}"/>
    <cellStyle name="40% - Accent2 3 2 3 3 3 2 2" xfId="42254" xr:uid="{00000000-0005-0000-0000-0000FC5B0000}"/>
    <cellStyle name="40% - Accent2 3 2 3 3 3 3" xfId="30953" xr:uid="{00000000-0005-0000-0000-0000FD5B0000}"/>
    <cellStyle name="40% - Accent2 3 2 3 3 4" xfId="14002" xr:uid="{00000000-0005-0000-0000-0000FE5B0000}"/>
    <cellStyle name="40% - Accent2 3 2 3 3 4 2" xfId="36604" xr:uid="{00000000-0005-0000-0000-0000FF5B0000}"/>
    <cellStyle name="40% - Accent2 3 2 3 3 5" xfId="25303" xr:uid="{00000000-0005-0000-0000-0000005C0000}"/>
    <cellStyle name="40% - Accent2 3 2 3 4" xfId="4300" xr:uid="{00000000-0005-0000-0000-0000015C0000}"/>
    <cellStyle name="40% - Accent2 3 2 3 4 2" xfId="9950" xr:uid="{00000000-0005-0000-0000-0000025C0000}"/>
    <cellStyle name="40% - Accent2 3 2 3 4 2 2" xfId="21251" xr:uid="{00000000-0005-0000-0000-0000035C0000}"/>
    <cellStyle name="40% - Accent2 3 2 3 4 2 2 2" xfId="43853" xr:uid="{00000000-0005-0000-0000-0000045C0000}"/>
    <cellStyle name="40% - Accent2 3 2 3 4 2 3" xfId="32552" xr:uid="{00000000-0005-0000-0000-0000055C0000}"/>
    <cellStyle name="40% - Accent2 3 2 3 4 3" xfId="15601" xr:uid="{00000000-0005-0000-0000-0000065C0000}"/>
    <cellStyle name="40% - Accent2 3 2 3 4 3 2" xfId="38203" xr:uid="{00000000-0005-0000-0000-0000075C0000}"/>
    <cellStyle name="40% - Accent2 3 2 3 4 4" xfId="26902" xr:uid="{00000000-0005-0000-0000-0000085C0000}"/>
    <cellStyle name="40% - Accent2 3 2 3 5" xfId="7097" xr:uid="{00000000-0005-0000-0000-0000095C0000}"/>
    <cellStyle name="40% - Accent2 3 2 3 5 2" xfId="18398" xr:uid="{00000000-0005-0000-0000-00000A5C0000}"/>
    <cellStyle name="40% - Accent2 3 2 3 5 2 2" xfId="41000" xr:uid="{00000000-0005-0000-0000-00000B5C0000}"/>
    <cellStyle name="40% - Accent2 3 2 3 5 3" xfId="29699" xr:uid="{00000000-0005-0000-0000-00000C5C0000}"/>
    <cellStyle name="40% - Accent2 3 2 3 6" xfId="12748" xr:uid="{00000000-0005-0000-0000-00000D5C0000}"/>
    <cellStyle name="40% - Accent2 3 2 3 6 2" xfId="35350" xr:uid="{00000000-0005-0000-0000-00000E5C0000}"/>
    <cellStyle name="40% - Accent2 3 2 3 7" xfId="24049" xr:uid="{00000000-0005-0000-0000-00000F5C0000}"/>
    <cellStyle name="40% - Accent2 3 2 4" xfId="807" xr:uid="{00000000-0005-0000-0000-0000105C0000}"/>
    <cellStyle name="40% - Accent2 3 2 4 2" xfId="2879" xr:uid="{00000000-0005-0000-0000-0000115C0000}"/>
    <cellStyle name="40% - Accent2 3 2 4 2 2" xfId="5851" xr:uid="{00000000-0005-0000-0000-0000125C0000}"/>
    <cellStyle name="40% - Accent2 3 2 4 2 2 2" xfId="11501" xr:uid="{00000000-0005-0000-0000-0000135C0000}"/>
    <cellStyle name="40% - Accent2 3 2 4 2 2 2 2" xfId="22802" xr:uid="{00000000-0005-0000-0000-0000145C0000}"/>
    <cellStyle name="40% - Accent2 3 2 4 2 2 2 2 2" xfId="45404" xr:uid="{00000000-0005-0000-0000-0000155C0000}"/>
    <cellStyle name="40% - Accent2 3 2 4 2 2 2 3" xfId="34103" xr:uid="{00000000-0005-0000-0000-0000165C0000}"/>
    <cellStyle name="40% - Accent2 3 2 4 2 2 3" xfId="17152" xr:uid="{00000000-0005-0000-0000-0000175C0000}"/>
    <cellStyle name="40% - Accent2 3 2 4 2 2 3 2" xfId="39754" xr:uid="{00000000-0005-0000-0000-0000185C0000}"/>
    <cellStyle name="40% - Accent2 3 2 4 2 2 4" xfId="28453" xr:uid="{00000000-0005-0000-0000-0000195C0000}"/>
    <cellStyle name="40% - Accent2 3 2 4 2 3" xfId="8669" xr:uid="{00000000-0005-0000-0000-00001A5C0000}"/>
    <cellStyle name="40% - Accent2 3 2 4 2 3 2" xfId="19970" xr:uid="{00000000-0005-0000-0000-00001B5C0000}"/>
    <cellStyle name="40% - Accent2 3 2 4 2 3 2 2" xfId="42572" xr:uid="{00000000-0005-0000-0000-00001C5C0000}"/>
    <cellStyle name="40% - Accent2 3 2 4 2 3 3" xfId="31271" xr:uid="{00000000-0005-0000-0000-00001D5C0000}"/>
    <cellStyle name="40% - Accent2 3 2 4 2 4" xfId="14320" xr:uid="{00000000-0005-0000-0000-00001E5C0000}"/>
    <cellStyle name="40% - Accent2 3 2 4 2 4 2" xfId="36922" xr:uid="{00000000-0005-0000-0000-00001F5C0000}"/>
    <cellStyle name="40% - Accent2 3 2 4 2 5" xfId="25621" xr:uid="{00000000-0005-0000-0000-0000205C0000}"/>
    <cellStyle name="40% - Accent2 3 2 4 3" xfId="4617" xr:uid="{00000000-0005-0000-0000-0000215C0000}"/>
    <cellStyle name="40% - Accent2 3 2 4 3 2" xfId="10267" xr:uid="{00000000-0005-0000-0000-0000225C0000}"/>
    <cellStyle name="40% - Accent2 3 2 4 3 2 2" xfId="21568" xr:uid="{00000000-0005-0000-0000-0000235C0000}"/>
    <cellStyle name="40% - Accent2 3 2 4 3 2 2 2" xfId="44170" xr:uid="{00000000-0005-0000-0000-0000245C0000}"/>
    <cellStyle name="40% - Accent2 3 2 4 3 2 3" xfId="32869" xr:uid="{00000000-0005-0000-0000-0000255C0000}"/>
    <cellStyle name="40% - Accent2 3 2 4 3 3" xfId="15918" xr:uid="{00000000-0005-0000-0000-0000265C0000}"/>
    <cellStyle name="40% - Accent2 3 2 4 3 3 2" xfId="38520" xr:uid="{00000000-0005-0000-0000-0000275C0000}"/>
    <cellStyle name="40% - Accent2 3 2 4 3 4" xfId="27219" xr:uid="{00000000-0005-0000-0000-0000285C0000}"/>
    <cellStyle name="40% - Accent2 3 2 4 4" xfId="6804" xr:uid="{00000000-0005-0000-0000-0000295C0000}"/>
    <cellStyle name="40% - Accent2 3 2 4 4 2" xfId="18105" xr:uid="{00000000-0005-0000-0000-00002A5C0000}"/>
    <cellStyle name="40% - Accent2 3 2 4 4 2 2" xfId="40707" xr:uid="{00000000-0005-0000-0000-00002B5C0000}"/>
    <cellStyle name="40% - Accent2 3 2 4 4 3" xfId="29406" xr:uid="{00000000-0005-0000-0000-00002C5C0000}"/>
    <cellStyle name="40% - Accent2 3 2 4 5" xfId="12455" xr:uid="{00000000-0005-0000-0000-00002D5C0000}"/>
    <cellStyle name="40% - Accent2 3 2 4 5 2" xfId="35057" xr:uid="{00000000-0005-0000-0000-00002E5C0000}"/>
    <cellStyle name="40% - Accent2 3 2 4 6" xfId="23756" xr:uid="{00000000-0005-0000-0000-00002F5C0000}"/>
    <cellStyle name="40% - Accent2 3 2 5" xfId="1801" xr:uid="{00000000-0005-0000-0000-0000305C0000}"/>
    <cellStyle name="40% - Accent2 3 2 5 2" xfId="3671" xr:uid="{00000000-0005-0000-0000-0000315C0000}"/>
    <cellStyle name="40% - Accent2 3 2 5 2 2" xfId="9381" xr:uid="{00000000-0005-0000-0000-0000325C0000}"/>
    <cellStyle name="40% - Accent2 3 2 5 2 2 2" xfId="20682" xr:uid="{00000000-0005-0000-0000-0000335C0000}"/>
    <cellStyle name="40% - Accent2 3 2 5 2 2 2 2" xfId="43284" xr:uid="{00000000-0005-0000-0000-0000345C0000}"/>
    <cellStyle name="40% - Accent2 3 2 5 2 2 3" xfId="31983" xr:uid="{00000000-0005-0000-0000-0000355C0000}"/>
    <cellStyle name="40% - Accent2 3 2 5 2 3" xfId="15032" xr:uid="{00000000-0005-0000-0000-0000365C0000}"/>
    <cellStyle name="40% - Accent2 3 2 5 2 3 2" xfId="37634" xr:uid="{00000000-0005-0000-0000-0000375C0000}"/>
    <cellStyle name="40% - Accent2 3 2 5 2 4" xfId="26333" xr:uid="{00000000-0005-0000-0000-0000385C0000}"/>
    <cellStyle name="40% - Accent2 3 2 5 3" xfId="5227" xr:uid="{00000000-0005-0000-0000-0000395C0000}"/>
    <cellStyle name="40% - Accent2 3 2 5 3 2" xfId="10877" xr:uid="{00000000-0005-0000-0000-00003A5C0000}"/>
    <cellStyle name="40% - Accent2 3 2 5 3 2 2" xfId="22178" xr:uid="{00000000-0005-0000-0000-00003B5C0000}"/>
    <cellStyle name="40% - Accent2 3 2 5 3 2 2 2" xfId="44780" xr:uid="{00000000-0005-0000-0000-00003C5C0000}"/>
    <cellStyle name="40% - Accent2 3 2 5 3 2 3" xfId="33479" xr:uid="{00000000-0005-0000-0000-00003D5C0000}"/>
    <cellStyle name="40% - Accent2 3 2 5 3 3" xfId="16528" xr:uid="{00000000-0005-0000-0000-00003E5C0000}"/>
    <cellStyle name="40% - Accent2 3 2 5 3 3 2" xfId="39130" xr:uid="{00000000-0005-0000-0000-00003F5C0000}"/>
    <cellStyle name="40% - Accent2 3 2 5 3 4" xfId="27829" xr:uid="{00000000-0005-0000-0000-0000405C0000}"/>
    <cellStyle name="40% - Accent2 3 2 5 4" xfId="7657" xr:uid="{00000000-0005-0000-0000-0000415C0000}"/>
    <cellStyle name="40% - Accent2 3 2 5 4 2" xfId="18958" xr:uid="{00000000-0005-0000-0000-0000425C0000}"/>
    <cellStyle name="40% - Accent2 3 2 5 4 2 2" xfId="41560" xr:uid="{00000000-0005-0000-0000-0000435C0000}"/>
    <cellStyle name="40% - Accent2 3 2 5 4 3" xfId="30259" xr:uid="{00000000-0005-0000-0000-0000445C0000}"/>
    <cellStyle name="40% - Accent2 3 2 5 5" xfId="13308" xr:uid="{00000000-0005-0000-0000-0000455C0000}"/>
    <cellStyle name="40% - Accent2 3 2 5 5 2" xfId="35910" xr:uid="{00000000-0005-0000-0000-0000465C0000}"/>
    <cellStyle name="40% - Accent2 3 2 5 6" xfId="24609" xr:uid="{00000000-0005-0000-0000-0000475C0000}"/>
    <cellStyle name="40% - Accent2 3 2 6" xfId="2205" xr:uid="{00000000-0005-0000-0000-0000485C0000}"/>
    <cellStyle name="40% - Accent2 3 2 6 2" xfId="8041" xr:uid="{00000000-0005-0000-0000-0000495C0000}"/>
    <cellStyle name="40% - Accent2 3 2 6 2 2" xfId="19342" xr:uid="{00000000-0005-0000-0000-00004A5C0000}"/>
    <cellStyle name="40% - Accent2 3 2 6 2 2 2" xfId="41944" xr:uid="{00000000-0005-0000-0000-00004B5C0000}"/>
    <cellStyle name="40% - Accent2 3 2 6 2 3" xfId="30643" xr:uid="{00000000-0005-0000-0000-00004C5C0000}"/>
    <cellStyle name="40% - Accent2 3 2 6 3" xfId="13692" xr:uid="{00000000-0005-0000-0000-00004D5C0000}"/>
    <cellStyle name="40% - Accent2 3 2 6 3 2" xfId="36294" xr:uid="{00000000-0005-0000-0000-00004E5C0000}"/>
    <cellStyle name="40% - Accent2 3 2 6 4" xfId="24993" xr:uid="{00000000-0005-0000-0000-00004F5C0000}"/>
    <cellStyle name="40% - Accent2 3 2 7" xfId="3993" xr:uid="{00000000-0005-0000-0000-0000505C0000}"/>
    <cellStyle name="40% - Accent2 3 2 7 2" xfId="9643" xr:uid="{00000000-0005-0000-0000-0000515C0000}"/>
    <cellStyle name="40% - Accent2 3 2 7 2 2" xfId="20944" xr:uid="{00000000-0005-0000-0000-0000525C0000}"/>
    <cellStyle name="40% - Accent2 3 2 7 2 2 2" xfId="43546" xr:uid="{00000000-0005-0000-0000-0000535C0000}"/>
    <cellStyle name="40% - Accent2 3 2 7 2 3" xfId="32245" xr:uid="{00000000-0005-0000-0000-0000545C0000}"/>
    <cellStyle name="40% - Accent2 3 2 7 3" xfId="15294" xr:uid="{00000000-0005-0000-0000-0000555C0000}"/>
    <cellStyle name="40% - Accent2 3 2 7 3 2" xfId="37896" xr:uid="{00000000-0005-0000-0000-0000565C0000}"/>
    <cellStyle name="40% - Accent2 3 2 7 4" xfId="26595" xr:uid="{00000000-0005-0000-0000-0000575C0000}"/>
    <cellStyle name="40% - Accent2 3 2 8" xfId="6444" xr:uid="{00000000-0005-0000-0000-0000585C0000}"/>
    <cellStyle name="40% - Accent2 3 2 8 2" xfId="17745" xr:uid="{00000000-0005-0000-0000-0000595C0000}"/>
    <cellStyle name="40% - Accent2 3 2 8 2 2" xfId="40347" xr:uid="{00000000-0005-0000-0000-00005A5C0000}"/>
    <cellStyle name="40% - Accent2 3 2 8 3" xfId="29046" xr:uid="{00000000-0005-0000-0000-00005B5C0000}"/>
    <cellStyle name="40% - Accent2 3 2 9" xfId="12095" xr:uid="{00000000-0005-0000-0000-00005C5C0000}"/>
    <cellStyle name="40% - Accent2 3 2 9 2" xfId="34697" xr:uid="{00000000-0005-0000-0000-00005D5C0000}"/>
    <cellStyle name="40% - Accent2 3 3" xfId="350" xr:uid="{00000000-0005-0000-0000-00005E5C0000}"/>
    <cellStyle name="40% - Accent2 3 3 10" xfId="23445" xr:uid="{00000000-0005-0000-0000-00005F5C0000}"/>
    <cellStyle name="40% - Accent2 3 3 2" xfId="595" xr:uid="{00000000-0005-0000-0000-0000605C0000}"/>
    <cellStyle name="40% - Accent2 3 3 2 2" xfId="1305" xr:uid="{00000000-0005-0000-0000-0000615C0000}"/>
    <cellStyle name="40% - Accent2 3 3 2 2 2" xfId="1807" xr:uid="{00000000-0005-0000-0000-0000625C0000}"/>
    <cellStyle name="40% - Accent2 3 3 2 2 2 2" xfId="3374" xr:uid="{00000000-0005-0000-0000-0000635C0000}"/>
    <cellStyle name="40% - Accent2 3 3 2 2 2 2 2" xfId="6346" xr:uid="{00000000-0005-0000-0000-0000645C0000}"/>
    <cellStyle name="40% - Accent2 3 3 2 2 2 2 2 2" xfId="11996" xr:uid="{00000000-0005-0000-0000-0000655C0000}"/>
    <cellStyle name="40% - Accent2 3 3 2 2 2 2 2 2 2" xfId="23297" xr:uid="{00000000-0005-0000-0000-0000665C0000}"/>
    <cellStyle name="40% - Accent2 3 3 2 2 2 2 2 2 2 2" xfId="45899" xr:uid="{00000000-0005-0000-0000-0000675C0000}"/>
    <cellStyle name="40% - Accent2 3 3 2 2 2 2 2 2 3" xfId="34598" xr:uid="{00000000-0005-0000-0000-0000685C0000}"/>
    <cellStyle name="40% - Accent2 3 3 2 2 2 2 2 3" xfId="17647" xr:uid="{00000000-0005-0000-0000-0000695C0000}"/>
    <cellStyle name="40% - Accent2 3 3 2 2 2 2 2 3 2" xfId="40249" xr:uid="{00000000-0005-0000-0000-00006A5C0000}"/>
    <cellStyle name="40% - Accent2 3 3 2 2 2 2 2 4" xfId="28948" xr:uid="{00000000-0005-0000-0000-00006B5C0000}"/>
    <cellStyle name="40% - Accent2 3 3 2 2 2 2 3" xfId="9164" xr:uid="{00000000-0005-0000-0000-00006C5C0000}"/>
    <cellStyle name="40% - Accent2 3 3 2 2 2 2 3 2" xfId="20465" xr:uid="{00000000-0005-0000-0000-00006D5C0000}"/>
    <cellStyle name="40% - Accent2 3 3 2 2 2 2 3 2 2" xfId="43067" xr:uid="{00000000-0005-0000-0000-00006E5C0000}"/>
    <cellStyle name="40% - Accent2 3 3 2 2 2 2 3 3" xfId="31766" xr:uid="{00000000-0005-0000-0000-00006F5C0000}"/>
    <cellStyle name="40% - Accent2 3 3 2 2 2 2 4" xfId="14815" xr:uid="{00000000-0005-0000-0000-0000705C0000}"/>
    <cellStyle name="40% - Accent2 3 3 2 2 2 2 4 2" xfId="37417" xr:uid="{00000000-0005-0000-0000-0000715C0000}"/>
    <cellStyle name="40% - Accent2 3 3 2 2 2 2 5" xfId="26116" xr:uid="{00000000-0005-0000-0000-0000725C0000}"/>
    <cellStyle name="40% - Accent2 3 3 2 2 2 3" xfId="5112" xr:uid="{00000000-0005-0000-0000-0000735C0000}"/>
    <cellStyle name="40% - Accent2 3 3 2 2 2 3 2" xfId="10762" xr:uid="{00000000-0005-0000-0000-0000745C0000}"/>
    <cellStyle name="40% - Accent2 3 3 2 2 2 3 2 2" xfId="22063" xr:uid="{00000000-0005-0000-0000-0000755C0000}"/>
    <cellStyle name="40% - Accent2 3 3 2 2 2 3 2 2 2" xfId="44665" xr:uid="{00000000-0005-0000-0000-0000765C0000}"/>
    <cellStyle name="40% - Accent2 3 3 2 2 2 3 2 3" xfId="33364" xr:uid="{00000000-0005-0000-0000-0000775C0000}"/>
    <cellStyle name="40% - Accent2 3 3 2 2 2 3 3" xfId="16413" xr:uid="{00000000-0005-0000-0000-0000785C0000}"/>
    <cellStyle name="40% - Accent2 3 3 2 2 2 3 3 2" xfId="39015" xr:uid="{00000000-0005-0000-0000-0000795C0000}"/>
    <cellStyle name="40% - Accent2 3 3 2 2 2 3 4" xfId="27714" xr:uid="{00000000-0005-0000-0000-00007A5C0000}"/>
    <cellStyle name="40% - Accent2 3 3 2 2 2 4" xfId="7663" xr:uid="{00000000-0005-0000-0000-00007B5C0000}"/>
    <cellStyle name="40% - Accent2 3 3 2 2 2 4 2" xfId="18964" xr:uid="{00000000-0005-0000-0000-00007C5C0000}"/>
    <cellStyle name="40% - Accent2 3 3 2 2 2 4 2 2" xfId="41566" xr:uid="{00000000-0005-0000-0000-00007D5C0000}"/>
    <cellStyle name="40% - Accent2 3 3 2 2 2 4 3" xfId="30265" xr:uid="{00000000-0005-0000-0000-00007E5C0000}"/>
    <cellStyle name="40% - Accent2 3 3 2 2 2 5" xfId="13314" xr:uid="{00000000-0005-0000-0000-00007F5C0000}"/>
    <cellStyle name="40% - Accent2 3 3 2 2 2 5 2" xfId="35916" xr:uid="{00000000-0005-0000-0000-0000805C0000}"/>
    <cellStyle name="40% - Accent2 3 3 2 2 2 6" xfId="24615" xr:uid="{00000000-0005-0000-0000-0000815C0000}"/>
    <cellStyle name="40% - Accent2 3 3 2 2 3" xfId="2703" xr:uid="{00000000-0005-0000-0000-0000825C0000}"/>
    <cellStyle name="40% - Accent2 3 3 2 2 3 2" xfId="5722" xr:uid="{00000000-0005-0000-0000-0000835C0000}"/>
    <cellStyle name="40% - Accent2 3 3 2 2 3 2 2" xfId="11372" xr:uid="{00000000-0005-0000-0000-0000845C0000}"/>
    <cellStyle name="40% - Accent2 3 3 2 2 3 2 2 2" xfId="22673" xr:uid="{00000000-0005-0000-0000-0000855C0000}"/>
    <cellStyle name="40% - Accent2 3 3 2 2 3 2 2 2 2" xfId="45275" xr:uid="{00000000-0005-0000-0000-0000865C0000}"/>
    <cellStyle name="40% - Accent2 3 3 2 2 3 2 2 3" xfId="33974" xr:uid="{00000000-0005-0000-0000-0000875C0000}"/>
    <cellStyle name="40% - Accent2 3 3 2 2 3 2 3" xfId="17023" xr:uid="{00000000-0005-0000-0000-0000885C0000}"/>
    <cellStyle name="40% - Accent2 3 3 2 2 3 2 3 2" xfId="39625" xr:uid="{00000000-0005-0000-0000-0000895C0000}"/>
    <cellStyle name="40% - Accent2 3 3 2 2 3 2 4" xfId="28324" xr:uid="{00000000-0005-0000-0000-00008A5C0000}"/>
    <cellStyle name="40% - Accent2 3 3 2 2 3 3" xfId="8539" xr:uid="{00000000-0005-0000-0000-00008B5C0000}"/>
    <cellStyle name="40% - Accent2 3 3 2 2 3 3 2" xfId="19840" xr:uid="{00000000-0005-0000-0000-00008C5C0000}"/>
    <cellStyle name="40% - Accent2 3 3 2 2 3 3 2 2" xfId="42442" xr:uid="{00000000-0005-0000-0000-00008D5C0000}"/>
    <cellStyle name="40% - Accent2 3 3 2 2 3 3 3" xfId="31141" xr:uid="{00000000-0005-0000-0000-00008E5C0000}"/>
    <cellStyle name="40% - Accent2 3 3 2 2 3 4" xfId="14190" xr:uid="{00000000-0005-0000-0000-00008F5C0000}"/>
    <cellStyle name="40% - Accent2 3 3 2 2 3 4 2" xfId="36792" xr:uid="{00000000-0005-0000-0000-0000905C0000}"/>
    <cellStyle name="40% - Accent2 3 3 2 2 3 5" xfId="25491" xr:uid="{00000000-0005-0000-0000-0000915C0000}"/>
    <cellStyle name="40% - Accent2 3 3 2 2 4" xfId="4488" xr:uid="{00000000-0005-0000-0000-0000925C0000}"/>
    <cellStyle name="40% - Accent2 3 3 2 2 4 2" xfId="10138" xr:uid="{00000000-0005-0000-0000-0000935C0000}"/>
    <cellStyle name="40% - Accent2 3 3 2 2 4 2 2" xfId="21439" xr:uid="{00000000-0005-0000-0000-0000945C0000}"/>
    <cellStyle name="40% - Accent2 3 3 2 2 4 2 2 2" xfId="44041" xr:uid="{00000000-0005-0000-0000-0000955C0000}"/>
    <cellStyle name="40% - Accent2 3 3 2 2 4 2 3" xfId="32740" xr:uid="{00000000-0005-0000-0000-0000965C0000}"/>
    <cellStyle name="40% - Accent2 3 3 2 2 4 3" xfId="15789" xr:uid="{00000000-0005-0000-0000-0000975C0000}"/>
    <cellStyle name="40% - Accent2 3 3 2 2 4 3 2" xfId="38391" xr:uid="{00000000-0005-0000-0000-0000985C0000}"/>
    <cellStyle name="40% - Accent2 3 3 2 2 4 4" xfId="27090" xr:uid="{00000000-0005-0000-0000-0000995C0000}"/>
    <cellStyle name="40% - Accent2 3 3 2 2 5" xfId="7284" xr:uid="{00000000-0005-0000-0000-00009A5C0000}"/>
    <cellStyle name="40% - Accent2 3 3 2 2 5 2" xfId="18585" xr:uid="{00000000-0005-0000-0000-00009B5C0000}"/>
    <cellStyle name="40% - Accent2 3 3 2 2 5 2 2" xfId="41187" xr:uid="{00000000-0005-0000-0000-00009C5C0000}"/>
    <cellStyle name="40% - Accent2 3 3 2 2 5 3" xfId="29886" xr:uid="{00000000-0005-0000-0000-00009D5C0000}"/>
    <cellStyle name="40% - Accent2 3 3 2 2 6" xfId="12935" xr:uid="{00000000-0005-0000-0000-00009E5C0000}"/>
    <cellStyle name="40% - Accent2 3 3 2 2 6 2" xfId="35537" xr:uid="{00000000-0005-0000-0000-00009F5C0000}"/>
    <cellStyle name="40% - Accent2 3 3 2 2 7" xfId="24236" xr:uid="{00000000-0005-0000-0000-0000A05C0000}"/>
    <cellStyle name="40% - Accent2 3 3 2 3" xfId="1003" xr:uid="{00000000-0005-0000-0000-0000A15C0000}"/>
    <cellStyle name="40% - Accent2 3 3 2 3 2" xfId="3066" xr:uid="{00000000-0005-0000-0000-0000A25C0000}"/>
    <cellStyle name="40% - Accent2 3 3 2 3 2 2" xfId="6038" xr:uid="{00000000-0005-0000-0000-0000A35C0000}"/>
    <cellStyle name="40% - Accent2 3 3 2 3 2 2 2" xfId="11688" xr:uid="{00000000-0005-0000-0000-0000A45C0000}"/>
    <cellStyle name="40% - Accent2 3 3 2 3 2 2 2 2" xfId="22989" xr:uid="{00000000-0005-0000-0000-0000A55C0000}"/>
    <cellStyle name="40% - Accent2 3 3 2 3 2 2 2 2 2" xfId="45591" xr:uid="{00000000-0005-0000-0000-0000A65C0000}"/>
    <cellStyle name="40% - Accent2 3 3 2 3 2 2 2 3" xfId="34290" xr:uid="{00000000-0005-0000-0000-0000A75C0000}"/>
    <cellStyle name="40% - Accent2 3 3 2 3 2 2 3" xfId="17339" xr:uid="{00000000-0005-0000-0000-0000A85C0000}"/>
    <cellStyle name="40% - Accent2 3 3 2 3 2 2 3 2" xfId="39941" xr:uid="{00000000-0005-0000-0000-0000A95C0000}"/>
    <cellStyle name="40% - Accent2 3 3 2 3 2 2 4" xfId="28640" xr:uid="{00000000-0005-0000-0000-0000AA5C0000}"/>
    <cellStyle name="40% - Accent2 3 3 2 3 2 3" xfId="8856" xr:uid="{00000000-0005-0000-0000-0000AB5C0000}"/>
    <cellStyle name="40% - Accent2 3 3 2 3 2 3 2" xfId="20157" xr:uid="{00000000-0005-0000-0000-0000AC5C0000}"/>
    <cellStyle name="40% - Accent2 3 3 2 3 2 3 2 2" xfId="42759" xr:uid="{00000000-0005-0000-0000-0000AD5C0000}"/>
    <cellStyle name="40% - Accent2 3 3 2 3 2 3 3" xfId="31458" xr:uid="{00000000-0005-0000-0000-0000AE5C0000}"/>
    <cellStyle name="40% - Accent2 3 3 2 3 2 4" xfId="14507" xr:uid="{00000000-0005-0000-0000-0000AF5C0000}"/>
    <cellStyle name="40% - Accent2 3 3 2 3 2 4 2" xfId="37109" xr:uid="{00000000-0005-0000-0000-0000B05C0000}"/>
    <cellStyle name="40% - Accent2 3 3 2 3 2 5" xfId="25808" xr:uid="{00000000-0005-0000-0000-0000B15C0000}"/>
    <cellStyle name="40% - Accent2 3 3 2 3 3" xfId="4804" xr:uid="{00000000-0005-0000-0000-0000B25C0000}"/>
    <cellStyle name="40% - Accent2 3 3 2 3 3 2" xfId="10454" xr:uid="{00000000-0005-0000-0000-0000B35C0000}"/>
    <cellStyle name="40% - Accent2 3 3 2 3 3 2 2" xfId="21755" xr:uid="{00000000-0005-0000-0000-0000B45C0000}"/>
    <cellStyle name="40% - Accent2 3 3 2 3 3 2 2 2" xfId="44357" xr:uid="{00000000-0005-0000-0000-0000B55C0000}"/>
    <cellStyle name="40% - Accent2 3 3 2 3 3 2 3" xfId="33056" xr:uid="{00000000-0005-0000-0000-0000B65C0000}"/>
    <cellStyle name="40% - Accent2 3 3 2 3 3 3" xfId="16105" xr:uid="{00000000-0005-0000-0000-0000B75C0000}"/>
    <cellStyle name="40% - Accent2 3 3 2 3 3 3 2" xfId="38707" xr:uid="{00000000-0005-0000-0000-0000B85C0000}"/>
    <cellStyle name="40% - Accent2 3 3 2 3 3 4" xfId="27406" xr:uid="{00000000-0005-0000-0000-0000B95C0000}"/>
    <cellStyle name="40% - Accent2 3 3 2 3 4" xfId="6991" xr:uid="{00000000-0005-0000-0000-0000BA5C0000}"/>
    <cellStyle name="40% - Accent2 3 3 2 3 4 2" xfId="18292" xr:uid="{00000000-0005-0000-0000-0000BB5C0000}"/>
    <cellStyle name="40% - Accent2 3 3 2 3 4 2 2" xfId="40894" xr:uid="{00000000-0005-0000-0000-0000BC5C0000}"/>
    <cellStyle name="40% - Accent2 3 3 2 3 4 3" xfId="29593" xr:uid="{00000000-0005-0000-0000-0000BD5C0000}"/>
    <cellStyle name="40% - Accent2 3 3 2 3 5" xfId="12642" xr:uid="{00000000-0005-0000-0000-0000BE5C0000}"/>
    <cellStyle name="40% - Accent2 3 3 2 3 5 2" xfId="35244" xr:uid="{00000000-0005-0000-0000-0000BF5C0000}"/>
    <cellStyle name="40% - Accent2 3 3 2 3 6" xfId="23943" xr:uid="{00000000-0005-0000-0000-0000C05C0000}"/>
    <cellStyle name="40% - Accent2 3 3 2 4" xfId="1806" xr:uid="{00000000-0005-0000-0000-0000C15C0000}"/>
    <cellStyle name="40% - Accent2 3 3 2 4 2" xfId="3674" xr:uid="{00000000-0005-0000-0000-0000C25C0000}"/>
    <cellStyle name="40% - Accent2 3 3 2 4 2 2" xfId="9384" xr:uid="{00000000-0005-0000-0000-0000C35C0000}"/>
    <cellStyle name="40% - Accent2 3 3 2 4 2 2 2" xfId="20685" xr:uid="{00000000-0005-0000-0000-0000C45C0000}"/>
    <cellStyle name="40% - Accent2 3 3 2 4 2 2 2 2" xfId="43287" xr:uid="{00000000-0005-0000-0000-0000C55C0000}"/>
    <cellStyle name="40% - Accent2 3 3 2 4 2 2 3" xfId="31986" xr:uid="{00000000-0005-0000-0000-0000C65C0000}"/>
    <cellStyle name="40% - Accent2 3 3 2 4 2 3" xfId="15035" xr:uid="{00000000-0005-0000-0000-0000C75C0000}"/>
    <cellStyle name="40% - Accent2 3 3 2 4 2 3 2" xfId="37637" xr:uid="{00000000-0005-0000-0000-0000C85C0000}"/>
    <cellStyle name="40% - Accent2 3 3 2 4 2 4" xfId="26336" xr:uid="{00000000-0005-0000-0000-0000C95C0000}"/>
    <cellStyle name="40% - Accent2 3 3 2 4 3" xfId="5414" xr:uid="{00000000-0005-0000-0000-0000CA5C0000}"/>
    <cellStyle name="40% - Accent2 3 3 2 4 3 2" xfId="11064" xr:uid="{00000000-0005-0000-0000-0000CB5C0000}"/>
    <cellStyle name="40% - Accent2 3 3 2 4 3 2 2" xfId="22365" xr:uid="{00000000-0005-0000-0000-0000CC5C0000}"/>
    <cellStyle name="40% - Accent2 3 3 2 4 3 2 2 2" xfId="44967" xr:uid="{00000000-0005-0000-0000-0000CD5C0000}"/>
    <cellStyle name="40% - Accent2 3 3 2 4 3 2 3" xfId="33666" xr:uid="{00000000-0005-0000-0000-0000CE5C0000}"/>
    <cellStyle name="40% - Accent2 3 3 2 4 3 3" xfId="16715" xr:uid="{00000000-0005-0000-0000-0000CF5C0000}"/>
    <cellStyle name="40% - Accent2 3 3 2 4 3 3 2" xfId="39317" xr:uid="{00000000-0005-0000-0000-0000D05C0000}"/>
    <cellStyle name="40% - Accent2 3 3 2 4 3 4" xfId="28016" xr:uid="{00000000-0005-0000-0000-0000D15C0000}"/>
    <cellStyle name="40% - Accent2 3 3 2 4 4" xfId="7662" xr:uid="{00000000-0005-0000-0000-0000D25C0000}"/>
    <cellStyle name="40% - Accent2 3 3 2 4 4 2" xfId="18963" xr:uid="{00000000-0005-0000-0000-0000D35C0000}"/>
    <cellStyle name="40% - Accent2 3 3 2 4 4 2 2" xfId="41565" xr:uid="{00000000-0005-0000-0000-0000D45C0000}"/>
    <cellStyle name="40% - Accent2 3 3 2 4 4 3" xfId="30264" xr:uid="{00000000-0005-0000-0000-0000D55C0000}"/>
    <cellStyle name="40% - Accent2 3 3 2 4 5" xfId="13313" xr:uid="{00000000-0005-0000-0000-0000D65C0000}"/>
    <cellStyle name="40% - Accent2 3 3 2 4 5 2" xfId="35915" xr:uid="{00000000-0005-0000-0000-0000D75C0000}"/>
    <cellStyle name="40% - Accent2 3 3 2 4 6" xfId="24614" xr:uid="{00000000-0005-0000-0000-0000D85C0000}"/>
    <cellStyle name="40% - Accent2 3 3 2 5" xfId="2395" xr:uid="{00000000-0005-0000-0000-0000D95C0000}"/>
    <cellStyle name="40% - Accent2 3 3 2 5 2" xfId="8231" xr:uid="{00000000-0005-0000-0000-0000DA5C0000}"/>
    <cellStyle name="40% - Accent2 3 3 2 5 2 2" xfId="19532" xr:uid="{00000000-0005-0000-0000-0000DB5C0000}"/>
    <cellStyle name="40% - Accent2 3 3 2 5 2 2 2" xfId="42134" xr:uid="{00000000-0005-0000-0000-0000DC5C0000}"/>
    <cellStyle name="40% - Accent2 3 3 2 5 2 3" xfId="30833" xr:uid="{00000000-0005-0000-0000-0000DD5C0000}"/>
    <cellStyle name="40% - Accent2 3 3 2 5 3" xfId="13882" xr:uid="{00000000-0005-0000-0000-0000DE5C0000}"/>
    <cellStyle name="40% - Accent2 3 3 2 5 3 2" xfId="36484" xr:uid="{00000000-0005-0000-0000-0000DF5C0000}"/>
    <cellStyle name="40% - Accent2 3 3 2 5 4" xfId="25183" xr:uid="{00000000-0005-0000-0000-0000E05C0000}"/>
    <cellStyle name="40% - Accent2 3 3 2 6" xfId="4180" xr:uid="{00000000-0005-0000-0000-0000E15C0000}"/>
    <cellStyle name="40% - Accent2 3 3 2 6 2" xfId="9830" xr:uid="{00000000-0005-0000-0000-0000E25C0000}"/>
    <cellStyle name="40% - Accent2 3 3 2 6 2 2" xfId="21131" xr:uid="{00000000-0005-0000-0000-0000E35C0000}"/>
    <cellStyle name="40% - Accent2 3 3 2 6 2 2 2" xfId="43733" xr:uid="{00000000-0005-0000-0000-0000E45C0000}"/>
    <cellStyle name="40% - Accent2 3 3 2 6 2 3" xfId="32432" xr:uid="{00000000-0005-0000-0000-0000E55C0000}"/>
    <cellStyle name="40% - Accent2 3 3 2 6 3" xfId="15481" xr:uid="{00000000-0005-0000-0000-0000E65C0000}"/>
    <cellStyle name="40% - Accent2 3 3 2 6 3 2" xfId="38083" xr:uid="{00000000-0005-0000-0000-0000E75C0000}"/>
    <cellStyle name="40% - Accent2 3 3 2 6 4" xfId="26782" xr:uid="{00000000-0005-0000-0000-0000E85C0000}"/>
    <cellStyle name="40% - Accent2 3 3 2 7" xfId="6660" xr:uid="{00000000-0005-0000-0000-0000E95C0000}"/>
    <cellStyle name="40% - Accent2 3 3 2 7 2" xfId="17961" xr:uid="{00000000-0005-0000-0000-0000EA5C0000}"/>
    <cellStyle name="40% - Accent2 3 3 2 7 2 2" xfId="40563" xr:uid="{00000000-0005-0000-0000-0000EB5C0000}"/>
    <cellStyle name="40% - Accent2 3 3 2 7 3" xfId="29262" xr:uid="{00000000-0005-0000-0000-0000EC5C0000}"/>
    <cellStyle name="40% - Accent2 3 3 2 8" xfId="12311" xr:uid="{00000000-0005-0000-0000-0000ED5C0000}"/>
    <cellStyle name="40% - Accent2 3 3 2 8 2" xfId="34913" xr:uid="{00000000-0005-0000-0000-0000EE5C0000}"/>
    <cellStyle name="40% - Accent2 3 3 2 9" xfId="23612" xr:uid="{00000000-0005-0000-0000-0000EF5C0000}"/>
    <cellStyle name="40% - Accent2 3 3 3" xfId="1167" xr:uid="{00000000-0005-0000-0000-0000F05C0000}"/>
    <cellStyle name="40% - Accent2 3 3 3 2" xfId="1808" xr:uid="{00000000-0005-0000-0000-0000F15C0000}"/>
    <cellStyle name="40% - Accent2 3 3 3 2 2" xfId="3235" xr:uid="{00000000-0005-0000-0000-0000F25C0000}"/>
    <cellStyle name="40% - Accent2 3 3 3 2 2 2" xfId="6207" xr:uid="{00000000-0005-0000-0000-0000F35C0000}"/>
    <cellStyle name="40% - Accent2 3 3 3 2 2 2 2" xfId="11857" xr:uid="{00000000-0005-0000-0000-0000F45C0000}"/>
    <cellStyle name="40% - Accent2 3 3 3 2 2 2 2 2" xfId="23158" xr:uid="{00000000-0005-0000-0000-0000F55C0000}"/>
    <cellStyle name="40% - Accent2 3 3 3 2 2 2 2 2 2" xfId="45760" xr:uid="{00000000-0005-0000-0000-0000F65C0000}"/>
    <cellStyle name="40% - Accent2 3 3 3 2 2 2 2 3" xfId="34459" xr:uid="{00000000-0005-0000-0000-0000F75C0000}"/>
    <cellStyle name="40% - Accent2 3 3 3 2 2 2 3" xfId="17508" xr:uid="{00000000-0005-0000-0000-0000F85C0000}"/>
    <cellStyle name="40% - Accent2 3 3 3 2 2 2 3 2" xfId="40110" xr:uid="{00000000-0005-0000-0000-0000F95C0000}"/>
    <cellStyle name="40% - Accent2 3 3 3 2 2 2 4" xfId="28809" xr:uid="{00000000-0005-0000-0000-0000FA5C0000}"/>
    <cellStyle name="40% - Accent2 3 3 3 2 2 3" xfId="9025" xr:uid="{00000000-0005-0000-0000-0000FB5C0000}"/>
    <cellStyle name="40% - Accent2 3 3 3 2 2 3 2" xfId="20326" xr:uid="{00000000-0005-0000-0000-0000FC5C0000}"/>
    <cellStyle name="40% - Accent2 3 3 3 2 2 3 2 2" xfId="42928" xr:uid="{00000000-0005-0000-0000-0000FD5C0000}"/>
    <cellStyle name="40% - Accent2 3 3 3 2 2 3 3" xfId="31627" xr:uid="{00000000-0005-0000-0000-0000FE5C0000}"/>
    <cellStyle name="40% - Accent2 3 3 3 2 2 4" xfId="14676" xr:uid="{00000000-0005-0000-0000-0000FF5C0000}"/>
    <cellStyle name="40% - Accent2 3 3 3 2 2 4 2" xfId="37278" xr:uid="{00000000-0005-0000-0000-0000005D0000}"/>
    <cellStyle name="40% - Accent2 3 3 3 2 2 5" xfId="25977" xr:uid="{00000000-0005-0000-0000-0000015D0000}"/>
    <cellStyle name="40% - Accent2 3 3 3 2 3" xfId="4973" xr:uid="{00000000-0005-0000-0000-0000025D0000}"/>
    <cellStyle name="40% - Accent2 3 3 3 2 3 2" xfId="10623" xr:uid="{00000000-0005-0000-0000-0000035D0000}"/>
    <cellStyle name="40% - Accent2 3 3 3 2 3 2 2" xfId="21924" xr:uid="{00000000-0005-0000-0000-0000045D0000}"/>
    <cellStyle name="40% - Accent2 3 3 3 2 3 2 2 2" xfId="44526" xr:uid="{00000000-0005-0000-0000-0000055D0000}"/>
    <cellStyle name="40% - Accent2 3 3 3 2 3 2 3" xfId="33225" xr:uid="{00000000-0005-0000-0000-0000065D0000}"/>
    <cellStyle name="40% - Accent2 3 3 3 2 3 3" xfId="16274" xr:uid="{00000000-0005-0000-0000-0000075D0000}"/>
    <cellStyle name="40% - Accent2 3 3 3 2 3 3 2" xfId="38876" xr:uid="{00000000-0005-0000-0000-0000085D0000}"/>
    <cellStyle name="40% - Accent2 3 3 3 2 3 4" xfId="27575" xr:uid="{00000000-0005-0000-0000-0000095D0000}"/>
    <cellStyle name="40% - Accent2 3 3 3 2 4" xfId="7664" xr:uid="{00000000-0005-0000-0000-00000A5D0000}"/>
    <cellStyle name="40% - Accent2 3 3 3 2 4 2" xfId="18965" xr:uid="{00000000-0005-0000-0000-00000B5D0000}"/>
    <cellStyle name="40% - Accent2 3 3 3 2 4 2 2" xfId="41567" xr:uid="{00000000-0005-0000-0000-00000C5D0000}"/>
    <cellStyle name="40% - Accent2 3 3 3 2 4 3" xfId="30266" xr:uid="{00000000-0005-0000-0000-00000D5D0000}"/>
    <cellStyle name="40% - Accent2 3 3 3 2 5" xfId="13315" xr:uid="{00000000-0005-0000-0000-00000E5D0000}"/>
    <cellStyle name="40% - Accent2 3 3 3 2 5 2" xfId="35917" xr:uid="{00000000-0005-0000-0000-00000F5D0000}"/>
    <cellStyle name="40% - Accent2 3 3 3 2 6" xfId="24616" xr:uid="{00000000-0005-0000-0000-0000105D0000}"/>
    <cellStyle name="40% - Accent2 3 3 3 3" xfId="2564" xr:uid="{00000000-0005-0000-0000-0000115D0000}"/>
    <cellStyle name="40% - Accent2 3 3 3 3 2" xfId="5583" xr:uid="{00000000-0005-0000-0000-0000125D0000}"/>
    <cellStyle name="40% - Accent2 3 3 3 3 2 2" xfId="11233" xr:uid="{00000000-0005-0000-0000-0000135D0000}"/>
    <cellStyle name="40% - Accent2 3 3 3 3 2 2 2" xfId="22534" xr:uid="{00000000-0005-0000-0000-0000145D0000}"/>
    <cellStyle name="40% - Accent2 3 3 3 3 2 2 2 2" xfId="45136" xr:uid="{00000000-0005-0000-0000-0000155D0000}"/>
    <cellStyle name="40% - Accent2 3 3 3 3 2 2 3" xfId="33835" xr:uid="{00000000-0005-0000-0000-0000165D0000}"/>
    <cellStyle name="40% - Accent2 3 3 3 3 2 3" xfId="16884" xr:uid="{00000000-0005-0000-0000-0000175D0000}"/>
    <cellStyle name="40% - Accent2 3 3 3 3 2 3 2" xfId="39486" xr:uid="{00000000-0005-0000-0000-0000185D0000}"/>
    <cellStyle name="40% - Accent2 3 3 3 3 2 4" xfId="28185" xr:uid="{00000000-0005-0000-0000-0000195D0000}"/>
    <cellStyle name="40% - Accent2 3 3 3 3 3" xfId="8400" xr:uid="{00000000-0005-0000-0000-00001A5D0000}"/>
    <cellStyle name="40% - Accent2 3 3 3 3 3 2" xfId="19701" xr:uid="{00000000-0005-0000-0000-00001B5D0000}"/>
    <cellStyle name="40% - Accent2 3 3 3 3 3 2 2" xfId="42303" xr:uid="{00000000-0005-0000-0000-00001C5D0000}"/>
    <cellStyle name="40% - Accent2 3 3 3 3 3 3" xfId="31002" xr:uid="{00000000-0005-0000-0000-00001D5D0000}"/>
    <cellStyle name="40% - Accent2 3 3 3 3 4" xfId="14051" xr:uid="{00000000-0005-0000-0000-00001E5D0000}"/>
    <cellStyle name="40% - Accent2 3 3 3 3 4 2" xfId="36653" xr:uid="{00000000-0005-0000-0000-00001F5D0000}"/>
    <cellStyle name="40% - Accent2 3 3 3 3 5" xfId="25352" xr:uid="{00000000-0005-0000-0000-0000205D0000}"/>
    <cellStyle name="40% - Accent2 3 3 3 4" xfId="4349" xr:uid="{00000000-0005-0000-0000-0000215D0000}"/>
    <cellStyle name="40% - Accent2 3 3 3 4 2" xfId="9999" xr:uid="{00000000-0005-0000-0000-0000225D0000}"/>
    <cellStyle name="40% - Accent2 3 3 3 4 2 2" xfId="21300" xr:uid="{00000000-0005-0000-0000-0000235D0000}"/>
    <cellStyle name="40% - Accent2 3 3 3 4 2 2 2" xfId="43902" xr:uid="{00000000-0005-0000-0000-0000245D0000}"/>
    <cellStyle name="40% - Accent2 3 3 3 4 2 3" xfId="32601" xr:uid="{00000000-0005-0000-0000-0000255D0000}"/>
    <cellStyle name="40% - Accent2 3 3 3 4 3" xfId="15650" xr:uid="{00000000-0005-0000-0000-0000265D0000}"/>
    <cellStyle name="40% - Accent2 3 3 3 4 3 2" xfId="38252" xr:uid="{00000000-0005-0000-0000-0000275D0000}"/>
    <cellStyle name="40% - Accent2 3 3 3 4 4" xfId="26951" xr:uid="{00000000-0005-0000-0000-0000285D0000}"/>
    <cellStyle name="40% - Accent2 3 3 3 5" xfId="7146" xr:uid="{00000000-0005-0000-0000-0000295D0000}"/>
    <cellStyle name="40% - Accent2 3 3 3 5 2" xfId="18447" xr:uid="{00000000-0005-0000-0000-00002A5D0000}"/>
    <cellStyle name="40% - Accent2 3 3 3 5 2 2" xfId="41049" xr:uid="{00000000-0005-0000-0000-00002B5D0000}"/>
    <cellStyle name="40% - Accent2 3 3 3 5 3" xfId="29748" xr:uid="{00000000-0005-0000-0000-00002C5D0000}"/>
    <cellStyle name="40% - Accent2 3 3 3 6" xfId="12797" xr:uid="{00000000-0005-0000-0000-00002D5D0000}"/>
    <cellStyle name="40% - Accent2 3 3 3 6 2" xfId="35399" xr:uid="{00000000-0005-0000-0000-00002E5D0000}"/>
    <cellStyle name="40% - Accent2 3 3 3 7" xfId="24098" xr:uid="{00000000-0005-0000-0000-00002F5D0000}"/>
    <cellStyle name="40% - Accent2 3 3 4" xfId="858" xr:uid="{00000000-0005-0000-0000-0000305D0000}"/>
    <cellStyle name="40% - Accent2 3 3 4 2" xfId="2928" xr:uid="{00000000-0005-0000-0000-0000315D0000}"/>
    <cellStyle name="40% - Accent2 3 3 4 2 2" xfId="5900" xr:uid="{00000000-0005-0000-0000-0000325D0000}"/>
    <cellStyle name="40% - Accent2 3 3 4 2 2 2" xfId="11550" xr:uid="{00000000-0005-0000-0000-0000335D0000}"/>
    <cellStyle name="40% - Accent2 3 3 4 2 2 2 2" xfId="22851" xr:uid="{00000000-0005-0000-0000-0000345D0000}"/>
    <cellStyle name="40% - Accent2 3 3 4 2 2 2 2 2" xfId="45453" xr:uid="{00000000-0005-0000-0000-0000355D0000}"/>
    <cellStyle name="40% - Accent2 3 3 4 2 2 2 3" xfId="34152" xr:uid="{00000000-0005-0000-0000-0000365D0000}"/>
    <cellStyle name="40% - Accent2 3 3 4 2 2 3" xfId="17201" xr:uid="{00000000-0005-0000-0000-0000375D0000}"/>
    <cellStyle name="40% - Accent2 3 3 4 2 2 3 2" xfId="39803" xr:uid="{00000000-0005-0000-0000-0000385D0000}"/>
    <cellStyle name="40% - Accent2 3 3 4 2 2 4" xfId="28502" xr:uid="{00000000-0005-0000-0000-0000395D0000}"/>
    <cellStyle name="40% - Accent2 3 3 4 2 3" xfId="8718" xr:uid="{00000000-0005-0000-0000-00003A5D0000}"/>
    <cellStyle name="40% - Accent2 3 3 4 2 3 2" xfId="20019" xr:uid="{00000000-0005-0000-0000-00003B5D0000}"/>
    <cellStyle name="40% - Accent2 3 3 4 2 3 2 2" xfId="42621" xr:uid="{00000000-0005-0000-0000-00003C5D0000}"/>
    <cellStyle name="40% - Accent2 3 3 4 2 3 3" xfId="31320" xr:uid="{00000000-0005-0000-0000-00003D5D0000}"/>
    <cellStyle name="40% - Accent2 3 3 4 2 4" xfId="14369" xr:uid="{00000000-0005-0000-0000-00003E5D0000}"/>
    <cellStyle name="40% - Accent2 3 3 4 2 4 2" xfId="36971" xr:uid="{00000000-0005-0000-0000-00003F5D0000}"/>
    <cellStyle name="40% - Accent2 3 3 4 2 5" xfId="25670" xr:uid="{00000000-0005-0000-0000-0000405D0000}"/>
    <cellStyle name="40% - Accent2 3 3 4 3" xfId="4666" xr:uid="{00000000-0005-0000-0000-0000415D0000}"/>
    <cellStyle name="40% - Accent2 3 3 4 3 2" xfId="10316" xr:uid="{00000000-0005-0000-0000-0000425D0000}"/>
    <cellStyle name="40% - Accent2 3 3 4 3 2 2" xfId="21617" xr:uid="{00000000-0005-0000-0000-0000435D0000}"/>
    <cellStyle name="40% - Accent2 3 3 4 3 2 2 2" xfId="44219" xr:uid="{00000000-0005-0000-0000-0000445D0000}"/>
    <cellStyle name="40% - Accent2 3 3 4 3 2 3" xfId="32918" xr:uid="{00000000-0005-0000-0000-0000455D0000}"/>
    <cellStyle name="40% - Accent2 3 3 4 3 3" xfId="15967" xr:uid="{00000000-0005-0000-0000-0000465D0000}"/>
    <cellStyle name="40% - Accent2 3 3 4 3 3 2" xfId="38569" xr:uid="{00000000-0005-0000-0000-0000475D0000}"/>
    <cellStyle name="40% - Accent2 3 3 4 3 4" xfId="27268" xr:uid="{00000000-0005-0000-0000-0000485D0000}"/>
    <cellStyle name="40% - Accent2 3 3 4 4" xfId="6853" xr:uid="{00000000-0005-0000-0000-0000495D0000}"/>
    <cellStyle name="40% - Accent2 3 3 4 4 2" xfId="18154" xr:uid="{00000000-0005-0000-0000-00004A5D0000}"/>
    <cellStyle name="40% - Accent2 3 3 4 4 2 2" xfId="40756" xr:uid="{00000000-0005-0000-0000-00004B5D0000}"/>
    <cellStyle name="40% - Accent2 3 3 4 4 3" xfId="29455" xr:uid="{00000000-0005-0000-0000-00004C5D0000}"/>
    <cellStyle name="40% - Accent2 3 3 4 5" xfId="12504" xr:uid="{00000000-0005-0000-0000-00004D5D0000}"/>
    <cellStyle name="40% - Accent2 3 3 4 5 2" xfId="35106" xr:uid="{00000000-0005-0000-0000-00004E5D0000}"/>
    <cellStyle name="40% - Accent2 3 3 4 6" xfId="23805" xr:uid="{00000000-0005-0000-0000-00004F5D0000}"/>
    <cellStyle name="40% - Accent2 3 3 5" xfId="1805" xr:uid="{00000000-0005-0000-0000-0000505D0000}"/>
    <cellStyle name="40% - Accent2 3 3 5 2" xfId="3673" xr:uid="{00000000-0005-0000-0000-0000515D0000}"/>
    <cellStyle name="40% - Accent2 3 3 5 2 2" xfId="9383" xr:uid="{00000000-0005-0000-0000-0000525D0000}"/>
    <cellStyle name="40% - Accent2 3 3 5 2 2 2" xfId="20684" xr:uid="{00000000-0005-0000-0000-0000535D0000}"/>
    <cellStyle name="40% - Accent2 3 3 5 2 2 2 2" xfId="43286" xr:uid="{00000000-0005-0000-0000-0000545D0000}"/>
    <cellStyle name="40% - Accent2 3 3 5 2 2 3" xfId="31985" xr:uid="{00000000-0005-0000-0000-0000555D0000}"/>
    <cellStyle name="40% - Accent2 3 3 5 2 3" xfId="15034" xr:uid="{00000000-0005-0000-0000-0000565D0000}"/>
    <cellStyle name="40% - Accent2 3 3 5 2 3 2" xfId="37636" xr:uid="{00000000-0005-0000-0000-0000575D0000}"/>
    <cellStyle name="40% - Accent2 3 3 5 2 4" xfId="26335" xr:uid="{00000000-0005-0000-0000-0000585D0000}"/>
    <cellStyle name="40% - Accent2 3 3 5 3" xfId="5276" xr:uid="{00000000-0005-0000-0000-0000595D0000}"/>
    <cellStyle name="40% - Accent2 3 3 5 3 2" xfId="10926" xr:uid="{00000000-0005-0000-0000-00005A5D0000}"/>
    <cellStyle name="40% - Accent2 3 3 5 3 2 2" xfId="22227" xr:uid="{00000000-0005-0000-0000-00005B5D0000}"/>
    <cellStyle name="40% - Accent2 3 3 5 3 2 2 2" xfId="44829" xr:uid="{00000000-0005-0000-0000-00005C5D0000}"/>
    <cellStyle name="40% - Accent2 3 3 5 3 2 3" xfId="33528" xr:uid="{00000000-0005-0000-0000-00005D5D0000}"/>
    <cellStyle name="40% - Accent2 3 3 5 3 3" xfId="16577" xr:uid="{00000000-0005-0000-0000-00005E5D0000}"/>
    <cellStyle name="40% - Accent2 3 3 5 3 3 2" xfId="39179" xr:uid="{00000000-0005-0000-0000-00005F5D0000}"/>
    <cellStyle name="40% - Accent2 3 3 5 3 4" xfId="27878" xr:uid="{00000000-0005-0000-0000-0000605D0000}"/>
    <cellStyle name="40% - Accent2 3 3 5 4" xfId="7661" xr:uid="{00000000-0005-0000-0000-0000615D0000}"/>
    <cellStyle name="40% - Accent2 3 3 5 4 2" xfId="18962" xr:uid="{00000000-0005-0000-0000-0000625D0000}"/>
    <cellStyle name="40% - Accent2 3 3 5 4 2 2" xfId="41564" xr:uid="{00000000-0005-0000-0000-0000635D0000}"/>
    <cellStyle name="40% - Accent2 3 3 5 4 3" xfId="30263" xr:uid="{00000000-0005-0000-0000-0000645D0000}"/>
    <cellStyle name="40% - Accent2 3 3 5 5" xfId="13312" xr:uid="{00000000-0005-0000-0000-0000655D0000}"/>
    <cellStyle name="40% - Accent2 3 3 5 5 2" xfId="35914" xr:uid="{00000000-0005-0000-0000-0000665D0000}"/>
    <cellStyle name="40% - Accent2 3 3 5 6" xfId="24613" xr:uid="{00000000-0005-0000-0000-0000675D0000}"/>
    <cellStyle name="40% - Accent2 3 3 6" xfId="2255" xr:uid="{00000000-0005-0000-0000-0000685D0000}"/>
    <cellStyle name="40% - Accent2 3 3 6 2" xfId="8091" xr:uid="{00000000-0005-0000-0000-0000695D0000}"/>
    <cellStyle name="40% - Accent2 3 3 6 2 2" xfId="19392" xr:uid="{00000000-0005-0000-0000-00006A5D0000}"/>
    <cellStyle name="40% - Accent2 3 3 6 2 2 2" xfId="41994" xr:uid="{00000000-0005-0000-0000-00006B5D0000}"/>
    <cellStyle name="40% - Accent2 3 3 6 2 3" xfId="30693" xr:uid="{00000000-0005-0000-0000-00006C5D0000}"/>
    <cellStyle name="40% - Accent2 3 3 6 3" xfId="13742" xr:uid="{00000000-0005-0000-0000-00006D5D0000}"/>
    <cellStyle name="40% - Accent2 3 3 6 3 2" xfId="36344" xr:uid="{00000000-0005-0000-0000-00006E5D0000}"/>
    <cellStyle name="40% - Accent2 3 3 6 4" xfId="25043" xr:uid="{00000000-0005-0000-0000-00006F5D0000}"/>
    <cellStyle name="40% - Accent2 3 3 7" xfId="4042" xr:uid="{00000000-0005-0000-0000-0000705D0000}"/>
    <cellStyle name="40% - Accent2 3 3 7 2" xfId="9692" xr:uid="{00000000-0005-0000-0000-0000715D0000}"/>
    <cellStyle name="40% - Accent2 3 3 7 2 2" xfId="20993" xr:uid="{00000000-0005-0000-0000-0000725D0000}"/>
    <cellStyle name="40% - Accent2 3 3 7 2 2 2" xfId="43595" xr:uid="{00000000-0005-0000-0000-0000735D0000}"/>
    <cellStyle name="40% - Accent2 3 3 7 2 3" xfId="32294" xr:uid="{00000000-0005-0000-0000-0000745D0000}"/>
    <cellStyle name="40% - Accent2 3 3 7 3" xfId="15343" xr:uid="{00000000-0005-0000-0000-0000755D0000}"/>
    <cellStyle name="40% - Accent2 3 3 7 3 2" xfId="37945" xr:uid="{00000000-0005-0000-0000-0000765D0000}"/>
    <cellStyle name="40% - Accent2 3 3 7 4" xfId="26644" xr:uid="{00000000-0005-0000-0000-0000775D0000}"/>
    <cellStyle name="40% - Accent2 3 3 8" xfId="6493" xr:uid="{00000000-0005-0000-0000-0000785D0000}"/>
    <cellStyle name="40% - Accent2 3 3 8 2" xfId="17794" xr:uid="{00000000-0005-0000-0000-0000795D0000}"/>
    <cellStyle name="40% - Accent2 3 3 8 2 2" xfId="40396" xr:uid="{00000000-0005-0000-0000-00007A5D0000}"/>
    <cellStyle name="40% - Accent2 3 3 8 3" xfId="29095" xr:uid="{00000000-0005-0000-0000-00007B5D0000}"/>
    <cellStyle name="40% - Accent2 3 3 9" xfId="12144" xr:uid="{00000000-0005-0000-0000-00007C5D0000}"/>
    <cellStyle name="40% - Accent2 3 3 9 2" xfId="34746" xr:uid="{00000000-0005-0000-0000-00007D5D0000}"/>
    <cellStyle name="40% - Accent2 3 4" xfId="488" xr:uid="{00000000-0005-0000-0000-00007E5D0000}"/>
    <cellStyle name="40% - Accent2 3 4 2" xfId="1071" xr:uid="{00000000-0005-0000-0000-00007F5D0000}"/>
    <cellStyle name="40% - Accent2 3 4 2 2" xfId="1810" xr:uid="{00000000-0005-0000-0000-0000805D0000}"/>
    <cellStyle name="40% - Accent2 3 4 2 2 2" xfId="3138" xr:uid="{00000000-0005-0000-0000-0000815D0000}"/>
    <cellStyle name="40% - Accent2 3 4 2 2 2 2" xfId="6110" xr:uid="{00000000-0005-0000-0000-0000825D0000}"/>
    <cellStyle name="40% - Accent2 3 4 2 2 2 2 2" xfId="11760" xr:uid="{00000000-0005-0000-0000-0000835D0000}"/>
    <cellStyle name="40% - Accent2 3 4 2 2 2 2 2 2" xfId="23061" xr:uid="{00000000-0005-0000-0000-0000845D0000}"/>
    <cellStyle name="40% - Accent2 3 4 2 2 2 2 2 2 2" xfId="45663" xr:uid="{00000000-0005-0000-0000-0000855D0000}"/>
    <cellStyle name="40% - Accent2 3 4 2 2 2 2 2 3" xfId="34362" xr:uid="{00000000-0005-0000-0000-0000865D0000}"/>
    <cellStyle name="40% - Accent2 3 4 2 2 2 2 3" xfId="17411" xr:uid="{00000000-0005-0000-0000-0000875D0000}"/>
    <cellStyle name="40% - Accent2 3 4 2 2 2 2 3 2" xfId="40013" xr:uid="{00000000-0005-0000-0000-0000885D0000}"/>
    <cellStyle name="40% - Accent2 3 4 2 2 2 2 4" xfId="28712" xr:uid="{00000000-0005-0000-0000-0000895D0000}"/>
    <cellStyle name="40% - Accent2 3 4 2 2 2 3" xfId="8928" xr:uid="{00000000-0005-0000-0000-00008A5D0000}"/>
    <cellStyle name="40% - Accent2 3 4 2 2 2 3 2" xfId="20229" xr:uid="{00000000-0005-0000-0000-00008B5D0000}"/>
    <cellStyle name="40% - Accent2 3 4 2 2 2 3 2 2" xfId="42831" xr:uid="{00000000-0005-0000-0000-00008C5D0000}"/>
    <cellStyle name="40% - Accent2 3 4 2 2 2 3 3" xfId="31530" xr:uid="{00000000-0005-0000-0000-00008D5D0000}"/>
    <cellStyle name="40% - Accent2 3 4 2 2 2 4" xfId="14579" xr:uid="{00000000-0005-0000-0000-00008E5D0000}"/>
    <cellStyle name="40% - Accent2 3 4 2 2 2 4 2" xfId="37181" xr:uid="{00000000-0005-0000-0000-00008F5D0000}"/>
    <cellStyle name="40% - Accent2 3 4 2 2 2 5" xfId="25880" xr:uid="{00000000-0005-0000-0000-0000905D0000}"/>
    <cellStyle name="40% - Accent2 3 4 2 2 3" xfId="4876" xr:uid="{00000000-0005-0000-0000-0000915D0000}"/>
    <cellStyle name="40% - Accent2 3 4 2 2 3 2" xfId="10526" xr:uid="{00000000-0005-0000-0000-0000925D0000}"/>
    <cellStyle name="40% - Accent2 3 4 2 2 3 2 2" xfId="21827" xr:uid="{00000000-0005-0000-0000-0000935D0000}"/>
    <cellStyle name="40% - Accent2 3 4 2 2 3 2 2 2" xfId="44429" xr:uid="{00000000-0005-0000-0000-0000945D0000}"/>
    <cellStyle name="40% - Accent2 3 4 2 2 3 2 3" xfId="33128" xr:uid="{00000000-0005-0000-0000-0000955D0000}"/>
    <cellStyle name="40% - Accent2 3 4 2 2 3 3" xfId="16177" xr:uid="{00000000-0005-0000-0000-0000965D0000}"/>
    <cellStyle name="40% - Accent2 3 4 2 2 3 3 2" xfId="38779" xr:uid="{00000000-0005-0000-0000-0000975D0000}"/>
    <cellStyle name="40% - Accent2 3 4 2 2 3 4" xfId="27478" xr:uid="{00000000-0005-0000-0000-0000985D0000}"/>
    <cellStyle name="40% - Accent2 3 4 2 2 4" xfId="7666" xr:uid="{00000000-0005-0000-0000-0000995D0000}"/>
    <cellStyle name="40% - Accent2 3 4 2 2 4 2" xfId="18967" xr:uid="{00000000-0005-0000-0000-00009A5D0000}"/>
    <cellStyle name="40% - Accent2 3 4 2 2 4 2 2" xfId="41569" xr:uid="{00000000-0005-0000-0000-00009B5D0000}"/>
    <cellStyle name="40% - Accent2 3 4 2 2 4 3" xfId="30268" xr:uid="{00000000-0005-0000-0000-00009C5D0000}"/>
    <cellStyle name="40% - Accent2 3 4 2 2 5" xfId="13317" xr:uid="{00000000-0005-0000-0000-00009D5D0000}"/>
    <cellStyle name="40% - Accent2 3 4 2 2 5 2" xfId="35919" xr:uid="{00000000-0005-0000-0000-00009E5D0000}"/>
    <cellStyle name="40% - Accent2 3 4 2 2 6" xfId="24618" xr:uid="{00000000-0005-0000-0000-00009F5D0000}"/>
    <cellStyle name="40% - Accent2 3 4 2 3" xfId="2467" xr:uid="{00000000-0005-0000-0000-0000A05D0000}"/>
    <cellStyle name="40% - Accent2 3 4 2 3 2" xfId="5486" xr:uid="{00000000-0005-0000-0000-0000A15D0000}"/>
    <cellStyle name="40% - Accent2 3 4 2 3 2 2" xfId="11136" xr:uid="{00000000-0005-0000-0000-0000A25D0000}"/>
    <cellStyle name="40% - Accent2 3 4 2 3 2 2 2" xfId="22437" xr:uid="{00000000-0005-0000-0000-0000A35D0000}"/>
    <cellStyle name="40% - Accent2 3 4 2 3 2 2 2 2" xfId="45039" xr:uid="{00000000-0005-0000-0000-0000A45D0000}"/>
    <cellStyle name="40% - Accent2 3 4 2 3 2 2 3" xfId="33738" xr:uid="{00000000-0005-0000-0000-0000A55D0000}"/>
    <cellStyle name="40% - Accent2 3 4 2 3 2 3" xfId="16787" xr:uid="{00000000-0005-0000-0000-0000A65D0000}"/>
    <cellStyle name="40% - Accent2 3 4 2 3 2 3 2" xfId="39389" xr:uid="{00000000-0005-0000-0000-0000A75D0000}"/>
    <cellStyle name="40% - Accent2 3 4 2 3 2 4" xfId="28088" xr:uid="{00000000-0005-0000-0000-0000A85D0000}"/>
    <cellStyle name="40% - Accent2 3 4 2 3 3" xfId="8303" xr:uid="{00000000-0005-0000-0000-0000A95D0000}"/>
    <cellStyle name="40% - Accent2 3 4 2 3 3 2" xfId="19604" xr:uid="{00000000-0005-0000-0000-0000AA5D0000}"/>
    <cellStyle name="40% - Accent2 3 4 2 3 3 2 2" xfId="42206" xr:uid="{00000000-0005-0000-0000-0000AB5D0000}"/>
    <cellStyle name="40% - Accent2 3 4 2 3 3 3" xfId="30905" xr:uid="{00000000-0005-0000-0000-0000AC5D0000}"/>
    <cellStyle name="40% - Accent2 3 4 2 3 4" xfId="13954" xr:uid="{00000000-0005-0000-0000-0000AD5D0000}"/>
    <cellStyle name="40% - Accent2 3 4 2 3 4 2" xfId="36556" xr:uid="{00000000-0005-0000-0000-0000AE5D0000}"/>
    <cellStyle name="40% - Accent2 3 4 2 3 5" xfId="25255" xr:uid="{00000000-0005-0000-0000-0000AF5D0000}"/>
    <cellStyle name="40% - Accent2 3 4 2 4" xfId="4252" xr:uid="{00000000-0005-0000-0000-0000B05D0000}"/>
    <cellStyle name="40% - Accent2 3 4 2 4 2" xfId="9902" xr:uid="{00000000-0005-0000-0000-0000B15D0000}"/>
    <cellStyle name="40% - Accent2 3 4 2 4 2 2" xfId="21203" xr:uid="{00000000-0005-0000-0000-0000B25D0000}"/>
    <cellStyle name="40% - Accent2 3 4 2 4 2 2 2" xfId="43805" xr:uid="{00000000-0005-0000-0000-0000B35D0000}"/>
    <cellStyle name="40% - Accent2 3 4 2 4 2 3" xfId="32504" xr:uid="{00000000-0005-0000-0000-0000B45D0000}"/>
    <cellStyle name="40% - Accent2 3 4 2 4 3" xfId="15553" xr:uid="{00000000-0005-0000-0000-0000B55D0000}"/>
    <cellStyle name="40% - Accent2 3 4 2 4 3 2" xfId="38155" xr:uid="{00000000-0005-0000-0000-0000B65D0000}"/>
    <cellStyle name="40% - Accent2 3 4 2 4 4" xfId="26854" xr:uid="{00000000-0005-0000-0000-0000B75D0000}"/>
    <cellStyle name="40% - Accent2 3 4 2 5" xfId="7050" xr:uid="{00000000-0005-0000-0000-0000B85D0000}"/>
    <cellStyle name="40% - Accent2 3 4 2 5 2" xfId="18351" xr:uid="{00000000-0005-0000-0000-0000B95D0000}"/>
    <cellStyle name="40% - Accent2 3 4 2 5 2 2" xfId="40953" xr:uid="{00000000-0005-0000-0000-0000BA5D0000}"/>
    <cellStyle name="40% - Accent2 3 4 2 5 3" xfId="29652" xr:uid="{00000000-0005-0000-0000-0000BB5D0000}"/>
    <cellStyle name="40% - Accent2 3 4 2 6" xfId="12701" xr:uid="{00000000-0005-0000-0000-0000BC5D0000}"/>
    <cellStyle name="40% - Accent2 3 4 2 6 2" xfId="35303" xr:uid="{00000000-0005-0000-0000-0000BD5D0000}"/>
    <cellStyle name="40% - Accent2 3 4 2 7" xfId="24002" xr:uid="{00000000-0005-0000-0000-0000BE5D0000}"/>
    <cellStyle name="40% - Accent2 3 4 3" xfId="742" xr:uid="{00000000-0005-0000-0000-0000BF5D0000}"/>
    <cellStyle name="40% - Accent2 3 4 3 2" xfId="2832" xr:uid="{00000000-0005-0000-0000-0000C05D0000}"/>
    <cellStyle name="40% - Accent2 3 4 3 2 2" xfId="5804" xr:uid="{00000000-0005-0000-0000-0000C15D0000}"/>
    <cellStyle name="40% - Accent2 3 4 3 2 2 2" xfId="11454" xr:uid="{00000000-0005-0000-0000-0000C25D0000}"/>
    <cellStyle name="40% - Accent2 3 4 3 2 2 2 2" xfId="22755" xr:uid="{00000000-0005-0000-0000-0000C35D0000}"/>
    <cellStyle name="40% - Accent2 3 4 3 2 2 2 2 2" xfId="45357" xr:uid="{00000000-0005-0000-0000-0000C45D0000}"/>
    <cellStyle name="40% - Accent2 3 4 3 2 2 2 3" xfId="34056" xr:uid="{00000000-0005-0000-0000-0000C55D0000}"/>
    <cellStyle name="40% - Accent2 3 4 3 2 2 3" xfId="17105" xr:uid="{00000000-0005-0000-0000-0000C65D0000}"/>
    <cellStyle name="40% - Accent2 3 4 3 2 2 3 2" xfId="39707" xr:uid="{00000000-0005-0000-0000-0000C75D0000}"/>
    <cellStyle name="40% - Accent2 3 4 3 2 2 4" xfId="28406" xr:uid="{00000000-0005-0000-0000-0000C85D0000}"/>
    <cellStyle name="40% - Accent2 3 4 3 2 3" xfId="8622" xr:uid="{00000000-0005-0000-0000-0000C95D0000}"/>
    <cellStyle name="40% - Accent2 3 4 3 2 3 2" xfId="19923" xr:uid="{00000000-0005-0000-0000-0000CA5D0000}"/>
    <cellStyle name="40% - Accent2 3 4 3 2 3 2 2" xfId="42525" xr:uid="{00000000-0005-0000-0000-0000CB5D0000}"/>
    <cellStyle name="40% - Accent2 3 4 3 2 3 3" xfId="31224" xr:uid="{00000000-0005-0000-0000-0000CC5D0000}"/>
    <cellStyle name="40% - Accent2 3 4 3 2 4" xfId="14273" xr:uid="{00000000-0005-0000-0000-0000CD5D0000}"/>
    <cellStyle name="40% - Accent2 3 4 3 2 4 2" xfId="36875" xr:uid="{00000000-0005-0000-0000-0000CE5D0000}"/>
    <cellStyle name="40% - Accent2 3 4 3 2 5" xfId="25574" xr:uid="{00000000-0005-0000-0000-0000CF5D0000}"/>
    <cellStyle name="40% - Accent2 3 4 3 3" xfId="4570" xr:uid="{00000000-0005-0000-0000-0000D05D0000}"/>
    <cellStyle name="40% - Accent2 3 4 3 3 2" xfId="10220" xr:uid="{00000000-0005-0000-0000-0000D15D0000}"/>
    <cellStyle name="40% - Accent2 3 4 3 3 2 2" xfId="21521" xr:uid="{00000000-0005-0000-0000-0000D25D0000}"/>
    <cellStyle name="40% - Accent2 3 4 3 3 2 2 2" xfId="44123" xr:uid="{00000000-0005-0000-0000-0000D35D0000}"/>
    <cellStyle name="40% - Accent2 3 4 3 3 2 3" xfId="32822" xr:uid="{00000000-0005-0000-0000-0000D45D0000}"/>
    <cellStyle name="40% - Accent2 3 4 3 3 3" xfId="15871" xr:uid="{00000000-0005-0000-0000-0000D55D0000}"/>
    <cellStyle name="40% - Accent2 3 4 3 3 3 2" xfId="38473" xr:uid="{00000000-0005-0000-0000-0000D65D0000}"/>
    <cellStyle name="40% - Accent2 3 4 3 3 4" xfId="27172" xr:uid="{00000000-0005-0000-0000-0000D75D0000}"/>
    <cellStyle name="40% - Accent2 3 4 3 4" xfId="6753" xr:uid="{00000000-0005-0000-0000-0000D85D0000}"/>
    <cellStyle name="40% - Accent2 3 4 3 4 2" xfId="18054" xr:uid="{00000000-0005-0000-0000-0000D95D0000}"/>
    <cellStyle name="40% - Accent2 3 4 3 4 2 2" xfId="40656" xr:uid="{00000000-0005-0000-0000-0000DA5D0000}"/>
    <cellStyle name="40% - Accent2 3 4 3 4 3" xfId="29355" xr:uid="{00000000-0005-0000-0000-0000DB5D0000}"/>
    <cellStyle name="40% - Accent2 3 4 3 5" xfId="12404" xr:uid="{00000000-0005-0000-0000-0000DC5D0000}"/>
    <cellStyle name="40% - Accent2 3 4 3 5 2" xfId="35006" xr:uid="{00000000-0005-0000-0000-0000DD5D0000}"/>
    <cellStyle name="40% - Accent2 3 4 3 6" xfId="23705" xr:uid="{00000000-0005-0000-0000-0000DE5D0000}"/>
    <cellStyle name="40% - Accent2 3 4 4" xfId="1809" xr:uid="{00000000-0005-0000-0000-0000DF5D0000}"/>
    <cellStyle name="40% - Accent2 3 4 4 2" xfId="3675" xr:uid="{00000000-0005-0000-0000-0000E05D0000}"/>
    <cellStyle name="40% - Accent2 3 4 4 2 2" xfId="9385" xr:uid="{00000000-0005-0000-0000-0000E15D0000}"/>
    <cellStyle name="40% - Accent2 3 4 4 2 2 2" xfId="20686" xr:uid="{00000000-0005-0000-0000-0000E25D0000}"/>
    <cellStyle name="40% - Accent2 3 4 4 2 2 2 2" xfId="43288" xr:uid="{00000000-0005-0000-0000-0000E35D0000}"/>
    <cellStyle name="40% - Accent2 3 4 4 2 2 3" xfId="31987" xr:uid="{00000000-0005-0000-0000-0000E45D0000}"/>
    <cellStyle name="40% - Accent2 3 4 4 2 3" xfId="15036" xr:uid="{00000000-0005-0000-0000-0000E55D0000}"/>
    <cellStyle name="40% - Accent2 3 4 4 2 3 2" xfId="37638" xr:uid="{00000000-0005-0000-0000-0000E65D0000}"/>
    <cellStyle name="40% - Accent2 3 4 4 2 4" xfId="26337" xr:uid="{00000000-0005-0000-0000-0000E75D0000}"/>
    <cellStyle name="40% - Accent2 3 4 4 3" xfId="5180" xr:uid="{00000000-0005-0000-0000-0000E85D0000}"/>
    <cellStyle name="40% - Accent2 3 4 4 3 2" xfId="10830" xr:uid="{00000000-0005-0000-0000-0000E95D0000}"/>
    <cellStyle name="40% - Accent2 3 4 4 3 2 2" xfId="22131" xr:uid="{00000000-0005-0000-0000-0000EA5D0000}"/>
    <cellStyle name="40% - Accent2 3 4 4 3 2 2 2" xfId="44733" xr:uid="{00000000-0005-0000-0000-0000EB5D0000}"/>
    <cellStyle name="40% - Accent2 3 4 4 3 2 3" xfId="33432" xr:uid="{00000000-0005-0000-0000-0000EC5D0000}"/>
    <cellStyle name="40% - Accent2 3 4 4 3 3" xfId="16481" xr:uid="{00000000-0005-0000-0000-0000ED5D0000}"/>
    <cellStyle name="40% - Accent2 3 4 4 3 3 2" xfId="39083" xr:uid="{00000000-0005-0000-0000-0000EE5D0000}"/>
    <cellStyle name="40% - Accent2 3 4 4 3 4" xfId="27782" xr:uid="{00000000-0005-0000-0000-0000EF5D0000}"/>
    <cellStyle name="40% - Accent2 3 4 4 4" xfId="7665" xr:uid="{00000000-0005-0000-0000-0000F05D0000}"/>
    <cellStyle name="40% - Accent2 3 4 4 4 2" xfId="18966" xr:uid="{00000000-0005-0000-0000-0000F15D0000}"/>
    <cellStyle name="40% - Accent2 3 4 4 4 2 2" xfId="41568" xr:uid="{00000000-0005-0000-0000-0000F25D0000}"/>
    <cellStyle name="40% - Accent2 3 4 4 4 3" xfId="30267" xr:uid="{00000000-0005-0000-0000-0000F35D0000}"/>
    <cellStyle name="40% - Accent2 3 4 4 5" xfId="13316" xr:uid="{00000000-0005-0000-0000-0000F45D0000}"/>
    <cellStyle name="40% - Accent2 3 4 4 5 2" xfId="35918" xr:uid="{00000000-0005-0000-0000-0000F55D0000}"/>
    <cellStyle name="40% - Accent2 3 4 4 6" xfId="24617" xr:uid="{00000000-0005-0000-0000-0000F65D0000}"/>
    <cellStyle name="40% - Accent2 3 4 5" xfId="2152" xr:uid="{00000000-0005-0000-0000-0000F75D0000}"/>
    <cellStyle name="40% - Accent2 3 4 5 2" xfId="7994" xr:uid="{00000000-0005-0000-0000-0000F85D0000}"/>
    <cellStyle name="40% - Accent2 3 4 5 2 2" xfId="19295" xr:uid="{00000000-0005-0000-0000-0000F95D0000}"/>
    <cellStyle name="40% - Accent2 3 4 5 2 2 2" xfId="41897" xr:uid="{00000000-0005-0000-0000-0000FA5D0000}"/>
    <cellStyle name="40% - Accent2 3 4 5 2 3" xfId="30596" xr:uid="{00000000-0005-0000-0000-0000FB5D0000}"/>
    <cellStyle name="40% - Accent2 3 4 5 3" xfId="13645" xr:uid="{00000000-0005-0000-0000-0000FC5D0000}"/>
    <cellStyle name="40% - Accent2 3 4 5 3 2" xfId="36247" xr:uid="{00000000-0005-0000-0000-0000FD5D0000}"/>
    <cellStyle name="40% - Accent2 3 4 5 4" xfId="24946" xr:uid="{00000000-0005-0000-0000-0000FE5D0000}"/>
    <cellStyle name="40% - Accent2 3 4 6" xfId="3946" xr:uid="{00000000-0005-0000-0000-0000FF5D0000}"/>
    <cellStyle name="40% - Accent2 3 4 6 2" xfId="9596" xr:uid="{00000000-0005-0000-0000-0000005E0000}"/>
    <cellStyle name="40% - Accent2 3 4 6 2 2" xfId="20897" xr:uid="{00000000-0005-0000-0000-0000015E0000}"/>
    <cellStyle name="40% - Accent2 3 4 6 2 2 2" xfId="43499" xr:uid="{00000000-0005-0000-0000-0000025E0000}"/>
    <cellStyle name="40% - Accent2 3 4 6 2 3" xfId="32198" xr:uid="{00000000-0005-0000-0000-0000035E0000}"/>
    <cellStyle name="40% - Accent2 3 4 6 3" xfId="15247" xr:uid="{00000000-0005-0000-0000-0000045E0000}"/>
    <cellStyle name="40% - Accent2 3 4 6 3 2" xfId="37849" xr:uid="{00000000-0005-0000-0000-0000055E0000}"/>
    <cellStyle name="40% - Accent2 3 4 6 4" xfId="26548" xr:uid="{00000000-0005-0000-0000-0000065E0000}"/>
    <cellStyle name="40% - Accent2 3 4 7" xfId="6564" xr:uid="{00000000-0005-0000-0000-0000075E0000}"/>
    <cellStyle name="40% - Accent2 3 4 7 2" xfId="17865" xr:uid="{00000000-0005-0000-0000-0000085E0000}"/>
    <cellStyle name="40% - Accent2 3 4 7 2 2" xfId="40467" xr:uid="{00000000-0005-0000-0000-0000095E0000}"/>
    <cellStyle name="40% - Accent2 3 4 7 3" xfId="29166" xr:uid="{00000000-0005-0000-0000-00000A5E0000}"/>
    <cellStyle name="40% - Accent2 3 4 8" xfId="12215" xr:uid="{00000000-0005-0000-0000-00000B5E0000}"/>
    <cellStyle name="40% - Accent2 3 4 8 2" xfId="34817" xr:uid="{00000000-0005-0000-0000-00000C5E0000}"/>
    <cellStyle name="40% - Accent2 3 4 9" xfId="23516" xr:uid="{00000000-0005-0000-0000-00000D5E0000}"/>
    <cellStyle name="40% - Accent2 3 5" xfId="396" xr:uid="{00000000-0005-0000-0000-00000E5E0000}"/>
    <cellStyle name="40% - Accent2 3 6" xfId="1374" xr:uid="{00000000-0005-0000-0000-00000F5E0000}"/>
    <cellStyle name="40% - Accent2 3 7" xfId="6397" xr:uid="{00000000-0005-0000-0000-0000105E0000}"/>
    <cellStyle name="40% - Accent2 3 7 2" xfId="17698" xr:uid="{00000000-0005-0000-0000-0000115E0000}"/>
    <cellStyle name="40% - Accent2 3 7 2 2" xfId="40300" xr:uid="{00000000-0005-0000-0000-0000125E0000}"/>
    <cellStyle name="40% - Accent2 3 7 3" xfId="28999" xr:uid="{00000000-0005-0000-0000-0000135E0000}"/>
    <cellStyle name="40% - Accent2 3 8" xfId="12048" xr:uid="{00000000-0005-0000-0000-0000145E0000}"/>
    <cellStyle name="40% - Accent2 3 8 2" xfId="34650" xr:uid="{00000000-0005-0000-0000-0000155E0000}"/>
    <cellStyle name="40% - Accent2 3 9" xfId="23349" xr:uid="{00000000-0005-0000-0000-0000165E0000}"/>
    <cellStyle name="40% - Accent2 4" xfId="179" xr:uid="{00000000-0005-0000-0000-0000175E0000}"/>
    <cellStyle name="40% - Accent2 4 10" xfId="3932" xr:uid="{00000000-0005-0000-0000-0000185E0000}"/>
    <cellStyle name="40% - Accent2 4 10 2" xfId="9582" xr:uid="{00000000-0005-0000-0000-0000195E0000}"/>
    <cellStyle name="40% - Accent2 4 10 2 2" xfId="20883" xr:uid="{00000000-0005-0000-0000-00001A5E0000}"/>
    <cellStyle name="40% - Accent2 4 10 2 2 2" xfId="43485" xr:uid="{00000000-0005-0000-0000-00001B5E0000}"/>
    <cellStyle name="40% - Accent2 4 10 2 3" xfId="32184" xr:uid="{00000000-0005-0000-0000-00001C5E0000}"/>
    <cellStyle name="40% - Accent2 4 10 3" xfId="15233" xr:uid="{00000000-0005-0000-0000-00001D5E0000}"/>
    <cellStyle name="40% - Accent2 4 10 3 2" xfId="37835" xr:uid="{00000000-0005-0000-0000-00001E5E0000}"/>
    <cellStyle name="40% - Accent2 4 10 4" xfId="26534" xr:uid="{00000000-0005-0000-0000-00001F5E0000}"/>
    <cellStyle name="40% - Accent2 4 11" xfId="6411" xr:uid="{00000000-0005-0000-0000-0000205E0000}"/>
    <cellStyle name="40% - Accent2 4 11 2" xfId="17712" xr:uid="{00000000-0005-0000-0000-0000215E0000}"/>
    <cellStyle name="40% - Accent2 4 11 2 2" xfId="40314" xr:uid="{00000000-0005-0000-0000-0000225E0000}"/>
    <cellStyle name="40% - Accent2 4 11 3" xfId="29013" xr:uid="{00000000-0005-0000-0000-0000235E0000}"/>
    <cellStyle name="40% - Accent2 4 12" xfId="12062" xr:uid="{00000000-0005-0000-0000-0000245E0000}"/>
    <cellStyle name="40% - Accent2 4 12 2" xfId="34664" xr:uid="{00000000-0005-0000-0000-0000255E0000}"/>
    <cellStyle name="40% - Accent2 4 13" xfId="23363" xr:uid="{00000000-0005-0000-0000-0000265E0000}"/>
    <cellStyle name="40% - Accent2 4 2" xfId="302" xr:uid="{00000000-0005-0000-0000-0000275E0000}"/>
    <cellStyle name="40% - Accent2 4 2 10" xfId="23410" xr:uid="{00000000-0005-0000-0000-0000285E0000}"/>
    <cellStyle name="40% - Accent2 4 2 2" xfId="560" xr:uid="{00000000-0005-0000-0000-0000295E0000}"/>
    <cellStyle name="40% - Accent2 4 2 2 2" xfId="1270" xr:uid="{00000000-0005-0000-0000-00002A5E0000}"/>
    <cellStyle name="40% - Accent2 4 2 2 2 2" xfId="1814" xr:uid="{00000000-0005-0000-0000-00002B5E0000}"/>
    <cellStyle name="40% - Accent2 4 2 2 2 2 2" xfId="3339" xr:uid="{00000000-0005-0000-0000-00002C5E0000}"/>
    <cellStyle name="40% - Accent2 4 2 2 2 2 2 2" xfId="6311" xr:uid="{00000000-0005-0000-0000-00002D5E0000}"/>
    <cellStyle name="40% - Accent2 4 2 2 2 2 2 2 2" xfId="11961" xr:uid="{00000000-0005-0000-0000-00002E5E0000}"/>
    <cellStyle name="40% - Accent2 4 2 2 2 2 2 2 2 2" xfId="23262" xr:uid="{00000000-0005-0000-0000-00002F5E0000}"/>
    <cellStyle name="40% - Accent2 4 2 2 2 2 2 2 2 2 2" xfId="45864" xr:uid="{00000000-0005-0000-0000-0000305E0000}"/>
    <cellStyle name="40% - Accent2 4 2 2 2 2 2 2 2 3" xfId="34563" xr:uid="{00000000-0005-0000-0000-0000315E0000}"/>
    <cellStyle name="40% - Accent2 4 2 2 2 2 2 2 3" xfId="17612" xr:uid="{00000000-0005-0000-0000-0000325E0000}"/>
    <cellStyle name="40% - Accent2 4 2 2 2 2 2 2 3 2" xfId="40214" xr:uid="{00000000-0005-0000-0000-0000335E0000}"/>
    <cellStyle name="40% - Accent2 4 2 2 2 2 2 2 4" xfId="28913" xr:uid="{00000000-0005-0000-0000-0000345E0000}"/>
    <cellStyle name="40% - Accent2 4 2 2 2 2 2 3" xfId="9129" xr:uid="{00000000-0005-0000-0000-0000355E0000}"/>
    <cellStyle name="40% - Accent2 4 2 2 2 2 2 3 2" xfId="20430" xr:uid="{00000000-0005-0000-0000-0000365E0000}"/>
    <cellStyle name="40% - Accent2 4 2 2 2 2 2 3 2 2" xfId="43032" xr:uid="{00000000-0005-0000-0000-0000375E0000}"/>
    <cellStyle name="40% - Accent2 4 2 2 2 2 2 3 3" xfId="31731" xr:uid="{00000000-0005-0000-0000-0000385E0000}"/>
    <cellStyle name="40% - Accent2 4 2 2 2 2 2 4" xfId="14780" xr:uid="{00000000-0005-0000-0000-0000395E0000}"/>
    <cellStyle name="40% - Accent2 4 2 2 2 2 2 4 2" xfId="37382" xr:uid="{00000000-0005-0000-0000-00003A5E0000}"/>
    <cellStyle name="40% - Accent2 4 2 2 2 2 2 5" xfId="26081" xr:uid="{00000000-0005-0000-0000-00003B5E0000}"/>
    <cellStyle name="40% - Accent2 4 2 2 2 2 3" xfId="5077" xr:uid="{00000000-0005-0000-0000-00003C5E0000}"/>
    <cellStyle name="40% - Accent2 4 2 2 2 2 3 2" xfId="10727" xr:uid="{00000000-0005-0000-0000-00003D5E0000}"/>
    <cellStyle name="40% - Accent2 4 2 2 2 2 3 2 2" xfId="22028" xr:uid="{00000000-0005-0000-0000-00003E5E0000}"/>
    <cellStyle name="40% - Accent2 4 2 2 2 2 3 2 2 2" xfId="44630" xr:uid="{00000000-0005-0000-0000-00003F5E0000}"/>
    <cellStyle name="40% - Accent2 4 2 2 2 2 3 2 3" xfId="33329" xr:uid="{00000000-0005-0000-0000-0000405E0000}"/>
    <cellStyle name="40% - Accent2 4 2 2 2 2 3 3" xfId="16378" xr:uid="{00000000-0005-0000-0000-0000415E0000}"/>
    <cellStyle name="40% - Accent2 4 2 2 2 2 3 3 2" xfId="38980" xr:uid="{00000000-0005-0000-0000-0000425E0000}"/>
    <cellStyle name="40% - Accent2 4 2 2 2 2 3 4" xfId="27679" xr:uid="{00000000-0005-0000-0000-0000435E0000}"/>
    <cellStyle name="40% - Accent2 4 2 2 2 2 4" xfId="7670" xr:uid="{00000000-0005-0000-0000-0000445E0000}"/>
    <cellStyle name="40% - Accent2 4 2 2 2 2 4 2" xfId="18971" xr:uid="{00000000-0005-0000-0000-0000455E0000}"/>
    <cellStyle name="40% - Accent2 4 2 2 2 2 4 2 2" xfId="41573" xr:uid="{00000000-0005-0000-0000-0000465E0000}"/>
    <cellStyle name="40% - Accent2 4 2 2 2 2 4 3" xfId="30272" xr:uid="{00000000-0005-0000-0000-0000475E0000}"/>
    <cellStyle name="40% - Accent2 4 2 2 2 2 5" xfId="13321" xr:uid="{00000000-0005-0000-0000-0000485E0000}"/>
    <cellStyle name="40% - Accent2 4 2 2 2 2 5 2" xfId="35923" xr:uid="{00000000-0005-0000-0000-0000495E0000}"/>
    <cellStyle name="40% - Accent2 4 2 2 2 2 6" xfId="24622" xr:uid="{00000000-0005-0000-0000-00004A5E0000}"/>
    <cellStyle name="40% - Accent2 4 2 2 2 3" xfId="2668" xr:uid="{00000000-0005-0000-0000-00004B5E0000}"/>
    <cellStyle name="40% - Accent2 4 2 2 2 3 2" xfId="5687" xr:uid="{00000000-0005-0000-0000-00004C5E0000}"/>
    <cellStyle name="40% - Accent2 4 2 2 2 3 2 2" xfId="11337" xr:uid="{00000000-0005-0000-0000-00004D5E0000}"/>
    <cellStyle name="40% - Accent2 4 2 2 2 3 2 2 2" xfId="22638" xr:uid="{00000000-0005-0000-0000-00004E5E0000}"/>
    <cellStyle name="40% - Accent2 4 2 2 2 3 2 2 2 2" xfId="45240" xr:uid="{00000000-0005-0000-0000-00004F5E0000}"/>
    <cellStyle name="40% - Accent2 4 2 2 2 3 2 2 3" xfId="33939" xr:uid="{00000000-0005-0000-0000-0000505E0000}"/>
    <cellStyle name="40% - Accent2 4 2 2 2 3 2 3" xfId="16988" xr:uid="{00000000-0005-0000-0000-0000515E0000}"/>
    <cellStyle name="40% - Accent2 4 2 2 2 3 2 3 2" xfId="39590" xr:uid="{00000000-0005-0000-0000-0000525E0000}"/>
    <cellStyle name="40% - Accent2 4 2 2 2 3 2 4" xfId="28289" xr:uid="{00000000-0005-0000-0000-0000535E0000}"/>
    <cellStyle name="40% - Accent2 4 2 2 2 3 3" xfId="8504" xr:uid="{00000000-0005-0000-0000-0000545E0000}"/>
    <cellStyle name="40% - Accent2 4 2 2 2 3 3 2" xfId="19805" xr:uid="{00000000-0005-0000-0000-0000555E0000}"/>
    <cellStyle name="40% - Accent2 4 2 2 2 3 3 2 2" xfId="42407" xr:uid="{00000000-0005-0000-0000-0000565E0000}"/>
    <cellStyle name="40% - Accent2 4 2 2 2 3 3 3" xfId="31106" xr:uid="{00000000-0005-0000-0000-0000575E0000}"/>
    <cellStyle name="40% - Accent2 4 2 2 2 3 4" xfId="14155" xr:uid="{00000000-0005-0000-0000-0000585E0000}"/>
    <cellStyle name="40% - Accent2 4 2 2 2 3 4 2" xfId="36757" xr:uid="{00000000-0005-0000-0000-0000595E0000}"/>
    <cellStyle name="40% - Accent2 4 2 2 2 3 5" xfId="25456" xr:uid="{00000000-0005-0000-0000-00005A5E0000}"/>
    <cellStyle name="40% - Accent2 4 2 2 2 4" xfId="4453" xr:uid="{00000000-0005-0000-0000-00005B5E0000}"/>
    <cellStyle name="40% - Accent2 4 2 2 2 4 2" xfId="10103" xr:uid="{00000000-0005-0000-0000-00005C5E0000}"/>
    <cellStyle name="40% - Accent2 4 2 2 2 4 2 2" xfId="21404" xr:uid="{00000000-0005-0000-0000-00005D5E0000}"/>
    <cellStyle name="40% - Accent2 4 2 2 2 4 2 2 2" xfId="44006" xr:uid="{00000000-0005-0000-0000-00005E5E0000}"/>
    <cellStyle name="40% - Accent2 4 2 2 2 4 2 3" xfId="32705" xr:uid="{00000000-0005-0000-0000-00005F5E0000}"/>
    <cellStyle name="40% - Accent2 4 2 2 2 4 3" xfId="15754" xr:uid="{00000000-0005-0000-0000-0000605E0000}"/>
    <cellStyle name="40% - Accent2 4 2 2 2 4 3 2" xfId="38356" xr:uid="{00000000-0005-0000-0000-0000615E0000}"/>
    <cellStyle name="40% - Accent2 4 2 2 2 4 4" xfId="27055" xr:uid="{00000000-0005-0000-0000-0000625E0000}"/>
    <cellStyle name="40% - Accent2 4 2 2 2 5" xfId="7249" xr:uid="{00000000-0005-0000-0000-0000635E0000}"/>
    <cellStyle name="40% - Accent2 4 2 2 2 5 2" xfId="18550" xr:uid="{00000000-0005-0000-0000-0000645E0000}"/>
    <cellStyle name="40% - Accent2 4 2 2 2 5 2 2" xfId="41152" xr:uid="{00000000-0005-0000-0000-0000655E0000}"/>
    <cellStyle name="40% - Accent2 4 2 2 2 5 3" xfId="29851" xr:uid="{00000000-0005-0000-0000-0000665E0000}"/>
    <cellStyle name="40% - Accent2 4 2 2 2 6" xfId="12900" xr:uid="{00000000-0005-0000-0000-0000675E0000}"/>
    <cellStyle name="40% - Accent2 4 2 2 2 6 2" xfId="35502" xr:uid="{00000000-0005-0000-0000-0000685E0000}"/>
    <cellStyle name="40% - Accent2 4 2 2 2 7" xfId="24201" xr:uid="{00000000-0005-0000-0000-0000695E0000}"/>
    <cellStyle name="40% - Accent2 4 2 2 3" xfId="968" xr:uid="{00000000-0005-0000-0000-00006A5E0000}"/>
    <cellStyle name="40% - Accent2 4 2 2 3 2" xfId="3031" xr:uid="{00000000-0005-0000-0000-00006B5E0000}"/>
    <cellStyle name="40% - Accent2 4 2 2 3 2 2" xfId="6003" xr:uid="{00000000-0005-0000-0000-00006C5E0000}"/>
    <cellStyle name="40% - Accent2 4 2 2 3 2 2 2" xfId="11653" xr:uid="{00000000-0005-0000-0000-00006D5E0000}"/>
    <cellStyle name="40% - Accent2 4 2 2 3 2 2 2 2" xfId="22954" xr:uid="{00000000-0005-0000-0000-00006E5E0000}"/>
    <cellStyle name="40% - Accent2 4 2 2 3 2 2 2 2 2" xfId="45556" xr:uid="{00000000-0005-0000-0000-00006F5E0000}"/>
    <cellStyle name="40% - Accent2 4 2 2 3 2 2 2 3" xfId="34255" xr:uid="{00000000-0005-0000-0000-0000705E0000}"/>
    <cellStyle name="40% - Accent2 4 2 2 3 2 2 3" xfId="17304" xr:uid="{00000000-0005-0000-0000-0000715E0000}"/>
    <cellStyle name="40% - Accent2 4 2 2 3 2 2 3 2" xfId="39906" xr:uid="{00000000-0005-0000-0000-0000725E0000}"/>
    <cellStyle name="40% - Accent2 4 2 2 3 2 2 4" xfId="28605" xr:uid="{00000000-0005-0000-0000-0000735E0000}"/>
    <cellStyle name="40% - Accent2 4 2 2 3 2 3" xfId="8821" xr:uid="{00000000-0005-0000-0000-0000745E0000}"/>
    <cellStyle name="40% - Accent2 4 2 2 3 2 3 2" xfId="20122" xr:uid="{00000000-0005-0000-0000-0000755E0000}"/>
    <cellStyle name="40% - Accent2 4 2 2 3 2 3 2 2" xfId="42724" xr:uid="{00000000-0005-0000-0000-0000765E0000}"/>
    <cellStyle name="40% - Accent2 4 2 2 3 2 3 3" xfId="31423" xr:uid="{00000000-0005-0000-0000-0000775E0000}"/>
    <cellStyle name="40% - Accent2 4 2 2 3 2 4" xfId="14472" xr:uid="{00000000-0005-0000-0000-0000785E0000}"/>
    <cellStyle name="40% - Accent2 4 2 2 3 2 4 2" xfId="37074" xr:uid="{00000000-0005-0000-0000-0000795E0000}"/>
    <cellStyle name="40% - Accent2 4 2 2 3 2 5" xfId="25773" xr:uid="{00000000-0005-0000-0000-00007A5E0000}"/>
    <cellStyle name="40% - Accent2 4 2 2 3 3" xfId="4769" xr:uid="{00000000-0005-0000-0000-00007B5E0000}"/>
    <cellStyle name="40% - Accent2 4 2 2 3 3 2" xfId="10419" xr:uid="{00000000-0005-0000-0000-00007C5E0000}"/>
    <cellStyle name="40% - Accent2 4 2 2 3 3 2 2" xfId="21720" xr:uid="{00000000-0005-0000-0000-00007D5E0000}"/>
    <cellStyle name="40% - Accent2 4 2 2 3 3 2 2 2" xfId="44322" xr:uid="{00000000-0005-0000-0000-00007E5E0000}"/>
    <cellStyle name="40% - Accent2 4 2 2 3 3 2 3" xfId="33021" xr:uid="{00000000-0005-0000-0000-00007F5E0000}"/>
    <cellStyle name="40% - Accent2 4 2 2 3 3 3" xfId="16070" xr:uid="{00000000-0005-0000-0000-0000805E0000}"/>
    <cellStyle name="40% - Accent2 4 2 2 3 3 3 2" xfId="38672" xr:uid="{00000000-0005-0000-0000-0000815E0000}"/>
    <cellStyle name="40% - Accent2 4 2 2 3 3 4" xfId="27371" xr:uid="{00000000-0005-0000-0000-0000825E0000}"/>
    <cellStyle name="40% - Accent2 4 2 2 3 4" xfId="6956" xr:uid="{00000000-0005-0000-0000-0000835E0000}"/>
    <cellStyle name="40% - Accent2 4 2 2 3 4 2" xfId="18257" xr:uid="{00000000-0005-0000-0000-0000845E0000}"/>
    <cellStyle name="40% - Accent2 4 2 2 3 4 2 2" xfId="40859" xr:uid="{00000000-0005-0000-0000-0000855E0000}"/>
    <cellStyle name="40% - Accent2 4 2 2 3 4 3" xfId="29558" xr:uid="{00000000-0005-0000-0000-0000865E0000}"/>
    <cellStyle name="40% - Accent2 4 2 2 3 5" xfId="12607" xr:uid="{00000000-0005-0000-0000-0000875E0000}"/>
    <cellStyle name="40% - Accent2 4 2 2 3 5 2" xfId="35209" xr:uid="{00000000-0005-0000-0000-0000885E0000}"/>
    <cellStyle name="40% - Accent2 4 2 2 3 6" xfId="23908" xr:uid="{00000000-0005-0000-0000-0000895E0000}"/>
    <cellStyle name="40% - Accent2 4 2 2 4" xfId="1813" xr:uid="{00000000-0005-0000-0000-00008A5E0000}"/>
    <cellStyle name="40% - Accent2 4 2 2 4 2" xfId="3678" xr:uid="{00000000-0005-0000-0000-00008B5E0000}"/>
    <cellStyle name="40% - Accent2 4 2 2 4 2 2" xfId="9388" xr:uid="{00000000-0005-0000-0000-00008C5E0000}"/>
    <cellStyle name="40% - Accent2 4 2 2 4 2 2 2" xfId="20689" xr:uid="{00000000-0005-0000-0000-00008D5E0000}"/>
    <cellStyle name="40% - Accent2 4 2 2 4 2 2 2 2" xfId="43291" xr:uid="{00000000-0005-0000-0000-00008E5E0000}"/>
    <cellStyle name="40% - Accent2 4 2 2 4 2 2 3" xfId="31990" xr:uid="{00000000-0005-0000-0000-00008F5E0000}"/>
    <cellStyle name="40% - Accent2 4 2 2 4 2 3" xfId="15039" xr:uid="{00000000-0005-0000-0000-0000905E0000}"/>
    <cellStyle name="40% - Accent2 4 2 2 4 2 3 2" xfId="37641" xr:uid="{00000000-0005-0000-0000-0000915E0000}"/>
    <cellStyle name="40% - Accent2 4 2 2 4 2 4" xfId="26340" xr:uid="{00000000-0005-0000-0000-0000925E0000}"/>
    <cellStyle name="40% - Accent2 4 2 2 4 3" xfId="5379" xr:uid="{00000000-0005-0000-0000-0000935E0000}"/>
    <cellStyle name="40% - Accent2 4 2 2 4 3 2" xfId="11029" xr:uid="{00000000-0005-0000-0000-0000945E0000}"/>
    <cellStyle name="40% - Accent2 4 2 2 4 3 2 2" xfId="22330" xr:uid="{00000000-0005-0000-0000-0000955E0000}"/>
    <cellStyle name="40% - Accent2 4 2 2 4 3 2 2 2" xfId="44932" xr:uid="{00000000-0005-0000-0000-0000965E0000}"/>
    <cellStyle name="40% - Accent2 4 2 2 4 3 2 3" xfId="33631" xr:uid="{00000000-0005-0000-0000-0000975E0000}"/>
    <cellStyle name="40% - Accent2 4 2 2 4 3 3" xfId="16680" xr:uid="{00000000-0005-0000-0000-0000985E0000}"/>
    <cellStyle name="40% - Accent2 4 2 2 4 3 3 2" xfId="39282" xr:uid="{00000000-0005-0000-0000-0000995E0000}"/>
    <cellStyle name="40% - Accent2 4 2 2 4 3 4" xfId="27981" xr:uid="{00000000-0005-0000-0000-00009A5E0000}"/>
    <cellStyle name="40% - Accent2 4 2 2 4 4" xfId="7669" xr:uid="{00000000-0005-0000-0000-00009B5E0000}"/>
    <cellStyle name="40% - Accent2 4 2 2 4 4 2" xfId="18970" xr:uid="{00000000-0005-0000-0000-00009C5E0000}"/>
    <cellStyle name="40% - Accent2 4 2 2 4 4 2 2" xfId="41572" xr:uid="{00000000-0005-0000-0000-00009D5E0000}"/>
    <cellStyle name="40% - Accent2 4 2 2 4 4 3" xfId="30271" xr:uid="{00000000-0005-0000-0000-00009E5E0000}"/>
    <cellStyle name="40% - Accent2 4 2 2 4 5" xfId="13320" xr:uid="{00000000-0005-0000-0000-00009F5E0000}"/>
    <cellStyle name="40% - Accent2 4 2 2 4 5 2" xfId="35922" xr:uid="{00000000-0005-0000-0000-0000A05E0000}"/>
    <cellStyle name="40% - Accent2 4 2 2 4 6" xfId="24621" xr:uid="{00000000-0005-0000-0000-0000A15E0000}"/>
    <cellStyle name="40% - Accent2 4 2 2 5" xfId="2360" xr:uid="{00000000-0005-0000-0000-0000A25E0000}"/>
    <cellStyle name="40% - Accent2 4 2 2 5 2" xfId="8196" xr:uid="{00000000-0005-0000-0000-0000A35E0000}"/>
    <cellStyle name="40% - Accent2 4 2 2 5 2 2" xfId="19497" xr:uid="{00000000-0005-0000-0000-0000A45E0000}"/>
    <cellStyle name="40% - Accent2 4 2 2 5 2 2 2" xfId="42099" xr:uid="{00000000-0005-0000-0000-0000A55E0000}"/>
    <cellStyle name="40% - Accent2 4 2 2 5 2 3" xfId="30798" xr:uid="{00000000-0005-0000-0000-0000A65E0000}"/>
    <cellStyle name="40% - Accent2 4 2 2 5 3" xfId="13847" xr:uid="{00000000-0005-0000-0000-0000A75E0000}"/>
    <cellStyle name="40% - Accent2 4 2 2 5 3 2" xfId="36449" xr:uid="{00000000-0005-0000-0000-0000A85E0000}"/>
    <cellStyle name="40% - Accent2 4 2 2 5 4" xfId="25148" xr:uid="{00000000-0005-0000-0000-0000A95E0000}"/>
    <cellStyle name="40% - Accent2 4 2 2 6" xfId="4145" xr:uid="{00000000-0005-0000-0000-0000AA5E0000}"/>
    <cellStyle name="40% - Accent2 4 2 2 6 2" xfId="9795" xr:uid="{00000000-0005-0000-0000-0000AB5E0000}"/>
    <cellStyle name="40% - Accent2 4 2 2 6 2 2" xfId="21096" xr:uid="{00000000-0005-0000-0000-0000AC5E0000}"/>
    <cellStyle name="40% - Accent2 4 2 2 6 2 2 2" xfId="43698" xr:uid="{00000000-0005-0000-0000-0000AD5E0000}"/>
    <cellStyle name="40% - Accent2 4 2 2 6 2 3" xfId="32397" xr:uid="{00000000-0005-0000-0000-0000AE5E0000}"/>
    <cellStyle name="40% - Accent2 4 2 2 6 3" xfId="15446" xr:uid="{00000000-0005-0000-0000-0000AF5E0000}"/>
    <cellStyle name="40% - Accent2 4 2 2 6 3 2" xfId="38048" xr:uid="{00000000-0005-0000-0000-0000B05E0000}"/>
    <cellStyle name="40% - Accent2 4 2 2 6 4" xfId="26747" xr:uid="{00000000-0005-0000-0000-0000B15E0000}"/>
    <cellStyle name="40% - Accent2 4 2 2 7" xfId="6625" xr:uid="{00000000-0005-0000-0000-0000B25E0000}"/>
    <cellStyle name="40% - Accent2 4 2 2 7 2" xfId="17926" xr:uid="{00000000-0005-0000-0000-0000B35E0000}"/>
    <cellStyle name="40% - Accent2 4 2 2 7 2 2" xfId="40528" xr:uid="{00000000-0005-0000-0000-0000B45E0000}"/>
    <cellStyle name="40% - Accent2 4 2 2 7 3" xfId="29227" xr:uid="{00000000-0005-0000-0000-0000B55E0000}"/>
    <cellStyle name="40% - Accent2 4 2 2 8" xfId="12276" xr:uid="{00000000-0005-0000-0000-0000B65E0000}"/>
    <cellStyle name="40% - Accent2 4 2 2 8 2" xfId="34878" xr:uid="{00000000-0005-0000-0000-0000B75E0000}"/>
    <cellStyle name="40% - Accent2 4 2 2 9" xfId="23577" xr:uid="{00000000-0005-0000-0000-0000B85E0000}"/>
    <cellStyle name="40% - Accent2 4 2 3" xfId="1132" xr:uid="{00000000-0005-0000-0000-0000B95E0000}"/>
    <cellStyle name="40% - Accent2 4 2 3 2" xfId="1815" xr:uid="{00000000-0005-0000-0000-0000BA5E0000}"/>
    <cellStyle name="40% - Accent2 4 2 3 2 2" xfId="3200" xr:uid="{00000000-0005-0000-0000-0000BB5E0000}"/>
    <cellStyle name="40% - Accent2 4 2 3 2 2 2" xfId="6172" xr:uid="{00000000-0005-0000-0000-0000BC5E0000}"/>
    <cellStyle name="40% - Accent2 4 2 3 2 2 2 2" xfId="11822" xr:uid="{00000000-0005-0000-0000-0000BD5E0000}"/>
    <cellStyle name="40% - Accent2 4 2 3 2 2 2 2 2" xfId="23123" xr:uid="{00000000-0005-0000-0000-0000BE5E0000}"/>
    <cellStyle name="40% - Accent2 4 2 3 2 2 2 2 2 2" xfId="45725" xr:uid="{00000000-0005-0000-0000-0000BF5E0000}"/>
    <cellStyle name="40% - Accent2 4 2 3 2 2 2 2 3" xfId="34424" xr:uid="{00000000-0005-0000-0000-0000C05E0000}"/>
    <cellStyle name="40% - Accent2 4 2 3 2 2 2 3" xfId="17473" xr:uid="{00000000-0005-0000-0000-0000C15E0000}"/>
    <cellStyle name="40% - Accent2 4 2 3 2 2 2 3 2" xfId="40075" xr:uid="{00000000-0005-0000-0000-0000C25E0000}"/>
    <cellStyle name="40% - Accent2 4 2 3 2 2 2 4" xfId="28774" xr:uid="{00000000-0005-0000-0000-0000C35E0000}"/>
    <cellStyle name="40% - Accent2 4 2 3 2 2 3" xfId="8990" xr:uid="{00000000-0005-0000-0000-0000C45E0000}"/>
    <cellStyle name="40% - Accent2 4 2 3 2 2 3 2" xfId="20291" xr:uid="{00000000-0005-0000-0000-0000C55E0000}"/>
    <cellStyle name="40% - Accent2 4 2 3 2 2 3 2 2" xfId="42893" xr:uid="{00000000-0005-0000-0000-0000C65E0000}"/>
    <cellStyle name="40% - Accent2 4 2 3 2 2 3 3" xfId="31592" xr:uid="{00000000-0005-0000-0000-0000C75E0000}"/>
    <cellStyle name="40% - Accent2 4 2 3 2 2 4" xfId="14641" xr:uid="{00000000-0005-0000-0000-0000C85E0000}"/>
    <cellStyle name="40% - Accent2 4 2 3 2 2 4 2" xfId="37243" xr:uid="{00000000-0005-0000-0000-0000C95E0000}"/>
    <cellStyle name="40% - Accent2 4 2 3 2 2 5" xfId="25942" xr:uid="{00000000-0005-0000-0000-0000CA5E0000}"/>
    <cellStyle name="40% - Accent2 4 2 3 2 3" xfId="4938" xr:uid="{00000000-0005-0000-0000-0000CB5E0000}"/>
    <cellStyle name="40% - Accent2 4 2 3 2 3 2" xfId="10588" xr:uid="{00000000-0005-0000-0000-0000CC5E0000}"/>
    <cellStyle name="40% - Accent2 4 2 3 2 3 2 2" xfId="21889" xr:uid="{00000000-0005-0000-0000-0000CD5E0000}"/>
    <cellStyle name="40% - Accent2 4 2 3 2 3 2 2 2" xfId="44491" xr:uid="{00000000-0005-0000-0000-0000CE5E0000}"/>
    <cellStyle name="40% - Accent2 4 2 3 2 3 2 3" xfId="33190" xr:uid="{00000000-0005-0000-0000-0000CF5E0000}"/>
    <cellStyle name="40% - Accent2 4 2 3 2 3 3" xfId="16239" xr:uid="{00000000-0005-0000-0000-0000D05E0000}"/>
    <cellStyle name="40% - Accent2 4 2 3 2 3 3 2" xfId="38841" xr:uid="{00000000-0005-0000-0000-0000D15E0000}"/>
    <cellStyle name="40% - Accent2 4 2 3 2 3 4" xfId="27540" xr:uid="{00000000-0005-0000-0000-0000D25E0000}"/>
    <cellStyle name="40% - Accent2 4 2 3 2 4" xfId="7671" xr:uid="{00000000-0005-0000-0000-0000D35E0000}"/>
    <cellStyle name="40% - Accent2 4 2 3 2 4 2" xfId="18972" xr:uid="{00000000-0005-0000-0000-0000D45E0000}"/>
    <cellStyle name="40% - Accent2 4 2 3 2 4 2 2" xfId="41574" xr:uid="{00000000-0005-0000-0000-0000D55E0000}"/>
    <cellStyle name="40% - Accent2 4 2 3 2 4 3" xfId="30273" xr:uid="{00000000-0005-0000-0000-0000D65E0000}"/>
    <cellStyle name="40% - Accent2 4 2 3 2 5" xfId="13322" xr:uid="{00000000-0005-0000-0000-0000D75E0000}"/>
    <cellStyle name="40% - Accent2 4 2 3 2 5 2" xfId="35924" xr:uid="{00000000-0005-0000-0000-0000D85E0000}"/>
    <cellStyle name="40% - Accent2 4 2 3 2 6" xfId="24623" xr:uid="{00000000-0005-0000-0000-0000D95E0000}"/>
    <cellStyle name="40% - Accent2 4 2 3 3" xfId="2529" xr:uid="{00000000-0005-0000-0000-0000DA5E0000}"/>
    <cellStyle name="40% - Accent2 4 2 3 3 2" xfId="5548" xr:uid="{00000000-0005-0000-0000-0000DB5E0000}"/>
    <cellStyle name="40% - Accent2 4 2 3 3 2 2" xfId="11198" xr:uid="{00000000-0005-0000-0000-0000DC5E0000}"/>
    <cellStyle name="40% - Accent2 4 2 3 3 2 2 2" xfId="22499" xr:uid="{00000000-0005-0000-0000-0000DD5E0000}"/>
    <cellStyle name="40% - Accent2 4 2 3 3 2 2 2 2" xfId="45101" xr:uid="{00000000-0005-0000-0000-0000DE5E0000}"/>
    <cellStyle name="40% - Accent2 4 2 3 3 2 2 3" xfId="33800" xr:uid="{00000000-0005-0000-0000-0000DF5E0000}"/>
    <cellStyle name="40% - Accent2 4 2 3 3 2 3" xfId="16849" xr:uid="{00000000-0005-0000-0000-0000E05E0000}"/>
    <cellStyle name="40% - Accent2 4 2 3 3 2 3 2" xfId="39451" xr:uid="{00000000-0005-0000-0000-0000E15E0000}"/>
    <cellStyle name="40% - Accent2 4 2 3 3 2 4" xfId="28150" xr:uid="{00000000-0005-0000-0000-0000E25E0000}"/>
    <cellStyle name="40% - Accent2 4 2 3 3 3" xfId="8365" xr:uid="{00000000-0005-0000-0000-0000E35E0000}"/>
    <cellStyle name="40% - Accent2 4 2 3 3 3 2" xfId="19666" xr:uid="{00000000-0005-0000-0000-0000E45E0000}"/>
    <cellStyle name="40% - Accent2 4 2 3 3 3 2 2" xfId="42268" xr:uid="{00000000-0005-0000-0000-0000E55E0000}"/>
    <cellStyle name="40% - Accent2 4 2 3 3 3 3" xfId="30967" xr:uid="{00000000-0005-0000-0000-0000E65E0000}"/>
    <cellStyle name="40% - Accent2 4 2 3 3 4" xfId="14016" xr:uid="{00000000-0005-0000-0000-0000E75E0000}"/>
    <cellStyle name="40% - Accent2 4 2 3 3 4 2" xfId="36618" xr:uid="{00000000-0005-0000-0000-0000E85E0000}"/>
    <cellStyle name="40% - Accent2 4 2 3 3 5" xfId="25317" xr:uid="{00000000-0005-0000-0000-0000E95E0000}"/>
    <cellStyle name="40% - Accent2 4 2 3 4" xfId="4314" xr:uid="{00000000-0005-0000-0000-0000EA5E0000}"/>
    <cellStyle name="40% - Accent2 4 2 3 4 2" xfId="9964" xr:uid="{00000000-0005-0000-0000-0000EB5E0000}"/>
    <cellStyle name="40% - Accent2 4 2 3 4 2 2" xfId="21265" xr:uid="{00000000-0005-0000-0000-0000EC5E0000}"/>
    <cellStyle name="40% - Accent2 4 2 3 4 2 2 2" xfId="43867" xr:uid="{00000000-0005-0000-0000-0000ED5E0000}"/>
    <cellStyle name="40% - Accent2 4 2 3 4 2 3" xfId="32566" xr:uid="{00000000-0005-0000-0000-0000EE5E0000}"/>
    <cellStyle name="40% - Accent2 4 2 3 4 3" xfId="15615" xr:uid="{00000000-0005-0000-0000-0000EF5E0000}"/>
    <cellStyle name="40% - Accent2 4 2 3 4 3 2" xfId="38217" xr:uid="{00000000-0005-0000-0000-0000F05E0000}"/>
    <cellStyle name="40% - Accent2 4 2 3 4 4" xfId="26916" xr:uid="{00000000-0005-0000-0000-0000F15E0000}"/>
    <cellStyle name="40% - Accent2 4 2 3 5" xfId="7111" xr:uid="{00000000-0005-0000-0000-0000F25E0000}"/>
    <cellStyle name="40% - Accent2 4 2 3 5 2" xfId="18412" xr:uid="{00000000-0005-0000-0000-0000F35E0000}"/>
    <cellStyle name="40% - Accent2 4 2 3 5 2 2" xfId="41014" xr:uid="{00000000-0005-0000-0000-0000F45E0000}"/>
    <cellStyle name="40% - Accent2 4 2 3 5 3" xfId="29713" xr:uid="{00000000-0005-0000-0000-0000F55E0000}"/>
    <cellStyle name="40% - Accent2 4 2 3 6" xfId="12762" xr:uid="{00000000-0005-0000-0000-0000F65E0000}"/>
    <cellStyle name="40% - Accent2 4 2 3 6 2" xfId="35364" xr:uid="{00000000-0005-0000-0000-0000F75E0000}"/>
    <cellStyle name="40% - Accent2 4 2 3 7" xfId="24063" xr:uid="{00000000-0005-0000-0000-0000F85E0000}"/>
    <cellStyle name="40% - Accent2 4 2 4" xfId="822" xr:uid="{00000000-0005-0000-0000-0000F95E0000}"/>
    <cellStyle name="40% - Accent2 4 2 4 2" xfId="2893" xr:uid="{00000000-0005-0000-0000-0000FA5E0000}"/>
    <cellStyle name="40% - Accent2 4 2 4 2 2" xfId="5865" xr:uid="{00000000-0005-0000-0000-0000FB5E0000}"/>
    <cellStyle name="40% - Accent2 4 2 4 2 2 2" xfId="11515" xr:uid="{00000000-0005-0000-0000-0000FC5E0000}"/>
    <cellStyle name="40% - Accent2 4 2 4 2 2 2 2" xfId="22816" xr:uid="{00000000-0005-0000-0000-0000FD5E0000}"/>
    <cellStyle name="40% - Accent2 4 2 4 2 2 2 2 2" xfId="45418" xr:uid="{00000000-0005-0000-0000-0000FE5E0000}"/>
    <cellStyle name="40% - Accent2 4 2 4 2 2 2 3" xfId="34117" xr:uid="{00000000-0005-0000-0000-0000FF5E0000}"/>
    <cellStyle name="40% - Accent2 4 2 4 2 2 3" xfId="17166" xr:uid="{00000000-0005-0000-0000-0000005F0000}"/>
    <cellStyle name="40% - Accent2 4 2 4 2 2 3 2" xfId="39768" xr:uid="{00000000-0005-0000-0000-0000015F0000}"/>
    <cellStyle name="40% - Accent2 4 2 4 2 2 4" xfId="28467" xr:uid="{00000000-0005-0000-0000-0000025F0000}"/>
    <cellStyle name="40% - Accent2 4 2 4 2 3" xfId="8683" xr:uid="{00000000-0005-0000-0000-0000035F0000}"/>
    <cellStyle name="40% - Accent2 4 2 4 2 3 2" xfId="19984" xr:uid="{00000000-0005-0000-0000-0000045F0000}"/>
    <cellStyle name="40% - Accent2 4 2 4 2 3 2 2" xfId="42586" xr:uid="{00000000-0005-0000-0000-0000055F0000}"/>
    <cellStyle name="40% - Accent2 4 2 4 2 3 3" xfId="31285" xr:uid="{00000000-0005-0000-0000-0000065F0000}"/>
    <cellStyle name="40% - Accent2 4 2 4 2 4" xfId="14334" xr:uid="{00000000-0005-0000-0000-0000075F0000}"/>
    <cellStyle name="40% - Accent2 4 2 4 2 4 2" xfId="36936" xr:uid="{00000000-0005-0000-0000-0000085F0000}"/>
    <cellStyle name="40% - Accent2 4 2 4 2 5" xfId="25635" xr:uid="{00000000-0005-0000-0000-0000095F0000}"/>
    <cellStyle name="40% - Accent2 4 2 4 3" xfId="4631" xr:uid="{00000000-0005-0000-0000-00000A5F0000}"/>
    <cellStyle name="40% - Accent2 4 2 4 3 2" xfId="10281" xr:uid="{00000000-0005-0000-0000-00000B5F0000}"/>
    <cellStyle name="40% - Accent2 4 2 4 3 2 2" xfId="21582" xr:uid="{00000000-0005-0000-0000-00000C5F0000}"/>
    <cellStyle name="40% - Accent2 4 2 4 3 2 2 2" xfId="44184" xr:uid="{00000000-0005-0000-0000-00000D5F0000}"/>
    <cellStyle name="40% - Accent2 4 2 4 3 2 3" xfId="32883" xr:uid="{00000000-0005-0000-0000-00000E5F0000}"/>
    <cellStyle name="40% - Accent2 4 2 4 3 3" xfId="15932" xr:uid="{00000000-0005-0000-0000-00000F5F0000}"/>
    <cellStyle name="40% - Accent2 4 2 4 3 3 2" xfId="38534" xr:uid="{00000000-0005-0000-0000-0000105F0000}"/>
    <cellStyle name="40% - Accent2 4 2 4 3 4" xfId="27233" xr:uid="{00000000-0005-0000-0000-0000115F0000}"/>
    <cellStyle name="40% - Accent2 4 2 4 4" xfId="6818" xr:uid="{00000000-0005-0000-0000-0000125F0000}"/>
    <cellStyle name="40% - Accent2 4 2 4 4 2" xfId="18119" xr:uid="{00000000-0005-0000-0000-0000135F0000}"/>
    <cellStyle name="40% - Accent2 4 2 4 4 2 2" xfId="40721" xr:uid="{00000000-0005-0000-0000-0000145F0000}"/>
    <cellStyle name="40% - Accent2 4 2 4 4 3" xfId="29420" xr:uid="{00000000-0005-0000-0000-0000155F0000}"/>
    <cellStyle name="40% - Accent2 4 2 4 5" xfId="12469" xr:uid="{00000000-0005-0000-0000-0000165F0000}"/>
    <cellStyle name="40% - Accent2 4 2 4 5 2" xfId="35071" xr:uid="{00000000-0005-0000-0000-0000175F0000}"/>
    <cellStyle name="40% - Accent2 4 2 4 6" xfId="23770" xr:uid="{00000000-0005-0000-0000-0000185F0000}"/>
    <cellStyle name="40% - Accent2 4 2 5" xfId="1812" xr:uid="{00000000-0005-0000-0000-0000195F0000}"/>
    <cellStyle name="40% - Accent2 4 2 5 2" xfId="3677" xr:uid="{00000000-0005-0000-0000-00001A5F0000}"/>
    <cellStyle name="40% - Accent2 4 2 5 2 2" xfId="9387" xr:uid="{00000000-0005-0000-0000-00001B5F0000}"/>
    <cellStyle name="40% - Accent2 4 2 5 2 2 2" xfId="20688" xr:uid="{00000000-0005-0000-0000-00001C5F0000}"/>
    <cellStyle name="40% - Accent2 4 2 5 2 2 2 2" xfId="43290" xr:uid="{00000000-0005-0000-0000-00001D5F0000}"/>
    <cellStyle name="40% - Accent2 4 2 5 2 2 3" xfId="31989" xr:uid="{00000000-0005-0000-0000-00001E5F0000}"/>
    <cellStyle name="40% - Accent2 4 2 5 2 3" xfId="15038" xr:uid="{00000000-0005-0000-0000-00001F5F0000}"/>
    <cellStyle name="40% - Accent2 4 2 5 2 3 2" xfId="37640" xr:uid="{00000000-0005-0000-0000-0000205F0000}"/>
    <cellStyle name="40% - Accent2 4 2 5 2 4" xfId="26339" xr:uid="{00000000-0005-0000-0000-0000215F0000}"/>
    <cellStyle name="40% - Accent2 4 2 5 3" xfId="5241" xr:uid="{00000000-0005-0000-0000-0000225F0000}"/>
    <cellStyle name="40% - Accent2 4 2 5 3 2" xfId="10891" xr:uid="{00000000-0005-0000-0000-0000235F0000}"/>
    <cellStyle name="40% - Accent2 4 2 5 3 2 2" xfId="22192" xr:uid="{00000000-0005-0000-0000-0000245F0000}"/>
    <cellStyle name="40% - Accent2 4 2 5 3 2 2 2" xfId="44794" xr:uid="{00000000-0005-0000-0000-0000255F0000}"/>
    <cellStyle name="40% - Accent2 4 2 5 3 2 3" xfId="33493" xr:uid="{00000000-0005-0000-0000-0000265F0000}"/>
    <cellStyle name="40% - Accent2 4 2 5 3 3" xfId="16542" xr:uid="{00000000-0005-0000-0000-0000275F0000}"/>
    <cellStyle name="40% - Accent2 4 2 5 3 3 2" xfId="39144" xr:uid="{00000000-0005-0000-0000-0000285F0000}"/>
    <cellStyle name="40% - Accent2 4 2 5 3 4" xfId="27843" xr:uid="{00000000-0005-0000-0000-0000295F0000}"/>
    <cellStyle name="40% - Accent2 4 2 5 4" xfId="7668" xr:uid="{00000000-0005-0000-0000-00002A5F0000}"/>
    <cellStyle name="40% - Accent2 4 2 5 4 2" xfId="18969" xr:uid="{00000000-0005-0000-0000-00002B5F0000}"/>
    <cellStyle name="40% - Accent2 4 2 5 4 2 2" xfId="41571" xr:uid="{00000000-0005-0000-0000-00002C5F0000}"/>
    <cellStyle name="40% - Accent2 4 2 5 4 3" xfId="30270" xr:uid="{00000000-0005-0000-0000-00002D5F0000}"/>
    <cellStyle name="40% - Accent2 4 2 5 5" xfId="13319" xr:uid="{00000000-0005-0000-0000-00002E5F0000}"/>
    <cellStyle name="40% - Accent2 4 2 5 5 2" xfId="35921" xr:uid="{00000000-0005-0000-0000-00002F5F0000}"/>
    <cellStyle name="40% - Accent2 4 2 5 6" xfId="24620" xr:uid="{00000000-0005-0000-0000-0000305F0000}"/>
    <cellStyle name="40% - Accent2 4 2 6" xfId="2220" xr:uid="{00000000-0005-0000-0000-0000315F0000}"/>
    <cellStyle name="40% - Accent2 4 2 6 2" xfId="8056" xr:uid="{00000000-0005-0000-0000-0000325F0000}"/>
    <cellStyle name="40% - Accent2 4 2 6 2 2" xfId="19357" xr:uid="{00000000-0005-0000-0000-0000335F0000}"/>
    <cellStyle name="40% - Accent2 4 2 6 2 2 2" xfId="41959" xr:uid="{00000000-0005-0000-0000-0000345F0000}"/>
    <cellStyle name="40% - Accent2 4 2 6 2 3" xfId="30658" xr:uid="{00000000-0005-0000-0000-0000355F0000}"/>
    <cellStyle name="40% - Accent2 4 2 6 3" xfId="13707" xr:uid="{00000000-0005-0000-0000-0000365F0000}"/>
    <cellStyle name="40% - Accent2 4 2 6 3 2" xfId="36309" xr:uid="{00000000-0005-0000-0000-0000375F0000}"/>
    <cellStyle name="40% - Accent2 4 2 6 4" xfId="25008" xr:uid="{00000000-0005-0000-0000-0000385F0000}"/>
    <cellStyle name="40% - Accent2 4 2 7" xfId="4007" xr:uid="{00000000-0005-0000-0000-0000395F0000}"/>
    <cellStyle name="40% - Accent2 4 2 7 2" xfId="9657" xr:uid="{00000000-0005-0000-0000-00003A5F0000}"/>
    <cellStyle name="40% - Accent2 4 2 7 2 2" xfId="20958" xr:uid="{00000000-0005-0000-0000-00003B5F0000}"/>
    <cellStyle name="40% - Accent2 4 2 7 2 2 2" xfId="43560" xr:uid="{00000000-0005-0000-0000-00003C5F0000}"/>
    <cellStyle name="40% - Accent2 4 2 7 2 3" xfId="32259" xr:uid="{00000000-0005-0000-0000-00003D5F0000}"/>
    <cellStyle name="40% - Accent2 4 2 7 3" xfId="15308" xr:uid="{00000000-0005-0000-0000-00003E5F0000}"/>
    <cellStyle name="40% - Accent2 4 2 7 3 2" xfId="37910" xr:uid="{00000000-0005-0000-0000-00003F5F0000}"/>
    <cellStyle name="40% - Accent2 4 2 7 4" xfId="26609" xr:uid="{00000000-0005-0000-0000-0000405F0000}"/>
    <cellStyle name="40% - Accent2 4 2 8" xfId="6458" xr:uid="{00000000-0005-0000-0000-0000415F0000}"/>
    <cellStyle name="40% - Accent2 4 2 8 2" xfId="17759" xr:uid="{00000000-0005-0000-0000-0000425F0000}"/>
    <cellStyle name="40% - Accent2 4 2 8 2 2" xfId="40361" xr:uid="{00000000-0005-0000-0000-0000435F0000}"/>
    <cellStyle name="40% - Accent2 4 2 8 3" xfId="29060" xr:uid="{00000000-0005-0000-0000-0000445F0000}"/>
    <cellStyle name="40% - Accent2 4 2 9" xfId="12109" xr:uid="{00000000-0005-0000-0000-0000455F0000}"/>
    <cellStyle name="40% - Accent2 4 2 9 2" xfId="34711" xr:uid="{00000000-0005-0000-0000-0000465F0000}"/>
    <cellStyle name="40% - Accent2 4 3" xfId="364" xr:uid="{00000000-0005-0000-0000-0000475F0000}"/>
    <cellStyle name="40% - Accent2 4 3 10" xfId="23459" xr:uid="{00000000-0005-0000-0000-0000485F0000}"/>
    <cellStyle name="40% - Accent2 4 3 2" xfId="609" xr:uid="{00000000-0005-0000-0000-0000495F0000}"/>
    <cellStyle name="40% - Accent2 4 3 2 2" xfId="1319" xr:uid="{00000000-0005-0000-0000-00004A5F0000}"/>
    <cellStyle name="40% - Accent2 4 3 2 2 2" xfId="1818" xr:uid="{00000000-0005-0000-0000-00004B5F0000}"/>
    <cellStyle name="40% - Accent2 4 3 2 2 2 2" xfId="3388" xr:uid="{00000000-0005-0000-0000-00004C5F0000}"/>
    <cellStyle name="40% - Accent2 4 3 2 2 2 2 2" xfId="6360" xr:uid="{00000000-0005-0000-0000-00004D5F0000}"/>
    <cellStyle name="40% - Accent2 4 3 2 2 2 2 2 2" xfId="12010" xr:uid="{00000000-0005-0000-0000-00004E5F0000}"/>
    <cellStyle name="40% - Accent2 4 3 2 2 2 2 2 2 2" xfId="23311" xr:uid="{00000000-0005-0000-0000-00004F5F0000}"/>
    <cellStyle name="40% - Accent2 4 3 2 2 2 2 2 2 2 2" xfId="45913" xr:uid="{00000000-0005-0000-0000-0000505F0000}"/>
    <cellStyle name="40% - Accent2 4 3 2 2 2 2 2 2 3" xfId="34612" xr:uid="{00000000-0005-0000-0000-0000515F0000}"/>
    <cellStyle name="40% - Accent2 4 3 2 2 2 2 2 3" xfId="17661" xr:uid="{00000000-0005-0000-0000-0000525F0000}"/>
    <cellStyle name="40% - Accent2 4 3 2 2 2 2 2 3 2" xfId="40263" xr:uid="{00000000-0005-0000-0000-0000535F0000}"/>
    <cellStyle name="40% - Accent2 4 3 2 2 2 2 2 4" xfId="28962" xr:uid="{00000000-0005-0000-0000-0000545F0000}"/>
    <cellStyle name="40% - Accent2 4 3 2 2 2 2 3" xfId="9178" xr:uid="{00000000-0005-0000-0000-0000555F0000}"/>
    <cellStyle name="40% - Accent2 4 3 2 2 2 2 3 2" xfId="20479" xr:uid="{00000000-0005-0000-0000-0000565F0000}"/>
    <cellStyle name="40% - Accent2 4 3 2 2 2 2 3 2 2" xfId="43081" xr:uid="{00000000-0005-0000-0000-0000575F0000}"/>
    <cellStyle name="40% - Accent2 4 3 2 2 2 2 3 3" xfId="31780" xr:uid="{00000000-0005-0000-0000-0000585F0000}"/>
    <cellStyle name="40% - Accent2 4 3 2 2 2 2 4" xfId="14829" xr:uid="{00000000-0005-0000-0000-0000595F0000}"/>
    <cellStyle name="40% - Accent2 4 3 2 2 2 2 4 2" xfId="37431" xr:uid="{00000000-0005-0000-0000-00005A5F0000}"/>
    <cellStyle name="40% - Accent2 4 3 2 2 2 2 5" xfId="26130" xr:uid="{00000000-0005-0000-0000-00005B5F0000}"/>
    <cellStyle name="40% - Accent2 4 3 2 2 2 3" xfId="5126" xr:uid="{00000000-0005-0000-0000-00005C5F0000}"/>
    <cellStyle name="40% - Accent2 4 3 2 2 2 3 2" xfId="10776" xr:uid="{00000000-0005-0000-0000-00005D5F0000}"/>
    <cellStyle name="40% - Accent2 4 3 2 2 2 3 2 2" xfId="22077" xr:uid="{00000000-0005-0000-0000-00005E5F0000}"/>
    <cellStyle name="40% - Accent2 4 3 2 2 2 3 2 2 2" xfId="44679" xr:uid="{00000000-0005-0000-0000-00005F5F0000}"/>
    <cellStyle name="40% - Accent2 4 3 2 2 2 3 2 3" xfId="33378" xr:uid="{00000000-0005-0000-0000-0000605F0000}"/>
    <cellStyle name="40% - Accent2 4 3 2 2 2 3 3" xfId="16427" xr:uid="{00000000-0005-0000-0000-0000615F0000}"/>
    <cellStyle name="40% - Accent2 4 3 2 2 2 3 3 2" xfId="39029" xr:uid="{00000000-0005-0000-0000-0000625F0000}"/>
    <cellStyle name="40% - Accent2 4 3 2 2 2 3 4" xfId="27728" xr:uid="{00000000-0005-0000-0000-0000635F0000}"/>
    <cellStyle name="40% - Accent2 4 3 2 2 2 4" xfId="7674" xr:uid="{00000000-0005-0000-0000-0000645F0000}"/>
    <cellStyle name="40% - Accent2 4 3 2 2 2 4 2" xfId="18975" xr:uid="{00000000-0005-0000-0000-0000655F0000}"/>
    <cellStyle name="40% - Accent2 4 3 2 2 2 4 2 2" xfId="41577" xr:uid="{00000000-0005-0000-0000-0000665F0000}"/>
    <cellStyle name="40% - Accent2 4 3 2 2 2 4 3" xfId="30276" xr:uid="{00000000-0005-0000-0000-0000675F0000}"/>
    <cellStyle name="40% - Accent2 4 3 2 2 2 5" xfId="13325" xr:uid="{00000000-0005-0000-0000-0000685F0000}"/>
    <cellStyle name="40% - Accent2 4 3 2 2 2 5 2" xfId="35927" xr:uid="{00000000-0005-0000-0000-0000695F0000}"/>
    <cellStyle name="40% - Accent2 4 3 2 2 2 6" xfId="24626" xr:uid="{00000000-0005-0000-0000-00006A5F0000}"/>
    <cellStyle name="40% - Accent2 4 3 2 2 3" xfId="2717" xr:uid="{00000000-0005-0000-0000-00006B5F0000}"/>
    <cellStyle name="40% - Accent2 4 3 2 2 3 2" xfId="5736" xr:uid="{00000000-0005-0000-0000-00006C5F0000}"/>
    <cellStyle name="40% - Accent2 4 3 2 2 3 2 2" xfId="11386" xr:uid="{00000000-0005-0000-0000-00006D5F0000}"/>
    <cellStyle name="40% - Accent2 4 3 2 2 3 2 2 2" xfId="22687" xr:uid="{00000000-0005-0000-0000-00006E5F0000}"/>
    <cellStyle name="40% - Accent2 4 3 2 2 3 2 2 2 2" xfId="45289" xr:uid="{00000000-0005-0000-0000-00006F5F0000}"/>
    <cellStyle name="40% - Accent2 4 3 2 2 3 2 2 3" xfId="33988" xr:uid="{00000000-0005-0000-0000-0000705F0000}"/>
    <cellStyle name="40% - Accent2 4 3 2 2 3 2 3" xfId="17037" xr:uid="{00000000-0005-0000-0000-0000715F0000}"/>
    <cellStyle name="40% - Accent2 4 3 2 2 3 2 3 2" xfId="39639" xr:uid="{00000000-0005-0000-0000-0000725F0000}"/>
    <cellStyle name="40% - Accent2 4 3 2 2 3 2 4" xfId="28338" xr:uid="{00000000-0005-0000-0000-0000735F0000}"/>
    <cellStyle name="40% - Accent2 4 3 2 2 3 3" xfId="8553" xr:uid="{00000000-0005-0000-0000-0000745F0000}"/>
    <cellStyle name="40% - Accent2 4 3 2 2 3 3 2" xfId="19854" xr:uid="{00000000-0005-0000-0000-0000755F0000}"/>
    <cellStyle name="40% - Accent2 4 3 2 2 3 3 2 2" xfId="42456" xr:uid="{00000000-0005-0000-0000-0000765F0000}"/>
    <cellStyle name="40% - Accent2 4 3 2 2 3 3 3" xfId="31155" xr:uid="{00000000-0005-0000-0000-0000775F0000}"/>
    <cellStyle name="40% - Accent2 4 3 2 2 3 4" xfId="14204" xr:uid="{00000000-0005-0000-0000-0000785F0000}"/>
    <cellStyle name="40% - Accent2 4 3 2 2 3 4 2" xfId="36806" xr:uid="{00000000-0005-0000-0000-0000795F0000}"/>
    <cellStyle name="40% - Accent2 4 3 2 2 3 5" xfId="25505" xr:uid="{00000000-0005-0000-0000-00007A5F0000}"/>
    <cellStyle name="40% - Accent2 4 3 2 2 4" xfId="4502" xr:uid="{00000000-0005-0000-0000-00007B5F0000}"/>
    <cellStyle name="40% - Accent2 4 3 2 2 4 2" xfId="10152" xr:uid="{00000000-0005-0000-0000-00007C5F0000}"/>
    <cellStyle name="40% - Accent2 4 3 2 2 4 2 2" xfId="21453" xr:uid="{00000000-0005-0000-0000-00007D5F0000}"/>
    <cellStyle name="40% - Accent2 4 3 2 2 4 2 2 2" xfId="44055" xr:uid="{00000000-0005-0000-0000-00007E5F0000}"/>
    <cellStyle name="40% - Accent2 4 3 2 2 4 2 3" xfId="32754" xr:uid="{00000000-0005-0000-0000-00007F5F0000}"/>
    <cellStyle name="40% - Accent2 4 3 2 2 4 3" xfId="15803" xr:uid="{00000000-0005-0000-0000-0000805F0000}"/>
    <cellStyle name="40% - Accent2 4 3 2 2 4 3 2" xfId="38405" xr:uid="{00000000-0005-0000-0000-0000815F0000}"/>
    <cellStyle name="40% - Accent2 4 3 2 2 4 4" xfId="27104" xr:uid="{00000000-0005-0000-0000-0000825F0000}"/>
    <cellStyle name="40% - Accent2 4 3 2 2 5" xfId="7298" xr:uid="{00000000-0005-0000-0000-0000835F0000}"/>
    <cellStyle name="40% - Accent2 4 3 2 2 5 2" xfId="18599" xr:uid="{00000000-0005-0000-0000-0000845F0000}"/>
    <cellStyle name="40% - Accent2 4 3 2 2 5 2 2" xfId="41201" xr:uid="{00000000-0005-0000-0000-0000855F0000}"/>
    <cellStyle name="40% - Accent2 4 3 2 2 5 3" xfId="29900" xr:uid="{00000000-0005-0000-0000-0000865F0000}"/>
    <cellStyle name="40% - Accent2 4 3 2 2 6" xfId="12949" xr:uid="{00000000-0005-0000-0000-0000875F0000}"/>
    <cellStyle name="40% - Accent2 4 3 2 2 6 2" xfId="35551" xr:uid="{00000000-0005-0000-0000-0000885F0000}"/>
    <cellStyle name="40% - Accent2 4 3 2 2 7" xfId="24250" xr:uid="{00000000-0005-0000-0000-0000895F0000}"/>
    <cellStyle name="40% - Accent2 4 3 2 3" xfId="1017" xr:uid="{00000000-0005-0000-0000-00008A5F0000}"/>
    <cellStyle name="40% - Accent2 4 3 2 3 2" xfId="3080" xr:uid="{00000000-0005-0000-0000-00008B5F0000}"/>
    <cellStyle name="40% - Accent2 4 3 2 3 2 2" xfId="6052" xr:uid="{00000000-0005-0000-0000-00008C5F0000}"/>
    <cellStyle name="40% - Accent2 4 3 2 3 2 2 2" xfId="11702" xr:uid="{00000000-0005-0000-0000-00008D5F0000}"/>
    <cellStyle name="40% - Accent2 4 3 2 3 2 2 2 2" xfId="23003" xr:uid="{00000000-0005-0000-0000-00008E5F0000}"/>
    <cellStyle name="40% - Accent2 4 3 2 3 2 2 2 2 2" xfId="45605" xr:uid="{00000000-0005-0000-0000-00008F5F0000}"/>
    <cellStyle name="40% - Accent2 4 3 2 3 2 2 2 3" xfId="34304" xr:uid="{00000000-0005-0000-0000-0000905F0000}"/>
    <cellStyle name="40% - Accent2 4 3 2 3 2 2 3" xfId="17353" xr:uid="{00000000-0005-0000-0000-0000915F0000}"/>
    <cellStyle name="40% - Accent2 4 3 2 3 2 2 3 2" xfId="39955" xr:uid="{00000000-0005-0000-0000-0000925F0000}"/>
    <cellStyle name="40% - Accent2 4 3 2 3 2 2 4" xfId="28654" xr:uid="{00000000-0005-0000-0000-0000935F0000}"/>
    <cellStyle name="40% - Accent2 4 3 2 3 2 3" xfId="8870" xr:uid="{00000000-0005-0000-0000-0000945F0000}"/>
    <cellStyle name="40% - Accent2 4 3 2 3 2 3 2" xfId="20171" xr:uid="{00000000-0005-0000-0000-0000955F0000}"/>
    <cellStyle name="40% - Accent2 4 3 2 3 2 3 2 2" xfId="42773" xr:uid="{00000000-0005-0000-0000-0000965F0000}"/>
    <cellStyle name="40% - Accent2 4 3 2 3 2 3 3" xfId="31472" xr:uid="{00000000-0005-0000-0000-0000975F0000}"/>
    <cellStyle name="40% - Accent2 4 3 2 3 2 4" xfId="14521" xr:uid="{00000000-0005-0000-0000-0000985F0000}"/>
    <cellStyle name="40% - Accent2 4 3 2 3 2 4 2" xfId="37123" xr:uid="{00000000-0005-0000-0000-0000995F0000}"/>
    <cellStyle name="40% - Accent2 4 3 2 3 2 5" xfId="25822" xr:uid="{00000000-0005-0000-0000-00009A5F0000}"/>
    <cellStyle name="40% - Accent2 4 3 2 3 3" xfId="4818" xr:uid="{00000000-0005-0000-0000-00009B5F0000}"/>
    <cellStyle name="40% - Accent2 4 3 2 3 3 2" xfId="10468" xr:uid="{00000000-0005-0000-0000-00009C5F0000}"/>
    <cellStyle name="40% - Accent2 4 3 2 3 3 2 2" xfId="21769" xr:uid="{00000000-0005-0000-0000-00009D5F0000}"/>
    <cellStyle name="40% - Accent2 4 3 2 3 3 2 2 2" xfId="44371" xr:uid="{00000000-0005-0000-0000-00009E5F0000}"/>
    <cellStyle name="40% - Accent2 4 3 2 3 3 2 3" xfId="33070" xr:uid="{00000000-0005-0000-0000-00009F5F0000}"/>
    <cellStyle name="40% - Accent2 4 3 2 3 3 3" xfId="16119" xr:uid="{00000000-0005-0000-0000-0000A05F0000}"/>
    <cellStyle name="40% - Accent2 4 3 2 3 3 3 2" xfId="38721" xr:uid="{00000000-0005-0000-0000-0000A15F0000}"/>
    <cellStyle name="40% - Accent2 4 3 2 3 3 4" xfId="27420" xr:uid="{00000000-0005-0000-0000-0000A25F0000}"/>
    <cellStyle name="40% - Accent2 4 3 2 3 4" xfId="7005" xr:uid="{00000000-0005-0000-0000-0000A35F0000}"/>
    <cellStyle name="40% - Accent2 4 3 2 3 4 2" xfId="18306" xr:uid="{00000000-0005-0000-0000-0000A45F0000}"/>
    <cellStyle name="40% - Accent2 4 3 2 3 4 2 2" xfId="40908" xr:uid="{00000000-0005-0000-0000-0000A55F0000}"/>
    <cellStyle name="40% - Accent2 4 3 2 3 4 3" xfId="29607" xr:uid="{00000000-0005-0000-0000-0000A65F0000}"/>
    <cellStyle name="40% - Accent2 4 3 2 3 5" xfId="12656" xr:uid="{00000000-0005-0000-0000-0000A75F0000}"/>
    <cellStyle name="40% - Accent2 4 3 2 3 5 2" xfId="35258" xr:uid="{00000000-0005-0000-0000-0000A85F0000}"/>
    <cellStyle name="40% - Accent2 4 3 2 3 6" xfId="23957" xr:uid="{00000000-0005-0000-0000-0000A95F0000}"/>
    <cellStyle name="40% - Accent2 4 3 2 4" xfId="1817" xr:uid="{00000000-0005-0000-0000-0000AA5F0000}"/>
    <cellStyle name="40% - Accent2 4 3 2 4 2" xfId="3680" xr:uid="{00000000-0005-0000-0000-0000AB5F0000}"/>
    <cellStyle name="40% - Accent2 4 3 2 4 2 2" xfId="9390" xr:uid="{00000000-0005-0000-0000-0000AC5F0000}"/>
    <cellStyle name="40% - Accent2 4 3 2 4 2 2 2" xfId="20691" xr:uid="{00000000-0005-0000-0000-0000AD5F0000}"/>
    <cellStyle name="40% - Accent2 4 3 2 4 2 2 2 2" xfId="43293" xr:uid="{00000000-0005-0000-0000-0000AE5F0000}"/>
    <cellStyle name="40% - Accent2 4 3 2 4 2 2 3" xfId="31992" xr:uid="{00000000-0005-0000-0000-0000AF5F0000}"/>
    <cellStyle name="40% - Accent2 4 3 2 4 2 3" xfId="15041" xr:uid="{00000000-0005-0000-0000-0000B05F0000}"/>
    <cellStyle name="40% - Accent2 4 3 2 4 2 3 2" xfId="37643" xr:uid="{00000000-0005-0000-0000-0000B15F0000}"/>
    <cellStyle name="40% - Accent2 4 3 2 4 2 4" xfId="26342" xr:uid="{00000000-0005-0000-0000-0000B25F0000}"/>
    <cellStyle name="40% - Accent2 4 3 2 4 3" xfId="5428" xr:uid="{00000000-0005-0000-0000-0000B35F0000}"/>
    <cellStyle name="40% - Accent2 4 3 2 4 3 2" xfId="11078" xr:uid="{00000000-0005-0000-0000-0000B45F0000}"/>
    <cellStyle name="40% - Accent2 4 3 2 4 3 2 2" xfId="22379" xr:uid="{00000000-0005-0000-0000-0000B55F0000}"/>
    <cellStyle name="40% - Accent2 4 3 2 4 3 2 2 2" xfId="44981" xr:uid="{00000000-0005-0000-0000-0000B65F0000}"/>
    <cellStyle name="40% - Accent2 4 3 2 4 3 2 3" xfId="33680" xr:uid="{00000000-0005-0000-0000-0000B75F0000}"/>
    <cellStyle name="40% - Accent2 4 3 2 4 3 3" xfId="16729" xr:uid="{00000000-0005-0000-0000-0000B85F0000}"/>
    <cellStyle name="40% - Accent2 4 3 2 4 3 3 2" xfId="39331" xr:uid="{00000000-0005-0000-0000-0000B95F0000}"/>
    <cellStyle name="40% - Accent2 4 3 2 4 3 4" xfId="28030" xr:uid="{00000000-0005-0000-0000-0000BA5F0000}"/>
    <cellStyle name="40% - Accent2 4 3 2 4 4" xfId="7673" xr:uid="{00000000-0005-0000-0000-0000BB5F0000}"/>
    <cellStyle name="40% - Accent2 4 3 2 4 4 2" xfId="18974" xr:uid="{00000000-0005-0000-0000-0000BC5F0000}"/>
    <cellStyle name="40% - Accent2 4 3 2 4 4 2 2" xfId="41576" xr:uid="{00000000-0005-0000-0000-0000BD5F0000}"/>
    <cellStyle name="40% - Accent2 4 3 2 4 4 3" xfId="30275" xr:uid="{00000000-0005-0000-0000-0000BE5F0000}"/>
    <cellStyle name="40% - Accent2 4 3 2 4 5" xfId="13324" xr:uid="{00000000-0005-0000-0000-0000BF5F0000}"/>
    <cellStyle name="40% - Accent2 4 3 2 4 5 2" xfId="35926" xr:uid="{00000000-0005-0000-0000-0000C05F0000}"/>
    <cellStyle name="40% - Accent2 4 3 2 4 6" xfId="24625" xr:uid="{00000000-0005-0000-0000-0000C15F0000}"/>
    <cellStyle name="40% - Accent2 4 3 2 5" xfId="2409" xr:uid="{00000000-0005-0000-0000-0000C25F0000}"/>
    <cellStyle name="40% - Accent2 4 3 2 5 2" xfId="8245" xr:uid="{00000000-0005-0000-0000-0000C35F0000}"/>
    <cellStyle name="40% - Accent2 4 3 2 5 2 2" xfId="19546" xr:uid="{00000000-0005-0000-0000-0000C45F0000}"/>
    <cellStyle name="40% - Accent2 4 3 2 5 2 2 2" xfId="42148" xr:uid="{00000000-0005-0000-0000-0000C55F0000}"/>
    <cellStyle name="40% - Accent2 4 3 2 5 2 3" xfId="30847" xr:uid="{00000000-0005-0000-0000-0000C65F0000}"/>
    <cellStyle name="40% - Accent2 4 3 2 5 3" xfId="13896" xr:uid="{00000000-0005-0000-0000-0000C75F0000}"/>
    <cellStyle name="40% - Accent2 4 3 2 5 3 2" xfId="36498" xr:uid="{00000000-0005-0000-0000-0000C85F0000}"/>
    <cellStyle name="40% - Accent2 4 3 2 5 4" xfId="25197" xr:uid="{00000000-0005-0000-0000-0000C95F0000}"/>
    <cellStyle name="40% - Accent2 4 3 2 6" xfId="4194" xr:uid="{00000000-0005-0000-0000-0000CA5F0000}"/>
    <cellStyle name="40% - Accent2 4 3 2 6 2" xfId="9844" xr:uid="{00000000-0005-0000-0000-0000CB5F0000}"/>
    <cellStyle name="40% - Accent2 4 3 2 6 2 2" xfId="21145" xr:uid="{00000000-0005-0000-0000-0000CC5F0000}"/>
    <cellStyle name="40% - Accent2 4 3 2 6 2 2 2" xfId="43747" xr:uid="{00000000-0005-0000-0000-0000CD5F0000}"/>
    <cellStyle name="40% - Accent2 4 3 2 6 2 3" xfId="32446" xr:uid="{00000000-0005-0000-0000-0000CE5F0000}"/>
    <cellStyle name="40% - Accent2 4 3 2 6 3" xfId="15495" xr:uid="{00000000-0005-0000-0000-0000CF5F0000}"/>
    <cellStyle name="40% - Accent2 4 3 2 6 3 2" xfId="38097" xr:uid="{00000000-0005-0000-0000-0000D05F0000}"/>
    <cellStyle name="40% - Accent2 4 3 2 6 4" xfId="26796" xr:uid="{00000000-0005-0000-0000-0000D15F0000}"/>
    <cellStyle name="40% - Accent2 4 3 2 7" xfId="6674" xr:uid="{00000000-0005-0000-0000-0000D25F0000}"/>
    <cellStyle name="40% - Accent2 4 3 2 7 2" xfId="17975" xr:uid="{00000000-0005-0000-0000-0000D35F0000}"/>
    <cellStyle name="40% - Accent2 4 3 2 7 2 2" xfId="40577" xr:uid="{00000000-0005-0000-0000-0000D45F0000}"/>
    <cellStyle name="40% - Accent2 4 3 2 7 3" xfId="29276" xr:uid="{00000000-0005-0000-0000-0000D55F0000}"/>
    <cellStyle name="40% - Accent2 4 3 2 8" xfId="12325" xr:uid="{00000000-0005-0000-0000-0000D65F0000}"/>
    <cellStyle name="40% - Accent2 4 3 2 8 2" xfId="34927" xr:uid="{00000000-0005-0000-0000-0000D75F0000}"/>
    <cellStyle name="40% - Accent2 4 3 2 9" xfId="23626" xr:uid="{00000000-0005-0000-0000-0000D85F0000}"/>
    <cellStyle name="40% - Accent2 4 3 3" xfId="1181" xr:uid="{00000000-0005-0000-0000-0000D95F0000}"/>
    <cellStyle name="40% - Accent2 4 3 3 2" xfId="1819" xr:uid="{00000000-0005-0000-0000-0000DA5F0000}"/>
    <cellStyle name="40% - Accent2 4 3 3 2 2" xfId="3249" xr:uid="{00000000-0005-0000-0000-0000DB5F0000}"/>
    <cellStyle name="40% - Accent2 4 3 3 2 2 2" xfId="6221" xr:uid="{00000000-0005-0000-0000-0000DC5F0000}"/>
    <cellStyle name="40% - Accent2 4 3 3 2 2 2 2" xfId="11871" xr:uid="{00000000-0005-0000-0000-0000DD5F0000}"/>
    <cellStyle name="40% - Accent2 4 3 3 2 2 2 2 2" xfId="23172" xr:uid="{00000000-0005-0000-0000-0000DE5F0000}"/>
    <cellStyle name="40% - Accent2 4 3 3 2 2 2 2 2 2" xfId="45774" xr:uid="{00000000-0005-0000-0000-0000DF5F0000}"/>
    <cellStyle name="40% - Accent2 4 3 3 2 2 2 2 3" xfId="34473" xr:uid="{00000000-0005-0000-0000-0000E05F0000}"/>
    <cellStyle name="40% - Accent2 4 3 3 2 2 2 3" xfId="17522" xr:uid="{00000000-0005-0000-0000-0000E15F0000}"/>
    <cellStyle name="40% - Accent2 4 3 3 2 2 2 3 2" xfId="40124" xr:uid="{00000000-0005-0000-0000-0000E25F0000}"/>
    <cellStyle name="40% - Accent2 4 3 3 2 2 2 4" xfId="28823" xr:uid="{00000000-0005-0000-0000-0000E35F0000}"/>
    <cellStyle name="40% - Accent2 4 3 3 2 2 3" xfId="9039" xr:uid="{00000000-0005-0000-0000-0000E45F0000}"/>
    <cellStyle name="40% - Accent2 4 3 3 2 2 3 2" xfId="20340" xr:uid="{00000000-0005-0000-0000-0000E55F0000}"/>
    <cellStyle name="40% - Accent2 4 3 3 2 2 3 2 2" xfId="42942" xr:uid="{00000000-0005-0000-0000-0000E65F0000}"/>
    <cellStyle name="40% - Accent2 4 3 3 2 2 3 3" xfId="31641" xr:uid="{00000000-0005-0000-0000-0000E75F0000}"/>
    <cellStyle name="40% - Accent2 4 3 3 2 2 4" xfId="14690" xr:uid="{00000000-0005-0000-0000-0000E85F0000}"/>
    <cellStyle name="40% - Accent2 4 3 3 2 2 4 2" xfId="37292" xr:uid="{00000000-0005-0000-0000-0000E95F0000}"/>
    <cellStyle name="40% - Accent2 4 3 3 2 2 5" xfId="25991" xr:uid="{00000000-0005-0000-0000-0000EA5F0000}"/>
    <cellStyle name="40% - Accent2 4 3 3 2 3" xfId="4987" xr:uid="{00000000-0005-0000-0000-0000EB5F0000}"/>
    <cellStyle name="40% - Accent2 4 3 3 2 3 2" xfId="10637" xr:uid="{00000000-0005-0000-0000-0000EC5F0000}"/>
    <cellStyle name="40% - Accent2 4 3 3 2 3 2 2" xfId="21938" xr:uid="{00000000-0005-0000-0000-0000ED5F0000}"/>
    <cellStyle name="40% - Accent2 4 3 3 2 3 2 2 2" xfId="44540" xr:uid="{00000000-0005-0000-0000-0000EE5F0000}"/>
    <cellStyle name="40% - Accent2 4 3 3 2 3 2 3" xfId="33239" xr:uid="{00000000-0005-0000-0000-0000EF5F0000}"/>
    <cellStyle name="40% - Accent2 4 3 3 2 3 3" xfId="16288" xr:uid="{00000000-0005-0000-0000-0000F05F0000}"/>
    <cellStyle name="40% - Accent2 4 3 3 2 3 3 2" xfId="38890" xr:uid="{00000000-0005-0000-0000-0000F15F0000}"/>
    <cellStyle name="40% - Accent2 4 3 3 2 3 4" xfId="27589" xr:uid="{00000000-0005-0000-0000-0000F25F0000}"/>
    <cellStyle name="40% - Accent2 4 3 3 2 4" xfId="7675" xr:uid="{00000000-0005-0000-0000-0000F35F0000}"/>
    <cellStyle name="40% - Accent2 4 3 3 2 4 2" xfId="18976" xr:uid="{00000000-0005-0000-0000-0000F45F0000}"/>
    <cellStyle name="40% - Accent2 4 3 3 2 4 2 2" xfId="41578" xr:uid="{00000000-0005-0000-0000-0000F55F0000}"/>
    <cellStyle name="40% - Accent2 4 3 3 2 4 3" xfId="30277" xr:uid="{00000000-0005-0000-0000-0000F65F0000}"/>
    <cellStyle name="40% - Accent2 4 3 3 2 5" xfId="13326" xr:uid="{00000000-0005-0000-0000-0000F75F0000}"/>
    <cellStyle name="40% - Accent2 4 3 3 2 5 2" xfId="35928" xr:uid="{00000000-0005-0000-0000-0000F85F0000}"/>
    <cellStyle name="40% - Accent2 4 3 3 2 6" xfId="24627" xr:uid="{00000000-0005-0000-0000-0000F95F0000}"/>
    <cellStyle name="40% - Accent2 4 3 3 3" xfId="2578" xr:uid="{00000000-0005-0000-0000-0000FA5F0000}"/>
    <cellStyle name="40% - Accent2 4 3 3 3 2" xfId="5597" xr:uid="{00000000-0005-0000-0000-0000FB5F0000}"/>
    <cellStyle name="40% - Accent2 4 3 3 3 2 2" xfId="11247" xr:uid="{00000000-0005-0000-0000-0000FC5F0000}"/>
    <cellStyle name="40% - Accent2 4 3 3 3 2 2 2" xfId="22548" xr:uid="{00000000-0005-0000-0000-0000FD5F0000}"/>
    <cellStyle name="40% - Accent2 4 3 3 3 2 2 2 2" xfId="45150" xr:uid="{00000000-0005-0000-0000-0000FE5F0000}"/>
    <cellStyle name="40% - Accent2 4 3 3 3 2 2 3" xfId="33849" xr:uid="{00000000-0005-0000-0000-0000FF5F0000}"/>
    <cellStyle name="40% - Accent2 4 3 3 3 2 3" xfId="16898" xr:uid="{00000000-0005-0000-0000-000000600000}"/>
    <cellStyle name="40% - Accent2 4 3 3 3 2 3 2" xfId="39500" xr:uid="{00000000-0005-0000-0000-000001600000}"/>
    <cellStyle name="40% - Accent2 4 3 3 3 2 4" xfId="28199" xr:uid="{00000000-0005-0000-0000-000002600000}"/>
    <cellStyle name="40% - Accent2 4 3 3 3 3" xfId="8414" xr:uid="{00000000-0005-0000-0000-000003600000}"/>
    <cellStyle name="40% - Accent2 4 3 3 3 3 2" xfId="19715" xr:uid="{00000000-0005-0000-0000-000004600000}"/>
    <cellStyle name="40% - Accent2 4 3 3 3 3 2 2" xfId="42317" xr:uid="{00000000-0005-0000-0000-000005600000}"/>
    <cellStyle name="40% - Accent2 4 3 3 3 3 3" xfId="31016" xr:uid="{00000000-0005-0000-0000-000006600000}"/>
    <cellStyle name="40% - Accent2 4 3 3 3 4" xfId="14065" xr:uid="{00000000-0005-0000-0000-000007600000}"/>
    <cellStyle name="40% - Accent2 4 3 3 3 4 2" xfId="36667" xr:uid="{00000000-0005-0000-0000-000008600000}"/>
    <cellStyle name="40% - Accent2 4 3 3 3 5" xfId="25366" xr:uid="{00000000-0005-0000-0000-000009600000}"/>
    <cellStyle name="40% - Accent2 4 3 3 4" xfId="4363" xr:uid="{00000000-0005-0000-0000-00000A600000}"/>
    <cellStyle name="40% - Accent2 4 3 3 4 2" xfId="10013" xr:uid="{00000000-0005-0000-0000-00000B600000}"/>
    <cellStyle name="40% - Accent2 4 3 3 4 2 2" xfId="21314" xr:uid="{00000000-0005-0000-0000-00000C600000}"/>
    <cellStyle name="40% - Accent2 4 3 3 4 2 2 2" xfId="43916" xr:uid="{00000000-0005-0000-0000-00000D600000}"/>
    <cellStyle name="40% - Accent2 4 3 3 4 2 3" xfId="32615" xr:uid="{00000000-0005-0000-0000-00000E600000}"/>
    <cellStyle name="40% - Accent2 4 3 3 4 3" xfId="15664" xr:uid="{00000000-0005-0000-0000-00000F600000}"/>
    <cellStyle name="40% - Accent2 4 3 3 4 3 2" xfId="38266" xr:uid="{00000000-0005-0000-0000-000010600000}"/>
    <cellStyle name="40% - Accent2 4 3 3 4 4" xfId="26965" xr:uid="{00000000-0005-0000-0000-000011600000}"/>
    <cellStyle name="40% - Accent2 4 3 3 5" xfId="7160" xr:uid="{00000000-0005-0000-0000-000012600000}"/>
    <cellStyle name="40% - Accent2 4 3 3 5 2" xfId="18461" xr:uid="{00000000-0005-0000-0000-000013600000}"/>
    <cellStyle name="40% - Accent2 4 3 3 5 2 2" xfId="41063" xr:uid="{00000000-0005-0000-0000-000014600000}"/>
    <cellStyle name="40% - Accent2 4 3 3 5 3" xfId="29762" xr:uid="{00000000-0005-0000-0000-000015600000}"/>
    <cellStyle name="40% - Accent2 4 3 3 6" xfId="12811" xr:uid="{00000000-0005-0000-0000-000016600000}"/>
    <cellStyle name="40% - Accent2 4 3 3 6 2" xfId="35413" xr:uid="{00000000-0005-0000-0000-000017600000}"/>
    <cellStyle name="40% - Accent2 4 3 3 7" xfId="24112" xr:uid="{00000000-0005-0000-0000-000018600000}"/>
    <cellStyle name="40% - Accent2 4 3 4" xfId="872" xr:uid="{00000000-0005-0000-0000-000019600000}"/>
    <cellStyle name="40% - Accent2 4 3 4 2" xfId="2942" xr:uid="{00000000-0005-0000-0000-00001A600000}"/>
    <cellStyle name="40% - Accent2 4 3 4 2 2" xfId="5914" xr:uid="{00000000-0005-0000-0000-00001B600000}"/>
    <cellStyle name="40% - Accent2 4 3 4 2 2 2" xfId="11564" xr:uid="{00000000-0005-0000-0000-00001C600000}"/>
    <cellStyle name="40% - Accent2 4 3 4 2 2 2 2" xfId="22865" xr:uid="{00000000-0005-0000-0000-00001D600000}"/>
    <cellStyle name="40% - Accent2 4 3 4 2 2 2 2 2" xfId="45467" xr:uid="{00000000-0005-0000-0000-00001E600000}"/>
    <cellStyle name="40% - Accent2 4 3 4 2 2 2 3" xfId="34166" xr:uid="{00000000-0005-0000-0000-00001F600000}"/>
    <cellStyle name="40% - Accent2 4 3 4 2 2 3" xfId="17215" xr:uid="{00000000-0005-0000-0000-000020600000}"/>
    <cellStyle name="40% - Accent2 4 3 4 2 2 3 2" xfId="39817" xr:uid="{00000000-0005-0000-0000-000021600000}"/>
    <cellStyle name="40% - Accent2 4 3 4 2 2 4" xfId="28516" xr:uid="{00000000-0005-0000-0000-000022600000}"/>
    <cellStyle name="40% - Accent2 4 3 4 2 3" xfId="8732" xr:uid="{00000000-0005-0000-0000-000023600000}"/>
    <cellStyle name="40% - Accent2 4 3 4 2 3 2" xfId="20033" xr:uid="{00000000-0005-0000-0000-000024600000}"/>
    <cellStyle name="40% - Accent2 4 3 4 2 3 2 2" xfId="42635" xr:uid="{00000000-0005-0000-0000-000025600000}"/>
    <cellStyle name="40% - Accent2 4 3 4 2 3 3" xfId="31334" xr:uid="{00000000-0005-0000-0000-000026600000}"/>
    <cellStyle name="40% - Accent2 4 3 4 2 4" xfId="14383" xr:uid="{00000000-0005-0000-0000-000027600000}"/>
    <cellStyle name="40% - Accent2 4 3 4 2 4 2" xfId="36985" xr:uid="{00000000-0005-0000-0000-000028600000}"/>
    <cellStyle name="40% - Accent2 4 3 4 2 5" xfId="25684" xr:uid="{00000000-0005-0000-0000-000029600000}"/>
    <cellStyle name="40% - Accent2 4 3 4 3" xfId="4680" xr:uid="{00000000-0005-0000-0000-00002A600000}"/>
    <cellStyle name="40% - Accent2 4 3 4 3 2" xfId="10330" xr:uid="{00000000-0005-0000-0000-00002B600000}"/>
    <cellStyle name="40% - Accent2 4 3 4 3 2 2" xfId="21631" xr:uid="{00000000-0005-0000-0000-00002C600000}"/>
    <cellStyle name="40% - Accent2 4 3 4 3 2 2 2" xfId="44233" xr:uid="{00000000-0005-0000-0000-00002D600000}"/>
    <cellStyle name="40% - Accent2 4 3 4 3 2 3" xfId="32932" xr:uid="{00000000-0005-0000-0000-00002E600000}"/>
    <cellStyle name="40% - Accent2 4 3 4 3 3" xfId="15981" xr:uid="{00000000-0005-0000-0000-00002F600000}"/>
    <cellStyle name="40% - Accent2 4 3 4 3 3 2" xfId="38583" xr:uid="{00000000-0005-0000-0000-000030600000}"/>
    <cellStyle name="40% - Accent2 4 3 4 3 4" xfId="27282" xr:uid="{00000000-0005-0000-0000-000031600000}"/>
    <cellStyle name="40% - Accent2 4 3 4 4" xfId="6867" xr:uid="{00000000-0005-0000-0000-000032600000}"/>
    <cellStyle name="40% - Accent2 4 3 4 4 2" xfId="18168" xr:uid="{00000000-0005-0000-0000-000033600000}"/>
    <cellStyle name="40% - Accent2 4 3 4 4 2 2" xfId="40770" xr:uid="{00000000-0005-0000-0000-000034600000}"/>
    <cellStyle name="40% - Accent2 4 3 4 4 3" xfId="29469" xr:uid="{00000000-0005-0000-0000-000035600000}"/>
    <cellStyle name="40% - Accent2 4 3 4 5" xfId="12518" xr:uid="{00000000-0005-0000-0000-000036600000}"/>
    <cellStyle name="40% - Accent2 4 3 4 5 2" xfId="35120" xr:uid="{00000000-0005-0000-0000-000037600000}"/>
    <cellStyle name="40% - Accent2 4 3 4 6" xfId="23819" xr:uid="{00000000-0005-0000-0000-000038600000}"/>
    <cellStyle name="40% - Accent2 4 3 5" xfId="1816" xr:uid="{00000000-0005-0000-0000-000039600000}"/>
    <cellStyle name="40% - Accent2 4 3 5 2" xfId="3679" xr:uid="{00000000-0005-0000-0000-00003A600000}"/>
    <cellStyle name="40% - Accent2 4 3 5 2 2" xfId="9389" xr:uid="{00000000-0005-0000-0000-00003B600000}"/>
    <cellStyle name="40% - Accent2 4 3 5 2 2 2" xfId="20690" xr:uid="{00000000-0005-0000-0000-00003C600000}"/>
    <cellStyle name="40% - Accent2 4 3 5 2 2 2 2" xfId="43292" xr:uid="{00000000-0005-0000-0000-00003D600000}"/>
    <cellStyle name="40% - Accent2 4 3 5 2 2 3" xfId="31991" xr:uid="{00000000-0005-0000-0000-00003E600000}"/>
    <cellStyle name="40% - Accent2 4 3 5 2 3" xfId="15040" xr:uid="{00000000-0005-0000-0000-00003F600000}"/>
    <cellStyle name="40% - Accent2 4 3 5 2 3 2" xfId="37642" xr:uid="{00000000-0005-0000-0000-000040600000}"/>
    <cellStyle name="40% - Accent2 4 3 5 2 4" xfId="26341" xr:uid="{00000000-0005-0000-0000-000041600000}"/>
    <cellStyle name="40% - Accent2 4 3 5 3" xfId="5290" xr:uid="{00000000-0005-0000-0000-000042600000}"/>
    <cellStyle name="40% - Accent2 4 3 5 3 2" xfId="10940" xr:uid="{00000000-0005-0000-0000-000043600000}"/>
    <cellStyle name="40% - Accent2 4 3 5 3 2 2" xfId="22241" xr:uid="{00000000-0005-0000-0000-000044600000}"/>
    <cellStyle name="40% - Accent2 4 3 5 3 2 2 2" xfId="44843" xr:uid="{00000000-0005-0000-0000-000045600000}"/>
    <cellStyle name="40% - Accent2 4 3 5 3 2 3" xfId="33542" xr:uid="{00000000-0005-0000-0000-000046600000}"/>
    <cellStyle name="40% - Accent2 4 3 5 3 3" xfId="16591" xr:uid="{00000000-0005-0000-0000-000047600000}"/>
    <cellStyle name="40% - Accent2 4 3 5 3 3 2" xfId="39193" xr:uid="{00000000-0005-0000-0000-000048600000}"/>
    <cellStyle name="40% - Accent2 4 3 5 3 4" xfId="27892" xr:uid="{00000000-0005-0000-0000-000049600000}"/>
    <cellStyle name="40% - Accent2 4 3 5 4" xfId="7672" xr:uid="{00000000-0005-0000-0000-00004A600000}"/>
    <cellStyle name="40% - Accent2 4 3 5 4 2" xfId="18973" xr:uid="{00000000-0005-0000-0000-00004B600000}"/>
    <cellStyle name="40% - Accent2 4 3 5 4 2 2" xfId="41575" xr:uid="{00000000-0005-0000-0000-00004C600000}"/>
    <cellStyle name="40% - Accent2 4 3 5 4 3" xfId="30274" xr:uid="{00000000-0005-0000-0000-00004D600000}"/>
    <cellStyle name="40% - Accent2 4 3 5 5" xfId="13323" xr:uid="{00000000-0005-0000-0000-00004E600000}"/>
    <cellStyle name="40% - Accent2 4 3 5 5 2" xfId="35925" xr:uid="{00000000-0005-0000-0000-00004F600000}"/>
    <cellStyle name="40% - Accent2 4 3 5 6" xfId="24624" xr:uid="{00000000-0005-0000-0000-000050600000}"/>
    <cellStyle name="40% - Accent2 4 3 6" xfId="2269" xr:uid="{00000000-0005-0000-0000-000051600000}"/>
    <cellStyle name="40% - Accent2 4 3 6 2" xfId="8105" xr:uid="{00000000-0005-0000-0000-000052600000}"/>
    <cellStyle name="40% - Accent2 4 3 6 2 2" xfId="19406" xr:uid="{00000000-0005-0000-0000-000053600000}"/>
    <cellStyle name="40% - Accent2 4 3 6 2 2 2" xfId="42008" xr:uid="{00000000-0005-0000-0000-000054600000}"/>
    <cellStyle name="40% - Accent2 4 3 6 2 3" xfId="30707" xr:uid="{00000000-0005-0000-0000-000055600000}"/>
    <cellStyle name="40% - Accent2 4 3 6 3" xfId="13756" xr:uid="{00000000-0005-0000-0000-000056600000}"/>
    <cellStyle name="40% - Accent2 4 3 6 3 2" xfId="36358" xr:uid="{00000000-0005-0000-0000-000057600000}"/>
    <cellStyle name="40% - Accent2 4 3 6 4" xfId="25057" xr:uid="{00000000-0005-0000-0000-000058600000}"/>
    <cellStyle name="40% - Accent2 4 3 7" xfId="4056" xr:uid="{00000000-0005-0000-0000-000059600000}"/>
    <cellStyle name="40% - Accent2 4 3 7 2" xfId="9706" xr:uid="{00000000-0005-0000-0000-00005A600000}"/>
    <cellStyle name="40% - Accent2 4 3 7 2 2" xfId="21007" xr:uid="{00000000-0005-0000-0000-00005B600000}"/>
    <cellStyle name="40% - Accent2 4 3 7 2 2 2" xfId="43609" xr:uid="{00000000-0005-0000-0000-00005C600000}"/>
    <cellStyle name="40% - Accent2 4 3 7 2 3" xfId="32308" xr:uid="{00000000-0005-0000-0000-00005D600000}"/>
    <cellStyle name="40% - Accent2 4 3 7 3" xfId="15357" xr:uid="{00000000-0005-0000-0000-00005E600000}"/>
    <cellStyle name="40% - Accent2 4 3 7 3 2" xfId="37959" xr:uid="{00000000-0005-0000-0000-00005F600000}"/>
    <cellStyle name="40% - Accent2 4 3 7 4" xfId="26658" xr:uid="{00000000-0005-0000-0000-000060600000}"/>
    <cellStyle name="40% - Accent2 4 3 8" xfId="6507" xr:uid="{00000000-0005-0000-0000-000061600000}"/>
    <cellStyle name="40% - Accent2 4 3 8 2" xfId="17808" xr:uid="{00000000-0005-0000-0000-000062600000}"/>
    <cellStyle name="40% - Accent2 4 3 8 2 2" xfId="40410" xr:uid="{00000000-0005-0000-0000-000063600000}"/>
    <cellStyle name="40% - Accent2 4 3 8 3" xfId="29109" xr:uid="{00000000-0005-0000-0000-000064600000}"/>
    <cellStyle name="40% - Accent2 4 3 9" xfId="12158" xr:uid="{00000000-0005-0000-0000-000065600000}"/>
    <cellStyle name="40% - Accent2 4 3 9 2" xfId="34760" xr:uid="{00000000-0005-0000-0000-000066600000}"/>
    <cellStyle name="40% - Accent2 4 4" xfId="511" xr:uid="{00000000-0005-0000-0000-000067600000}"/>
    <cellStyle name="40% - Accent2 4 4 2" xfId="1085" xr:uid="{00000000-0005-0000-0000-000068600000}"/>
    <cellStyle name="40% - Accent2 4 4 2 2" xfId="1821" xr:uid="{00000000-0005-0000-0000-000069600000}"/>
    <cellStyle name="40% - Accent2 4 4 2 2 2" xfId="3153" xr:uid="{00000000-0005-0000-0000-00006A600000}"/>
    <cellStyle name="40% - Accent2 4 4 2 2 2 2" xfId="6125" xr:uid="{00000000-0005-0000-0000-00006B600000}"/>
    <cellStyle name="40% - Accent2 4 4 2 2 2 2 2" xfId="11775" xr:uid="{00000000-0005-0000-0000-00006C600000}"/>
    <cellStyle name="40% - Accent2 4 4 2 2 2 2 2 2" xfId="23076" xr:uid="{00000000-0005-0000-0000-00006D600000}"/>
    <cellStyle name="40% - Accent2 4 4 2 2 2 2 2 2 2" xfId="45678" xr:uid="{00000000-0005-0000-0000-00006E600000}"/>
    <cellStyle name="40% - Accent2 4 4 2 2 2 2 2 3" xfId="34377" xr:uid="{00000000-0005-0000-0000-00006F600000}"/>
    <cellStyle name="40% - Accent2 4 4 2 2 2 2 3" xfId="17426" xr:uid="{00000000-0005-0000-0000-000070600000}"/>
    <cellStyle name="40% - Accent2 4 4 2 2 2 2 3 2" xfId="40028" xr:uid="{00000000-0005-0000-0000-000071600000}"/>
    <cellStyle name="40% - Accent2 4 4 2 2 2 2 4" xfId="28727" xr:uid="{00000000-0005-0000-0000-000072600000}"/>
    <cellStyle name="40% - Accent2 4 4 2 2 2 3" xfId="8943" xr:uid="{00000000-0005-0000-0000-000073600000}"/>
    <cellStyle name="40% - Accent2 4 4 2 2 2 3 2" xfId="20244" xr:uid="{00000000-0005-0000-0000-000074600000}"/>
    <cellStyle name="40% - Accent2 4 4 2 2 2 3 2 2" xfId="42846" xr:uid="{00000000-0005-0000-0000-000075600000}"/>
    <cellStyle name="40% - Accent2 4 4 2 2 2 3 3" xfId="31545" xr:uid="{00000000-0005-0000-0000-000076600000}"/>
    <cellStyle name="40% - Accent2 4 4 2 2 2 4" xfId="14594" xr:uid="{00000000-0005-0000-0000-000077600000}"/>
    <cellStyle name="40% - Accent2 4 4 2 2 2 4 2" xfId="37196" xr:uid="{00000000-0005-0000-0000-000078600000}"/>
    <cellStyle name="40% - Accent2 4 4 2 2 2 5" xfId="25895" xr:uid="{00000000-0005-0000-0000-000079600000}"/>
    <cellStyle name="40% - Accent2 4 4 2 2 3" xfId="4891" xr:uid="{00000000-0005-0000-0000-00007A600000}"/>
    <cellStyle name="40% - Accent2 4 4 2 2 3 2" xfId="10541" xr:uid="{00000000-0005-0000-0000-00007B600000}"/>
    <cellStyle name="40% - Accent2 4 4 2 2 3 2 2" xfId="21842" xr:uid="{00000000-0005-0000-0000-00007C600000}"/>
    <cellStyle name="40% - Accent2 4 4 2 2 3 2 2 2" xfId="44444" xr:uid="{00000000-0005-0000-0000-00007D600000}"/>
    <cellStyle name="40% - Accent2 4 4 2 2 3 2 3" xfId="33143" xr:uid="{00000000-0005-0000-0000-00007E600000}"/>
    <cellStyle name="40% - Accent2 4 4 2 2 3 3" xfId="16192" xr:uid="{00000000-0005-0000-0000-00007F600000}"/>
    <cellStyle name="40% - Accent2 4 4 2 2 3 3 2" xfId="38794" xr:uid="{00000000-0005-0000-0000-000080600000}"/>
    <cellStyle name="40% - Accent2 4 4 2 2 3 4" xfId="27493" xr:uid="{00000000-0005-0000-0000-000081600000}"/>
    <cellStyle name="40% - Accent2 4 4 2 2 4" xfId="7677" xr:uid="{00000000-0005-0000-0000-000082600000}"/>
    <cellStyle name="40% - Accent2 4 4 2 2 4 2" xfId="18978" xr:uid="{00000000-0005-0000-0000-000083600000}"/>
    <cellStyle name="40% - Accent2 4 4 2 2 4 2 2" xfId="41580" xr:uid="{00000000-0005-0000-0000-000084600000}"/>
    <cellStyle name="40% - Accent2 4 4 2 2 4 3" xfId="30279" xr:uid="{00000000-0005-0000-0000-000085600000}"/>
    <cellStyle name="40% - Accent2 4 4 2 2 5" xfId="13328" xr:uid="{00000000-0005-0000-0000-000086600000}"/>
    <cellStyle name="40% - Accent2 4 4 2 2 5 2" xfId="35930" xr:uid="{00000000-0005-0000-0000-000087600000}"/>
    <cellStyle name="40% - Accent2 4 4 2 2 6" xfId="24629" xr:uid="{00000000-0005-0000-0000-000088600000}"/>
    <cellStyle name="40% - Accent2 4 4 2 3" xfId="2482" xr:uid="{00000000-0005-0000-0000-000089600000}"/>
    <cellStyle name="40% - Accent2 4 4 2 3 2" xfId="5501" xr:uid="{00000000-0005-0000-0000-00008A600000}"/>
    <cellStyle name="40% - Accent2 4 4 2 3 2 2" xfId="11151" xr:uid="{00000000-0005-0000-0000-00008B600000}"/>
    <cellStyle name="40% - Accent2 4 4 2 3 2 2 2" xfId="22452" xr:uid="{00000000-0005-0000-0000-00008C600000}"/>
    <cellStyle name="40% - Accent2 4 4 2 3 2 2 2 2" xfId="45054" xr:uid="{00000000-0005-0000-0000-00008D600000}"/>
    <cellStyle name="40% - Accent2 4 4 2 3 2 2 3" xfId="33753" xr:uid="{00000000-0005-0000-0000-00008E600000}"/>
    <cellStyle name="40% - Accent2 4 4 2 3 2 3" xfId="16802" xr:uid="{00000000-0005-0000-0000-00008F600000}"/>
    <cellStyle name="40% - Accent2 4 4 2 3 2 3 2" xfId="39404" xr:uid="{00000000-0005-0000-0000-000090600000}"/>
    <cellStyle name="40% - Accent2 4 4 2 3 2 4" xfId="28103" xr:uid="{00000000-0005-0000-0000-000091600000}"/>
    <cellStyle name="40% - Accent2 4 4 2 3 3" xfId="8318" xr:uid="{00000000-0005-0000-0000-000092600000}"/>
    <cellStyle name="40% - Accent2 4 4 2 3 3 2" xfId="19619" xr:uid="{00000000-0005-0000-0000-000093600000}"/>
    <cellStyle name="40% - Accent2 4 4 2 3 3 2 2" xfId="42221" xr:uid="{00000000-0005-0000-0000-000094600000}"/>
    <cellStyle name="40% - Accent2 4 4 2 3 3 3" xfId="30920" xr:uid="{00000000-0005-0000-0000-000095600000}"/>
    <cellStyle name="40% - Accent2 4 4 2 3 4" xfId="13969" xr:uid="{00000000-0005-0000-0000-000096600000}"/>
    <cellStyle name="40% - Accent2 4 4 2 3 4 2" xfId="36571" xr:uid="{00000000-0005-0000-0000-000097600000}"/>
    <cellStyle name="40% - Accent2 4 4 2 3 5" xfId="25270" xr:uid="{00000000-0005-0000-0000-000098600000}"/>
    <cellStyle name="40% - Accent2 4 4 2 4" xfId="4267" xr:uid="{00000000-0005-0000-0000-000099600000}"/>
    <cellStyle name="40% - Accent2 4 4 2 4 2" xfId="9917" xr:uid="{00000000-0005-0000-0000-00009A600000}"/>
    <cellStyle name="40% - Accent2 4 4 2 4 2 2" xfId="21218" xr:uid="{00000000-0005-0000-0000-00009B600000}"/>
    <cellStyle name="40% - Accent2 4 4 2 4 2 2 2" xfId="43820" xr:uid="{00000000-0005-0000-0000-00009C600000}"/>
    <cellStyle name="40% - Accent2 4 4 2 4 2 3" xfId="32519" xr:uid="{00000000-0005-0000-0000-00009D600000}"/>
    <cellStyle name="40% - Accent2 4 4 2 4 3" xfId="15568" xr:uid="{00000000-0005-0000-0000-00009E600000}"/>
    <cellStyle name="40% - Accent2 4 4 2 4 3 2" xfId="38170" xr:uid="{00000000-0005-0000-0000-00009F600000}"/>
    <cellStyle name="40% - Accent2 4 4 2 4 4" xfId="26869" xr:uid="{00000000-0005-0000-0000-0000A0600000}"/>
    <cellStyle name="40% - Accent2 4 4 2 5" xfId="7064" xr:uid="{00000000-0005-0000-0000-0000A1600000}"/>
    <cellStyle name="40% - Accent2 4 4 2 5 2" xfId="18365" xr:uid="{00000000-0005-0000-0000-0000A2600000}"/>
    <cellStyle name="40% - Accent2 4 4 2 5 2 2" xfId="40967" xr:uid="{00000000-0005-0000-0000-0000A3600000}"/>
    <cellStyle name="40% - Accent2 4 4 2 5 3" xfId="29666" xr:uid="{00000000-0005-0000-0000-0000A4600000}"/>
    <cellStyle name="40% - Accent2 4 4 2 6" xfId="12715" xr:uid="{00000000-0005-0000-0000-0000A5600000}"/>
    <cellStyle name="40% - Accent2 4 4 2 6 2" xfId="35317" xr:uid="{00000000-0005-0000-0000-0000A6600000}"/>
    <cellStyle name="40% - Accent2 4 4 2 7" xfId="24016" xr:uid="{00000000-0005-0000-0000-0000A7600000}"/>
    <cellStyle name="40% - Accent2 4 4 3" xfId="759" xr:uid="{00000000-0005-0000-0000-0000A8600000}"/>
    <cellStyle name="40% - Accent2 4 4 3 2" xfId="2846" xr:uid="{00000000-0005-0000-0000-0000A9600000}"/>
    <cellStyle name="40% - Accent2 4 4 3 2 2" xfId="5818" xr:uid="{00000000-0005-0000-0000-0000AA600000}"/>
    <cellStyle name="40% - Accent2 4 4 3 2 2 2" xfId="11468" xr:uid="{00000000-0005-0000-0000-0000AB600000}"/>
    <cellStyle name="40% - Accent2 4 4 3 2 2 2 2" xfId="22769" xr:uid="{00000000-0005-0000-0000-0000AC600000}"/>
    <cellStyle name="40% - Accent2 4 4 3 2 2 2 2 2" xfId="45371" xr:uid="{00000000-0005-0000-0000-0000AD600000}"/>
    <cellStyle name="40% - Accent2 4 4 3 2 2 2 3" xfId="34070" xr:uid="{00000000-0005-0000-0000-0000AE600000}"/>
    <cellStyle name="40% - Accent2 4 4 3 2 2 3" xfId="17119" xr:uid="{00000000-0005-0000-0000-0000AF600000}"/>
    <cellStyle name="40% - Accent2 4 4 3 2 2 3 2" xfId="39721" xr:uid="{00000000-0005-0000-0000-0000B0600000}"/>
    <cellStyle name="40% - Accent2 4 4 3 2 2 4" xfId="28420" xr:uid="{00000000-0005-0000-0000-0000B1600000}"/>
    <cellStyle name="40% - Accent2 4 4 3 2 3" xfId="8636" xr:uid="{00000000-0005-0000-0000-0000B2600000}"/>
    <cellStyle name="40% - Accent2 4 4 3 2 3 2" xfId="19937" xr:uid="{00000000-0005-0000-0000-0000B3600000}"/>
    <cellStyle name="40% - Accent2 4 4 3 2 3 2 2" xfId="42539" xr:uid="{00000000-0005-0000-0000-0000B4600000}"/>
    <cellStyle name="40% - Accent2 4 4 3 2 3 3" xfId="31238" xr:uid="{00000000-0005-0000-0000-0000B5600000}"/>
    <cellStyle name="40% - Accent2 4 4 3 2 4" xfId="14287" xr:uid="{00000000-0005-0000-0000-0000B6600000}"/>
    <cellStyle name="40% - Accent2 4 4 3 2 4 2" xfId="36889" xr:uid="{00000000-0005-0000-0000-0000B7600000}"/>
    <cellStyle name="40% - Accent2 4 4 3 2 5" xfId="25588" xr:uid="{00000000-0005-0000-0000-0000B8600000}"/>
    <cellStyle name="40% - Accent2 4 4 3 3" xfId="4584" xr:uid="{00000000-0005-0000-0000-0000B9600000}"/>
    <cellStyle name="40% - Accent2 4 4 3 3 2" xfId="10234" xr:uid="{00000000-0005-0000-0000-0000BA600000}"/>
    <cellStyle name="40% - Accent2 4 4 3 3 2 2" xfId="21535" xr:uid="{00000000-0005-0000-0000-0000BB600000}"/>
    <cellStyle name="40% - Accent2 4 4 3 3 2 2 2" xfId="44137" xr:uid="{00000000-0005-0000-0000-0000BC600000}"/>
    <cellStyle name="40% - Accent2 4 4 3 3 2 3" xfId="32836" xr:uid="{00000000-0005-0000-0000-0000BD600000}"/>
    <cellStyle name="40% - Accent2 4 4 3 3 3" xfId="15885" xr:uid="{00000000-0005-0000-0000-0000BE600000}"/>
    <cellStyle name="40% - Accent2 4 4 3 3 3 2" xfId="38487" xr:uid="{00000000-0005-0000-0000-0000BF600000}"/>
    <cellStyle name="40% - Accent2 4 4 3 3 4" xfId="27186" xr:uid="{00000000-0005-0000-0000-0000C0600000}"/>
    <cellStyle name="40% - Accent2 4 4 3 4" xfId="6767" xr:uid="{00000000-0005-0000-0000-0000C1600000}"/>
    <cellStyle name="40% - Accent2 4 4 3 4 2" xfId="18068" xr:uid="{00000000-0005-0000-0000-0000C2600000}"/>
    <cellStyle name="40% - Accent2 4 4 3 4 2 2" xfId="40670" xr:uid="{00000000-0005-0000-0000-0000C3600000}"/>
    <cellStyle name="40% - Accent2 4 4 3 4 3" xfId="29369" xr:uid="{00000000-0005-0000-0000-0000C4600000}"/>
    <cellStyle name="40% - Accent2 4 4 3 5" xfId="12418" xr:uid="{00000000-0005-0000-0000-0000C5600000}"/>
    <cellStyle name="40% - Accent2 4 4 3 5 2" xfId="35020" xr:uid="{00000000-0005-0000-0000-0000C6600000}"/>
    <cellStyle name="40% - Accent2 4 4 3 6" xfId="23719" xr:uid="{00000000-0005-0000-0000-0000C7600000}"/>
    <cellStyle name="40% - Accent2 4 4 4" xfId="1820" xr:uid="{00000000-0005-0000-0000-0000C8600000}"/>
    <cellStyle name="40% - Accent2 4 4 4 2" xfId="3681" xr:uid="{00000000-0005-0000-0000-0000C9600000}"/>
    <cellStyle name="40% - Accent2 4 4 4 2 2" xfId="9391" xr:uid="{00000000-0005-0000-0000-0000CA600000}"/>
    <cellStyle name="40% - Accent2 4 4 4 2 2 2" xfId="20692" xr:uid="{00000000-0005-0000-0000-0000CB600000}"/>
    <cellStyle name="40% - Accent2 4 4 4 2 2 2 2" xfId="43294" xr:uid="{00000000-0005-0000-0000-0000CC600000}"/>
    <cellStyle name="40% - Accent2 4 4 4 2 2 3" xfId="31993" xr:uid="{00000000-0005-0000-0000-0000CD600000}"/>
    <cellStyle name="40% - Accent2 4 4 4 2 3" xfId="15042" xr:uid="{00000000-0005-0000-0000-0000CE600000}"/>
    <cellStyle name="40% - Accent2 4 4 4 2 3 2" xfId="37644" xr:uid="{00000000-0005-0000-0000-0000CF600000}"/>
    <cellStyle name="40% - Accent2 4 4 4 2 4" xfId="26343" xr:uid="{00000000-0005-0000-0000-0000D0600000}"/>
    <cellStyle name="40% - Accent2 4 4 4 3" xfId="5194" xr:uid="{00000000-0005-0000-0000-0000D1600000}"/>
    <cellStyle name="40% - Accent2 4 4 4 3 2" xfId="10844" xr:uid="{00000000-0005-0000-0000-0000D2600000}"/>
    <cellStyle name="40% - Accent2 4 4 4 3 2 2" xfId="22145" xr:uid="{00000000-0005-0000-0000-0000D3600000}"/>
    <cellStyle name="40% - Accent2 4 4 4 3 2 2 2" xfId="44747" xr:uid="{00000000-0005-0000-0000-0000D4600000}"/>
    <cellStyle name="40% - Accent2 4 4 4 3 2 3" xfId="33446" xr:uid="{00000000-0005-0000-0000-0000D5600000}"/>
    <cellStyle name="40% - Accent2 4 4 4 3 3" xfId="16495" xr:uid="{00000000-0005-0000-0000-0000D6600000}"/>
    <cellStyle name="40% - Accent2 4 4 4 3 3 2" xfId="39097" xr:uid="{00000000-0005-0000-0000-0000D7600000}"/>
    <cellStyle name="40% - Accent2 4 4 4 3 4" xfId="27796" xr:uid="{00000000-0005-0000-0000-0000D8600000}"/>
    <cellStyle name="40% - Accent2 4 4 4 4" xfId="7676" xr:uid="{00000000-0005-0000-0000-0000D9600000}"/>
    <cellStyle name="40% - Accent2 4 4 4 4 2" xfId="18977" xr:uid="{00000000-0005-0000-0000-0000DA600000}"/>
    <cellStyle name="40% - Accent2 4 4 4 4 2 2" xfId="41579" xr:uid="{00000000-0005-0000-0000-0000DB600000}"/>
    <cellStyle name="40% - Accent2 4 4 4 4 3" xfId="30278" xr:uid="{00000000-0005-0000-0000-0000DC600000}"/>
    <cellStyle name="40% - Accent2 4 4 4 5" xfId="13327" xr:uid="{00000000-0005-0000-0000-0000DD600000}"/>
    <cellStyle name="40% - Accent2 4 4 4 5 2" xfId="35929" xr:uid="{00000000-0005-0000-0000-0000DE600000}"/>
    <cellStyle name="40% - Accent2 4 4 4 6" xfId="24628" xr:uid="{00000000-0005-0000-0000-0000DF600000}"/>
    <cellStyle name="40% - Accent2 4 4 5" xfId="2166" xr:uid="{00000000-0005-0000-0000-0000E0600000}"/>
    <cellStyle name="40% - Accent2 4 4 5 2" xfId="8008" xr:uid="{00000000-0005-0000-0000-0000E1600000}"/>
    <cellStyle name="40% - Accent2 4 4 5 2 2" xfId="19309" xr:uid="{00000000-0005-0000-0000-0000E2600000}"/>
    <cellStyle name="40% - Accent2 4 4 5 2 2 2" xfId="41911" xr:uid="{00000000-0005-0000-0000-0000E3600000}"/>
    <cellStyle name="40% - Accent2 4 4 5 2 3" xfId="30610" xr:uid="{00000000-0005-0000-0000-0000E4600000}"/>
    <cellStyle name="40% - Accent2 4 4 5 3" xfId="13659" xr:uid="{00000000-0005-0000-0000-0000E5600000}"/>
    <cellStyle name="40% - Accent2 4 4 5 3 2" xfId="36261" xr:uid="{00000000-0005-0000-0000-0000E6600000}"/>
    <cellStyle name="40% - Accent2 4 4 5 4" xfId="24960" xr:uid="{00000000-0005-0000-0000-0000E7600000}"/>
    <cellStyle name="40% - Accent2 4 4 6" xfId="3960" xr:uid="{00000000-0005-0000-0000-0000E8600000}"/>
    <cellStyle name="40% - Accent2 4 4 6 2" xfId="9610" xr:uid="{00000000-0005-0000-0000-0000E9600000}"/>
    <cellStyle name="40% - Accent2 4 4 6 2 2" xfId="20911" xr:uid="{00000000-0005-0000-0000-0000EA600000}"/>
    <cellStyle name="40% - Accent2 4 4 6 2 2 2" xfId="43513" xr:uid="{00000000-0005-0000-0000-0000EB600000}"/>
    <cellStyle name="40% - Accent2 4 4 6 2 3" xfId="32212" xr:uid="{00000000-0005-0000-0000-0000EC600000}"/>
    <cellStyle name="40% - Accent2 4 4 6 3" xfId="15261" xr:uid="{00000000-0005-0000-0000-0000ED600000}"/>
    <cellStyle name="40% - Accent2 4 4 6 3 2" xfId="37863" xr:uid="{00000000-0005-0000-0000-0000EE600000}"/>
    <cellStyle name="40% - Accent2 4 4 6 4" xfId="26562" xr:uid="{00000000-0005-0000-0000-0000EF600000}"/>
    <cellStyle name="40% - Accent2 4 4 7" xfId="6578" xr:uid="{00000000-0005-0000-0000-0000F0600000}"/>
    <cellStyle name="40% - Accent2 4 4 7 2" xfId="17879" xr:uid="{00000000-0005-0000-0000-0000F1600000}"/>
    <cellStyle name="40% - Accent2 4 4 7 2 2" xfId="40481" xr:uid="{00000000-0005-0000-0000-0000F2600000}"/>
    <cellStyle name="40% - Accent2 4 4 7 3" xfId="29180" xr:uid="{00000000-0005-0000-0000-0000F3600000}"/>
    <cellStyle name="40% - Accent2 4 4 8" xfId="12229" xr:uid="{00000000-0005-0000-0000-0000F4600000}"/>
    <cellStyle name="40% - Accent2 4 4 8 2" xfId="34831" xr:uid="{00000000-0005-0000-0000-0000F5600000}"/>
    <cellStyle name="40% - Accent2 4 4 9" xfId="23530" xr:uid="{00000000-0005-0000-0000-0000F6600000}"/>
    <cellStyle name="40% - Accent2 4 5" xfId="455" xr:uid="{00000000-0005-0000-0000-0000F7600000}"/>
    <cellStyle name="40% - Accent2 4 5 2" xfId="1224" xr:uid="{00000000-0005-0000-0000-0000F8600000}"/>
    <cellStyle name="40% - Accent2 4 5 2 2" xfId="1823" xr:uid="{00000000-0005-0000-0000-0000F9600000}"/>
    <cellStyle name="40% - Accent2 4 5 2 2 2" xfId="3293" xr:uid="{00000000-0005-0000-0000-0000FA600000}"/>
    <cellStyle name="40% - Accent2 4 5 2 2 2 2" xfId="6265" xr:uid="{00000000-0005-0000-0000-0000FB600000}"/>
    <cellStyle name="40% - Accent2 4 5 2 2 2 2 2" xfId="11915" xr:uid="{00000000-0005-0000-0000-0000FC600000}"/>
    <cellStyle name="40% - Accent2 4 5 2 2 2 2 2 2" xfId="23216" xr:uid="{00000000-0005-0000-0000-0000FD600000}"/>
    <cellStyle name="40% - Accent2 4 5 2 2 2 2 2 2 2" xfId="45818" xr:uid="{00000000-0005-0000-0000-0000FE600000}"/>
    <cellStyle name="40% - Accent2 4 5 2 2 2 2 2 3" xfId="34517" xr:uid="{00000000-0005-0000-0000-0000FF600000}"/>
    <cellStyle name="40% - Accent2 4 5 2 2 2 2 3" xfId="17566" xr:uid="{00000000-0005-0000-0000-000000610000}"/>
    <cellStyle name="40% - Accent2 4 5 2 2 2 2 3 2" xfId="40168" xr:uid="{00000000-0005-0000-0000-000001610000}"/>
    <cellStyle name="40% - Accent2 4 5 2 2 2 2 4" xfId="28867" xr:uid="{00000000-0005-0000-0000-000002610000}"/>
    <cellStyle name="40% - Accent2 4 5 2 2 2 3" xfId="9083" xr:uid="{00000000-0005-0000-0000-000003610000}"/>
    <cellStyle name="40% - Accent2 4 5 2 2 2 3 2" xfId="20384" xr:uid="{00000000-0005-0000-0000-000004610000}"/>
    <cellStyle name="40% - Accent2 4 5 2 2 2 3 2 2" xfId="42986" xr:uid="{00000000-0005-0000-0000-000005610000}"/>
    <cellStyle name="40% - Accent2 4 5 2 2 2 3 3" xfId="31685" xr:uid="{00000000-0005-0000-0000-000006610000}"/>
    <cellStyle name="40% - Accent2 4 5 2 2 2 4" xfId="14734" xr:uid="{00000000-0005-0000-0000-000007610000}"/>
    <cellStyle name="40% - Accent2 4 5 2 2 2 4 2" xfId="37336" xr:uid="{00000000-0005-0000-0000-000008610000}"/>
    <cellStyle name="40% - Accent2 4 5 2 2 2 5" xfId="26035" xr:uid="{00000000-0005-0000-0000-000009610000}"/>
    <cellStyle name="40% - Accent2 4 5 2 2 3" xfId="5031" xr:uid="{00000000-0005-0000-0000-00000A610000}"/>
    <cellStyle name="40% - Accent2 4 5 2 2 3 2" xfId="10681" xr:uid="{00000000-0005-0000-0000-00000B610000}"/>
    <cellStyle name="40% - Accent2 4 5 2 2 3 2 2" xfId="21982" xr:uid="{00000000-0005-0000-0000-00000C610000}"/>
    <cellStyle name="40% - Accent2 4 5 2 2 3 2 2 2" xfId="44584" xr:uid="{00000000-0005-0000-0000-00000D610000}"/>
    <cellStyle name="40% - Accent2 4 5 2 2 3 2 3" xfId="33283" xr:uid="{00000000-0005-0000-0000-00000E610000}"/>
    <cellStyle name="40% - Accent2 4 5 2 2 3 3" xfId="16332" xr:uid="{00000000-0005-0000-0000-00000F610000}"/>
    <cellStyle name="40% - Accent2 4 5 2 2 3 3 2" xfId="38934" xr:uid="{00000000-0005-0000-0000-000010610000}"/>
    <cellStyle name="40% - Accent2 4 5 2 2 3 4" xfId="27633" xr:uid="{00000000-0005-0000-0000-000011610000}"/>
    <cellStyle name="40% - Accent2 4 5 2 2 4" xfId="7679" xr:uid="{00000000-0005-0000-0000-000012610000}"/>
    <cellStyle name="40% - Accent2 4 5 2 2 4 2" xfId="18980" xr:uid="{00000000-0005-0000-0000-000013610000}"/>
    <cellStyle name="40% - Accent2 4 5 2 2 4 2 2" xfId="41582" xr:uid="{00000000-0005-0000-0000-000014610000}"/>
    <cellStyle name="40% - Accent2 4 5 2 2 4 3" xfId="30281" xr:uid="{00000000-0005-0000-0000-000015610000}"/>
    <cellStyle name="40% - Accent2 4 5 2 2 5" xfId="13330" xr:uid="{00000000-0005-0000-0000-000016610000}"/>
    <cellStyle name="40% - Accent2 4 5 2 2 5 2" xfId="35932" xr:uid="{00000000-0005-0000-0000-000017610000}"/>
    <cellStyle name="40% - Accent2 4 5 2 2 6" xfId="24631" xr:uid="{00000000-0005-0000-0000-000018610000}"/>
    <cellStyle name="40% - Accent2 4 5 2 3" xfId="2622" xr:uid="{00000000-0005-0000-0000-000019610000}"/>
    <cellStyle name="40% - Accent2 4 5 2 3 2" xfId="5641" xr:uid="{00000000-0005-0000-0000-00001A610000}"/>
    <cellStyle name="40% - Accent2 4 5 2 3 2 2" xfId="11291" xr:uid="{00000000-0005-0000-0000-00001B610000}"/>
    <cellStyle name="40% - Accent2 4 5 2 3 2 2 2" xfId="22592" xr:uid="{00000000-0005-0000-0000-00001C610000}"/>
    <cellStyle name="40% - Accent2 4 5 2 3 2 2 2 2" xfId="45194" xr:uid="{00000000-0005-0000-0000-00001D610000}"/>
    <cellStyle name="40% - Accent2 4 5 2 3 2 2 3" xfId="33893" xr:uid="{00000000-0005-0000-0000-00001E610000}"/>
    <cellStyle name="40% - Accent2 4 5 2 3 2 3" xfId="16942" xr:uid="{00000000-0005-0000-0000-00001F610000}"/>
    <cellStyle name="40% - Accent2 4 5 2 3 2 3 2" xfId="39544" xr:uid="{00000000-0005-0000-0000-000020610000}"/>
    <cellStyle name="40% - Accent2 4 5 2 3 2 4" xfId="28243" xr:uid="{00000000-0005-0000-0000-000021610000}"/>
    <cellStyle name="40% - Accent2 4 5 2 3 3" xfId="8458" xr:uid="{00000000-0005-0000-0000-000022610000}"/>
    <cellStyle name="40% - Accent2 4 5 2 3 3 2" xfId="19759" xr:uid="{00000000-0005-0000-0000-000023610000}"/>
    <cellStyle name="40% - Accent2 4 5 2 3 3 2 2" xfId="42361" xr:uid="{00000000-0005-0000-0000-000024610000}"/>
    <cellStyle name="40% - Accent2 4 5 2 3 3 3" xfId="31060" xr:uid="{00000000-0005-0000-0000-000025610000}"/>
    <cellStyle name="40% - Accent2 4 5 2 3 4" xfId="14109" xr:uid="{00000000-0005-0000-0000-000026610000}"/>
    <cellStyle name="40% - Accent2 4 5 2 3 4 2" xfId="36711" xr:uid="{00000000-0005-0000-0000-000027610000}"/>
    <cellStyle name="40% - Accent2 4 5 2 3 5" xfId="25410" xr:uid="{00000000-0005-0000-0000-000028610000}"/>
    <cellStyle name="40% - Accent2 4 5 2 4" xfId="4407" xr:uid="{00000000-0005-0000-0000-000029610000}"/>
    <cellStyle name="40% - Accent2 4 5 2 4 2" xfId="10057" xr:uid="{00000000-0005-0000-0000-00002A610000}"/>
    <cellStyle name="40% - Accent2 4 5 2 4 2 2" xfId="21358" xr:uid="{00000000-0005-0000-0000-00002B610000}"/>
    <cellStyle name="40% - Accent2 4 5 2 4 2 2 2" xfId="43960" xr:uid="{00000000-0005-0000-0000-00002C610000}"/>
    <cellStyle name="40% - Accent2 4 5 2 4 2 3" xfId="32659" xr:uid="{00000000-0005-0000-0000-00002D610000}"/>
    <cellStyle name="40% - Accent2 4 5 2 4 3" xfId="15708" xr:uid="{00000000-0005-0000-0000-00002E610000}"/>
    <cellStyle name="40% - Accent2 4 5 2 4 3 2" xfId="38310" xr:uid="{00000000-0005-0000-0000-00002F610000}"/>
    <cellStyle name="40% - Accent2 4 5 2 4 4" xfId="27009" xr:uid="{00000000-0005-0000-0000-000030610000}"/>
    <cellStyle name="40% - Accent2 4 5 2 5" xfId="7203" xr:uid="{00000000-0005-0000-0000-000031610000}"/>
    <cellStyle name="40% - Accent2 4 5 2 5 2" xfId="18504" xr:uid="{00000000-0005-0000-0000-000032610000}"/>
    <cellStyle name="40% - Accent2 4 5 2 5 2 2" xfId="41106" xr:uid="{00000000-0005-0000-0000-000033610000}"/>
    <cellStyle name="40% - Accent2 4 5 2 5 3" xfId="29805" xr:uid="{00000000-0005-0000-0000-000034610000}"/>
    <cellStyle name="40% - Accent2 4 5 2 6" xfId="12854" xr:uid="{00000000-0005-0000-0000-000035610000}"/>
    <cellStyle name="40% - Accent2 4 5 2 6 2" xfId="35456" xr:uid="{00000000-0005-0000-0000-000036610000}"/>
    <cellStyle name="40% - Accent2 4 5 2 7" xfId="24155" xr:uid="{00000000-0005-0000-0000-000037610000}"/>
    <cellStyle name="40% - Accent2 4 5 3" xfId="922" xr:uid="{00000000-0005-0000-0000-000038610000}"/>
    <cellStyle name="40% - Accent2 4 5 3 2" xfId="2985" xr:uid="{00000000-0005-0000-0000-000039610000}"/>
    <cellStyle name="40% - Accent2 4 5 3 2 2" xfId="5957" xr:uid="{00000000-0005-0000-0000-00003A610000}"/>
    <cellStyle name="40% - Accent2 4 5 3 2 2 2" xfId="11607" xr:uid="{00000000-0005-0000-0000-00003B610000}"/>
    <cellStyle name="40% - Accent2 4 5 3 2 2 2 2" xfId="22908" xr:uid="{00000000-0005-0000-0000-00003C610000}"/>
    <cellStyle name="40% - Accent2 4 5 3 2 2 2 2 2" xfId="45510" xr:uid="{00000000-0005-0000-0000-00003D610000}"/>
    <cellStyle name="40% - Accent2 4 5 3 2 2 2 3" xfId="34209" xr:uid="{00000000-0005-0000-0000-00003E610000}"/>
    <cellStyle name="40% - Accent2 4 5 3 2 2 3" xfId="17258" xr:uid="{00000000-0005-0000-0000-00003F610000}"/>
    <cellStyle name="40% - Accent2 4 5 3 2 2 3 2" xfId="39860" xr:uid="{00000000-0005-0000-0000-000040610000}"/>
    <cellStyle name="40% - Accent2 4 5 3 2 2 4" xfId="28559" xr:uid="{00000000-0005-0000-0000-000041610000}"/>
    <cellStyle name="40% - Accent2 4 5 3 2 3" xfId="8775" xr:uid="{00000000-0005-0000-0000-000042610000}"/>
    <cellStyle name="40% - Accent2 4 5 3 2 3 2" xfId="20076" xr:uid="{00000000-0005-0000-0000-000043610000}"/>
    <cellStyle name="40% - Accent2 4 5 3 2 3 2 2" xfId="42678" xr:uid="{00000000-0005-0000-0000-000044610000}"/>
    <cellStyle name="40% - Accent2 4 5 3 2 3 3" xfId="31377" xr:uid="{00000000-0005-0000-0000-000045610000}"/>
    <cellStyle name="40% - Accent2 4 5 3 2 4" xfId="14426" xr:uid="{00000000-0005-0000-0000-000046610000}"/>
    <cellStyle name="40% - Accent2 4 5 3 2 4 2" xfId="37028" xr:uid="{00000000-0005-0000-0000-000047610000}"/>
    <cellStyle name="40% - Accent2 4 5 3 2 5" xfId="25727" xr:uid="{00000000-0005-0000-0000-000048610000}"/>
    <cellStyle name="40% - Accent2 4 5 3 3" xfId="4723" xr:uid="{00000000-0005-0000-0000-000049610000}"/>
    <cellStyle name="40% - Accent2 4 5 3 3 2" xfId="10373" xr:uid="{00000000-0005-0000-0000-00004A610000}"/>
    <cellStyle name="40% - Accent2 4 5 3 3 2 2" xfId="21674" xr:uid="{00000000-0005-0000-0000-00004B610000}"/>
    <cellStyle name="40% - Accent2 4 5 3 3 2 2 2" xfId="44276" xr:uid="{00000000-0005-0000-0000-00004C610000}"/>
    <cellStyle name="40% - Accent2 4 5 3 3 2 3" xfId="32975" xr:uid="{00000000-0005-0000-0000-00004D610000}"/>
    <cellStyle name="40% - Accent2 4 5 3 3 3" xfId="16024" xr:uid="{00000000-0005-0000-0000-00004E610000}"/>
    <cellStyle name="40% - Accent2 4 5 3 3 3 2" xfId="38626" xr:uid="{00000000-0005-0000-0000-00004F610000}"/>
    <cellStyle name="40% - Accent2 4 5 3 3 4" xfId="27325" xr:uid="{00000000-0005-0000-0000-000050610000}"/>
    <cellStyle name="40% - Accent2 4 5 3 4" xfId="6910" xr:uid="{00000000-0005-0000-0000-000051610000}"/>
    <cellStyle name="40% - Accent2 4 5 3 4 2" xfId="18211" xr:uid="{00000000-0005-0000-0000-000052610000}"/>
    <cellStyle name="40% - Accent2 4 5 3 4 2 2" xfId="40813" xr:uid="{00000000-0005-0000-0000-000053610000}"/>
    <cellStyle name="40% - Accent2 4 5 3 4 3" xfId="29512" xr:uid="{00000000-0005-0000-0000-000054610000}"/>
    <cellStyle name="40% - Accent2 4 5 3 5" xfId="12561" xr:uid="{00000000-0005-0000-0000-000055610000}"/>
    <cellStyle name="40% - Accent2 4 5 3 5 2" xfId="35163" xr:uid="{00000000-0005-0000-0000-000056610000}"/>
    <cellStyle name="40% - Accent2 4 5 3 6" xfId="23862" xr:uid="{00000000-0005-0000-0000-000057610000}"/>
    <cellStyle name="40% - Accent2 4 5 4" xfId="1822" xr:uid="{00000000-0005-0000-0000-000058610000}"/>
    <cellStyle name="40% - Accent2 4 5 4 2" xfId="3682" xr:uid="{00000000-0005-0000-0000-000059610000}"/>
    <cellStyle name="40% - Accent2 4 5 4 2 2" xfId="9392" xr:uid="{00000000-0005-0000-0000-00005A610000}"/>
    <cellStyle name="40% - Accent2 4 5 4 2 2 2" xfId="20693" xr:uid="{00000000-0005-0000-0000-00005B610000}"/>
    <cellStyle name="40% - Accent2 4 5 4 2 2 2 2" xfId="43295" xr:uid="{00000000-0005-0000-0000-00005C610000}"/>
    <cellStyle name="40% - Accent2 4 5 4 2 2 3" xfId="31994" xr:uid="{00000000-0005-0000-0000-00005D610000}"/>
    <cellStyle name="40% - Accent2 4 5 4 2 3" xfId="15043" xr:uid="{00000000-0005-0000-0000-00005E610000}"/>
    <cellStyle name="40% - Accent2 4 5 4 2 3 2" xfId="37645" xr:uid="{00000000-0005-0000-0000-00005F610000}"/>
    <cellStyle name="40% - Accent2 4 5 4 2 4" xfId="26344" xr:uid="{00000000-0005-0000-0000-000060610000}"/>
    <cellStyle name="40% - Accent2 4 5 4 3" xfId="5333" xr:uid="{00000000-0005-0000-0000-000061610000}"/>
    <cellStyle name="40% - Accent2 4 5 4 3 2" xfId="10983" xr:uid="{00000000-0005-0000-0000-000062610000}"/>
    <cellStyle name="40% - Accent2 4 5 4 3 2 2" xfId="22284" xr:uid="{00000000-0005-0000-0000-000063610000}"/>
    <cellStyle name="40% - Accent2 4 5 4 3 2 2 2" xfId="44886" xr:uid="{00000000-0005-0000-0000-000064610000}"/>
    <cellStyle name="40% - Accent2 4 5 4 3 2 3" xfId="33585" xr:uid="{00000000-0005-0000-0000-000065610000}"/>
    <cellStyle name="40% - Accent2 4 5 4 3 3" xfId="16634" xr:uid="{00000000-0005-0000-0000-000066610000}"/>
    <cellStyle name="40% - Accent2 4 5 4 3 3 2" xfId="39236" xr:uid="{00000000-0005-0000-0000-000067610000}"/>
    <cellStyle name="40% - Accent2 4 5 4 3 4" xfId="27935" xr:uid="{00000000-0005-0000-0000-000068610000}"/>
    <cellStyle name="40% - Accent2 4 5 4 4" xfId="7678" xr:uid="{00000000-0005-0000-0000-000069610000}"/>
    <cellStyle name="40% - Accent2 4 5 4 4 2" xfId="18979" xr:uid="{00000000-0005-0000-0000-00006A610000}"/>
    <cellStyle name="40% - Accent2 4 5 4 4 2 2" xfId="41581" xr:uid="{00000000-0005-0000-0000-00006B610000}"/>
    <cellStyle name="40% - Accent2 4 5 4 4 3" xfId="30280" xr:uid="{00000000-0005-0000-0000-00006C610000}"/>
    <cellStyle name="40% - Accent2 4 5 4 5" xfId="13329" xr:uid="{00000000-0005-0000-0000-00006D610000}"/>
    <cellStyle name="40% - Accent2 4 5 4 5 2" xfId="35931" xr:uid="{00000000-0005-0000-0000-00006E610000}"/>
    <cellStyle name="40% - Accent2 4 5 4 6" xfId="24630" xr:uid="{00000000-0005-0000-0000-00006F610000}"/>
    <cellStyle name="40% - Accent2 4 5 5" xfId="2314" xr:uid="{00000000-0005-0000-0000-000070610000}"/>
    <cellStyle name="40% - Accent2 4 5 5 2" xfId="8150" xr:uid="{00000000-0005-0000-0000-000071610000}"/>
    <cellStyle name="40% - Accent2 4 5 5 2 2" xfId="19451" xr:uid="{00000000-0005-0000-0000-000072610000}"/>
    <cellStyle name="40% - Accent2 4 5 5 2 2 2" xfId="42053" xr:uid="{00000000-0005-0000-0000-000073610000}"/>
    <cellStyle name="40% - Accent2 4 5 5 2 3" xfId="30752" xr:uid="{00000000-0005-0000-0000-000074610000}"/>
    <cellStyle name="40% - Accent2 4 5 5 3" xfId="13801" xr:uid="{00000000-0005-0000-0000-000075610000}"/>
    <cellStyle name="40% - Accent2 4 5 5 3 2" xfId="36403" xr:uid="{00000000-0005-0000-0000-000076610000}"/>
    <cellStyle name="40% - Accent2 4 5 5 4" xfId="25102" xr:uid="{00000000-0005-0000-0000-000077610000}"/>
    <cellStyle name="40% - Accent2 4 5 6" xfId="4099" xr:uid="{00000000-0005-0000-0000-000078610000}"/>
    <cellStyle name="40% - Accent2 4 5 6 2" xfId="9749" xr:uid="{00000000-0005-0000-0000-000079610000}"/>
    <cellStyle name="40% - Accent2 4 5 6 2 2" xfId="21050" xr:uid="{00000000-0005-0000-0000-00007A610000}"/>
    <cellStyle name="40% - Accent2 4 5 6 2 2 2" xfId="43652" xr:uid="{00000000-0005-0000-0000-00007B610000}"/>
    <cellStyle name="40% - Accent2 4 5 6 2 3" xfId="32351" xr:uid="{00000000-0005-0000-0000-00007C610000}"/>
    <cellStyle name="40% - Accent2 4 5 6 3" xfId="15400" xr:uid="{00000000-0005-0000-0000-00007D610000}"/>
    <cellStyle name="40% - Accent2 4 5 6 3 2" xfId="38002" xr:uid="{00000000-0005-0000-0000-00007E610000}"/>
    <cellStyle name="40% - Accent2 4 5 6 4" xfId="26701" xr:uid="{00000000-0005-0000-0000-00007F610000}"/>
    <cellStyle name="40% - Accent2 4 5 7" xfId="6550" xr:uid="{00000000-0005-0000-0000-000080610000}"/>
    <cellStyle name="40% - Accent2 4 5 7 2" xfId="17851" xr:uid="{00000000-0005-0000-0000-000081610000}"/>
    <cellStyle name="40% - Accent2 4 5 7 2 2" xfId="40453" xr:uid="{00000000-0005-0000-0000-000082610000}"/>
    <cellStyle name="40% - Accent2 4 5 7 3" xfId="29152" xr:uid="{00000000-0005-0000-0000-000083610000}"/>
    <cellStyle name="40% - Accent2 4 5 8" xfId="12201" xr:uid="{00000000-0005-0000-0000-000084610000}"/>
    <cellStyle name="40% - Accent2 4 5 8 2" xfId="34803" xr:uid="{00000000-0005-0000-0000-000085610000}"/>
    <cellStyle name="40% - Accent2 4 5 9" xfId="23502" xr:uid="{00000000-0005-0000-0000-000086610000}"/>
    <cellStyle name="40% - Accent2 4 6" xfId="1057" xr:uid="{00000000-0005-0000-0000-000087610000}"/>
    <cellStyle name="40% - Accent2 4 6 2" xfId="1824" xr:uid="{00000000-0005-0000-0000-000088610000}"/>
    <cellStyle name="40% - Accent2 4 6 2 2" xfId="3124" xr:uid="{00000000-0005-0000-0000-000089610000}"/>
    <cellStyle name="40% - Accent2 4 6 2 2 2" xfId="6096" xr:uid="{00000000-0005-0000-0000-00008A610000}"/>
    <cellStyle name="40% - Accent2 4 6 2 2 2 2" xfId="11746" xr:uid="{00000000-0005-0000-0000-00008B610000}"/>
    <cellStyle name="40% - Accent2 4 6 2 2 2 2 2" xfId="23047" xr:uid="{00000000-0005-0000-0000-00008C610000}"/>
    <cellStyle name="40% - Accent2 4 6 2 2 2 2 2 2" xfId="45649" xr:uid="{00000000-0005-0000-0000-00008D610000}"/>
    <cellStyle name="40% - Accent2 4 6 2 2 2 2 3" xfId="34348" xr:uid="{00000000-0005-0000-0000-00008E610000}"/>
    <cellStyle name="40% - Accent2 4 6 2 2 2 3" xfId="17397" xr:uid="{00000000-0005-0000-0000-00008F610000}"/>
    <cellStyle name="40% - Accent2 4 6 2 2 2 3 2" xfId="39999" xr:uid="{00000000-0005-0000-0000-000090610000}"/>
    <cellStyle name="40% - Accent2 4 6 2 2 2 4" xfId="28698" xr:uid="{00000000-0005-0000-0000-000091610000}"/>
    <cellStyle name="40% - Accent2 4 6 2 2 3" xfId="8914" xr:uid="{00000000-0005-0000-0000-000092610000}"/>
    <cellStyle name="40% - Accent2 4 6 2 2 3 2" xfId="20215" xr:uid="{00000000-0005-0000-0000-000093610000}"/>
    <cellStyle name="40% - Accent2 4 6 2 2 3 2 2" xfId="42817" xr:uid="{00000000-0005-0000-0000-000094610000}"/>
    <cellStyle name="40% - Accent2 4 6 2 2 3 3" xfId="31516" xr:uid="{00000000-0005-0000-0000-000095610000}"/>
    <cellStyle name="40% - Accent2 4 6 2 2 4" xfId="14565" xr:uid="{00000000-0005-0000-0000-000096610000}"/>
    <cellStyle name="40% - Accent2 4 6 2 2 4 2" xfId="37167" xr:uid="{00000000-0005-0000-0000-000097610000}"/>
    <cellStyle name="40% - Accent2 4 6 2 2 5" xfId="25866" xr:uid="{00000000-0005-0000-0000-000098610000}"/>
    <cellStyle name="40% - Accent2 4 6 2 3" xfId="4862" xr:uid="{00000000-0005-0000-0000-000099610000}"/>
    <cellStyle name="40% - Accent2 4 6 2 3 2" xfId="10512" xr:uid="{00000000-0005-0000-0000-00009A610000}"/>
    <cellStyle name="40% - Accent2 4 6 2 3 2 2" xfId="21813" xr:uid="{00000000-0005-0000-0000-00009B610000}"/>
    <cellStyle name="40% - Accent2 4 6 2 3 2 2 2" xfId="44415" xr:uid="{00000000-0005-0000-0000-00009C610000}"/>
    <cellStyle name="40% - Accent2 4 6 2 3 2 3" xfId="33114" xr:uid="{00000000-0005-0000-0000-00009D610000}"/>
    <cellStyle name="40% - Accent2 4 6 2 3 3" xfId="16163" xr:uid="{00000000-0005-0000-0000-00009E610000}"/>
    <cellStyle name="40% - Accent2 4 6 2 3 3 2" xfId="38765" xr:uid="{00000000-0005-0000-0000-00009F610000}"/>
    <cellStyle name="40% - Accent2 4 6 2 3 4" xfId="27464" xr:uid="{00000000-0005-0000-0000-0000A0610000}"/>
    <cellStyle name="40% - Accent2 4 6 2 4" xfId="7680" xr:uid="{00000000-0005-0000-0000-0000A1610000}"/>
    <cellStyle name="40% - Accent2 4 6 2 4 2" xfId="18981" xr:uid="{00000000-0005-0000-0000-0000A2610000}"/>
    <cellStyle name="40% - Accent2 4 6 2 4 2 2" xfId="41583" xr:uid="{00000000-0005-0000-0000-0000A3610000}"/>
    <cellStyle name="40% - Accent2 4 6 2 4 3" xfId="30282" xr:uid="{00000000-0005-0000-0000-0000A4610000}"/>
    <cellStyle name="40% - Accent2 4 6 2 5" xfId="13331" xr:uid="{00000000-0005-0000-0000-0000A5610000}"/>
    <cellStyle name="40% - Accent2 4 6 2 5 2" xfId="35933" xr:uid="{00000000-0005-0000-0000-0000A6610000}"/>
    <cellStyle name="40% - Accent2 4 6 2 6" xfId="24632" xr:uid="{00000000-0005-0000-0000-0000A7610000}"/>
    <cellStyle name="40% - Accent2 4 6 3" xfId="2453" xr:uid="{00000000-0005-0000-0000-0000A8610000}"/>
    <cellStyle name="40% - Accent2 4 6 3 2" xfId="5472" xr:uid="{00000000-0005-0000-0000-0000A9610000}"/>
    <cellStyle name="40% - Accent2 4 6 3 2 2" xfId="11122" xr:uid="{00000000-0005-0000-0000-0000AA610000}"/>
    <cellStyle name="40% - Accent2 4 6 3 2 2 2" xfId="22423" xr:uid="{00000000-0005-0000-0000-0000AB610000}"/>
    <cellStyle name="40% - Accent2 4 6 3 2 2 2 2" xfId="45025" xr:uid="{00000000-0005-0000-0000-0000AC610000}"/>
    <cellStyle name="40% - Accent2 4 6 3 2 2 3" xfId="33724" xr:uid="{00000000-0005-0000-0000-0000AD610000}"/>
    <cellStyle name="40% - Accent2 4 6 3 2 3" xfId="16773" xr:uid="{00000000-0005-0000-0000-0000AE610000}"/>
    <cellStyle name="40% - Accent2 4 6 3 2 3 2" xfId="39375" xr:uid="{00000000-0005-0000-0000-0000AF610000}"/>
    <cellStyle name="40% - Accent2 4 6 3 2 4" xfId="28074" xr:uid="{00000000-0005-0000-0000-0000B0610000}"/>
    <cellStyle name="40% - Accent2 4 6 3 3" xfId="8289" xr:uid="{00000000-0005-0000-0000-0000B1610000}"/>
    <cellStyle name="40% - Accent2 4 6 3 3 2" xfId="19590" xr:uid="{00000000-0005-0000-0000-0000B2610000}"/>
    <cellStyle name="40% - Accent2 4 6 3 3 2 2" xfId="42192" xr:uid="{00000000-0005-0000-0000-0000B3610000}"/>
    <cellStyle name="40% - Accent2 4 6 3 3 3" xfId="30891" xr:uid="{00000000-0005-0000-0000-0000B4610000}"/>
    <cellStyle name="40% - Accent2 4 6 3 4" xfId="13940" xr:uid="{00000000-0005-0000-0000-0000B5610000}"/>
    <cellStyle name="40% - Accent2 4 6 3 4 2" xfId="36542" xr:uid="{00000000-0005-0000-0000-0000B6610000}"/>
    <cellStyle name="40% - Accent2 4 6 3 5" xfId="25241" xr:uid="{00000000-0005-0000-0000-0000B7610000}"/>
    <cellStyle name="40% - Accent2 4 6 4" xfId="4238" xr:uid="{00000000-0005-0000-0000-0000B8610000}"/>
    <cellStyle name="40% - Accent2 4 6 4 2" xfId="9888" xr:uid="{00000000-0005-0000-0000-0000B9610000}"/>
    <cellStyle name="40% - Accent2 4 6 4 2 2" xfId="21189" xr:uid="{00000000-0005-0000-0000-0000BA610000}"/>
    <cellStyle name="40% - Accent2 4 6 4 2 2 2" xfId="43791" xr:uid="{00000000-0005-0000-0000-0000BB610000}"/>
    <cellStyle name="40% - Accent2 4 6 4 2 3" xfId="32490" xr:uid="{00000000-0005-0000-0000-0000BC610000}"/>
    <cellStyle name="40% - Accent2 4 6 4 3" xfId="15539" xr:uid="{00000000-0005-0000-0000-0000BD610000}"/>
    <cellStyle name="40% - Accent2 4 6 4 3 2" xfId="38141" xr:uid="{00000000-0005-0000-0000-0000BE610000}"/>
    <cellStyle name="40% - Accent2 4 6 4 4" xfId="26840" xr:uid="{00000000-0005-0000-0000-0000BF610000}"/>
    <cellStyle name="40% - Accent2 4 6 5" xfId="7036" xr:uid="{00000000-0005-0000-0000-0000C0610000}"/>
    <cellStyle name="40% - Accent2 4 6 5 2" xfId="18337" xr:uid="{00000000-0005-0000-0000-0000C1610000}"/>
    <cellStyle name="40% - Accent2 4 6 5 2 2" xfId="40939" xr:uid="{00000000-0005-0000-0000-0000C2610000}"/>
    <cellStyle name="40% - Accent2 4 6 5 3" xfId="29638" xr:uid="{00000000-0005-0000-0000-0000C3610000}"/>
    <cellStyle name="40% - Accent2 4 6 6" xfId="12687" xr:uid="{00000000-0005-0000-0000-0000C4610000}"/>
    <cellStyle name="40% - Accent2 4 6 6 2" xfId="35289" xr:uid="{00000000-0005-0000-0000-0000C5610000}"/>
    <cellStyle name="40% - Accent2 4 6 7" xfId="23988" xr:uid="{00000000-0005-0000-0000-0000C6610000}"/>
    <cellStyle name="40% - Accent2 4 7" xfId="721" xr:uid="{00000000-0005-0000-0000-0000C7610000}"/>
    <cellStyle name="40% - Accent2 4 7 2" xfId="2818" xr:uid="{00000000-0005-0000-0000-0000C8610000}"/>
    <cellStyle name="40% - Accent2 4 7 2 2" xfId="5790" xr:uid="{00000000-0005-0000-0000-0000C9610000}"/>
    <cellStyle name="40% - Accent2 4 7 2 2 2" xfId="11440" xr:uid="{00000000-0005-0000-0000-0000CA610000}"/>
    <cellStyle name="40% - Accent2 4 7 2 2 2 2" xfId="22741" xr:uid="{00000000-0005-0000-0000-0000CB610000}"/>
    <cellStyle name="40% - Accent2 4 7 2 2 2 2 2" xfId="45343" xr:uid="{00000000-0005-0000-0000-0000CC610000}"/>
    <cellStyle name="40% - Accent2 4 7 2 2 2 3" xfId="34042" xr:uid="{00000000-0005-0000-0000-0000CD610000}"/>
    <cellStyle name="40% - Accent2 4 7 2 2 3" xfId="17091" xr:uid="{00000000-0005-0000-0000-0000CE610000}"/>
    <cellStyle name="40% - Accent2 4 7 2 2 3 2" xfId="39693" xr:uid="{00000000-0005-0000-0000-0000CF610000}"/>
    <cellStyle name="40% - Accent2 4 7 2 2 4" xfId="28392" xr:uid="{00000000-0005-0000-0000-0000D0610000}"/>
    <cellStyle name="40% - Accent2 4 7 2 3" xfId="8608" xr:uid="{00000000-0005-0000-0000-0000D1610000}"/>
    <cellStyle name="40% - Accent2 4 7 2 3 2" xfId="19909" xr:uid="{00000000-0005-0000-0000-0000D2610000}"/>
    <cellStyle name="40% - Accent2 4 7 2 3 2 2" xfId="42511" xr:uid="{00000000-0005-0000-0000-0000D3610000}"/>
    <cellStyle name="40% - Accent2 4 7 2 3 3" xfId="31210" xr:uid="{00000000-0005-0000-0000-0000D4610000}"/>
    <cellStyle name="40% - Accent2 4 7 2 4" xfId="14259" xr:uid="{00000000-0005-0000-0000-0000D5610000}"/>
    <cellStyle name="40% - Accent2 4 7 2 4 2" xfId="36861" xr:uid="{00000000-0005-0000-0000-0000D6610000}"/>
    <cellStyle name="40% - Accent2 4 7 2 5" xfId="25560" xr:uid="{00000000-0005-0000-0000-0000D7610000}"/>
    <cellStyle name="40% - Accent2 4 7 3" xfId="4556" xr:uid="{00000000-0005-0000-0000-0000D8610000}"/>
    <cellStyle name="40% - Accent2 4 7 3 2" xfId="10206" xr:uid="{00000000-0005-0000-0000-0000D9610000}"/>
    <cellStyle name="40% - Accent2 4 7 3 2 2" xfId="21507" xr:uid="{00000000-0005-0000-0000-0000DA610000}"/>
    <cellStyle name="40% - Accent2 4 7 3 2 2 2" xfId="44109" xr:uid="{00000000-0005-0000-0000-0000DB610000}"/>
    <cellStyle name="40% - Accent2 4 7 3 2 3" xfId="32808" xr:uid="{00000000-0005-0000-0000-0000DC610000}"/>
    <cellStyle name="40% - Accent2 4 7 3 3" xfId="15857" xr:uid="{00000000-0005-0000-0000-0000DD610000}"/>
    <cellStyle name="40% - Accent2 4 7 3 3 2" xfId="38459" xr:uid="{00000000-0005-0000-0000-0000DE610000}"/>
    <cellStyle name="40% - Accent2 4 7 3 4" xfId="27158" xr:uid="{00000000-0005-0000-0000-0000DF610000}"/>
    <cellStyle name="40% - Accent2 4 7 4" xfId="6738" xr:uid="{00000000-0005-0000-0000-0000E0610000}"/>
    <cellStyle name="40% - Accent2 4 7 4 2" xfId="18039" xr:uid="{00000000-0005-0000-0000-0000E1610000}"/>
    <cellStyle name="40% - Accent2 4 7 4 2 2" xfId="40641" xr:uid="{00000000-0005-0000-0000-0000E2610000}"/>
    <cellStyle name="40% - Accent2 4 7 4 3" xfId="29340" xr:uid="{00000000-0005-0000-0000-0000E3610000}"/>
    <cellStyle name="40% - Accent2 4 7 5" xfId="12389" xr:uid="{00000000-0005-0000-0000-0000E4610000}"/>
    <cellStyle name="40% - Accent2 4 7 5 2" xfId="34991" xr:uid="{00000000-0005-0000-0000-0000E5610000}"/>
    <cellStyle name="40% - Accent2 4 7 6" xfId="23690" xr:uid="{00000000-0005-0000-0000-0000E6610000}"/>
    <cellStyle name="40% - Accent2 4 8" xfId="1811" xr:uid="{00000000-0005-0000-0000-0000E7610000}"/>
    <cellStyle name="40% - Accent2 4 8 2" xfId="3676" xr:uid="{00000000-0005-0000-0000-0000E8610000}"/>
    <cellStyle name="40% - Accent2 4 8 2 2" xfId="9386" xr:uid="{00000000-0005-0000-0000-0000E9610000}"/>
    <cellStyle name="40% - Accent2 4 8 2 2 2" xfId="20687" xr:uid="{00000000-0005-0000-0000-0000EA610000}"/>
    <cellStyle name="40% - Accent2 4 8 2 2 2 2" xfId="43289" xr:uid="{00000000-0005-0000-0000-0000EB610000}"/>
    <cellStyle name="40% - Accent2 4 8 2 2 3" xfId="31988" xr:uid="{00000000-0005-0000-0000-0000EC610000}"/>
    <cellStyle name="40% - Accent2 4 8 2 3" xfId="15037" xr:uid="{00000000-0005-0000-0000-0000ED610000}"/>
    <cellStyle name="40% - Accent2 4 8 2 3 2" xfId="37639" xr:uid="{00000000-0005-0000-0000-0000EE610000}"/>
    <cellStyle name="40% - Accent2 4 8 2 4" xfId="26338" xr:uid="{00000000-0005-0000-0000-0000EF610000}"/>
    <cellStyle name="40% - Accent2 4 8 3" xfId="5166" xr:uid="{00000000-0005-0000-0000-0000F0610000}"/>
    <cellStyle name="40% - Accent2 4 8 3 2" xfId="10816" xr:uid="{00000000-0005-0000-0000-0000F1610000}"/>
    <cellStyle name="40% - Accent2 4 8 3 2 2" xfId="22117" xr:uid="{00000000-0005-0000-0000-0000F2610000}"/>
    <cellStyle name="40% - Accent2 4 8 3 2 2 2" xfId="44719" xr:uid="{00000000-0005-0000-0000-0000F3610000}"/>
    <cellStyle name="40% - Accent2 4 8 3 2 3" xfId="33418" xr:uid="{00000000-0005-0000-0000-0000F4610000}"/>
    <cellStyle name="40% - Accent2 4 8 3 3" xfId="16467" xr:uid="{00000000-0005-0000-0000-0000F5610000}"/>
    <cellStyle name="40% - Accent2 4 8 3 3 2" xfId="39069" xr:uid="{00000000-0005-0000-0000-0000F6610000}"/>
    <cellStyle name="40% - Accent2 4 8 3 4" xfId="27768" xr:uid="{00000000-0005-0000-0000-0000F7610000}"/>
    <cellStyle name="40% - Accent2 4 8 4" xfId="7667" xr:uid="{00000000-0005-0000-0000-0000F8610000}"/>
    <cellStyle name="40% - Accent2 4 8 4 2" xfId="18968" xr:uid="{00000000-0005-0000-0000-0000F9610000}"/>
    <cellStyle name="40% - Accent2 4 8 4 2 2" xfId="41570" xr:uid="{00000000-0005-0000-0000-0000FA610000}"/>
    <cellStyle name="40% - Accent2 4 8 4 3" xfId="30269" xr:uid="{00000000-0005-0000-0000-0000FB610000}"/>
    <cellStyle name="40% - Accent2 4 8 5" xfId="13318" xr:uid="{00000000-0005-0000-0000-0000FC610000}"/>
    <cellStyle name="40% - Accent2 4 8 5 2" xfId="35920" xr:uid="{00000000-0005-0000-0000-0000FD610000}"/>
    <cellStyle name="40% - Accent2 4 8 6" xfId="24619" xr:uid="{00000000-0005-0000-0000-0000FE610000}"/>
    <cellStyle name="40% - Accent2 4 9" xfId="2137" xr:uid="{00000000-0005-0000-0000-0000FF610000}"/>
    <cellStyle name="40% - Accent2 4 9 2" xfId="7980" xr:uid="{00000000-0005-0000-0000-000000620000}"/>
    <cellStyle name="40% - Accent2 4 9 2 2" xfId="19281" xr:uid="{00000000-0005-0000-0000-000001620000}"/>
    <cellStyle name="40% - Accent2 4 9 2 2 2" xfId="41883" xr:uid="{00000000-0005-0000-0000-000002620000}"/>
    <cellStyle name="40% - Accent2 4 9 2 3" xfId="30582" xr:uid="{00000000-0005-0000-0000-000003620000}"/>
    <cellStyle name="40% - Accent2 4 9 3" xfId="13631" xr:uid="{00000000-0005-0000-0000-000004620000}"/>
    <cellStyle name="40% - Accent2 4 9 3 2" xfId="36233" xr:uid="{00000000-0005-0000-0000-000005620000}"/>
    <cellStyle name="40% - Accent2 4 9 4" xfId="24932" xr:uid="{00000000-0005-0000-0000-000006620000}"/>
    <cellStyle name="40% - Accent2 5" xfId="208" xr:uid="{00000000-0005-0000-0000-000007620000}"/>
    <cellStyle name="40% - Accent2 5 10" xfId="12074" xr:uid="{00000000-0005-0000-0000-000008620000}"/>
    <cellStyle name="40% - Accent2 5 10 2" xfId="34676" xr:uid="{00000000-0005-0000-0000-000009620000}"/>
    <cellStyle name="40% - Accent2 5 11" xfId="23375" xr:uid="{00000000-0005-0000-0000-00000A620000}"/>
    <cellStyle name="40% - Accent2 5 2" xfId="376" xr:uid="{00000000-0005-0000-0000-00000B620000}"/>
    <cellStyle name="40% - Accent2 5 2 10" xfId="23471" xr:uid="{00000000-0005-0000-0000-00000C620000}"/>
    <cellStyle name="40% - Accent2 5 2 2" xfId="621" xr:uid="{00000000-0005-0000-0000-00000D620000}"/>
    <cellStyle name="40% - Accent2 5 2 2 2" xfId="1331" xr:uid="{00000000-0005-0000-0000-00000E620000}"/>
    <cellStyle name="40% - Accent2 5 2 2 2 2" xfId="1828" xr:uid="{00000000-0005-0000-0000-00000F620000}"/>
    <cellStyle name="40% - Accent2 5 2 2 2 2 2" xfId="3400" xr:uid="{00000000-0005-0000-0000-000010620000}"/>
    <cellStyle name="40% - Accent2 5 2 2 2 2 2 2" xfId="6372" xr:uid="{00000000-0005-0000-0000-000011620000}"/>
    <cellStyle name="40% - Accent2 5 2 2 2 2 2 2 2" xfId="12022" xr:uid="{00000000-0005-0000-0000-000012620000}"/>
    <cellStyle name="40% - Accent2 5 2 2 2 2 2 2 2 2" xfId="23323" xr:uid="{00000000-0005-0000-0000-000013620000}"/>
    <cellStyle name="40% - Accent2 5 2 2 2 2 2 2 2 2 2" xfId="45925" xr:uid="{00000000-0005-0000-0000-000014620000}"/>
    <cellStyle name="40% - Accent2 5 2 2 2 2 2 2 2 3" xfId="34624" xr:uid="{00000000-0005-0000-0000-000015620000}"/>
    <cellStyle name="40% - Accent2 5 2 2 2 2 2 2 3" xfId="17673" xr:uid="{00000000-0005-0000-0000-000016620000}"/>
    <cellStyle name="40% - Accent2 5 2 2 2 2 2 2 3 2" xfId="40275" xr:uid="{00000000-0005-0000-0000-000017620000}"/>
    <cellStyle name="40% - Accent2 5 2 2 2 2 2 2 4" xfId="28974" xr:uid="{00000000-0005-0000-0000-000018620000}"/>
    <cellStyle name="40% - Accent2 5 2 2 2 2 2 3" xfId="9190" xr:uid="{00000000-0005-0000-0000-000019620000}"/>
    <cellStyle name="40% - Accent2 5 2 2 2 2 2 3 2" xfId="20491" xr:uid="{00000000-0005-0000-0000-00001A620000}"/>
    <cellStyle name="40% - Accent2 5 2 2 2 2 2 3 2 2" xfId="43093" xr:uid="{00000000-0005-0000-0000-00001B620000}"/>
    <cellStyle name="40% - Accent2 5 2 2 2 2 2 3 3" xfId="31792" xr:uid="{00000000-0005-0000-0000-00001C620000}"/>
    <cellStyle name="40% - Accent2 5 2 2 2 2 2 4" xfId="14841" xr:uid="{00000000-0005-0000-0000-00001D620000}"/>
    <cellStyle name="40% - Accent2 5 2 2 2 2 2 4 2" xfId="37443" xr:uid="{00000000-0005-0000-0000-00001E620000}"/>
    <cellStyle name="40% - Accent2 5 2 2 2 2 2 5" xfId="26142" xr:uid="{00000000-0005-0000-0000-00001F620000}"/>
    <cellStyle name="40% - Accent2 5 2 2 2 2 3" xfId="5138" xr:uid="{00000000-0005-0000-0000-000020620000}"/>
    <cellStyle name="40% - Accent2 5 2 2 2 2 3 2" xfId="10788" xr:uid="{00000000-0005-0000-0000-000021620000}"/>
    <cellStyle name="40% - Accent2 5 2 2 2 2 3 2 2" xfId="22089" xr:uid="{00000000-0005-0000-0000-000022620000}"/>
    <cellStyle name="40% - Accent2 5 2 2 2 2 3 2 2 2" xfId="44691" xr:uid="{00000000-0005-0000-0000-000023620000}"/>
    <cellStyle name="40% - Accent2 5 2 2 2 2 3 2 3" xfId="33390" xr:uid="{00000000-0005-0000-0000-000024620000}"/>
    <cellStyle name="40% - Accent2 5 2 2 2 2 3 3" xfId="16439" xr:uid="{00000000-0005-0000-0000-000025620000}"/>
    <cellStyle name="40% - Accent2 5 2 2 2 2 3 3 2" xfId="39041" xr:uid="{00000000-0005-0000-0000-000026620000}"/>
    <cellStyle name="40% - Accent2 5 2 2 2 2 3 4" xfId="27740" xr:uid="{00000000-0005-0000-0000-000027620000}"/>
    <cellStyle name="40% - Accent2 5 2 2 2 2 4" xfId="7684" xr:uid="{00000000-0005-0000-0000-000028620000}"/>
    <cellStyle name="40% - Accent2 5 2 2 2 2 4 2" xfId="18985" xr:uid="{00000000-0005-0000-0000-000029620000}"/>
    <cellStyle name="40% - Accent2 5 2 2 2 2 4 2 2" xfId="41587" xr:uid="{00000000-0005-0000-0000-00002A620000}"/>
    <cellStyle name="40% - Accent2 5 2 2 2 2 4 3" xfId="30286" xr:uid="{00000000-0005-0000-0000-00002B620000}"/>
    <cellStyle name="40% - Accent2 5 2 2 2 2 5" xfId="13335" xr:uid="{00000000-0005-0000-0000-00002C620000}"/>
    <cellStyle name="40% - Accent2 5 2 2 2 2 5 2" xfId="35937" xr:uid="{00000000-0005-0000-0000-00002D620000}"/>
    <cellStyle name="40% - Accent2 5 2 2 2 2 6" xfId="24636" xr:uid="{00000000-0005-0000-0000-00002E620000}"/>
    <cellStyle name="40% - Accent2 5 2 2 2 3" xfId="2729" xr:uid="{00000000-0005-0000-0000-00002F620000}"/>
    <cellStyle name="40% - Accent2 5 2 2 2 3 2" xfId="5748" xr:uid="{00000000-0005-0000-0000-000030620000}"/>
    <cellStyle name="40% - Accent2 5 2 2 2 3 2 2" xfId="11398" xr:uid="{00000000-0005-0000-0000-000031620000}"/>
    <cellStyle name="40% - Accent2 5 2 2 2 3 2 2 2" xfId="22699" xr:uid="{00000000-0005-0000-0000-000032620000}"/>
    <cellStyle name="40% - Accent2 5 2 2 2 3 2 2 2 2" xfId="45301" xr:uid="{00000000-0005-0000-0000-000033620000}"/>
    <cellStyle name="40% - Accent2 5 2 2 2 3 2 2 3" xfId="34000" xr:uid="{00000000-0005-0000-0000-000034620000}"/>
    <cellStyle name="40% - Accent2 5 2 2 2 3 2 3" xfId="17049" xr:uid="{00000000-0005-0000-0000-000035620000}"/>
    <cellStyle name="40% - Accent2 5 2 2 2 3 2 3 2" xfId="39651" xr:uid="{00000000-0005-0000-0000-000036620000}"/>
    <cellStyle name="40% - Accent2 5 2 2 2 3 2 4" xfId="28350" xr:uid="{00000000-0005-0000-0000-000037620000}"/>
    <cellStyle name="40% - Accent2 5 2 2 2 3 3" xfId="8565" xr:uid="{00000000-0005-0000-0000-000038620000}"/>
    <cellStyle name="40% - Accent2 5 2 2 2 3 3 2" xfId="19866" xr:uid="{00000000-0005-0000-0000-000039620000}"/>
    <cellStyle name="40% - Accent2 5 2 2 2 3 3 2 2" xfId="42468" xr:uid="{00000000-0005-0000-0000-00003A620000}"/>
    <cellStyle name="40% - Accent2 5 2 2 2 3 3 3" xfId="31167" xr:uid="{00000000-0005-0000-0000-00003B620000}"/>
    <cellStyle name="40% - Accent2 5 2 2 2 3 4" xfId="14216" xr:uid="{00000000-0005-0000-0000-00003C620000}"/>
    <cellStyle name="40% - Accent2 5 2 2 2 3 4 2" xfId="36818" xr:uid="{00000000-0005-0000-0000-00003D620000}"/>
    <cellStyle name="40% - Accent2 5 2 2 2 3 5" xfId="25517" xr:uid="{00000000-0005-0000-0000-00003E620000}"/>
    <cellStyle name="40% - Accent2 5 2 2 2 4" xfId="4514" xr:uid="{00000000-0005-0000-0000-00003F620000}"/>
    <cellStyle name="40% - Accent2 5 2 2 2 4 2" xfId="10164" xr:uid="{00000000-0005-0000-0000-000040620000}"/>
    <cellStyle name="40% - Accent2 5 2 2 2 4 2 2" xfId="21465" xr:uid="{00000000-0005-0000-0000-000041620000}"/>
    <cellStyle name="40% - Accent2 5 2 2 2 4 2 2 2" xfId="44067" xr:uid="{00000000-0005-0000-0000-000042620000}"/>
    <cellStyle name="40% - Accent2 5 2 2 2 4 2 3" xfId="32766" xr:uid="{00000000-0005-0000-0000-000043620000}"/>
    <cellStyle name="40% - Accent2 5 2 2 2 4 3" xfId="15815" xr:uid="{00000000-0005-0000-0000-000044620000}"/>
    <cellStyle name="40% - Accent2 5 2 2 2 4 3 2" xfId="38417" xr:uid="{00000000-0005-0000-0000-000045620000}"/>
    <cellStyle name="40% - Accent2 5 2 2 2 4 4" xfId="27116" xr:uid="{00000000-0005-0000-0000-000046620000}"/>
    <cellStyle name="40% - Accent2 5 2 2 2 5" xfId="7310" xr:uid="{00000000-0005-0000-0000-000047620000}"/>
    <cellStyle name="40% - Accent2 5 2 2 2 5 2" xfId="18611" xr:uid="{00000000-0005-0000-0000-000048620000}"/>
    <cellStyle name="40% - Accent2 5 2 2 2 5 2 2" xfId="41213" xr:uid="{00000000-0005-0000-0000-000049620000}"/>
    <cellStyle name="40% - Accent2 5 2 2 2 5 3" xfId="29912" xr:uid="{00000000-0005-0000-0000-00004A620000}"/>
    <cellStyle name="40% - Accent2 5 2 2 2 6" xfId="12961" xr:uid="{00000000-0005-0000-0000-00004B620000}"/>
    <cellStyle name="40% - Accent2 5 2 2 2 6 2" xfId="35563" xr:uid="{00000000-0005-0000-0000-00004C620000}"/>
    <cellStyle name="40% - Accent2 5 2 2 2 7" xfId="24262" xr:uid="{00000000-0005-0000-0000-00004D620000}"/>
    <cellStyle name="40% - Accent2 5 2 2 3" xfId="1029" xr:uid="{00000000-0005-0000-0000-00004E620000}"/>
    <cellStyle name="40% - Accent2 5 2 2 3 2" xfId="3092" xr:uid="{00000000-0005-0000-0000-00004F620000}"/>
    <cellStyle name="40% - Accent2 5 2 2 3 2 2" xfId="6064" xr:uid="{00000000-0005-0000-0000-000050620000}"/>
    <cellStyle name="40% - Accent2 5 2 2 3 2 2 2" xfId="11714" xr:uid="{00000000-0005-0000-0000-000051620000}"/>
    <cellStyle name="40% - Accent2 5 2 2 3 2 2 2 2" xfId="23015" xr:uid="{00000000-0005-0000-0000-000052620000}"/>
    <cellStyle name="40% - Accent2 5 2 2 3 2 2 2 2 2" xfId="45617" xr:uid="{00000000-0005-0000-0000-000053620000}"/>
    <cellStyle name="40% - Accent2 5 2 2 3 2 2 2 3" xfId="34316" xr:uid="{00000000-0005-0000-0000-000054620000}"/>
    <cellStyle name="40% - Accent2 5 2 2 3 2 2 3" xfId="17365" xr:uid="{00000000-0005-0000-0000-000055620000}"/>
    <cellStyle name="40% - Accent2 5 2 2 3 2 2 3 2" xfId="39967" xr:uid="{00000000-0005-0000-0000-000056620000}"/>
    <cellStyle name="40% - Accent2 5 2 2 3 2 2 4" xfId="28666" xr:uid="{00000000-0005-0000-0000-000057620000}"/>
    <cellStyle name="40% - Accent2 5 2 2 3 2 3" xfId="8882" xr:uid="{00000000-0005-0000-0000-000058620000}"/>
    <cellStyle name="40% - Accent2 5 2 2 3 2 3 2" xfId="20183" xr:uid="{00000000-0005-0000-0000-000059620000}"/>
    <cellStyle name="40% - Accent2 5 2 2 3 2 3 2 2" xfId="42785" xr:uid="{00000000-0005-0000-0000-00005A620000}"/>
    <cellStyle name="40% - Accent2 5 2 2 3 2 3 3" xfId="31484" xr:uid="{00000000-0005-0000-0000-00005B620000}"/>
    <cellStyle name="40% - Accent2 5 2 2 3 2 4" xfId="14533" xr:uid="{00000000-0005-0000-0000-00005C620000}"/>
    <cellStyle name="40% - Accent2 5 2 2 3 2 4 2" xfId="37135" xr:uid="{00000000-0005-0000-0000-00005D620000}"/>
    <cellStyle name="40% - Accent2 5 2 2 3 2 5" xfId="25834" xr:uid="{00000000-0005-0000-0000-00005E620000}"/>
    <cellStyle name="40% - Accent2 5 2 2 3 3" xfId="4830" xr:uid="{00000000-0005-0000-0000-00005F620000}"/>
    <cellStyle name="40% - Accent2 5 2 2 3 3 2" xfId="10480" xr:uid="{00000000-0005-0000-0000-000060620000}"/>
    <cellStyle name="40% - Accent2 5 2 2 3 3 2 2" xfId="21781" xr:uid="{00000000-0005-0000-0000-000061620000}"/>
    <cellStyle name="40% - Accent2 5 2 2 3 3 2 2 2" xfId="44383" xr:uid="{00000000-0005-0000-0000-000062620000}"/>
    <cellStyle name="40% - Accent2 5 2 2 3 3 2 3" xfId="33082" xr:uid="{00000000-0005-0000-0000-000063620000}"/>
    <cellStyle name="40% - Accent2 5 2 2 3 3 3" xfId="16131" xr:uid="{00000000-0005-0000-0000-000064620000}"/>
    <cellStyle name="40% - Accent2 5 2 2 3 3 3 2" xfId="38733" xr:uid="{00000000-0005-0000-0000-000065620000}"/>
    <cellStyle name="40% - Accent2 5 2 2 3 3 4" xfId="27432" xr:uid="{00000000-0005-0000-0000-000066620000}"/>
    <cellStyle name="40% - Accent2 5 2 2 3 4" xfId="7017" xr:uid="{00000000-0005-0000-0000-000067620000}"/>
    <cellStyle name="40% - Accent2 5 2 2 3 4 2" xfId="18318" xr:uid="{00000000-0005-0000-0000-000068620000}"/>
    <cellStyle name="40% - Accent2 5 2 2 3 4 2 2" xfId="40920" xr:uid="{00000000-0005-0000-0000-000069620000}"/>
    <cellStyle name="40% - Accent2 5 2 2 3 4 3" xfId="29619" xr:uid="{00000000-0005-0000-0000-00006A620000}"/>
    <cellStyle name="40% - Accent2 5 2 2 3 5" xfId="12668" xr:uid="{00000000-0005-0000-0000-00006B620000}"/>
    <cellStyle name="40% - Accent2 5 2 2 3 5 2" xfId="35270" xr:uid="{00000000-0005-0000-0000-00006C620000}"/>
    <cellStyle name="40% - Accent2 5 2 2 3 6" xfId="23969" xr:uid="{00000000-0005-0000-0000-00006D620000}"/>
    <cellStyle name="40% - Accent2 5 2 2 4" xfId="1827" xr:uid="{00000000-0005-0000-0000-00006E620000}"/>
    <cellStyle name="40% - Accent2 5 2 2 4 2" xfId="3685" xr:uid="{00000000-0005-0000-0000-00006F620000}"/>
    <cellStyle name="40% - Accent2 5 2 2 4 2 2" xfId="9395" xr:uid="{00000000-0005-0000-0000-000070620000}"/>
    <cellStyle name="40% - Accent2 5 2 2 4 2 2 2" xfId="20696" xr:uid="{00000000-0005-0000-0000-000071620000}"/>
    <cellStyle name="40% - Accent2 5 2 2 4 2 2 2 2" xfId="43298" xr:uid="{00000000-0005-0000-0000-000072620000}"/>
    <cellStyle name="40% - Accent2 5 2 2 4 2 2 3" xfId="31997" xr:uid="{00000000-0005-0000-0000-000073620000}"/>
    <cellStyle name="40% - Accent2 5 2 2 4 2 3" xfId="15046" xr:uid="{00000000-0005-0000-0000-000074620000}"/>
    <cellStyle name="40% - Accent2 5 2 2 4 2 3 2" xfId="37648" xr:uid="{00000000-0005-0000-0000-000075620000}"/>
    <cellStyle name="40% - Accent2 5 2 2 4 2 4" xfId="26347" xr:uid="{00000000-0005-0000-0000-000076620000}"/>
    <cellStyle name="40% - Accent2 5 2 2 4 3" xfId="5440" xr:uid="{00000000-0005-0000-0000-000077620000}"/>
    <cellStyle name="40% - Accent2 5 2 2 4 3 2" xfId="11090" xr:uid="{00000000-0005-0000-0000-000078620000}"/>
    <cellStyle name="40% - Accent2 5 2 2 4 3 2 2" xfId="22391" xr:uid="{00000000-0005-0000-0000-000079620000}"/>
    <cellStyle name="40% - Accent2 5 2 2 4 3 2 2 2" xfId="44993" xr:uid="{00000000-0005-0000-0000-00007A620000}"/>
    <cellStyle name="40% - Accent2 5 2 2 4 3 2 3" xfId="33692" xr:uid="{00000000-0005-0000-0000-00007B620000}"/>
    <cellStyle name="40% - Accent2 5 2 2 4 3 3" xfId="16741" xr:uid="{00000000-0005-0000-0000-00007C620000}"/>
    <cellStyle name="40% - Accent2 5 2 2 4 3 3 2" xfId="39343" xr:uid="{00000000-0005-0000-0000-00007D620000}"/>
    <cellStyle name="40% - Accent2 5 2 2 4 3 4" xfId="28042" xr:uid="{00000000-0005-0000-0000-00007E620000}"/>
    <cellStyle name="40% - Accent2 5 2 2 4 4" xfId="7683" xr:uid="{00000000-0005-0000-0000-00007F620000}"/>
    <cellStyle name="40% - Accent2 5 2 2 4 4 2" xfId="18984" xr:uid="{00000000-0005-0000-0000-000080620000}"/>
    <cellStyle name="40% - Accent2 5 2 2 4 4 2 2" xfId="41586" xr:uid="{00000000-0005-0000-0000-000081620000}"/>
    <cellStyle name="40% - Accent2 5 2 2 4 4 3" xfId="30285" xr:uid="{00000000-0005-0000-0000-000082620000}"/>
    <cellStyle name="40% - Accent2 5 2 2 4 5" xfId="13334" xr:uid="{00000000-0005-0000-0000-000083620000}"/>
    <cellStyle name="40% - Accent2 5 2 2 4 5 2" xfId="35936" xr:uid="{00000000-0005-0000-0000-000084620000}"/>
    <cellStyle name="40% - Accent2 5 2 2 4 6" xfId="24635" xr:uid="{00000000-0005-0000-0000-000085620000}"/>
    <cellStyle name="40% - Accent2 5 2 2 5" xfId="2421" xr:uid="{00000000-0005-0000-0000-000086620000}"/>
    <cellStyle name="40% - Accent2 5 2 2 5 2" xfId="8257" xr:uid="{00000000-0005-0000-0000-000087620000}"/>
    <cellStyle name="40% - Accent2 5 2 2 5 2 2" xfId="19558" xr:uid="{00000000-0005-0000-0000-000088620000}"/>
    <cellStyle name="40% - Accent2 5 2 2 5 2 2 2" xfId="42160" xr:uid="{00000000-0005-0000-0000-000089620000}"/>
    <cellStyle name="40% - Accent2 5 2 2 5 2 3" xfId="30859" xr:uid="{00000000-0005-0000-0000-00008A620000}"/>
    <cellStyle name="40% - Accent2 5 2 2 5 3" xfId="13908" xr:uid="{00000000-0005-0000-0000-00008B620000}"/>
    <cellStyle name="40% - Accent2 5 2 2 5 3 2" xfId="36510" xr:uid="{00000000-0005-0000-0000-00008C620000}"/>
    <cellStyle name="40% - Accent2 5 2 2 5 4" xfId="25209" xr:uid="{00000000-0005-0000-0000-00008D620000}"/>
    <cellStyle name="40% - Accent2 5 2 2 6" xfId="4206" xr:uid="{00000000-0005-0000-0000-00008E620000}"/>
    <cellStyle name="40% - Accent2 5 2 2 6 2" xfId="9856" xr:uid="{00000000-0005-0000-0000-00008F620000}"/>
    <cellStyle name="40% - Accent2 5 2 2 6 2 2" xfId="21157" xr:uid="{00000000-0005-0000-0000-000090620000}"/>
    <cellStyle name="40% - Accent2 5 2 2 6 2 2 2" xfId="43759" xr:uid="{00000000-0005-0000-0000-000091620000}"/>
    <cellStyle name="40% - Accent2 5 2 2 6 2 3" xfId="32458" xr:uid="{00000000-0005-0000-0000-000092620000}"/>
    <cellStyle name="40% - Accent2 5 2 2 6 3" xfId="15507" xr:uid="{00000000-0005-0000-0000-000093620000}"/>
    <cellStyle name="40% - Accent2 5 2 2 6 3 2" xfId="38109" xr:uid="{00000000-0005-0000-0000-000094620000}"/>
    <cellStyle name="40% - Accent2 5 2 2 6 4" xfId="26808" xr:uid="{00000000-0005-0000-0000-000095620000}"/>
    <cellStyle name="40% - Accent2 5 2 2 7" xfId="6686" xr:uid="{00000000-0005-0000-0000-000096620000}"/>
    <cellStyle name="40% - Accent2 5 2 2 7 2" xfId="17987" xr:uid="{00000000-0005-0000-0000-000097620000}"/>
    <cellStyle name="40% - Accent2 5 2 2 7 2 2" xfId="40589" xr:uid="{00000000-0005-0000-0000-000098620000}"/>
    <cellStyle name="40% - Accent2 5 2 2 7 3" xfId="29288" xr:uid="{00000000-0005-0000-0000-000099620000}"/>
    <cellStyle name="40% - Accent2 5 2 2 8" xfId="12337" xr:uid="{00000000-0005-0000-0000-00009A620000}"/>
    <cellStyle name="40% - Accent2 5 2 2 8 2" xfId="34939" xr:uid="{00000000-0005-0000-0000-00009B620000}"/>
    <cellStyle name="40% - Accent2 5 2 2 9" xfId="23638" xr:uid="{00000000-0005-0000-0000-00009C620000}"/>
    <cellStyle name="40% - Accent2 5 2 3" xfId="1193" xr:uid="{00000000-0005-0000-0000-00009D620000}"/>
    <cellStyle name="40% - Accent2 5 2 3 2" xfId="1829" xr:uid="{00000000-0005-0000-0000-00009E620000}"/>
    <cellStyle name="40% - Accent2 5 2 3 2 2" xfId="3261" xr:uid="{00000000-0005-0000-0000-00009F620000}"/>
    <cellStyle name="40% - Accent2 5 2 3 2 2 2" xfId="6233" xr:uid="{00000000-0005-0000-0000-0000A0620000}"/>
    <cellStyle name="40% - Accent2 5 2 3 2 2 2 2" xfId="11883" xr:uid="{00000000-0005-0000-0000-0000A1620000}"/>
    <cellStyle name="40% - Accent2 5 2 3 2 2 2 2 2" xfId="23184" xr:uid="{00000000-0005-0000-0000-0000A2620000}"/>
    <cellStyle name="40% - Accent2 5 2 3 2 2 2 2 2 2" xfId="45786" xr:uid="{00000000-0005-0000-0000-0000A3620000}"/>
    <cellStyle name="40% - Accent2 5 2 3 2 2 2 2 3" xfId="34485" xr:uid="{00000000-0005-0000-0000-0000A4620000}"/>
    <cellStyle name="40% - Accent2 5 2 3 2 2 2 3" xfId="17534" xr:uid="{00000000-0005-0000-0000-0000A5620000}"/>
    <cellStyle name="40% - Accent2 5 2 3 2 2 2 3 2" xfId="40136" xr:uid="{00000000-0005-0000-0000-0000A6620000}"/>
    <cellStyle name="40% - Accent2 5 2 3 2 2 2 4" xfId="28835" xr:uid="{00000000-0005-0000-0000-0000A7620000}"/>
    <cellStyle name="40% - Accent2 5 2 3 2 2 3" xfId="9051" xr:uid="{00000000-0005-0000-0000-0000A8620000}"/>
    <cellStyle name="40% - Accent2 5 2 3 2 2 3 2" xfId="20352" xr:uid="{00000000-0005-0000-0000-0000A9620000}"/>
    <cellStyle name="40% - Accent2 5 2 3 2 2 3 2 2" xfId="42954" xr:uid="{00000000-0005-0000-0000-0000AA620000}"/>
    <cellStyle name="40% - Accent2 5 2 3 2 2 3 3" xfId="31653" xr:uid="{00000000-0005-0000-0000-0000AB620000}"/>
    <cellStyle name="40% - Accent2 5 2 3 2 2 4" xfId="14702" xr:uid="{00000000-0005-0000-0000-0000AC620000}"/>
    <cellStyle name="40% - Accent2 5 2 3 2 2 4 2" xfId="37304" xr:uid="{00000000-0005-0000-0000-0000AD620000}"/>
    <cellStyle name="40% - Accent2 5 2 3 2 2 5" xfId="26003" xr:uid="{00000000-0005-0000-0000-0000AE620000}"/>
    <cellStyle name="40% - Accent2 5 2 3 2 3" xfId="4999" xr:uid="{00000000-0005-0000-0000-0000AF620000}"/>
    <cellStyle name="40% - Accent2 5 2 3 2 3 2" xfId="10649" xr:uid="{00000000-0005-0000-0000-0000B0620000}"/>
    <cellStyle name="40% - Accent2 5 2 3 2 3 2 2" xfId="21950" xr:uid="{00000000-0005-0000-0000-0000B1620000}"/>
    <cellStyle name="40% - Accent2 5 2 3 2 3 2 2 2" xfId="44552" xr:uid="{00000000-0005-0000-0000-0000B2620000}"/>
    <cellStyle name="40% - Accent2 5 2 3 2 3 2 3" xfId="33251" xr:uid="{00000000-0005-0000-0000-0000B3620000}"/>
    <cellStyle name="40% - Accent2 5 2 3 2 3 3" xfId="16300" xr:uid="{00000000-0005-0000-0000-0000B4620000}"/>
    <cellStyle name="40% - Accent2 5 2 3 2 3 3 2" xfId="38902" xr:uid="{00000000-0005-0000-0000-0000B5620000}"/>
    <cellStyle name="40% - Accent2 5 2 3 2 3 4" xfId="27601" xr:uid="{00000000-0005-0000-0000-0000B6620000}"/>
    <cellStyle name="40% - Accent2 5 2 3 2 4" xfId="7685" xr:uid="{00000000-0005-0000-0000-0000B7620000}"/>
    <cellStyle name="40% - Accent2 5 2 3 2 4 2" xfId="18986" xr:uid="{00000000-0005-0000-0000-0000B8620000}"/>
    <cellStyle name="40% - Accent2 5 2 3 2 4 2 2" xfId="41588" xr:uid="{00000000-0005-0000-0000-0000B9620000}"/>
    <cellStyle name="40% - Accent2 5 2 3 2 4 3" xfId="30287" xr:uid="{00000000-0005-0000-0000-0000BA620000}"/>
    <cellStyle name="40% - Accent2 5 2 3 2 5" xfId="13336" xr:uid="{00000000-0005-0000-0000-0000BB620000}"/>
    <cellStyle name="40% - Accent2 5 2 3 2 5 2" xfId="35938" xr:uid="{00000000-0005-0000-0000-0000BC620000}"/>
    <cellStyle name="40% - Accent2 5 2 3 2 6" xfId="24637" xr:uid="{00000000-0005-0000-0000-0000BD620000}"/>
    <cellStyle name="40% - Accent2 5 2 3 3" xfId="2590" xr:uid="{00000000-0005-0000-0000-0000BE620000}"/>
    <cellStyle name="40% - Accent2 5 2 3 3 2" xfId="5609" xr:uid="{00000000-0005-0000-0000-0000BF620000}"/>
    <cellStyle name="40% - Accent2 5 2 3 3 2 2" xfId="11259" xr:uid="{00000000-0005-0000-0000-0000C0620000}"/>
    <cellStyle name="40% - Accent2 5 2 3 3 2 2 2" xfId="22560" xr:uid="{00000000-0005-0000-0000-0000C1620000}"/>
    <cellStyle name="40% - Accent2 5 2 3 3 2 2 2 2" xfId="45162" xr:uid="{00000000-0005-0000-0000-0000C2620000}"/>
    <cellStyle name="40% - Accent2 5 2 3 3 2 2 3" xfId="33861" xr:uid="{00000000-0005-0000-0000-0000C3620000}"/>
    <cellStyle name="40% - Accent2 5 2 3 3 2 3" xfId="16910" xr:uid="{00000000-0005-0000-0000-0000C4620000}"/>
    <cellStyle name="40% - Accent2 5 2 3 3 2 3 2" xfId="39512" xr:uid="{00000000-0005-0000-0000-0000C5620000}"/>
    <cellStyle name="40% - Accent2 5 2 3 3 2 4" xfId="28211" xr:uid="{00000000-0005-0000-0000-0000C6620000}"/>
    <cellStyle name="40% - Accent2 5 2 3 3 3" xfId="8426" xr:uid="{00000000-0005-0000-0000-0000C7620000}"/>
    <cellStyle name="40% - Accent2 5 2 3 3 3 2" xfId="19727" xr:uid="{00000000-0005-0000-0000-0000C8620000}"/>
    <cellStyle name="40% - Accent2 5 2 3 3 3 2 2" xfId="42329" xr:uid="{00000000-0005-0000-0000-0000C9620000}"/>
    <cellStyle name="40% - Accent2 5 2 3 3 3 3" xfId="31028" xr:uid="{00000000-0005-0000-0000-0000CA620000}"/>
    <cellStyle name="40% - Accent2 5 2 3 3 4" xfId="14077" xr:uid="{00000000-0005-0000-0000-0000CB620000}"/>
    <cellStyle name="40% - Accent2 5 2 3 3 4 2" xfId="36679" xr:uid="{00000000-0005-0000-0000-0000CC620000}"/>
    <cellStyle name="40% - Accent2 5 2 3 3 5" xfId="25378" xr:uid="{00000000-0005-0000-0000-0000CD620000}"/>
    <cellStyle name="40% - Accent2 5 2 3 4" xfId="4375" xr:uid="{00000000-0005-0000-0000-0000CE620000}"/>
    <cellStyle name="40% - Accent2 5 2 3 4 2" xfId="10025" xr:uid="{00000000-0005-0000-0000-0000CF620000}"/>
    <cellStyle name="40% - Accent2 5 2 3 4 2 2" xfId="21326" xr:uid="{00000000-0005-0000-0000-0000D0620000}"/>
    <cellStyle name="40% - Accent2 5 2 3 4 2 2 2" xfId="43928" xr:uid="{00000000-0005-0000-0000-0000D1620000}"/>
    <cellStyle name="40% - Accent2 5 2 3 4 2 3" xfId="32627" xr:uid="{00000000-0005-0000-0000-0000D2620000}"/>
    <cellStyle name="40% - Accent2 5 2 3 4 3" xfId="15676" xr:uid="{00000000-0005-0000-0000-0000D3620000}"/>
    <cellStyle name="40% - Accent2 5 2 3 4 3 2" xfId="38278" xr:uid="{00000000-0005-0000-0000-0000D4620000}"/>
    <cellStyle name="40% - Accent2 5 2 3 4 4" xfId="26977" xr:uid="{00000000-0005-0000-0000-0000D5620000}"/>
    <cellStyle name="40% - Accent2 5 2 3 5" xfId="7172" xr:uid="{00000000-0005-0000-0000-0000D6620000}"/>
    <cellStyle name="40% - Accent2 5 2 3 5 2" xfId="18473" xr:uid="{00000000-0005-0000-0000-0000D7620000}"/>
    <cellStyle name="40% - Accent2 5 2 3 5 2 2" xfId="41075" xr:uid="{00000000-0005-0000-0000-0000D8620000}"/>
    <cellStyle name="40% - Accent2 5 2 3 5 3" xfId="29774" xr:uid="{00000000-0005-0000-0000-0000D9620000}"/>
    <cellStyle name="40% - Accent2 5 2 3 6" xfId="12823" xr:uid="{00000000-0005-0000-0000-0000DA620000}"/>
    <cellStyle name="40% - Accent2 5 2 3 6 2" xfId="35425" xr:uid="{00000000-0005-0000-0000-0000DB620000}"/>
    <cellStyle name="40% - Accent2 5 2 3 7" xfId="24124" xr:uid="{00000000-0005-0000-0000-0000DC620000}"/>
    <cellStyle name="40% - Accent2 5 2 4" xfId="884" xr:uid="{00000000-0005-0000-0000-0000DD620000}"/>
    <cellStyle name="40% - Accent2 5 2 4 2" xfId="2954" xr:uid="{00000000-0005-0000-0000-0000DE620000}"/>
    <cellStyle name="40% - Accent2 5 2 4 2 2" xfId="5926" xr:uid="{00000000-0005-0000-0000-0000DF620000}"/>
    <cellStyle name="40% - Accent2 5 2 4 2 2 2" xfId="11576" xr:uid="{00000000-0005-0000-0000-0000E0620000}"/>
    <cellStyle name="40% - Accent2 5 2 4 2 2 2 2" xfId="22877" xr:uid="{00000000-0005-0000-0000-0000E1620000}"/>
    <cellStyle name="40% - Accent2 5 2 4 2 2 2 2 2" xfId="45479" xr:uid="{00000000-0005-0000-0000-0000E2620000}"/>
    <cellStyle name="40% - Accent2 5 2 4 2 2 2 3" xfId="34178" xr:uid="{00000000-0005-0000-0000-0000E3620000}"/>
    <cellStyle name="40% - Accent2 5 2 4 2 2 3" xfId="17227" xr:uid="{00000000-0005-0000-0000-0000E4620000}"/>
    <cellStyle name="40% - Accent2 5 2 4 2 2 3 2" xfId="39829" xr:uid="{00000000-0005-0000-0000-0000E5620000}"/>
    <cellStyle name="40% - Accent2 5 2 4 2 2 4" xfId="28528" xr:uid="{00000000-0005-0000-0000-0000E6620000}"/>
    <cellStyle name="40% - Accent2 5 2 4 2 3" xfId="8744" xr:uid="{00000000-0005-0000-0000-0000E7620000}"/>
    <cellStyle name="40% - Accent2 5 2 4 2 3 2" xfId="20045" xr:uid="{00000000-0005-0000-0000-0000E8620000}"/>
    <cellStyle name="40% - Accent2 5 2 4 2 3 2 2" xfId="42647" xr:uid="{00000000-0005-0000-0000-0000E9620000}"/>
    <cellStyle name="40% - Accent2 5 2 4 2 3 3" xfId="31346" xr:uid="{00000000-0005-0000-0000-0000EA620000}"/>
    <cellStyle name="40% - Accent2 5 2 4 2 4" xfId="14395" xr:uid="{00000000-0005-0000-0000-0000EB620000}"/>
    <cellStyle name="40% - Accent2 5 2 4 2 4 2" xfId="36997" xr:uid="{00000000-0005-0000-0000-0000EC620000}"/>
    <cellStyle name="40% - Accent2 5 2 4 2 5" xfId="25696" xr:uid="{00000000-0005-0000-0000-0000ED620000}"/>
    <cellStyle name="40% - Accent2 5 2 4 3" xfId="4692" xr:uid="{00000000-0005-0000-0000-0000EE620000}"/>
    <cellStyle name="40% - Accent2 5 2 4 3 2" xfId="10342" xr:uid="{00000000-0005-0000-0000-0000EF620000}"/>
    <cellStyle name="40% - Accent2 5 2 4 3 2 2" xfId="21643" xr:uid="{00000000-0005-0000-0000-0000F0620000}"/>
    <cellStyle name="40% - Accent2 5 2 4 3 2 2 2" xfId="44245" xr:uid="{00000000-0005-0000-0000-0000F1620000}"/>
    <cellStyle name="40% - Accent2 5 2 4 3 2 3" xfId="32944" xr:uid="{00000000-0005-0000-0000-0000F2620000}"/>
    <cellStyle name="40% - Accent2 5 2 4 3 3" xfId="15993" xr:uid="{00000000-0005-0000-0000-0000F3620000}"/>
    <cellStyle name="40% - Accent2 5 2 4 3 3 2" xfId="38595" xr:uid="{00000000-0005-0000-0000-0000F4620000}"/>
    <cellStyle name="40% - Accent2 5 2 4 3 4" xfId="27294" xr:uid="{00000000-0005-0000-0000-0000F5620000}"/>
    <cellStyle name="40% - Accent2 5 2 4 4" xfId="6879" xr:uid="{00000000-0005-0000-0000-0000F6620000}"/>
    <cellStyle name="40% - Accent2 5 2 4 4 2" xfId="18180" xr:uid="{00000000-0005-0000-0000-0000F7620000}"/>
    <cellStyle name="40% - Accent2 5 2 4 4 2 2" xfId="40782" xr:uid="{00000000-0005-0000-0000-0000F8620000}"/>
    <cellStyle name="40% - Accent2 5 2 4 4 3" xfId="29481" xr:uid="{00000000-0005-0000-0000-0000F9620000}"/>
    <cellStyle name="40% - Accent2 5 2 4 5" xfId="12530" xr:uid="{00000000-0005-0000-0000-0000FA620000}"/>
    <cellStyle name="40% - Accent2 5 2 4 5 2" xfId="35132" xr:uid="{00000000-0005-0000-0000-0000FB620000}"/>
    <cellStyle name="40% - Accent2 5 2 4 6" xfId="23831" xr:uid="{00000000-0005-0000-0000-0000FC620000}"/>
    <cellStyle name="40% - Accent2 5 2 5" xfId="1826" xr:uid="{00000000-0005-0000-0000-0000FD620000}"/>
    <cellStyle name="40% - Accent2 5 2 5 2" xfId="3684" xr:uid="{00000000-0005-0000-0000-0000FE620000}"/>
    <cellStyle name="40% - Accent2 5 2 5 2 2" xfId="9394" xr:uid="{00000000-0005-0000-0000-0000FF620000}"/>
    <cellStyle name="40% - Accent2 5 2 5 2 2 2" xfId="20695" xr:uid="{00000000-0005-0000-0000-000000630000}"/>
    <cellStyle name="40% - Accent2 5 2 5 2 2 2 2" xfId="43297" xr:uid="{00000000-0005-0000-0000-000001630000}"/>
    <cellStyle name="40% - Accent2 5 2 5 2 2 3" xfId="31996" xr:uid="{00000000-0005-0000-0000-000002630000}"/>
    <cellStyle name="40% - Accent2 5 2 5 2 3" xfId="15045" xr:uid="{00000000-0005-0000-0000-000003630000}"/>
    <cellStyle name="40% - Accent2 5 2 5 2 3 2" xfId="37647" xr:uid="{00000000-0005-0000-0000-000004630000}"/>
    <cellStyle name="40% - Accent2 5 2 5 2 4" xfId="26346" xr:uid="{00000000-0005-0000-0000-000005630000}"/>
    <cellStyle name="40% - Accent2 5 2 5 3" xfId="5302" xr:uid="{00000000-0005-0000-0000-000006630000}"/>
    <cellStyle name="40% - Accent2 5 2 5 3 2" xfId="10952" xr:uid="{00000000-0005-0000-0000-000007630000}"/>
    <cellStyle name="40% - Accent2 5 2 5 3 2 2" xfId="22253" xr:uid="{00000000-0005-0000-0000-000008630000}"/>
    <cellStyle name="40% - Accent2 5 2 5 3 2 2 2" xfId="44855" xr:uid="{00000000-0005-0000-0000-000009630000}"/>
    <cellStyle name="40% - Accent2 5 2 5 3 2 3" xfId="33554" xr:uid="{00000000-0005-0000-0000-00000A630000}"/>
    <cellStyle name="40% - Accent2 5 2 5 3 3" xfId="16603" xr:uid="{00000000-0005-0000-0000-00000B630000}"/>
    <cellStyle name="40% - Accent2 5 2 5 3 3 2" xfId="39205" xr:uid="{00000000-0005-0000-0000-00000C630000}"/>
    <cellStyle name="40% - Accent2 5 2 5 3 4" xfId="27904" xr:uid="{00000000-0005-0000-0000-00000D630000}"/>
    <cellStyle name="40% - Accent2 5 2 5 4" xfId="7682" xr:uid="{00000000-0005-0000-0000-00000E630000}"/>
    <cellStyle name="40% - Accent2 5 2 5 4 2" xfId="18983" xr:uid="{00000000-0005-0000-0000-00000F630000}"/>
    <cellStyle name="40% - Accent2 5 2 5 4 2 2" xfId="41585" xr:uid="{00000000-0005-0000-0000-000010630000}"/>
    <cellStyle name="40% - Accent2 5 2 5 4 3" xfId="30284" xr:uid="{00000000-0005-0000-0000-000011630000}"/>
    <cellStyle name="40% - Accent2 5 2 5 5" xfId="13333" xr:uid="{00000000-0005-0000-0000-000012630000}"/>
    <cellStyle name="40% - Accent2 5 2 5 5 2" xfId="35935" xr:uid="{00000000-0005-0000-0000-000013630000}"/>
    <cellStyle name="40% - Accent2 5 2 5 6" xfId="24634" xr:uid="{00000000-0005-0000-0000-000014630000}"/>
    <cellStyle name="40% - Accent2 5 2 6" xfId="2281" xr:uid="{00000000-0005-0000-0000-000015630000}"/>
    <cellStyle name="40% - Accent2 5 2 6 2" xfId="8117" xr:uid="{00000000-0005-0000-0000-000016630000}"/>
    <cellStyle name="40% - Accent2 5 2 6 2 2" xfId="19418" xr:uid="{00000000-0005-0000-0000-000017630000}"/>
    <cellStyle name="40% - Accent2 5 2 6 2 2 2" xfId="42020" xr:uid="{00000000-0005-0000-0000-000018630000}"/>
    <cellStyle name="40% - Accent2 5 2 6 2 3" xfId="30719" xr:uid="{00000000-0005-0000-0000-000019630000}"/>
    <cellStyle name="40% - Accent2 5 2 6 3" xfId="13768" xr:uid="{00000000-0005-0000-0000-00001A630000}"/>
    <cellStyle name="40% - Accent2 5 2 6 3 2" xfId="36370" xr:uid="{00000000-0005-0000-0000-00001B630000}"/>
    <cellStyle name="40% - Accent2 5 2 6 4" xfId="25069" xr:uid="{00000000-0005-0000-0000-00001C630000}"/>
    <cellStyle name="40% - Accent2 5 2 7" xfId="4068" xr:uid="{00000000-0005-0000-0000-00001D630000}"/>
    <cellStyle name="40% - Accent2 5 2 7 2" xfId="9718" xr:uid="{00000000-0005-0000-0000-00001E630000}"/>
    <cellStyle name="40% - Accent2 5 2 7 2 2" xfId="21019" xr:uid="{00000000-0005-0000-0000-00001F630000}"/>
    <cellStyle name="40% - Accent2 5 2 7 2 2 2" xfId="43621" xr:uid="{00000000-0005-0000-0000-000020630000}"/>
    <cellStyle name="40% - Accent2 5 2 7 2 3" xfId="32320" xr:uid="{00000000-0005-0000-0000-000021630000}"/>
    <cellStyle name="40% - Accent2 5 2 7 3" xfId="15369" xr:uid="{00000000-0005-0000-0000-000022630000}"/>
    <cellStyle name="40% - Accent2 5 2 7 3 2" xfId="37971" xr:uid="{00000000-0005-0000-0000-000023630000}"/>
    <cellStyle name="40% - Accent2 5 2 7 4" xfId="26670" xr:uid="{00000000-0005-0000-0000-000024630000}"/>
    <cellStyle name="40% - Accent2 5 2 8" xfId="6519" xr:uid="{00000000-0005-0000-0000-000025630000}"/>
    <cellStyle name="40% - Accent2 5 2 8 2" xfId="17820" xr:uid="{00000000-0005-0000-0000-000026630000}"/>
    <cellStyle name="40% - Accent2 5 2 8 2 2" xfId="40422" xr:uid="{00000000-0005-0000-0000-000027630000}"/>
    <cellStyle name="40% - Accent2 5 2 8 3" xfId="29121" xr:uid="{00000000-0005-0000-0000-000028630000}"/>
    <cellStyle name="40% - Accent2 5 2 9" xfId="12170" xr:uid="{00000000-0005-0000-0000-000029630000}"/>
    <cellStyle name="40% - Accent2 5 2 9 2" xfId="34772" xr:uid="{00000000-0005-0000-0000-00002A630000}"/>
    <cellStyle name="40% - Accent2 5 3" xfId="524" xr:uid="{00000000-0005-0000-0000-00002B630000}"/>
    <cellStyle name="40% - Accent2 5 3 2" xfId="1237" xr:uid="{00000000-0005-0000-0000-00002C630000}"/>
    <cellStyle name="40% - Accent2 5 3 2 2" xfId="1831" xr:uid="{00000000-0005-0000-0000-00002D630000}"/>
    <cellStyle name="40% - Accent2 5 3 2 2 2" xfId="3306" xr:uid="{00000000-0005-0000-0000-00002E630000}"/>
    <cellStyle name="40% - Accent2 5 3 2 2 2 2" xfId="6278" xr:uid="{00000000-0005-0000-0000-00002F630000}"/>
    <cellStyle name="40% - Accent2 5 3 2 2 2 2 2" xfId="11928" xr:uid="{00000000-0005-0000-0000-000030630000}"/>
    <cellStyle name="40% - Accent2 5 3 2 2 2 2 2 2" xfId="23229" xr:uid="{00000000-0005-0000-0000-000031630000}"/>
    <cellStyle name="40% - Accent2 5 3 2 2 2 2 2 2 2" xfId="45831" xr:uid="{00000000-0005-0000-0000-000032630000}"/>
    <cellStyle name="40% - Accent2 5 3 2 2 2 2 2 3" xfId="34530" xr:uid="{00000000-0005-0000-0000-000033630000}"/>
    <cellStyle name="40% - Accent2 5 3 2 2 2 2 3" xfId="17579" xr:uid="{00000000-0005-0000-0000-000034630000}"/>
    <cellStyle name="40% - Accent2 5 3 2 2 2 2 3 2" xfId="40181" xr:uid="{00000000-0005-0000-0000-000035630000}"/>
    <cellStyle name="40% - Accent2 5 3 2 2 2 2 4" xfId="28880" xr:uid="{00000000-0005-0000-0000-000036630000}"/>
    <cellStyle name="40% - Accent2 5 3 2 2 2 3" xfId="9096" xr:uid="{00000000-0005-0000-0000-000037630000}"/>
    <cellStyle name="40% - Accent2 5 3 2 2 2 3 2" xfId="20397" xr:uid="{00000000-0005-0000-0000-000038630000}"/>
    <cellStyle name="40% - Accent2 5 3 2 2 2 3 2 2" xfId="42999" xr:uid="{00000000-0005-0000-0000-000039630000}"/>
    <cellStyle name="40% - Accent2 5 3 2 2 2 3 3" xfId="31698" xr:uid="{00000000-0005-0000-0000-00003A630000}"/>
    <cellStyle name="40% - Accent2 5 3 2 2 2 4" xfId="14747" xr:uid="{00000000-0005-0000-0000-00003B630000}"/>
    <cellStyle name="40% - Accent2 5 3 2 2 2 4 2" xfId="37349" xr:uid="{00000000-0005-0000-0000-00003C630000}"/>
    <cellStyle name="40% - Accent2 5 3 2 2 2 5" xfId="26048" xr:uid="{00000000-0005-0000-0000-00003D630000}"/>
    <cellStyle name="40% - Accent2 5 3 2 2 3" xfId="5044" xr:uid="{00000000-0005-0000-0000-00003E630000}"/>
    <cellStyle name="40% - Accent2 5 3 2 2 3 2" xfId="10694" xr:uid="{00000000-0005-0000-0000-00003F630000}"/>
    <cellStyle name="40% - Accent2 5 3 2 2 3 2 2" xfId="21995" xr:uid="{00000000-0005-0000-0000-000040630000}"/>
    <cellStyle name="40% - Accent2 5 3 2 2 3 2 2 2" xfId="44597" xr:uid="{00000000-0005-0000-0000-000041630000}"/>
    <cellStyle name="40% - Accent2 5 3 2 2 3 2 3" xfId="33296" xr:uid="{00000000-0005-0000-0000-000042630000}"/>
    <cellStyle name="40% - Accent2 5 3 2 2 3 3" xfId="16345" xr:uid="{00000000-0005-0000-0000-000043630000}"/>
    <cellStyle name="40% - Accent2 5 3 2 2 3 3 2" xfId="38947" xr:uid="{00000000-0005-0000-0000-000044630000}"/>
    <cellStyle name="40% - Accent2 5 3 2 2 3 4" xfId="27646" xr:uid="{00000000-0005-0000-0000-000045630000}"/>
    <cellStyle name="40% - Accent2 5 3 2 2 4" xfId="7687" xr:uid="{00000000-0005-0000-0000-000046630000}"/>
    <cellStyle name="40% - Accent2 5 3 2 2 4 2" xfId="18988" xr:uid="{00000000-0005-0000-0000-000047630000}"/>
    <cellStyle name="40% - Accent2 5 3 2 2 4 2 2" xfId="41590" xr:uid="{00000000-0005-0000-0000-000048630000}"/>
    <cellStyle name="40% - Accent2 5 3 2 2 4 3" xfId="30289" xr:uid="{00000000-0005-0000-0000-000049630000}"/>
    <cellStyle name="40% - Accent2 5 3 2 2 5" xfId="13338" xr:uid="{00000000-0005-0000-0000-00004A630000}"/>
    <cellStyle name="40% - Accent2 5 3 2 2 5 2" xfId="35940" xr:uid="{00000000-0005-0000-0000-00004B630000}"/>
    <cellStyle name="40% - Accent2 5 3 2 2 6" xfId="24639" xr:uid="{00000000-0005-0000-0000-00004C630000}"/>
    <cellStyle name="40% - Accent2 5 3 2 3" xfId="2635" xr:uid="{00000000-0005-0000-0000-00004D630000}"/>
    <cellStyle name="40% - Accent2 5 3 2 3 2" xfId="5654" xr:uid="{00000000-0005-0000-0000-00004E630000}"/>
    <cellStyle name="40% - Accent2 5 3 2 3 2 2" xfId="11304" xr:uid="{00000000-0005-0000-0000-00004F630000}"/>
    <cellStyle name="40% - Accent2 5 3 2 3 2 2 2" xfId="22605" xr:uid="{00000000-0005-0000-0000-000050630000}"/>
    <cellStyle name="40% - Accent2 5 3 2 3 2 2 2 2" xfId="45207" xr:uid="{00000000-0005-0000-0000-000051630000}"/>
    <cellStyle name="40% - Accent2 5 3 2 3 2 2 3" xfId="33906" xr:uid="{00000000-0005-0000-0000-000052630000}"/>
    <cellStyle name="40% - Accent2 5 3 2 3 2 3" xfId="16955" xr:uid="{00000000-0005-0000-0000-000053630000}"/>
    <cellStyle name="40% - Accent2 5 3 2 3 2 3 2" xfId="39557" xr:uid="{00000000-0005-0000-0000-000054630000}"/>
    <cellStyle name="40% - Accent2 5 3 2 3 2 4" xfId="28256" xr:uid="{00000000-0005-0000-0000-000055630000}"/>
    <cellStyle name="40% - Accent2 5 3 2 3 3" xfId="8471" xr:uid="{00000000-0005-0000-0000-000056630000}"/>
    <cellStyle name="40% - Accent2 5 3 2 3 3 2" xfId="19772" xr:uid="{00000000-0005-0000-0000-000057630000}"/>
    <cellStyle name="40% - Accent2 5 3 2 3 3 2 2" xfId="42374" xr:uid="{00000000-0005-0000-0000-000058630000}"/>
    <cellStyle name="40% - Accent2 5 3 2 3 3 3" xfId="31073" xr:uid="{00000000-0005-0000-0000-000059630000}"/>
    <cellStyle name="40% - Accent2 5 3 2 3 4" xfId="14122" xr:uid="{00000000-0005-0000-0000-00005A630000}"/>
    <cellStyle name="40% - Accent2 5 3 2 3 4 2" xfId="36724" xr:uid="{00000000-0005-0000-0000-00005B630000}"/>
    <cellStyle name="40% - Accent2 5 3 2 3 5" xfId="25423" xr:uid="{00000000-0005-0000-0000-00005C630000}"/>
    <cellStyle name="40% - Accent2 5 3 2 4" xfId="4420" xr:uid="{00000000-0005-0000-0000-00005D630000}"/>
    <cellStyle name="40% - Accent2 5 3 2 4 2" xfId="10070" xr:uid="{00000000-0005-0000-0000-00005E630000}"/>
    <cellStyle name="40% - Accent2 5 3 2 4 2 2" xfId="21371" xr:uid="{00000000-0005-0000-0000-00005F630000}"/>
    <cellStyle name="40% - Accent2 5 3 2 4 2 2 2" xfId="43973" xr:uid="{00000000-0005-0000-0000-000060630000}"/>
    <cellStyle name="40% - Accent2 5 3 2 4 2 3" xfId="32672" xr:uid="{00000000-0005-0000-0000-000061630000}"/>
    <cellStyle name="40% - Accent2 5 3 2 4 3" xfId="15721" xr:uid="{00000000-0005-0000-0000-000062630000}"/>
    <cellStyle name="40% - Accent2 5 3 2 4 3 2" xfId="38323" xr:uid="{00000000-0005-0000-0000-000063630000}"/>
    <cellStyle name="40% - Accent2 5 3 2 4 4" xfId="27022" xr:uid="{00000000-0005-0000-0000-000064630000}"/>
    <cellStyle name="40% - Accent2 5 3 2 5" xfId="7216" xr:uid="{00000000-0005-0000-0000-000065630000}"/>
    <cellStyle name="40% - Accent2 5 3 2 5 2" xfId="18517" xr:uid="{00000000-0005-0000-0000-000066630000}"/>
    <cellStyle name="40% - Accent2 5 3 2 5 2 2" xfId="41119" xr:uid="{00000000-0005-0000-0000-000067630000}"/>
    <cellStyle name="40% - Accent2 5 3 2 5 3" xfId="29818" xr:uid="{00000000-0005-0000-0000-000068630000}"/>
    <cellStyle name="40% - Accent2 5 3 2 6" xfId="12867" xr:uid="{00000000-0005-0000-0000-000069630000}"/>
    <cellStyle name="40% - Accent2 5 3 2 6 2" xfId="35469" xr:uid="{00000000-0005-0000-0000-00006A630000}"/>
    <cellStyle name="40% - Accent2 5 3 2 7" xfId="24168" xr:uid="{00000000-0005-0000-0000-00006B630000}"/>
    <cellStyle name="40% - Accent2 5 3 3" xfId="935" xr:uid="{00000000-0005-0000-0000-00006C630000}"/>
    <cellStyle name="40% - Accent2 5 3 3 2" xfId="2998" xr:uid="{00000000-0005-0000-0000-00006D630000}"/>
    <cellStyle name="40% - Accent2 5 3 3 2 2" xfId="5970" xr:uid="{00000000-0005-0000-0000-00006E630000}"/>
    <cellStyle name="40% - Accent2 5 3 3 2 2 2" xfId="11620" xr:uid="{00000000-0005-0000-0000-00006F630000}"/>
    <cellStyle name="40% - Accent2 5 3 3 2 2 2 2" xfId="22921" xr:uid="{00000000-0005-0000-0000-000070630000}"/>
    <cellStyle name="40% - Accent2 5 3 3 2 2 2 2 2" xfId="45523" xr:uid="{00000000-0005-0000-0000-000071630000}"/>
    <cellStyle name="40% - Accent2 5 3 3 2 2 2 3" xfId="34222" xr:uid="{00000000-0005-0000-0000-000072630000}"/>
    <cellStyle name="40% - Accent2 5 3 3 2 2 3" xfId="17271" xr:uid="{00000000-0005-0000-0000-000073630000}"/>
    <cellStyle name="40% - Accent2 5 3 3 2 2 3 2" xfId="39873" xr:uid="{00000000-0005-0000-0000-000074630000}"/>
    <cellStyle name="40% - Accent2 5 3 3 2 2 4" xfId="28572" xr:uid="{00000000-0005-0000-0000-000075630000}"/>
    <cellStyle name="40% - Accent2 5 3 3 2 3" xfId="8788" xr:uid="{00000000-0005-0000-0000-000076630000}"/>
    <cellStyle name="40% - Accent2 5 3 3 2 3 2" xfId="20089" xr:uid="{00000000-0005-0000-0000-000077630000}"/>
    <cellStyle name="40% - Accent2 5 3 3 2 3 2 2" xfId="42691" xr:uid="{00000000-0005-0000-0000-000078630000}"/>
    <cellStyle name="40% - Accent2 5 3 3 2 3 3" xfId="31390" xr:uid="{00000000-0005-0000-0000-000079630000}"/>
    <cellStyle name="40% - Accent2 5 3 3 2 4" xfId="14439" xr:uid="{00000000-0005-0000-0000-00007A630000}"/>
    <cellStyle name="40% - Accent2 5 3 3 2 4 2" xfId="37041" xr:uid="{00000000-0005-0000-0000-00007B630000}"/>
    <cellStyle name="40% - Accent2 5 3 3 2 5" xfId="25740" xr:uid="{00000000-0005-0000-0000-00007C630000}"/>
    <cellStyle name="40% - Accent2 5 3 3 3" xfId="4736" xr:uid="{00000000-0005-0000-0000-00007D630000}"/>
    <cellStyle name="40% - Accent2 5 3 3 3 2" xfId="10386" xr:uid="{00000000-0005-0000-0000-00007E630000}"/>
    <cellStyle name="40% - Accent2 5 3 3 3 2 2" xfId="21687" xr:uid="{00000000-0005-0000-0000-00007F630000}"/>
    <cellStyle name="40% - Accent2 5 3 3 3 2 2 2" xfId="44289" xr:uid="{00000000-0005-0000-0000-000080630000}"/>
    <cellStyle name="40% - Accent2 5 3 3 3 2 3" xfId="32988" xr:uid="{00000000-0005-0000-0000-000081630000}"/>
    <cellStyle name="40% - Accent2 5 3 3 3 3" xfId="16037" xr:uid="{00000000-0005-0000-0000-000082630000}"/>
    <cellStyle name="40% - Accent2 5 3 3 3 3 2" xfId="38639" xr:uid="{00000000-0005-0000-0000-000083630000}"/>
    <cellStyle name="40% - Accent2 5 3 3 3 4" xfId="27338" xr:uid="{00000000-0005-0000-0000-000084630000}"/>
    <cellStyle name="40% - Accent2 5 3 3 4" xfId="6923" xr:uid="{00000000-0005-0000-0000-000085630000}"/>
    <cellStyle name="40% - Accent2 5 3 3 4 2" xfId="18224" xr:uid="{00000000-0005-0000-0000-000086630000}"/>
    <cellStyle name="40% - Accent2 5 3 3 4 2 2" xfId="40826" xr:uid="{00000000-0005-0000-0000-000087630000}"/>
    <cellStyle name="40% - Accent2 5 3 3 4 3" xfId="29525" xr:uid="{00000000-0005-0000-0000-000088630000}"/>
    <cellStyle name="40% - Accent2 5 3 3 5" xfId="12574" xr:uid="{00000000-0005-0000-0000-000089630000}"/>
    <cellStyle name="40% - Accent2 5 3 3 5 2" xfId="35176" xr:uid="{00000000-0005-0000-0000-00008A630000}"/>
    <cellStyle name="40% - Accent2 5 3 3 6" xfId="23875" xr:uid="{00000000-0005-0000-0000-00008B630000}"/>
    <cellStyle name="40% - Accent2 5 3 4" xfId="1830" xr:uid="{00000000-0005-0000-0000-00008C630000}"/>
    <cellStyle name="40% - Accent2 5 3 4 2" xfId="3686" xr:uid="{00000000-0005-0000-0000-00008D630000}"/>
    <cellStyle name="40% - Accent2 5 3 4 2 2" xfId="9396" xr:uid="{00000000-0005-0000-0000-00008E630000}"/>
    <cellStyle name="40% - Accent2 5 3 4 2 2 2" xfId="20697" xr:uid="{00000000-0005-0000-0000-00008F630000}"/>
    <cellStyle name="40% - Accent2 5 3 4 2 2 2 2" xfId="43299" xr:uid="{00000000-0005-0000-0000-000090630000}"/>
    <cellStyle name="40% - Accent2 5 3 4 2 2 3" xfId="31998" xr:uid="{00000000-0005-0000-0000-000091630000}"/>
    <cellStyle name="40% - Accent2 5 3 4 2 3" xfId="15047" xr:uid="{00000000-0005-0000-0000-000092630000}"/>
    <cellStyle name="40% - Accent2 5 3 4 2 3 2" xfId="37649" xr:uid="{00000000-0005-0000-0000-000093630000}"/>
    <cellStyle name="40% - Accent2 5 3 4 2 4" xfId="26348" xr:uid="{00000000-0005-0000-0000-000094630000}"/>
    <cellStyle name="40% - Accent2 5 3 4 3" xfId="5346" xr:uid="{00000000-0005-0000-0000-000095630000}"/>
    <cellStyle name="40% - Accent2 5 3 4 3 2" xfId="10996" xr:uid="{00000000-0005-0000-0000-000096630000}"/>
    <cellStyle name="40% - Accent2 5 3 4 3 2 2" xfId="22297" xr:uid="{00000000-0005-0000-0000-000097630000}"/>
    <cellStyle name="40% - Accent2 5 3 4 3 2 2 2" xfId="44899" xr:uid="{00000000-0005-0000-0000-000098630000}"/>
    <cellStyle name="40% - Accent2 5 3 4 3 2 3" xfId="33598" xr:uid="{00000000-0005-0000-0000-000099630000}"/>
    <cellStyle name="40% - Accent2 5 3 4 3 3" xfId="16647" xr:uid="{00000000-0005-0000-0000-00009A630000}"/>
    <cellStyle name="40% - Accent2 5 3 4 3 3 2" xfId="39249" xr:uid="{00000000-0005-0000-0000-00009B630000}"/>
    <cellStyle name="40% - Accent2 5 3 4 3 4" xfId="27948" xr:uid="{00000000-0005-0000-0000-00009C630000}"/>
    <cellStyle name="40% - Accent2 5 3 4 4" xfId="7686" xr:uid="{00000000-0005-0000-0000-00009D630000}"/>
    <cellStyle name="40% - Accent2 5 3 4 4 2" xfId="18987" xr:uid="{00000000-0005-0000-0000-00009E630000}"/>
    <cellStyle name="40% - Accent2 5 3 4 4 2 2" xfId="41589" xr:uid="{00000000-0005-0000-0000-00009F630000}"/>
    <cellStyle name="40% - Accent2 5 3 4 4 3" xfId="30288" xr:uid="{00000000-0005-0000-0000-0000A0630000}"/>
    <cellStyle name="40% - Accent2 5 3 4 5" xfId="13337" xr:uid="{00000000-0005-0000-0000-0000A1630000}"/>
    <cellStyle name="40% - Accent2 5 3 4 5 2" xfId="35939" xr:uid="{00000000-0005-0000-0000-0000A2630000}"/>
    <cellStyle name="40% - Accent2 5 3 4 6" xfId="24638" xr:uid="{00000000-0005-0000-0000-0000A3630000}"/>
    <cellStyle name="40% - Accent2 5 3 5" xfId="2327" xr:uid="{00000000-0005-0000-0000-0000A4630000}"/>
    <cellStyle name="40% - Accent2 5 3 5 2" xfId="8163" xr:uid="{00000000-0005-0000-0000-0000A5630000}"/>
    <cellStyle name="40% - Accent2 5 3 5 2 2" xfId="19464" xr:uid="{00000000-0005-0000-0000-0000A6630000}"/>
    <cellStyle name="40% - Accent2 5 3 5 2 2 2" xfId="42066" xr:uid="{00000000-0005-0000-0000-0000A7630000}"/>
    <cellStyle name="40% - Accent2 5 3 5 2 3" xfId="30765" xr:uid="{00000000-0005-0000-0000-0000A8630000}"/>
    <cellStyle name="40% - Accent2 5 3 5 3" xfId="13814" xr:uid="{00000000-0005-0000-0000-0000A9630000}"/>
    <cellStyle name="40% - Accent2 5 3 5 3 2" xfId="36416" xr:uid="{00000000-0005-0000-0000-0000AA630000}"/>
    <cellStyle name="40% - Accent2 5 3 5 4" xfId="25115" xr:uid="{00000000-0005-0000-0000-0000AB630000}"/>
    <cellStyle name="40% - Accent2 5 3 6" xfId="4112" xr:uid="{00000000-0005-0000-0000-0000AC630000}"/>
    <cellStyle name="40% - Accent2 5 3 6 2" xfId="9762" xr:uid="{00000000-0005-0000-0000-0000AD630000}"/>
    <cellStyle name="40% - Accent2 5 3 6 2 2" xfId="21063" xr:uid="{00000000-0005-0000-0000-0000AE630000}"/>
    <cellStyle name="40% - Accent2 5 3 6 2 2 2" xfId="43665" xr:uid="{00000000-0005-0000-0000-0000AF630000}"/>
    <cellStyle name="40% - Accent2 5 3 6 2 3" xfId="32364" xr:uid="{00000000-0005-0000-0000-0000B0630000}"/>
    <cellStyle name="40% - Accent2 5 3 6 3" xfId="15413" xr:uid="{00000000-0005-0000-0000-0000B1630000}"/>
    <cellStyle name="40% - Accent2 5 3 6 3 2" xfId="38015" xr:uid="{00000000-0005-0000-0000-0000B2630000}"/>
    <cellStyle name="40% - Accent2 5 3 6 4" xfId="26714" xr:uid="{00000000-0005-0000-0000-0000B3630000}"/>
    <cellStyle name="40% - Accent2 5 3 7" xfId="6590" xr:uid="{00000000-0005-0000-0000-0000B4630000}"/>
    <cellStyle name="40% - Accent2 5 3 7 2" xfId="17891" xr:uid="{00000000-0005-0000-0000-0000B5630000}"/>
    <cellStyle name="40% - Accent2 5 3 7 2 2" xfId="40493" xr:uid="{00000000-0005-0000-0000-0000B6630000}"/>
    <cellStyle name="40% - Accent2 5 3 7 3" xfId="29192" xr:uid="{00000000-0005-0000-0000-0000B7630000}"/>
    <cellStyle name="40% - Accent2 5 3 8" xfId="12241" xr:uid="{00000000-0005-0000-0000-0000B8630000}"/>
    <cellStyle name="40% - Accent2 5 3 8 2" xfId="34843" xr:uid="{00000000-0005-0000-0000-0000B9630000}"/>
    <cellStyle name="40% - Accent2 5 3 9" xfId="23542" xr:uid="{00000000-0005-0000-0000-0000BA630000}"/>
    <cellStyle name="40% - Accent2 5 4" xfId="1097" xr:uid="{00000000-0005-0000-0000-0000BB630000}"/>
    <cellStyle name="40% - Accent2 5 4 2" xfId="1832" xr:uid="{00000000-0005-0000-0000-0000BC630000}"/>
    <cellStyle name="40% - Accent2 5 4 2 2" xfId="3165" xr:uid="{00000000-0005-0000-0000-0000BD630000}"/>
    <cellStyle name="40% - Accent2 5 4 2 2 2" xfId="6137" xr:uid="{00000000-0005-0000-0000-0000BE630000}"/>
    <cellStyle name="40% - Accent2 5 4 2 2 2 2" xfId="11787" xr:uid="{00000000-0005-0000-0000-0000BF630000}"/>
    <cellStyle name="40% - Accent2 5 4 2 2 2 2 2" xfId="23088" xr:uid="{00000000-0005-0000-0000-0000C0630000}"/>
    <cellStyle name="40% - Accent2 5 4 2 2 2 2 2 2" xfId="45690" xr:uid="{00000000-0005-0000-0000-0000C1630000}"/>
    <cellStyle name="40% - Accent2 5 4 2 2 2 2 3" xfId="34389" xr:uid="{00000000-0005-0000-0000-0000C2630000}"/>
    <cellStyle name="40% - Accent2 5 4 2 2 2 3" xfId="17438" xr:uid="{00000000-0005-0000-0000-0000C3630000}"/>
    <cellStyle name="40% - Accent2 5 4 2 2 2 3 2" xfId="40040" xr:uid="{00000000-0005-0000-0000-0000C4630000}"/>
    <cellStyle name="40% - Accent2 5 4 2 2 2 4" xfId="28739" xr:uid="{00000000-0005-0000-0000-0000C5630000}"/>
    <cellStyle name="40% - Accent2 5 4 2 2 3" xfId="8955" xr:uid="{00000000-0005-0000-0000-0000C6630000}"/>
    <cellStyle name="40% - Accent2 5 4 2 2 3 2" xfId="20256" xr:uid="{00000000-0005-0000-0000-0000C7630000}"/>
    <cellStyle name="40% - Accent2 5 4 2 2 3 2 2" xfId="42858" xr:uid="{00000000-0005-0000-0000-0000C8630000}"/>
    <cellStyle name="40% - Accent2 5 4 2 2 3 3" xfId="31557" xr:uid="{00000000-0005-0000-0000-0000C9630000}"/>
    <cellStyle name="40% - Accent2 5 4 2 2 4" xfId="14606" xr:uid="{00000000-0005-0000-0000-0000CA630000}"/>
    <cellStyle name="40% - Accent2 5 4 2 2 4 2" xfId="37208" xr:uid="{00000000-0005-0000-0000-0000CB630000}"/>
    <cellStyle name="40% - Accent2 5 4 2 2 5" xfId="25907" xr:uid="{00000000-0005-0000-0000-0000CC630000}"/>
    <cellStyle name="40% - Accent2 5 4 2 3" xfId="4903" xr:uid="{00000000-0005-0000-0000-0000CD630000}"/>
    <cellStyle name="40% - Accent2 5 4 2 3 2" xfId="10553" xr:uid="{00000000-0005-0000-0000-0000CE630000}"/>
    <cellStyle name="40% - Accent2 5 4 2 3 2 2" xfId="21854" xr:uid="{00000000-0005-0000-0000-0000CF630000}"/>
    <cellStyle name="40% - Accent2 5 4 2 3 2 2 2" xfId="44456" xr:uid="{00000000-0005-0000-0000-0000D0630000}"/>
    <cellStyle name="40% - Accent2 5 4 2 3 2 3" xfId="33155" xr:uid="{00000000-0005-0000-0000-0000D1630000}"/>
    <cellStyle name="40% - Accent2 5 4 2 3 3" xfId="16204" xr:uid="{00000000-0005-0000-0000-0000D2630000}"/>
    <cellStyle name="40% - Accent2 5 4 2 3 3 2" xfId="38806" xr:uid="{00000000-0005-0000-0000-0000D3630000}"/>
    <cellStyle name="40% - Accent2 5 4 2 3 4" xfId="27505" xr:uid="{00000000-0005-0000-0000-0000D4630000}"/>
    <cellStyle name="40% - Accent2 5 4 2 4" xfId="7688" xr:uid="{00000000-0005-0000-0000-0000D5630000}"/>
    <cellStyle name="40% - Accent2 5 4 2 4 2" xfId="18989" xr:uid="{00000000-0005-0000-0000-0000D6630000}"/>
    <cellStyle name="40% - Accent2 5 4 2 4 2 2" xfId="41591" xr:uid="{00000000-0005-0000-0000-0000D7630000}"/>
    <cellStyle name="40% - Accent2 5 4 2 4 3" xfId="30290" xr:uid="{00000000-0005-0000-0000-0000D8630000}"/>
    <cellStyle name="40% - Accent2 5 4 2 5" xfId="13339" xr:uid="{00000000-0005-0000-0000-0000D9630000}"/>
    <cellStyle name="40% - Accent2 5 4 2 5 2" xfId="35941" xr:uid="{00000000-0005-0000-0000-0000DA630000}"/>
    <cellStyle name="40% - Accent2 5 4 2 6" xfId="24640" xr:uid="{00000000-0005-0000-0000-0000DB630000}"/>
    <cellStyle name="40% - Accent2 5 4 3" xfId="2494" xr:uid="{00000000-0005-0000-0000-0000DC630000}"/>
    <cellStyle name="40% - Accent2 5 4 3 2" xfId="5513" xr:uid="{00000000-0005-0000-0000-0000DD630000}"/>
    <cellStyle name="40% - Accent2 5 4 3 2 2" xfId="11163" xr:uid="{00000000-0005-0000-0000-0000DE630000}"/>
    <cellStyle name="40% - Accent2 5 4 3 2 2 2" xfId="22464" xr:uid="{00000000-0005-0000-0000-0000DF630000}"/>
    <cellStyle name="40% - Accent2 5 4 3 2 2 2 2" xfId="45066" xr:uid="{00000000-0005-0000-0000-0000E0630000}"/>
    <cellStyle name="40% - Accent2 5 4 3 2 2 3" xfId="33765" xr:uid="{00000000-0005-0000-0000-0000E1630000}"/>
    <cellStyle name="40% - Accent2 5 4 3 2 3" xfId="16814" xr:uid="{00000000-0005-0000-0000-0000E2630000}"/>
    <cellStyle name="40% - Accent2 5 4 3 2 3 2" xfId="39416" xr:uid="{00000000-0005-0000-0000-0000E3630000}"/>
    <cellStyle name="40% - Accent2 5 4 3 2 4" xfId="28115" xr:uid="{00000000-0005-0000-0000-0000E4630000}"/>
    <cellStyle name="40% - Accent2 5 4 3 3" xfId="8330" xr:uid="{00000000-0005-0000-0000-0000E5630000}"/>
    <cellStyle name="40% - Accent2 5 4 3 3 2" xfId="19631" xr:uid="{00000000-0005-0000-0000-0000E6630000}"/>
    <cellStyle name="40% - Accent2 5 4 3 3 2 2" xfId="42233" xr:uid="{00000000-0005-0000-0000-0000E7630000}"/>
    <cellStyle name="40% - Accent2 5 4 3 3 3" xfId="30932" xr:uid="{00000000-0005-0000-0000-0000E8630000}"/>
    <cellStyle name="40% - Accent2 5 4 3 4" xfId="13981" xr:uid="{00000000-0005-0000-0000-0000E9630000}"/>
    <cellStyle name="40% - Accent2 5 4 3 4 2" xfId="36583" xr:uid="{00000000-0005-0000-0000-0000EA630000}"/>
    <cellStyle name="40% - Accent2 5 4 3 5" xfId="25282" xr:uid="{00000000-0005-0000-0000-0000EB630000}"/>
    <cellStyle name="40% - Accent2 5 4 4" xfId="4279" xr:uid="{00000000-0005-0000-0000-0000EC630000}"/>
    <cellStyle name="40% - Accent2 5 4 4 2" xfId="9929" xr:uid="{00000000-0005-0000-0000-0000ED630000}"/>
    <cellStyle name="40% - Accent2 5 4 4 2 2" xfId="21230" xr:uid="{00000000-0005-0000-0000-0000EE630000}"/>
    <cellStyle name="40% - Accent2 5 4 4 2 2 2" xfId="43832" xr:uid="{00000000-0005-0000-0000-0000EF630000}"/>
    <cellStyle name="40% - Accent2 5 4 4 2 3" xfId="32531" xr:uid="{00000000-0005-0000-0000-0000F0630000}"/>
    <cellStyle name="40% - Accent2 5 4 4 3" xfId="15580" xr:uid="{00000000-0005-0000-0000-0000F1630000}"/>
    <cellStyle name="40% - Accent2 5 4 4 3 2" xfId="38182" xr:uid="{00000000-0005-0000-0000-0000F2630000}"/>
    <cellStyle name="40% - Accent2 5 4 4 4" xfId="26881" xr:uid="{00000000-0005-0000-0000-0000F3630000}"/>
    <cellStyle name="40% - Accent2 5 4 5" xfId="7076" xr:uid="{00000000-0005-0000-0000-0000F4630000}"/>
    <cellStyle name="40% - Accent2 5 4 5 2" xfId="18377" xr:uid="{00000000-0005-0000-0000-0000F5630000}"/>
    <cellStyle name="40% - Accent2 5 4 5 2 2" xfId="40979" xr:uid="{00000000-0005-0000-0000-0000F6630000}"/>
    <cellStyle name="40% - Accent2 5 4 5 3" xfId="29678" xr:uid="{00000000-0005-0000-0000-0000F7630000}"/>
    <cellStyle name="40% - Accent2 5 4 6" xfId="12727" xr:uid="{00000000-0005-0000-0000-0000F8630000}"/>
    <cellStyle name="40% - Accent2 5 4 6 2" xfId="35329" xr:uid="{00000000-0005-0000-0000-0000F9630000}"/>
    <cellStyle name="40% - Accent2 5 4 7" xfId="24028" xr:uid="{00000000-0005-0000-0000-0000FA630000}"/>
    <cellStyle name="40% - Accent2 5 5" xfId="776" xr:uid="{00000000-0005-0000-0000-0000FB630000}"/>
    <cellStyle name="40% - Accent2 5 5 2" xfId="2858" xr:uid="{00000000-0005-0000-0000-0000FC630000}"/>
    <cellStyle name="40% - Accent2 5 5 2 2" xfId="5830" xr:uid="{00000000-0005-0000-0000-0000FD630000}"/>
    <cellStyle name="40% - Accent2 5 5 2 2 2" xfId="11480" xr:uid="{00000000-0005-0000-0000-0000FE630000}"/>
    <cellStyle name="40% - Accent2 5 5 2 2 2 2" xfId="22781" xr:uid="{00000000-0005-0000-0000-0000FF630000}"/>
    <cellStyle name="40% - Accent2 5 5 2 2 2 2 2" xfId="45383" xr:uid="{00000000-0005-0000-0000-000000640000}"/>
    <cellStyle name="40% - Accent2 5 5 2 2 2 3" xfId="34082" xr:uid="{00000000-0005-0000-0000-000001640000}"/>
    <cellStyle name="40% - Accent2 5 5 2 2 3" xfId="17131" xr:uid="{00000000-0005-0000-0000-000002640000}"/>
    <cellStyle name="40% - Accent2 5 5 2 2 3 2" xfId="39733" xr:uid="{00000000-0005-0000-0000-000003640000}"/>
    <cellStyle name="40% - Accent2 5 5 2 2 4" xfId="28432" xr:uid="{00000000-0005-0000-0000-000004640000}"/>
    <cellStyle name="40% - Accent2 5 5 2 3" xfId="8648" xr:uid="{00000000-0005-0000-0000-000005640000}"/>
    <cellStyle name="40% - Accent2 5 5 2 3 2" xfId="19949" xr:uid="{00000000-0005-0000-0000-000006640000}"/>
    <cellStyle name="40% - Accent2 5 5 2 3 2 2" xfId="42551" xr:uid="{00000000-0005-0000-0000-000007640000}"/>
    <cellStyle name="40% - Accent2 5 5 2 3 3" xfId="31250" xr:uid="{00000000-0005-0000-0000-000008640000}"/>
    <cellStyle name="40% - Accent2 5 5 2 4" xfId="14299" xr:uid="{00000000-0005-0000-0000-000009640000}"/>
    <cellStyle name="40% - Accent2 5 5 2 4 2" xfId="36901" xr:uid="{00000000-0005-0000-0000-00000A640000}"/>
    <cellStyle name="40% - Accent2 5 5 2 5" xfId="25600" xr:uid="{00000000-0005-0000-0000-00000B640000}"/>
    <cellStyle name="40% - Accent2 5 5 3" xfId="4596" xr:uid="{00000000-0005-0000-0000-00000C640000}"/>
    <cellStyle name="40% - Accent2 5 5 3 2" xfId="10246" xr:uid="{00000000-0005-0000-0000-00000D640000}"/>
    <cellStyle name="40% - Accent2 5 5 3 2 2" xfId="21547" xr:uid="{00000000-0005-0000-0000-00000E640000}"/>
    <cellStyle name="40% - Accent2 5 5 3 2 2 2" xfId="44149" xr:uid="{00000000-0005-0000-0000-00000F640000}"/>
    <cellStyle name="40% - Accent2 5 5 3 2 3" xfId="32848" xr:uid="{00000000-0005-0000-0000-000010640000}"/>
    <cellStyle name="40% - Accent2 5 5 3 3" xfId="15897" xr:uid="{00000000-0005-0000-0000-000011640000}"/>
    <cellStyle name="40% - Accent2 5 5 3 3 2" xfId="38499" xr:uid="{00000000-0005-0000-0000-000012640000}"/>
    <cellStyle name="40% - Accent2 5 5 3 4" xfId="27198" xr:uid="{00000000-0005-0000-0000-000013640000}"/>
    <cellStyle name="40% - Accent2 5 5 4" xfId="6781" xr:uid="{00000000-0005-0000-0000-000014640000}"/>
    <cellStyle name="40% - Accent2 5 5 4 2" xfId="18082" xr:uid="{00000000-0005-0000-0000-000015640000}"/>
    <cellStyle name="40% - Accent2 5 5 4 2 2" xfId="40684" xr:uid="{00000000-0005-0000-0000-000016640000}"/>
    <cellStyle name="40% - Accent2 5 5 4 3" xfId="29383" xr:uid="{00000000-0005-0000-0000-000017640000}"/>
    <cellStyle name="40% - Accent2 5 5 5" xfId="12432" xr:uid="{00000000-0005-0000-0000-000018640000}"/>
    <cellStyle name="40% - Accent2 5 5 5 2" xfId="35034" xr:uid="{00000000-0005-0000-0000-000019640000}"/>
    <cellStyle name="40% - Accent2 5 5 6" xfId="23733" xr:uid="{00000000-0005-0000-0000-00001A640000}"/>
    <cellStyle name="40% - Accent2 5 6" xfId="1825" xr:uid="{00000000-0005-0000-0000-00001B640000}"/>
    <cellStyle name="40% - Accent2 5 6 2" xfId="3683" xr:uid="{00000000-0005-0000-0000-00001C640000}"/>
    <cellStyle name="40% - Accent2 5 6 2 2" xfId="9393" xr:uid="{00000000-0005-0000-0000-00001D640000}"/>
    <cellStyle name="40% - Accent2 5 6 2 2 2" xfId="20694" xr:uid="{00000000-0005-0000-0000-00001E640000}"/>
    <cellStyle name="40% - Accent2 5 6 2 2 2 2" xfId="43296" xr:uid="{00000000-0005-0000-0000-00001F640000}"/>
    <cellStyle name="40% - Accent2 5 6 2 2 3" xfId="31995" xr:uid="{00000000-0005-0000-0000-000020640000}"/>
    <cellStyle name="40% - Accent2 5 6 2 3" xfId="15044" xr:uid="{00000000-0005-0000-0000-000021640000}"/>
    <cellStyle name="40% - Accent2 5 6 2 3 2" xfId="37646" xr:uid="{00000000-0005-0000-0000-000022640000}"/>
    <cellStyle name="40% - Accent2 5 6 2 4" xfId="26345" xr:uid="{00000000-0005-0000-0000-000023640000}"/>
    <cellStyle name="40% - Accent2 5 6 3" xfId="5206" xr:uid="{00000000-0005-0000-0000-000024640000}"/>
    <cellStyle name="40% - Accent2 5 6 3 2" xfId="10856" xr:uid="{00000000-0005-0000-0000-000025640000}"/>
    <cellStyle name="40% - Accent2 5 6 3 2 2" xfId="22157" xr:uid="{00000000-0005-0000-0000-000026640000}"/>
    <cellStyle name="40% - Accent2 5 6 3 2 2 2" xfId="44759" xr:uid="{00000000-0005-0000-0000-000027640000}"/>
    <cellStyle name="40% - Accent2 5 6 3 2 3" xfId="33458" xr:uid="{00000000-0005-0000-0000-000028640000}"/>
    <cellStyle name="40% - Accent2 5 6 3 3" xfId="16507" xr:uid="{00000000-0005-0000-0000-000029640000}"/>
    <cellStyle name="40% - Accent2 5 6 3 3 2" xfId="39109" xr:uid="{00000000-0005-0000-0000-00002A640000}"/>
    <cellStyle name="40% - Accent2 5 6 3 4" xfId="27808" xr:uid="{00000000-0005-0000-0000-00002B640000}"/>
    <cellStyle name="40% - Accent2 5 6 4" xfId="7681" xr:uid="{00000000-0005-0000-0000-00002C640000}"/>
    <cellStyle name="40% - Accent2 5 6 4 2" xfId="18982" xr:uid="{00000000-0005-0000-0000-00002D640000}"/>
    <cellStyle name="40% - Accent2 5 6 4 2 2" xfId="41584" xr:uid="{00000000-0005-0000-0000-00002E640000}"/>
    <cellStyle name="40% - Accent2 5 6 4 3" xfId="30283" xr:uid="{00000000-0005-0000-0000-00002F640000}"/>
    <cellStyle name="40% - Accent2 5 6 5" xfId="13332" xr:uid="{00000000-0005-0000-0000-000030640000}"/>
    <cellStyle name="40% - Accent2 5 6 5 2" xfId="35934" xr:uid="{00000000-0005-0000-0000-000031640000}"/>
    <cellStyle name="40% - Accent2 5 6 6" xfId="24633" xr:uid="{00000000-0005-0000-0000-000032640000}"/>
    <cellStyle name="40% - Accent2 5 7" xfId="2179" xr:uid="{00000000-0005-0000-0000-000033640000}"/>
    <cellStyle name="40% - Accent2 5 7 2" xfId="8020" xr:uid="{00000000-0005-0000-0000-000034640000}"/>
    <cellStyle name="40% - Accent2 5 7 2 2" xfId="19321" xr:uid="{00000000-0005-0000-0000-000035640000}"/>
    <cellStyle name="40% - Accent2 5 7 2 2 2" xfId="41923" xr:uid="{00000000-0005-0000-0000-000036640000}"/>
    <cellStyle name="40% - Accent2 5 7 2 3" xfId="30622" xr:uid="{00000000-0005-0000-0000-000037640000}"/>
    <cellStyle name="40% - Accent2 5 7 3" xfId="13671" xr:uid="{00000000-0005-0000-0000-000038640000}"/>
    <cellStyle name="40% - Accent2 5 7 3 2" xfId="36273" xr:uid="{00000000-0005-0000-0000-000039640000}"/>
    <cellStyle name="40% - Accent2 5 7 4" xfId="24972" xr:uid="{00000000-0005-0000-0000-00003A640000}"/>
    <cellStyle name="40% - Accent2 5 8" xfId="3972" xr:uid="{00000000-0005-0000-0000-00003B640000}"/>
    <cellStyle name="40% - Accent2 5 8 2" xfId="9622" xr:uid="{00000000-0005-0000-0000-00003C640000}"/>
    <cellStyle name="40% - Accent2 5 8 2 2" xfId="20923" xr:uid="{00000000-0005-0000-0000-00003D640000}"/>
    <cellStyle name="40% - Accent2 5 8 2 2 2" xfId="43525" xr:uid="{00000000-0005-0000-0000-00003E640000}"/>
    <cellStyle name="40% - Accent2 5 8 2 3" xfId="32224" xr:uid="{00000000-0005-0000-0000-00003F640000}"/>
    <cellStyle name="40% - Accent2 5 8 3" xfId="15273" xr:uid="{00000000-0005-0000-0000-000040640000}"/>
    <cellStyle name="40% - Accent2 5 8 3 2" xfId="37875" xr:uid="{00000000-0005-0000-0000-000041640000}"/>
    <cellStyle name="40% - Accent2 5 8 4" xfId="26574" xr:uid="{00000000-0005-0000-0000-000042640000}"/>
    <cellStyle name="40% - Accent2 5 9" xfId="6423" xr:uid="{00000000-0005-0000-0000-000043640000}"/>
    <cellStyle name="40% - Accent2 5 9 2" xfId="17724" xr:uid="{00000000-0005-0000-0000-000044640000}"/>
    <cellStyle name="40% - Accent2 5 9 2 2" xfId="40326" xr:uid="{00000000-0005-0000-0000-000045640000}"/>
    <cellStyle name="40% - Accent2 5 9 3" xfId="29025" xr:uid="{00000000-0005-0000-0000-000046640000}"/>
    <cellStyle name="40% - Accent2 6" xfId="235" xr:uid="{00000000-0005-0000-0000-000047640000}"/>
    <cellStyle name="40% - Accent2 7" xfId="334" xr:uid="{00000000-0005-0000-0000-000048640000}"/>
    <cellStyle name="40% - Accent2 7 10" xfId="23429" xr:uid="{00000000-0005-0000-0000-000049640000}"/>
    <cellStyle name="40% - Accent2 7 2" xfId="579" xr:uid="{00000000-0005-0000-0000-00004A640000}"/>
    <cellStyle name="40% - Accent2 7 2 2" xfId="1289" xr:uid="{00000000-0005-0000-0000-00004B640000}"/>
    <cellStyle name="40% - Accent2 7 2 2 2" xfId="1835" xr:uid="{00000000-0005-0000-0000-00004C640000}"/>
    <cellStyle name="40% - Accent2 7 2 2 2 2" xfId="3358" xr:uid="{00000000-0005-0000-0000-00004D640000}"/>
    <cellStyle name="40% - Accent2 7 2 2 2 2 2" xfId="6330" xr:uid="{00000000-0005-0000-0000-00004E640000}"/>
    <cellStyle name="40% - Accent2 7 2 2 2 2 2 2" xfId="11980" xr:uid="{00000000-0005-0000-0000-00004F640000}"/>
    <cellStyle name="40% - Accent2 7 2 2 2 2 2 2 2" xfId="23281" xr:uid="{00000000-0005-0000-0000-000050640000}"/>
    <cellStyle name="40% - Accent2 7 2 2 2 2 2 2 2 2" xfId="45883" xr:uid="{00000000-0005-0000-0000-000051640000}"/>
    <cellStyle name="40% - Accent2 7 2 2 2 2 2 2 3" xfId="34582" xr:uid="{00000000-0005-0000-0000-000052640000}"/>
    <cellStyle name="40% - Accent2 7 2 2 2 2 2 3" xfId="17631" xr:uid="{00000000-0005-0000-0000-000053640000}"/>
    <cellStyle name="40% - Accent2 7 2 2 2 2 2 3 2" xfId="40233" xr:uid="{00000000-0005-0000-0000-000054640000}"/>
    <cellStyle name="40% - Accent2 7 2 2 2 2 2 4" xfId="28932" xr:uid="{00000000-0005-0000-0000-000055640000}"/>
    <cellStyle name="40% - Accent2 7 2 2 2 2 3" xfId="9148" xr:uid="{00000000-0005-0000-0000-000056640000}"/>
    <cellStyle name="40% - Accent2 7 2 2 2 2 3 2" xfId="20449" xr:uid="{00000000-0005-0000-0000-000057640000}"/>
    <cellStyle name="40% - Accent2 7 2 2 2 2 3 2 2" xfId="43051" xr:uid="{00000000-0005-0000-0000-000058640000}"/>
    <cellStyle name="40% - Accent2 7 2 2 2 2 3 3" xfId="31750" xr:uid="{00000000-0005-0000-0000-000059640000}"/>
    <cellStyle name="40% - Accent2 7 2 2 2 2 4" xfId="14799" xr:uid="{00000000-0005-0000-0000-00005A640000}"/>
    <cellStyle name="40% - Accent2 7 2 2 2 2 4 2" xfId="37401" xr:uid="{00000000-0005-0000-0000-00005B640000}"/>
    <cellStyle name="40% - Accent2 7 2 2 2 2 5" xfId="26100" xr:uid="{00000000-0005-0000-0000-00005C640000}"/>
    <cellStyle name="40% - Accent2 7 2 2 2 3" xfId="5096" xr:uid="{00000000-0005-0000-0000-00005D640000}"/>
    <cellStyle name="40% - Accent2 7 2 2 2 3 2" xfId="10746" xr:uid="{00000000-0005-0000-0000-00005E640000}"/>
    <cellStyle name="40% - Accent2 7 2 2 2 3 2 2" xfId="22047" xr:uid="{00000000-0005-0000-0000-00005F640000}"/>
    <cellStyle name="40% - Accent2 7 2 2 2 3 2 2 2" xfId="44649" xr:uid="{00000000-0005-0000-0000-000060640000}"/>
    <cellStyle name="40% - Accent2 7 2 2 2 3 2 3" xfId="33348" xr:uid="{00000000-0005-0000-0000-000061640000}"/>
    <cellStyle name="40% - Accent2 7 2 2 2 3 3" xfId="16397" xr:uid="{00000000-0005-0000-0000-000062640000}"/>
    <cellStyle name="40% - Accent2 7 2 2 2 3 3 2" xfId="38999" xr:uid="{00000000-0005-0000-0000-000063640000}"/>
    <cellStyle name="40% - Accent2 7 2 2 2 3 4" xfId="27698" xr:uid="{00000000-0005-0000-0000-000064640000}"/>
    <cellStyle name="40% - Accent2 7 2 2 2 4" xfId="7691" xr:uid="{00000000-0005-0000-0000-000065640000}"/>
    <cellStyle name="40% - Accent2 7 2 2 2 4 2" xfId="18992" xr:uid="{00000000-0005-0000-0000-000066640000}"/>
    <cellStyle name="40% - Accent2 7 2 2 2 4 2 2" xfId="41594" xr:uid="{00000000-0005-0000-0000-000067640000}"/>
    <cellStyle name="40% - Accent2 7 2 2 2 4 3" xfId="30293" xr:uid="{00000000-0005-0000-0000-000068640000}"/>
    <cellStyle name="40% - Accent2 7 2 2 2 5" xfId="13342" xr:uid="{00000000-0005-0000-0000-000069640000}"/>
    <cellStyle name="40% - Accent2 7 2 2 2 5 2" xfId="35944" xr:uid="{00000000-0005-0000-0000-00006A640000}"/>
    <cellStyle name="40% - Accent2 7 2 2 2 6" xfId="24643" xr:uid="{00000000-0005-0000-0000-00006B640000}"/>
    <cellStyle name="40% - Accent2 7 2 2 3" xfId="2687" xr:uid="{00000000-0005-0000-0000-00006C640000}"/>
    <cellStyle name="40% - Accent2 7 2 2 3 2" xfId="5706" xr:uid="{00000000-0005-0000-0000-00006D640000}"/>
    <cellStyle name="40% - Accent2 7 2 2 3 2 2" xfId="11356" xr:uid="{00000000-0005-0000-0000-00006E640000}"/>
    <cellStyle name="40% - Accent2 7 2 2 3 2 2 2" xfId="22657" xr:uid="{00000000-0005-0000-0000-00006F640000}"/>
    <cellStyle name="40% - Accent2 7 2 2 3 2 2 2 2" xfId="45259" xr:uid="{00000000-0005-0000-0000-000070640000}"/>
    <cellStyle name="40% - Accent2 7 2 2 3 2 2 3" xfId="33958" xr:uid="{00000000-0005-0000-0000-000071640000}"/>
    <cellStyle name="40% - Accent2 7 2 2 3 2 3" xfId="17007" xr:uid="{00000000-0005-0000-0000-000072640000}"/>
    <cellStyle name="40% - Accent2 7 2 2 3 2 3 2" xfId="39609" xr:uid="{00000000-0005-0000-0000-000073640000}"/>
    <cellStyle name="40% - Accent2 7 2 2 3 2 4" xfId="28308" xr:uid="{00000000-0005-0000-0000-000074640000}"/>
    <cellStyle name="40% - Accent2 7 2 2 3 3" xfId="8523" xr:uid="{00000000-0005-0000-0000-000075640000}"/>
    <cellStyle name="40% - Accent2 7 2 2 3 3 2" xfId="19824" xr:uid="{00000000-0005-0000-0000-000076640000}"/>
    <cellStyle name="40% - Accent2 7 2 2 3 3 2 2" xfId="42426" xr:uid="{00000000-0005-0000-0000-000077640000}"/>
    <cellStyle name="40% - Accent2 7 2 2 3 3 3" xfId="31125" xr:uid="{00000000-0005-0000-0000-000078640000}"/>
    <cellStyle name="40% - Accent2 7 2 2 3 4" xfId="14174" xr:uid="{00000000-0005-0000-0000-000079640000}"/>
    <cellStyle name="40% - Accent2 7 2 2 3 4 2" xfId="36776" xr:uid="{00000000-0005-0000-0000-00007A640000}"/>
    <cellStyle name="40% - Accent2 7 2 2 3 5" xfId="25475" xr:uid="{00000000-0005-0000-0000-00007B640000}"/>
    <cellStyle name="40% - Accent2 7 2 2 4" xfId="4472" xr:uid="{00000000-0005-0000-0000-00007C640000}"/>
    <cellStyle name="40% - Accent2 7 2 2 4 2" xfId="10122" xr:uid="{00000000-0005-0000-0000-00007D640000}"/>
    <cellStyle name="40% - Accent2 7 2 2 4 2 2" xfId="21423" xr:uid="{00000000-0005-0000-0000-00007E640000}"/>
    <cellStyle name="40% - Accent2 7 2 2 4 2 2 2" xfId="44025" xr:uid="{00000000-0005-0000-0000-00007F640000}"/>
    <cellStyle name="40% - Accent2 7 2 2 4 2 3" xfId="32724" xr:uid="{00000000-0005-0000-0000-000080640000}"/>
    <cellStyle name="40% - Accent2 7 2 2 4 3" xfId="15773" xr:uid="{00000000-0005-0000-0000-000081640000}"/>
    <cellStyle name="40% - Accent2 7 2 2 4 3 2" xfId="38375" xr:uid="{00000000-0005-0000-0000-000082640000}"/>
    <cellStyle name="40% - Accent2 7 2 2 4 4" xfId="27074" xr:uid="{00000000-0005-0000-0000-000083640000}"/>
    <cellStyle name="40% - Accent2 7 2 2 5" xfId="7268" xr:uid="{00000000-0005-0000-0000-000084640000}"/>
    <cellStyle name="40% - Accent2 7 2 2 5 2" xfId="18569" xr:uid="{00000000-0005-0000-0000-000085640000}"/>
    <cellStyle name="40% - Accent2 7 2 2 5 2 2" xfId="41171" xr:uid="{00000000-0005-0000-0000-000086640000}"/>
    <cellStyle name="40% - Accent2 7 2 2 5 3" xfId="29870" xr:uid="{00000000-0005-0000-0000-000087640000}"/>
    <cellStyle name="40% - Accent2 7 2 2 6" xfId="12919" xr:uid="{00000000-0005-0000-0000-000088640000}"/>
    <cellStyle name="40% - Accent2 7 2 2 6 2" xfId="35521" xr:uid="{00000000-0005-0000-0000-000089640000}"/>
    <cellStyle name="40% - Accent2 7 2 2 7" xfId="24220" xr:uid="{00000000-0005-0000-0000-00008A640000}"/>
    <cellStyle name="40% - Accent2 7 2 3" xfId="987" xr:uid="{00000000-0005-0000-0000-00008B640000}"/>
    <cellStyle name="40% - Accent2 7 2 3 2" xfId="3050" xr:uid="{00000000-0005-0000-0000-00008C640000}"/>
    <cellStyle name="40% - Accent2 7 2 3 2 2" xfId="6022" xr:uid="{00000000-0005-0000-0000-00008D640000}"/>
    <cellStyle name="40% - Accent2 7 2 3 2 2 2" xfId="11672" xr:uid="{00000000-0005-0000-0000-00008E640000}"/>
    <cellStyle name="40% - Accent2 7 2 3 2 2 2 2" xfId="22973" xr:uid="{00000000-0005-0000-0000-00008F640000}"/>
    <cellStyle name="40% - Accent2 7 2 3 2 2 2 2 2" xfId="45575" xr:uid="{00000000-0005-0000-0000-000090640000}"/>
    <cellStyle name="40% - Accent2 7 2 3 2 2 2 3" xfId="34274" xr:uid="{00000000-0005-0000-0000-000091640000}"/>
    <cellStyle name="40% - Accent2 7 2 3 2 2 3" xfId="17323" xr:uid="{00000000-0005-0000-0000-000092640000}"/>
    <cellStyle name="40% - Accent2 7 2 3 2 2 3 2" xfId="39925" xr:uid="{00000000-0005-0000-0000-000093640000}"/>
    <cellStyle name="40% - Accent2 7 2 3 2 2 4" xfId="28624" xr:uid="{00000000-0005-0000-0000-000094640000}"/>
    <cellStyle name="40% - Accent2 7 2 3 2 3" xfId="8840" xr:uid="{00000000-0005-0000-0000-000095640000}"/>
    <cellStyle name="40% - Accent2 7 2 3 2 3 2" xfId="20141" xr:uid="{00000000-0005-0000-0000-000096640000}"/>
    <cellStyle name="40% - Accent2 7 2 3 2 3 2 2" xfId="42743" xr:uid="{00000000-0005-0000-0000-000097640000}"/>
    <cellStyle name="40% - Accent2 7 2 3 2 3 3" xfId="31442" xr:uid="{00000000-0005-0000-0000-000098640000}"/>
    <cellStyle name="40% - Accent2 7 2 3 2 4" xfId="14491" xr:uid="{00000000-0005-0000-0000-000099640000}"/>
    <cellStyle name="40% - Accent2 7 2 3 2 4 2" xfId="37093" xr:uid="{00000000-0005-0000-0000-00009A640000}"/>
    <cellStyle name="40% - Accent2 7 2 3 2 5" xfId="25792" xr:uid="{00000000-0005-0000-0000-00009B640000}"/>
    <cellStyle name="40% - Accent2 7 2 3 3" xfId="4788" xr:uid="{00000000-0005-0000-0000-00009C640000}"/>
    <cellStyle name="40% - Accent2 7 2 3 3 2" xfId="10438" xr:uid="{00000000-0005-0000-0000-00009D640000}"/>
    <cellStyle name="40% - Accent2 7 2 3 3 2 2" xfId="21739" xr:uid="{00000000-0005-0000-0000-00009E640000}"/>
    <cellStyle name="40% - Accent2 7 2 3 3 2 2 2" xfId="44341" xr:uid="{00000000-0005-0000-0000-00009F640000}"/>
    <cellStyle name="40% - Accent2 7 2 3 3 2 3" xfId="33040" xr:uid="{00000000-0005-0000-0000-0000A0640000}"/>
    <cellStyle name="40% - Accent2 7 2 3 3 3" xfId="16089" xr:uid="{00000000-0005-0000-0000-0000A1640000}"/>
    <cellStyle name="40% - Accent2 7 2 3 3 3 2" xfId="38691" xr:uid="{00000000-0005-0000-0000-0000A2640000}"/>
    <cellStyle name="40% - Accent2 7 2 3 3 4" xfId="27390" xr:uid="{00000000-0005-0000-0000-0000A3640000}"/>
    <cellStyle name="40% - Accent2 7 2 3 4" xfId="6975" xr:uid="{00000000-0005-0000-0000-0000A4640000}"/>
    <cellStyle name="40% - Accent2 7 2 3 4 2" xfId="18276" xr:uid="{00000000-0005-0000-0000-0000A5640000}"/>
    <cellStyle name="40% - Accent2 7 2 3 4 2 2" xfId="40878" xr:uid="{00000000-0005-0000-0000-0000A6640000}"/>
    <cellStyle name="40% - Accent2 7 2 3 4 3" xfId="29577" xr:uid="{00000000-0005-0000-0000-0000A7640000}"/>
    <cellStyle name="40% - Accent2 7 2 3 5" xfId="12626" xr:uid="{00000000-0005-0000-0000-0000A8640000}"/>
    <cellStyle name="40% - Accent2 7 2 3 5 2" xfId="35228" xr:uid="{00000000-0005-0000-0000-0000A9640000}"/>
    <cellStyle name="40% - Accent2 7 2 3 6" xfId="23927" xr:uid="{00000000-0005-0000-0000-0000AA640000}"/>
    <cellStyle name="40% - Accent2 7 2 4" xfId="1834" xr:uid="{00000000-0005-0000-0000-0000AB640000}"/>
    <cellStyle name="40% - Accent2 7 2 4 2" xfId="3688" xr:uid="{00000000-0005-0000-0000-0000AC640000}"/>
    <cellStyle name="40% - Accent2 7 2 4 2 2" xfId="9398" xr:uid="{00000000-0005-0000-0000-0000AD640000}"/>
    <cellStyle name="40% - Accent2 7 2 4 2 2 2" xfId="20699" xr:uid="{00000000-0005-0000-0000-0000AE640000}"/>
    <cellStyle name="40% - Accent2 7 2 4 2 2 2 2" xfId="43301" xr:uid="{00000000-0005-0000-0000-0000AF640000}"/>
    <cellStyle name="40% - Accent2 7 2 4 2 2 3" xfId="32000" xr:uid="{00000000-0005-0000-0000-0000B0640000}"/>
    <cellStyle name="40% - Accent2 7 2 4 2 3" xfId="15049" xr:uid="{00000000-0005-0000-0000-0000B1640000}"/>
    <cellStyle name="40% - Accent2 7 2 4 2 3 2" xfId="37651" xr:uid="{00000000-0005-0000-0000-0000B2640000}"/>
    <cellStyle name="40% - Accent2 7 2 4 2 4" xfId="26350" xr:uid="{00000000-0005-0000-0000-0000B3640000}"/>
    <cellStyle name="40% - Accent2 7 2 4 3" xfId="5398" xr:uid="{00000000-0005-0000-0000-0000B4640000}"/>
    <cellStyle name="40% - Accent2 7 2 4 3 2" xfId="11048" xr:uid="{00000000-0005-0000-0000-0000B5640000}"/>
    <cellStyle name="40% - Accent2 7 2 4 3 2 2" xfId="22349" xr:uid="{00000000-0005-0000-0000-0000B6640000}"/>
    <cellStyle name="40% - Accent2 7 2 4 3 2 2 2" xfId="44951" xr:uid="{00000000-0005-0000-0000-0000B7640000}"/>
    <cellStyle name="40% - Accent2 7 2 4 3 2 3" xfId="33650" xr:uid="{00000000-0005-0000-0000-0000B8640000}"/>
    <cellStyle name="40% - Accent2 7 2 4 3 3" xfId="16699" xr:uid="{00000000-0005-0000-0000-0000B9640000}"/>
    <cellStyle name="40% - Accent2 7 2 4 3 3 2" xfId="39301" xr:uid="{00000000-0005-0000-0000-0000BA640000}"/>
    <cellStyle name="40% - Accent2 7 2 4 3 4" xfId="28000" xr:uid="{00000000-0005-0000-0000-0000BB640000}"/>
    <cellStyle name="40% - Accent2 7 2 4 4" xfId="7690" xr:uid="{00000000-0005-0000-0000-0000BC640000}"/>
    <cellStyle name="40% - Accent2 7 2 4 4 2" xfId="18991" xr:uid="{00000000-0005-0000-0000-0000BD640000}"/>
    <cellStyle name="40% - Accent2 7 2 4 4 2 2" xfId="41593" xr:uid="{00000000-0005-0000-0000-0000BE640000}"/>
    <cellStyle name="40% - Accent2 7 2 4 4 3" xfId="30292" xr:uid="{00000000-0005-0000-0000-0000BF640000}"/>
    <cellStyle name="40% - Accent2 7 2 4 5" xfId="13341" xr:uid="{00000000-0005-0000-0000-0000C0640000}"/>
    <cellStyle name="40% - Accent2 7 2 4 5 2" xfId="35943" xr:uid="{00000000-0005-0000-0000-0000C1640000}"/>
    <cellStyle name="40% - Accent2 7 2 4 6" xfId="24642" xr:uid="{00000000-0005-0000-0000-0000C2640000}"/>
    <cellStyle name="40% - Accent2 7 2 5" xfId="2379" xr:uid="{00000000-0005-0000-0000-0000C3640000}"/>
    <cellStyle name="40% - Accent2 7 2 5 2" xfId="8215" xr:uid="{00000000-0005-0000-0000-0000C4640000}"/>
    <cellStyle name="40% - Accent2 7 2 5 2 2" xfId="19516" xr:uid="{00000000-0005-0000-0000-0000C5640000}"/>
    <cellStyle name="40% - Accent2 7 2 5 2 2 2" xfId="42118" xr:uid="{00000000-0005-0000-0000-0000C6640000}"/>
    <cellStyle name="40% - Accent2 7 2 5 2 3" xfId="30817" xr:uid="{00000000-0005-0000-0000-0000C7640000}"/>
    <cellStyle name="40% - Accent2 7 2 5 3" xfId="13866" xr:uid="{00000000-0005-0000-0000-0000C8640000}"/>
    <cellStyle name="40% - Accent2 7 2 5 3 2" xfId="36468" xr:uid="{00000000-0005-0000-0000-0000C9640000}"/>
    <cellStyle name="40% - Accent2 7 2 5 4" xfId="25167" xr:uid="{00000000-0005-0000-0000-0000CA640000}"/>
    <cellStyle name="40% - Accent2 7 2 6" xfId="4164" xr:uid="{00000000-0005-0000-0000-0000CB640000}"/>
    <cellStyle name="40% - Accent2 7 2 6 2" xfId="9814" xr:uid="{00000000-0005-0000-0000-0000CC640000}"/>
    <cellStyle name="40% - Accent2 7 2 6 2 2" xfId="21115" xr:uid="{00000000-0005-0000-0000-0000CD640000}"/>
    <cellStyle name="40% - Accent2 7 2 6 2 2 2" xfId="43717" xr:uid="{00000000-0005-0000-0000-0000CE640000}"/>
    <cellStyle name="40% - Accent2 7 2 6 2 3" xfId="32416" xr:uid="{00000000-0005-0000-0000-0000CF640000}"/>
    <cellStyle name="40% - Accent2 7 2 6 3" xfId="15465" xr:uid="{00000000-0005-0000-0000-0000D0640000}"/>
    <cellStyle name="40% - Accent2 7 2 6 3 2" xfId="38067" xr:uid="{00000000-0005-0000-0000-0000D1640000}"/>
    <cellStyle name="40% - Accent2 7 2 6 4" xfId="26766" xr:uid="{00000000-0005-0000-0000-0000D2640000}"/>
    <cellStyle name="40% - Accent2 7 2 7" xfId="6644" xr:uid="{00000000-0005-0000-0000-0000D3640000}"/>
    <cellStyle name="40% - Accent2 7 2 7 2" xfId="17945" xr:uid="{00000000-0005-0000-0000-0000D4640000}"/>
    <cellStyle name="40% - Accent2 7 2 7 2 2" xfId="40547" xr:uid="{00000000-0005-0000-0000-0000D5640000}"/>
    <cellStyle name="40% - Accent2 7 2 7 3" xfId="29246" xr:uid="{00000000-0005-0000-0000-0000D6640000}"/>
    <cellStyle name="40% - Accent2 7 2 8" xfId="12295" xr:uid="{00000000-0005-0000-0000-0000D7640000}"/>
    <cellStyle name="40% - Accent2 7 2 8 2" xfId="34897" xr:uid="{00000000-0005-0000-0000-0000D8640000}"/>
    <cellStyle name="40% - Accent2 7 2 9" xfId="23596" xr:uid="{00000000-0005-0000-0000-0000D9640000}"/>
    <cellStyle name="40% - Accent2 7 3" xfId="1151" xr:uid="{00000000-0005-0000-0000-0000DA640000}"/>
    <cellStyle name="40% - Accent2 7 3 2" xfId="1836" xr:uid="{00000000-0005-0000-0000-0000DB640000}"/>
    <cellStyle name="40% - Accent2 7 3 2 2" xfId="3219" xr:uid="{00000000-0005-0000-0000-0000DC640000}"/>
    <cellStyle name="40% - Accent2 7 3 2 2 2" xfId="6191" xr:uid="{00000000-0005-0000-0000-0000DD640000}"/>
    <cellStyle name="40% - Accent2 7 3 2 2 2 2" xfId="11841" xr:uid="{00000000-0005-0000-0000-0000DE640000}"/>
    <cellStyle name="40% - Accent2 7 3 2 2 2 2 2" xfId="23142" xr:uid="{00000000-0005-0000-0000-0000DF640000}"/>
    <cellStyle name="40% - Accent2 7 3 2 2 2 2 2 2" xfId="45744" xr:uid="{00000000-0005-0000-0000-0000E0640000}"/>
    <cellStyle name="40% - Accent2 7 3 2 2 2 2 3" xfId="34443" xr:uid="{00000000-0005-0000-0000-0000E1640000}"/>
    <cellStyle name="40% - Accent2 7 3 2 2 2 3" xfId="17492" xr:uid="{00000000-0005-0000-0000-0000E2640000}"/>
    <cellStyle name="40% - Accent2 7 3 2 2 2 3 2" xfId="40094" xr:uid="{00000000-0005-0000-0000-0000E3640000}"/>
    <cellStyle name="40% - Accent2 7 3 2 2 2 4" xfId="28793" xr:uid="{00000000-0005-0000-0000-0000E4640000}"/>
    <cellStyle name="40% - Accent2 7 3 2 2 3" xfId="9009" xr:uid="{00000000-0005-0000-0000-0000E5640000}"/>
    <cellStyle name="40% - Accent2 7 3 2 2 3 2" xfId="20310" xr:uid="{00000000-0005-0000-0000-0000E6640000}"/>
    <cellStyle name="40% - Accent2 7 3 2 2 3 2 2" xfId="42912" xr:uid="{00000000-0005-0000-0000-0000E7640000}"/>
    <cellStyle name="40% - Accent2 7 3 2 2 3 3" xfId="31611" xr:uid="{00000000-0005-0000-0000-0000E8640000}"/>
    <cellStyle name="40% - Accent2 7 3 2 2 4" xfId="14660" xr:uid="{00000000-0005-0000-0000-0000E9640000}"/>
    <cellStyle name="40% - Accent2 7 3 2 2 4 2" xfId="37262" xr:uid="{00000000-0005-0000-0000-0000EA640000}"/>
    <cellStyle name="40% - Accent2 7 3 2 2 5" xfId="25961" xr:uid="{00000000-0005-0000-0000-0000EB640000}"/>
    <cellStyle name="40% - Accent2 7 3 2 3" xfId="4957" xr:uid="{00000000-0005-0000-0000-0000EC640000}"/>
    <cellStyle name="40% - Accent2 7 3 2 3 2" xfId="10607" xr:uid="{00000000-0005-0000-0000-0000ED640000}"/>
    <cellStyle name="40% - Accent2 7 3 2 3 2 2" xfId="21908" xr:uid="{00000000-0005-0000-0000-0000EE640000}"/>
    <cellStyle name="40% - Accent2 7 3 2 3 2 2 2" xfId="44510" xr:uid="{00000000-0005-0000-0000-0000EF640000}"/>
    <cellStyle name="40% - Accent2 7 3 2 3 2 3" xfId="33209" xr:uid="{00000000-0005-0000-0000-0000F0640000}"/>
    <cellStyle name="40% - Accent2 7 3 2 3 3" xfId="16258" xr:uid="{00000000-0005-0000-0000-0000F1640000}"/>
    <cellStyle name="40% - Accent2 7 3 2 3 3 2" xfId="38860" xr:uid="{00000000-0005-0000-0000-0000F2640000}"/>
    <cellStyle name="40% - Accent2 7 3 2 3 4" xfId="27559" xr:uid="{00000000-0005-0000-0000-0000F3640000}"/>
    <cellStyle name="40% - Accent2 7 3 2 4" xfId="7692" xr:uid="{00000000-0005-0000-0000-0000F4640000}"/>
    <cellStyle name="40% - Accent2 7 3 2 4 2" xfId="18993" xr:uid="{00000000-0005-0000-0000-0000F5640000}"/>
    <cellStyle name="40% - Accent2 7 3 2 4 2 2" xfId="41595" xr:uid="{00000000-0005-0000-0000-0000F6640000}"/>
    <cellStyle name="40% - Accent2 7 3 2 4 3" xfId="30294" xr:uid="{00000000-0005-0000-0000-0000F7640000}"/>
    <cellStyle name="40% - Accent2 7 3 2 5" xfId="13343" xr:uid="{00000000-0005-0000-0000-0000F8640000}"/>
    <cellStyle name="40% - Accent2 7 3 2 5 2" xfId="35945" xr:uid="{00000000-0005-0000-0000-0000F9640000}"/>
    <cellStyle name="40% - Accent2 7 3 2 6" xfId="24644" xr:uid="{00000000-0005-0000-0000-0000FA640000}"/>
    <cellStyle name="40% - Accent2 7 3 3" xfId="2548" xr:uid="{00000000-0005-0000-0000-0000FB640000}"/>
    <cellStyle name="40% - Accent2 7 3 3 2" xfId="5567" xr:uid="{00000000-0005-0000-0000-0000FC640000}"/>
    <cellStyle name="40% - Accent2 7 3 3 2 2" xfId="11217" xr:uid="{00000000-0005-0000-0000-0000FD640000}"/>
    <cellStyle name="40% - Accent2 7 3 3 2 2 2" xfId="22518" xr:uid="{00000000-0005-0000-0000-0000FE640000}"/>
    <cellStyle name="40% - Accent2 7 3 3 2 2 2 2" xfId="45120" xr:uid="{00000000-0005-0000-0000-0000FF640000}"/>
    <cellStyle name="40% - Accent2 7 3 3 2 2 3" xfId="33819" xr:uid="{00000000-0005-0000-0000-000000650000}"/>
    <cellStyle name="40% - Accent2 7 3 3 2 3" xfId="16868" xr:uid="{00000000-0005-0000-0000-000001650000}"/>
    <cellStyle name="40% - Accent2 7 3 3 2 3 2" xfId="39470" xr:uid="{00000000-0005-0000-0000-000002650000}"/>
    <cellStyle name="40% - Accent2 7 3 3 2 4" xfId="28169" xr:uid="{00000000-0005-0000-0000-000003650000}"/>
    <cellStyle name="40% - Accent2 7 3 3 3" xfId="8384" xr:uid="{00000000-0005-0000-0000-000004650000}"/>
    <cellStyle name="40% - Accent2 7 3 3 3 2" xfId="19685" xr:uid="{00000000-0005-0000-0000-000005650000}"/>
    <cellStyle name="40% - Accent2 7 3 3 3 2 2" xfId="42287" xr:uid="{00000000-0005-0000-0000-000006650000}"/>
    <cellStyle name="40% - Accent2 7 3 3 3 3" xfId="30986" xr:uid="{00000000-0005-0000-0000-000007650000}"/>
    <cellStyle name="40% - Accent2 7 3 3 4" xfId="14035" xr:uid="{00000000-0005-0000-0000-000008650000}"/>
    <cellStyle name="40% - Accent2 7 3 3 4 2" xfId="36637" xr:uid="{00000000-0005-0000-0000-000009650000}"/>
    <cellStyle name="40% - Accent2 7 3 3 5" xfId="25336" xr:uid="{00000000-0005-0000-0000-00000A650000}"/>
    <cellStyle name="40% - Accent2 7 3 4" xfId="4333" xr:uid="{00000000-0005-0000-0000-00000B650000}"/>
    <cellStyle name="40% - Accent2 7 3 4 2" xfId="9983" xr:uid="{00000000-0005-0000-0000-00000C650000}"/>
    <cellStyle name="40% - Accent2 7 3 4 2 2" xfId="21284" xr:uid="{00000000-0005-0000-0000-00000D650000}"/>
    <cellStyle name="40% - Accent2 7 3 4 2 2 2" xfId="43886" xr:uid="{00000000-0005-0000-0000-00000E650000}"/>
    <cellStyle name="40% - Accent2 7 3 4 2 3" xfId="32585" xr:uid="{00000000-0005-0000-0000-00000F650000}"/>
    <cellStyle name="40% - Accent2 7 3 4 3" xfId="15634" xr:uid="{00000000-0005-0000-0000-000010650000}"/>
    <cellStyle name="40% - Accent2 7 3 4 3 2" xfId="38236" xr:uid="{00000000-0005-0000-0000-000011650000}"/>
    <cellStyle name="40% - Accent2 7 3 4 4" xfId="26935" xr:uid="{00000000-0005-0000-0000-000012650000}"/>
    <cellStyle name="40% - Accent2 7 3 5" xfId="7130" xr:uid="{00000000-0005-0000-0000-000013650000}"/>
    <cellStyle name="40% - Accent2 7 3 5 2" xfId="18431" xr:uid="{00000000-0005-0000-0000-000014650000}"/>
    <cellStyle name="40% - Accent2 7 3 5 2 2" xfId="41033" xr:uid="{00000000-0005-0000-0000-000015650000}"/>
    <cellStyle name="40% - Accent2 7 3 5 3" xfId="29732" xr:uid="{00000000-0005-0000-0000-000016650000}"/>
    <cellStyle name="40% - Accent2 7 3 6" xfId="12781" xr:uid="{00000000-0005-0000-0000-000017650000}"/>
    <cellStyle name="40% - Accent2 7 3 6 2" xfId="35383" xr:uid="{00000000-0005-0000-0000-000018650000}"/>
    <cellStyle name="40% - Accent2 7 3 7" xfId="24082" xr:uid="{00000000-0005-0000-0000-000019650000}"/>
    <cellStyle name="40% - Accent2 7 4" xfId="842" xr:uid="{00000000-0005-0000-0000-00001A650000}"/>
    <cellStyle name="40% - Accent2 7 4 2" xfId="2912" xr:uid="{00000000-0005-0000-0000-00001B650000}"/>
    <cellStyle name="40% - Accent2 7 4 2 2" xfId="5884" xr:uid="{00000000-0005-0000-0000-00001C650000}"/>
    <cellStyle name="40% - Accent2 7 4 2 2 2" xfId="11534" xr:uid="{00000000-0005-0000-0000-00001D650000}"/>
    <cellStyle name="40% - Accent2 7 4 2 2 2 2" xfId="22835" xr:uid="{00000000-0005-0000-0000-00001E650000}"/>
    <cellStyle name="40% - Accent2 7 4 2 2 2 2 2" xfId="45437" xr:uid="{00000000-0005-0000-0000-00001F650000}"/>
    <cellStyle name="40% - Accent2 7 4 2 2 2 3" xfId="34136" xr:uid="{00000000-0005-0000-0000-000020650000}"/>
    <cellStyle name="40% - Accent2 7 4 2 2 3" xfId="17185" xr:uid="{00000000-0005-0000-0000-000021650000}"/>
    <cellStyle name="40% - Accent2 7 4 2 2 3 2" xfId="39787" xr:uid="{00000000-0005-0000-0000-000022650000}"/>
    <cellStyle name="40% - Accent2 7 4 2 2 4" xfId="28486" xr:uid="{00000000-0005-0000-0000-000023650000}"/>
    <cellStyle name="40% - Accent2 7 4 2 3" xfId="8702" xr:uid="{00000000-0005-0000-0000-000024650000}"/>
    <cellStyle name="40% - Accent2 7 4 2 3 2" xfId="20003" xr:uid="{00000000-0005-0000-0000-000025650000}"/>
    <cellStyle name="40% - Accent2 7 4 2 3 2 2" xfId="42605" xr:uid="{00000000-0005-0000-0000-000026650000}"/>
    <cellStyle name="40% - Accent2 7 4 2 3 3" xfId="31304" xr:uid="{00000000-0005-0000-0000-000027650000}"/>
    <cellStyle name="40% - Accent2 7 4 2 4" xfId="14353" xr:uid="{00000000-0005-0000-0000-000028650000}"/>
    <cellStyle name="40% - Accent2 7 4 2 4 2" xfId="36955" xr:uid="{00000000-0005-0000-0000-000029650000}"/>
    <cellStyle name="40% - Accent2 7 4 2 5" xfId="25654" xr:uid="{00000000-0005-0000-0000-00002A650000}"/>
    <cellStyle name="40% - Accent2 7 4 3" xfId="4650" xr:uid="{00000000-0005-0000-0000-00002B650000}"/>
    <cellStyle name="40% - Accent2 7 4 3 2" xfId="10300" xr:uid="{00000000-0005-0000-0000-00002C650000}"/>
    <cellStyle name="40% - Accent2 7 4 3 2 2" xfId="21601" xr:uid="{00000000-0005-0000-0000-00002D650000}"/>
    <cellStyle name="40% - Accent2 7 4 3 2 2 2" xfId="44203" xr:uid="{00000000-0005-0000-0000-00002E650000}"/>
    <cellStyle name="40% - Accent2 7 4 3 2 3" xfId="32902" xr:uid="{00000000-0005-0000-0000-00002F650000}"/>
    <cellStyle name="40% - Accent2 7 4 3 3" xfId="15951" xr:uid="{00000000-0005-0000-0000-000030650000}"/>
    <cellStyle name="40% - Accent2 7 4 3 3 2" xfId="38553" xr:uid="{00000000-0005-0000-0000-000031650000}"/>
    <cellStyle name="40% - Accent2 7 4 3 4" xfId="27252" xr:uid="{00000000-0005-0000-0000-000032650000}"/>
    <cellStyle name="40% - Accent2 7 4 4" xfId="6837" xr:uid="{00000000-0005-0000-0000-000033650000}"/>
    <cellStyle name="40% - Accent2 7 4 4 2" xfId="18138" xr:uid="{00000000-0005-0000-0000-000034650000}"/>
    <cellStyle name="40% - Accent2 7 4 4 2 2" xfId="40740" xr:uid="{00000000-0005-0000-0000-000035650000}"/>
    <cellStyle name="40% - Accent2 7 4 4 3" xfId="29439" xr:uid="{00000000-0005-0000-0000-000036650000}"/>
    <cellStyle name="40% - Accent2 7 4 5" xfId="12488" xr:uid="{00000000-0005-0000-0000-000037650000}"/>
    <cellStyle name="40% - Accent2 7 4 5 2" xfId="35090" xr:uid="{00000000-0005-0000-0000-000038650000}"/>
    <cellStyle name="40% - Accent2 7 4 6" xfId="23789" xr:uid="{00000000-0005-0000-0000-000039650000}"/>
    <cellStyle name="40% - Accent2 7 5" xfId="1833" xr:uid="{00000000-0005-0000-0000-00003A650000}"/>
    <cellStyle name="40% - Accent2 7 5 2" xfId="3687" xr:uid="{00000000-0005-0000-0000-00003B650000}"/>
    <cellStyle name="40% - Accent2 7 5 2 2" xfId="9397" xr:uid="{00000000-0005-0000-0000-00003C650000}"/>
    <cellStyle name="40% - Accent2 7 5 2 2 2" xfId="20698" xr:uid="{00000000-0005-0000-0000-00003D650000}"/>
    <cellStyle name="40% - Accent2 7 5 2 2 2 2" xfId="43300" xr:uid="{00000000-0005-0000-0000-00003E650000}"/>
    <cellStyle name="40% - Accent2 7 5 2 2 3" xfId="31999" xr:uid="{00000000-0005-0000-0000-00003F650000}"/>
    <cellStyle name="40% - Accent2 7 5 2 3" xfId="15048" xr:uid="{00000000-0005-0000-0000-000040650000}"/>
    <cellStyle name="40% - Accent2 7 5 2 3 2" xfId="37650" xr:uid="{00000000-0005-0000-0000-000041650000}"/>
    <cellStyle name="40% - Accent2 7 5 2 4" xfId="26349" xr:uid="{00000000-0005-0000-0000-000042650000}"/>
    <cellStyle name="40% - Accent2 7 5 3" xfId="5260" xr:uid="{00000000-0005-0000-0000-000043650000}"/>
    <cellStyle name="40% - Accent2 7 5 3 2" xfId="10910" xr:uid="{00000000-0005-0000-0000-000044650000}"/>
    <cellStyle name="40% - Accent2 7 5 3 2 2" xfId="22211" xr:uid="{00000000-0005-0000-0000-000045650000}"/>
    <cellStyle name="40% - Accent2 7 5 3 2 2 2" xfId="44813" xr:uid="{00000000-0005-0000-0000-000046650000}"/>
    <cellStyle name="40% - Accent2 7 5 3 2 3" xfId="33512" xr:uid="{00000000-0005-0000-0000-000047650000}"/>
    <cellStyle name="40% - Accent2 7 5 3 3" xfId="16561" xr:uid="{00000000-0005-0000-0000-000048650000}"/>
    <cellStyle name="40% - Accent2 7 5 3 3 2" xfId="39163" xr:uid="{00000000-0005-0000-0000-000049650000}"/>
    <cellStyle name="40% - Accent2 7 5 3 4" xfId="27862" xr:uid="{00000000-0005-0000-0000-00004A650000}"/>
    <cellStyle name="40% - Accent2 7 5 4" xfId="7689" xr:uid="{00000000-0005-0000-0000-00004B650000}"/>
    <cellStyle name="40% - Accent2 7 5 4 2" xfId="18990" xr:uid="{00000000-0005-0000-0000-00004C650000}"/>
    <cellStyle name="40% - Accent2 7 5 4 2 2" xfId="41592" xr:uid="{00000000-0005-0000-0000-00004D650000}"/>
    <cellStyle name="40% - Accent2 7 5 4 3" xfId="30291" xr:uid="{00000000-0005-0000-0000-00004E650000}"/>
    <cellStyle name="40% - Accent2 7 5 5" xfId="13340" xr:uid="{00000000-0005-0000-0000-00004F650000}"/>
    <cellStyle name="40% - Accent2 7 5 5 2" xfId="35942" xr:uid="{00000000-0005-0000-0000-000050650000}"/>
    <cellStyle name="40% - Accent2 7 5 6" xfId="24641" xr:uid="{00000000-0005-0000-0000-000051650000}"/>
    <cellStyle name="40% - Accent2 7 6" xfId="2239" xr:uid="{00000000-0005-0000-0000-000052650000}"/>
    <cellStyle name="40% - Accent2 7 6 2" xfId="8075" xr:uid="{00000000-0005-0000-0000-000053650000}"/>
    <cellStyle name="40% - Accent2 7 6 2 2" xfId="19376" xr:uid="{00000000-0005-0000-0000-000054650000}"/>
    <cellStyle name="40% - Accent2 7 6 2 2 2" xfId="41978" xr:uid="{00000000-0005-0000-0000-000055650000}"/>
    <cellStyle name="40% - Accent2 7 6 2 3" xfId="30677" xr:uid="{00000000-0005-0000-0000-000056650000}"/>
    <cellStyle name="40% - Accent2 7 6 3" xfId="13726" xr:uid="{00000000-0005-0000-0000-000057650000}"/>
    <cellStyle name="40% - Accent2 7 6 3 2" xfId="36328" xr:uid="{00000000-0005-0000-0000-000058650000}"/>
    <cellStyle name="40% - Accent2 7 6 4" xfId="25027" xr:uid="{00000000-0005-0000-0000-000059650000}"/>
    <cellStyle name="40% - Accent2 7 7" xfId="4026" xr:uid="{00000000-0005-0000-0000-00005A650000}"/>
    <cellStyle name="40% - Accent2 7 7 2" xfId="9676" xr:uid="{00000000-0005-0000-0000-00005B650000}"/>
    <cellStyle name="40% - Accent2 7 7 2 2" xfId="20977" xr:uid="{00000000-0005-0000-0000-00005C650000}"/>
    <cellStyle name="40% - Accent2 7 7 2 2 2" xfId="43579" xr:uid="{00000000-0005-0000-0000-00005D650000}"/>
    <cellStyle name="40% - Accent2 7 7 2 3" xfId="32278" xr:uid="{00000000-0005-0000-0000-00005E650000}"/>
    <cellStyle name="40% - Accent2 7 7 3" xfId="15327" xr:uid="{00000000-0005-0000-0000-00005F650000}"/>
    <cellStyle name="40% - Accent2 7 7 3 2" xfId="37929" xr:uid="{00000000-0005-0000-0000-000060650000}"/>
    <cellStyle name="40% - Accent2 7 7 4" xfId="26628" xr:uid="{00000000-0005-0000-0000-000061650000}"/>
    <cellStyle name="40% - Accent2 7 8" xfId="6477" xr:uid="{00000000-0005-0000-0000-000062650000}"/>
    <cellStyle name="40% - Accent2 7 8 2" xfId="17778" xr:uid="{00000000-0005-0000-0000-000063650000}"/>
    <cellStyle name="40% - Accent2 7 8 2 2" xfId="40380" xr:uid="{00000000-0005-0000-0000-000064650000}"/>
    <cellStyle name="40% - Accent2 7 8 3" xfId="29079" xr:uid="{00000000-0005-0000-0000-000065650000}"/>
    <cellStyle name="40% - Accent2 7 9" xfId="12128" xr:uid="{00000000-0005-0000-0000-000066650000}"/>
    <cellStyle name="40% - Accent2 7 9 2" xfId="34730" xr:uid="{00000000-0005-0000-0000-000067650000}"/>
    <cellStyle name="40% - Accent2 8" xfId="437" xr:uid="{00000000-0005-0000-0000-000068650000}"/>
    <cellStyle name="40% - Accent2 8 2" xfId="1208" xr:uid="{00000000-0005-0000-0000-000069650000}"/>
    <cellStyle name="40% - Accent2 8 2 2" xfId="1838" xr:uid="{00000000-0005-0000-0000-00006A650000}"/>
    <cellStyle name="40% - Accent2 8 2 2 2" xfId="3277" xr:uid="{00000000-0005-0000-0000-00006B650000}"/>
    <cellStyle name="40% - Accent2 8 2 2 2 2" xfId="6249" xr:uid="{00000000-0005-0000-0000-00006C650000}"/>
    <cellStyle name="40% - Accent2 8 2 2 2 2 2" xfId="11899" xr:uid="{00000000-0005-0000-0000-00006D650000}"/>
    <cellStyle name="40% - Accent2 8 2 2 2 2 2 2" xfId="23200" xr:uid="{00000000-0005-0000-0000-00006E650000}"/>
    <cellStyle name="40% - Accent2 8 2 2 2 2 2 2 2" xfId="45802" xr:uid="{00000000-0005-0000-0000-00006F650000}"/>
    <cellStyle name="40% - Accent2 8 2 2 2 2 2 3" xfId="34501" xr:uid="{00000000-0005-0000-0000-000070650000}"/>
    <cellStyle name="40% - Accent2 8 2 2 2 2 3" xfId="17550" xr:uid="{00000000-0005-0000-0000-000071650000}"/>
    <cellStyle name="40% - Accent2 8 2 2 2 2 3 2" xfId="40152" xr:uid="{00000000-0005-0000-0000-000072650000}"/>
    <cellStyle name="40% - Accent2 8 2 2 2 2 4" xfId="28851" xr:uid="{00000000-0005-0000-0000-000073650000}"/>
    <cellStyle name="40% - Accent2 8 2 2 2 3" xfId="9067" xr:uid="{00000000-0005-0000-0000-000074650000}"/>
    <cellStyle name="40% - Accent2 8 2 2 2 3 2" xfId="20368" xr:uid="{00000000-0005-0000-0000-000075650000}"/>
    <cellStyle name="40% - Accent2 8 2 2 2 3 2 2" xfId="42970" xr:uid="{00000000-0005-0000-0000-000076650000}"/>
    <cellStyle name="40% - Accent2 8 2 2 2 3 3" xfId="31669" xr:uid="{00000000-0005-0000-0000-000077650000}"/>
    <cellStyle name="40% - Accent2 8 2 2 2 4" xfId="14718" xr:uid="{00000000-0005-0000-0000-000078650000}"/>
    <cellStyle name="40% - Accent2 8 2 2 2 4 2" xfId="37320" xr:uid="{00000000-0005-0000-0000-000079650000}"/>
    <cellStyle name="40% - Accent2 8 2 2 2 5" xfId="26019" xr:uid="{00000000-0005-0000-0000-00007A650000}"/>
    <cellStyle name="40% - Accent2 8 2 2 3" xfId="5015" xr:uid="{00000000-0005-0000-0000-00007B650000}"/>
    <cellStyle name="40% - Accent2 8 2 2 3 2" xfId="10665" xr:uid="{00000000-0005-0000-0000-00007C650000}"/>
    <cellStyle name="40% - Accent2 8 2 2 3 2 2" xfId="21966" xr:uid="{00000000-0005-0000-0000-00007D650000}"/>
    <cellStyle name="40% - Accent2 8 2 2 3 2 2 2" xfId="44568" xr:uid="{00000000-0005-0000-0000-00007E650000}"/>
    <cellStyle name="40% - Accent2 8 2 2 3 2 3" xfId="33267" xr:uid="{00000000-0005-0000-0000-00007F650000}"/>
    <cellStyle name="40% - Accent2 8 2 2 3 3" xfId="16316" xr:uid="{00000000-0005-0000-0000-000080650000}"/>
    <cellStyle name="40% - Accent2 8 2 2 3 3 2" xfId="38918" xr:uid="{00000000-0005-0000-0000-000081650000}"/>
    <cellStyle name="40% - Accent2 8 2 2 3 4" xfId="27617" xr:uid="{00000000-0005-0000-0000-000082650000}"/>
    <cellStyle name="40% - Accent2 8 2 2 4" xfId="7694" xr:uid="{00000000-0005-0000-0000-000083650000}"/>
    <cellStyle name="40% - Accent2 8 2 2 4 2" xfId="18995" xr:uid="{00000000-0005-0000-0000-000084650000}"/>
    <cellStyle name="40% - Accent2 8 2 2 4 2 2" xfId="41597" xr:uid="{00000000-0005-0000-0000-000085650000}"/>
    <cellStyle name="40% - Accent2 8 2 2 4 3" xfId="30296" xr:uid="{00000000-0005-0000-0000-000086650000}"/>
    <cellStyle name="40% - Accent2 8 2 2 5" xfId="13345" xr:uid="{00000000-0005-0000-0000-000087650000}"/>
    <cellStyle name="40% - Accent2 8 2 2 5 2" xfId="35947" xr:uid="{00000000-0005-0000-0000-000088650000}"/>
    <cellStyle name="40% - Accent2 8 2 2 6" xfId="24646" xr:uid="{00000000-0005-0000-0000-000089650000}"/>
    <cellStyle name="40% - Accent2 8 2 3" xfId="2606" xr:uid="{00000000-0005-0000-0000-00008A650000}"/>
    <cellStyle name="40% - Accent2 8 2 3 2" xfId="5625" xr:uid="{00000000-0005-0000-0000-00008B650000}"/>
    <cellStyle name="40% - Accent2 8 2 3 2 2" xfId="11275" xr:uid="{00000000-0005-0000-0000-00008C650000}"/>
    <cellStyle name="40% - Accent2 8 2 3 2 2 2" xfId="22576" xr:uid="{00000000-0005-0000-0000-00008D650000}"/>
    <cellStyle name="40% - Accent2 8 2 3 2 2 2 2" xfId="45178" xr:uid="{00000000-0005-0000-0000-00008E650000}"/>
    <cellStyle name="40% - Accent2 8 2 3 2 2 3" xfId="33877" xr:uid="{00000000-0005-0000-0000-00008F650000}"/>
    <cellStyle name="40% - Accent2 8 2 3 2 3" xfId="16926" xr:uid="{00000000-0005-0000-0000-000090650000}"/>
    <cellStyle name="40% - Accent2 8 2 3 2 3 2" xfId="39528" xr:uid="{00000000-0005-0000-0000-000091650000}"/>
    <cellStyle name="40% - Accent2 8 2 3 2 4" xfId="28227" xr:uid="{00000000-0005-0000-0000-000092650000}"/>
    <cellStyle name="40% - Accent2 8 2 3 3" xfId="8442" xr:uid="{00000000-0005-0000-0000-000093650000}"/>
    <cellStyle name="40% - Accent2 8 2 3 3 2" xfId="19743" xr:uid="{00000000-0005-0000-0000-000094650000}"/>
    <cellStyle name="40% - Accent2 8 2 3 3 2 2" xfId="42345" xr:uid="{00000000-0005-0000-0000-000095650000}"/>
    <cellStyle name="40% - Accent2 8 2 3 3 3" xfId="31044" xr:uid="{00000000-0005-0000-0000-000096650000}"/>
    <cellStyle name="40% - Accent2 8 2 3 4" xfId="14093" xr:uid="{00000000-0005-0000-0000-000097650000}"/>
    <cellStyle name="40% - Accent2 8 2 3 4 2" xfId="36695" xr:uid="{00000000-0005-0000-0000-000098650000}"/>
    <cellStyle name="40% - Accent2 8 2 3 5" xfId="25394" xr:uid="{00000000-0005-0000-0000-000099650000}"/>
    <cellStyle name="40% - Accent2 8 2 4" xfId="4391" xr:uid="{00000000-0005-0000-0000-00009A650000}"/>
    <cellStyle name="40% - Accent2 8 2 4 2" xfId="10041" xr:uid="{00000000-0005-0000-0000-00009B650000}"/>
    <cellStyle name="40% - Accent2 8 2 4 2 2" xfId="21342" xr:uid="{00000000-0005-0000-0000-00009C650000}"/>
    <cellStyle name="40% - Accent2 8 2 4 2 2 2" xfId="43944" xr:uid="{00000000-0005-0000-0000-00009D650000}"/>
    <cellStyle name="40% - Accent2 8 2 4 2 3" xfId="32643" xr:uid="{00000000-0005-0000-0000-00009E650000}"/>
    <cellStyle name="40% - Accent2 8 2 4 3" xfId="15692" xr:uid="{00000000-0005-0000-0000-00009F650000}"/>
    <cellStyle name="40% - Accent2 8 2 4 3 2" xfId="38294" xr:uid="{00000000-0005-0000-0000-0000A0650000}"/>
    <cellStyle name="40% - Accent2 8 2 4 4" xfId="26993" xr:uid="{00000000-0005-0000-0000-0000A1650000}"/>
    <cellStyle name="40% - Accent2 8 2 5" xfId="7187" xr:uid="{00000000-0005-0000-0000-0000A2650000}"/>
    <cellStyle name="40% - Accent2 8 2 5 2" xfId="18488" xr:uid="{00000000-0005-0000-0000-0000A3650000}"/>
    <cellStyle name="40% - Accent2 8 2 5 2 2" xfId="41090" xr:uid="{00000000-0005-0000-0000-0000A4650000}"/>
    <cellStyle name="40% - Accent2 8 2 5 3" xfId="29789" xr:uid="{00000000-0005-0000-0000-0000A5650000}"/>
    <cellStyle name="40% - Accent2 8 2 6" xfId="12838" xr:uid="{00000000-0005-0000-0000-0000A6650000}"/>
    <cellStyle name="40% - Accent2 8 2 6 2" xfId="35440" xr:uid="{00000000-0005-0000-0000-0000A7650000}"/>
    <cellStyle name="40% - Accent2 8 2 7" xfId="24139" xr:uid="{00000000-0005-0000-0000-0000A8650000}"/>
    <cellStyle name="40% - Accent2 8 3" xfId="905" xr:uid="{00000000-0005-0000-0000-0000A9650000}"/>
    <cellStyle name="40% - Accent2 8 3 2" xfId="2969" xr:uid="{00000000-0005-0000-0000-0000AA650000}"/>
    <cellStyle name="40% - Accent2 8 3 2 2" xfId="5941" xr:uid="{00000000-0005-0000-0000-0000AB650000}"/>
    <cellStyle name="40% - Accent2 8 3 2 2 2" xfId="11591" xr:uid="{00000000-0005-0000-0000-0000AC650000}"/>
    <cellStyle name="40% - Accent2 8 3 2 2 2 2" xfId="22892" xr:uid="{00000000-0005-0000-0000-0000AD650000}"/>
    <cellStyle name="40% - Accent2 8 3 2 2 2 2 2" xfId="45494" xr:uid="{00000000-0005-0000-0000-0000AE650000}"/>
    <cellStyle name="40% - Accent2 8 3 2 2 2 3" xfId="34193" xr:uid="{00000000-0005-0000-0000-0000AF650000}"/>
    <cellStyle name="40% - Accent2 8 3 2 2 3" xfId="17242" xr:uid="{00000000-0005-0000-0000-0000B0650000}"/>
    <cellStyle name="40% - Accent2 8 3 2 2 3 2" xfId="39844" xr:uid="{00000000-0005-0000-0000-0000B1650000}"/>
    <cellStyle name="40% - Accent2 8 3 2 2 4" xfId="28543" xr:uid="{00000000-0005-0000-0000-0000B2650000}"/>
    <cellStyle name="40% - Accent2 8 3 2 3" xfId="8759" xr:uid="{00000000-0005-0000-0000-0000B3650000}"/>
    <cellStyle name="40% - Accent2 8 3 2 3 2" xfId="20060" xr:uid="{00000000-0005-0000-0000-0000B4650000}"/>
    <cellStyle name="40% - Accent2 8 3 2 3 2 2" xfId="42662" xr:uid="{00000000-0005-0000-0000-0000B5650000}"/>
    <cellStyle name="40% - Accent2 8 3 2 3 3" xfId="31361" xr:uid="{00000000-0005-0000-0000-0000B6650000}"/>
    <cellStyle name="40% - Accent2 8 3 2 4" xfId="14410" xr:uid="{00000000-0005-0000-0000-0000B7650000}"/>
    <cellStyle name="40% - Accent2 8 3 2 4 2" xfId="37012" xr:uid="{00000000-0005-0000-0000-0000B8650000}"/>
    <cellStyle name="40% - Accent2 8 3 2 5" xfId="25711" xr:uid="{00000000-0005-0000-0000-0000B9650000}"/>
    <cellStyle name="40% - Accent2 8 3 3" xfId="4707" xr:uid="{00000000-0005-0000-0000-0000BA650000}"/>
    <cellStyle name="40% - Accent2 8 3 3 2" xfId="10357" xr:uid="{00000000-0005-0000-0000-0000BB650000}"/>
    <cellStyle name="40% - Accent2 8 3 3 2 2" xfId="21658" xr:uid="{00000000-0005-0000-0000-0000BC650000}"/>
    <cellStyle name="40% - Accent2 8 3 3 2 2 2" xfId="44260" xr:uid="{00000000-0005-0000-0000-0000BD650000}"/>
    <cellStyle name="40% - Accent2 8 3 3 2 3" xfId="32959" xr:uid="{00000000-0005-0000-0000-0000BE650000}"/>
    <cellStyle name="40% - Accent2 8 3 3 3" xfId="16008" xr:uid="{00000000-0005-0000-0000-0000BF650000}"/>
    <cellStyle name="40% - Accent2 8 3 3 3 2" xfId="38610" xr:uid="{00000000-0005-0000-0000-0000C0650000}"/>
    <cellStyle name="40% - Accent2 8 3 3 4" xfId="27309" xr:uid="{00000000-0005-0000-0000-0000C1650000}"/>
    <cellStyle name="40% - Accent2 8 3 4" xfId="6894" xr:uid="{00000000-0005-0000-0000-0000C2650000}"/>
    <cellStyle name="40% - Accent2 8 3 4 2" xfId="18195" xr:uid="{00000000-0005-0000-0000-0000C3650000}"/>
    <cellStyle name="40% - Accent2 8 3 4 2 2" xfId="40797" xr:uid="{00000000-0005-0000-0000-0000C4650000}"/>
    <cellStyle name="40% - Accent2 8 3 4 3" xfId="29496" xr:uid="{00000000-0005-0000-0000-0000C5650000}"/>
    <cellStyle name="40% - Accent2 8 3 5" xfId="12545" xr:uid="{00000000-0005-0000-0000-0000C6650000}"/>
    <cellStyle name="40% - Accent2 8 3 5 2" xfId="35147" xr:uid="{00000000-0005-0000-0000-0000C7650000}"/>
    <cellStyle name="40% - Accent2 8 3 6" xfId="23846" xr:uid="{00000000-0005-0000-0000-0000C8650000}"/>
    <cellStyle name="40% - Accent2 8 4" xfId="1837" xr:uid="{00000000-0005-0000-0000-0000C9650000}"/>
    <cellStyle name="40% - Accent2 8 4 2" xfId="3689" xr:uid="{00000000-0005-0000-0000-0000CA650000}"/>
    <cellStyle name="40% - Accent2 8 4 2 2" xfId="9399" xr:uid="{00000000-0005-0000-0000-0000CB650000}"/>
    <cellStyle name="40% - Accent2 8 4 2 2 2" xfId="20700" xr:uid="{00000000-0005-0000-0000-0000CC650000}"/>
    <cellStyle name="40% - Accent2 8 4 2 2 2 2" xfId="43302" xr:uid="{00000000-0005-0000-0000-0000CD650000}"/>
    <cellStyle name="40% - Accent2 8 4 2 2 3" xfId="32001" xr:uid="{00000000-0005-0000-0000-0000CE650000}"/>
    <cellStyle name="40% - Accent2 8 4 2 3" xfId="15050" xr:uid="{00000000-0005-0000-0000-0000CF650000}"/>
    <cellStyle name="40% - Accent2 8 4 2 3 2" xfId="37652" xr:uid="{00000000-0005-0000-0000-0000D0650000}"/>
    <cellStyle name="40% - Accent2 8 4 2 4" xfId="26351" xr:uid="{00000000-0005-0000-0000-0000D1650000}"/>
    <cellStyle name="40% - Accent2 8 4 3" xfId="5317" xr:uid="{00000000-0005-0000-0000-0000D2650000}"/>
    <cellStyle name="40% - Accent2 8 4 3 2" xfId="10967" xr:uid="{00000000-0005-0000-0000-0000D3650000}"/>
    <cellStyle name="40% - Accent2 8 4 3 2 2" xfId="22268" xr:uid="{00000000-0005-0000-0000-0000D4650000}"/>
    <cellStyle name="40% - Accent2 8 4 3 2 2 2" xfId="44870" xr:uid="{00000000-0005-0000-0000-0000D5650000}"/>
    <cellStyle name="40% - Accent2 8 4 3 2 3" xfId="33569" xr:uid="{00000000-0005-0000-0000-0000D6650000}"/>
    <cellStyle name="40% - Accent2 8 4 3 3" xfId="16618" xr:uid="{00000000-0005-0000-0000-0000D7650000}"/>
    <cellStyle name="40% - Accent2 8 4 3 3 2" xfId="39220" xr:uid="{00000000-0005-0000-0000-0000D8650000}"/>
    <cellStyle name="40% - Accent2 8 4 3 4" xfId="27919" xr:uid="{00000000-0005-0000-0000-0000D9650000}"/>
    <cellStyle name="40% - Accent2 8 4 4" xfId="7693" xr:uid="{00000000-0005-0000-0000-0000DA650000}"/>
    <cellStyle name="40% - Accent2 8 4 4 2" xfId="18994" xr:uid="{00000000-0005-0000-0000-0000DB650000}"/>
    <cellStyle name="40% - Accent2 8 4 4 2 2" xfId="41596" xr:uid="{00000000-0005-0000-0000-0000DC650000}"/>
    <cellStyle name="40% - Accent2 8 4 4 3" xfId="30295" xr:uid="{00000000-0005-0000-0000-0000DD650000}"/>
    <cellStyle name="40% - Accent2 8 4 5" xfId="13344" xr:uid="{00000000-0005-0000-0000-0000DE650000}"/>
    <cellStyle name="40% - Accent2 8 4 5 2" xfId="35946" xr:uid="{00000000-0005-0000-0000-0000DF650000}"/>
    <cellStyle name="40% - Accent2 8 4 6" xfId="24645" xr:uid="{00000000-0005-0000-0000-0000E0650000}"/>
    <cellStyle name="40% - Accent2 8 5" xfId="2298" xr:uid="{00000000-0005-0000-0000-0000E1650000}"/>
    <cellStyle name="40% - Accent2 8 5 2" xfId="8134" xr:uid="{00000000-0005-0000-0000-0000E2650000}"/>
    <cellStyle name="40% - Accent2 8 5 2 2" xfId="19435" xr:uid="{00000000-0005-0000-0000-0000E3650000}"/>
    <cellStyle name="40% - Accent2 8 5 2 2 2" xfId="42037" xr:uid="{00000000-0005-0000-0000-0000E4650000}"/>
    <cellStyle name="40% - Accent2 8 5 2 3" xfId="30736" xr:uid="{00000000-0005-0000-0000-0000E5650000}"/>
    <cellStyle name="40% - Accent2 8 5 3" xfId="13785" xr:uid="{00000000-0005-0000-0000-0000E6650000}"/>
    <cellStyle name="40% - Accent2 8 5 3 2" xfId="36387" xr:uid="{00000000-0005-0000-0000-0000E7650000}"/>
    <cellStyle name="40% - Accent2 8 5 4" xfId="25086" xr:uid="{00000000-0005-0000-0000-0000E8650000}"/>
    <cellStyle name="40% - Accent2 8 6" xfId="4083" xr:uid="{00000000-0005-0000-0000-0000E9650000}"/>
    <cellStyle name="40% - Accent2 8 6 2" xfId="9733" xr:uid="{00000000-0005-0000-0000-0000EA650000}"/>
    <cellStyle name="40% - Accent2 8 6 2 2" xfId="21034" xr:uid="{00000000-0005-0000-0000-0000EB650000}"/>
    <cellStyle name="40% - Accent2 8 6 2 2 2" xfId="43636" xr:uid="{00000000-0005-0000-0000-0000EC650000}"/>
    <cellStyle name="40% - Accent2 8 6 2 3" xfId="32335" xr:uid="{00000000-0005-0000-0000-0000ED650000}"/>
    <cellStyle name="40% - Accent2 8 6 3" xfId="15384" xr:uid="{00000000-0005-0000-0000-0000EE650000}"/>
    <cellStyle name="40% - Accent2 8 6 3 2" xfId="37986" xr:uid="{00000000-0005-0000-0000-0000EF650000}"/>
    <cellStyle name="40% - Accent2 8 6 4" xfId="26685" xr:uid="{00000000-0005-0000-0000-0000F0650000}"/>
    <cellStyle name="40% - Accent2 8 7" xfId="6534" xr:uid="{00000000-0005-0000-0000-0000F1650000}"/>
    <cellStyle name="40% - Accent2 8 7 2" xfId="17835" xr:uid="{00000000-0005-0000-0000-0000F2650000}"/>
    <cellStyle name="40% - Accent2 8 7 2 2" xfId="40437" xr:uid="{00000000-0005-0000-0000-0000F3650000}"/>
    <cellStyle name="40% - Accent2 8 7 3" xfId="29136" xr:uid="{00000000-0005-0000-0000-0000F4650000}"/>
    <cellStyle name="40% - Accent2 8 8" xfId="12185" xr:uid="{00000000-0005-0000-0000-0000F5650000}"/>
    <cellStyle name="40% - Accent2 8 8 2" xfId="34787" xr:uid="{00000000-0005-0000-0000-0000F6650000}"/>
    <cellStyle name="40% - Accent2 8 9" xfId="23486" xr:uid="{00000000-0005-0000-0000-0000F7650000}"/>
    <cellStyle name="40% - Accent2 9" xfId="639" xr:uid="{00000000-0005-0000-0000-0000F8650000}"/>
    <cellStyle name="40% - Accent2 9 2" xfId="696" xr:uid="{00000000-0005-0000-0000-0000F9650000}"/>
    <cellStyle name="40% - Accent2 9 2 2" xfId="3109" xr:uid="{00000000-0005-0000-0000-0000FA650000}"/>
    <cellStyle name="40% - Accent2 9 2 2 2" xfId="6081" xr:uid="{00000000-0005-0000-0000-0000FB650000}"/>
    <cellStyle name="40% - Accent2 9 2 2 2 2" xfId="11731" xr:uid="{00000000-0005-0000-0000-0000FC650000}"/>
    <cellStyle name="40% - Accent2 9 2 2 2 2 2" xfId="23032" xr:uid="{00000000-0005-0000-0000-0000FD650000}"/>
    <cellStyle name="40% - Accent2 9 2 2 2 2 2 2" xfId="45634" xr:uid="{00000000-0005-0000-0000-0000FE650000}"/>
    <cellStyle name="40% - Accent2 9 2 2 2 2 3" xfId="34333" xr:uid="{00000000-0005-0000-0000-0000FF650000}"/>
    <cellStyle name="40% - Accent2 9 2 2 2 3" xfId="17382" xr:uid="{00000000-0005-0000-0000-000000660000}"/>
    <cellStyle name="40% - Accent2 9 2 2 2 3 2" xfId="39984" xr:uid="{00000000-0005-0000-0000-000001660000}"/>
    <cellStyle name="40% - Accent2 9 2 2 2 4" xfId="28683" xr:uid="{00000000-0005-0000-0000-000002660000}"/>
    <cellStyle name="40% - Accent2 9 2 2 3" xfId="8899" xr:uid="{00000000-0005-0000-0000-000003660000}"/>
    <cellStyle name="40% - Accent2 9 2 2 3 2" xfId="20200" xr:uid="{00000000-0005-0000-0000-000004660000}"/>
    <cellStyle name="40% - Accent2 9 2 2 3 2 2" xfId="42802" xr:uid="{00000000-0005-0000-0000-000005660000}"/>
    <cellStyle name="40% - Accent2 9 2 2 3 3" xfId="31501" xr:uid="{00000000-0005-0000-0000-000006660000}"/>
    <cellStyle name="40% - Accent2 9 2 2 4" xfId="14550" xr:uid="{00000000-0005-0000-0000-000007660000}"/>
    <cellStyle name="40% - Accent2 9 2 2 4 2" xfId="37152" xr:uid="{00000000-0005-0000-0000-000008660000}"/>
    <cellStyle name="40% - Accent2 9 2 2 5" xfId="25851" xr:uid="{00000000-0005-0000-0000-000009660000}"/>
    <cellStyle name="40% - Accent2 9 2 3" xfId="4847" xr:uid="{00000000-0005-0000-0000-00000A660000}"/>
    <cellStyle name="40% - Accent2 9 2 3 2" xfId="10497" xr:uid="{00000000-0005-0000-0000-00000B660000}"/>
    <cellStyle name="40% - Accent2 9 2 3 2 2" xfId="21798" xr:uid="{00000000-0005-0000-0000-00000C660000}"/>
    <cellStyle name="40% - Accent2 9 2 3 2 2 2" xfId="44400" xr:uid="{00000000-0005-0000-0000-00000D660000}"/>
    <cellStyle name="40% - Accent2 9 2 3 2 3" xfId="33099" xr:uid="{00000000-0005-0000-0000-00000E660000}"/>
    <cellStyle name="40% - Accent2 9 2 3 3" xfId="16148" xr:uid="{00000000-0005-0000-0000-00000F660000}"/>
    <cellStyle name="40% - Accent2 9 2 3 3 2" xfId="38750" xr:uid="{00000000-0005-0000-0000-000010660000}"/>
    <cellStyle name="40% - Accent2 9 2 3 4" xfId="27449" xr:uid="{00000000-0005-0000-0000-000011660000}"/>
    <cellStyle name="40% - Accent2 9 2 4" xfId="6723" xr:uid="{00000000-0005-0000-0000-000012660000}"/>
    <cellStyle name="40% - Accent2 9 2 4 2" xfId="18024" xr:uid="{00000000-0005-0000-0000-000013660000}"/>
    <cellStyle name="40% - Accent2 9 2 4 2 2" xfId="40626" xr:uid="{00000000-0005-0000-0000-000014660000}"/>
    <cellStyle name="40% - Accent2 9 2 4 3" xfId="29325" xr:uid="{00000000-0005-0000-0000-000015660000}"/>
    <cellStyle name="40% - Accent2 9 2 5" xfId="12374" xr:uid="{00000000-0005-0000-0000-000016660000}"/>
    <cellStyle name="40% - Accent2 9 2 5 2" xfId="34976" xr:uid="{00000000-0005-0000-0000-000017660000}"/>
    <cellStyle name="40% - Accent2 9 2 6" xfId="23675" xr:uid="{00000000-0005-0000-0000-000018660000}"/>
    <cellStyle name="40% - Accent2 9 3" xfId="1839" xr:uid="{00000000-0005-0000-0000-000019660000}"/>
    <cellStyle name="40% - Accent2 9 3 2" xfId="3690" xr:uid="{00000000-0005-0000-0000-00001A660000}"/>
    <cellStyle name="40% - Accent2 9 3 2 2" xfId="9400" xr:uid="{00000000-0005-0000-0000-00001B660000}"/>
    <cellStyle name="40% - Accent2 9 3 2 2 2" xfId="20701" xr:uid="{00000000-0005-0000-0000-00001C660000}"/>
    <cellStyle name="40% - Accent2 9 3 2 2 2 2" xfId="43303" xr:uid="{00000000-0005-0000-0000-00001D660000}"/>
    <cellStyle name="40% - Accent2 9 3 2 2 3" xfId="32002" xr:uid="{00000000-0005-0000-0000-00001E660000}"/>
    <cellStyle name="40% - Accent2 9 3 2 3" xfId="15051" xr:uid="{00000000-0005-0000-0000-00001F660000}"/>
    <cellStyle name="40% - Accent2 9 3 2 3 2" xfId="37653" xr:uid="{00000000-0005-0000-0000-000020660000}"/>
    <cellStyle name="40% - Accent2 9 3 2 4" xfId="26352" xr:uid="{00000000-0005-0000-0000-000021660000}"/>
    <cellStyle name="40% - Accent2 9 3 3" xfId="5457" xr:uid="{00000000-0005-0000-0000-000022660000}"/>
    <cellStyle name="40% - Accent2 9 3 3 2" xfId="11107" xr:uid="{00000000-0005-0000-0000-000023660000}"/>
    <cellStyle name="40% - Accent2 9 3 3 2 2" xfId="22408" xr:uid="{00000000-0005-0000-0000-000024660000}"/>
    <cellStyle name="40% - Accent2 9 3 3 2 2 2" xfId="45010" xr:uid="{00000000-0005-0000-0000-000025660000}"/>
    <cellStyle name="40% - Accent2 9 3 3 2 3" xfId="33709" xr:uid="{00000000-0005-0000-0000-000026660000}"/>
    <cellStyle name="40% - Accent2 9 3 3 3" xfId="16758" xr:uid="{00000000-0005-0000-0000-000027660000}"/>
    <cellStyle name="40% - Accent2 9 3 3 3 2" xfId="39360" xr:uid="{00000000-0005-0000-0000-000028660000}"/>
    <cellStyle name="40% - Accent2 9 3 3 4" xfId="28059" xr:uid="{00000000-0005-0000-0000-000029660000}"/>
    <cellStyle name="40% - Accent2 9 3 4" xfId="7695" xr:uid="{00000000-0005-0000-0000-00002A660000}"/>
    <cellStyle name="40% - Accent2 9 3 4 2" xfId="18996" xr:uid="{00000000-0005-0000-0000-00002B660000}"/>
    <cellStyle name="40% - Accent2 9 3 4 2 2" xfId="41598" xr:uid="{00000000-0005-0000-0000-00002C660000}"/>
    <cellStyle name="40% - Accent2 9 3 4 3" xfId="30297" xr:uid="{00000000-0005-0000-0000-00002D660000}"/>
    <cellStyle name="40% - Accent2 9 3 5" xfId="13346" xr:uid="{00000000-0005-0000-0000-00002E660000}"/>
    <cellStyle name="40% - Accent2 9 3 5 2" xfId="35948" xr:uid="{00000000-0005-0000-0000-00002F660000}"/>
    <cellStyle name="40% - Accent2 9 3 6" xfId="24647" xr:uid="{00000000-0005-0000-0000-000030660000}"/>
    <cellStyle name="40% - Accent2 9 4" xfId="2438" xr:uid="{00000000-0005-0000-0000-000031660000}"/>
    <cellStyle name="40% - Accent2 9 4 2" xfId="8274" xr:uid="{00000000-0005-0000-0000-000032660000}"/>
    <cellStyle name="40% - Accent2 9 4 2 2" xfId="19575" xr:uid="{00000000-0005-0000-0000-000033660000}"/>
    <cellStyle name="40% - Accent2 9 4 2 2 2" xfId="42177" xr:uid="{00000000-0005-0000-0000-000034660000}"/>
    <cellStyle name="40% - Accent2 9 4 2 3" xfId="30876" xr:uid="{00000000-0005-0000-0000-000035660000}"/>
    <cellStyle name="40% - Accent2 9 4 3" xfId="13925" xr:uid="{00000000-0005-0000-0000-000036660000}"/>
    <cellStyle name="40% - Accent2 9 4 3 2" xfId="36527" xr:uid="{00000000-0005-0000-0000-000037660000}"/>
    <cellStyle name="40% - Accent2 9 4 4" xfId="25226" xr:uid="{00000000-0005-0000-0000-000038660000}"/>
    <cellStyle name="40% - Accent2 9 5" xfId="4223" xr:uid="{00000000-0005-0000-0000-000039660000}"/>
    <cellStyle name="40% - Accent2 9 5 2" xfId="9873" xr:uid="{00000000-0005-0000-0000-00003A660000}"/>
    <cellStyle name="40% - Accent2 9 5 2 2" xfId="21174" xr:uid="{00000000-0005-0000-0000-00003B660000}"/>
    <cellStyle name="40% - Accent2 9 5 2 2 2" xfId="43776" xr:uid="{00000000-0005-0000-0000-00003C660000}"/>
    <cellStyle name="40% - Accent2 9 5 2 3" xfId="32475" xr:uid="{00000000-0005-0000-0000-00003D660000}"/>
    <cellStyle name="40% - Accent2 9 5 3" xfId="15524" xr:uid="{00000000-0005-0000-0000-00003E660000}"/>
    <cellStyle name="40% - Accent2 9 5 3 2" xfId="38126" xr:uid="{00000000-0005-0000-0000-00003F660000}"/>
    <cellStyle name="40% - Accent2 9 5 4" xfId="26825" xr:uid="{00000000-0005-0000-0000-000040660000}"/>
    <cellStyle name="40% - Accent2 9 6" xfId="6702" xr:uid="{00000000-0005-0000-0000-000041660000}"/>
    <cellStyle name="40% - Accent2 9 6 2" xfId="18003" xr:uid="{00000000-0005-0000-0000-000042660000}"/>
    <cellStyle name="40% - Accent2 9 6 2 2" xfId="40605" xr:uid="{00000000-0005-0000-0000-000043660000}"/>
    <cellStyle name="40% - Accent2 9 6 3" xfId="29304" xr:uid="{00000000-0005-0000-0000-000044660000}"/>
    <cellStyle name="40% - Accent2 9 7" xfId="12353" xr:uid="{00000000-0005-0000-0000-000045660000}"/>
    <cellStyle name="40% - Accent2 9 7 2" xfId="34955" xr:uid="{00000000-0005-0000-0000-000046660000}"/>
    <cellStyle name="40% - Accent2 9 8" xfId="23654" xr:uid="{00000000-0005-0000-0000-000047660000}"/>
    <cellStyle name="40% - Accent3 10" xfId="796" xr:uid="{00000000-0005-0000-0000-000048660000}"/>
    <cellStyle name="40% - Accent3 10 2" xfId="1840" xr:uid="{00000000-0005-0000-0000-000049660000}"/>
    <cellStyle name="40% - Accent3 10 2 2" xfId="3104" xr:uid="{00000000-0005-0000-0000-00004A660000}"/>
    <cellStyle name="40% - Accent3 10 2 2 2" xfId="6076" xr:uid="{00000000-0005-0000-0000-00004B660000}"/>
    <cellStyle name="40% - Accent3 10 2 2 2 2" xfId="11726" xr:uid="{00000000-0005-0000-0000-00004C660000}"/>
    <cellStyle name="40% - Accent3 10 2 2 2 2 2" xfId="23027" xr:uid="{00000000-0005-0000-0000-00004D660000}"/>
    <cellStyle name="40% - Accent3 10 2 2 2 2 2 2" xfId="45629" xr:uid="{00000000-0005-0000-0000-00004E660000}"/>
    <cellStyle name="40% - Accent3 10 2 2 2 2 3" xfId="34328" xr:uid="{00000000-0005-0000-0000-00004F660000}"/>
    <cellStyle name="40% - Accent3 10 2 2 2 3" xfId="17377" xr:uid="{00000000-0005-0000-0000-000050660000}"/>
    <cellStyle name="40% - Accent3 10 2 2 2 3 2" xfId="39979" xr:uid="{00000000-0005-0000-0000-000051660000}"/>
    <cellStyle name="40% - Accent3 10 2 2 2 4" xfId="28678" xr:uid="{00000000-0005-0000-0000-000052660000}"/>
    <cellStyle name="40% - Accent3 10 2 2 3" xfId="8894" xr:uid="{00000000-0005-0000-0000-000053660000}"/>
    <cellStyle name="40% - Accent3 10 2 2 3 2" xfId="20195" xr:uid="{00000000-0005-0000-0000-000054660000}"/>
    <cellStyle name="40% - Accent3 10 2 2 3 2 2" xfId="42797" xr:uid="{00000000-0005-0000-0000-000055660000}"/>
    <cellStyle name="40% - Accent3 10 2 2 3 3" xfId="31496" xr:uid="{00000000-0005-0000-0000-000056660000}"/>
    <cellStyle name="40% - Accent3 10 2 2 4" xfId="14545" xr:uid="{00000000-0005-0000-0000-000057660000}"/>
    <cellStyle name="40% - Accent3 10 2 2 4 2" xfId="37147" xr:uid="{00000000-0005-0000-0000-000058660000}"/>
    <cellStyle name="40% - Accent3 10 2 2 5" xfId="25846" xr:uid="{00000000-0005-0000-0000-000059660000}"/>
    <cellStyle name="40% - Accent3 10 2 3" xfId="4842" xr:uid="{00000000-0005-0000-0000-00005A660000}"/>
    <cellStyle name="40% - Accent3 10 2 3 2" xfId="10492" xr:uid="{00000000-0005-0000-0000-00005B660000}"/>
    <cellStyle name="40% - Accent3 10 2 3 2 2" xfId="21793" xr:uid="{00000000-0005-0000-0000-00005C660000}"/>
    <cellStyle name="40% - Accent3 10 2 3 2 2 2" xfId="44395" xr:uid="{00000000-0005-0000-0000-00005D660000}"/>
    <cellStyle name="40% - Accent3 10 2 3 2 3" xfId="33094" xr:uid="{00000000-0005-0000-0000-00005E660000}"/>
    <cellStyle name="40% - Accent3 10 2 3 3" xfId="16143" xr:uid="{00000000-0005-0000-0000-00005F660000}"/>
    <cellStyle name="40% - Accent3 10 2 3 3 2" xfId="38745" xr:uid="{00000000-0005-0000-0000-000060660000}"/>
    <cellStyle name="40% - Accent3 10 2 3 4" xfId="27444" xr:uid="{00000000-0005-0000-0000-000061660000}"/>
    <cellStyle name="40% - Accent3 10 2 4" xfId="7696" xr:uid="{00000000-0005-0000-0000-000062660000}"/>
    <cellStyle name="40% - Accent3 10 2 4 2" xfId="18997" xr:uid="{00000000-0005-0000-0000-000063660000}"/>
    <cellStyle name="40% - Accent3 10 2 4 2 2" xfId="41599" xr:uid="{00000000-0005-0000-0000-000064660000}"/>
    <cellStyle name="40% - Accent3 10 2 4 3" xfId="30298" xr:uid="{00000000-0005-0000-0000-000065660000}"/>
    <cellStyle name="40% - Accent3 10 2 5" xfId="13347" xr:uid="{00000000-0005-0000-0000-000066660000}"/>
    <cellStyle name="40% - Accent3 10 2 5 2" xfId="35949" xr:uid="{00000000-0005-0000-0000-000067660000}"/>
    <cellStyle name="40% - Accent3 10 2 6" xfId="24648" xr:uid="{00000000-0005-0000-0000-000068660000}"/>
    <cellStyle name="40% - Accent3 10 3" xfId="2433" xr:uid="{00000000-0005-0000-0000-000069660000}"/>
    <cellStyle name="40% - Accent3 10 3 2" xfId="5452" xr:uid="{00000000-0005-0000-0000-00006A660000}"/>
    <cellStyle name="40% - Accent3 10 3 2 2" xfId="11102" xr:uid="{00000000-0005-0000-0000-00006B660000}"/>
    <cellStyle name="40% - Accent3 10 3 2 2 2" xfId="22403" xr:uid="{00000000-0005-0000-0000-00006C660000}"/>
    <cellStyle name="40% - Accent3 10 3 2 2 2 2" xfId="45005" xr:uid="{00000000-0005-0000-0000-00006D660000}"/>
    <cellStyle name="40% - Accent3 10 3 2 2 3" xfId="33704" xr:uid="{00000000-0005-0000-0000-00006E660000}"/>
    <cellStyle name="40% - Accent3 10 3 2 3" xfId="16753" xr:uid="{00000000-0005-0000-0000-00006F660000}"/>
    <cellStyle name="40% - Accent3 10 3 2 3 2" xfId="39355" xr:uid="{00000000-0005-0000-0000-000070660000}"/>
    <cellStyle name="40% - Accent3 10 3 2 4" xfId="28054" xr:uid="{00000000-0005-0000-0000-000071660000}"/>
    <cellStyle name="40% - Accent3 10 3 3" xfId="8269" xr:uid="{00000000-0005-0000-0000-000072660000}"/>
    <cellStyle name="40% - Accent3 10 3 3 2" xfId="19570" xr:uid="{00000000-0005-0000-0000-000073660000}"/>
    <cellStyle name="40% - Accent3 10 3 3 2 2" xfId="42172" xr:uid="{00000000-0005-0000-0000-000074660000}"/>
    <cellStyle name="40% - Accent3 10 3 3 3" xfId="30871" xr:uid="{00000000-0005-0000-0000-000075660000}"/>
    <cellStyle name="40% - Accent3 10 3 4" xfId="13920" xr:uid="{00000000-0005-0000-0000-000076660000}"/>
    <cellStyle name="40% - Accent3 10 3 4 2" xfId="36522" xr:uid="{00000000-0005-0000-0000-000077660000}"/>
    <cellStyle name="40% - Accent3 10 3 5" xfId="25221" xr:uid="{00000000-0005-0000-0000-000078660000}"/>
    <cellStyle name="40% - Accent3 10 4" xfId="4218" xr:uid="{00000000-0005-0000-0000-000079660000}"/>
    <cellStyle name="40% - Accent3 10 4 2" xfId="9868" xr:uid="{00000000-0005-0000-0000-00007A660000}"/>
    <cellStyle name="40% - Accent3 10 4 2 2" xfId="21169" xr:uid="{00000000-0005-0000-0000-00007B660000}"/>
    <cellStyle name="40% - Accent3 10 4 2 2 2" xfId="43771" xr:uid="{00000000-0005-0000-0000-00007C660000}"/>
    <cellStyle name="40% - Accent3 10 4 2 3" xfId="32470" xr:uid="{00000000-0005-0000-0000-00007D660000}"/>
    <cellStyle name="40% - Accent3 10 4 3" xfId="15519" xr:uid="{00000000-0005-0000-0000-00007E660000}"/>
    <cellStyle name="40% - Accent3 10 4 3 2" xfId="38121" xr:uid="{00000000-0005-0000-0000-00007F660000}"/>
    <cellStyle name="40% - Accent3 10 4 4" xfId="26820" xr:uid="{00000000-0005-0000-0000-000080660000}"/>
    <cellStyle name="40% - Accent3 10 5" xfId="6796" xr:uid="{00000000-0005-0000-0000-000081660000}"/>
    <cellStyle name="40% - Accent3 10 5 2" xfId="18097" xr:uid="{00000000-0005-0000-0000-000082660000}"/>
    <cellStyle name="40% - Accent3 10 5 2 2" xfId="40699" xr:uid="{00000000-0005-0000-0000-000083660000}"/>
    <cellStyle name="40% - Accent3 10 5 3" xfId="29398" xr:uid="{00000000-0005-0000-0000-000084660000}"/>
    <cellStyle name="40% - Accent3 10 6" xfId="12447" xr:uid="{00000000-0005-0000-0000-000085660000}"/>
    <cellStyle name="40% - Accent3 10 6 2" xfId="35049" xr:uid="{00000000-0005-0000-0000-000086660000}"/>
    <cellStyle name="40% - Accent3 10 7" xfId="23748" xr:uid="{00000000-0005-0000-0000-000087660000}"/>
    <cellStyle name="40% - Accent3 11" xfId="671" xr:uid="{00000000-0005-0000-0000-000088660000}"/>
    <cellStyle name="40% - Accent3 11 2" xfId="1841" xr:uid="{00000000-0005-0000-0000-000089660000}"/>
    <cellStyle name="40% - Accent3 11 2 2" xfId="3691" xr:uid="{00000000-0005-0000-0000-00008A660000}"/>
    <cellStyle name="40% - Accent3 11 2 2 2" xfId="9401" xr:uid="{00000000-0005-0000-0000-00008B660000}"/>
    <cellStyle name="40% - Accent3 11 2 2 2 2" xfId="20702" xr:uid="{00000000-0005-0000-0000-00008C660000}"/>
    <cellStyle name="40% - Accent3 11 2 2 2 2 2" xfId="43304" xr:uid="{00000000-0005-0000-0000-00008D660000}"/>
    <cellStyle name="40% - Accent3 11 2 2 2 3" xfId="32003" xr:uid="{00000000-0005-0000-0000-00008E660000}"/>
    <cellStyle name="40% - Accent3 11 2 2 3" xfId="15052" xr:uid="{00000000-0005-0000-0000-00008F660000}"/>
    <cellStyle name="40% - Accent3 11 2 2 3 2" xfId="37654" xr:uid="{00000000-0005-0000-0000-000090660000}"/>
    <cellStyle name="40% - Accent3 11 2 2 4" xfId="26353" xr:uid="{00000000-0005-0000-0000-000091660000}"/>
    <cellStyle name="40% - Accent3 11 2 3" xfId="7697" xr:uid="{00000000-0005-0000-0000-000092660000}"/>
    <cellStyle name="40% - Accent3 11 2 3 2" xfId="18998" xr:uid="{00000000-0005-0000-0000-000093660000}"/>
    <cellStyle name="40% - Accent3 11 2 3 2 2" xfId="41600" xr:uid="{00000000-0005-0000-0000-000094660000}"/>
    <cellStyle name="40% - Accent3 11 2 3 3" xfId="30299" xr:uid="{00000000-0005-0000-0000-000095660000}"/>
    <cellStyle name="40% - Accent3 11 2 4" xfId="13348" xr:uid="{00000000-0005-0000-0000-000096660000}"/>
    <cellStyle name="40% - Accent3 11 2 4 2" xfId="35950" xr:uid="{00000000-0005-0000-0000-000097660000}"/>
    <cellStyle name="40% - Accent3 11 2 5" xfId="24649" xr:uid="{00000000-0005-0000-0000-000098660000}"/>
    <cellStyle name="40% - Accent3 11 3" xfId="2122" xr:uid="{00000000-0005-0000-0000-000099660000}"/>
    <cellStyle name="40% - Accent3 11 3 2" xfId="7966" xr:uid="{00000000-0005-0000-0000-00009A660000}"/>
    <cellStyle name="40% - Accent3 11 3 2 2" xfId="19267" xr:uid="{00000000-0005-0000-0000-00009B660000}"/>
    <cellStyle name="40% - Accent3 11 3 2 2 2" xfId="41869" xr:uid="{00000000-0005-0000-0000-00009C660000}"/>
    <cellStyle name="40% - Accent3 11 3 2 3" xfId="30568" xr:uid="{00000000-0005-0000-0000-00009D660000}"/>
    <cellStyle name="40% - Accent3 11 3 3" xfId="13617" xr:uid="{00000000-0005-0000-0000-00009E660000}"/>
    <cellStyle name="40% - Accent3 11 3 3 2" xfId="36219" xr:uid="{00000000-0005-0000-0000-00009F660000}"/>
    <cellStyle name="40% - Accent3 11 3 4" xfId="24918" xr:uid="{00000000-0005-0000-0000-0000A0660000}"/>
    <cellStyle name="40% - Accent3 11 4" xfId="3918" xr:uid="{00000000-0005-0000-0000-0000A1660000}"/>
    <cellStyle name="40% - Accent3 11 4 2" xfId="9568" xr:uid="{00000000-0005-0000-0000-0000A2660000}"/>
    <cellStyle name="40% - Accent3 11 4 2 2" xfId="20869" xr:uid="{00000000-0005-0000-0000-0000A3660000}"/>
    <cellStyle name="40% - Accent3 11 4 2 2 2" xfId="43471" xr:uid="{00000000-0005-0000-0000-0000A4660000}"/>
    <cellStyle name="40% - Accent3 11 4 2 3" xfId="32170" xr:uid="{00000000-0005-0000-0000-0000A5660000}"/>
    <cellStyle name="40% - Accent3 11 4 3" xfId="15219" xr:uid="{00000000-0005-0000-0000-0000A6660000}"/>
    <cellStyle name="40% - Accent3 11 4 3 2" xfId="37821" xr:uid="{00000000-0005-0000-0000-0000A7660000}"/>
    <cellStyle name="40% - Accent3 11 4 4" xfId="26520" xr:uid="{00000000-0005-0000-0000-0000A8660000}"/>
    <cellStyle name="40% - Accent3 11 5" xfId="6718" xr:uid="{00000000-0005-0000-0000-0000A9660000}"/>
    <cellStyle name="40% - Accent3 11 5 2" xfId="18019" xr:uid="{00000000-0005-0000-0000-0000AA660000}"/>
    <cellStyle name="40% - Accent3 11 5 2 2" xfId="40621" xr:uid="{00000000-0005-0000-0000-0000AB660000}"/>
    <cellStyle name="40% - Accent3 11 5 3" xfId="29320" xr:uid="{00000000-0005-0000-0000-0000AC660000}"/>
    <cellStyle name="40% - Accent3 11 6" xfId="12369" xr:uid="{00000000-0005-0000-0000-0000AD660000}"/>
    <cellStyle name="40% - Accent3 11 6 2" xfId="34971" xr:uid="{00000000-0005-0000-0000-0000AE660000}"/>
    <cellStyle name="40% - Accent3 11 7" xfId="23670" xr:uid="{00000000-0005-0000-0000-0000AF660000}"/>
    <cellStyle name="40% - Accent3 12" xfId="1462" xr:uid="{00000000-0005-0000-0000-0000B0660000}"/>
    <cellStyle name="40% - Accent3 12 2" xfId="3889" xr:uid="{00000000-0005-0000-0000-0000B1660000}"/>
    <cellStyle name="40% - Accent3 12 2 2" xfId="9558" xr:uid="{00000000-0005-0000-0000-0000B2660000}"/>
    <cellStyle name="40% - Accent3 12 2 2 2" xfId="20859" xr:uid="{00000000-0005-0000-0000-0000B3660000}"/>
    <cellStyle name="40% - Accent3 12 2 2 2 2" xfId="43461" xr:uid="{00000000-0005-0000-0000-0000B4660000}"/>
    <cellStyle name="40% - Accent3 12 2 2 3" xfId="32160" xr:uid="{00000000-0005-0000-0000-0000B5660000}"/>
    <cellStyle name="40% - Accent3 12 2 3" xfId="15209" xr:uid="{00000000-0005-0000-0000-0000B6660000}"/>
    <cellStyle name="40% - Accent3 12 2 3 2" xfId="37811" xr:uid="{00000000-0005-0000-0000-0000B7660000}"/>
    <cellStyle name="40% - Accent3 12 2 4" xfId="26510" xr:uid="{00000000-0005-0000-0000-0000B8660000}"/>
    <cellStyle name="40% - Accent3 13" xfId="2196" xr:uid="{00000000-0005-0000-0000-0000B9660000}"/>
    <cellStyle name="40% - Accent3 14" xfId="54" xr:uid="{00000000-0005-0000-0000-0000BA660000}"/>
    <cellStyle name="40% - Accent3 2" xfId="100" xr:uid="{00000000-0005-0000-0000-0000BB660000}"/>
    <cellStyle name="40% - Accent3 2 2" xfId="313" xr:uid="{00000000-0005-0000-0000-0000BC660000}"/>
    <cellStyle name="40% - Accent3 2 2 10" xfId="23420" xr:uid="{00000000-0005-0000-0000-0000BD660000}"/>
    <cellStyle name="40% - Accent3 2 2 2" xfId="570" xr:uid="{00000000-0005-0000-0000-0000BE660000}"/>
    <cellStyle name="40% - Accent3 2 2 2 2" xfId="1280" xr:uid="{00000000-0005-0000-0000-0000BF660000}"/>
    <cellStyle name="40% - Accent3 2 2 2 2 2" xfId="1844" xr:uid="{00000000-0005-0000-0000-0000C0660000}"/>
    <cellStyle name="40% - Accent3 2 2 2 2 2 2" xfId="3349" xr:uid="{00000000-0005-0000-0000-0000C1660000}"/>
    <cellStyle name="40% - Accent3 2 2 2 2 2 2 2" xfId="6321" xr:uid="{00000000-0005-0000-0000-0000C2660000}"/>
    <cellStyle name="40% - Accent3 2 2 2 2 2 2 2 2" xfId="11971" xr:uid="{00000000-0005-0000-0000-0000C3660000}"/>
    <cellStyle name="40% - Accent3 2 2 2 2 2 2 2 2 2" xfId="23272" xr:uid="{00000000-0005-0000-0000-0000C4660000}"/>
    <cellStyle name="40% - Accent3 2 2 2 2 2 2 2 2 2 2" xfId="45874" xr:uid="{00000000-0005-0000-0000-0000C5660000}"/>
    <cellStyle name="40% - Accent3 2 2 2 2 2 2 2 2 3" xfId="34573" xr:uid="{00000000-0005-0000-0000-0000C6660000}"/>
    <cellStyle name="40% - Accent3 2 2 2 2 2 2 2 3" xfId="17622" xr:uid="{00000000-0005-0000-0000-0000C7660000}"/>
    <cellStyle name="40% - Accent3 2 2 2 2 2 2 2 3 2" xfId="40224" xr:uid="{00000000-0005-0000-0000-0000C8660000}"/>
    <cellStyle name="40% - Accent3 2 2 2 2 2 2 2 4" xfId="28923" xr:uid="{00000000-0005-0000-0000-0000C9660000}"/>
    <cellStyle name="40% - Accent3 2 2 2 2 2 2 3" xfId="9139" xr:uid="{00000000-0005-0000-0000-0000CA660000}"/>
    <cellStyle name="40% - Accent3 2 2 2 2 2 2 3 2" xfId="20440" xr:uid="{00000000-0005-0000-0000-0000CB660000}"/>
    <cellStyle name="40% - Accent3 2 2 2 2 2 2 3 2 2" xfId="43042" xr:uid="{00000000-0005-0000-0000-0000CC660000}"/>
    <cellStyle name="40% - Accent3 2 2 2 2 2 2 3 3" xfId="31741" xr:uid="{00000000-0005-0000-0000-0000CD660000}"/>
    <cellStyle name="40% - Accent3 2 2 2 2 2 2 4" xfId="14790" xr:uid="{00000000-0005-0000-0000-0000CE660000}"/>
    <cellStyle name="40% - Accent3 2 2 2 2 2 2 4 2" xfId="37392" xr:uid="{00000000-0005-0000-0000-0000CF660000}"/>
    <cellStyle name="40% - Accent3 2 2 2 2 2 2 5" xfId="26091" xr:uid="{00000000-0005-0000-0000-0000D0660000}"/>
    <cellStyle name="40% - Accent3 2 2 2 2 2 3" xfId="5087" xr:uid="{00000000-0005-0000-0000-0000D1660000}"/>
    <cellStyle name="40% - Accent3 2 2 2 2 2 3 2" xfId="10737" xr:uid="{00000000-0005-0000-0000-0000D2660000}"/>
    <cellStyle name="40% - Accent3 2 2 2 2 2 3 2 2" xfId="22038" xr:uid="{00000000-0005-0000-0000-0000D3660000}"/>
    <cellStyle name="40% - Accent3 2 2 2 2 2 3 2 2 2" xfId="44640" xr:uid="{00000000-0005-0000-0000-0000D4660000}"/>
    <cellStyle name="40% - Accent3 2 2 2 2 2 3 2 3" xfId="33339" xr:uid="{00000000-0005-0000-0000-0000D5660000}"/>
    <cellStyle name="40% - Accent3 2 2 2 2 2 3 3" xfId="16388" xr:uid="{00000000-0005-0000-0000-0000D6660000}"/>
    <cellStyle name="40% - Accent3 2 2 2 2 2 3 3 2" xfId="38990" xr:uid="{00000000-0005-0000-0000-0000D7660000}"/>
    <cellStyle name="40% - Accent3 2 2 2 2 2 3 4" xfId="27689" xr:uid="{00000000-0005-0000-0000-0000D8660000}"/>
    <cellStyle name="40% - Accent3 2 2 2 2 2 4" xfId="7700" xr:uid="{00000000-0005-0000-0000-0000D9660000}"/>
    <cellStyle name="40% - Accent3 2 2 2 2 2 4 2" xfId="19001" xr:uid="{00000000-0005-0000-0000-0000DA660000}"/>
    <cellStyle name="40% - Accent3 2 2 2 2 2 4 2 2" xfId="41603" xr:uid="{00000000-0005-0000-0000-0000DB660000}"/>
    <cellStyle name="40% - Accent3 2 2 2 2 2 4 3" xfId="30302" xr:uid="{00000000-0005-0000-0000-0000DC660000}"/>
    <cellStyle name="40% - Accent3 2 2 2 2 2 5" xfId="13351" xr:uid="{00000000-0005-0000-0000-0000DD660000}"/>
    <cellStyle name="40% - Accent3 2 2 2 2 2 5 2" xfId="35953" xr:uid="{00000000-0005-0000-0000-0000DE660000}"/>
    <cellStyle name="40% - Accent3 2 2 2 2 2 6" xfId="24652" xr:uid="{00000000-0005-0000-0000-0000DF660000}"/>
    <cellStyle name="40% - Accent3 2 2 2 2 3" xfId="2678" xr:uid="{00000000-0005-0000-0000-0000E0660000}"/>
    <cellStyle name="40% - Accent3 2 2 2 2 3 2" xfId="5697" xr:uid="{00000000-0005-0000-0000-0000E1660000}"/>
    <cellStyle name="40% - Accent3 2 2 2 2 3 2 2" xfId="11347" xr:uid="{00000000-0005-0000-0000-0000E2660000}"/>
    <cellStyle name="40% - Accent3 2 2 2 2 3 2 2 2" xfId="22648" xr:uid="{00000000-0005-0000-0000-0000E3660000}"/>
    <cellStyle name="40% - Accent3 2 2 2 2 3 2 2 2 2" xfId="45250" xr:uid="{00000000-0005-0000-0000-0000E4660000}"/>
    <cellStyle name="40% - Accent3 2 2 2 2 3 2 2 3" xfId="33949" xr:uid="{00000000-0005-0000-0000-0000E5660000}"/>
    <cellStyle name="40% - Accent3 2 2 2 2 3 2 3" xfId="16998" xr:uid="{00000000-0005-0000-0000-0000E6660000}"/>
    <cellStyle name="40% - Accent3 2 2 2 2 3 2 3 2" xfId="39600" xr:uid="{00000000-0005-0000-0000-0000E7660000}"/>
    <cellStyle name="40% - Accent3 2 2 2 2 3 2 4" xfId="28299" xr:uid="{00000000-0005-0000-0000-0000E8660000}"/>
    <cellStyle name="40% - Accent3 2 2 2 2 3 3" xfId="8514" xr:uid="{00000000-0005-0000-0000-0000E9660000}"/>
    <cellStyle name="40% - Accent3 2 2 2 2 3 3 2" xfId="19815" xr:uid="{00000000-0005-0000-0000-0000EA660000}"/>
    <cellStyle name="40% - Accent3 2 2 2 2 3 3 2 2" xfId="42417" xr:uid="{00000000-0005-0000-0000-0000EB660000}"/>
    <cellStyle name="40% - Accent3 2 2 2 2 3 3 3" xfId="31116" xr:uid="{00000000-0005-0000-0000-0000EC660000}"/>
    <cellStyle name="40% - Accent3 2 2 2 2 3 4" xfId="14165" xr:uid="{00000000-0005-0000-0000-0000ED660000}"/>
    <cellStyle name="40% - Accent3 2 2 2 2 3 4 2" xfId="36767" xr:uid="{00000000-0005-0000-0000-0000EE660000}"/>
    <cellStyle name="40% - Accent3 2 2 2 2 3 5" xfId="25466" xr:uid="{00000000-0005-0000-0000-0000EF660000}"/>
    <cellStyle name="40% - Accent3 2 2 2 2 4" xfId="4463" xr:uid="{00000000-0005-0000-0000-0000F0660000}"/>
    <cellStyle name="40% - Accent3 2 2 2 2 4 2" xfId="10113" xr:uid="{00000000-0005-0000-0000-0000F1660000}"/>
    <cellStyle name="40% - Accent3 2 2 2 2 4 2 2" xfId="21414" xr:uid="{00000000-0005-0000-0000-0000F2660000}"/>
    <cellStyle name="40% - Accent3 2 2 2 2 4 2 2 2" xfId="44016" xr:uid="{00000000-0005-0000-0000-0000F3660000}"/>
    <cellStyle name="40% - Accent3 2 2 2 2 4 2 3" xfId="32715" xr:uid="{00000000-0005-0000-0000-0000F4660000}"/>
    <cellStyle name="40% - Accent3 2 2 2 2 4 3" xfId="15764" xr:uid="{00000000-0005-0000-0000-0000F5660000}"/>
    <cellStyle name="40% - Accent3 2 2 2 2 4 3 2" xfId="38366" xr:uid="{00000000-0005-0000-0000-0000F6660000}"/>
    <cellStyle name="40% - Accent3 2 2 2 2 4 4" xfId="27065" xr:uid="{00000000-0005-0000-0000-0000F7660000}"/>
    <cellStyle name="40% - Accent3 2 2 2 2 5" xfId="7259" xr:uid="{00000000-0005-0000-0000-0000F8660000}"/>
    <cellStyle name="40% - Accent3 2 2 2 2 5 2" xfId="18560" xr:uid="{00000000-0005-0000-0000-0000F9660000}"/>
    <cellStyle name="40% - Accent3 2 2 2 2 5 2 2" xfId="41162" xr:uid="{00000000-0005-0000-0000-0000FA660000}"/>
    <cellStyle name="40% - Accent3 2 2 2 2 5 3" xfId="29861" xr:uid="{00000000-0005-0000-0000-0000FB660000}"/>
    <cellStyle name="40% - Accent3 2 2 2 2 6" xfId="12910" xr:uid="{00000000-0005-0000-0000-0000FC660000}"/>
    <cellStyle name="40% - Accent3 2 2 2 2 6 2" xfId="35512" xr:uid="{00000000-0005-0000-0000-0000FD660000}"/>
    <cellStyle name="40% - Accent3 2 2 2 2 7" xfId="24211" xr:uid="{00000000-0005-0000-0000-0000FE660000}"/>
    <cellStyle name="40% - Accent3 2 2 2 3" xfId="978" xr:uid="{00000000-0005-0000-0000-0000FF660000}"/>
    <cellStyle name="40% - Accent3 2 2 2 3 2" xfId="3041" xr:uid="{00000000-0005-0000-0000-000000670000}"/>
    <cellStyle name="40% - Accent3 2 2 2 3 2 2" xfId="6013" xr:uid="{00000000-0005-0000-0000-000001670000}"/>
    <cellStyle name="40% - Accent3 2 2 2 3 2 2 2" xfId="11663" xr:uid="{00000000-0005-0000-0000-000002670000}"/>
    <cellStyle name="40% - Accent3 2 2 2 3 2 2 2 2" xfId="22964" xr:uid="{00000000-0005-0000-0000-000003670000}"/>
    <cellStyle name="40% - Accent3 2 2 2 3 2 2 2 2 2" xfId="45566" xr:uid="{00000000-0005-0000-0000-000004670000}"/>
    <cellStyle name="40% - Accent3 2 2 2 3 2 2 2 3" xfId="34265" xr:uid="{00000000-0005-0000-0000-000005670000}"/>
    <cellStyle name="40% - Accent3 2 2 2 3 2 2 3" xfId="17314" xr:uid="{00000000-0005-0000-0000-000006670000}"/>
    <cellStyle name="40% - Accent3 2 2 2 3 2 2 3 2" xfId="39916" xr:uid="{00000000-0005-0000-0000-000007670000}"/>
    <cellStyle name="40% - Accent3 2 2 2 3 2 2 4" xfId="28615" xr:uid="{00000000-0005-0000-0000-000008670000}"/>
    <cellStyle name="40% - Accent3 2 2 2 3 2 3" xfId="8831" xr:uid="{00000000-0005-0000-0000-000009670000}"/>
    <cellStyle name="40% - Accent3 2 2 2 3 2 3 2" xfId="20132" xr:uid="{00000000-0005-0000-0000-00000A670000}"/>
    <cellStyle name="40% - Accent3 2 2 2 3 2 3 2 2" xfId="42734" xr:uid="{00000000-0005-0000-0000-00000B670000}"/>
    <cellStyle name="40% - Accent3 2 2 2 3 2 3 3" xfId="31433" xr:uid="{00000000-0005-0000-0000-00000C670000}"/>
    <cellStyle name="40% - Accent3 2 2 2 3 2 4" xfId="14482" xr:uid="{00000000-0005-0000-0000-00000D670000}"/>
    <cellStyle name="40% - Accent3 2 2 2 3 2 4 2" xfId="37084" xr:uid="{00000000-0005-0000-0000-00000E670000}"/>
    <cellStyle name="40% - Accent3 2 2 2 3 2 5" xfId="25783" xr:uid="{00000000-0005-0000-0000-00000F670000}"/>
    <cellStyle name="40% - Accent3 2 2 2 3 3" xfId="4779" xr:uid="{00000000-0005-0000-0000-000010670000}"/>
    <cellStyle name="40% - Accent3 2 2 2 3 3 2" xfId="10429" xr:uid="{00000000-0005-0000-0000-000011670000}"/>
    <cellStyle name="40% - Accent3 2 2 2 3 3 2 2" xfId="21730" xr:uid="{00000000-0005-0000-0000-000012670000}"/>
    <cellStyle name="40% - Accent3 2 2 2 3 3 2 2 2" xfId="44332" xr:uid="{00000000-0005-0000-0000-000013670000}"/>
    <cellStyle name="40% - Accent3 2 2 2 3 3 2 3" xfId="33031" xr:uid="{00000000-0005-0000-0000-000014670000}"/>
    <cellStyle name="40% - Accent3 2 2 2 3 3 3" xfId="16080" xr:uid="{00000000-0005-0000-0000-000015670000}"/>
    <cellStyle name="40% - Accent3 2 2 2 3 3 3 2" xfId="38682" xr:uid="{00000000-0005-0000-0000-000016670000}"/>
    <cellStyle name="40% - Accent3 2 2 2 3 3 4" xfId="27381" xr:uid="{00000000-0005-0000-0000-000017670000}"/>
    <cellStyle name="40% - Accent3 2 2 2 3 4" xfId="6966" xr:uid="{00000000-0005-0000-0000-000018670000}"/>
    <cellStyle name="40% - Accent3 2 2 2 3 4 2" xfId="18267" xr:uid="{00000000-0005-0000-0000-000019670000}"/>
    <cellStyle name="40% - Accent3 2 2 2 3 4 2 2" xfId="40869" xr:uid="{00000000-0005-0000-0000-00001A670000}"/>
    <cellStyle name="40% - Accent3 2 2 2 3 4 3" xfId="29568" xr:uid="{00000000-0005-0000-0000-00001B670000}"/>
    <cellStyle name="40% - Accent3 2 2 2 3 5" xfId="12617" xr:uid="{00000000-0005-0000-0000-00001C670000}"/>
    <cellStyle name="40% - Accent3 2 2 2 3 5 2" xfId="35219" xr:uid="{00000000-0005-0000-0000-00001D670000}"/>
    <cellStyle name="40% - Accent3 2 2 2 3 6" xfId="23918" xr:uid="{00000000-0005-0000-0000-00001E670000}"/>
    <cellStyle name="40% - Accent3 2 2 2 4" xfId="1843" xr:uid="{00000000-0005-0000-0000-00001F670000}"/>
    <cellStyle name="40% - Accent3 2 2 2 4 2" xfId="3693" xr:uid="{00000000-0005-0000-0000-000020670000}"/>
    <cellStyle name="40% - Accent3 2 2 2 4 2 2" xfId="9403" xr:uid="{00000000-0005-0000-0000-000021670000}"/>
    <cellStyle name="40% - Accent3 2 2 2 4 2 2 2" xfId="20704" xr:uid="{00000000-0005-0000-0000-000022670000}"/>
    <cellStyle name="40% - Accent3 2 2 2 4 2 2 2 2" xfId="43306" xr:uid="{00000000-0005-0000-0000-000023670000}"/>
    <cellStyle name="40% - Accent3 2 2 2 4 2 2 3" xfId="32005" xr:uid="{00000000-0005-0000-0000-000024670000}"/>
    <cellStyle name="40% - Accent3 2 2 2 4 2 3" xfId="15054" xr:uid="{00000000-0005-0000-0000-000025670000}"/>
    <cellStyle name="40% - Accent3 2 2 2 4 2 3 2" xfId="37656" xr:uid="{00000000-0005-0000-0000-000026670000}"/>
    <cellStyle name="40% - Accent3 2 2 2 4 2 4" xfId="26355" xr:uid="{00000000-0005-0000-0000-000027670000}"/>
    <cellStyle name="40% - Accent3 2 2 2 4 3" xfId="5389" xr:uid="{00000000-0005-0000-0000-000028670000}"/>
    <cellStyle name="40% - Accent3 2 2 2 4 3 2" xfId="11039" xr:uid="{00000000-0005-0000-0000-000029670000}"/>
    <cellStyle name="40% - Accent3 2 2 2 4 3 2 2" xfId="22340" xr:uid="{00000000-0005-0000-0000-00002A670000}"/>
    <cellStyle name="40% - Accent3 2 2 2 4 3 2 2 2" xfId="44942" xr:uid="{00000000-0005-0000-0000-00002B670000}"/>
    <cellStyle name="40% - Accent3 2 2 2 4 3 2 3" xfId="33641" xr:uid="{00000000-0005-0000-0000-00002C670000}"/>
    <cellStyle name="40% - Accent3 2 2 2 4 3 3" xfId="16690" xr:uid="{00000000-0005-0000-0000-00002D670000}"/>
    <cellStyle name="40% - Accent3 2 2 2 4 3 3 2" xfId="39292" xr:uid="{00000000-0005-0000-0000-00002E670000}"/>
    <cellStyle name="40% - Accent3 2 2 2 4 3 4" xfId="27991" xr:uid="{00000000-0005-0000-0000-00002F670000}"/>
    <cellStyle name="40% - Accent3 2 2 2 4 4" xfId="7699" xr:uid="{00000000-0005-0000-0000-000030670000}"/>
    <cellStyle name="40% - Accent3 2 2 2 4 4 2" xfId="19000" xr:uid="{00000000-0005-0000-0000-000031670000}"/>
    <cellStyle name="40% - Accent3 2 2 2 4 4 2 2" xfId="41602" xr:uid="{00000000-0005-0000-0000-000032670000}"/>
    <cellStyle name="40% - Accent3 2 2 2 4 4 3" xfId="30301" xr:uid="{00000000-0005-0000-0000-000033670000}"/>
    <cellStyle name="40% - Accent3 2 2 2 4 5" xfId="13350" xr:uid="{00000000-0005-0000-0000-000034670000}"/>
    <cellStyle name="40% - Accent3 2 2 2 4 5 2" xfId="35952" xr:uid="{00000000-0005-0000-0000-000035670000}"/>
    <cellStyle name="40% - Accent3 2 2 2 4 6" xfId="24651" xr:uid="{00000000-0005-0000-0000-000036670000}"/>
    <cellStyle name="40% - Accent3 2 2 2 5" xfId="2370" xr:uid="{00000000-0005-0000-0000-000037670000}"/>
    <cellStyle name="40% - Accent3 2 2 2 5 2" xfId="8206" xr:uid="{00000000-0005-0000-0000-000038670000}"/>
    <cellStyle name="40% - Accent3 2 2 2 5 2 2" xfId="19507" xr:uid="{00000000-0005-0000-0000-000039670000}"/>
    <cellStyle name="40% - Accent3 2 2 2 5 2 2 2" xfId="42109" xr:uid="{00000000-0005-0000-0000-00003A670000}"/>
    <cellStyle name="40% - Accent3 2 2 2 5 2 3" xfId="30808" xr:uid="{00000000-0005-0000-0000-00003B670000}"/>
    <cellStyle name="40% - Accent3 2 2 2 5 3" xfId="13857" xr:uid="{00000000-0005-0000-0000-00003C670000}"/>
    <cellStyle name="40% - Accent3 2 2 2 5 3 2" xfId="36459" xr:uid="{00000000-0005-0000-0000-00003D670000}"/>
    <cellStyle name="40% - Accent3 2 2 2 5 4" xfId="25158" xr:uid="{00000000-0005-0000-0000-00003E670000}"/>
    <cellStyle name="40% - Accent3 2 2 2 6" xfId="4155" xr:uid="{00000000-0005-0000-0000-00003F670000}"/>
    <cellStyle name="40% - Accent3 2 2 2 6 2" xfId="9805" xr:uid="{00000000-0005-0000-0000-000040670000}"/>
    <cellStyle name="40% - Accent3 2 2 2 6 2 2" xfId="21106" xr:uid="{00000000-0005-0000-0000-000041670000}"/>
    <cellStyle name="40% - Accent3 2 2 2 6 2 2 2" xfId="43708" xr:uid="{00000000-0005-0000-0000-000042670000}"/>
    <cellStyle name="40% - Accent3 2 2 2 6 2 3" xfId="32407" xr:uid="{00000000-0005-0000-0000-000043670000}"/>
    <cellStyle name="40% - Accent3 2 2 2 6 3" xfId="15456" xr:uid="{00000000-0005-0000-0000-000044670000}"/>
    <cellStyle name="40% - Accent3 2 2 2 6 3 2" xfId="38058" xr:uid="{00000000-0005-0000-0000-000045670000}"/>
    <cellStyle name="40% - Accent3 2 2 2 6 4" xfId="26757" xr:uid="{00000000-0005-0000-0000-000046670000}"/>
    <cellStyle name="40% - Accent3 2 2 2 7" xfId="6635" xr:uid="{00000000-0005-0000-0000-000047670000}"/>
    <cellStyle name="40% - Accent3 2 2 2 7 2" xfId="17936" xr:uid="{00000000-0005-0000-0000-000048670000}"/>
    <cellStyle name="40% - Accent3 2 2 2 7 2 2" xfId="40538" xr:uid="{00000000-0005-0000-0000-000049670000}"/>
    <cellStyle name="40% - Accent3 2 2 2 7 3" xfId="29237" xr:uid="{00000000-0005-0000-0000-00004A670000}"/>
    <cellStyle name="40% - Accent3 2 2 2 8" xfId="12286" xr:uid="{00000000-0005-0000-0000-00004B670000}"/>
    <cellStyle name="40% - Accent3 2 2 2 8 2" xfId="34888" xr:uid="{00000000-0005-0000-0000-00004C670000}"/>
    <cellStyle name="40% - Accent3 2 2 2 9" xfId="23587" xr:uid="{00000000-0005-0000-0000-00004D670000}"/>
    <cellStyle name="40% - Accent3 2 2 3" xfId="1142" xr:uid="{00000000-0005-0000-0000-00004E670000}"/>
    <cellStyle name="40% - Accent3 2 2 3 2" xfId="1845" xr:uid="{00000000-0005-0000-0000-00004F670000}"/>
    <cellStyle name="40% - Accent3 2 2 3 2 2" xfId="3210" xr:uid="{00000000-0005-0000-0000-000050670000}"/>
    <cellStyle name="40% - Accent3 2 2 3 2 2 2" xfId="6182" xr:uid="{00000000-0005-0000-0000-000051670000}"/>
    <cellStyle name="40% - Accent3 2 2 3 2 2 2 2" xfId="11832" xr:uid="{00000000-0005-0000-0000-000052670000}"/>
    <cellStyle name="40% - Accent3 2 2 3 2 2 2 2 2" xfId="23133" xr:uid="{00000000-0005-0000-0000-000053670000}"/>
    <cellStyle name="40% - Accent3 2 2 3 2 2 2 2 2 2" xfId="45735" xr:uid="{00000000-0005-0000-0000-000054670000}"/>
    <cellStyle name="40% - Accent3 2 2 3 2 2 2 2 3" xfId="34434" xr:uid="{00000000-0005-0000-0000-000055670000}"/>
    <cellStyle name="40% - Accent3 2 2 3 2 2 2 3" xfId="17483" xr:uid="{00000000-0005-0000-0000-000056670000}"/>
    <cellStyle name="40% - Accent3 2 2 3 2 2 2 3 2" xfId="40085" xr:uid="{00000000-0005-0000-0000-000057670000}"/>
    <cellStyle name="40% - Accent3 2 2 3 2 2 2 4" xfId="28784" xr:uid="{00000000-0005-0000-0000-000058670000}"/>
    <cellStyle name="40% - Accent3 2 2 3 2 2 3" xfId="9000" xr:uid="{00000000-0005-0000-0000-000059670000}"/>
    <cellStyle name="40% - Accent3 2 2 3 2 2 3 2" xfId="20301" xr:uid="{00000000-0005-0000-0000-00005A670000}"/>
    <cellStyle name="40% - Accent3 2 2 3 2 2 3 2 2" xfId="42903" xr:uid="{00000000-0005-0000-0000-00005B670000}"/>
    <cellStyle name="40% - Accent3 2 2 3 2 2 3 3" xfId="31602" xr:uid="{00000000-0005-0000-0000-00005C670000}"/>
    <cellStyle name="40% - Accent3 2 2 3 2 2 4" xfId="14651" xr:uid="{00000000-0005-0000-0000-00005D670000}"/>
    <cellStyle name="40% - Accent3 2 2 3 2 2 4 2" xfId="37253" xr:uid="{00000000-0005-0000-0000-00005E670000}"/>
    <cellStyle name="40% - Accent3 2 2 3 2 2 5" xfId="25952" xr:uid="{00000000-0005-0000-0000-00005F670000}"/>
    <cellStyle name="40% - Accent3 2 2 3 2 3" xfId="4948" xr:uid="{00000000-0005-0000-0000-000060670000}"/>
    <cellStyle name="40% - Accent3 2 2 3 2 3 2" xfId="10598" xr:uid="{00000000-0005-0000-0000-000061670000}"/>
    <cellStyle name="40% - Accent3 2 2 3 2 3 2 2" xfId="21899" xr:uid="{00000000-0005-0000-0000-000062670000}"/>
    <cellStyle name="40% - Accent3 2 2 3 2 3 2 2 2" xfId="44501" xr:uid="{00000000-0005-0000-0000-000063670000}"/>
    <cellStyle name="40% - Accent3 2 2 3 2 3 2 3" xfId="33200" xr:uid="{00000000-0005-0000-0000-000064670000}"/>
    <cellStyle name="40% - Accent3 2 2 3 2 3 3" xfId="16249" xr:uid="{00000000-0005-0000-0000-000065670000}"/>
    <cellStyle name="40% - Accent3 2 2 3 2 3 3 2" xfId="38851" xr:uid="{00000000-0005-0000-0000-000066670000}"/>
    <cellStyle name="40% - Accent3 2 2 3 2 3 4" xfId="27550" xr:uid="{00000000-0005-0000-0000-000067670000}"/>
    <cellStyle name="40% - Accent3 2 2 3 2 4" xfId="7701" xr:uid="{00000000-0005-0000-0000-000068670000}"/>
    <cellStyle name="40% - Accent3 2 2 3 2 4 2" xfId="19002" xr:uid="{00000000-0005-0000-0000-000069670000}"/>
    <cellStyle name="40% - Accent3 2 2 3 2 4 2 2" xfId="41604" xr:uid="{00000000-0005-0000-0000-00006A670000}"/>
    <cellStyle name="40% - Accent3 2 2 3 2 4 3" xfId="30303" xr:uid="{00000000-0005-0000-0000-00006B670000}"/>
    <cellStyle name="40% - Accent3 2 2 3 2 5" xfId="13352" xr:uid="{00000000-0005-0000-0000-00006C670000}"/>
    <cellStyle name="40% - Accent3 2 2 3 2 5 2" xfId="35954" xr:uid="{00000000-0005-0000-0000-00006D670000}"/>
    <cellStyle name="40% - Accent3 2 2 3 2 6" xfId="24653" xr:uid="{00000000-0005-0000-0000-00006E670000}"/>
    <cellStyle name="40% - Accent3 2 2 3 3" xfId="2539" xr:uid="{00000000-0005-0000-0000-00006F670000}"/>
    <cellStyle name="40% - Accent3 2 2 3 3 2" xfId="5558" xr:uid="{00000000-0005-0000-0000-000070670000}"/>
    <cellStyle name="40% - Accent3 2 2 3 3 2 2" xfId="11208" xr:uid="{00000000-0005-0000-0000-000071670000}"/>
    <cellStyle name="40% - Accent3 2 2 3 3 2 2 2" xfId="22509" xr:uid="{00000000-0005-0000-0000-000072670000}"/>
    <cellStyle name="40% - Accent3 2 2 3 3 2 2 2 2" xfId="45111" xr:uid="{00000000-0005-0000-0000-000073670000}"/>
    <cellStyle name="40% - Accent3 2 2 3 3 2 2 3" xfId="33810" xr:uid="{00000000-0005-0000-0000-000074670000}"/>
    <cellStyle name="40% - Accent3 2 2 3 3 2 3" xfId="16859" xr:uid="{00000000-0005-0000-0000-000075670000}"/>
    <cellStyle name="40% - Accent3 2 2 3 3 2 3 2" xfId="39461" xr:uid="{00000000-0005-0000-0000-000076670000}"/>
    <cellStyle name="40% - Accent3 2 2 3 3 2 4" xfId="28160" xr:uid="{00000000-0005-0000-0000-000077670000}"/>
    <cellStyle name="40% - Accent3 2 2 3 3 3" xfId="8375" xr:uid="{00000000-0005-0000-0000-000078670000}"/>
    <cellStyle name="40% - Accent3 2 2 3 3 3 2" xfId="19676" xr:uid="{00000000-0005-0000-0000-000079670000}"/>
    <cellStyle name="40% - Accent3 2 2 3 3 3 2 2" xfId="42278" xr:uid="{00000000-0005-0000-0000-00007A670000}"/>
    <cellStyle name="40% - Accent3 2 2 3 3 3 3" xfId="30977" xr:uid="{00000000-0005-0000-0000-00007B670000}"/>
    <cellStyle name="40% - Accent3 2 2 3 3 4" xfId="14026" xr:uid="{00000000-0005-0000-0000-00007C670000}"/>
    <cellStyle name="40% - Accent3 2 2 3 3 4 2" xfId="36628" xr:uid="{00000000-0005-0000-0000-00007D670000}"/>
    <cellStyle name="40% - Accent3 2 2 3 3 5" xfId="25327" xr:uid="{00000000-0005-0000-0000-00007E670000}"/>
    <cellStyle name="40% - Accent3 2 2 3 4" xfId="4324" xr:uid="{00000000-0005-0000-0000-00007F670000}"/>
    <cellStyle name="40% - Accent3 2 2 3 4 2" xfId="9974" xr:uid="{00000000-0005-0000-0000-000080670000}"/>
    <cellStyle name="40% - Accent3 2 2 3 4 2 2" xfId="21275" xr:uid="{00000000-0005-0000-0000-000081670000}"/>
    <cellStyle name="40% - Accent3 2 2 3 4 2 2 2" xfId="43877" xr:uid="{00000000-0005-0000-0000-000082670000}"/>
    <cellStyle name="40% - Accent3 2 2 3 4 2 3" xfId="32576" xr:uid="{00000000-0005-0000-0000-000083670000}"/>
    <cellStyle name="40% - Accent3 2 2 3 4 3" xfId="15625" xr:uid="{00000000-0005-0000-0000-000084670000}"/>
    <cellStyle name="40% - Accent3 2 2 3 4 3 2" xfId="38227" xr:uid="{00000000-0005-0000-0000-000085670000}"/>
    <cellStyle name="40% - Accent3 2 2 3 4 4" xfId="26926" xr:uid="{00000000-0005-0000-0000-000086670000}"/>
    <cellStyle name="40% - Accent3 2 2 3 5" xfId="7121" xr:uid="{00000000-0005-0000-0000-000087670000}"/>
    <cellStyle name="40% - Accent3 2 2 3 5 2" xfId="18422" xr:uid="{00000000-0005-0000-0000-000088670000}"/>
    <cellStyle name="40% - Accent3 2 2 3 5 2 2" xfId="41024" xr:uid="{00000000-0005-0000-0000-000089670000}"/>
    <cellStyle name="40% - Accent3 2 2 3 5 3" xfId="29723" xr:uid="{00000000-0005-0000-0000-00008A670000}"/>
    <cellStyle name="40% - Accent3 2 2 3 6" xfId="12772" xr:uid="{00000000-0005-0000-0000-00008B670000}"/>
    <cellStyle name="40% - Accent3 2 2 3 6 2" xfId="35374" xr:uid="{00000000-0005-0000-0000-00008C670000}"/>
    <cellStyle name="40% - Accent3 2 2 3 7" xfId="24073" xr:uid="{00000000-0005-0000-0000-00008D670000}"/>
    <cellStyle name="40% - Accent3 2 2 4" xfId="832" xr:uid="{00000000-0005-0000-0000-00008E670000}"/>
    <cellStyle name="40% - Accent3 2 2 4 2" xfId="2903" xr:uid="{00000000-0005-0000-0000-00008F670000}"/>
    <cellStyle name="40% - Accent3 2 2 4 2 2" xfId="5875" xr:uid="{00000000-0005-0000-0000-000090670000}"/>
    <cellStyle name="40% - Accent3 2 2 4 2 2 2" xfId="11525" xr:uid="{00000000-0005-0000-0000-000091670000}"/>
    <cellStyle name="40% - Accent3 2 2 4 2 2 2 2" xfId="22826" xr:uid="{00000000-0005-0000-0000-000092670000}"/>
    <cellStyle name="40% - Accent3 2 2 4 2 2 2 2 2" xfId="45428" xr:uid="{00000000-0005-0000-0000-000093670000}"/>
    <cellStyle name="40% - Accent3 2 2 4 2 2 2 3" xfId="34127" xr:uid="{00000000-0005-0000-0000-000094670000}"/>
    <cellStyle name="40% - Accent3 2 2 4 2 2 3" xfId="17176" xr:uid="{00000000-0005-0000-0000-000095670000}"/>
    <cellStyle name="40% - Accent3 2 2 4 2 2 3 2" xfId="39778" xr:uid="{00000000-0005-0000-0000-000096670000}"/>
    <cellStyle name="40% - Accent3 2 2 4 2 2 4" xfId="28477" xr:uid="{00000000-0005-0000-0000-000097670000}"/>
    <cellStyle name="40% - Accent3 2 2 4 2 3" xfId="8693" xr:uid="{00000000-0005-0000-0000-000098670000}"/>
    <cellStyle name="40% - Accent3 2 2 4 2 3 2" xfId="19994" xr:uid="{00000000-0005-0000-0000-000099670000}"/>
    <cellStyle name="40% - Accent3 2 2 4 2 3 2 2" xfId="42596" xr:uid="{00000000-0005-0000-0000-00009A670000}"/>
    <cellStyle name="40% - Accent3 2 2 4 2 3 3" xfId="31295" xr:uid="{00000000-0005-0000-0000-00009B670000}"/>
    <cellStyle name="40% - Accent3 2 2 4 2 4" xfId="14344" xr:uid="{00000000-0005-0000-0000-00009C670000}"/>
    <cellStyle name="40% - Accent3 2 2 4 2 4 2" xfId="36946" xr:uid="{00000000-0005-0000-0000-00009D670000}"/>
    <cellStyle name="40% - Accent3 2 2 4 2 5" xfId="25645" xr:uid="{00000000-0005-0000-0000-00009E670000}"/>
    <cellStyle name="40% - Accent3 2 2 4 3" xfId="4641" xr:uid="{00000000-0005-0000-0000-00009F670000}"/>
    <cellStyle name="40% - Accent3 2 2 4 3 2" xfId="10291" xr:uid="{00000000-0005-0000-0000-0000A0670000}"/>
    <cellStyle name="40% - Accent3 2 2 4 3 2 2" xfId="21592" xr:uid="{00000000-0005-0000-0000-0000A1670000}"/>
    <cellStyle name="40% - Accent3 2 2 4 3 2 2 2" xfId="44194" xr:uid="{00000000-0005-0000-0000-0000A2670000}"/>
    <cellStyle name="40% - Accent3 2 2 4 3 2 3" xfId="32893" xr:uid="{00000000-0005-0000-0000-0000A3670000}"/>
    <cellStyle name="40% - Accent3 2 2 4 3 3" xfId="15942" xr:uid="{00000000-0005-0000-0000-0000A4670000}"/>
    <cellStyle name="40% - Accent3 2 2 4 3 3 2" xfId="38544" xr:uid="{00000000-0005-0000-0000-0000A5670000}"/>
    <cellStyle name="40% - Accent3 2 2 4 3 4" xfId="27243" xr:uid="{00000000-0005-0000-0000-0000A6670000}"/>
    <cellStyle name="40% - Accent3 2 2 4 4" xfId="6828" xr:uid="{00000000-0005-0000-0000-0000A7670000}"/>
    <cellStyle name="40% - Accent3 2 2 4 4 2" xfId="18129" xr:uid="{00000000-0005-0000-0000-0000A8670000}"/>
    <cellStyle name="40% - Accent3 2 2 4 4 2 2" xfId="40731" xr:uid="{00000000-0005-0000-0000-0000A9670000}"/>
    <cellStyle name="40% - Accent3 2 2 4 4 3" xfId="29430" xr:uid="{00000000-0005-0000-0000-0000AA670000}"/>
    <cellStyle name="40% - Accent3 2 2 4 5" xfId="12479" xr:uid="{00000000-0005-0000-0000-0000AB670000}"/>
    <cellStyle name="40% - Accent3 2 2 4 5 2" xfId="35081" xr:uid="{00000000-0005-0000-0000-0000AC670000}"/>
    <cellStyle name="40% - Accent3 2 2 4 6" xfId="23780" xr:uid="{00000000-0005-0000-0000-0000AD670000}"/>
    <cellStyle name="40% - Accent3 2 2 5" xfId="1842" xr:uid="{00000000-0005-0000-0000-0000AE670000}"/>
    <cellStyle name="40% - Accent3 2 2 5 2" xfId="3692" xr:uid="{00000000-0005-0000-0000-0000AF670000}"/>
    <cellStyle name="40% - Accent3 2 2 5 2 2" xfId="9402" xr:uid="{00000000-0005-0000-0000-0000B0670000}"/>
    <cellStyle name="40% - Accent3 2 2 5 2 2 2" xfId="20703" xr:uid="{00000000-0005-0000-0000-0000B1670000}"/>
    <cellStyle name="40% - Accent3 2 2 5 2 2 2 2" xfId="43305" xr:uid="{00000000-0005-0000-0000-0000B2670000}"/>
    <cellStyle name="40% - Accent3 2 2 5 2 2 3" xfId="32004" xr:uid="{00000000-0005-0000-0000-0000B3670000}"/>
    <cellStyle name="40% - Accent3 2 2 5 2 3" xfId="15053" xr:uid="{00000000-0005-0000-0000-0000B4670000}"/>
    <cellStyle name="40% - Accent3 2 2 5 2 3 2" xfId="37655" xr:uid="{00000000-0005-0000-0000-0000B5670000}"/>
    <cellStyle name="40% - Accent3 2 2 5 2 4" xfId="26354" xr:uid="{00000000-0005-0000-0000-0000B6670000}"/>
    <cellStyle name="40% - Accent3 2 2 5 3" xfId="5251" xr:uid="{00000000-0005-0000-0000-0000B7670000}"/>
    <cellStyle name="40% - Accent3 2 2 5 3 2" xfId="10901" xr:uid="{00000000-0005-0000-0000-0000B8670000}"/>
    <cellStyle name="40% - Accent3 2 2 5 3 2 2" xfId="22202" xr:uid="{00000000-0005-0000-0000-0000B9670000}"/>
    <cellStyle name="40% - Accent3 2 2 5 3 2 2 2" xfId="44804" xr:uid="{00000000-0005-0000-0000-0000BA670000}"/>
    <cellStyle name="40% - Accent3 2 2 5 3 2 3" xfId="33503" xr:uid="{00000000-0005-0000-0000-0000BB670000}"/>
    <cellStyle name="40% - Accent3 2 2 5 3 3" xfId="16552" xr:uid="{00000000-0005-0000-0000-0000BC670000}"/>
    <cellStyle name="40% - Accent3 2 2 5 3 3 2" xfId="39154" xr:uid="{00000000-0005-0000-0000-0000BD670000}"/>
    <cellStyle name="40% - Accent3 2 2 5 3 4" xfId="27853" xr:uid="{00000000-0005-0000-0000-0000BE670000}"/>
    <cellStyle name="40% - Accent3 2 2 5 4" xfId="7698" xr:uid="{00000000-0005-0000-0000-0000BF670000}"/>
    <cellStyle name="40% - Accent3 2 2 5 4 2" xfId="18999" xr:uid="{00000000-0005-0000-0000-0000C0670000}"/>
    <cellStyle name="40% - Accent3 2 2 5 4 2 2" xfId="41601" xr:uid="{00000000-0005-0000-0000-0000C1670000}"/>
    <cellStyle name="40% - Accent3 2 2 5 4 3" xfId="30300" xr:uid="{00000000-0005-0000-0000-0000C2670000}"/>
    <cellStyle name="40% - Accent3 2 2 5 5" xfId="13349" xr:uid="{00000000-0005-0000-0000-0000C3670000}"/>
    <cellStyle name="40% - Accent3 2 2 5 5 2" xfId="35951" xr:uid="{00000000-0005-0000-0000-0000C4670000}"/>
    <cellStyle name="40% - Accent3 2 2 5 6" xfId="24650" xr:uid="{00000000-0005-0000-0000-0000C5670000}"/>
    <cellStyle name="40% - Accent3 2 2 6" xfId="2230" xr:uid="{00000000-0005-0000-0000-0000C6670000}"/>
    <cellStyle name="40% - Accent3 2 2 6 2" xfId="8066" xr:uid="{00000000-0005-0000-0000-0000C7670000}"/>
    <cellStyle name="40% - Accent3 2 2 6 2 2" xfId="19367" xr:uid="{00000000-0005-0000-0000-0000C8670000}"/>
    <cellStyle name="40% - Accent3 2 2 6 2 2 2" xfId="41969" xr:uid="{00000000-0005-0000-0000-0000C9670000}"/>
    <cellStyle name="40% - Accent3 2 2 6 2 3" xfId="30668" xr:uid="{00000000-0005-0000-0000-0000CA670000}"/>
    <cellStyle name="40% - Accent3 2 2 6 3" xfId="13717" xr:uid="{00000000-0005-0000-0000-0000CB670000}"/>
    <cellStyle name="40% - Accent3 2 2 6 3 2" xfId="36319" xr:uid="{00000000-0005-0000-0000-0000CC670000}"/>
    <cellStyle name="40% - Accent3 2 2 6 4" xfId="25018" xr:uid="{00000000-0005-0000-0000-0000CD670000}"/>
    <cellStyle name="40% - Accent3 2 2 7" xfId="4017" xr:uid="{00000000-0005-0000-0000-0000CE670000}"/>
    <cellStyle name="40% - Accent3 2 2 7 2" xfId="9667" xr:uid="{00000000-0005-0000-0000-0000CF670000}"/>
    <cellStyle name="40% - Accent3 2 2 7 2 2" xfId="20968" xr:uid="{00000000-0005-0000-0000-0000D0670000}"/>
    <cellStyle name="40% - Accent3 2 2 7 2 2 2" xfId="43570" xr:uid="{00000000-0005-0000-0000-0000D1670000}"/>
    <cellStyle name="40% - Accent3 2 2 7 2 3" xfId="32269" xr:uid="{00000000-0005-0000-0000-0000D2670000}"/>
    <cellStyle name="40% - Accent3 2 2 7 3" xfId="15318" xr:uid="{00000000-0005-0000-0000-0000D3670000}"/>
    <cellStyle name="40% - Accent3 2 2 7 3 2" xfId="37920" xr:uid="{00000000-0005-0000-0000-0000D4670000}"/>
    <cellStyle name="40% - Accent3 2 2 7 4" xfId="26619" xr:uid="{00000000-0005-0000-0000-0000D5670000}"/>
    <cellStyle name="40% - Accent3 2 2 8" xfId="6468" xr:uid="{00000000-0005-0000-0000-0000D6670000}"/>
    <cellStyle name="40% - Accent3 2 2 8 2" xfId="17769" xr:uid="{00000000-0005-0000-0000-0000D7670000}"/>
    <cellStyle name="40% - Accent3 2 2 8 2 2" xfId="40371" xr:uid="{00000000-0005-0000-0000-0000D8670000}"/>
    <cellStyle name="40% - Accent3 2 2 8 3" xfId="29070" xr:uid="{00000000-0005-0000-0000-0000D9670000}"/>
    <cellStyle name="40% - Accent3 2 2 9" xfId="12119" xr:uid="{00000000-0005-0000-0000-0000DA670000}"/>
    <cellStyle name="40% - Accent3 2 2 9 2" xfId="34721" xr:uid="{00000000-0005-0000-0000-0000DB670000}"/>
    <cellStyle name="40% - Accent3 2 3" xfId="2761" xr:uid="{00000000-0005-0000-0000-0000DC670000}"/>
    <cellStyle name="40% - Accent3 2 3 2" xfId="3618" xr:uid="{00000000-0005-0000-0000-0000DD670000}"/>
    <cellStyle name="40% - Accent3 2 3 2 2" xfId="5776" xr:uid="{00000000-0005-0000-0000-0000DE670000}"/>
    <cellStyle name="40% - Accent3 2 3 2 2 2" xfId="11426" xr:uid="{00000000-0005-0000-0000-0000DF670000}"/>
    <cellStyle name="40% - Accent3 2 3 2 2 2 2" xfId="22727" xr:uid="{00000000-0005-0000-0000-0000E0670000}"/>
    <cellStyle name="40% - Accent3 2 3 2 2 2 2 2" xfId="45329" xr:uid="{00000000-0005-0000-0000-0000E1670000}"/>
    <cellStyle name="40% - Accent3 2 3 2 2 2 3" xfId="34028" xr:uid="{00000000-0005-0000-0000-0000E2670000}"/>
    <cellStyle name="40% - Accent3 2 3 2 2 3" xfId="17077" xr:uid="{00000000-0005-0000-0000-0000E3670000}"/>
    <cellStyle name="40% - Accent3 2 3 2 2 3 2" xfId="39679" xr:uid="{00000000-0005-0000-0000-0000E4670000}"/>
    <cellStyle name="40% - Accent3 2 3 2 2 4" xfId="28378" xr:uid="{00000000-0005-0000-0000-0000E5670000}"/>
    <cellStyle name="40% - Accent3 2 3 2 3" xfId="9329" xr:uid="{00000000-0005-0000-0000-0000E6670000}"/>
    <cellStyle name="40% - Accent3 2 3 2 3 2" xfId="20630" xr:uid="{00000000-0005-0000-0000-0000E7670000}"/>
    <cellStyle name="40% - Accent3 2 3 2 3 2 2" xfId="43232" xr:uid="{00000000-0005-0000-0000-0000E8670000}"/>
    <cellStyle name="40% - Accent3 2 3 2 3 3" xfId="31931" xr:uid="{00000000-0005-0000-0000-0000E9670000}"/>
    <cellStyle name="40% - Accent3 2 3 2 4" xfId="14980" xr:uid="{00000000-0005-0000-0000-0000EA670000}"/>
    <cellStyle name="40% - Accent3 2 3 2 4 2" xfId="37582" xr:uid="{00000000-0005-0000-0000-0000EB670000}"/>
    <cellStyle name="40% - Accent3 2 3 2 5" xfId="26281" xr:uid="{00000000-0005-0000-0000-0000EC670000}"/>
    <cellStyle name="40% - Accent3 2 3 3" xfId="4542" xr:uid="{00000000-0005-0000-0000-0000ED670000}"/>
    <cellStyle name="40% - Accent3 2 3 3 2" xfId="10192" xr:uid="{00000000-0005-0000-0000-0000EE670000}"/>
    <cellStyle name="40% - Accent3 2 3 3 2 2" xfId="21493" xr:uid="{00000000-0005-0000-0000-0000EF670000}"/>
    <cellStyle name="40% - Accent3 2 3 3 2 2 2" xfId="44095" xr:uid="{00000000-0005-0000-0000-0000F0670000}"/>
    <cellStyle name="40% - Accent3 2 3 3 2 3" xfId="32794" xr:uid="{00000000-0005-0000-0000-0000F1670000}"/>
    <cellStyle name="40% - Accent3 2 3 3 3" xfId="15843" xr:uid="{00000000-0005-0000-0000-0000F2670000}"/>
    <cellStyle name="40% - Accent3 2 3 3 3 2" xfId="38445" xr:uid="{00000000-0005-0000-0000-0000F3670000}"/>
    <cellStyle name="40% - Accent3 2 3 3 4" xfId="27144" xr:uid="{00000000-0005-0000-0000-0000F4670000}"/>
    <cellStyle name="40% - Accent3 2 3 4" xfId="8594" xr:uid="{00000000-0005-0000-0000-0000F5670000}"/>
    <cellStyle name="40% - Accent3 2 3 4 2" xfId="19895" xr:uid="{00000000-0005-0000-0000-0000F6670000}"/>
    <cellStyle name="40% - Accent3 2 3 4 2 2" xfId="42497" xr:uid="{00000000-0005-0000-0000-0000F7670000}"/>
    <cellStyle name="40% - Accent3 2 3 4 3" xfId="31196" xr:uid="{00000000-0005-0000-0000-0000F8670000}"/>
    <cellStyle name="40% - Accent3 2 3 5" xfId="14245" xr:uid="{00000000-0005-0000-0000-0000F9670000}"/>
    <cellStyle name="40% - Accent3 2 3 5 2" xfId="36847" xr:uid="{00000000-0005-0000-0000-0000FA670000}"/>
    <cellStyle name="40% - Accent3 2 3 6" xfId="25546" xr:uid="{00000000-0005-0000-0000-0000FB670000}"/>
    <cellStyle name="40% - Accent3 2 4" xfId="2780" xr:uid="{00000000-0005-0000-0000-0000FC670000}"/>
    <cellStyle name="40% - Accent3 2 5" xfId="3848" xr:uid="{00000000-0005-0000-0000-0000FD670000}"/>
    <cellStyle name="40% - Accent3 2 5 2" xfId="9546" xr:uid="{00000000-0005-0000-0000-0000FE670000}"/>
    <cellStyle name="40% - Accent3 2 5 2 2" xfId="20847" xr:uid="{00000000-0005-0000-0000-0000FF670000}"/>
    <cellStyle name="40% - Accent3 2 5 2 2 2" xfId="43449" xr:uid="{00000000-0005-0000-0000-000000680000}"/>
    <cellStyle name="40% - Accent3 2 5 2 3" xfId="32148" xr:uid="{00000000-0005-0000-0000-000001680000}"/>
    <cellStyle name="40% - Accent3 2 5 3" xfId="15197" xr:uid="{00000000-0005-0000-0000-000002680000}"/>
    <cellStyle name="40% - Accent3 2 5 3 2" xfId="37799" xr:uid="{00000000-0005-0000-0000-000003680000}"/>
    <cellStyle name="40% - Accent3 2 5 4" xfId="26498" xr:uid="{00000000-0005-0000-0000-000004680000}"/>
    <cellStyle name="40% - Accent3 2 6" xfId="3890" xr:uid="{00000000-0005-0000-0000-000005680000}"/>
    <cellStyle name="40% - Accent3 3" xfId="159" xr:uid="{00000000-0005-0000-0000-000006680000}"/>
    <cellStyle name="40% - Accent3 3 2" xfId="287" xr:uid="{00000000-0005-0000-0000-000007680000}"/>
    <cellStyle name="40% - Accent3 3 2 10" xfId="23398" xr:uid="{00000000-0005-0000-0000-000008680000}"/>
    <cellStyle name="40% - Accent3 3 2 2" xfId="548" xr:uid="{00000000-0005-0000-0000-000009680000}"/>
    <cellStyle name="40% - Accent3 3 2 2 2" xfId="1258" xr:uid="{00000000-0005-0000-0000-00000A680000}"/>
    <cellStyle name="40% - Accent3 3 2 2 2 2" xfId="1848" xr:uid="{00000000-0005-0000-0000-00000B680000}"/>
    <cellStyle name="40% - Accent3 3 2 2 2 2 2" xfId="3327" xr:uid="{00000000-0005-0000-0000-00000C680000}"/>
    <cellStyle name="40% - Accent3 3 2 2 2 2 2 2" xfId="6299" xr:uid="{00000000-0005-0000-0000-00000D680000}"/>
    <cellStyle name="40% - Accent3 3 2 2 2 2 2 2 2" xfId="11949" xr:uid="{00000000-0005-0000-0000-00000E680000}"/>
    <cellStyle name="40% - Accent3 3 2 2 2 2 2 2 2 2" xfId="23250" xr:uid="{00000000-0005-0000-0000-00000F680000}"/>
    <cellStyle name="40% - Accent3 3 2 2 2 2 2 2 2 2 2" xfId="45852" xr:uid="{00000000-0005-0000-0000-000010680000}"/>
    <cellStyle name="40% - Accent3 3 2 2 2 2 2 2 2 3" xfId="34551" xr:uid="{00000000-0005-0000-0000-000011680000}"/>
    <cellStyle name="40% - Accent3 3 2 2 2 2 2 2 3" xfId="17600" xr:uid="{00000000-0005-0000-0000-000012680000}"/>
    <cellStyle name="40% - Accent3 3 2 2 2 2 2 2 3 2" xfId="40202" xr:uid="{00000000-0005-0000-0000-000013680000}"/>
    <cellStyle name="40% - Accent3 3 2 2 2 2 2 2 4" xfId="28901" xr:uid="{00000000-0005-0000-0000-000014680000}"/>
    <cellStyle name="40% - Accent3 3 2 2 2 2 2 3" xfId="9117" xr:uid="{00000000-0005-0000-0000-000015680000}"/>
    <cellStyle name="40% - Accent3 3 2 2 2 2 2 3 2" xfId="20418" xr:uid="{00000000-0005-0000-0000-000016680000}"/>
    <cellStyle name="40% - Accent3 3 2 2 2 2 2 3 2 2" xfId="43020" xr:uid="{00000000-0005-0000-0000-000017680000}"/>
    <cellStyle name="40% - Accent3 3 2 2 2 2 2 3 3" xfId="31719" xr:uid="{00000000-0005-0000-0000-000018680000}"/>
    <cellStyle name="40% - Accent3 3 2 2 2 2 2 4" xfId="14768" xr:uid="{00000000-0005-0000-0000-000019680000}"/>
    <cellStyle name="40% - Accent3 3 2 2 2 2 2 4 2" xfId="37370" xr:uid="{00000000-0005-0000-0000-00001A680000}"/>
    <cellStyle name="40% - Accent3 3 2 2 2 2 2 5" xfId="26069" xr:uid="{00000000-0005-0000-0000-00001B680000}"/>
    <cellStyle name="40% - Accent3 3 2 2 2 2 3" xfId="5065" xr:uid="{00000000-0005-0000-0000-00001C680000}"/>
    <cellStyle name="40% - Accent3 3 2 2 2 2 3 2" xfId="10715" xr:uid="{00000000-0005-0000-0000-00001D680000}"/>
    <cellStyle name="40% - Accent3 3 2 2 2 2 3 2 2" xfId="22016" xr:uid="{00000000-0005-0000-0000-00001E680000}"/>
    <cellStyle name="40% - Accent3 3 2 2 2 2 3 2 2 2" xfId="44618" xr:uid="{00000000-0005-0000-0000-00001F680000}"/>
    <cellStyle name="40% - Accent3 3 2 2 2 2 3 2 3" xfId="33317" xr:uid="{00000000-0005-0000-0000-000020680000}"/>
    <cellStyle name="40% - Accent3 3 2 2 2 2 3 3" xfId="16366" xr:uid="{00000000-0005-0000-0000-000021680000}"/>
    <cellStyle name="40% - Accent3 3 2 2 2 2 3 3 2" xfId="38968" xr:uid="{00000000-0005-0000-0000-000022680000}"/>
    <cellStyle name="40% - Accent3 3 2 2 2 2 3 4" xfId="27667" xr:uid="{00000000-0005-0000-0000-000023680000}"/>
    <cellStyle name="40% - Accent3 3 2 2 2 2 4" xfId="7704" xr:uid="{00000000-0005-0000-0000-000024680000}"/>
    <cellStyle name="40% - Accent3 3 2 2 2 2 4 2" xfId="19005" xr:uid="{00000000-0005-0000-0000-000025680000}"/>
    <cellStyle name="40% - Accent3 3 2 2 2 2 4 2 2" xfId="41607" xr:uid="{00000000-0005-0000-0000-000026680000}"/>
    <cellStyle name="40% - Accent3 3 2 2 2 2 4 3" xfId="30306" xr:uid="{00000000-0005-0000-0000-000027680000}"/>
    <cellStyle name="40% - Accent3 3 2 2 2 2 5" xfId="13355" xr:uid="{00000000-0005-0000-0000-000028680000}"/>
    <cellStyle name="40% - Accent3 3 2 2 2 2 5 2" xfId="35957" xr:uid="{00000000-0005-0000-0000-000029680000}"/>
    <cellStyle name="40% - Accent3 3 2 2 2 2 6" xfId="24656" xr:uid="{00000000-0005-0000-0000-00002A680000}"/>
    <cellStyle name="40% - Accent3 3 2 2 2 3" xfId="2656" xr:uid="{00000000-0005-0000-0000-00002B680000}"/>
    <cellStyle name="40% - Accent3 3 2 2 2 3 2" xfId="5675" xr:uid="{00000000-0005-0000-0000-00002C680000}"/>
    <cellStyle name="40% - Accent3 3 2 2 2 3 2 2" xfId="11325" xr:uid="{00000000-0005-0000-0000-00002D680000}"/>
    <cellStyle name="40% - Accent3 3 2 2 2 3 2 2 2" xfId="22626" xr:uid="{00000000-0005-0000-0000-00002E680000}"/>
    <cellStyle name="40% - Accent3 3 2 2 2 3 2 2 2 2" xfId="45228" xr:uid="{00000000-0005-0000-0000-00002F680000}"/>
    <cellStyle name="40% - Accent3 3 2 2 2 3 2 2 3" xfId="33927" xr:uid="{00000000-0005-0000-0000-000030680000}"/>
    <cellStyle name="40% - Accent3 3 2 2 2 3 2 3" xfId="16976" xr:uid="{00000000-0005-0000-0000-000031680000}"/>
    <cellStyle name="40% - Accent3 3 2 2 2 3 2 3 2" xfId="39578" xr:uid="{00000000-0005-0000-0000-000032680000}"/>
    <cellStyle name="40% - Accent3 3 2 2 2 3 2 4" xfId="28277" xr:uid="{00000000-0005-0000-0000-000033680000}"/>
    <cellStyle name="40% - Accent3 3 2 2 2 3 3" xfId="8492" xr:uid="{00000000-0005-0000-0000-000034680000}"/>
    <cellStyle name="40% - Accent3 3 2 2 2 3 3 2" xfId="19793" xr:uid="{00000000-0005-0000-0000-000035680000}"/>
    <cellStyle name="40% - Accent3 3 2 2 2 3 3 2 2" xfId="42395" xr:uid="{00000000-0005-0000-0000-000036680000}"/>
    <cellStyle name="40% - Accent3 3 2 2 2 3 3 3" xfId="31094" xr:uid="{00000000-0005-0000-0000-000037680000}"/>
    <cellStyle name="40% - Accent3 3 2 2 2 3 4" xfId="14143" xr:uid="{00000000-0005-0000-0000-000038680000}"/>
    <cellStyle name="40% - Accent3 3 2 2 2 3 4 2" xfId="36745" xr:uid="{00000000-0005-0000-0000-000039680000}"/>
    <cellStyle name="40% - Accent3 3 2 2 2 3 5" xfId="25444" xr:uid="{00000000-0005-0000-0000-00003A680000}"/>
    <cellStyle name="40% - Accent3 3 2 2 2 4" xfId="4441" xr:uid="{00000000-0005-0000-0000-00003B680000}"/>
    <cellStyle name="40% - Accent3 3 2 2 2 4 2" xfId="10091" xr:uid="{00000000-0005-0000-0000-00003C680000}"/>
    <cellStyle name="40% - Accent3 3 2 2 2 4 2 2" xfId="21392" xr:uid="{00000000-0005-0000-0000-00003D680000}"/>
    <cellStyle name="40% - Accent3 3 2 2 2 4 2 2 2" xfId="43994" xr:uid="{00000000-0005-0000-0000-00003E680000}"/>
    <cellStyle name="40% - Accent3 3 2 2 2 4 2 3" xfId="32693" xr:uid="{00000000-0005-0000-0000-00003F680000}"/>
    <cellStyle name="40% - Accent3 3 2 2 2 4 3" xfId="15742" xr:uid="{00000000-0005-0000-0000-000040680000}"/>
    <cellStyle name="40% - Accent3 3 2 2 2 4 3 2" xfId="38344" xr:uid="{00000000-0005-0000-0000-000041680000}"/>
    <cellStyle name="40% - Accent3 3 2 2 2 4 4" xfId="27043" xr:uid="{00000000-0005-0000-0000-000042680000}"/>
    <cellStyle name="40% - Accent3 3 2 2 2 5" xfId="7237" xr:uid="{00000000-0005-0000-0000-000043680000}"/>
    <cellStyle name="40% - Accent3 3 2 2 2 5 2" xfId="18538" xr:uid="{00000000-0005-0000-0000-000044680000}"/>
    <cellStyle name="40% - Accent3 3 2 2 2 5 2 2" xfId="41140" xr:uid="{00000000-0005-0000-0000-000045680000}"/>
    <cellStyle name="40% - Accent3 3 2 2 2 5 3" xfId="29839" xr:uid="{00000000-0005-0000-0000-000046680000}"/>
    <cellStyle name="40% - Accent3 3 2 2 2 6" xfId="12888" xr:uid="{00000000-0005-0000-0000-000047680000}"/>
    <cellStyle name="40% - Accent3 3 2 2 2 6 2" xfId="35490" xr:uid="{00000000-0005-0000-0000-000048680000}"/>
    <cellStyle name="40% - Accent3 3 2 2 2 7" xfId="24189" xr:uid="{00000000-0005-0000-0000-000049680000}"/>
    <cellStyle name="40% - Accent3 3 2 2 3" xfId="956" xr:uid="{00000000-0005-0000-0000-00004A680000}"/>
    <cellStyle name="40% - Accent3 3 2 2 3 2" xfId="3019" xr:uid="{00000000-0005-0000-0000-00004B680000}"/>
    <cellStyle name="40% - Accent3 3 2 2 3 2 2" xfId="5991" xr:uid="{00000000-0005-0000-0000-00004C680000}"/>
    <cellStyle name="40% - Accent3 3 2 2 3 2 2 2" xfId="11641" xr:uid="{00000000-0005-0000-0000-00004D680000}"/>
    <cellStyle name="40% - Accent3 3 2 2 3 2 2 2 2" xfId="22942" xr:uid="{00000000-0005-0000-0000-00004E680000}"/>
    <cellStyle name="40% - Accent3 3 2 2 3 2 2 2 2 2" xfId="45544" xr:uid="{00000000-0005-0000-0000-00004F680000}"/>
    <cellStyle name="40% - Accent3 3 2 2 3 2 2 2 3" xfId="34243" xr:uid="{00000000-0005-0000-0000-000050680000}"/>
    <cellStyle name="40% - Accent3 3 2 2 3 2 2 3" xfId="17292" xr:uid="{00000000-0005-0000-0000-000051680000}"/>
    <cellStyle name="40% - Accent3 3 2 2 3 2 2 3 2" xfId="39894" xr:uid="{00000000-0005-0000-0000-000052680000}"/>
    <cellStyle name="40% - Accent3 3 2 2 3 2 2 4" xfId="28593" xr:uid="{00000000-0005-0000-0000-000053680000}"/>
    <cellStyle name="40% - Accent3 3 2 2 3 2 3" xfId="8809" xr:uid="{00000000-0005-0000-0000-000054680000}"/>
    <cellStyle name="40% - Accent3 3 2 2 3 2 3 2" xfId="20110" xr:uid="{00000000-0005-0000-0000-000055680000}"/>
    <cellStyle name="40% - Accent3 3 2 2 3 2 3 2 2" xfId="42712" xr:uid="{00000000-0005-0000-0000-000056680000}"/>
    <cellStyle name="40% - Accent3 3 2 2 3 2 3 3" xfId="31411" xr:uid="{00000000-0005-0000-0000-000057680000}"/>
    <cellStyle name="40% - Accent3 3 2 2 3 2 4" xfId="14460" xr:uid="{00000000-0005-0000-0000-000058680000}"/>
    <cellStyle name="40% - Accent3 3 2 2 3 2 4 2" xfId="37062" xr:uid="{00000000-0005-0000-0000-000059680000}"/>
    <cellStyle name="40% - Accent3 3 2 2 3 2 5" xfId="25761" xr:uid="{00000000-0005-0000-0000-00005A680000}"/>
    <cellStyle name="40% - Accent3 3 2 2 3 3" xfId="4757" xr:uid="{00000000-0005-0000-0000-00005B680000}"/>
    <cellStyle name="40% - Accent3 3 2 2 3 3 2" xfId="10407" xr:uid="{00000000-0005-0000-0000-00005C680000}"/>
    <cellStyle name="40% - Accent3 3 2 2 3 3 2 2" xfId="21708" xr:uid="{00000000-0005-0000-0000-00005D680000}"/>
    <cellStyle name="40% - Accent3 3 2 2 3 3 2 2 2" xfId="44310" xr:uid="{00000000-0005-0000-0000-00005E680000}"/>
    <cellStyle name="40% - Accent3 3 2 2 3 3 2 3" xfId="33009" xr:uid="{00000000-0005-0000-0000-00005F680000}"/>
    <cellStyle name="40% - Accent3 3 2 2 3 3 3" xfId="16058" xr:uid="{00000000-0005-0000-0000-000060680000}"/>
    <cellStyle name="40% - Accent3 3 2 2 3 3 3 2" xfId="38660" xr:uid="{00000000-0005-0000-0000-000061680000}"/>
    <cellStyle name="40% - Accent3 3 2 2 3 3 4" xfId="27359" xr:uid="{00000000-0005-0000-0000-000062680000}"/>
    <cellStyle name="40% - Accent3 3 2 2 3 4" xfId="6944" xr:uid="{00000000-0005-0000-0000-000063680000}"/>
    <cellStyle name="40% - Accent3 3 2 2 3 4 2" xfId="18245" xr:uid="{00000000-0005-0000-0000-000064680000}"/>
    <cellStyle name="40% - Accent3 3 2 2 3 4 2 2" xfId="40847" xr:uid="{00000000-0005-0000-0000-000065680000}"/>
    <cellStyle name="40% - Accent3 3 2 2 3 4 3" xfId="29546" xr:uid="{00000000-0005-0000-0000-000066680000}"/>
    <cellStyle name="40% - Accent3 3 2 2 3 5" xfId="12595" xr:uid="{00000000-0005-0000-0000-000067680000}"/>
    <cellStyle name="40% - Accent3 3 2 2 3 5 2" xfId="35197" xr:uid="{00000000-0005-0000-0000-000068680000}"/>
    <cellStyle name="40% - Accent3 3 2 2 3 6" xfId="23896" xr:uid="{00000000-0005-0000-0000-000069680000}"/>
    <cellStyle name="40% - Accent3 3 2 2 4" xfId="1847" xr:uid="{00000000-0005-0000-0000-00006A680000}"/>
    <cellStyle name="40% - Accent3 3 2 2 4 2" xfId="3695" xr:uid="{00000000-0005-0000-0000-00006B680000}"/>
    <cellStyle name="40% - Accent3 3 2 2 4 2 2" xfId="9405" xr:uid="{00000000-0005-0000-0000-00006C680000}"/>
    <cellStyle name="40% - Accent3 3 2 2 4 2 2 2" xfId="20706" xr:uid="{00000000-0005-0000-0000-00006D680000}"/>
    <cellStyle name="40% - Accent3 3 2 2 4 2 2 2 2" xfId="43308" xr:uid="{00000000-0005-0000-0000-00006E680000}"/>
    <cellStyle name="40% - Accent3 3 2 2 4 2 2 3" xfId="32007" xr:uid="{00000000-0005-0000-0000-00006F680000}"/>
    <cellStyle name="40% - Accent3 3 2 2 4 2 3" xfId="15056" xr:uid="{00000000-0005-0000-0000-000070680000}"/>
    <cellStyle name="40% - Accent3 3 2 2 4 2 3 2" xfId="37658" xr:uid="{00000000-0005-0000-0000-000071680000}"/>
    <cellStyle name="40% - Accent3 3 2 2 4 2 4" xfId="26357" xr:uid="{00000000-0005-0000-0000-000072680000}"/>
    <cellStyle name="40% - Accent3 3 2 2 4 3" xfId="5367" xr:uid="{00000000-0005-0000-0000-000073680000}"/>
    <cellStyle name="40% - Accent3 3 2 2 4 3 2" xfId="11017" xr:uid="{00000000-0005-0000-0000-000074680000}"/>
    <cellStyle name="40% - Accent3 3 2 2 4 3 2 2" xfId="22318" xr:uid="{00000000-0005-0000-0000-000075680000}"/>
    <cellStyle name="40% - Accent3 3 2 2 4 3 2 2 2" xfId="44920" xr:uid="{00000000-0005-0000-0000-000076680000}"/>
    <cellStyle name="40% - Accent3 3 2 2 4 3 2 3" xfId="33619" xr:uid="{00000000-0005-0000-0000-000077680000}"/>
    <cellStyle name="40% - Accent3 3 2 2 4 3 3" xfId="16668" xr:uid="{00000000-0005-0000-0000-000078680000}"/>
    <cellStyle name="40% - Accent3 3 2 2 4 3 3 2" xfId="39270" xr:uid="{00000000-0005-0000-0000-000079680000}"/>
    <cellStyle name="40% - Accent3 3 2 2 4 3 4" xfId="27969" xr:uid="{00000000-0005-0000-0000-00007A680000}"/>
    <cellStyle name="40% - Accent3 3 2 2 4 4" xfId="7703" xr:uid="{00000000-0005-0000-0000-00007B680000}"/>
    <cellStyle name="40% - Accent3 3 2 2 4 4 2" xfId="19004" xr:uid="{00000000-0005-0000-0000-00007C680000}"/>
    <cellStyle name="40% - Accent3 3 2 2 4 4 2 2" xfId="41606" xr:uid="{00000000-0005-0000-0000-00007D680000}"/>
    <cellStyle name="40% - Accent3 3 2 2 4 4 3" xfId="30305" xr:uid="{00000000-0005-0000-0000-00007E680000}"/>
    <cellStyle name="40% - Accent3 3 2 2 4 5" xfId="13354" xr:uid="{00000000-0005-0000-0000-00007F680000}"/>
    <cellStyle name="40% - Accent3 3 2 2 4 5 2" xfId="35956" xr:uid="{00000000-0005-0000-0000-000080680000}"/>
    <cellStyle name="40% - Accent3 3 2 2 4 6" xfId="24655" xr:uid="{00000000-0005-0000-0000-000081680000}"/>
    <cellStyle name="40% - Accent3 3 2 2 5" xfId="2348" xr:uid="{00000000-0005-0000-0000-000082680000}"/>
    <cellStyle name="40% - Accent3 3 2 2 5 2" xfId="8184" xr:uid="{00000000-0005-0000-0000-000083680000}"/>
    <cellStyle name="40% - Accent3 3 2 2 5 2 2" xfId="19485" xr:uid="{00000000-0005-0000-0000-000084680000}"/>
    <cellStyle name="40% - Accent3 3 2 2 5 2 2 2" xfId="42087" xr:uid="{00000000-0005-0000-0000-000085680000}"/>
    <cellStyle name="40% - Accent3 3 2 2 5 2 3" xfId="30786" xr:uid="{00000000-0005-0000-0000-000086680000}"/>
    <cellStyle name="40% - Accent3 3 2 2 5 3" xfId="13835" xr:uid="{00000000-0005-0000-0000-000087680000}"/>
    <cellStyle name="40% - Accent3 3 2 2 5 3 2" xfId="36437" xr:uid="{00000000-0005-0000-0000-000088680000}"/>
    <cellStyle name="40% - Accent3 3 2 2 5 4" xfId="25136" xr:uid="{00000000-0005-0000-0000-000089680000}"/>
    <cellStyle name="40% - Accent3 3 2 2 6" xfId="4133" xr:uid="{00000000-0005-0000-0000-00008A680000}"/>
    <cellStyle name="40% - Accent3 3 2 2 6 2" xfId="9783" xr:uid="{00000000-0005-0000-0000-00008B680000}"/>
    <cellStyle name="40% - Accent3 3 2 2 6 2 2" xfId="21084" xr:uid="{00000000-0005-0000-0000-00008C680000}"/>
    <cellStyle name="40% - Accent3 3 2 2 6 2 2 2" xfId="43686" xr:uid="{00000000-0005-0000-0000-00008D680000}"/>
    <cellStyle name="40% - Accent3 3 2 2 6 2 3" xfId="32385" xr:uid="{00000000-0005-0000-0000-00008E680000}"/>
    <cellStyle name="40% - Accent3 3 2 2 6 3" xfId="15434" xr:uid="{00000000-0005-0000-0000-00008F680000}"/>
    <cellStyle name="40% - Accent3 3 2 2 6 3 2" xfId="38036" xr:uid="{00000000-0005-0000-0000-000090680000}"/>
    <cellStyle name="40% - Accent3 3 2 2 6 4" xfId="26735" xr:uid="{00000000-0005-0000-0000-000091680000}"/>
    <cellStyle name="40% - Accent3 3 2 2 7" xfId="6613" xr:uid="{00000000-0005-0000-0000-000092680000}"/>
    <cellStyle name="40% - Accent3 3 2 2 7 2" xfId="17914" xr:uid="{00000000-0005-0000-0000-000093680000}"/>
    <cellStyle name="40% - Accent3 3 2 2 7 2 2" xfId="40516" xr:uid="{00000000-0005-0000-0000-000094680000}"/>
    <cellStyle name="40% - Accent3 3 2 2 7 3" xfId="29215" xr:uid="{00000000-0005-0000-0000-000095680000}"/>
    <cellStyle name="40% - Accent3 3 2 2 8" xfId="12264" xr:uid="{00000000-0005-0000-0000-000096680000}"/>
    <cellStyle name="40% - Accent3 3 2 2 8 2" xfId="34866" xr:uid="{00000000-0005-0000-0000-000097680000}"/>
    <cellStyle name="40% - Accent3 3 2 2 9" xfId="23565" xr:uid="{00000000-0005-0000-0000-000098680000}"/>
    <cellStyle name="40% - Accent3 3 2 3" xfId="1120" xr:uid="{00000000-0005-0000-0000-000099680000}"/>
    <cellStyle name="40% - Accent3 3 2 3 2" xfId="1849" xr:uid="{00000000-0005-0000-0000-00009A680000}"/>
    <cellStyle name="40% - Accent3 3 2 3 2 2" xfId="3188" xr:uid="{00000000-0005-0000-0000-00009B680000}"/>
    <cellStyle name="40% - Accent3 3 2 3 2 2 2" xfId="6160" xr:uid="{00000000-0005-0000-0000-00009C680000}"/>
    <cellStyle name="40% - Accent3 3 2 3 2 2 2 2" xfId="11810" xr:uid="{00000000-0005-0000-0000-00009D680000}"/>
    <cellStyle name="40% - Accent3 3 2 3 2 2 2 2 2" xfId="23111" xr:uid="{00000000-0005-0000-0000-00009E680000}"/>
    <cellStyle name="40% - Accent3 3 2 3 2 2 2 2 2 2" xfId="45713" xr:uid="{00000000-0005-0000-0000-00009F680000}"/>
    <cellStyle name="40% - Accent3 3 2 3 2 2 2 2 3" xfId="34412" xr:uid="{00000000-0005-0000-0000-0000A0680000}"/>
    <cellStyle name="40% - Accent3 3 2 3 2 2 2 3" xfId="17461" xr:uid="{00000000-0005-0000-0000-0000A1680000}"/>
    <cellStyle name="40% - Accent3 3 2 3 2 2 2 3 2" xfId="40063" xr:uid="{00000000-0005-0000-0000-0000A2680000}"/>
    <cellStyle name="40% - Accent3 3 2 3 2 2 2 4" xfId="28762" xr:uid="{00000000-0005-0000-0000-0000A3680000}"/>
    <cellStyle name="40% - Accent3 3 2 3 2 2 3" xfId="8978" xr:uid="{00000000-0005-0000-0000-0000A4680000}"/>
    <cellStyle name="40% - Accent3 3 2 3 2 2 3 2" xfId="20279" xr:uid="{00000000-0005-0000-0000-0000A5680000}"/>
    <cellStyle name="40% - Accent3 3 2 3 2 2 3 2 2" xfId="42881" xr:uid="{00000000-0005-0000-0000-0000A6680000}"/>
    <cellStyle name="40% - Accent3 3 2 3 2 2 3 3" xfId="31580" xr:uid="{00000000-0005-0000-0000-0000A7680000}"/>
    <cellStyle name="40% - Accent3 3 2 3 2 2 4" xfId="14629" xr:uid="{00000000-0005-0000-0000-0000A8680000}"/>
    <cellStyle name="40% - Accent3 3 2 3 2 2 4 2" xfId="37231" xr:uid="{00000000-0005-0000-0000-0000A9680000}"/>
    <cellStyle name="40% - Accent3 3 2 3 2 2 5" xfId="25930" xr:uid="{00000000-0005-0000-0000-0000AA680000}"/>
    <cellStyle name="40% - Accent3 3 2 3 2 3" xfId="4926" xr:uid="{00000000-0005-0000-0000-0000AB680000}"/>
    <cellStyle name="40% - Accent3 3 2 3 2 3 2" xfId="10576" xr:uid="{00000000-0005-0000-0000-0000AC680000}"/>
    <cellStyle name="40% - Accent3 3 2 3 2 3 2 2" xfId="21877" xr:uid="{00000000-0005-0000-0000-0000AD680000}"/>
    <cellStyle name="40% - Accent3 3 2 3 2 3 2 2 2" xfId="44479" xr:uid="{00000000-0005-0000-0000-0000AE680000}"/>
    <cellStyle name="40% - Accent3 3 2 3 2 3 2 3" xfId="33178" xr:uid="{00000000-0005-0000-0000-0000AF680000}"/>
    <cellStyle name="40% - Accent3 3 2 3 2 3 3" xfId="16227" xr:uid="{00000000-0005-0000-0000-0000B0680000}"/>
    <cellStyle name="40% - Accent3 3 2 3 2 3 3 2" xfId="38829" xr:uid="{00000000-0005-0000-0000-0000B1680000}"/>
    <cellStyle name="40% - Accent3 3 2 3 2 3 4" xfId="27528" xr:uid="{00000000-0005-0000-0000-0000B2680000}"/>
    <cellStyle name="40% - Accent3 3 2 3 2 4" xfId="7705" xr:uid="{00000000-0005-0000-0000-0000B3680000}"/>
    <cellStyle name="40% - Accent3 3 2 3 2 4 2" xfId="19006" xr:uid="{00000000-0005-0000-0000-0000B4680000}"/>
    <cellStyle name="40% - Accent3 3 2 3 2 4 2 2" xfId="41608" xr:uid="{00000000-0005-0000-0000-0000B5680000}"/>
    <cellStyle name="40% - Accent3 3 2 3 2 4 3" xfId="30307" xr:uid="{00000000-0005-0000-0000-0000B6680000}"/>
    <cellStyle name="40% - Accent3 3 2 3 2 5" xfId="13356" xr:uid="{00000000-0005-0000-0000-0000B7680000}"/>
    <cellStyle name="40% - Accent3 3 2 3 2 5 2" xfId="35958" xr:uid="{00000000-0005-0000-0000-0000B8680000}"/>
    <cellStyle name="40% - Accent3 3 2 3 2 6" xfId="24657" xr:uid="{00000000-0005-0000-0000-0000B9680000}"/>
    <cellStyle name="40% - Accent3 3 2 3 3" xfId="2517" xr:uid="{00000000-0005-0000-0000-0000BA680000}"/>
    <cellStyle name="40% - Accent3 3 2 3 3 2" xfId="5536" xr:uid="{00000000-0005-0000-0000-0000BB680000}"/>
    <cellStyle name="40% - Accent3 3 2 3 3 2 2" xfId="11186" xr:uid="{00000000-0005-0000-0000-0000BC680000}"/>
    <cellStyle name="40% - Accent3 3 2 3 3 2 2 2" xfId="22487" xr:uid="{00000000-0005-0000-0000-0000BD680000}"/>
    <cellStyle name="40% - Accent3 3 2 3 3 2 2 2 2" xfId="45089" xr:uid="{00000000-0005-0000-0000-0000BE680000}"/>
    <cellStyle name="40% - Accent3 3 2 3 3 2 2 3" xfId="33788" xr:uid="{00000000-0005-0000-0000-0000BF680000}"/>
    <cellStyle name="40% - Accent3 3 2 3 3 2 3" xfId="16837" xr:uid="{00000000-0005-0000-0000-0000C0680000}"/>
    <cellStyle name="40% - Accent3 3 2 3 3 2 3 2" xfId="39439" xr:uid="{00000000-0005-0000-0000-0000C1680000}"/>
    <cellStyle name="40% - Accent3 3 2 3 3 2 4" xfId="28138" xr:uid="{00000000-0005-0000-0000-0000C2680000}"/>
    <cellStyle name="40% - Accent3 3 2 3 3 3" xfId="8353" xr:uid="{00000000-0005-0000-0000-0000C3680000}"/>
    <cellStyle name="40% - Accent3 3 2 3 3 3 2" xfId="19654" xr:uid="{00000000-0005-0000-0000-0000C4680000}"/>
    <cellStyle name="40% - Accent3 3 2 3 3 3 2 2" xfId="42256" xr:uid="{00000000-0005-0000-0000-0000C5680000}"/>
    <cellStyle name="40% - Accent3 3 2 3 3 3 3" xfId="30955" xr:uid="{00000000-0005-0000-0000-0000C6680000}"/>
    <cellStyle name="40% - Accent3 3 2 3 3 4" xfId="14004" xr:uid="{00000000-0005-0000-0000-0000C7680000}"/>
    <cellStyle name="40% - Accent3 3 2 3 3 4 2" xfId="36606" xr:uid="{00000000-0005-0000-0000-0000C8680000}"/>
    <cellStyle name="40% - Accent3 3 2 3 3 5" xfId="25305" xr:uid="{00000000-0005-0000-0000-0000C9680000}"/>
    <cellStyle name="40% - Accent3 3 2 3 4" xfId="4302" xr:uid="{00000000-0005-0000-0000-0000CA680000}"/>
    <cellStyle name="40% - Accent3 3 2 3 4 2" xfId="9952" xr:uid="{00000000-0005-0000-0000-0000CB680000}"/>
    <cellStyle name="40% - Accent3 3 2 3 4 2 2" xfId="21253" xr:uid="{00000000-0005-0000-0000-0000CC680000}"/>
    <cellStyle name="40% - Accent3 3 2 3 4 2 2 2" xfId="43855" xr:uid="{00000000-0005-0000-0000-0000CD680000}"/>
    <cellStyle name="40% - Accent3 3 2 3 4 2 3" xfId="32554" xr:uid="{00000000-0005-0000-0000-0000CE680000}"/>
    <cellStyle name="40% - Accent3 3 2 3 4 3" xfId="15603" xr:uid="{00000000-0005-0000-0000-0000CF680000}"/>
    <cellStyle name="40% - Accent3 3 2 3 4 3 2" xfId="38205" xr:uid="{00000000-0005-0000-0000-0000D0680000}"/>
    <cellStyle name="40% - Accent3 3 2 3 4 4" xfId="26904" xr:uid="{00000000-0005-0000-0000-0000D1680000}"/>
    <cellStyle name="40% - Accent3 3 2 3 5" xfId="7099" xr:uid="{00000000-0005-0000-0000-0000D2680000}"/>
    <cellStyle name="40% - Accent3 3 2 3 5 2" xfId="18400" xr:uid="{00000000-0005-0000-0000-0000D3680000}"/>
    <cellStyle name="40% - Accent3 3 2 3 5 2 2" xfId="41002" xr:uid="{00000000-0005-0000-0000-0000D4680000}"/>
    <cellStyle name="40% - Accent3 3 2 3 5 3" xfId="29701" xr:uid="{00000000-0005-0000-0000-0000D5680000}"/>
    <cellStyle name="40% - Accent3 3 2 3 6" xfId="12750" xr:uid="{00000000-0005-0000-0000-0000D6680000}"/>
    <cellStyle name="40% - Accent3 3 2 3 6 2" xfId="35352" xr:uid="{00000000-0005-0000-0000-0000D7680000}"/>
    <cellStyle name="40% - Accent3 3 2 3 7" xfId="24051" xr:uid="{00000000-0005-0000-0000-0000D8680000}"/>
    <cellStyle name="40% - Accent3 3 2 4" xfId="809" xr:uid="{00000000-0005-0000-0000-0000D9680000}"/>
    <cellStyle name="40% - Accent3 3 2 4 2" xfId="2881" xr:uid="{00000000-0005-0000-0000-0000DA680000}"/>
    <cellStyle name="40% - Accent3 3 2 4 2 2" xfId="5853" xr:uid="{00000000-0005-0000-0000-0000DB680000}"/>
    <cellStyle name="40% - Accent3 3 2 4 2 2 2" xfId="11503" xr:uid="{00000000-0005-0000-0000-0000DC680000}"/>
    <cellStyle name="40% - Accent3 3 2 4 2 2 2 2" xfId="22804" xr:uid="{00000000-0005-0000-0000-0000DD680000}"/>
    <cellStyle name="40% - Accent3 3 2 4 2 2 2 2 2" xfId="45406" xr:uid="{00000000-0005-0000-0000-0000DE680000}"/>
    <cellStyle name="40% - Accent3 3 2 4 2 2 2 3" xfId="34105" xr:uid="{00000000-0005-0000-0000-0000DF680000}"/>
    <cellStyle name="40% - Accent3 3 2 4 2 2 3" xfId="17154" xr:uid="{00000000-0005-0000-0000-0000E0680000}"/>
    <cellStyle name="40% - Accent3 3 2 4 2 2 3 2" xfId="39756" xr:uid="{00000000-0005-0000-0000-0000E1680000}"/>
    <cellStyle name="40% - Accent3 3 2 4 2 2 4" xfId="28455" xr:uid="{00000000-0005-0000-0000-0000E2680000}"/>
    <cellStyle name="40% - Accent3 3 2 4 2 3" xfId="8671" xr:uid="{00000000-0005-0000-0000-0000E3680000}"/>
    <cellStyle name="40% - Accent3 3 2 4 2 3 2" xfId="19972" xr:uid="{00000000-0005-0000-0000-0000E4680000}"/>
    <cellStyle name="40% - Accent3 3 2 4 2 3 2 2" xfId="42574" xr:uid="{00000000-0005-0000-0000-0000E5680000}"/>
    <cellStyle name="40% - Accent3 3 2 4 2 3 3" xfId="31273" xr:uid="{00000000-0005-0000-0000-0000E6680000}"/>
    <cellStyle name="40% - Accent3 3 2 4 2 4" xfId="14322" xr:uid="{00000000-0005-0000-0000-0000E7680000}"/>
    <cellStyle name="40% - Accent3 3 2 4 2 4 2" xfId="36924" xr:uid="{00000000-0005-0000-0000-0000E8680000}"/>
    <cellStyle name="40% - Accent3 3 2 4 2 5" xfId="25623" xr:uid="{00000000-0005-0000-0000-0000E9680000}"/>
    <cellStyle name="40% - Accent3 3 2 4 3" xfId="4619" xr:uid="{00000000-0005-0000-0000-0000EA680000}"/>
    <cellStyle name="40% - Accent3 3 2 4 3 2" xfId="10269" xr:uid="{00000000-0005-0000-0000-0000EB680000}"/>
    <cellStyle name="40% - Accent3 3 2 4 3 2 2" xfId="21570" xr:uid="{00000000-0005-0000-0000-0000EC680000}"/>
    <cellStyle name="40% - Accent3 3 2 4 3 2 2 2" xfId="44172" xr:uid="{00000000-0005-0000-0000-0000ED680000}"/>
    <cellStyle name="40% - Accent3 3 2 4 3 2 3" xfId="32871" xr:uid="{00000000-0005-0000-0000-0000EE680000}"/>
    <cellStyle name="40% - Accent3 3 2 4 3 3" xfId="15920" xr:uid="{00000000-0005-0000-0000-0000EF680000}"/>
    <cellStyle name="40% - Accent3 3 2 4 3 3 2" xfId="38522" xr:uid="{00000000-0005-0000-0000-0000F0680000}"/>
    <cellStyle name="40% - Accent3 3 2 4 3 4" xfId="27221" xr:uid="{00000000-0005-0000-0000-0000F1680000}"/>
    <cellStyle name="40% - Accent3 3 2 4 4" xfId="6806" xr:uid="{00000000-0005-0000-0000-0000F2680000}"/>
    <cellStyle name="40% - Accent3 3 2 4 4 2" xfId="18107" xr:uid="{00000000-0005-0000-0000-0000F3680000}"/>
    <cellStyle name="40% - Accent3 3 2 4 4 2 2" xfId="40709" xr:uid="{00000000-0005-0000-0000-0000F4680000}"/>
    <cellStyle name="40% - Accent3 3 2 4 4 3" xfId="29408" xr:uid="{00000000-0005-0000-0000-0000F5680000}"/>
    <cellStyle name="40% - Accent3 3 2 4 5" xfId="12457" xr:uid="{00000000-0005-0000-0000-0000F6680000}"/>
    <cellStyle name="40% - Accent3 3 2 4 5 2" xfId="35059" xr:uid="{00000000-0005-0000-0000-0000F7680000}"/>
    <cellStyle name="40% - Accent3 3 2 4 6" xfId="23758" xr:uid="{00000000-0005-0000-0000-0000F8680000}"/>
    <cellStyle name="40% - Accent3 3 2 5" xfId="1846" xr:uid="{00000000-0005-0000-0000-0000F9680000}"/>
    <cellStyle name="40% - Accent3 3 2 5 2" xfId="3694" xr:uid="{00000000-0005-0000-0000-0000FA680000}"/>
    <cellStyle name="40% - Accent3 3 2 5 2 2" xfId="9404" xr:uid="{00000000-0005-0000-0000-0000FB680000}"/>
    <cellStyle name="40% - Accent3 3 2 5 2 2 2" xfId="20705" xr:uid="{00000000-0005-0000-0000-0000FC680000}"/>
    <cellStyle name="40% - Accent3 3 2 5 2 2 2 2" xfId="43307" xr:uid="{00000000-0005-0000-0000-0000FD680000}"/>
    <cellStyle name="40% - Accent3 3 2 5 2 2 3" xfId="32006" xr:uid="{00000000-0005-0000-0000-0000FE680000}"/>
    <cellStyle name="40% - Accent3 3 2 5 2 3" xfId="15055" xr:uid="{00000000-0005-0000-0000-0000FF680000}"/>
    <cellStyle name="40% - Accent3 3 2 5 2 3 2" xfId="37657" xr:uid="{00000000-0005-0000-0000-000000690000}"/>
    <cellStyle name="40% - Accent3 3 2 5 2 4" xfId="26356" xr:uid="{00000000-0005-0000-0000-000001690000}"/>
    <cellStyle name="40% - Accent3 3 2 5 3" xfId="5229" xr:uid="{00000000-0005-0000-0000-000002690000}"/>
    <cellStyle name="40% - Accent3 3 2 5 3 2" xfId="10879" xr:uid="{00000000-0005-0000-0000-000003690000}"/>
    <cellStyle name="40% - Accent3 3 2 5 3 2 2" xfId="22180" xr:uid="{00000000-0005-0000-0000-000004690000}"/>
    <cellStyle name="40% - Accent3 3 2 5 3 2 2 2" xfId="44782" xr:uid="{00000000-0005-0000-0000-000005690000}"/>
    <cellStyle name="40% - Accent3 3 2 5 3 2 3" xfId="33481" xr:uid="{00000000-0005-0000-0000-000006690000}"/>
    <cellStyle name="40% - Accent3 3 2 5 3 3" xfId="16530" xr:uid="{00000000-0005-0000-0000-000007690000}"/>
    <cellStyle name="40% - Accent3 3 2 5 3 3 2" xfId="39132" xr:uid="{00000000-0005-0000-0000-000008690000}"/>
    <cellStyle name="40% - Accent3 3 2 5 3 4" xfId="27831" xr:uid="{00000000-0005-0000-0000-000009690000}"/>
    <cellStyle name="40% - Accent3 3 2 5 4" xfId="7702" xr:uid="{00000000-0005-0000-0000-00000A690000}"/>
    <cellStyle name="40% - Accent3 3 2 5 4 2" xfId="19003" xr:uid="{00000000-0005-0000-0000-00000B690000}"/>
    <cellStyle name="40% - Accent3 3 2 5 4 2 2" xfId="41605" xr:uid="{00000000-0005-0000-0000-00000C690000}"/>
    <cellStyle name="40% - Accent3 3 2 5 4 3" xfId="30304" xr:uid="{00000000-0005-0000-0000-00000D690000}"/>
    <cellStyle name="40% - Accent3 3 2 5 5" xfId="13353" xr:uid="{00000000-0005-0000-0000-00000E690000}"/>
    <cellStyle name="40% - Accent3 3 2 5 5 2" xfId="35955" xr:uid="{00000000-0005-0000-0000-00000F690000}"/>
    <cellStyle name="40% - Accent3 3 2 5 6" xfId="24654" xr:uid="{00000000-0005-0000-0000-000010690000}"/>
    <cellStyle name="40% - Accent3 3 2 6" xfId="2207" xr:uid="{00000000-0005-0000-0000-000011690000}"/>
    <cellStyle name="40% - Accent3 3 2 6 2" xfId="8043" xr:uid="{00000000-0005-0000-0000-000012690000}"/>
    <cellStyle name="40% - Accent3 3 2 6 2 2" xfId="19344" xr:uid="{00000000-0005-0000-0000-000013690000}"/>
    <cellStyle name="40% - Accent3 3 2 6 2 2 2" xfId="41946" xr:uid="{00000000-0005-0000-0000-000014690000}"/>
    <cellStyle name="40% - Accent3 3 2 6 2 3" xfId="30645" xr:uid="{00000000-0005-0000-0000-000015690000}"/>
    <cellStyle name="40% - Accent3 3 2 6 3" xfId="13694" xr:uid="{00000000-0005-0000-0000-000016690000}"/>
    <cellStyle name="40% - Accent3 3 2 6 3 2" xfId="36296" xr:uid="{00000000-0005-0000-0000-000017690000}"/>
    <cellStyle name="40% - Accent3 3 2 6 4" xfId="24995" xr:uid="{00000000-0005-0000-0000-000018690000}"/>
    <cellStyle name="40% - Accent3 3 2 7" xfId="3995" xr:uid="{00000000-0005-0000-0000-000019690000}"/>
    <cellStyle name="40% - Accent3 3 2 7 2" xfId="9645" xr:uid="{00000000-0005-0000-0000-00001A690000}"/>
    <cellStyle name="40% - Accent3 3 2 7 2 2" xfId="20946" xr:uid="{00000000-0005-0000-0000-00001B690000}"/>
    <cellStyle name="40% - Accent3 3 2 7 2 2 2" xfId="43548" xr:uid="{00000000-0005-0000-0000-00001C690000}"/>
    <cellStyle name="40% - Accent3 3 2 7 2 3" xfId="32247" xr:uid="{00000000-0005-0000-0000-00001D690000}"/>
    <cellStyle name="40% - Accent3 3 2 7 3" xfId="15296" xr:uid="{00000000-0005-0000-0000-00001E690000}"/>
    <cellStyle name="40% - Accent3 3 2 7 3 2" xfId="37898" xr:uid="{00000000-0005-0000-0000-00001F690000}"/>
    <cellStyle name="40% - Accent3 3 2 7 4" xfId="26597" xr:uid="{00000000-0005-0000-0000-000020690000}"/>
    <cellStyle name="40% - Accent3 3 2 8" xfId="6446" xr:uid="{00000000-0005-0000-0000-000021690000}"/>
    <cellStyle name="40% - Accent3 3 2 8 2" xfId="17747" xr:uid="{00000000-0005-0000-0000-000022690000}"/>
    <cellStyle name="40% - Accent3 3 2 8 2 2" xfId="40349" xr:uid="{00000000-0005-0000-0000-000023690000}"/>
    <cellStyle name="40% - Accent3 3 2 8 3" xfId="29048" xr:uid="{00000000-0005-0000-0000-000024690000}"/>
    <cellStyle name="40% - Accent3 3 2 9" xfId="12097" xr:uid="{00000000-0005-0000-0000-000025690000}"/>
    <cellStyle name="40% - Accent3 3 2 9 2" xfId="34699" xr:uid="{00000000-0005-0000-0000-000026690000}"/>
    <cellStyle name="40% - Accent3 3 3" xfId="352" xr:uid="{00000000-0005-0000-0000-000027690000}"/>
    <cellStyle name="40% - Accent3 3 3 10" xfId="23447" xr:uid="{00000000-0005-0000-0000-000028690000}"/>
    <cellStyle name="40% - Accent3 3 3 2" xfId="597" xr:uid="{00000000-0005-0000-0000-000029690000}"/>
    <cellStyle name="40% - Accent3 3 3 2 2" xfId="1307" xr:uid="{00000000-0005-0000-0000-00002A690000}"/>
    <cellStyle name="40% - Accent3 3 3 2 2 2" xfId="1852" xr:uid="{00000000-0005-0000-0000-00002B690000}"/>
    <cellStyle name="40% - Accent3 3 3 2 2 2 2" xfId="3376" xr:uid="{00000000-0005-0000-0000-00002C690000}"/>
    <cellStyle name="40% - Accent3 3 3 2 2 2 2 2" xfId="6348" xr:uid="{00000000-0005-0000-0000-00002D690000}"/>
    <cellStyle name="40% - Accent3 3 3 2 2 2 2 2 2" xfId="11998" xr:uid="{00000000-0005-0000-0000-00002E690000}"/>
    <cellStyle name="40% - Accent3 3 3 2 2 2 2 2 2 2" xfId="23299" xr:uid="{00000000-0005-0000-0000-00002F690000}"/>
    <cellStyle name="40% - Accent3 3 3 2 2 2 2 2 2 2 2" xfId="45901" xr:uid="{00000000-0005-0000-0000-000030690000}"/>
    <cellStyle name="40% - Accent3 3 3 2 2 2 2 2 2 3" xfId="34600" xr:uid="{00000000-0005-0000-0000-000031690000}"/>
    <cellStyle name="40% - Accent3 3 3 2 2 2 2 2 3" xfId="17649" xr:uid="{00000000-0005-0000-0000-000032690000}"/>
    <cellStyle name="40% - Accent3 3 3 2 2 2 2 2 3 2" xfId="40251" xr:uid="{00000000-0005-0000-0000-000033690000}"/>
    <cellStyle name="40% - Accent3 3 3 2 2 2 2 2 4" xfId="28950" xr:uid="{00000000-0005-0000-0000-000034690000}"/>
    <cellStyle name="40% - Accent3 3 3 2 2 2 2 3" xfId="9166" xr:uid="{00000000-0005-0000-0000-000035690000}"/>
    <cellStyle name="40% - Accent3 3 3 2 2 2 2 3 2" xfId="20467" xr:uid="{00000000-0005-0000-0000-000036690000}"/>
    <cellStyle name="40% - Accent3 3 3 2 2 2 2 3 2 2" xfId="43069" xr:uid="{00000000-0005-0000-0000-000037690000}"/>
    <cellStyle name="40% - Accent3 3 3 2 2 2 2 3 3" xfId="31768" xr:uid="{00000000-0005-0000-0000-000038690000}"/>
    <cellStyle name="40% - Accent3 3 3 2 2 2 2 4" xfId="14817" xr:uid="{00000000-0005-0000-0000-000039690000}"/>
    <cellStyle name="40% - Accent3 3 3 2 2 2 2 4 2" xfId="37419" xr:uid="{00000000-0005-0000-0000-00003A690000}"/>
    <cellStyle name="40% - Accent3 3 3 2 2 2 2 5" xfId="26118" xr:uid="{00000000-0005-0000-0000-00003B690000}"/>
    <cellStyle name="40% - Accent3 3 3 2 2 2 3" xfId="5114" xr:uid="{00000000-0005-0000-0000-00003C690000}"/>
    <cellStyle name="40% - Accent3 3 3 2 2 2 3 2" xfId="10764" xr:uid="{00000000-0005-0000-0000-00003D690000}"/>
    <cellStyle name="40% - Accent3 3 3 2 2 2 3 2 2" xfId="22065" xr:uid="{00000000-0005-0000-0000-00003E690000}"/>
    <cellStyle name="40% - Accent3 3 3 2 2 2 3 2 2 2" xfId="44667" xr:uid="{00000000-0005-0000-0000-00003F690000}"/>
    <cellStyle name="40% - Accent3 3 3 2 2 2 3 2 3" xfId="33366" xr:uid="{00000000-0005-0000-0000-000040690000}"/>
    <cellStyle name="40% - Accent3 3 3 2 2 2 3 3" xfId="16415" xr:uid="{00000000-0005-0000-0000-000041690000}"/>
    <cellStyle name="40% - Accent3 3 3 2 2 2 3 3 2" xfId="39017" xr:uid="{00000000-0005-0000-0000-000042690000}"/>
    <cellStyle name="40% - Accent3 3 3 2 2 2 3 4" xfId="27716" xr:uid="{00000000-0005-0000-0000-000043690000}"/>
    <cellStyle name="40% - Accent3 3 3 2 2 2 4" xfId="7708" xr:uid="{00000000-0005-0000-0000-000044690000}"/>
    <cellStyle name="40% - Accent3 3 3 2 2 2 4 2" xfId="19009" xr:uid="{00000000-0005-0000-0000-000045690000}"/>
    <cellStyle name="40% - Accent3 3 3 2 2 2 4 2 2" xfId="41611" xr:uid="{00000000-0005-0000-0000-000046690000}"/>
    <cellStyle name="40% - Accent3 3 3 2 2 2 4 3" xfId="30310" xr:uid="{00000000-0005-0000-0000-000047690000}"/>
    <cellStyle name="40% - Accent3 3 3 2 2 2 5" xfId="13359" xr:uid="{00000000-0005-0000-0000-000048690000}"/>
    <cellStyle name="40% - Accent3 3 3 2 2 2 5 2" xfId="35961" xr:uid="{00000000-0005-0000-0000-000049690000}"/>
    <cellStyle name="40% - Accent3 3 3 2 2 2 6" xfId="24660" xr:uid="{00000000-0005-0000-0000-00004A690000}"/>
    <cellStyle name="40% - Accent3 3 3 2 2 3" xfId="2705" xr:uid="{00000000-0005-0000-0000-00004B690000}"/>
    <cellStyle name="40% - Accent3 3 3 2 2 3 2" xfId="5724" xr:uid="{00000000-0005-0000-0000-00004C690000}"/>
    <cellStyle name="40% - Accent3 3 3 2 2 3 2 2" xfId="11374" xr:uid="{00000000-0005-0000-0000-00004D690000}"/>
    <cellStyle name="40% - Accent3 3 3 2 2 3 2 2 2" xfId="22675" xr:uid="{00000000-0005-0000-0000-00004E690000}"/>
    <cellStyle name="40% - Accent3 3 3 2 2 3 2 2 2 2" xfId="45277" xr:uid="{00000000-0005-0000-0000-00004F690000}"/>
    <cellStyle name="40% - Accent3 3 3 2 2 3 2 2 3" xfId="33976" xr:uid="{00000000-0005-0000-0000-000050690000}"/>
    <cellStyle name="40% - Accent3 3 3 2 2 3 2 3" xfId="17025" xr:uid="{00000000-0005-0000-0000-000051690000}"/>
    <cellStyle name="40% - Accent3 3 3 2 2 3 2 3 2" xfId="39627" xr:uid="{00000000-0005-0000-0000-000052690000}"/>
    <cellStyle name="40% - Accent3 3 3 2 2 3 2 4" xfId="28326" xr:uid="{00000000-0005-0000-0000-000053690000}"/>
    <cellStyle name="40% - Accent3 3 3 2 2 3 3" xfId="8541" xr:uid="{00000000-0005-0000-0000-000054690000}"/>
    <cellStyle name="40% - Accent3 3 3 2 2 3 3 2" xfId="19842" xr:uid="{00000000-0005-0000-0000-000055690000}"/>
    <cellStyle name="40% - Accent3 3 3 2 2 3 3 2 2" xfId="42444" xr:uid="{00000000-0005-0000-0000-000056690000}"/>
    <cellStyle name="40% - Accent3 3 3 2 2 3 3 3" xfId="31143" xr:uid="{00000000-0005-0000-0000-000057690000}"/>
    <cellStyle name="40% - Accent3 3 3 2 2 3 4" xfId="14192" xr:uid="{00000000-0005-0000-0000-000058690000}"/>
    <cellStyle name="40% - Accent3 3 3 2 2 3 4 2" xfId="36794" xr:uid="{00000000-0005-0000-0000-000059690000}"/>
    <cellStyle name="40% - Accent3 3 3 2 2 3 5" xfId="25493" xr:uid="{00000000-0005-0000-0000-00005A690000}"/>
    <cellStyle name="40% - Accent3 3 3 2 2 4" xfId="4490" xr:uid="{00000000-0005-0000-0000-00005B690000}"/>
    <cellStyle name="40% - Accent3 3 3 2 2 4 2" xfId="10140" xr:uid="{00000000-0005-0000-0000-00005C690000}"/>
    <cellStyle name="40% - Accent3 3 3 2 2 4 2 2" xfId="21441" xr:uid="{00000000-0005-0000-0000-00005D690000}"/>
    <cellStyle name="40% - Accent3 3 3 2 2 4 2 2 2" xfId="44043" xr:uid="{00000000-0005-0000-0000-00005E690000}"/>
    <cellStyle name="40% - Accent3 3 3 2 2 4 2 3" xfId="32742" xr:uid="{00000000-0005-0000-0000-00005F690000}"/>
    <cellStyle name="40% - Accent3 3 3 2 2 4 3" xfId="15791" xr:uid="{00000000-0005-0000-0000-000060690000}"/>
    <cellStyle name="40% - Accent3 3 3 2 2 4 3 2" xfId="38393" xr:uid="{00000000-0005-0000-0000-000061690000}"/>
    <cellStyle name="40% - Accent3 3 3 2 2 4 4" xfId="27092" xr:uid="{00000000-0005-0000-0000-000062690000}"/>
    <cellStyle name="40% - Accent3 3 3 2 2 5" xfId="7286" xr:uid="{00000000-0005-0000-0000-000063690000}"/>
    <cellStyle name="40% - Accent3 3 3 2 2 5 2" xfId="18587" xr:uid="{00000000-0005-0000-0000-000064690000}"/>
    <cellStyle name="40% - Accent3 3 3 2 2 5 2 2" xfId="41189" xr:uid="{00000000-0005-0000-0000-000065690000}"/>
    <cellStyle name="40% - Accent3 3 3 2 2 5 3" xfId="29888" xr:uid="{00000000-0005-0000-0000-000066690000}"/>
    <cellStyle name="40% - Accent3 3 3 2 2 6" xfId="12937" xr:uid="{00000000-0005-0000-0000-000067690000}"/>
    <cellStyle name="40% - Accent3 3 3 2 2 6 2" xfId="35539" xr:uid="{00000000-0005-0000-0000-000068690000}"/>
    <cellStyle name="40% - Accent3 3 3 2 2 7" xfId="24238" xr:uid="{00000000-0005-0000-0000-000069690000}"/>
    <cellStyle name="40% - Accent3 3 3 2 3" xfId="1005" xr:uid="{00000000-0005-0000-0000-00006A690000}"/>
    <cellStyle name="40% - Accent3 3 3 2 3 2" xfId="3068" xr:uid="{00000000-0005-0000-0000-00006B690000}"/>
    <cellStyle name="40% - Accent3 3 3 2 3 2 2" xfId="6040" xr:uid="{00000000-0005-0000-0000-00006C690000}"/>
    <cellStyle name="40% - Accent3 3 3 2 3 2 2 2" xfId="11690" xr:uid="{00000000-0005-0000-0000-00006D690000}"/>
    <cellStyle name="40% - Accent3 3 3 2 3 2 2 2 2" xfId="22991" xr:uid="{00000000-0005-0000-0000-00006E690000}"/>
    <cellStyle name="40% - Accent3 3 3 2 3 2 2 2 2 2" xfId="45593" xr:uid="{00000000-0005-0000-0000-00006F690000}"/>
    <cellStyle name="40% - Accent3 3 3 2 3 2 2 2 3" xfId="34292" xr:uid="{00000000-0005-0000-0000-000070690000}"/>
    <cellStyle name="40% - Accent3 3 3 2 3 2 2 3" xfId="17341" xr:uid="{00000000-0005-0000-0000-000071690000}"/>
    <cellStyle name="40% - Accent3 3 3 2 3 2 2 3 2" xfId="39943" xr:uid="{00000000-0005-0000-0000-000072690000}"/>
    <cellStyle name="40% - Accent3 3 3 2 3 2 2 4" xfId="28642" xr:uid="{00000000-0005-0000-0000-000073690000}"/>
    <cellStyle name="40% - Accent3 3 3 2 3 2 3" xfId="8858" xr:uid="{00000000-0005-0000-0000-000074690000}"/>
    <cellStyle name="40% - Accent3 3 3 2 3 2 3 2" xfId="20159" xr:uid="{00000000-0005-0000-0000-000075690000}"/>
    <cellStyle name="40% - Accent3 3 3 2 3 2 3 2 2" xfId="42761" xr:uid="{00000000-0005-0000-0000-000076690000}"/>
    <cellStyle name="40% - Accent3 3 3 2 3 2 3 3" xfId="31460" xr:uid="{00000000-0005-0000-0000-000077690000}"/>
    <cellStyle name="40% - Accent3 3 3 2 3 2 4" xfId="14509" xr:uid="{00000000-0005-0000-0000-000078690000}"/>
    <cellStyle name="40% - Accent3 3 3 2 3 2 4 2" xfId="37111" xr:uid="{00000000-0005-0000-0000-000079690000}"/>
    <cellStyle name="40% - Accent3 3 3 2 3 2 5" xfId="25810" xr:uid="{00000000-0005-0000-0000-00007A690000}"/>
    <cellStyle name="40% - Accent3 3 3 2 3 3" xfId="4806" xr:uid="{00000000-0005-0000-0000-00007B690000}"/>
    <cellStyle name="40% - Accent3 3 3 2 3 3 2" xfId="10456" xr:uid="{00000000-0005-0000-0000-00007C690000}"/>
    <cellStyle name="40% - Accent3 3 3 2 3 3 2 2" xfId="21757" xr:uid="{00000000-0005-0000-0000-00007D690000}"/>
    <cellStyle name="40% - Accent3 3 3 2 3 3 2 2 2" xfId="44359" xr:uid="{00000000-0005-0000-0000-00007E690000}"/>
    <cellStyle name="40% - Accent3 3 3 2 3 3 2 3" xfId="33058" xr:uid="{00000000-0005-0000-0000-00007F690000}"/>
    <cellStyle name="40% - Accent3 3 3 2 3 3 3" xfId="16107" xr:uid="{00000000-0005-0000-0000-000080690000}"/>
    <cellStyle name="40% - Accent3 3 3 2 3 3 3 2" xfId="38709" xr:uid="{00000000-0005-0000-0000-000081690000}"/>
    <cellStyle name="40% - Accent3 3 3 2 3 3 4" xfId="27408" xr:uid="{00000000-0005-0000-0000-000082690000}"/>
    <cellStyle name="40% - Accent3 3 3 2 3 4" xfId="6993" xr:uid="{00000000-0005-0000-0000-000083690000}"/>
    <cellStyle name="40% - Accent3 3 3 2 3 4 2" xfId="18294" xr:uid="{00000000-0005-0000-0000-000084690000}"/>
    <cellStyle name="40% - Accent3 3 3 2 3 4 2 2" xfId="40896" xr:uid="{00000000-0005-0000-0000-000085690000}"/>
    <cellStyle name="40% - Accent3 3 3 2 3 4 3" xfId="29595" xr:uid="{00000000-0005-0000-0000-000086690000}"/>
    <cellStyle name="40% - Accent3 3 3 2 3 5" xfId="12644" xr:uid="{00000000-0005-0000-0000-000087690000}"/>
    <cellStyle name="40% - Accent3 3 3 2 3 5 2" xfId="35246" xr:uid="{00000000-0005-0000-0000-000088690000}"/>
    <cellStyle name="40% - Accent3 3 3 2 3 6" xfId="23945" xr:uid="{00000000-0005-0000-0000-000089690000}"/>
    <cellStyle name="40% - Accent3 3 3 2 4" xfId="1851" xr:uid="{00000000-0005-0000-0000-00008A690000}"/>
    <cellStyle name="40% - Accent3 3 3 2 4 2" xfId="3697" xr:uid="{00000000-0005-0000-0000-00008B690000}"/>
    <cellStyle name="40% - Accent3 3 3 2 4 2 2" xfId="9407" xr:uid="{00000000-0005-0000-0000-00008C690000}"/>
    <cellStyle name="40% - Accent3 3 3 2 4 2 2 2" xfId="20708" xr:uid="{00000000-0005-0000-0000-00008D690000}"/>
    <cellStyle name="40% - Accent3 3 3 2 4 2 2 2 2" xfId="43310" xr:uid="{00000000-0005-0000-0000-00008E690000}"/>
    <cellStyle name="40% - Accent3 3 3 2 4 2 2 3" xfId="32009" xr:uid="{00000000-0005-0000-0000-00008F690000}"/>
    <cellStyle name="40% - Accent3 3 3 2 4 2 3" xfId="15058" xr:uid="{00000000-0005-0000-0000-000090690000}"/>
    <cellStyle name="40% - Accent3 3 3 2 4 2 3 2" xfId="37660" xr:uid="{00000000-0005-0000-0000-000091690000}"/>
    <cellStyle name="40% - Accent3 3 3 2 4 2 4" xfId="26359" xr:uid="{00000000-0005-0000-0000-000092690000}"/>
    <cellStyle name="40% - Accent3 3 3 2 4 3" xfId="5416" xr:uid="{00000000-0005-0000-0000-000093690000}"/>
    <cellStyle name="40% - Accent3 3 3 2 4 3 2" xfId="11066" xr:uid="{00000000-0005-0000-0000-000094690000}"/>
    <cellStyle name="40% - Accent3 3 3 2 4 3 2 2" xfId="22367" xr:uid="{00000000-0005-0000-0000-000095690000}"/>
    <cellStyle name="40% - Accent3 3 3 2 4 3 2 2 2" xfId="44969" xr:uid="{00000000-0005-0000-0000-000096690000}"/>
    <cellStyle name="40% - Accent3 3 3 2 4 3 2 3" xfId="33668" xr:uid="{00000000-0005-0000-0000-000097690000}"/>
    <cellStyle name="40% - Accent3 3 3 2 4 3 3" xfId="16717" xr:uid="{00000000-0005-0000-0000-000098690000}"/>
    <cellStyle name="40% - Accent3 3 3 2 4 3 3 2" xfId="39319" xr:uid="{00000000-0005-0000-0000-000099690000}"/>
    <cellStyle name="40% - Accent3 3 3 2 4 3 4" xfId="28018" xr:uid="{00000000-0005-0000-0000-00009A690000}"/>
    <cellStyle name="40% - Accent3 3 3 2 4 4" xfId="7707" xr:uid="{00000000-0005-0000-0000-00009B690000}"/>
    <cellStyle name="40% - Accent3 3 3 2 4 4 2" xfId="19008" xr:uid="{00000000-0005-0000-0000-00009C690000}"/>
    <cellStyle name="40% - Accent3 3 3 2 4 4 2 2" xfId="41610" xr:uid="{00000000-0005-0000-0000-00009D690000}"/>
    <cellStyle name="40% - Accent3 3 3 2 4 4 3" xfId="30309" xr:uid="{00000000-0005-0000-0000-00009E690000}"/>
    <cellStyle name="40% - Accent3 3 3 2 4 5" xfId="13358" xr:uid="{00000000-0005-0000-0000-00009F690000}"/>
    <cellStyle name="40% - Accent3 3 3 2 4 5 2" xfId="35960" xr:uid="{00000000-0005-0000-0000-0000A0690000}"/>
    <cellStyle name="40% - Accent3 3 3 2 4 6" xfId="24659" xr:uid="{00000000-0005-0000-0000-0000A1690000}"/>
    <cellStyle name="40% - Accent3 3 3 2 5" xfId="2397" xr:uid="{00000000-0005-0000-0000-0000A2690000}"/>
    <cellStyle name="40% - Accent3 3 3 2 5 2" xfId="8233" xr:uid="{00000000-0005-0000-0000-0000A3690000}"/>
    <cellStyle name="40% - Accent3 3 3 2 5 2 2" xfId="19534" xr:uid="{00000000-0005-0000-0000-0000A4690000}"/>
    <cellStyle name="40% - Accent3 3 3 2 5 2 2 2" xfId="42136" xr:uid="{00000000-0005-0000-0000-0000A5690000}"/>
    <cellStyle name="40% - Accent3 3 3 2 5 2 3" xfId="30835" xr:uid="{00000000-0005-0000-0000-0000A6690000}"/>
    <cellStyle name="40% - Accent3 3 3 2 5 3" xfId="13884" xr:uid="{00000000-0005-0000-0000-0000A7690000}"/>
    <cellStyle name="40% - Accent3 3 3 2 5 3 2" xfId="36486" xr:uid="{00000000-0005-0000-0000-0000A8690000}"/>
    <cellStyle name="40% - Accent3 3 3 2 5 4" xfId="25185" xr:uid="{00000000-0005-0000-0000-0000A9690000}"/>
    <cellStyle name="40% - Accent3 3 3 2 6" xfId="4182" xr:uid="{00000000-0005-0000-0000-0000AA690000}"/>
    <cellStyle name="40% - Accent3 3 3 2 6 2" xfId="9832" xr:uid="{00000000-0005-0000-0000-0000AB690000}"/>
    <cellStyle name="40% - Accent3 3 3 2 6 2 2" xfId="21133" xr:uid="{00000000-0005-0000-0000-0000AC690000}"/>
    <cellStyle name="40% - Accent3 3 3 2 6 2 2 2" xfId="43735" xr:uid="{00000000-0005-0000-0000-0000AD690000}"/>
    <cellStyle name="40% - Accent3 3 3 2 6 2 3" xfId="32434" xr:uid="{00000000-0005-0000-0000-0000AE690000}"/>
    <cellStyle name="40% - Accent3 3 3 2 6 3" xfId="15483" xr:uid="{00000000-0005-0000-0000-0000AF690000}"/>
    <cellStyle name="40% - Accent3 3 3 2 6 3 2" xfId="38085" xr:uid="{00000000-0005-0000-0000-0000B0690000}"/>
    <cellStyle name="40% - Accent3 3 3 2 6 4" xfId="26784" xr:uid="{00000000-0005-0000-0000-0000B1690000}"/>
    <cellStyle name="40% - Accent3 3 3 2 7" xfId="6662" xr:uid="{00000000-0005-0000-0000-0000B2690000}"/>
    <cellStyle name="40% - Accent3 3 3 2 7 2" xfId="17963" xr:uid="{00000000-0005-0000-0000-0000B3690000}"/>
    <cellStyle name="40% - Accent3 3 3 2 7 2 2" xfId="40565" xr:uid="{00000000-0005-0000-0000-0000B4690000}"/>
    <cellStyle name="40% - Accent3 3 3 2 7 3" xfId="29264" xr:uid="{00000000-0005-0000-0000-0000B5690000}"/>
    <cellStyle name="40% - Accent3 3 3 2 8" xfId="12313" xr:uid="{00000000-0005-0000-0000-0000B6690000}"/>
    <cellStyle name="40% - Accent3 3 3 2 8 2" xfId="34915" xr:uid="{00000000-0005-0000-0000-0000B7690000}"/>
    <cellStyle name="40% - Accent3 3 3 2 9" xfId="23614" xr:uid="{00000000-0005-0000-0000-0000B8690000}"/>
    <cellStyle name="40% - Accent3 3 3 3" xfId="1169" xr:uid="{00000000-0005-0000-0000-0000B9690000}"/>
    <cellStyle name="40% - Accent3 3 3 3 2" xfId="1853" xr:uid="{00000000-0005-0000-0000-0000BA690000}"/>
    <cellStyle name="40% - Accent3 3 3 3 2 2" xfId="3237" xr:uid="{00000000-0005-0000-0000-0000BB690000}"/>
    <cellStyle name="40% - Accent3 3 3 3 2 2 2" xfId="6209" xr:uid="{00000000-0005-0000-0000-0000BC690000}"/>
    <cellStyle name="40% - Accent3 3 3 3 2 2 2 2" xfId="11859" xr:uid="{00000000-0005-0000-0000-0000BD690000}"/>
    <cellStyle name="40% - Accent3 3 3 3 2 2 2 2 2" xfId="23160" xr:uid="{00000000-0005-0000-0000-0000BE690000}"/>
    <cellStyle name="40% - Accent3 3 3 3 2 2 2 2 2 2" xfId="45762" xr:uid="{00000000-0005-0000-0000-0000BF690000}"/>
    <cellStyle name="40% - Accent3 3 3 3 2 2 2 2 3" xfId="34461" xr:uid="{00000000-0005-0000-0000-0000C0690000}"/>
    <cellStyle name="40% - Accent3 3 3 3 2 2 2 3" xfId="17510" xr:uid="{00000000-0005-0000-0000-0000C1690000}"/>
    <cellStyle name="40% - Accent3 3 3 3 2 2 2 3 2" xfId="40112" xr:uid="{00000000-0005-0000-0000-0000C2690000}"/>
    <cellStyle name="40% - Accent3 3 3 3 2 2 2 4" xfId="28811" xr:uid="{00000000-0005-0000-0000-0000C3690000}"/>
    <cellStyle name="40% - Accent3 3 3 3 2 2 3" xfId="9027" xr:uid="{00000000-0005-0000-0000-0000C4690000}"/>
    <cellStyle name="40% - Accent3 3 3 3 2 2 3 2" xfId="20328" xr:uid="{00000000-0005-0000-0000-0000C5690000}"/>
    <cellStyle name="40% - Accent3 3 3 3 2 2 3 2 2" xfId="42930" xr:uid="{00000000-0005-0000-0000-0000C6690000}"/>
    <cellStyle name="40% - Accent3 3 3 3 2 2 3 3" xfId="31629" xr:uid="{00000000-0005-0000-0000-0000C7690000}"/>
    <cellStyle name="40% - Accent3 3 3 3 2 2 4" xfId="14678" xr:uid="{00000000-0005-0000-0000-0000C8690000}"/>
    <cellStyle name="40% - Accent3 3 3 3 2 2 4 2" xfId="37280" xr:uid="{00000000-0005-0000-0000-0000C9690000}"/>
    <cellStyle name="40% - Accent3 3 3 3 2 2 5" xfId="25979" xr:uid="{00000000-0005-0000-0000-0000CA690000}"/>
    <cellStyle name="40% - Accent3 3 3 3 2 3" xfId="4975" xr:uid="{00000000-0005-0000-0000-0000CB690000}"/>
    <cellStyle name="40% - Accent3 3 3 3 2 3 2" xfId="10625" xr:uid="{00000000-0005-0000-0000-0000CC690000}"/>
    <cellStyle name="40% - Accent3 3 3 3 2 3 2 2" xfId="21926" xr:uid="{00000000-0005-0000-0000-0000CD690000}"/>
    <cellStyle name="40% - Accent3 3 3 3 2 3 2 2 2" xfId="44528" xr:uid="{00000000-0005-0000-0000-0000CE690000}"/>
    <cellStyle name="40% - Accent3 3 3 3 2 3 2 3" xfId="33227" xr:uid="{00000000-0005-0000-0000-0000CF690000}"/>
    <cellStyle name="40% - Accent3 3 3 3 2 3 3" xfId="16276" xr:uid="{00000000-0005-0000-0000-0000D0690000}"/>
    <cellStyle name="40% - Accent3 3 3 3 2 3 3 2" xfId="38878" xr:uid="{00000000-0005-0000-0000-0000D1690000}"/>
    <cellStyle name="40% - Accent3 3 3 3 2 3 4" xfId="27577" xr:uid="{00000000-0005-0000-0000-0000D2690000}"/>
    <cellStyle name="40% - Accent3 3 3 3 2 4" xfId="7709" xr:uid="{00000000-0005-0000-0000-0000D3690000}"/>
    <cellStyle name="40% - Accent3 3 3 3 2 4 2" xfId="19010" xr:uid="{00000000-0005-0000-0000-0000D4690000}"/>
    <cellStyle name="40% - Accent3 3 3 3 2 4 2 2" xfId="41612" xr:uid="{00000000-0005-0000-0000-0000D5690000}"/>
    <cellStyle name="40% - Accent3 3 3 3 2 4 3" xfId="30311" xr:uid="{00000000-0005-0000-0000-0000D6690000}"/>
    <cellStyle name="40% - Accent3 3 3 3 2 5" xfId="13360" xr:uid="{00000000-0005-0000-0000-0000D7690000}"/>
    <cellStyle name="40% - Accent3 3 3 3 2 5 2" xfId="35962" xr:uid="{00000000-0005-0000-0000-0000D8690000}"/>
    <cellStyle name="40% - Accent3 3 3 3 2 6" xfId="24661" xr:uid="{00000000-0005-0000-0000-0000D9690000}"/>
    <cellStyle name="40% - Accent3 3 3 3 3" xfId="2566" xr:uid="{00000000-0005-0000-0000-0000DA690000}"/>
    <cellStyle name="40% - Accent3 3 3 3 3 2" xfId="5585" xr:uid="{00000000-0005-0000-0000-0000DB690000}"/>
    <cellStyle name="40% - Accent3 3 3 3 3 2 2" xfId="11235" xr:uid="{00000000-0005-0000-0000-0000DC690000}"/>
    <cellStyle name="40% - Accent3 3 3 3 3 2 2 2" xfId="22536" xr:uid="{00000000-0005-0000-0000-0000DD690000}"/>
    <cellStyle name="40% - Accent3 3 3 3 3 2 2 2 2" xfId="45138" xr:uid="{00000000-0005-0000-0000-0000DE690000}"/>
    <cellStyle name="40% - Accent3 3 3 3 3 2 2 3" xfId="33837" xr:uid="{00000000-0005-0000-0000-0000DF690000}"/>
    <cellStyle name="40% - Accent3 3 3 3 3 2 3" xfId="16886" xr:uid="{00000000-0005-0000-0000-0000E0690000}"/>
    <cellStyle name="40% - Accent3 3 3 3 3 2 3 2" xfId="39488" xr:uid="{00000000-0005-0000-0000-0000E1690000}"/>
    <cellStyle name="40% - Accent3 3 3 3 3 2 4" xfId="28187" xr:uid="{00000000-0005-0000-0000-0000E2690000}"/>
    <cellStyle name="40% - Accent3 3 3 3 3 3" xfId="8402" xr:uid="{00000000-0005-0000-0000-0000E3690000}"/>
    <cellStyle name="40% - Accent3 3 3 3 3 3 2" xfId="19703" xr:uid="{00000000-0005-0000-0000-0000E4690000}"/>
    <cellStyle name="40% - Accent3 3 3 3 3 3 2 2" xfId="42305" xr:uid="{00000000-0005-0000-0000-0000E5690000}"/>
    <cellStyle name="40% - Accent3 3 3 3 3 3 3" xfId="31004" xr:uid="{00000000-0005-0000-0000-0000E6690000}"/>
    <cellStyle name="40% - Accent3 3 3 3 3 4" xfId="14053" xr:uid="{00000000-0005-0000-0000-0000E7690000}"/>
    <cellStyle name="40% - Accent3 3 3 3 3 4 2" xfId="36655" xr:uid="{00000000-0005-0000-0000-0000E8690000}"/>
    <cellStyle name="40% - Accent3 3 3 3 3 5" xfId="25354" xr:uid="{00000000-0005-0000-0000-0000E9690000}"/>
    <cellStyle name="40% - Accent3 3 3 3 4" xfId="4351" xr:uid="{00000000-0005-0000-0000-0000EA690000}"/>
    <cellStyle name="40% - Accent3 3 3 3 4 2" xfId="10001" xr:uid="{00000000-0005-0000-0000-0000EB690000}"/>
    <cellStyle name="40% - Accent3 3 3 3 4 2 2" xfId="21302" xr:uid="{00000000-0005-0000-0000-0000EC690000}"/>
    <cellStyle name="40% - Accent3 3 3 3 4 2 2 2" xfId="43904" xr:uid="{00000000-0005-0000-0000-0000ED690000}"/>
    <cellStyle name="40% - Accent3 3 3 3 4 2 3" xfId="32603" xr:uid="{00000000-0005-0000-0000-0000EE690000}"/>
    <cellStyle name="40% - Accent3 3 3 3 4 3" xfId="15652" xr:uid="{00000000-0005-0000-0000-0000EF690000}"/>
    <cellStyle name="40% - Accent3 3 3 3 4 3 2" xfId="38254" xr:uid="{00000000-0005-0000-0000-0000F0690000}"/>
    <cellStyle name="40% - Accent3 3 3 3 4 4" xfId="26953" xr:uid="{00000000-0005-0000-0000-0000F1690000}"/>
    <cellStyle name="40% - Accent3 3 3 3 5" xfId="7148" xr:uid="{00000000-0005-0000-0000-0000F2690000}"/>
    <cellStyle name="40% - Accent3 3 3 3 5 2" xfId="18449" xr:uid="{00000000-0005-0000-0000-0000F3690000}"/>
    <cellStyle name="40% - Accent3 3 3 3 5 2 2" xfId="41051" xr:uid="{00000000-0005-0000-0000-0000F4690000}"/>
    <cellStyle name="40% - Accent3 3 3 3 5 3" xfId="29750" xr:uid="{00000000-0005-0000-0000-0000F5690000}"/>
    <cellStyle name="40% - Accent3 3 3 3 6" xfId="12799" xr:uid="{00000000-0005-0000-0000-0000F6690000}"/>
    <cellStyle name="40% - Accent3 3 3 3 6 2" xfId="35401" xr:uid="{00000000-0005-0000-0000-0000F7690000}"/>
    <cellStyle name="40% - Accent3 3 3 3 7" xfId="24100" xr:uid="{00000000-0005-0000-0000-0000F8690000}"/>
    <cellStyle name="40% - Accent3 3 3 4" xfId="860" xr:uid="{00000000-0005-0000-0000-0000F9690000}"/>
    <cellStyle name="40% - Accent3 3 3 4 2" xfId="2930" xr:uid="{00000000-0005-0000-0000-0000FA690000}"/>
    <cellStyle name="40% - Accent3 3 3 4 2 2" xfId="5902" xr:uid="{00000000-0005-0000-0000-0000FB690000}"/>
    <cellStyle name="40% - Accent3 3 3 4 2 2 2" xfId="11552" xr:uid="{00000000-0005-0000-0000-0000FC690000}"/>
    <cellStyle name="40% - Accent3 3 3 4 2 2 2 2" xfId="22853" xr:uid="{00000000-0005-0000-0000-0000FD690000}"/>
    <cellStyle name="40% - Accent3 3 3 4 2 2 2 2 2" xfId="45455" xr:uid="{00000000-0005-0000-0000-0000FE690000}"/>
    <cellStyle name="40% - Accent3 3 3 4 2 2 2 3" xfId="34154" xr:uid="{00000000-0005-0000-0000-0000FF690000}"/>
    <cellStyle name="40% - Accent3 3 3 4 2 2 3" xfId="17203" xr:uid="{00000000-0005-0000-0000-0000006A0000}"/>
    <cellStyle name="40% - Accent3 3 3 4 2 2 3 2" xfId="39805" xr:uid="{00000000-0005-0000-0000-0000016A0000}"/>
    <cellStyle name="40% - Accent3 3 3 4 2 2 4" xfId="28504" xr:uid="{00000000-0005-0000-0000-0000026A0000}"/>
    <cellStyle name="40% - Accent3 3 3 4 2 3" xfId="8720" xr:uid="{00000000-0005-0000-0000-0000036A0000}"/>
    <cellStyle name="40% - Accent3 3 3 4 2 3 2" xfId="20021" xr:uid="{00000000-0005-0000-0000-0000046A0000}"/>
    <cellStyle name="40% - Accent3 3 3 4 2 3 2 2" xfId="42623" xr:uid="{00000000-0005-0000-0000-0000056A0000}"/>
    <cellStyle name="40% - Accent3 3 3 4 2 3 3" xfId="31322" xr:uid="{00000000-0005-0000-0000-0000066A0000}"/>
    <cellStyle name="40% - Accent3 3 3 4 2 4" xfId="14371" xr:uid="{00000000-0005-0000-0000-0000076A0000}"/>
    <cellStyle name="40% - Accent3 3 3 4 2 4 2" xfId="36973" xr:uid="{00000000-0005-0000-0000-0000086A0000}"/>
    <cellStyle name="40% - Accent3 3 3 4 2 5" xfId="25672" xr:uid="{00000000-0005-0000-0000-0000096A0000}"/>
    <cellStyle name="40% - Accent3 3 3 4 3" xfId="4668" xr:uid="{00000000-0005-0000-0000-00000A6A0000}"/>
    <cellStyle name="40% - Accent3 3 3 4 3 2" xfId="10318" xr:uid="{00000000-0005-0000-0000-00000B6A0000}"/>
    <cellStyle name="40% - Accent3 3 3 4 3 2 2" xfId="21619" xr:uid="{00000000-0005-0000-0000-00000C6A0000}"/>
    <cellStyle name="40% - Accent3 3 3 4 3 2 2 2" xfId="44221" xr:uid="{00000000-0005-0000-0000-00000D6A0000}"/>
    <cellStyle name="40% - Accent3 3 3 4 3 2 3" xfId="32920" xr:uid="{00000000-0005-0000-0000-00000E6A0000}"/>
    <cellStyle name="40% - Accent3 3 3 4 3 3" xfId="15969" xr:uid="{00000000-0005-0000-0000-00000F6A0000}"/>
    <cellStyle name="40% - Accent3 3 3 4 3 3 2" xfId="38571" xr:uid="{00000000-0005-0000-0000-0000106A0000}"/>
    <cellStyle name="40% - Accent3 3 3 4 3 4" xfId="27270" xr:uid="{00000000-0005-0000-0000-0000116A0000}"/>
    <cellStyle name="40% - Accent3 3 3 4 4" xfId="6855" xr:uid="{00000000-0005-0000-0000-0000126A0000}"/>
    <cellStyle name="40% - Accent3 3 3 4 4 2" xfId="18156" xr:uid="{00000000-0005-0000-0000-0000136A0000}"/>
    <cellStyle name="40% - Accent3 3 3 4 4 2 2" xfId="40758" xr:uid="{00000000-0005-0000-0000-0000146A0000}"/>
    <cellStyle name="40% - Accent3 3 3 4 4 3" xfId="29457" xr:uid="{00000000-0005-0000-0000-0000156A0000}"/>
    <cellStyle name="40% - Accent3 3 3 4 5" xfId="12506" xr:uid="{00000000-0005-0000-0000-0000166A0000}"/>
    <cellStyle name="40% - Accent3 3 3 4 5 2" xfId="35108" xr:uid="{00000000-0005-0000-0000-0000176A0000}"/>
    <cellStyle name="40% - Accent3 3 3 4 6" xfId="23807" xr:uid="{00000000-0005-0000-0000-0000186A0000}"/>
    <cellStyle name="40% - Accent3 3 3 5" xfId="1850" xr:uid="{00000000-0005-0000-0000-0000196A0000}"/>
    <cellStyle name="40% - Accent3 3 3 5 2" xfId="3696" xr:uid="{00000000-0005-0000-0000-00001A6A0000}"/>
    <cellStyle name="40% - Accent3 3 3 5 2 2" xfId="9406" xr:uid="{00000000-0005-0000-0000-00001B6A0000}"/>
    <cellStyle name="40% - Accent3 3 3 5 2 2 2" xfId="20707" xr:uid="{00000000-0005-0000-0000-00001C6A0000}"/>
    <cellStyle name="40% - Accent3 3 3 5 2 2 2 2" xfId="43309" xr:uid="{00000000-0005-0000-0000-00001D6A0000}"/>
    <cellStyle name="40% - Accent3 3 3 5 2 2 3" xfId="32008" xr:uid="{00000000-0005-0000-0000-00001E6A0000}"/>
    <cellStyle name="40% - Accent3 3 3 5 2 3" xfId="15057" xr:uid="{00000000-0005-0000-0000-00001F6A0000}"/>
    <cellStyle name="40% - Accent3 3 3 5 2 3 2" xfId="37659" xr:uid="{00000000-0005-0000-0000-0000206A0000}"/>
    <cellStyle name="40% - Accent3 3 3 5 2 4" xfId="26358" xr:uid="{00000000-0005-0000-0000-0000216A0000}"/>
    <cellStyle name="40% - Accent3 3 3 5 3" xfId="5278" xr:uid="{00000000-0005-0000-0000-0000226A0000}"/>
    <cellStyle name="40% - Accent3 3 3 5 3 2" xfId="10928" xr:uid="{00000000-0005-0000-0000-0000236A0000}"/>
    <cellStyle name="40% - Accent3 3 3 5 3 2 2" xfId="22229" xr:uid="{00000000-0005-0000-0000-0000246A0000}"/>
    <cellStyle name="40% - Accent3 3 3 5 3 2 2 2" xfId="44831" xr:uid="{00000000-0005-0000-0000-0000256A0000}"/>
    <cellStyle name="40% - Accent3 3 3 5 3 2 3" xfId="33530" xr:uid="{00000000-0005-0000-0000-0000266A0000}"/>
    <cellStyle name="40% - Accent3 3 3 5 3 3" xfId="16579" xr:uid="{00000000-0005-0000-0000-0000276A0000}"/>
    <cellStyle name="40% - Accent3 3 3 5 3 3 2" xfId="39181" xr:uid="{00000000-0005-0000-0000-0000286A0000}"/>
    <cellStyle name="40% - Accent3 3 3 5 3 4" xfId="27880" xr:uid="{00000000-0005-0000-0000-0000296A0000}"/>
    <cellStyle name="40% - Accent3 3 3 5 4" xfId="7706" xr:uid="{00000000-0005-0000-0000-00002A6A0000}"/>
    <cellStyle name="40% - Accent3 3 3 5 4 2" xfId="19007" xr:uid="{00000000-0005-0000-0000-00002B6A0000}"/>
    <cellStyle name="40% - Accent3 3 3 5 4 2 2" xfId="41609" xr:uid="{00000000-0005-0000-0000-00002C6A0000}"/>
    <cellStyle name="40% - Accent3 3 3 5 4 3" xfId="30308" xr:uid="{00000000-0005-0000-0000-00002D6A0000}"/>
    <cellStyle name="40% - Accent3 3 3 5 5" xfId="13357" xr:uid="{00000000-0005-0000-0000-00002E6A0000}"/>
    <cellStyle name="40% - Accent3 3 3 5 5 2" xfId="35959" xr:uid="{00000000-0005-0000-0000-00002F6A0000}"/>
    <cellStyle name="40% - Accent3 3 3 5 6" xfId="24658" xr:uid="{00000000-0005-0000-0000-0000306A0000}"/>
    <cellStyle name="40% - Accent3 3 3 6" xfId="2257" xr:uid="{00000000-0005-0000-0000-0000316A0000}"/>
    <cellStyle name="40% - Accent3 3 3 6 2" xfId="8093" xr:uid="{00000000-0005-0000-0000-0000326A0000}"/>
    <cellStyle name="40% - Accent3 3 3 6 2 2" xfId="19394" xr:uid="{00000000-0005-0000-0000-0000336A0000}"/>
    <cellStyle name="40% - Accent3 3 3 6 2 2 2" xfId="41996" xr:uid="{00000000-0005-0000-0000-0000346A0000}"/>
    <cellStyle name="40% - Accent3 3 3 6 2 3" xfId="30695" xr:uid="{00000000-0005-0000-0000-0000356A0000}"/>
    <cellStyle name="40% - Accent3 3 3 6 3" xfId="13744" xr:uid="{00000000-0005-0000-0000-0000366A0000}"/>
    <cellStyle name="40% - Accent3 3 3 6 3 2" xfId="36346" xr:uid="{00000000-0005-0000-0000-0000376A0000}"/>
    <cellStyle name="40% - Accent3 3 3 6 4" xfId="25045" xr:uid="{00000000-0005-0000-0000-0000386A0000}"/>
    <cellStyle name="40% - Accent3 3 3 7" xfId="4044" xr:uid="{00000000-0005-0000-0000-0000396A0000}"/>
    <cellStyle name="40% - Accent3 3 3 7 2" xfId="9694" xr:uid="{00000000-0005-0000-0000-00003A6A0000}"/>
    <cellStyle name="40% - Accent3 3 3 7 2 2" xfId="20995" xr:uid="{00000000-0005-0000-0000-00003B6A0000}"/>
    <cellStyle name="40% - Accent3 3 3 7 2 2 2" xfId="43597" xr:uid="{00000000-0005-0000-0000-00003C6A0000}"/>
    <cellStyle name="40% - Accent3 3 3 7 2 3" xfId="32296" xr:uid="{00000000-0005-0000-0000-00003D6A0000}"/>
    <cellStyle name="40% - Accent3 3 3 7 3" xfId="15345" xr:uid="{00000000-0005-0000-0000-00003E6A0000}"/>
    <cellStyle name="40% - Accent3 3 3 7 3 2" xfId="37947" xr:uid="{00000000-0005-0000-0000-00003F6A0000}"/>
    <cellStyle name="40% - Accent3 3 3 7 4" xfId="26646" xr:uid="{00000000-0005-0000-0000-0000406A0000}"/>
    <cellStyle name="40% - Accent3 3 3 8" xfId="6495" xr:uid="{00000000-0005-0000-0000-0000416A0000}"/>
    <cellStyle name="40% - Accent3 3 3 8 2" xfId="17796" xr:uid="{00000000-0005-0000-0000-0000426A0000}"/>
    <cellStyle name="40% - Accent3 3 3 8 2 2" xfId="40398" xr:uid="{00000000-0005-0000-0000-0000436A0000}"/>
    <cellStyle name="40% - Accent3 3 3 8 3" xfId="29097" xr:uid="{00000000-0005-0000-0000-0000446A0000}"/>
    <cellStyle name="40% - Accent3 3 3 9" xfId="12146" xr:uid="{00000000-0005-0000-0000-0000456A0000}"/>
    <cellStyle name="40% - Accent3 3 3 9 2" xfId="34748" xr:uid="{00000000-0005-0000-0000-0000466A0000}"/>
    <cellStyle name="40% - Accent3 3 4" xfId="492" xr:uid="{00000000-0005-0000-0000-0000476A0000}"/>
    <cellStyle name="40% - Accent3 3 4 2" xfId="1073" xr:uid="{00000000-0005-0000-0000-0000486A0000}"/>
    <cellStyle name="40% - Accent3 3 4 2 2" xfId="1855" xr:uid="{00000000-0005-0000-0000-0000496A0000}"/>
    <cellStyle name="40% - Accent3 3 4 2 2 2" xfId="3140" xr:uid="{00000000-0005-0000-0000-00004A6A0000}"/>
    <cellStyle name="40% - Accent3 3 4 2 2 2 2" xfId="6112" xr:uid="{00000000-0005-0000-0000-00004B6A0000}"/>
    <cellStyle name="40% - Accent3 3 4 2 2 2 2 2" xfId="11762" xr:uid="{00000000-0005-0000-0000-00004C6A0000}"/>
    <cellStyle name="40% - Accent3 3 4 2 2 2 2 2 2" xfId="23063" xr:uid="{00000000-0005-0000-0000-00004D6A0000}"/>
    <cellStyle name="40% - Accent3 3 4 2 2 2 2 2 2 2" xfId="45665" xr:uid="{00000000-0005-0000-0000-00004E6A0000}"/>
    <cellStyle name="40% - Accent3 3 4 2 2 2 2 2 3" xfId="34364" xr:uid="{00000000-0005-0000-0000-00004F6A0000}"/>
    <cellStyle name="40% - Accent3 3 4 2 2 2 2 3" xfId="17413" xr:uid="{00000000-0005-0000-0000-0000506A0000}"/>
    <cellStyle name="40% - Accent3 3 4 2 2 2 2 3 2" xfId="40015" xr:uid="{00000000-0005-0000-0000-0000516A0000}"/>
    <cellStyle name="40% - Accent3 3 4 2 2 2 2 4" xfId="28714" xr:uid="{00000000-0005-0000-0000-0000526A0000}"/>
    <cellStyle name="40% - Accent3 3 4 2 2 2 3" xfId="8930" xr:uid="{00000000-0005-0000-0000-0000536A0000}"/>
    <cellStyle name="40% - Accent3 3 4 2 2 2 3 2" xfId="20231" xr:uid="{00000000-0005-0000-0000-0000546A0000}"/>
    <cellStyle name="40% - Accent3 3 4 2 2 2 3 2 2" xfId="42833" xr:uid="{00000000-0005-0000-0000-0000556A0000}"/>
    <cellStyle name="40% - Accent3 3 4 2 2 2 3 3" xfId="31532" xr:uid="{00000000-0005-0000-0000-0000566A0000}"/>
    <cellStyle name="40% - Accent3 3 4 2 2 2 4" xfId="14581" xr:uid="{00000000-0005-0000-0000-0000576A0000}"/>
    <cellStyle name="40% - Accent3 3 4 2 2 2 4 2" xfId="37183" xr:uid="{00000000-0005-0000-0000-0000586A0000}"/>
    <cellStyle name="40% - Accent3 3 4 2 2 2 5" xfId="25882" xr:uid="{00000000-0005-0000-0000-0000596A0000}"/>
    <cellStyle name="40% - Accent3 3 4 2 2 3" xfId="4878" xr:uid="{00000000-0005-0000-0000-00005A6A0000}"/>
    <cellStyle name="40% - Accent3 3 4 2 2 3 2" xfId="10528" xr:uid="{00000000-0005-0000-0000-00005B6A0000}"/>
    <cellStyle name="40% - Accent3 3 4 2 2 3 2 2" xfId="21829" xr:uid="{00000000-0005-0000-0000-00005C6A0000}"/>
    <cellStyle name="40% - Accent3 3 4 2 2 3 2 2 2" xfId="44431" xr:uid="{00000000-0005-0000-0000-00005D6A0000}"/>
    <cellStyle name="40% - Accent3 3 4 2 2 3 2 3" xfId="33130" xr:uid="{00000000-0005-0000-0000-00005E6A0000}"/>
    <cellStyle name="40% - Accent3 3 4 2 2 3 3" xfId="16179" xr:uid="{00000000-0005-0000-0000-00005F6A0000}"/>
    <cellStyle name="40% - Accent3 3 4 2 2 3 3 2" xfId="38781" xr:uid="{00000000-0005-0000-0000-0000606A0000}"/>
    <cellStyle name="40% - Accent3 3 4 2 2 3 4" xfId="27480" xr:uid="{00000000-0005-0000-0000-0000616A0000}"/>
    <cellStyle name="40% - Accent3 3 4 2 2 4" xfId="7711" xr:uid="{00000000-0005-0000-0000-0000626A0000}"/>
    <cellStyle name="40% - Accent3 3 4 2 2 4 2" xfId="19012" xr:uid="{00000000-0005-0000-0000-0000636A0000}"/>
    <cellStyle name="40% - Accent3 3 4 2 2 4 2 2" xfId="41614" xr:uid="{00000000-0005-0000-0000-0000646A0000}"/>
    <cellStyle name="40% - Accent3 3 4 2 2 4 3" xfId="30313" xr:uid="{00000000-0005-0000-0000-0000656A0000}"/>
    <cellStyle name="40% - Accent3 3 4 2 2 5" xfId="13362" xr:uid="{00000000-0005-0000-0000-0000666A0000}"/>
    <cellStyle name="40% - Accent3 3 4 2 2 5 2" xfId="35964" xr:uid="{00000000-0005-0000-0000-0000676A0000}"/>
    <cellStyle name="40% - Accent3 3 4 2 2 6" xfId="24663" xr:uid="{00000000-0005-0000-0000-0000686A0000}"/>
    <cellStyle name="40% - Accent3 3 4 2 3" xfId="2469" xr:uid="{00000000-0005-0000-0000-0000696A0000}"/>
    <cellStyle name="40% - Accent3 3 4 2 3 2" xfId="5488" xr:uid="{00000000-0005-0000-0000-00006A6A0000}"/>
    <cellStyle name="40% - Accent3 3 4 2 3 2 2" xfId="11138" xr:uid="{00000000-0005-0000-0000-00006B6A0000}"/>
    <cellStyle name="40% - Accent3 3 4 2 3 2 2 2" xfId="22439" xr:uid="{00000000-0005-0000-0000-00006C6A0000}"/>
    <cellStyle name="40% - Accent3 3 4 2 3 2 2 2 2" xfId="45041" xr:uid="{00000000-0005-0000-0000-00006D6A0000}"/>
    <cellStyle name="40% - Accent3 3 4 2 3 2 2 3" xfId="33740" xr:uid="{00000000-0005-0000-0000-00006E6A0000}"/>
    <cellStyle name="40% - Accent3 3 4 2 3 2 3" xfId="16789" xr:uid="{00000000-0005-0000-0000-00006F6A0000}"/>
    <cellStyle name="40% - Accent3 3 4 2 3 2 3 2" xfId="39391" xr:uid="{00000000-0005-0000-0000-0000706A0000}"/>
    <cellStyle name="40% - Accent3 3 4 2 3 2 4" xfId="28090" xr:uid="{00000000-0005-0000-0000-0000716A0000}"/>
    <cellStyle name="40% - Accent3 3 4 2 3 3" xfId="8305" xr:uid="{00000000-0005-0000-0000-0000726A0000}"/>
    <cellStyle name="40% - Accent3 3 4 2 3 3 2" xfId="19606" xr:uid="{00000000-0005-0000-0000-0000736A0000}"/>
    <cellStyle name="40% - Accent3 3 4 2 3 3 2 2" xfId="42208" xr:uid="{00000000-0005-0000-0000-0000746A0000}"/>
    <cellStyle name="40% - Accent3 3 4 2 3 3 3" xfId="30907" xr:uid="{00000000-0005-0000-0000-0000756A0000}"/>
    <cellStyle name="40% - Accent3 3 4 2 3 4" xfId="13956" xr:uid="{00000000-0005-0000-0000-0000766A0000}"/>
    <cellStyle name="40% - Accent3 3 4 2 3 4 2" xfId="36558" xr:uid="{00000000-0005-0000-0000-0000776A0000}"/>
    <cellStyle name="40% - Accent3 3 4 2 3 5" xfId="25257" xr:uid="{00000000-0005-0000-0000-0000786A0000}"/>
    <cellStyle name="40% - Accent3 3 4 2 4" xfId="4254" xr:uid="{00000000-0005-0000-0000-0000796A0000}"/>
    <cellStyle name="40% - Accent3 3 4 2 4 2" xfId="9904" xr:uid="{00000000-0005-0000-0000-00007A6A0000}"/>
    <cellStyle name="40% - Accent3 3 4 2 4 2 2" xfId="21205" xr:uid="{00000000-0005-0000-0000-00007B6A0000}"/>
    <cellStyle name="40% - Accent3 3 4 2 4 2 2 2" xfId="43807" xr:uid="{00000000-0005-0000-0000-00007C6A0000}"/>
    <cellStyle name="40% - Accent3 3 4 2 4 2 3" xfId="32506" xr:uid="{00000000-0005-0000-0000-00007D6A0000}"/>
    <cellStyle name="40% - Accent3 3 4 2 4 3" xfId="15555" xr:uid="{00000000-0005-0000-0000-00007E6A0000}"/>
    <cellStyle name="40% - Accent3 3 4 2 4 3 2" xfId="38157" xr:uid="{00000000-0005-0000-0000-00007F6A0000}"/>
    <cellStyle name="40% - Accent3 3 4 2 4 4" xfId="26856" xr:uid="{00000000-0005-0000-0000-0000806A0000}"/>
    <cellStyle name="40% - Accent3 3 4 2 5" xfId="7052" xr:uid="{00000000-0005-0000-0000-0000816A0000}"/>
    <cellStyle name="40% - Accent3 3 4 2 5 2" xfId="18353" xr:uid="{00000000-0005-0000-0000-0000826A0000}"/>
    <cellStyle name="40% - Accent3 3 4 2 5 2 2" xfId="40955" xr:uid="{00000000-0005-0000-0000-0000836A0000}"/>
    <cellStyle name="40% - Accent3 3 4 2 5 3" xfId="29654" xr:uid="{00000000-0005-0000-0000-0000846A0000}"/>
    <cellStyle name="40% - Accent3 3 4 2 6" xfId="12703" xr:uid="{00000000-0005-0000-0000-0000856A0000}"/>
    <cellStyle name="40% - Accent3 3 4 2 6 2" xfId="35305" xr:uid="{00000000-0005-0000-0000-0000866A0000}"/>
    <cellStyle name="40% - Accent3 3 4 2 7" xfId="24004" xr:uid="{00000000-0005-0000-0000-0000876A0000}"/>
    <cellStyle name="40% - Accent3 3 4 3" xfId="746" xr:uid="{00000000-0005-0000-0000-0000886A0000}"/>
    <cellStyle name="40% - Accent3 3 4 3 2" xfId="2834" xr:uid="{00000000-0005-0000-0000-0000896A0000}"/>
    <cellStyle name="40% - Accent3 3 4 3 2 2" xfId="5806" xr:uid="{00000000-0005-0000-0000-00008A6A0000}"/>
    <cellStyle name="40% - Accent3 3 4 3 2 2 2" xfId="11456" xr:uid="{00000000-0005-0000-0000-00008B6A0000}"/>
    <cellStyle name="40% - Accent3 3 4 3 2 2 2 2" xfId="22757" xr:uid="{00000000-0005-0000-0000-00008C6A0000}"/>
    <cellStyle name="40% - Accent3 3 4 3 2 2 2 2 2" xfId="45359" xr:uid="{00000000-0005-0000-0000-00008D6A0000}"/>
    <cellStyle name="40% - Accent3 3 4 3 2 2 2 3" xfId="34058" xr:uid="{00000000-0005-0000-0000-00008E6A0000}"/>
    <cellStyle name="40% - Accent3 3 4 3 2 2 3" xfId="17107" xr:uid="{00000000-0005-0000-0000-00008F6A0000}"/>
    <cellStyle name="40% - Accent3 3 4 3 2 2 3 2" xfId="39709" xr:uid="{00000000-0005-0000-0000-0000906A0000}"/>
    <cellStyle name="40% - Accent3 3 4 3 2 2 4" xfId="28408" xr:uid="{00000000-0005-0000-0000-0000916A0000}"/>
    <cellStyle name="40% - Accent3 3 4 3 2 3" xfId="8624" xr:uid="{00000000-0005-0000-0000-0000926A0000}"/>
    <cellStyle name="40% - Accent3 3 4 3 2 3 2" xfId="19925" xr:uid="{00000000-0005-0000-0000-0000936A0000}"/>
    <cellStyle name="40% - Accent3 3 4 3 2 3 2 2" xfId="42527" xr:uid="{00000000-0005-0000-0000-0000946A0000}"/>
    <cellStyle name="40% - Accent3 3 4 3 2 3 3" xfId="31226" xr:uid="{00000000-0005-0000-0000-0000956A0000}"/>
    <cellStyle name="40% - Accent3 3 4 3 2 4" xfId="14275" xr:uid="{00000000-0005-0000-0000-0000966A0000}"/>
    <cellStyle name="40% - Accent3 3 4 3 2 4 2" xfId="36877" xr:uid="{00000000-0005-0000-0000-0000976A0000}"/>
    <cellStyle name="40% - Accent3 3 4 3 2 5" xfId="25576" xr:uid="{00000000-0005-0000-0000-0000986A0000}"/>
    <cellStyle name="40% - Accent3 3 4 3 3" xfId="4572" xr:uid="{00000000-0005-0000-0000-0000996A0000}"/>
    <cellStyle name="40% - Accent3 3 4 3 3 2" xfId="10222" xr:uid="{00000000-0005-0000-0000-00009A6A0000}"/>
    <cellStyle name="40% - Accent3 3 4 3 3 2 2" xfId="21523" xr:uid="{00000000-0005-0000-0000-00009B6A0000}"/>
    <cellStyle name="40% - Accent3 3 4 3 3 2 2 2" xfId="44125" xr:uid="{00000000-0005-0000-0000-00009C6A0000}"/>
    <cellStyle name="40% - Accent3 3 4 3 3 2 3" xfId="32824" xr:uid="{00000000-0005-0000-0000-00009D6A0000}"/>
    <cellStyle name="40% - Accent3 3 4 3 3 3" xfId="15873" xr:uid="{00000000-0005-0000-0000-00009E6A0000}"/>
    <cellStyle name="40% - Accent3 3 4 3 3 3 2" xfId="38475" xr:uid="{00000000-0005-0000-0000-00009F6A0000}"/>
    <cellStyle name="40% - Accent3 3 4 3 3 4" xfId="27174" xr:uid="{00000000-0005-0000-0000-0000A06A0000}"/>
    <cellStyle name="40% - Accent3 3 4 3 4" xfId="6755" xr:uid="{00000000-0005-0000-0000-0000A16A0000}"/>
    <cellStyle name="40% - Accent3 3 4 3 4 2" xfId="18056" xr:uid="{00000000-0005-0000-0000-0000A26A0000}"/>
    <cellStyle name="40% - Accent3 3 4 3 4 2 2" xfId="40658" xr:uid="{00000000-0005-0000-0000-0000A36A0000}"/>
    <cellStyle name="40% - Accent3 3 4 3 4 3" xfId="29357" xr:uid="{00000000-0005-0000-0000-0000A46A0000}"/>
    <cellStyle name="40% - Accent3 3 4 3 5" xfId="12406" xr:uid="{00000000-0005-0000-0000-0000A56A0000}"/>
    <cellStyle name="40% - Accent3 3 4 3 5 2" xfId="35008" xr:uid="{00000000-0005-0000-0000-0000A66A0000}"/>
    <cellStyle name="40% - Accent3 3 4 3 6" xfId="23707" xr:uid="{00000000-0005-0000-0000-0000A76A0000}"/>
    <cellStyle name="40% - Accent3 3 4 4" xfId="1854" xr:uid="{00000000-0005-0000-0000-0000A86A0000}"/>
    <cellStyle name="40% - Accent3 3 4 4 2" xfId="3698" xr:uid="{00000000-0005-0000-0000-0000A96A0000}"/>
    <cellStyle name="40% - Accent3 3 4 4 2 2" xfId="9408" xr:uid="{00000000-0005-0000-0000-0000AA6A0000}"/>
    <cellStyle name="40% - Accent3 3 4 4 2 2 2" xfId="20709" xr:uid="{00000000-0005-0000-0000-0000AB6A0000}"/>
    <cellStyle name="40% - Accent3 3 4 4 2 2 2 2" xfId="43311" xr:uid="{00000000-0005-0000-0000-0000AC6A0000}"/>
    <cellStyle name="40% - Accent3 3 4 4 2 2 3" xfId="32010" xr:uid="{00000000-0005-0000-0000-0000AD6A0000}"/>
    <cellStyle name="40% - Accent3 3 4 4 2 3" xfId="15059" xr:uid="{00000000-0005-0000-0000-0000AE6A0000}"/>
    <cellStyle name="40% - Accent3 3 4 4 2 3 2" xfId="37661" xr:uid="{00000000-0005-0000-0000-0000AF6A0000}"/>
    <cellStyle name="40% - Accent3 3 4 4 2 4" xfId="26360" xr:uid="{00000000-0005-0000-0000-0000B06A0000}"/>
    <cellStyle name="40% - Accent3 3 4 4 3" xfId="5182" xr:uid="{00000000-0005-0000-0000-0000B16A0000}"/>
    <cellStyle name="40% - Accent3 3 4 4 3 2" xfId="10832" xr:uid="{00000000-0005-0000-0000-0000B26A0000}"/>
    <cellStyle name="40% - Accent3 3 4 4 3 2 2" xfId="22133" xr:uid="{00000000-0005-0000-0000-0000B36A0000}"/>
    <cellStyle name="40% - Accent3 3 4 4 3 2 2 2" xfId="44735" xr:uid="{00000000-0005-0000-0000-0000B46A0000}"/>
    <cellStyle name="40% - Accent3 3 4 4 3 2 3" xfId="33434" xr:uid="{00000000-0005-0000-0000-0000B56A0000}"/>
    <cellStyle name="40% - Accent3 3 4 4 3 3" xfId="16483" xr:uid="{00000000-0005-0000-0000-0000B66A0000}"/>
    <cellStyle name="40% - Accent3 3 4 4 3 3 2" xfId="39085" xr:uid="{00000000-0005-0000-0000-0000B76A0000}"/>
    <cellStyle name="40% - Accent3 3 4 4 3 4" xfId="27784" xr:uid="{00000000-0005-0000-0000-0000B86A0000}"/>
    <cellStyle name="40% - Accent3 3 4 4 4" xfId="7710" xr:uid="{00000000-0005-0000-0000-0000B96A0000}"/>
    <cellStyle name="40% - Accent3 3 4 4 4 2" xfId="19011" xr:uid="{00000000-0005-0000-0000-0000BA6A0000}"/>
    <cellStyle name="40% - Accent3 3 4 4 4 2 2" xfId="41613" xr:uid="{00000000-0005-0000-0000-0000BB6A0000}"/>
    <cellStyle name="40% - Accent3 3 4 4 4 3" xfId="30312" xr:uid="{00000000-0005-0000-0000-0000BC6A0000}"/>
    <cellStyle name="40% - Accent3 3 4 4 5" xfId="13361" xr:uid="{00000000-0005-0000-0000-0000BD6A0000}"/>
    <cellStyle name="40% - Accent3 3 4 4 5 2" xfId="35963" xr:uid="{00000000-0005-0000-0000-0000BE6A0000}"/>
    <cellStyle name="40% - Accent3 3 4 4 6" xfId="24662" xr:uid="{00000000-0005-0000-0000-0000BF6A0000}"/>
    <cellStyle name="40% - Accent3 3 4 5" xfId="2154" xr:uid="{00000000-0005-0000-0000-0000C06A0000}"/>
    <cellStyle name="40% - Accent3 3 4 5 2" xfId="7996" xr:uid="{00000000-0005-0000-0000-0000C16A0000}"/>
    <cellStyle name="40% - Accent3 3 4 5 2 2" xfId="19297" xr:uid="{00000000-0005-0000-0000-0000C26A0000}"/>
    <cellStyle name="40% - Accent3 3 4 5 2 2 2" xfId="41899" xr:uid="{00000000-0005-0000-0000-0000C36A0000}"/>
    <cellStyle name="40% - Accent3 3 4 5 2 3" xfId="30598" xr:uid="{00000000-0005-0000-0000-0000C46A0000}"/>
    <cellStyle name="40% - Accent3 3 4 5 3" xfId="13647" xr:uid="{00000000-0005-0000-0000-0000C56A0000}"/>
    <cellStyle name="40% - Accent3 3 4 5 3 2" xfId="36249" xr:uid="{00000000-0005-0000-0000-0000C66A0000}"/>
    <cellStyle name="40% - Accent3 3 4 5 4" xfId="24948" xr:uid="{00000000-0005-0000-0000-0000C76A0000}"/>
    <cellStyle name="40% - Accent3 3 4 6" xfId="3948" xr:uid="{00000000-0005-0000-0000-0000C86A0000}"/>
    <cellStyle name="40% - Accent3 3 4 6 2" xfId="9598" xr:uid="{00000000-0005-0000-0000-0000C96A0000}"/>
    <cellStyle name="40% - Accent3 3 4 6 2 2" xfId="20899" xr:uid="{00000000-0005-0000-0000-0000CA6A0000}"/>
    <cellStyle name="40% - Accent3 3 4 6 2 2 2" xfId="43501" xr:uid="{00000000-0005-0000-0000-0000CB6A0000}"/>
    <cellStyle name="40% - Accent3 3 4 6 2 3" xfId="32200" xr:uid="{00000000-0005-0000-0000-0000CC6A0000}"/>
    <cellStyle name="40% - Accent3 3 4 6 3" xfId="15249" xr:uid="{00000000-0005-0000-0000-0000CD6A0000}"/>
    <cellStyle name="40% - Accent3 3 4 6 3 2" xfId="37851" xr:uid="{00000000-0005-0000-0000-0000CE6A0000}"/>
    <cellStyle name="40% - Accent3 3 4 6 4" xfId="26550" xr:uid="{00000000-0005-0000-0000-0000CF6A0000}"/>
    <cellStyle name="40% - Accent3 3 4 7" xfId="6566" xr:uid="{00000000-0005-0000-0000-0000D06A0000}"/>
    <cellStyle name="40% - Accent3 3 4 7 2" xfId="17867" xr:uid="{00000000-0005-0000-0000-0000D16A0000}"/>
    <cellStyle name="40% - Accent3 3 4 7 2 2" xfId="40469" xr:uid="{00000000-0005-0000-0000-0000D26A0000}"/>
    <cellStyle name="40% - Accent3 3 4 7 3" xfId="29168" xr:uid="{00000000-0005-0000-0000-0000D36A0000}"/>
    <cellStyle name="40% - Accent3 3 4 8" xfId="12217" xr:uid="{00000000-0005-0000-0000-0000D46A0000}"/>
    <cellStyle name="40% - Accent3 3 4 8 2" xfId="34819" xr:uid="{00000000-0005-0000-0000-0000D56A0000}"/>
    <cellStyle name="40% - Accent3 3 4 9" xfId="23518" xr:uid="{00000000-0005-0000-0000-0000D66A0000}"/>
    <cellStyle name="40% - Accent3 3 5" xfId="397" xr:uid="{00000000-0005-0000-0000-0000D76A0000}"/>
    <cellStyle name="40% - Accent3 3 6" xfId="1381" xr:uid="{00000000-0005-0000-0000-0000D86A0000}"/>
    <cellStyle name="40% - Accent3 3 7" xfId="6399" xr:uid="{00000000-0005-0000-0000-0000D96A0000}"/>
    <cellStyle name="40% - Accent3 3 7 2" xfId="17700" xr:uid="{00000000-0005-0000-0000-0000DA6A0000}"/>
    <cellStyle name="40% - Accent3 3 7 2 2" xfId="40302" xr:uid="{00000000-0005-0000-0000-0000DB6A0000}"/>
    <cellStyle name="40% - Accent3 3 7 3" xfId="29001" xr:uid="{00000000-0005-0000-0000-0000DC6A0000}"/>
    <cellStyle name="40% - Accent3 3 8" xfId="12050" xr:uid="{00000000-0005-0000-0000-0000DD6A0000}"/>
    <cellStyle name="40% - Accent3 3 8 2" xfId="34652" xr:uid="{00000000-0005-0000-0000-0000DE6A0000}"/>
    <cellStyle name="40% - Accent3 3 9" xfId="23351" xr:uid="{00000000-0005-0000-0000-0000DF6A0000}"/>
    <cellStyle name="40% - Accent3 4" xfId="181" xr:uid="{00000000-0005-0000-0000-0000E06A0000}"/>
    <cellStyle name="40% - Accent3 4 10" xfId="3934" xr:uid="{00000000-0005-0000-0000-0000E16A0000}"/>
    <cellStyle name="40% - Accent3 4 10 2" xfId="9584" xr:uid="{00000000-0005-0000-0000-0000E26A0000}"/>
    <cellStyle name="40% - Accent3 4 10 2 2" xfId="20885" xr:uid="{00000000-0005-0000-0000-0000E36A0000}"/>
    <cellStyle name="40% - Accent3 4 10 2 2 2" xfId="43487" xr:uid="{00000000-0005-0000-0000-0000E46A0000}"/>
    <cellStyle name="40% - Accent3 4 10 2 3" xfId="32186" xr:uid="{00000000-0005-0000-0000-0000E56A0000}"/>
    <cellStyle name="40% - Accent3 4 10 3" xfId="15235" xr:uid="{00000000-0005-0000-0000-0000E66A0000}"/>
    <cellStyle name="40% - Accent3 4 10 3 2" xfId="37837" xr:uid="{00000000-0005-0000-0000-0000E76A0000}"/>
    <cellStyle name="40% - Accent3 4 10 4" xfId="26536" xr:uid="{00000000-0005-0000-0000-0000E86A0000}"/>
    <cellStyle name="40% - Accent3 4 11" xfId="6413" xr:uid="{00000000-0005-0000-0000-0000E96A0000}"/>
    <cellStyle name="40% - Accent3 4 11 2" xfId="17714" xr:uid="{00000000-0005-0000-0000-0000EA6A0000}"/>
    <cellStyle name="40% - Accent3 4 11 2 2" xfId="40316" xr:uid="{00000000-0005-0000-0000-0000EB6A0000}"/>
    <cellStyle name="40% - Accent3 4 11 3" xfId="29015" xr:uid="{00000000-0005-0000-0000-0000EC6A0000}"/>
    <cellStyle name="40% - Accent3 4 12" xfId="12064" xr:uid="{00000000-0005-0000-0000-0000ED6A0000}"/>
    <cellStyle name="40% - Accent3 4 12 2" xfId="34666" xr:uid="{00000000-0005-0000-0000-0000EE6A0000}"/>
    <cellStyle name="40% - Accent3 4 13" xfId="23365" xr:uid="{00000000-0005-0000-0000-0000EF6A0000}"/>
    <cellStyle name="40% - Accent3 4 2" xfId="304" xr:uid="{00000000-0005-0000-0000-0000F06A0000}"/>
    <cellStyle name="40% - Accent3 4 2 10" xfId="23412" xr:uid="{00000000-0005-0000-0000-0000F16A0000}"/>
    <cellStyle name="40% - Accent3 4 2 2" xfId="562" xr:uid="{00000000-0005-0000-0000-0000F26A0000}"/>
    <cellStyle name="40% - Accent3 4 2 2 2" xfId="1272" xr:uid="{00000000-0005-0000-0000-0000F36A0000}"/>
    <cellStyle name="40% - Accent3 4 2 2 2 2" xfId="1859" xr:uid="{00000000-0005-0000-0000-0000F46A0000}"/>
    <cellStyle name="40% - Accent3 4 2 2 2 2 2" xfId="3341" xr:uid="{00000000-0005-0000-0000-0000F56A0000}"/>
    <cellStyle name="40% - Accent3 4 2 2 2 2 2 2" xfId="6313" xr:uid="{00000000-0005-0000-0000-0000F66A0000}"/>
    <cellStyle name="40% - Accent3 4 2 2 2 2 2 2 2" xfId="11963" xr:uid="{00000000-0005-0000-0000-0000F76A0000}"/>
    <cellStyle name="40% - Accent3 4 2 2 2 2 2 2 2 2" xfId="23264" xr:uid="{00000000-0005-0000-0000-0000F86A0000}"/>
    <cellStyle name="40% - Accent3 4 2 2 2 2 2 2 2 2 2" xfId="45866" xr:uid="{00000000-0005-0000-0000-0000F96A0000}"/>
    <cellStyle name="40% - Accent3 4 2 2 2 2 2 2 2 3" xfId="34565" xr:uid="{00000000-0005-0000-0000-0000FA6A0000}"/>
    <cellStyle name="40% - Accent3 4 2 2 2 2 2 2 3" xfId="17614" xr:uid="{00000000-0005-0000-0000-0000FB6A0000}"/>
    <cellStyle name="40% - Accent3 4 2 2 2 2 2 2 3 2" xfId="40216" xr:uid="{00000000-0005-0000-0000-0000FC6A0000}"/>
    <cellStyle name="40% - Accent3 4 2 2 2 2 2 2 4" xfId="28915" xr:uid="{00000000-0005-0000-0000-0000FD6A0000}"/>
    <cellStyle name="40% - Accent3 4 2 2 2 2 2 3" xfId="9131" xr:uid="{00000000-0005-0000-0000-0000FE6A0000}"/>
    <cellStyle name="40% - Accent3 4 2 2 2 2 2 3 2" xfId="20432" xr:uid="{00000000-0005-0000-0000-0000FF6A0000}"/>
    <cellStyle name="40% - Accent3 4 2 2 2 2 2 3 2 2" xfId="43034" xr:uid="{00000000-0005-0000-0000-0000006B0000}"/>
    <cellStyle name="40% - Accent3 4 2 2 2 2 2 3 3" xfId="31733" xr:uid="{00000000-0005-0000-0000-0000016B0000}"/>
    <cellStyle name="40% - Accent3 4 2 2 2 2 2 4" xfId="14782" xr:uid="{00000000-0005-0000-0000-0000026B0000}"/>
    <cellStyle name="40% - Accent3 4 2 2 2 2 2 4 2" xfId="37384" xr:uid="{00000000-0005-0000-0000-0000036B0000}"/>
    <cellStyle name="40% - Accent3 4 2 2 2 2 2 5" xfId="26083" xr:uid="{00000000-0005-0000-0000-0000046B0000}"/>
    <cellStyle name="40% - Accent3 4 2 2 2 2 3" xfId="5079" xr:uid="{00000000-0005-0000-0000-0000056B0000}"/>
    <cellStyle name="40% - Accent3 4 2 2 2 2 3 2" xfId="10729" xr:uid="{00000000-0005-0000-0000-0000066B0000}"/>
    <cellStyle name="40% - Accent3 4 2 2 2 2 3 2 2" xfId="22030" xr:uid="{00000000-0005-0000-0000-0000076B0000}"/>
    <cellStyle name="40% - Accent3 4 2 2 2 2 3 2 2 2" xfId="44632" xr:uid="{00000000-0005-0000-0000-0000086B0000}"/>
    <cellStyle name="40% - Accent3 4 2 2 2 2 3 2 3" xfId="33331" xr:uid="{00000000-0005-0000-0000-0000096B0000}"/>
    <cellStyle name="40% - Accent3 4 2 2 2 2 3 3" xfId="16380" xr:uid="{00000000-0005-0000-0000-00000A6B0000}"/>
    <cellStyle name="40% - Accent3 4 2 2 2 2 3 3 2" xfId="38982" xr:uid="{00000000-0005-0000-0000-00000B6B0000}"/>
    <cellStyle name="40% - Accent3 4 2 2 2 2 3 4" xfId="27681" xr:uid="{00000000-0005-0000-0000-00000C6B0000}"/>
    <cellStyle name="40% - Accent3 4 2 2 2 2 4" xfId="7715" xr:uid="{00000000-0005-0000-0000-00000D6B0000}"/>
    <cellStyle name="40% - Accent3 4 2 2 2 2 4 2" xfId="19016" xr:uid="{00000000-0005-0000-0000-00000E6B0000}"/>
    <cellStyle name="40% - Accent3 4 2 2 2 2 4 2 2" xfId="41618" xr:uid="{00000000-0005-0000-0000-00000F6B0000}"/>
    <cellStyle name="40% - Accent3 4 2 2 2 2 4 3" xfId="30317" xr:uid="{00000000-0005-0000-0000-0000106B0000}"/>
    <cellStyle name="40% - Accent3 4 2 2 2 2 5" xfId="13366" xr:uid="{00000000-0005-0000-0000-0000116B0000}"/>
    <cellStyle name="40% - Accent3 4 2 2 2 2 5 2" xfId="35968" xr:uid="{00000000-0005-0000-0000-0000126B0000}"/>
    <cellStyle name="40% - Accent3 4 2 2 2 2 6" xfId="24667" xr:uid="{00000000-0005-0000-0000-0000136B0000}"/>
    <cellStyle name="40% - Accent3 4 2 2 2 3" xfId="2670" xr:uid="{00000000-0005-0000-0000-0000146B0000}"/>
    <cellStyle name="40% - Accent3 4 2 2 2 3 2" xfId="5689" xr:uid="{00000000-0005-0000-0000-0000156B0000}"/>
    <cellStyle name="40% - Accent3 4 2 2 2 3 2 2" xfId="11339" xr:uid="{00000000-0005-0000-0000-0000166B0000}"/>
    <cellStyle name="40% - Accent3 4 2 2 2 3 2 2 2" xfId="22640" xr:uid="{00000000-0005-0000-0000-0000176B0000}"/>
    <cellStyle name="40% - Accent3 4 2 2 2 3 2 2 2 2" xfId="45242" xr:uid="{00000000-0005-0000-0000-0000186B0000}"/>
    <cellStyle name="40% - Accent3 4 2 2 2 3 2 2 3" xfId="33941" xr:uid="{00000000-0005-0000-0000-0000196B0000}"/>
    <cellStyle name="40% - Accent3 4 2 2 2 3 2 3" xfId="16990" xr:uid="{00000000-0005-0000-0000-00001A6B0000}"/>
    <cellStyle name="40% - Accent3 4 2 2 2 3 2 3 2" xfId="39592" xr:uid="{00000000-0005-0000-0000-00001B6B0000}"/>
    <cellStyle name="40% - Accent3 4 2 2 2 3 2 4" xfId="28291" xr:uid="{00000000-0005-0000-0000-00001C6B0000}"/>
    <cellStyle name="40% - Accent3 4 2 2 2 3 3" xfId="8506" xr:uid="{00000000-0005-0000-0000-00001D6B0000}"/>
    <cellStyle name="40% - Accent3 4 2 2 2 3 3 2" xfId="19807" xr:uid="{00000000-0005-0000-0000-00001E6B0000}"/>
    <cellStyle name="40% - Accent3 4 2 2 2 3 3 2 2" xfId="42409" xr:uid="{00000000-0005-0000-0000-00001F6B0000}"/>
    <cellStyle name="40% - Accent3 4 2 2 2 3 3 3" xfId="31108" xr:uid="{00000000-0005-0000-0000-0000206B0000}"/>
    <cellStyle name="40% - Accent3 4 2 2 2 3 4" xfId="14157" xr:uid="{00000000-0005-0000-0000-0000216B0000}"/>
    <cellStyle name="40% - Accent3 4 2 2 2 3 4 2" xfId="36759" xr:uid="{00000000-0005-0000-0000-0000226B0000}"/>
    <cellStyle name="40% - Accent3 4 2 2 2 3 5" xfId="25458" xr:uid="{00000000-0005-0000-0000-0000236B0000}"/>
    <cellStyle name="40% - Accent3 4 2 2 2 4" xfId="4455" xr:uid="{00000000-0005-0000-0000-0000246B0000}"/>
    <cellStyle name="40% - Accent3 4 2 2 2 4 2" xfId="10105" xr:uid="{00000000-0005-0000-0000-0000256B0000}"/>
    <cellStyle name="40% - Accent3 4 2 2 2 4 2 2" xfId="21406" xr:uid="{00000000-0005-0000-0000-0000266B0000}"/>
    <cellStyle name="40% - Accent3 4 2 2 2 4 2 2 2" xfId="44008" xr:uid="{00000000-0005-0000-0000-0000276B0000}"/>
    <cellStyle name="40% - Accent3 4 2 2 2 4 2 3" xfId="32707" xr:uid="{00000000-0005-0000-0000-0000286B0000}"/>
    <cellStyle name="40% - Accent3 4 2 2 2 4 3" xfId="15756" xr:uid="{00000000-0005-0000-0000-0000296B0000}"/>
    <cellStyle name="40% - Accent3 4 2 2 2 4 3 2" xfId="38358" xr:uid="{00000000-0005-0000-0000-00002A6B0000}"/>
    <cellStyle name="40% - Accent3 4 2 2 2 4 4" xfId="27057" xr:uid="{00000000-0005-0000-0000-00002B6B0000}"/>
    <cellStyle name="40% - Accent3 4 2 2 2 5" xfId="7251" xr:uid="{00000000-0005-0000-0000-00002C6B0000}"/>
    <cellStyle name="40% - Accent3 4 2 2 2 5 2" xfId="18552" xr:uid="{00000000-0005-0000-0000-00002D6B0000}"/>
    <cellStyle name="40% - Accent3 4 2 2 2 5 2 2" xfId="41154" xr:uid="{00000000-0005-0000-0000-00002E6B0000}"/>
    <cellStyle name="40% - Accent3 4 2 2 2 5 3" xfId="29853" xr:uid="{00000000-0005-0000-0000-00002F6B0000}"/>
    <cellStyle name="40% - Accent3 4 2 2 2 6" xfId="12902" xr:uid="{00000000-0005-0000-0000-0000306B0000}"/>
    <cellStyle name="40% - Accent3 4 2 2 2 6 2" xfId="35504" xr:uid="{00000000-0005-0000-0000-0000316B0000}"/>
    <cellStyle name="40% - Accent3 4 2 2 2 7" xfId="24203" xr:uid="{00000000-0005-0000-0000-0000326B0000}"/>
    <cellStyle name="40% - Accent3 4 2 2 3" xfId="970" xr:uid="{00000000-0005-0000-0000-0000336B0000}"/>
    <cellStyle name="40% - Accent3 4 2 2 3 2" xfId="3033" xr:uid="{00000000-0005-0000-0000-0000346B0000}"/>
    <cellStyle name="40% - Accent3 4 2 2 3 2 2" xfId="6005" xr:uid="{00000000-0005-0000-0000-0000356B0000}"/>
    <cellStyle name="40% - Accent3 4 2 2 3 2 2 2" xfId="11655" xr:uid="{00000000-0005-0000-0000-0000366B0000}"/>
    <cellStyle name="40% - Accent3 4 2 2 3 2 2 2 2" xfId="22956" xr:uid="{00000000-0005-0000-0000-0000376B0000}"/>
    <cellStyle name="40% - Accent3 4 2 2 3 2 2 2 2 2" xfId="45558" xr:uid="{00000000-0005-0000-0000-0000386B0000}"/>
    <cellStyle name="40% - Accent3 4 2 2 3 2 2 2 3" xfId="34257" xr:uid="{00000000-0005-0000-0000-0000396B0000}"/>
    <cellStyle name="40% - Accent3 4 2 2 3 2 2 3" xfId="17306" xr:uid="{00000000-0005-0000-0000-00003A6B0000}"/>
    <cellStyle name="40% - Accent3 4 2 2 3 2 2 3 2" xfId="39908" xr:uid="{00000000-0005-0000-0000-00003B6B0000}"/>
    <cellStyle name="40% - Accent3 4 2 2 3 2 2 4" xfId="28607" xr:uid="{00000000-0005-0000-0000-00003C6B0000}"/>
    <cellStyle name="40% - Accent3 4 2 2 3 2 3" xfId="8823" xr:uid="{00000000-0005-0000-0000-00003D6B0000}"/>
    <cellStyle name="40% - Accent3 4 2 2 3 2 3 2" xfId="20124" xr:uid="{00000000-0005-0000-0000-00003E6B0000}"/>
    <cellStyle name="40% - Accent3 4 2 2 3 2 3 2 2" xfId="42726" xr:uid="{00000000-0005-0000-0000-00003F6B0000}"/>
    <cellStyle name="40% - Accent3 4 2 2 3 2 3 3" xfId="31425" xr:uid="{00000000-0005-0000-0000-0000406B0000}"/>
    <cellStyle name="40% - Accent3 4 2 2 3 2 4" xfId="14474" xr:uid="{00000000-0005-0000-0000-0000416B0000}"/>
    <cellStyle name="40% - Accent3 4 2 2 3 2 4 2" xfId="37076" xr:uid="{00000000-0005-0000-0000-0000426B0000}"/>
    <cellStyle name="40% - Accent3 4 2 2 3 2 5" xfId="25775" xr:uid="{00000000-0005-0000-0000-0000436B0000}"/>
    <cellStyle name="40% - Accent3 4 2 2 3 3" xfId="4771" xr:uid="{00000000-0005-0000-0000-0000446B0000}"/>
    <cellStyle name="40% - Accent3 4 2 2 3 3 2" xfId="10421" xr:uid="{00000000-0005-0000-0000-0000456B0000}"/>
    <cellStyle name="40% - Accent3 4 2 2 3 3 2 2" xfId="21722" xr:uid="{00000000-0005-0000-0000-0000466B0000}"/>
    <cellStyle name="40% - Accent3 4 2 2 3 3 2 2 2" xfId="44324" xr:uid="{00000000-0005-0000-0000-0000476B0000}"/>
    <cellStyle name="40% - Accent3 4 2 2 3 3 2 3" xfId="33023" xr:uid="{00000000-0005-0000-0000-0000486B0000}"/>
    <cellStyle name="40% - Accent3 4 2 2 3 3 3" xfId="16072" xr:uid="{00000000-0005-0000-0000-0000496B0000}"/>
    <cellStyle name="40% - Accent3 4 2 2 3 3 3 2" xfId="38674" xr:uid="{00000000-0005-0000-0000-00004A6B0000}"/>
    <cellStyle name="40% - Accent3 4 2 2 3 3 4" xfId="27373" xr:uid="{00000000-0005-0000-0000-00004B6B0000}"/>
    <cellStyle name="40% - Accent3 4 2 2 3 4" xfId="6958" xr:uid="{00000000-0005-0000-0000-00004C6B0000}"/>
    <cellStyle name="40% - Accent3 4 2 2 3 4 2" xfId="18259" xr:uid="{00000000-0005-0000-0000-00004D6B0000}"/>
    <cellStyle name="40% - Accent3 4 2 2 3 4 2 2" xfId="40861" xr:uid="{00000000-0005-0000-0000-00004E6B0000}"/>
    <cellStyle name="40% - Accent3 4 2 2 3 4 3" xfId="29560" xr:uid="{00000000-0005-0000-0000-00004F6B0000}"/>
    <cellStyle name="40% - Accent3 4 2 2 3 5" xfId="12609" xr:uid="{00000000-0005-0000-0000-0000506B0000}"/>
    <cellStyle name="40% - Accent3 4 2 2 3 5 2" xfId="35211" xr:uid="{00000000-0005-0000-0000-0000516B0000}"/>
    <cellStyle name="40% - Accent3 4 2 2 3 6" xfId="23910" xr:uid="{00000000-0005-0000-0000-0000526B0000}"/>
    <cellStyle name="40% - Accent3 4 2 2 4" xfId="1858" xr:uid="{00000000-0005-0000-0000-0000536B0000}"/>
    <cellStyle name="40% - Accent3 4 2 2 4 2" xfId="3701" xr:uid="{00000000-0005-0000-0000-0000546B0000}"/>
    <cellStyle name="40% - Accent3 4 2 2 4 2 2" xfId="9411" xr:uid="{00000000-0005-0000-0000-0000556B0000}"/>
    <cellStyle name="40% - Accent3 4 2 2 4 2 2 2" xfId="20712" xr:uid="{00000000-0005-0000-0000-0000566B0000}"/>
    <cellStyle name="40% - Accent3 4 2 2 4 2 2 2 2" xfId="43314" xr:uid="{00000000-0005-0000-0000-0000576B0000}"/>
    <cellStyle name="40% - Accent3 4 2 2 4 2 2 3" xfId="32013" xr:uid="{00000000-0005-0000-0000-0000586B0000}"/>
    <cellStyle name="40% - Accent3 4 2 2 4 2 3" xfId="15062" xr:uid="{00000000-0005-0000-0000-0000596B0000}"/>
    <cellStyle name="40% - Accent3 4 2 2 4 2 3 2" xfId="37664" xr:uid="{00000000-0005-0000-0000-00005A6B0000}"/>
    <cellStyle name="40% - Accent3 4 2 2 4 2 4" xfId="26363" xr:uid="{00000000-0005-0000-0000-00005B6B0000}"/>
    <cellStyle name="40% - Accent3 4 2 2 4 3" xfId="5381" xr:uid="{00000000-0005-0000-0000-00005C6B0000}"/>
    <cellStyle name="40% - Accent3 4 2 2 4 3 2" xfId="11031" xr:uid="{00000000-0005-0000-0000-00005D6B0000}"/>
    <cellStyle name="40% - Accent3 4 2 2 4 3 2 2" xfId="22332" xr:uid="{00000000-0005-0000-0000-00005E6B0000}"/>
    <cellStyle name="40% - Accent3 4 2 2 4 3 2 2 2" xfId="44934" xr:uid="{00000000-0005-0000-0000-00005F6B0000}"/>
    <cellStyle name="40% - Accent3 4 2 2 4 3 2 3" xfId="33633" xr:uid="{00000000-0005-0000-0000-0000606B0000}"/>
    <cellStyle name="40% - Accent3 4 2 2 4 3 3" xfId="16682" xr:uid="{00000000-0005-0000-0000-0000616B0000}"/>
    <cellStyle name="40% - Accent3 4 2 2 4 3 3 2" xfId="39284" xr:uid="{00000000-0005-0000-0000-0000626B0000}"/>
    <cellStyle name="40% - Accent3 4 2 2 4 3 4" xfId="27983" xr:uid="{00000000-0005-0000-0000-0000636B0000}"/>
    <cellStyle name="40% - Accent3 4 2 2 4 4" xfId="7714" xr:uid="{00000000-0005-0000-0000-0000646B0000}"/>
    <cellStyle name="40% - Accent3 4 2 2 4 4 2" xfId="19015" xr:uid="{00000000-0005-0000-0000-0000656B0000}"/>
    <cellStyle name="40% - Accent3 4 2 2 4 4 2 2" xfId="41617" xr:uid="{00000000-0005-0000-0000-0000666B0000}"/>
    <cellStyle name="40% - Accent3 4 2 2 4 4 3" xfId="30316" xr:uid="{00000000-0005-0000-0000-0000676B0000}"/>
    <cellStyle name="40% - Accent3 4 2 2 4 5" xfId="13365" xr:uid="{00000000-0005-0000-0000-0000686B0000}"/>
    <cellStyle name="40% - Accent3 4 2 2 4 5 2" xfId="35967" xr:uid="{00000000-0005-0000-0000-0000696B0000}"/>
    <cellStyle name="40% - Accent3 4 2 2 4 6" xfId="24666" xr:uid="{00000000-0005-0000-0000-00006A6B0000}"/>
    <cellStyle name="40% - Accent3 4 2 2 5" xfId="2362" xr:uid="{00000000-0005-0000-0000-00006B6B0000}"/>
    <cellStyle name="40% - Accent3 4 2 2 5 2" xfId="8198" xr:uid="{00000000-0005-0000-0000-00006C6B0000}"/>
    <cellStyle name="40% - Accent3 4 2 2 5 2 2" xfId="19499" xr:uid="{00000000-0005-0000-0000-00006D6B0000}"/>
    <cellStyle name="40% - Accent3 4 2 2 5 2 2 2" xfId="42101" xr:uid="{00000000-0005-0000-0000-00006E6B0000}"/>
    <cellStyle name="40% - Accent3 4 2 2 5 2 3" xfId="30800" xr:uid="{00000000-0005-0000-0000-00006F6B0000}"/>
    <cellStyle name="40% - Accent3 4 2 2 5 3" xfId="13849" xr:uid="{00000000-0005-0000-0000-0000706B0000}"/>
    <cellStyle name="40% - Accent3 4 2 2 5 3 2" xfId="36451" xr:uid="{00000000-0005-0000-0000-0000716B0000}"/>
    <cellStyle name="40% - Accent3 4 2 2 5 4" xfId="25150" xr:uid="{00000000-0005-0000-0000-0000726B0000}"/>
    <cellStyle name="40% - Accent3 4 2 2 6" xfId="4147" xr:uid="{00000000-0005-0000-0000-0000736B0000}"/>
    <cellStyle name="40% - Accent3 4 2 2 6 2" xfId="9797" xr:uid="{00000000-0005-0000-0000-0000746B0000}"/>
    <cellStyle name="40% - Accent3 4 2 2 6 2 2" xfId="21098" xr:uid="{00000000-0005-0000-0000-0000756B0000}"/>
    <cellStyle name="40% - Accent3 4 2 2 6 2 2 2" xfId="43700" xr:uid="{00000000-0005-0000-0000-0000766B0000}"/>
    <cellStyle name="40% - Accent3 4 2 2 6 2 3" xfId="32399" xr:uid="{00000000-0005-0000-0000-0000776B0000}"/>
    <cellStyle name="40% - Accent3 4 2 2 6 3" xfId="15448" xr:uid="{00000000-0005-0000-0000-0000786B0000}"/>
    <cellStyle name="40% - Accent3 4 2 2 6 3 2" xfId="38050" xr:uid="{00000000-0005-0000-0000-0000796B0000}"/>
    <cellStyle name="40% - Accent3 4 2 2 6 4" xfId="26749" xr:uid="{00000000-0005-0000-0000-00007A6B0000}"/>
    <cellStyle name="40% - Accent3 4 2 2 7" xfId="6627" xr:uid="{00000000-0005-0000-0000-00007B6B0000}"/>
    <cellStyle name="40% - Accent3 4 2 2 7 2" xfId="17928" xr:uid="{00000000-0005-0000-0000-00007C6B0000}"/>
    <cellStyle name="40% - Accent3 4 2 2 7 2 2" xfId="40530" xr:uid="{00000000-0005-0000-0000-00007D6B0000}"/>
    <cellStyle name="40% - Accent3 4 2 2 7 3" xfId="29229" xr:uid="{00000000-0005-0000-0000-00007E6B0000}"/>
    <cellStyle name="40% - Accent3 4 2 2 8" xfId="12278" xr:uid="{00000000-0005-0000-0000-00007F6B0000}"/>
    <cellStyle name="40% - Accent3 4 2 2 8 2" xfId="34880" xr:uid="{00000000-0005-0000-0000-0000806B0000}"/>
    <cellStyle name="40% - Accent3 4 2 2 9" xfId="23579" xr:uid="{00000000-0005-0000-0000-0000816B0000}"/>
    <cellStyle name="40% - Accent3 4 2 3" xfId="1134" xr:uid="{00000000-0005-0000-0000-0000826B0000}"/>
    <cellStyle name="40% - Accent3 4 2 3 2" xfId="1860" xr:uid="{00000000-0005-0000-0000-0000836B0000}"/>
    <cellStyle name="40% - Accent3 4 2 3 2 2" xfId="3202" xr:uid="{00000000-0005-0000-0000-0000846B0000}"/>
    <cellStyle name="40% - Accent3 4 2 3 2 2 2" xfId="6174" xr:uid="{00000000-0005-0000-0000-0000856B0000}"/>
    <cellStyle name="40% - Accent3 4 2 3 2 2 2 2" xfId="11824" xr:uid="{00000000-0005-0000-0000-0000866B0000}"/>
    <cellStyle name="40% - Accent3 4 2 3 2 2 2 2 2" xfId="23125" xr:uid="{00000000-0005-0000-0000-0000876B0000}"/>
    <cellStyle name="40% - Accent3 4 2 3 2 2 2 2 2 2" xfId="45727" xr:uid="{00000000-0005-0000-0000-0000886B0000}"/>
    <cellStyle name="40% - Accent3 4 2 3 2 2 2 2 3" xfId="34426" xr:uid="{00000000-0005-0000-0000-0000896B0000}"/>
    <cellStyle name="40% - Accent3 4 2 3 2 2 2 3" xfId="17475" xr:uid="{00000000-0005-0000-0000-00008A6B0000}"/>
    <cellStyle name="40% - Accent3 4 2 3 2 2 2 3 2" xfId="40077" xr:uid="{00000000-0005-0000-0000-00008B6B0000}"/>
    <cellStyle name="40% - Accent3 4 2 3 2 2 2 4" xfId="28776" xr:uid="{00000000-0005-0000-0000-00008C6B0000}"/>
    <cellStyle name="40% - Accent3 4 2 3 2 2 3" xfId="8992" xr:uid="{00000000-0005-0000-0000-00008D6B0000}"/>
    <cellStyle name="40% - Accent3 4 2 3 2 2 3 2" xfId="20293" xr:uid="{00000000-0005-0000-0000-00008E6B0000}"/>
    <cellStyle name="40% - Accent3 4 2 3 2 2 3 2 2" xfId="42895" xr:uid="{00000000-0005-0000-0000-00008F6B0000}"/>
    <cellStyle name="40% - Accent3 4 2 3 2 2 3 3" xfId="31594" xr:uid="{00000000-0005-0000-0000-0000906B0000}"/>
    <cellStyle name="40% - Accent3 4 2 3 2 2 4" xfId="14643" xr:uid="{00000000-0005-0000-0000-0000916B0000}"/>
    <cellStyle name="40% - Accent3 4 2 3 2 2 4 2" xfId="37245" xr:uid="{00000000-0005-0000-0000-0000926B0000}"/>
    <cellStyle name="40% - Accent3 4 2 3 2 2 5" xfId="25944" xr:uid="{00000000-0005-0000-0000-0000936B0000}"/>
    <cellStyle name="40% - Accent3 4 2 3 2 3" xfId="4940" xr:uid="{00000000-0005-0000-0000-0000946B0000}"/>
    <cellStyle name="40% - Accent3 4 2 3 2 3 2" xfId="10590" xr:uid="{00000000-0005-0000-0000-0000956B0000}"/>
    <cellStyle name="40% - Accent3 4 2 3 2 3 2 2" xfId="21891" xr:uid="{00000000-0005-0000-0000-0000966B0000}"/>
    <cellStyle name="40% - Accent3 4 2 3 2 3 2 2 2" xfId="44493" xr:uid="{00000000-0005-0000-0000-0000976B0000}"/>
    <cellStyle name="40% - Accent3 4 2 3 2 3 2 3" xfId="33192" xr:uid="{00000000-0005-0000-0000-0000986B0000}"/>
    <cellStyle name="40% - Accent3 4 2 3 2 3 3" xfId="16241" xr:uid="{00000000-0005-0000-0000-0000996B0000}"/>
    <cellStyle name="40% - Accent3 4 2 3 2 3 3 2" xfId="38843" xr:uid="{00000000-0005-0000-0000-00009A6B0000}"/>
    <cellStyle name="40% - Accent3 4 2 3 2 3 4" xfId="27542" xr:uid="{00000000-0005-0000-0000-00009B6B0000}"/>
    <cellStyle name="40% - Accent3 4 2 3 2 4" xfId="7716" xr:uid="{00000000-0005-0000-0000-00009C6B0000}"/>
    <cellStyle name="40% - Accent3 4 2 3 2 4 2" xfId="19017" xr:uid="{00000000-0005-0000-0000-00009D6B0000}"/>
    <cellStyle name="40% - Accent3 4 2 3 2 4 2 2" xfId="41619" xr:uid="{00000000-0005-0000-0000-00009E6B0000}"/>
    <cellStyle name="40% - Accent3 4 2 3 2 4 3" xfId="30318" xr:uid="{00000000-0005-0000-0000-00009F6B0000}"/>
    <cellStyle name="40% - Accent3 4 2 3 2 5" xfId="13367" xr:uid="{00000000-0005-0000-0000-0000A06B0000}"/>
    <cellStyle name="40% - Accent3 4 2 3 2 5 2" xfId="35969" xr:uid="{00000000-0005-0000-0000-0000A16B0000}"/>
    <cellStyle name="40% - Accent3 4 2 3 2 6" xfId="24668" xr:uid="{00000000-0005-0000-0000-0000A26B0000}"/>
    <cellStyle name="40% - Accent3 4 2 3 3" xfId="2531" xr:uid="{00000000-0005-0000-0000-0000A36B0000}"/>
    <cellStyle name="40% - Accent3 4 2 3 3 2" xfId="5550" xr:uid="{00000000-0005-0000-0000-0000A46B0000}"/>
    <cellStyle name="40% - Accent3 4 2 3 3 2 2" xfId="11200" xr:uid="{00000000-0005-0000-0000-0000A56B0000}"/>
    <cellStyle name="40% - Accent3 4 2 3 3 2 2 2" xfId="22501" xr:uid="{00000000-0005-0000-0000-0000A66B0000}"/>
    <cellStyle name="40% - Accent3 4 2 3 3 2 2 2 2" xfId="45103" xr:uid="{00000000-0005-0000-0000-0000A76B0000}"/>
    <cellStyle name="40% - Accent3 4 2 3 3 2 2 3" xfId="33802" xr:uid="{00000000-0005-0000-0000-0000A86B0000}"/>
    <cellStyle name="40% - Accent3 4 2 3 3 2 3" xfId="16851" xr:uid="{00000000-0005-0000-0000-0000A96B0000}"/>
    <cellStyle name="40% - Accent3 4 2 3 3 2 3 2" xfId="39453" xr:uid="{00000000-0005-0000-0000-0000AA6B0000}"/>
    <cellStyle name="40% - Accent3 4 2 3 3 2 4" xfId="28152" xr:uid="{00000000-0005-0000-0000-0000AB6B0000}"/>
    <cellStyle name="40% - Accent3 4 2 3 3 3" xfId="8367" xr:uid="{00000000-0005-0000-0000-0000AC6B0000}"/>
    <cellStyle name="40% - Accent3 4 2 3 3 3 2" xfId="19668" xr:uid="{00000000-0005-0000-0000-0000AD6B0000}"/>
    <cellStyle name="40% - Accent3 4 2 3 3 3 2 2" xfId="42270" xr:uid="{00000000-0005-0000-0000-0000AE6B0000}"/>
    <cellStyle name="40% - Accent3 4 2 3 3 3 3" xfId="30969" xr:uid="{00000000-0005-0000-0000-0000AF6B0000}"/>
    <cellStyle name="40% - Accent3 4 2 3 3 4" xfId="14018" xr:uid="{00000000-0005-0000-0000-0000B06B0000}"/>
    <cellStyle name="40% - Accent3 4 2 3 3 4 2" xfId="36620" xr:uid="{00000000-0005-0000-0000-0000B16B0000}"/>
    <cellStyle name="40% - Accent3 4 2 3 3 5" xfId="25319" xr:uid="{00000000-0005-0000-0000-0000B26B0000}"/>
    <cellStyle name="40% - Accent3 4 2 3 4" xfId="4316" xr:uid="{00000000-0005-0000-0000-0000B36B0000}"/>
    <cellStyle name="40% - Accent3 4 2 3 4 2" xfId="9966" xr:uid="{00000000-0005-0000-0000-0000B46B0000}"/>
    <cellStyle name="40% - Accent3 4 2 3 4 2 2" xfId="21267" xr:uid="{00000000-0005-0000-0000-0000B56B0000}"/>
    <cellStyle name="40% - Accent3 4 2 3 4 2 2 2" xfId="43869" xr:uid="{00000000-0005-0000-0000-0000B66B0000}"/>
    <cellStyle name="40% - Accent3 4 2 3 4 2 3" xfId="32568" xr:uid="{00000000-0005-0000-0000-0000B76B0000}"/>
    <cellStyle name="40% - Accent3 4 2 3 4 3" xfId="15617" xr:uid="{00000000-0005-0000-0000-0000B86B0000}"/>
    <cellStyle name="40% - Accent3 4 2 3 4 3 2" xfId="38219" xr:uid="{00000000-0005-0000-0000-0000B96B0000}"/>
    <cellStyle name="40% - Accent3 4 2 3 4 4" xfId="26918" xr:uid="{00000000-0005-0000-0000-0000BA6B0000}"/>
    <cellStyle name="40% - Accent3 4 2 3 5" xfId="7113" xr:uid="{00000000-0005-0000-0000-0000BB6B0000}"/>
    <cellStyle name="40% - Accent3 4 2 3 5 2" xfId="18414" xr:uid="{00000000-0005-0000-0000-0000BC6B0000}"/>
    <cellStyle name="40% - Accent3 4 2 3 5 2 2" xfId="41016" xr:uid="{00000000-0005-0000-0000-0000BD6B0000}"/>
    <cellStyle name="40% - Accent3 4 2 3 5 3" xfId="29715" xr:uid="{00000000-0005-0000-0000-0000BE6B0000}"/>
    <cellStyle name="40% - Accent3 4 2 3 6" xfId="12764" xr:uid="{00000000-0005-0000-0000-0000BF6B0000}"/>
    <cellStyle name="40% - Accent3 4 2 3 6 2" xfId="35366" xr:uid="{00000000-0005-0000-0000-0000C06B0000}"/>
    <cellStyle name="40% - Accent3 4 2 3 7" xfId="24065" xr:uid="{00000000-0005-0000-0000-0000C16B0000}"/>
    <cellStyle name="40% - Accent3 4 2 4" xfId="824" xr:uid="{00000000-0005-0000-0000-0000C26B0000}"/>
    <cellStyle name="40% - Accent3 4 2 4 2" xfId="2895" xr:uid="{00000000-0005-0000-0000-0000C36B0000}"/>
    <cellStyle name="40% - Accent3 4 2 4 2 2" xfId="5867" xr:uid="{00000000-0005-0000-0000-0000C46B0000}"/>
    <cellStyle name="40% - Accent3 4 2 4 2 2 2" xfId="11517" xr:uid="{00000000-0005-0000-0000-0000C56B0000}"/>
    <cellStyle name="40% - Accent3 4 2 4 2 2 2 2" xfId="22818" xr:uid="{00000000-0005-0000-0000-0000C66B0000}"/>
    <cellStyle name="40% - Accent3 4 2 4 2 2 2 2 2" xfId="45420" xr:uid="{00000000-0005-0000-0000-0000C76B0000}"/>
    <cellStyle name="40% - Accent3 4 2 4 2 2 2 3" xfId="34119" xr:uid="{00000000-0005-0000-0000-0000C86B0000}"/>
    <cellStyle name="40% - Accent3 4 2 4 2 2 3" xfId="17168" xr:uid="{00000000-0005-0000-0000-0000C96B0000}"/>
    <cellStyle name="40% - Accent3 4 2 4 2 2 3 2" xfId="39770" xr:uid="{00000000-0005-0000-0000-0000CA6B0000}"/>
    <cellStyle name="40% - Accent3 4 2 4 2 2 4" xfId="28469" xr:uid="{00000000-0005-0000-0000-0000CB6B0000}"/>
    <cellStyle name="40% - Accent3 4 2 4 2 3" xfId="8685" xr:uid="{00000000-0005-0000-0000-0000CC6B0000}"/>
    <cellStyle name="40% - Accent3 4 2 4 2 3 2" xfId="19986" xr:uid="{00000000-0005-0000-0000-0000CD6B0000}"/>
    <cellStyle name="40% - Accent3 4 2 4 2 3 2 2" xfId="42588" xr:uid="{00000000-0005-0000-0000-0000CE6B0000}"/>
    <cellStyle name="40% - Accent3 4 2 4 2 3 3" xfId="31287" xr:uid="{00000000-0005-0000-0000-0000CF6B0000}"/>
    <cellStyle name="40% - Accent3 4 2 4 2 4" xfId="14336" xr:uid="{00000000-0005-0000-0000-0000D06B0000}"/>
    <cellStyle name="40% - Accent3 4 2 4 2 4 2" xfId="36938" xr:uid="{00000000-0005-0000-0000-0000D16B0000}"/>
    <cellStyle name="40% - Accent3 4 2 4 2 5" xfId="25637" xr:uid="{00000000-0005-0000-0000-0000D26B0000}"/>
    <cellStyle name="40% - Accent3 4 2 4 3" xfId="4633" xr:uid="{00000000-0005-0000-0000-0000D36B0000}"/>
    <cellStyle name="40% - Accent3 4 2 4 3 2" xfId="10283" xr:uid="{00000000-0005-0000-0000-0000D46B0000}"/>
    <cellStyle name="40% - Accent3 4 2 4 3 2 2" xfId="21584" xr:uid="{00000000-0005-0000-0000-0000D56B0000}"/>
    <cellStyle name="40% - Accent3 4 2 4 3 2 2 2" xfId="44186" xr:uid="{00000000-0005-0000-0000-0000D66B0000}"/>
    <cellStyle name="40% - Accent3 4 2 4 3 2 3" xfId="32885" xr:uid="{00000000-0005-0000-0000-0000D76B0000}"/>
    <cellStyle name="40% - Accent3 4 2 4 3 3" xfId="15934" xr:uid="{00000000-0005-0000-0000-0000D86B0000}"/>
    <cellStyle name="40% - Accent3 4 2 4 3 3 2" xfId="38536" xr:uid="{00000000-0005-0000-0000-0000D96B0000}"/>
    <cellStyle name="40% - Accent3 4 2 4 3 4" xfId="27235" xr:uid="{00000000-0005-0000-0000-0000DA6B0000}"/>
    <cellStyle name="40% - Accent3 4 2 4 4" xfId="6820" xr:uid="{00000000-0005-0000-0000-0000DB6B0000}"/>
    <cellStyle name="40% - Accent3 4 2 4 4 2" xfId="18121" xr:uid="{00000000-0005-0000-0000-0000DC6B0000}"/>
    <cellStyle name="40% - Accent3 4 2 4 4 2 2" xfId="40723" xr:uid="{00000000-0005-0000-0000-0000DD6B0000}"/>
    <cellStyle name="40% - Accent3 4 2 4 4 3" xfId="29422" xr:uid="{00000000-0005-0000-0000-0000DE6B0000}"/>
    <cellStyle name="40% - Accent3 4 2 4 5" xfId="12471" xr:uid="{00000000-0005-0000-0000-0000DF6B0000}"/>
    <cellStyle name="40% - Accent3 4 2 4 5 2" xfId="35073" xr:uid="{00000000-0005-0000-0000-0000E06B0000}"/>
    <cellStyle name="40% - Accent3 4 2 4 6" xfId="23772" xr:uid="{00000000-0005-0000-0000-0000E16B0000}"/>
    <cellStyle name="40% - Accent3 4 2 5" xfId="1857" xr:uid="{00000000-0005-0000-0000-0000E26B0000}"/>
    <cellStyle name="40% - Accent3 4 2 5 2" xfId="3700" xr:uid="{00000000-0005-0000-0000-0000E36B0000}"/>
    <cellStyle name="40% - Accent3 4 2 5 2 2" xfId="9410" xr:uid="{00000000-0005-0000-0000-0000E46B0000}"/>
    <cellStyle name="40% - Accent3 4 2 5 2 2 2" xfId="20711" xr:uid="{00000000-0005-0000-0000-0000E56B0000}"/>
    <cellStyle name="40% - Accent3 4 2 5 2 2 2 2" xfId="43313" xr:uid="{00000000-0005-0000-0000-0000E66B0000}"/>
    <cellStyle name="40% - Accent3 4 2 5 2 2 3" xfId="32012" xr:uid="{00000000-0005-0000-0000-0000E76B0000}"/>
    <cellStyle name="40% - Accent3 4 2 5 2 3" xfId="15061" xr:uid="{00000000-0005-0000-0000-0000E86B0000}"/>
    <cellStyle name="40% - Accent3 4 2 5 2 3 2" xfId="37663" xr:uid="{00000000-0005-0000-0000-0000E96B0000}"/>
    <cellStyle name="40% - Accent3 4 2 5 2 4" xfId="26362" xr:uid="{00000000-0005-0000-0000-0000EA6B0000}"/>
    <cellStyle name="40% - Accent3 4 2 5 3" xfId="5243" xr:uid="{00000000-0005-0000-0000-0000EB6B0000}"/>
    <cellStyle name="40% - Accent3 4 2 5 3 2" xfId="10893" xr:uid="{00000000-0005-0000-0000-0000EC6B0000}"/>
    <cellStyle name="40% - Accent3 4 2 5 3 2 2" xfId="22194" xr:uid="{00000000-0005-0000-0000-0000ED6B0000}"/>
    <cellStyle name="40% - Accent3 4 2 5 3 2 2 2" xfId="44796" xr:uid="{00000000-0005-0000-0000-0000EE6B0000}"/>
    <cellStyle name="40% - Accent3 4 2 5 3 2 3" xfId="33495" xr:uid="{00000000-0005-0000-0000-0000EF6B0000}"/>
    <cellStyle name="40% - Accent3 4 2 5 3 3" xfId="16544" xr:uid="{00000000-0005-0000-0000-0000F06B0000}"/>
    <cellStyle name="40% - Accent3 4 2 5 3 3 2" xfId="39146" xr:uid="{00000000-0005-0000-0000-0000F16B0000}"/>
    <cellStyle name="40% - Accent3 4 2 5 3 4" xfId="27845" xr:uid="{00000000-0005-0000-0000-0000F26B0000}"/>
    <cellStyle name="40% - Accent3 4 2 5 4" xfId="7713" xr:uid="{00000000-0005-0000-0000-0000F36B0000}"/>
    <cellStyle name="40% - Accent3 4 2 5 4 2" xfId="19014" xr:uid="{00000000-0005-0000-0000-0000F46B0000}"/>
    <cellStyle name="40% - Accent3 4 2 5 4 2 2" xfId="41616" xr:uid="{00000000-0005-0000-0000-0000F56B0000}"/>
    <cellStyle name="40% - Accent3 4 2 5 4 3" xfId="30315" xr:uid="{00000000-0005-0000-0000-0000F66B0000}"/>
    <cellStyle name="40% - Accent3 4 2 5 5" xfId="13364" xr:uid="{00000000-0005-0000-0000-0000F76B0000}"/>
    <cellStyle name="40% - Accent3 4 2 5 5 2" xfId="35966" xr:uid="{00000000-0005-0000-0000-0000F86B0000}"/>
    <cellStyle name="40% - Accent3 4 2 5 6" xfId="24665" xr:uid="{00000000-0005-0000-0000-0000F96B0000}"/>
    <cellStyle name="40% - Accent3 4 2 6" xfId="2222" xr:uid="{00000000-0005-0000-0000-0000FA6B0000}"/>
    <cellStyle name="40% - Accent3 4 2 6 2" xfId="8058" xr:uid="{00000000-0005-0000-0000-0000FB6B0000}"/>
    <cellStyle name="40% - Accent3 4 2 6 2 2" xfId="19359" xr:uid="{00000000-0005-0000-0000-0000FC6B0000}"/>
    <cellStyle name="40% - Accent3 4 2 6 2 2 2" xfId="41961" xr:uid="{00000000-0005-0000-0000-0000FD6B0000}"/>
    <cellStyle name="40% - Accent3 4 2 6 2 3" xfId="30660" xr:uid="{00000000-0005-0000-0000-0000FE6B0000}"/>
    <cellStyle name="40% - Accent3 4 2 6 3" xfId="13709" xr:uid="{00000000-0005-0000-0000-0000FF6B0000}"/>
    <cellStyle name="40% - Accent3 4 2 6 3 2" xfId="36311" xr:uid="{00000000-0005-0000-0000-0000006C0000}"/>
    <cellStyle name="40% - Accent3 4 2 6 4" xfId="25010" xr:uid="{00000000-0005-0000-0000-0000016C0000}"/>
    <cellStyle name="40% - Accent3 4 2 7" xfId="4009" xr:uid="{00000000-0005-0000-0000-0000026C0000}"/>
    <cellStyle name="40% - Accent3 4 2 7 2" xfId="9659" xr:uid="{00000000-0005-0000-0000-0000036C0000}"/>
    <cellStyle name="40% - Accent3 4 2 7 2 2" xfId="20960" xr:uid="{00000000-0005-0000-0000-0000046C0000}"/>
    <cellStyle name="40% - Accent3 4 2 7 2 2 2" xfId="43562" xr:uid="{00000000-0005-0000-0000-0000056C0000}"/>
    <cellStyle name="40% - Accent3 4 2 7 2 3" xfId="32261" xr:uid="{00000000-0005-0000-0000-0000066C0000}"/>
    <cellStyle name="40% - Accent3 4 2 7 3" xfId="15310" xr:uid="{00000000-0005-0000-0000-0000076C0000}"/>
    <cellStyle name="40% - Accent3 4 2 7 3 2" xfId="37912" xr:uid="{00000000-0005-0000-0000-0000086C0000}"/>
    <cellStyle name="40% - Accent3 4 2 7 4" xfId="26611" xr:uid="{00000000-0005-0000-0000-0000096C0000}"/>
    <cellStyle name="40% - Accent3 4 2 8" xfId="6460" xr:uid="{00000000-0005-0000-0000-00000A6C0000}"/>
    <cellStyle name="40% - Accent3 4 2 8 2" xfId="17761" xr:uid="{00000000-0005-0000-0000-00000B6C0000}"/>
    <cellStyle name="40% - Accent3 4 2 8 2 2" xfId="40363" xr:uid="{00000000-0005-0000-0000-00000C6C0000}"/>
    <cellStyle name="40% - Accent3 4 2 8 3" xfId="29062" xr:uid="{00000000-0005-0000-0000-00000D6C0000}"/>
    <cellStyle name="40% - Accent3 4 2 9" xfId="12111" xr:uid="{00000000-0005-0000-0000-00000E6C0000}"/>
    <cellStyle name="40% - Accent3 4 2 9 2" xfId="34713" xr:uid="{00000000-0005-0000-0000-00000F6C0000}"/>
    <cellStyle name="40% - Accent3 4 3" xfId="366" xr:uid="{00000000-0005-0000-0000-0000106C0000}"/>
    <cellStyle name="40% - Accent3 4 3 10" xfId="23461" xr:uid="{00000000-0005-0000-0000-0000116C0000}"/>
    <cellStyle name="40% - Accent3 4 3 2" xfId="611" xr:uid="{00000000-0005-0000-0000-0000126C0000}"/>
    <cellStyle name="40% - Accent3 4 3 2 2" xfId="1321" xr:uid="{00000000-0005-0000-0000-0000136C0000}"/>
    <cellStyle name="40% - Accent3 4 3 2 2 2" xfId="1863" xr:uid="{00000000-0005-0000-0000-0000146C0000}"/>
    <cellStyle name="40% - Accent3 4 3 2 2 2 2" xfId="3390" xr:uid="{00000000-0005-0000-0000-0000156C0000}"/>
    <cellStyle name="40% - Accent3 4 3 2 2 2 2 2" xfId="6362" xr:uid="{00000000-0005-0000-0000-0000166C0000}"/>
    <cellStyle name="40% - Accent3 4 3 2 2 2 2 2 2" xfId="12012" xr:uid="{00000000-0005-0000-0000-0000176C0000}"/>
    <cellStyle name="40% - Accent3 4 3 2 2 2 2 2 2 2" xfId="23313" xr:uid="{00000000-0005-0000-0000-0000186C0000}"/>
    <cellStyle name="40% - Accent3 4 3 2 2 2 2 2 2 2 2" xfId="45915" xr:uid="{00000000-0005-0000-0000-0000196C0000}"/>
    <cellStyle name="40% - Accent3 4 3 2 2 2 2 2 2 3" xfId="34614" xr:uid="{00000000-0005-0000-0000-00001A6C0000}"/>
    <cellStyle name="40% - Accent3 4 3 2 2 2 2 2 3" xfId="17663" xr:uid="{00000000-0005-0000-0000-00001B6C0000}"/>
    <cellStyle name="40% - Accent3 4 3 2 2 2 2 2 3 2" xfId="40265" xr:uid="{00000000-0005-0000-0000-00001C6C0000}"/>
    <cellStyle name="40% - Accent3 4 3 2 2 2 2 2 4" xfId="28964" xr:uid="{00000000-0005-0000-0000-00001D6C0000}"/>
    <cellStyle name="40% - Accent3 4 3 2 2 2 2 3" xfId="9180" xr:uid="{00000000-0005-0000-0000-00001E6C0000}"/>
    <cellStyle name="40% - Accent3 4 3 2 2 2 2 3 2" xfId="20481" xr:uid="{00000000-0005-0000-0000-00001F6C0000}"/>
    <cellStyle name="40% - Accent3 4 3 2 2 2 2 3 2 2" xfId="43083" xr:uid="{00000000-0005-0000-0000-0000206C0000}"/>
    <cellStyle name="40% - Accent3 4 3 2 2 2 2 3 3" xfId="31782" xr:uid="{00000000-0005-0000-0000-0000216C0000}"/>
    <cellStyle name="40% - Accent3 4 3 2 2 2 2 4" xfId="14831" xr:uid="{00000000-0005-0000-0000-0000226C0000}"/>
    <cellStyle name="40% - Accent3 4 3 2 2 2 2 4 2" xfId="37433" xr:uid="{00000000-0005-0000-0000-0000236C0000}"/>
    <cellStyle name="40% - Accent3 4 3 2 2 2 2 5" xfId="26132" xr:uid="{00000000-0005-0000-0000-0000246C0000}"/>
    <cellStyle name="40% - Accent3 4 3 2 2 2 3" xfId="5128" xr:uid="{00000000-0005-0000-0000-0000256C0000}"/>
    <cellStyle name="40% - Accent3 4 3 2 2 2 3 2" xfId="10778" xr:uid="{00000000-0005-0000-0000-0000266C0000}"/>
    <cellStyle name="40% - Accent3 4 3 2 2 2 3 2 2" xfId="22079" xr:uid="{00000000-0005-0000-0000-0000276C0000}"/>
    <cellStyle name="40% - Accent3 4 3 2 2 2 3 2 2 2" xfId="44681" xr:uid="{00000000-0005-0000-0000-0000286C0000}"/>
    <cellStyle name="40% - Accent3 4 3 2 2 2 3 2 3" xfId="33380" xr:uid="{00000000-0005-0000-0000-0000296C0000}"/>
    <cellStyle name="40% - Accent3 4 3 2 2 2 3 3" xfId="16429" xr:uid="{00000000-0005-0000-0000-00002A6C0000}"/>
    <cellStyle name="40% - Accent3 4 3 2 2 2 3 3 2" xfId="39031" xr:uid="{00000000-0005-0000-0000-00002B6C0000}"/>
    <cellStyle name="40% - Accent3 4 3 2 2 2 3 4" xfId="27730" xr:uid="{00000000-0005-0000-0000-00002C6C0000}"/>
    <cellStyle name="40% - Accent3 4 3 2 2 2 4" xfId="7719" xr:uid="{00000000-0005-0000-0000-00002D6C0000}"/>
    <cellStyle name="40% - Accent3 4 3 2 2 2 4 2" xfId="19020" xr:uid="{00000000-0005-0000-0000-00002E6C0000}"/>
    <cellStyle name="40% - Accent3 4 3 2 2 2 4 2 2" xfId="41622" xr:uid="{00000000-0005-0000-0000-00002F6C0000}"/>
    <cellStyle name="40% - Accent3 4 3 2 2 2 4 3" xfId="30321" xr:uid="{00000000-0005-0000-0000-0000306C0000}"/>
    <cellStyle name="40% - Accent3 4 3 2 2 2 5" xfId="13370" xr:uid="{00000000-0005-0000-0000-0000316C0000}"/>
    <cellStyle name="40% - Accent3 4 3 2 2 2 5 2" xfId="35972" xr:uid="{00000000-0005-0000-0000-0000326C0000}"/>
    <cellStyle name="40% - Accent3 4 3 2 2 2 6" xfId="24671" xr:uid="{00000000-0005-0000-0000-0000336C0000}"/>
    <cellStyle name="40% - Accent3 4 3 2 2 3" xfId="2719" xr:uid="{00000000-0005-0000-0000-0000346C0000}"/>
    <cellStyle name="40% - Accent3 4 3 2 2 3 2" xfId="5738" xr:uid="{00000000-0005-0000-0000-0000356C0000}"/>
    <cellStyle name="40% - Accent3 4 3 2 2 3 2 2" xfId="11388" xr:uid="{00000000-0005-0000-0000-0000366C0000}"/>
    <cellStyle name="40% - Accent3 4 3 2 2 3 2 2 2" xfId="22689" xr:uid="{00000000-0005-0000-0000-0000376C0000}"/>
    <cellStyle name="40% - Accent3 4 3 2 2 3 2 2 2 2" xfId="45291" xr:uid="{00000000-0005-0000-0000-0000386C0000}"/>
    <cellStyle name="40% - Accent3 4 3 2 2 3 2 2 3" xfId="33990" xr:uid="{00000000-0005-0000-0000-0000396C0000}"/>
    <cellStyle name="40% - Accent3 4 3 2 2 3 2 3" xfId="17039" xr:uid="{00000000-0005-0000-0000-00003A6C0000}"/>
    <cellStyle name="40% - Accent3 4 3 2 2 3 2 3 2" xfId="39641" xr:uid="{00000000-0005-0000-0000-00003B6C0000}"/>
    <cellStyle name="40% - Accent3 4 3 2 2 3 2 4" xfId="28340" xr:uid="{00000000-0005-0000-0000-00003C6C0000}"/>
    <cellStyle name="40% - Accent3 4 3 2 2 3 3" xfId="8555" xr:uid="{00000000-0005-0000-0000-00003D6C0000}"/>
    <cellStyle name="40% - Accent3 4 3 2 2 3 3 2" xfId="19856" xr:uid="{00000000-0005-0000-0000-00003E6C0000}"/>
    <cellStyle name="40% - Accent3 4 3 2 2 3 3 2 2" xfId="42458" xr:uid="{00000000-0005-0000-0000-00003F6C0000}"/>
    <cellStyle name="40% - Accent3 4 3 2 2 3 3 3" xfId="31157" xr:uid="{00000000-0005-0000-0000-0000406C0000}"/>
    <cellStyle name="40% - Accent3 4 3 2 2 3 4" xfId="14206" xr:uid="{00000000-0005-0000-0000-0000416C0000}"/>
    <cellStyle name="40% - Accent3 4 3 2 2 3 4 2" xfId="36808" xr:uid="{00000000-0005-0000-0000-0000426C0000}"/>
    <cellStyle name="40% - Accent3 4 3 2 2 3 5" xfId="25507" xr:uid="{00000000-0005-0000-0000-0000436C0000}"/>
    <cellStyle name="40% - Accent3 4 3 2 2 4" xfId="4504" xr:uid="{00000000-0005-0000-0000-0000446C0000}"/>
    <cellStyle name="40% - Accent3 4 3 2 2 4 2" xfId="10154" xr:uid="{00000000-0005-0000-0000-0000456C0000}"/>
    <cellStyle name="40% - Accent3 4 3 2 2 4 2 2" xfId="21455" xr:uid="{00000000-0005-0000-0000-0000466C0000}"/>
    <cellStyle name="40% - Accent3 4 3 2 2 4 2 2 2" xfId="44057" xr:uid="{00000000-0005-0000-0000-0000476C0000}"/>
    <cellStyle name="40% - Accent3 4 3 2 2 4 2 3" xfId="32756" xr:uid="{00000000-0005-0000-0000-0000486C0000}"/>
    <cellStyle name="40% - Accent3 4 3 2 2 4 3" xfId="15805" xr:uid="{00000000-0005-0000-0000-0000496C0000}"/>
    <cellStyle name="40% - Accent3 4 3 2 2 4 3 2" xfId="38407" xr:uid="{00000000-0005-0000-0000-00004A6C0000}"/>
    <cellStyle name="40% - Accent3 4 3 2 2 4 4" xfId="27106" xr:uid="{00000000-0005-0000-0000-00004B6C0000}"/>
    <cellStyle name="40% - Accent3 4 3 2 2 5" xfId="7300" xr:uid="{00000000-0005-0000-0000-00004C6C0000}"/>
    <cellStyle name="40% - Accent3 4 3 2 2 5 2" xfId="18601" xr:uid="{00000000-0005-0000-0000-00004D6C0000}"/>
    <cellStyle name="40% - Accent3 4 3 2 2 5 2 2" xfId="41203" xr:uid="{00000000-0005-0000-0000-00004E6C0000}"/>
    <cellStyle name="40% - Accent3 4 3 2 2 5 3" xfId="29902" xr:uid="{00000000-0005-0000-0000-00004F6C0000}"/>
    <cellStyle name="40% - Accent3 4 3 2 2 6" xfId="12951" xr:uid="{00000000-0005-0000-0000-0000506C0000}"/>
    <cellStyle name="40% - Accent3 4 3 2 2 6 2" xfId="35553" xr:uid="{00000000-0005-0000-0000-0000516C0000}"/>
    <cellStyle name="40% - Accent3 4 3 2 2 7" xfId="24252" xr:uid="{00000000-0005-0000-0000-0000526C0000}"/>
    <cellStyle name="40% - Accent3 4 3 2 3" xfId="1019" xr:uid="{00000000-0005-0000-0000-0000536C0000}"/>
    <cellStyle name="40% - Accent3 4 3 2 3 2" xfId="3082" xr:uid="{00000000-0005-0000-0000-0000546C0000}"/>
    <cellStyle name="40% - Accent3 4 3 2 3 2 2" xfId="6054" xr:uid="{00000000-0005-0000-0000-0000556C0000}"/>
    <cellStyle name="40% - Accent3 4 3 2 3 2 2 2" xfId="11704" xr:uid="{00000000-0005-0000-0000-0000566C0000}"/>
    <cellStyle name="40% - Accent3 4 3 2 3 2 2 2 2" xfId="23005" xr:uid="{00000000-0005-0000-0000-0000576C0000}"/>
    <cellStyle name="40% - Accent3 4 3 2 3 2 2 2 2 2" xfId="45607" xr:uid="{00000000-0005-0000-0000-0000586C0000}"/>
    <cellStyle name="40% - Accent3 4 3 2 3 2 2 2 3" xfId="34306" xr:uid="{00000000-0005-0000-0000-0000596C0000}"/>
    <cellStyle name="40% - Accent3 4 3 2 3 2 2 3" xfId="17355" xr:uid="{00000000-0005-0000-0000-00005A6C0000}"/>
    <cellStyle name="40% - Accent3 4 3 2 3 2 2 3 2" xfId="39957" xr:uid="{00000000-0005-0000-0000-00005B6C0000}"/>
    <cellStyle name="40% - Accent3 4 3 2 3 2 2 4" xfId="28656" xr:uid="{00000000-0005-0000-0000-00005C6C0000}"/>
    <cellStyle name="40% - Accent3 4 3 2 3 2 3" xfId="8872" xr:uid="{00000000-0005-0000-0000-00005D6C0000}"/>
    <cellStyle name="40% - Accent3 4 3 2 3 2 3 2" xfId="20173" xr:uid="{00000000-0005-0000-0000-00005E6C0000}"/>
    <cellStyle name="40% - Accent3 4 3 2 3 2 3 2 2" xfId="42775" xr:uid="{00000000-0005-0000-0000-00005F6C0000}"/>
    <cellStyle name="40% - Accent3 4 3 2 3 2 3 3" xfId="31474" xr:uid="{00000000-0005-0000-0000-0000606C0000}"/>
    <cellStyle name="40% - Accent3 4 3 2 3 2 4" xfId="14523" xr:uid="{00000000-0005-0000-0000-0000616C0000}"/>
    <cellStyle name="40% - Accent3 4 3 2 3 2 4 2" xfId="37125" xr:uid="{00000000-0005-0000-0000-0000626C0000}"/>
    <cellStyle name="40% - Accent3 4 3 2 3 2 5" xfId="25824" xr:uid="{00000000-0005-0000-0000-0000636C0000}"/>
    <cellStyle name="40% - Accent3 4 3 2 3 3" xfId="4820" xr:uid="{00000000-0005-0000-0000-0000646C0000}"/>
    <cellStyle name="40% - Accent3 4 3 2 3 3 2" xfId="10470" xr:uid="{00000000-0005-0000-0000-0000656C0000}"/>
    <cellStyle name="40% - Accent3 4 3 2 3 3 2 2" xfId="21771" xr:uid="{00000000-0005-0000-0000-0000666C0000}"/>
    <cellStyle name="40% - Accent3 4 3 2 3 3 2 2 2" xfId="44373" xr:uid="{00000000-0005-0000-0000-0000676C0000}"/>
    <cellStyle name="40% - Accent3 4 3 2 3 3 2 3" xfId="33072" xr:uid="{00000000-0005-0000-0000-0000686C0000}"/>
    <cellStyle name="40% - Accent3 4 3 2 3 3 3" xfId="16121" xr:uid="{00000000-0005-0000-0000-0000696C0000}"/>
    <cellStyle name="40% - Accent3 4 3 2 3 3 3 2" xfId="38723" xr:uid="{00000000-0005-0000-0000-00006A6C0000}"/>
    <cellStyle name="40% - Accent3 4 3 2 3 3 4" xfId="27422" xr:uid="{00000000-0005-0000-0000-00006B6C0000}"/>
    <cellStyle name="40% - Accent3 4 3 2 3 4" xfId="7007" xr:uid="{00000000-0005-0000-0000-00006C6C0000}"/>
    <cellStyle name="40% - Accent3 4 3 2 3 4 2" xfId="18308" xr:uid="{00000000-0005-0000-0000-00006D6C0000}"/>
    <cellStyle name="40% - Accent3 4 3 2 3 4 2 2" xfId="40910" xr:uid="{00000000-0005-0000-0000-00006E6C0000}"/>
    <cellStyle name="40% - Accent3 4 3 2 3 4 3" xfId="29609" xr:uid="{00000000-0005-0000-0000-00006F6C0000}"/>
    <cellStyle name="40% - Accent3 4 3 2 3 5" xfId="12658" xr:uid="{00000000-0005-0000-0000-0000706C0000}"/>
    <cellStyle name="40% - Accent3 4 3 2 3 5 2" xfId="35260" xr:uid="{00000000-0005-0000-0000-0000716C0000}"/>
    <cellStyle name="40% - Accent3 4 3 2 3 6" xfId="23959" xr:uid="{00000000-0005-0000-0000-0000726C0000}"/>
    <cellStyle name="40% - Accent3 4 3 2 4" xfId="1862" xr:uid="{00000000-0005-0000-0000-0000736C0000}"/>
    <cellStyle name="40% - Accent3 4 3 2 4 2" xfId="3703" xr:uid="{00000000-0005-0000-0000-0000746C0000}"/>
    <cellStyle name="40% - Accent3 4 3 2 4 2 2" xfId="9413" xr:uid="{00000000-0005-0000-0000-0000756C0000}"/>
    <cellStyle name="40% - Accent3 4 3 2 4 2 2 2" xfId="20714" xr:uid="{00000000-0005-0000-0000-0000766C0000}"/>
    <cellStyle name="40% - Accent3 4 3 2 4 2 2 2 2" xfId="43316" xr:uid="{00000000-0005-0000-0000-0000776C0000}"/>
    <cellStyle name="40% - Accent3 4 3 2 4 2 2 3" xfId="32015" xr:uid="{00000000-0005-0000-0000-0000786C0000}"/>
    <cellStyle name="40% - Accent3 4 3 2 4 2 3" xfId="15064" xr:uid="{00000000-0005-0000-0000-0000796C0000}"/>
    <cellStyle name="40% - Accent3 4 3 2 4 2 3 2" xfId="37666" xr:uid="{00000000-0005-0000-0000-00007A6C0000}"/>
    <cellStyle name="40% - Accent3 4 3 2 4 2 4" xfId="26365" xr:uid="{00000000-0005-0000-0000-00007B6C0000}"/>
    <cellStyle name="40% - Accent3 4 3 2 4 3" xfId="5430" xr:uid="{00000000-0005-0000-0000-00007C6C0000}"/>
    <cellStyle name="40% - Accent3 4 3 2 4 3 2" xfId="11080" xr:uid="{00000000-0005-0000-0000-00007D6C0000}"/>
    <cellStyle name="40% - Accent3 4 3 2 4 3 2 2" xfId="22381" xr:uid="{00000000-0005-0000-0000-00007E6C0000}"/>
    <cellStyle name="40% - Accent3 4 3 2 4 3 2 2 2" xfId="44983" xr:uid="{00000000-0005-0000-0000-00007F6C0000}"/>
    <cellStyle name="40% - Accent3 4 3 2 4 3 2 3" xfId="33682" xr:uid="{00000000-0005-0000-0000-0000806C0000}"/>
    <cellStyle name="40% - Accent3 4 3 2 4 3 3" xfId="16731" xr:uid="{00000000-0005-0000-0000-0000816C0000}"/>
    <cellStyle name="40% - Accent3 4 3 2 4 3 3 2" xfId="39333" xr:uid="{00000000-0005-0000-0000-0000826C0000}"/>
    <cellStyle name="40% - Accent3 4 3 2 4 3 4" xfId="28032" xr:uid="{00000000-0005-0000-0000-0000836C0000}"/>
    <cellStyle name="40% - Accent3 4 3 2 4 4" xfId="7718" xr:uid="{00000000-0005-0000-0000-0000846C0000}"/>
    <cellStyle name="40% - Accent3 4 3 2 4 4 2" xfId="19019" xr:uid="{00000000-0005-0000-0000-0000856C0000}"/>
    <cellStyle name="40% - Accent3 4 3 2 4 4 2 2" xfId="41621" xr:uid="{00000000-0005-0000-0000-0000866C0000}"/>
    <cellStyle name="40% - Accent3 4 3 2 4 4 3" xfId="30320" xr:uid="{00000000-0005-0000-0000-0000876C0000}"/>
    <cellStyle name="40% - Accent3 4 3 2 4 5" xfId="13369" xr:uid="{00000000-0005-0000-0000-0000886C0000}"/>
    <cellStyle name="40% - Accent3 4 3 2 4 5 2" xfId="35971" xr:uid="{00000000-0005-0000-0000-0000896C0000}"/>
    <cellStyle name="40% - Accent3 4 3 2 4 6" xfId="24670" xr:uid="{00000000-0005-0000-0000-00008A6C0000}"/>
    <cellStyle name="40% - Accent3 4 3 2 5" xfId="2411" xr:uid="{00000000-0005-0000-0000-00008B6C0000}"/>
    <cellStyle name="40% - Accent3 4 3 2 5 2" xfId="8247" xr:uid="{00000000-0005-0000-0000-00008C6C0000}"/>
    <cellStyle name="40% - Accent3 4 3 2 5 2 2" xfId="19548" xr:uid="{00000000-0005-0000-0000-00008D6C0000}"/>
    <cellStyle name="40% - Accent3 4 3 2 5 2 2 2" xfId="42150" xr:uid="{00000000-0005-0000-0000-00008E6C0000}"/>
    <cellStyle name="40% - Accent3 4 3 2 5 2 3" xfId="30849" xr:uid="{00000000-0005-0000-0000-00008F6C0000}"/>
    <cellStyle name="40% - Accent3 4 3 2 5 3" xfId="13898" xr:uid="{00000000-0005-0000-0000-0000906C0000}"/>
    <cellStyle name="40% - Accent3 4 3 2 5 3 2" xfId="36500" xr:uid="{00000000-0005-0000-0000-0000916C0000}"/>
    <cellStyle name="40% - Accent3 4 3 2 5 4" xfId="25199" xr:uid="{00000000-0005-0000-0000-0000926C0000}"/>
    <cellStyle name="40% - Accent3 4 3 2 6" xfId="4196" xr:uid="{00000000-0005-0000-0000-0000936C0000}"/>
    <cellStyle name="40% - Accent3 4 3 2 6 2" xfId="9846" xr:uid="{00000000-0005-0000-0000-0000946C0000}"/>
    <cellStyle name="40% - Accent3 4 3 2 6 2 2" xfId="21147" xr:uid="{00000000-0005-0000-0000-0000956C0000}"/>
    <cellStyle name="40% - Accent3 4 3 2 6 2 2 2" xfId="43749" xr:uid="{00000000-0005-0000-0000-0000966C0000}"/>
    <cellStyle name="40% - Accent3 4 3 2 6 2 3" xfId="32448" xr:uid="{00000000-0005-0000-0000-0000976C0000}"/>
    <cellStyle name="40% - Accent3 4 3 2 6 3" xfId="15497" xr:uid="{00000000-0005-0000-0000-0000986C0000}"/>
    <cellStyle name="40% - Accent3 4 3 2 6 3 2" xfId="38099" xr:uid="{00000000-0005-0000-0000-0000996C0000}"/>
    <cellStyle name="40% - Accent3 4 3 2 6 4" xfId="26798" xr:uid="{00000000-0005-0000-0000-00009A6C0000}"/>
    <cellStyle name="40% - Accent3 4 3 2 7" xfId="6676" xr:uid="{00000000-0005-0000-0000-00009B6C0000}"/>
    <cellStyle name="40% - Accent3 4 3 2 7 2" xfId="17977" xr:uid="{00000000-0005-0000-0000-00009C6C0000}"/>
    <cellStyle name="40% - Accent3 4 3 2 7 2 2" xfId="40579" xr:uid="{00000000-0005-0000-0000-00009D6C0000}"/>
    <cellStyle name="40% - Accent3 4 3 2 7 3" xfId="29278" xr:uid="{00000000-0005-0000-0000-00009E6C0000}"/>
    <cellStyle name="40% - Accent3 4 3 2 8" xfId="12327" xr:uid="{00000000-0005-0000-0000-00009F6C0000}"/>
    <cellStyle name="40% - Accent3 4 3 2 8 2" xfId="34929" xr:uid="{00000000-0005-0000-0000-0000A06C0000}"/>
    <cellStyle name="40% - Accent3 4 3 2 9" xfId="23628" xr:uid="{00000000-0005-0000-0000-0000A16C0000}"/>
    <cellStyle name="40% - Accent3 4 3 3" xfId="1183" xr:uid="{00000000-0005-0000-0000-0000A26C0000}"/>
    <cellStyle name="40% - Accent3 4 3 3 2" xfId="1864" xr:uid="{00000000-0005-0000-0000-0000A36C0000}"/>
    <cellStyle name="40% - Accent3 4 3 3 2 2" xfId="3251" xr:uid="{00000000-0005-0000-0000-0000A46C0000}"/>
    <cellStyle name="40% - Accent3 4 3 3 2 2 2" xfId="6223" xr:uid="{00000000-0005-0000-0000-0000A56C0000}"/>
    <cellStyle name="40% - Accent3 4 3 3 2 2 2 2" xfId="11873" xr:uid="{00000000-0005-0000-0000-0000A66C0000}"/>
    <cellStyle name="40% - Accent3 4 3 3 2 2 2 2 2" xfId="23174" xr:uid="{00000000-0005-0000-0000-0000A76C0000}"/>
    <cellStyle name="40% - Accent3 4 3 3 2 2 2 2 2 2" xfId="45776" xr:uid="{00000000-0005-0000-0000-0000A86C0000}"/>
    <cellStyle name="40% - Accent3 4 3 3 2 2 2 2 3" xfId="34475" xr:uid="{00000000-0005-0000-0000-0000A96C0000}"/>
    <cellStyle name="40% - Accent3 4 3 3 2 2 2 3" xfId="17524" xr:uid="{00000000-0005-0000-0000-0000AA6C0000}"/>
    <cellStyle name="40% - Accent3 4 3 3 2 2 2 3 2" xfId="40126" xr:uid="{00000000-0005-0000-0000-0000AB6C0000}"/>
    <cellStyle name="40% - Accent3 4 3 3 2 2 2 4" xfId="28825" xr:uid="{00000000-0005-0000-0000-0000AC6C0000}"/>
    <cellStyle name="40% - Accent3 4 3 3 2 2 3" xfId="9041" xr:uid="{00000000-0005-0000-0000-0000AD6C0000}"/>
    <cellStyle name="40% - Accent3 4 3 3 2 2 3 2" xfId="20342" xr:uid="{00000000-0005-0000-0000-0000AE6C0000}"/>
    <cellStyle name="40% - Accent3 4 3 3 2 2 3 2 2" xfId="42944" xr:uid="{00000000-0005-0000-0000-0000AF6C0000}"/>
    <cellStyle name="40% - Accent3 4 3 3 2 2 3 3" xfId="31643" xr:uid="{00000000-0005-0000-0000-0000B06C0000}"/>
    <cellStyle name="40% - Accent3 4 3 3 2 2 4" xfId="14692" xr:uid="{00000000-0005-0000-0000-0000B16C0000}"/>
    <cellStyle name="40% - Accent3 4 3 3 2 2 4 2" xfId="37294" xr:uid="{00000000-0005-0000-0000-0000B26C0000}"/>
    <cellStyle name="40% - Accent3 4 3 3 2 2 5" xfId="25993" xr:uid="{00000000-0005-0000-0000-0000B36C0000}"/>
    <cellStyle name="40% - Accent3 4 3 3 2 3" xfId="4989" xr:uid="{00000000-0005-0000-0000-0000B46C0000}"/>
    <cellStyle name="40% - Accent3 4 3 3 2 3 2" xfId="10639" xr:uid="{00000000-0005-0000-0000-0000B56C0000}"/>
    <cellStyle name="40% - Accent3 4 3 3 2 3 2 2" xfId="21940" xr:uid="{00000000-0005-0000-0000-0000B66C0000}"/>
    <cellStyle name="40% - Accent3 4 3 3 2 3 2 2 2" xfId="44542" xr:uid="{00000000-0005-0000-0000-0000B76C0000}"/>
    <cellStyle name="40% - Accent3 4 3 3 2 3 2 3" xfId="33241" xr:uid="{00000000-0005-0000-0000-0000B86C0000}"/>
    <cellStyle name="40% - Accent3 4 3 3 2 3 3" xfId="16290" xr:uid="{00000000-0005-0000-0000-0000B96C0000}"/>
    <cellStyle name="40% - Accent3 4 3 3 2 3 3 2" xfId="38892" xr:uid="{00000000-0005-0000-0000-0000BA6C0000}"/>
    <cellStyle name="40% - Accent3 4 3 3 2 3 4" xfId="27591" xr:uid="{00000000-0005-0000-0000-0000BB6C0000}"/>
    <cellStyle name="40% - Accent3 4 3 3 2 4" xfId="7720" xr:uid="{00000000-0005-0000-0000-0000BC6C0000}"/>
    <cellStyle name="40% - Accent3 4 3 3 2 4 2" xfId="19021" xr:uid="{00000000-0005-0000-0000-0000BD6C0000}"/>
    <cellStyle name="40% - Accent3 4 3 3 2 4 2 2" xfId="41623" xr:uid="{00000000-0005-0000-0000-0000BE6C0000}"/>
    <cellStyle name="40% - Accent3 4 3 3 2 4 3" xfId="30322" xr:uid="{00000000-0005-0000-0000-0000BF6C0000}"/>
    <cellStyle name="40% - Accent3 4 3 3 2 5" xfId="13371" xr:uid="{00000000-0005-0000-0000-0000C06C0000}"/>
    <cellStyle name="40% - Accent3 4 3 3 2 5 2" xfId="35973" xr:uid="{00000000-0005-0000-0000-0000C16C0000}"/>
    <cellStyle name="40% - Accent3 4 3 3 2 6" xfId="24672" xr:uid="{00000000-0005-0000-0000-0000C26C0000}"/>
    <cellStyle name="40% - Accent3 4 3 3 3" xfId="2580" xr:uid="{00000000-0005-0000-0000-0000C36C0000}"/>
    <cellStyle name="40% - Accent3 4 3 3 3 2" xfId="5599" xr:uid="{00000000-0005-0000-0000-0000C46C0000}"/>
    <cellStyle name="40% - Accent3 4 3 3 3 2 2" xfId="11249" xr:uid="{00000000-0005-0000-0000-0000C56C0000}"/>
    <cellStyle name="40% - Accent3 4 3 3 3 2 2 2" xfId="22550" xr:uid="{00000000-0005-0000-0000-0000C66C0000}"/>
    <cellStyle name="40% - Accent3 4 3 3 3 2 2 2 2" xfId="45152" xr:uid="{00000000-0005-0000-0000-0000C76C0000}"/>
    <cellStyle name="40% - Accent3 4 3 3 3 2 2 3" xfId="33851" xr:uid="{00000000-0005-0000-0000-0000C86C0000}"/>
    <cellStyle name="40% - Accent3 4 3 3 3 2 3" xfId="16900" xr:uid="{00000000-0005-0000-0000-0000C96C0000}"/>
    <cellStyle name="40% - Accent3 4 3 3 3 2 3 2" xfId="39502" xr:uid="{00000000-0005-0000-0000-0000CA6C0000}"/>
    <cellStyle name="40% - Accent3 4 3 3 3 2 4" xfId="28201" xr:uid="{00000000-0005-0000-0000-0000CB6C0000}"/>
    <cellStyle name="40% - Accent3 4 3 3 3 3" xfId="8416" xr:uid="{00000000-0005-0000-0000-0000CC6C0000}"/>
    <cellStyle name="40% - Accent3 4 3 3 3 3 2" xfId="19717" xr:uid="{00000000-0005-0000-0000-0000CD6C0000}"/>
    <cellStyle name="40% - Accent3 4 3 3 3 3 2 2" xfId="42319" xr:uid="{00000000-0005-0000-0000-0000CE6C0000}"/>
    <cellStyle name="40% - Accent3 4 3 3 3 3 3" xfId="31018" xr:uid="{00000000-0005-0000-0000-0000CF6C0000}"/>
    <cellStyle name="40% - Accent3 4 3 3 3 4" xfId="14067" xr:uid="{00000000-0005-0000-0000-0000D06C0000}"/>
    <cellStyle name="40% - Accent3 4 3 3 3 4 2" xfId="36669" xr:uid="{00000000-0005-0000-0000-0000D16C0000}"/>
    <cellStyle name="40% - Accent3 4 3 3 3 5" xfId="25368" xr:uid="{00000000-0005-0000-0000-0000D26C0000}"/>
    <cellStyle name="40% - Accent3 4 3 3 4" xfId="4365" xr:uid="{00000000-0005-0000-0000-0000D36C0000}"/>
    <cellStyle name="40% - Accent3 4 3 3 4 2" xfId="10015" xr:uid="{00000000-0005-0000-0000-0000D46C0000}"/>
    <cellStyle name="40% - Accent3 4 3 3 4 2 2" xfId="21316" xr:uid="{00000000-0005-0000-0000-0000D56C0000}"/>
    <cellStyle name="40% - Accent3 4 3 3 4 2 2 2" xfId="43918" xr:uid="{00000000-0005-0000-0000-0000D66C0000}"/>
    <cellStyle name="40% - Accent3 4 3 3 4 2 3" xfId="32617" xr:uid="{00000000-0005-0000-0000-0000D76C0000}"/>
    <cellStyle name="40% - Accent3 4 3 3 4 3" xfId="15666" xr:uid="{00000000-0005-0000-0000-0000D86C0000}"/>
    <cellStyle name="40% - Accent3 4 3 3 4 3 2" xfId="38268" xr:uid="{00000000-0005-0000-0000-0000D96C0000}"/>
    <cellStyle name="40% - Accent3 4 3 3 4 4" xfId="26967" xr:uid="{00000000-0005-0000-0000-0000DA6C0000}"/>
    <cellStyle name="40% - Accent3 4 3 3 5" xfId="7162" xr:uid="{00000000-0005-0000-0000-0000DB6C0000}"/>
    <cellStyle name="40% - Accent3 4 3 3 5 2" xfId="18463" xr:uid="{00000000-0005-0000-0000-0000DC6C0000}"/>
    <cellStyle name="40% - Accent3 4 3 3 5 2 2" xfId="41065" xr:uid="{00000000-0005-0000-0000-0000DD6C0000}"/>
    <cellStyle name="40% - Accent3 4 3 3 5 3" xfId="29764" xr:uid="{00000000-0005-0000-0000-0000DE6C0000}"/>
    <cellStyle name="40% - Accent3 4 3 3 6" xfId="12813" xr:uid="{00000000-0005-0000-0000-0000DF6C0000}"/>
    <cellStyle name="40% - Accent3 4 3 3 6 2" xfId="35415" xr:uid="{00000000-0005-0000-0000-0000E06C0000}"/>
    <cellStyle name="40% - Accent3 4 3 3 7" xfId="24114" xr:uid="{00000000-0005-0000-0000-0000E16C0000}"/>
    <cellStyle name="40% - Accent3 4 3 4" xfId="874" xr:uid="{00000000-0005-0000-0000-0000E26C0000}"/>
    <cellStyle name="40% - Accent3 4 3 4 2" xfId="2944" xr:uid="{00000000-0005-0000-0000-0000E36C0000}"/>
    <cellStyle name="40% - Accent3 4 3 4 2 2" xfId="5916" xr:uid="{00000000-0005-0000-0000-0000E46C0000}"/>
    <cellStyle name="40% - Accent3 4 3 4 2 2 2" xfId="11566" xr:uid="{00000000-0005-0000-0000-0000E56C0000}"/>
    <cellStyle name="40% - Accent3 4 3 4 2 2 2 2" xfId="22867" xr:uid="{00000000-0005-0000-0000-0000E66C0000}"/>
    <cellStyle name="40% - Accent3 4 3 4 2 2 2 2 2" xfId="45469" xr:uid="{00000000-0005-0000-0000-0000E76C0000}"/>
    <cellStyle name="40% - Accent3 4 3 4 2 2 2 3" xfId="34168" xr:uid="{00000000-0005-0000-0000-0000E86C0000}"/>
    <cellStyle name="40% - Accent3 4 3 4 2 2 3" xfId="17217" xr:uid="{00000000-0005-0000-0000-0000E96C0000}"/>
    <cellStyle name="40% - Accent3 4 3 4 2 2 3 2" xfId="39819" xr:uid="{00000000-0005-0000-0000-0000EA6C0000}"/>
    <cellStyle name="40% - Accent3 4 3 4 2 2 4" xfId="28518" xr:uid="{00000000-0005-0000-0000-0000EB6C0000}"/>
    <cellStyle name="40% - Accent3 4 3 4 2 3" xfId="8734" xr:uid="{00000000-0005-0000-0000-0000EC6C0000}"/>
    <cellStyle name="40% - Accent3 4 3 4 2 3 2" xfId="20035" xr:uid="{00000000-0005-0000-0000-0000ED6C0000}"/>
    <cellStyle name="40% - Accent3 4 3 4 2 3 2 2" xfId="42637" xr:uid="{00000000-0005-0000-0000-0000EE6C0000}"/>
    <cellStyle name="40% - Accent3 4 3 4 2 3 3" xfId="31336" xr:uid="{00000000-0005-0000-0000-0000EF6C0000}"/>
    <cellStyle name="40% - Accent3 4 3 4 2 4" xfId="14385" xr:uid="{00000000-0005-0000-0000-0000F06C0000}"/>
    <cellStyle name="40% - Accent3 4 3 4 2 4 2" xfId="36987" xr:uid="{00000000-0005-0000-0000-0000F16C0000}"/>
    <cellStyle name="40% - Accent3 4 3 4 2 5" xfId="25686" xr:uid="{00000000-0005-0000-0000-0000F26C0000}"/>
    <cellStyle name="40% - Accent3 4 3 4 3" xfId="4682" xr:uid="{00000000-0005-0000-0000-0000F36C0000}"/>
    <cellStyle name="40% - Accent3 4 3 4 3 2" xfId="10332" xr:uid="{00000000-0005-0000-0000-0000F46C0000}"/>
    <cellStyle name="40% - Accent3 4 3 4 3 2 2" xfId="21633" xr:uid="{00000000-0005-0000-0000-0000F56C0000}"/>
    <cellStyle name="40% - Accent3 4 3 4 3 2 2 2" xfId="44235" xr:uid="{00000000-0005-0000-0000-0000F66C0000}"/>
    <cellStyle name="40% - Accent3 4 3 4 3 2 3" xfId="32934" xr:uid="{00000000-0005-0000-0000-0000F76C0000}"/>
    <cellStyle name="40% - Accent3 4 3 4 3 3" xfId="15983" xr:uid="{00000000-0005-0000-0000-0000F86C0000}"/>
    <cellStyle name="40% - Accent3 4 3 4 3 3 2" xfId="38585" xr:uid="{00000000-0005-0000-0000-0000F96C0000}"/>
    <cellStyle name="40% - Accent3 4 3 4 3 4" xfId="27284" xr:uid="{00000000-0005-0000-0000-0000FA6C0000}"/>
    <cellStyle name="40% - Accent3 4 3 4 4" xfId="6869" xr:uid="{00000000-0005-0000-0000-0000FB6C0000}"/>
    <cellStyle name="40% - Accent3 4 3 4 4 2" xfId="18170" xr:uid="{00000000-0005-0000-0000-0000FC6C0000}"/>
    <cellStyle name="40% - Accent3 4 3 4 4 2 2" xfId="40772" xr:uid="{00000000-0005-0000-0000-0000FD6C0000}"/>
    <cellStyle name="40% - Accent3 4 3 4 4 3" xfId="29471" xr:uid="{00000000-0005-0000-0000-0000FE6C0000}"/>
    <cellStyle name="40% - Accent3 4 3 4 5" xfId="12520" xr:uid="{00000000-0005-0000-0000-0000FF6C0000}"/>
    <cellStyle name="40% - Accent3 4 3 4 5 2" xfId="35122" xr:uid="{00000000-0005-0000-0000-0000006D0000}"/>
    <cellStyle name="40% - Accent3 4 3 4 6" xfId="23821" xr:uid="{00000000-0005-0000-0000-0000016D0000}"/>
    <cellStyle name="40% - Accent3 4 3 5" xfId="1861" xr:uid="{00000000-0005-0000-0000-0000026D0000}"/>
    <cellStyle name="40% - Accent3 4 3 5 2" xfId="3702" xr:uid="{00000000-0005-0000-0000-0000036D0000}"/>
    <cellStyle name="40% - Accent3 4 3 5 2 2" xfId="9412" xr:uid="{00000000-0005-0000-0000-0000046D0000}"/>
    <cellStyle name="40% - Accent3 4 3 5 2 2 2" xfId="20713" xr:uid="{00000000-0005-0000-0000-0000056D0000}"/>
    <cellStyle name="40% - Accent3 4 3 5 2 2 2 2" xfId="43315" xr:uid="{00000000-0005-0000-0000-0000066D0000}"/>
    <cellStyle name="40% - Accent3 4 3 5 2 2 3" xfId="32014" xr:uid="{00000000-0005-0000-0000-0000076D0000}"/>
    <cellStyle name="40% - Accent3 4 3 5 2 3" xfId="15063" xr:uid="{00000000-0005-0000-0000-0000086D0000}"/>
    <cellStyle name="40% - Accent3 4 3 5 2 3 2" xfId="37665" xr:uid="{00000000-0005-0000-0000-0000096D0000}"/>
    <cellStyle name="40% - Accent3 4 3 5 2 4" xfId="26364" xr:uid="{00000000-0005-0000-0000-00000A6D0000}"/>
    <cellStyle name="40% - Accent3 4 3 5 3" xfId="5292" xr:uid="{00000000-0005-0000-0000-00000B6D0000}"/>
    <cellStyle name="40% - Accent3 4 3 5 3 2" xfId="10942" xr:uid="{00000000-0005-0000-0000-00000C6D0000}"/>
    <cellStyle name="40% - Accent3 4 3 5 3 2 2" xfId="22243" xr:uid="{00000000-0005-0000-0000-00000D6D0000}"/>
    <cellStyle name="40% - Accent3 4 3 5 3 2 2 2" xfId="44845" xr:uid="{00000000-0005-0000-0000-00000E6D0000}"/>
    <cellStyle name="40% - Accent3 4 3 5 3 2 3" xfId="33544" xr:uid="{00000000-0005-0000-0000-00000F6D0000}"/>
    <cellStyle name="40% - Accent3 4 3 5 3 3" xfId="16593" xr:uid="{00000000-0005-0000-0000-0000106D0000}"/>
    <cellStyle name="40% - Accent3 4 3 5 3 3 2" xfId="39195" xr:uid="{00000000-0005-0000-0000-0000116D0000}"/>
    <cellStyle name="40% - Accent3 4 3 5 3 4" xfId="27894" xr:uid="{00000000-0005-0000-0000-0000126D0000}"/>
    <cellStyle name="40% - Accent3 4 3 5 4" xfId="7717" xr:uid="{00000000-0005-0000-0000-0000136D0000}"/>
    <cellStyle name="40% - Accent3 4 3 5 4 2" xfId="19018" xr:uid="{00000000-0005-0000-0000-0000146D0000}"/>
    <cellStyle name="40% - Accent3 4 3 5 4 2 2" xfId="41620" xr:uid="{00000000-0005-0000-0000-0000156D0000}"/>
    <cellStyle name="40% - Accent3 4 3 5 4 3" xfId="30319" xr:uid="{00000000-0005-0000-0000-0000166D0000}"/>
    <cellStyle name="40% - Accent3 4 3 5 5" xfId="13368" xr:uid="{00000000-0005-0000-0000-0000176D0000}"/>
    <cellStyle name="40% - Accent3 4 3 5 5 2" xfId="35970" xr:uid="{00000000-0005-0000-0000-0000186D0000}"/>
    <cellStyle name="40% - Accent3 4 3 5 6" xfId="24669" xr:uid="{00000000-0005-0000-0000-0000196D0000}"/>
    <cellStyle name="40% - Accent3 4 3 6" xfId="2271" xr:uid="{00000000-0005-0000-0000-00001A6D0000}"/>
    <cellStyle name="40% - Accent3 4 3 6 2" xfId="8107" xr:uid="{00000000-0005-0000-0000-00001B6D0000}"/>
    <cellStyle name="40% - Accent3 4 3 6 2 2" xfId="19408" xr:uid="{00000000-0005-0000-0000-00001C6D0000}"/>
    <cellStyle name="40% - Accent3 4 3 6 2 2 2" xfId="42010" xr:uid="{00000000-0005-0000-0000-00001D6D0000}"/>
    <cellStyle name="40% - Accent3 4 3 6 2 3" xfId="30709" xr:uid="{00000000-0005-0000-0000-00001E6D0000}"/>
    <cellStyle name="40% - Accent3 4 3 6 3" xfId="13758" xr:uid="{00000000-0005-0000-0000-00001F6D0000}"/>
    <cellStyle name="40% - Accent3 4 3 6 3 2" xfId="36360" xr:uid="{00000000-0005-0000-0000-0000206D0000}"/>
    <cellStyle name="40% - Accent3 4 3 6 4" xfId="25059" xr:uid="{00000000-0005-0000-0000-0000216D0000}"/>
    <cellStyle name="40% - Accent3 4 3 7" xfId="4058" xr:uid="{00000000-0005-0000-0000-0000226D0000}"/>
    <cellStyle name="40% - Accent3 4 3 7 2" xfId="9708" xr:uid="{00000000-0005-0000-0000-0000236D0000}"/>
    <cellStyle name="40% - Accent3 4 3 7 2 2" xfId="21009" xr:uid="{00000000-0005-0000-0000-0000246D0000}"/>
    <cellStyle name="40% - Accent3 4 3 7 2 2 2" xfId="43611" xr:uid="{00000000-0005-0000-0000-0000256D0000}"/>
    <cellStyle name="40% - Accent3 4 3 7 2 3" xfId="32310" xr:uid="{00000000-0005-0000-0000-0000266D0000}"/>
    <cellStyle name="40% - Accent3 4 3 7 3" xfId="15359" xr:uid="{00000000-0005-0000-0000-0000276D0000}"/>
    <cellStyle name="40% - Accent3 4 3 7 3 2" xfId="37961" xr:uid="{00000000-0005-0000-0000-0000286D0000}"/>
    <cellStyle name="40% - Accent3 4 3 7 4" xfId="26660" xr:uid="{00000000-0005-0000-0000-0000296D0000}"/>
    <cellStyle name="40% - Accent3 4 3 8" xfId="6509" xr:uid="{00000000-0005-0000-0000-00002A6D0000}"/>
    <cellStyle name="40% - Accent3 4 3 8 2" xfId="17810" xr:uid="{00000000-0005-0000-0000-00002B6D0000}"/>
    <cellStyle name="40% - Accent3 4 3 8 2 2" xfId="40412" xr:uid="{00000000-0005-0000-0000-00002C6D0000}"/>
    <cellStyle name="40% - Accent3 4 3 8 3" xfId="29111" xr:uid="{00000000-0005-0000-0000-00002D6D0000}"/>
    <cellStyle name="40% - Accent3 4 3 9" xfId="12160" xr:uid="{00000000-0005-0000-0000-00002E6D0000}"/>
    <cellStyle name="40% - Accent3 4 3 9 2" xfId="34762" xr:uid="{00000000-0005-0000-0000-00002F6D0000}"/>
    <cellStyle name="40% - Accent3 4 4" xfId="513" xr:uid="{00000000-0005-0000-0000-0000306D0000}"/>
    <cellStyle name="40% - Accent3 4 4 2" xfId="1087" xr:uid="{00000000-0005-0000-0000-0000316D0000}"/>
    <cellStyle name="40% - Accent3 4 4 2 2" xfId="1866" xr:uid="{00000000-0005-0000-0000-0000326D0000}"/>
    <cellStyle name="40% - Accent3 4 4 2 2 2" xfId="3155" xr:uid="{00000000-0005-0000-0000-0000336D0000}"/>
    <cellStyle name="40% - Accent3 4 4 2 2 2 2" xfId="6127" xr:uid="{00000000-0005-0000-0000-0000346D0000}"/>
    <cellStyle name="40% - Accent3 4 4 2 2 2 2 2" xfId="11777" xr:uid="{00000000-0005-0000-0000-0000356D0000}"/>
    <cellStyle name="40% - Accent3 4 4 2 2 2 2 2 2" xfId="23078" xr:uid="{00000000-0005-0000-0000-0000366D0000}"/>
    <cellStyle name="40% - Accent3 4 4 2 2 2 2 2 2 2" xfId="45680" xr:uid="{00000000-0005-0000-0000-0000376D0000}"/>
    <cellStyle name="40% - Accent3 4 4 2 2 2 2 2 3" xfId="34379" xr:uid="{00000000-0005-0000-0000-0000386D0000}"/>
    <cellStyle name="40% - Accent3 4 4 2 2 2 2 3" xfId="17428" xr:uid="{00000000-0005-0000-0000-0000396D0000}"/>
    <cellStyle name="40% - Accent3 4 4 2 2 2 2 3 2" xfId="40030" xr:uid="{00000000-0005-0000-0000-00003A6D0000}"/>
    <cellStyle name="40% - Accent3 4 4 2 2 2 2 4" xfId="28729" xr:uid="{00000000-0005-0000-0000-00003B6D0000}"/>
    <cellStyle name="40% - Accent3 4 4 2 2 2 3" xfId="8945" xr:uid="{00000000-0005-0000-0000-00003C6D0000}"/>
    <cellStyle name="40% - Accent3 4 4 2 2 2 3 2" xfId="20246" xr:uid="{00000000-0005-0000-0000-00003D6D0000}"/>
    <cellStyle name="40% - Accent3 4 4 2 2 2 3 2 2" xfId="42848" xr:uid="{00000000-0005-0000-0000-00003E6D0000}"/>
    <cellStyle name="40% - Accent3 4 4 2 2 2 3 3" xfId="31547" xr:uid="{00000000-0005-0000-0000-00003F6D0000}"/>
    <cellStyle name="40% - Accent3 4 4 2 2 2 4" xfId="14596" xr:uid="{00000000-0005-0000-0000-0000406D0000}"/>
    <cellStyle name="40% - Accent3 4 4 2 2 2 4 2" xfId="37198" xr:uid="{00000000-0005-0000-0000-0000416D0000}"/>
    <cellStyle name="40% - Accent3 4 4 2 2 2 5" xfId="25897" xr:uid="{00000000-0005-0000-0000-0000426D0000}"/>
    <cellStyle name="40% - Accent3 4 4 2 2 3" xfId="4893" xr:uid="{00000000-0005-0000-0000-0000436D0000}"/>
    <cellStyle name="40% - Accent3 4 4 2 2 3 2" xfId="10543" xr:uid="{00000000-0005-0000-0000-0000446D0000}"/>
    <cellStyle name="40% - Accent3 4 4 2 2 3 2 2" xfId="21844" xr:uid="{00000000-0005-0000-0000-0000456D0000}"/>
    <cellStyle name="40% - Accent3 4 4 2 2 3 2 2 2" xfId="44446" xr:uid="{00000000-0005-0000-0000-0000466D0000}"/>
    <cellStyle name="40% - Accent3 4 4 2 2 3 2 3" xfId="33145" xr:uid="{00000000-0005-0000-0000-0000476D0000}"/>
    <cellStyle name="40% - Accent3 4 4 2 2 3 3" xfId="16194" xr:uid="{00000000-0005-0000-0000-0000486D0000}"/>
    <cellStyle name="40% - Accent3 4 4 2 2 3 3 2" xfId="38796" xr:uid="{00000000-0005-0000-0000-0000496D0000}"/>
    <cellStyle name="40% - Accent3 4 4 2 2 3 4" xfId="27495" xr:uid="{00000000-0005-0000-0000-00004A6D0000}"/>
    <cellStyle name="40% - Accent3 4 4 2 2 4" xfId="7722" xr:uid="{00000000-0005-0000-0000-00004B6D0000}"/>
    <cellStyle name="40% - Accent3 4 4 2 2 4 2" xfId="19023" xr:uid="{00000000-0005-0000-0000-00004C6D0000}"/>
    <cellStyle name="40% - Accent3 4 4 2 2 4 2 2" xfId="41625" xr:uid="{00000000-0005-0000-0000-00004D6D0000}"/>
    <cellStyle name="40% - Accent3 4 4 2 2 4 3" xfId="30324" xr:uid="{00000000-0005-0000-0000-00004E6D0000}"/>
    <cellStyle name="40% - Accent3 4 4 2 2 5" xfId="13373" xr:uid="{00000000-0005-0000-0000-00004F6D0000}"/>
    <cellStyle name="40% - Accent3 4 4 2 2 5 2" xfId="35975" xr:uid="{00000000-0005-0000-0000-0000506D0000}"/>
    <cellStyle name="40% - Accent3 4 4 2 2 6" xfId="24674" xr:uid="{00000000-0005-0000-0000-0000516D0000}"/>
    <cellStyle name="40% - Accent3 4 4 2 3" xfId="2484" xr:uid="{00000000-0005-0000-0000-0000526D0000}"/>
    <cellStyle name="40% - Accent3 4 4 2 3 2" xfId="5503" xr:uid="{00000000-0005-0000-0000-0000536D0000}"/>
    <cellStyle name="40% - Accent3 4 4 2 3 2 2" xfId="11153" xr:uid="{00000000-0005-0000-0000-0000546D0000}"/>
    <cellStyle name="40% - Accent3 4 4 2 3 2 2 2" xfId="22454" xr:uid="{00000000-0005-0000-0000-0000556D0000}"/>
    <cellStyle name="40% - Accent3 4 4 2 3 2 2 2 2" xfId="45056" xr:uid="{00000000-0005-0000-0000-0000566D0000}"/>
    <cellStyle name="40% - Accent3 4 4 2 3 2 2 3" xfId="33755" xr:uid="{00000000-0005-0000-0000-0000576D0000}"/>
    <cellStyle name="40% - Accent3 4 4 2 3 2 3" xfId="16804" xr:uid="{00000000-0005-0000-0000-0000586D0000}"/>
    <cellStyle name="40% - Accent3 4 4 2 3 2 3 2" xfId="39406" xr:uid="{00000000-0005-0000-0000-0000596D0000}"/>
    <cellStyle name="40% - Accent3 4 4 2 3 2 4" xfId="28105" xr:uid="{00000000-0005-0000-0000-00005A6D0000}"/>
    <cellStyle name="40% - Accent3 4 4 2 3 3" xfId="8320" xr:uid="{00000000-0005-0000-0000-00005B6D0000}"/>
    <cellStyle name="40% - Accent3 4 4 2 3 3 2" xfId="19621" xr:uid="{00000000-0005-0000-0000-00005C6D0000}"/>
    <cellStyle name="40% - Accent3 4 4 2 3 3 2 2" xfId="42223" xr:uid="{00000000-0005-0000-0000-00005D6D0000}"/>
    <cellStyle name="40% - Accent3 4 4 2 3 3 3" xfId="30922" xr:uid="{00000000-0005-0000-0000-00005E6D0000}"/>
    <cellStyle name="40% - Accent3 4 4 2 3 4" xfId="13971" xr:uid="{00000000-0005-0000-0000-00005F6D0000}"/>
    <cellStyle name="40% - Accent3 4 4 2 3 4 2" xfId="36573" xr:uid="{00000000-0005-0000-0000-0000606D0000}"/>
    <cellStyle name="40% - Accent3 4 4 2 3 5" xfId="25272" xr:uid="{00000000-0005-0000-0000-0000616D0000}"/>
    <cellStyle name="40% - Accent3 4 4 2 4" xfId="4269" xr:uid="{00000000-0005-0000-0000-0000626D0000}"/>
    <cellStyle name="40% - Accent3 4 4 2 4 2" xfId="9919" xr:uid="{00000000-0005-0000-0000-0000636D0000}"/>
    <cellStyle name="40% - Accent3 4 4 2 4 2 2" xfId="21220" xr:uid="{00000000-0005-0000-0000-0000646D0000}"/>
    <cellStyle name="40% - Accent3 4 4 2 4 2 2 2" xfId="43822" xr:uid="{00000000-0005-0000-0000-0000656D0000}"/>
    <cellStyle name="40% - Accent3 4 4 2 4 2 3" xfId="32521" xr:uid="{00000000-0005-0000-0000-0000666D0000}"/>
    <cellStyle name="40% - Accent3 4 4 2 4 3" xfId="15570" xr:uid="{00000000-0005-0000-0000-0000676D0000}"/>
    <cellStyle name="40% - Accent3 4 4 2 4 3 2" xfId="38172" xr:uid="{00000000-0005-0000-0000-0000686D0000}"/>
    <cellStyle name="40% - Accent3 4 4 2 4 4" xfId="26871" xr:uid="{00000000-0005-0000-0000-0000696D0000}"/>
    <cellStyle name="40% - Accent3 4 4 2 5" xfId="7066" xr:uid="{00000000-0005-0000-0000-00006A6D0000}"/>
    <cellStyle name="40% - Accent3 4 4 2 5 2" xfId="18367" xr:uid="{00000000-0005-0000-0000-00006B6D0000}"/>
    <cellStyle name="40% - Accent3 4 4 2 5 2 2" xfId="40969" xr:uid="{00000000-0005-0000-0000-00006C6D0000}"/>
    <cellStyle name="40% - Accent3 4 4 2 5 3" xfId="29668" xr:uid="{00000000-0005-0000-0000-00006D6D0000}"/>
    <cellStyle name="40% - Accent3 4 4 2 6" xfId="12717" xr:uid="{00000000-0005-0000-0000-00006E6D0000}"/>
    <cellStyle name="40% - Accent3 4 4 2 6 2" xfId="35319" xr:uid="{00000000-0005-0000-0000-00006F6D0000}"/>
    <cellStyle name="40% - Accent3 4 4 2 7" xfId="24018" xr:uid="{00000000-0005-0000-0000-0000706D0000}"/>
    <cellStyle name="40% - Accent3 4 4 3" xfId="761" xr:uid="{00000000-0005-0000-0000-0000716D0000}"/>
    <cellStyle name="40% - Accent3 4 4 3 2" xfId="2848" xr:uid="{00000000-0005-0000-0000-0000726D0000}"/>
    <cellStyle name="40% - Accent3 4 4 3 2 2" xfId="5820" xr:uid="{00000000-0005-0000-0000-0000736D0000}"/>
    <cellStyle name="40% - Accent3 4 4 3 2 2 2" xfId="11470" xr:uid="{00000000-0005-0000-0000-0000746D0000}"/>
    <cellStyle name="40% - Accent3 4 4 3 2 2 2 2" xfId="22771" xr:uid="{00000000-0005-0000-0000-0000756D0000}"/>
    <cellStyle name="40% - Accent3 4 4 3 2 2 2 2 2" xfId="45373" xr:uid="{00000000-0005-0000-0000-0000766D0000}"/>
    <cellStyle name="40% - Accent3 4 4 3 2 2 2 3" xfId="34072" xr:uid="{00000000-0005-0000-0000-0000776D0000}"/>
    <cellStyle name="40% - Accent3 4 4 3 2 2 3" xfId="17121" xr:uid="{00000000-0005-0000-0000-0000786D0000}"/>
    <cellStyle name="40% - Accent3 4 4 3 2 2 3 2" xfId="39723" xr:uid="{00000000-0005-0000-0000-0000796D0000}"/>
    <cellStyle name="40% - Accent3 4 4 3 2 2 4" xfId="28422" xr:uid="{00000000-0005-0000-0000-00007A6D0000}"/>
    <cellStyle name="40% - Accent3 4 4 3 2 3" xfId="8638" xr:uid="{00000000-0005-0000-0000-00007B6D0000}"/>
    <cellStyle name="40% - Accent3 4 4 3 2 3 2" xfId="19939" xr:uid="{00000000-0005-0000-0000-00007C6D0000}"/>
    <cellStyle name="40% - Accent3 4 4 3 2 3 2 2" xfId="42541" xr:uid="{00000000-0005-0000-0000-00007D6D0000}"/>
    <cellStyle name="40% - Accent3 4 4 3 2 3 3" xfId="31240" xr:uid="{00000000-0005-0000-0000-00007E6D0000}"/>
    <cellStyle name="40% - Accent3 4 4 3 2 4" xfId="14289" xr:uid="{00000000-0005-0000-0000-00007F6D0000}"/>
    <cellStyle name="40% - Accent3 4 4 3 2 4 2" xfId="36891" xr:uid="{00000000-0005-0000-0000-0000806D0000}"/>
    <cellStyle name="40% - Accent3 4 4 3 2 5" xfId="25590" xr:uid="{00000000-0005-0000-0000-0000816D0000}"/>
    <cellStyle name="40% - Accent3 4 4 3 3" xfId="4586" xr:uid="{00000000-0005-0000-0000-0000826D0000}"/>
    <cellStyle name="40% - Accent3 4 4 3 3 2" xfId="10236" xr:uid="{00000000-0005-0000-0000-0000836D0000}"/>
    <cellStyle name="40% - Accent3 4 4 3 3 2 2" xfId="21537" xr:uid="{00000000-0005-0000-0000-0000846D0000}"/>
    <cellStyle name="40% - Accent3 4 4 3 3 2 2 2" xfId="44139" xr:uid="{00000000-0005-0000-0000-0000856D0000}"/>
    <cellStyle name="40% - Accent3 4 4 3 3 2 3" xfId="32838" xr:uid="{00000000-0005-0000-0000-0000866D0000}"/>
    <cellStyle name="40% - Accent3 4 4 3 3 3" xfId="15887" xr:uid="{00000000-0005-0000-0000-0000876D0000}"/>
    <cellStyle name="40% - Accent3 4 4 3 3 3 2" xfId="38489" xr:uid="{00000000-0005-0000-0000-0000886D0000}"/>
    <cellStyle name="40% - Accent3 4 4 3 3 4" xfId="27188" xr:uid="{00000000-0005-0000-0000-0000896D0000}"/>
    <cellStyle name="40% - Accent3 4 4 3 4" xfId="6769" xr:uid="{00000000-0005-0000-0000-00008A6D0000}"/>
    <cellStyle name="40% - Accent3 4 4 3 4 2" xfId="18070" xr:uid="{00000000-0005-0000-0000-00008B6D0000}"/>
    <cellStyle name="40% - Accent3 4 4 3 4 2 2" xfId="40672" xr:uid="{00000000-0005-0000-0000-00008C6D0000}"/>
    <cellStyle name="40% - Accent3 4 4 3 4 3" xfId="29371" xr:uid="{00000000-0005-0000-0000-00008D6D0000}"/>
    <cellStyle name="40% - Accent3 4 4 3 5" xfId="12420" xr:uid="{00000000-0005-0000-0000-00008E6D0000}"/>
    <cellStyle name="40% - Accent3 4 4 3 5 2" xfId="35022" xr:uid="{00000000-0005-0000-0000-00008F6D0000}"/>
    <cellStyle name="40% - Accent3 4 4 3 6" xfId="23721" xr:uid="{00000000-0005-0000-0000-0000906D0000}"/>
    <cellStyle name="40% - Accent3 4 4 4" xfId="1865" xr:uid="{00000000-0005-0000-0000-0000916D0000}"/>
    <cellStyle name="40% - Accent3 4 4 4 2" xfId="3704" xr:uid="{00000000-0005-0000-0000-0000926D0000}"/>
    <cellStyle name="40% - Accent3 4 4 4 2 2" xfId="9414" xr:uid="{00000000-0005-0000-0000-0000936D0000}"/>
    <cellStyle name="40% - Accent3 4 4 4 2 2 2" xfId="20715" xr:uid="{00000000-0005-0000-0000-0000946D0000}"/>
    <cellStyle name="40% - Accent3 4 4 4 2 2 2 2" xfId="43317" xr:uid="{00000000-0005-0000-0000-0000956D0000}"/>
    <cellStyle name="40% - Accent3 4 4 4 2 2 3" xfId="32016" xr:uid="{00000000-0005-0000-0000-0000966D0000}"/>
    <cellStyle name="40% - Accent3 4 4 4 2 3" xfId="15065" xr:uid="{00000000-0005-0000-0000-0000976D0000}"/>
    <cellStyle name="40% - Accent3 4 4 4 2 3 2" xfId="37667" xr:uid="{00000000-0005-0000-0000-0000986D0000}"/>
    <cellStyle name="40% - Accent3 4 4 4 2 4" xfId="26366" xr:uid="{00000000-0005-0000-0000-0000996D0000}"/>
    <cellStyle name="40% - Accent3 4 4 4 3" xfId="5196" xr:uid="{00000000-0005-0000-0000-00009A6D0000}"/>
    <cellStyle name="40% - Accent3 4 4 4 3 2" xfId="10846" xr:uid="{00000000-0005-0000-0000-00009B6D0000}"/>
    <cellStyle name="40% - Accent3 4 4 4 3 2 2" xfId="22147" xr:uid="{00000000-0005-0000-0000-00009C6D0000}"/>
    <cellStyle name="40% - Accent3 4 4 4 3 2 2 2" xfId="44749" xr:uid="{00000000-0005-0000-0000-00009D6D0000}"/>
    <cellStyle name="40% - Accent3 4 4 4 3 2 3" xfId="33448" xr:uid="{00000000-0005-0000-0000-00009E6D0000}"/>
    <cellStyle name="40% - Accent3 4 4 4 3 3" xfId="16497" xr:uid="{00000000-0005-0000-0000-00009F6D0000}"/>
    <cellStyle name="40% - Accent3 4 4 4 3 3 2" xfId="39099" xr:uid="{00000000-0005-0000-0000-0000A06D0000}"/>
    <cellStyle name="40% - Accent3 4 4 4 3 4" xfId="27798" xr:uid="{00000000-0005-0000-0000-0000A16D0000}"/>
    <cellStyle name="40% - Accent3 4 4 4 4" xfId="7721" xr:uid="{00000000-0005-0000-0000-0000A26D0000}"/>
    <cellStyle name="40% - Accent3 4 4 4 4 2" xfId="19022" xr:uid="{00000000-0005-0000-0000-0000A36D0000}"/>
    <cellStyle name="40% - Accent3 4 4 4 4 2 2" xfId="41624" xr:uid="{00000000-0005-0000-0000-0000A46D0000}"/>
    <cellStyle name="40% - Accent3 4 4 4 4 3" xfId="30323" xr:uid="{00000000-0005-0000-0000-0000A56D0000}"/>
    <cellStyle name="40% - Accent3 4 4 4 5" xfId="13372" xr:uid="{00000000-0005-0000-0000-0000A66D0000}"/>
    <cellStyle name="40% - Accent3 4 4 4 5 2" xfId="35974" xr:uid="{00000000-0005-0000-0000-0000A76D0000}"/>
    <cellStyle name="40% - Accent3 4 4 4 6" xfId="24673" xr:uid="{00000000-0005-0000-0000-0000A86D0000}"/>
    <cellStyle name="40% - Accent3 4 4 5" xfId="2168" xr:uid="{00000000-0005-0000-0000-0000A96D0000}"/>
    <cellStyle name="40% - Accent3 4 4 5 2" xfId="8010" xr:uid="{00000000-0005-0000-0000-0000AA6D0000}"/>
    <cellStyle name="40% - Accent3 4 4 5 2 2" xfId="19311" xr:uid="{00000000-0005-0000-0000-0000AB6D0000}"/>
    <cellStyle name="40% - Accent3 4 4 5 2 2 2" xfId="41913" xr:uid="{00000000-0005-0000-0000-0000AC6D0000}"/>
    <cellStyle name="40% - Accent3 4 4 5 2 3" xfId="30612" xr:uid="{00000000-0005-0000-0000-0000AD6D0000}"/>
    <cellStyle name="40% - Accent3 4 4 5 3" xfId="13661" xr:uid="{00000000-0005-0000-0000-0000AE6D0000}"/>
    <cellStyle name="40% - Accent3 4 4 5 3 2" xfId="36263" xr:uid="{00000000-0005-0000-0000-0000AF6D0000}"/>
    <cellStyle name="40% - Accent3 4 4 5 4" xfId="24962" xr:uid="{00000000-0005-0000-0000-0000B06D0000}"/>
    <cellStyle name="40% - Accent3 4 4 6" xfId="3962" xr:uid="{00000000-0005-0000-0000-0000B16D0000}"/>
    <cellStyle name="40% - Accent3 4 4 6 2" xfId="9612" xr:uid="{00000000-0005-0000-0000-0000B26D0000}"/>
    <cellStyle name="40% - Accent3 4 4 6 2 2" xfId="20913" xr:uid="{00000000-0005-0000-0000-0000B36D0000}"/>
    <cellStyle name="40% - Accent3 4 4 6 2 2 2" xfId="43515" xr:uid="{00000000-0005-0000-0000-0000B46D0000}"/>
    <cellStyle name="40% - Accent3 4 4 6 2 3" xfId="32214" xr:uid="{00000000-0005-0000-0000-0000B56D0000}"/>
    <cellStyle name="40% - Accent3 4 4 6 3" xfId="15263" xr:uid="{00000000-0005-0000-0000-0000B66D0000}"/>
    <cellStyle name="40% - Accent3 4 4 6 3 2" xfId="37865" xr:uid="{00000000-0005-0000-0000-0000B76D0000}"/>
    <cellStyle name="40% - Accent3 4 4 6 4" xfId="26564" xr:uid="{00000000-0005-0000-0000-0000B86D0000}"/>
    <cellStyle name="40% - Accent3 4 4 7" xfId="6580" xr:uid="{00000000-0005-0000-0000-0000B96D0000}"/>
    <cellStyle name="40% - Accent3 4 4 7 2" xfId="17881" xr:uid="{00000000-0005-0000-0000-0000BA6D0000}"/>
    <cellStyle name="40% - Accent3 4 4 7 2 2" xfId="40483" xr:uid="{00000000-0005-0000-0000-0000BB6D0000}"/>
    <cellStyle name="40% - Accent3 4 4 7 3" xfId="29182" xr:uid="{00000000-0005-0000-0000-0000BC6D0000}"/>
    <cellStyle name="40% - Accent3 4 4 8" xfId="12231" xr:uid="{00000000-0005-0000-0000-0000BD6D0000}"/>
    <cellStyle name="40% - Accent3 4 4 8 2" xfId="34833" xr:uid="{00000000-0005-0000-0000-0000BE6D0000}"/>
    <cellStyle name="40% - Accent3 4 4 9" xfId="23532" xr:uid="{00000000-0005-0000-0000-0000BF6D0000}"/>
    <cellStyle name="40% - Accent3 4 5" xfId="457" xr:uid="{00000000-0005-0000-0000-0000C06D0000}"/>
    <cellStyle name="40% - Accent3 4 5 2" xfId="1226" xr:uid="{00000000-0005-0000-0000-0000C16D0000}"/>
    <cellStyle name="40% - Accent3 4 5 2 2" xfId="1868" xr:uid="{00000000-0005-0000-0000-0000C26D0000}"/>
    <cellStyle name="40% - Accent3 4 5 2 2 2" xfId="3295" xr:uid="{00000000-0005-0000-0000-0000C36D0000}"/>
    <cellStyle name="40% - Accent3 4 5 2 2 2 2" xfId="6267" xr:uid="{00000000-0005-0000-0000-0000C46D0000}"/>
    <cellStyle name="40% - Accent3 4 5 2 2 2 2 2" xfId="11917" xr:uid="{00000000-0005-0000-0000-0000C56D0000}"/>
    <cellStyle name="40% - Accent3 4 5 2 2 2 2 2 2" xfId="23218" xr:uid="{00000000-0005-0000-0000-0000C66D0000}"/>
    <cellStyle name="40% - Accent3 4 5 2 2 2 2 2 2 2" xfId="45820" xr:uid="{00000000-0005-0000-0000-0000C76D0000}"/>
    <cellStyle name="40% - Accent3 4 5 2 2 2 2 2 3" xfId="34519" xr:uid="{00000000-0005-0000-0000-0000C86D0000}"/>
    <cellStyle name="40% - Accent3 4 5 2 2 2 2 3" xfId="17568" xr:uid="{00000000-0005-0000-0000-0000C96D0000}"/>
    <cellStyle name="40% - Accent3 4 5 2 2 2 2 3 2" xfId="40170" xr:uid="{00000000-0005-0000-0000-0000CA6D0000}"/>
    <cellStyle name="40% - Accent3 4 5 2 2 2 2 4" xfId="28869" xr:uid="{00000000-0005-0000-0000-0000CB6D0000}"/>
    <cellStyle name="40% - Accent3 4 5 2 2 2 3" xfId="9085" xr:uid="{00000000-0005-0000-0000-0000CC6D0000}"/>
    <cellStyle name="40% - Accent3 4 5 2 2 2 3 2" xfId="20386" xr:uid="{00000000-0005-0000-0000-0000CD6D0000}"/>
    <cellStyle name="40% - Accent3 4 5 2 2 2 3 2 2" xfId="42988" xr:uid="{00000000-0005-0000-0000-0000CE6D0000}"/>
    <cellStyle name="40% - Accent3 4 5 2 2 2 3 3" xfId="31687" xr:uid="{00000000-0005-0000-0000-0000CF6D0000}"/>
    <cellStyle name="40% - Accent3 4 5 2 2 2 4" xfId="14736" xr:uid="{00000000-0005-0000-0000-0000D06D0000}"/>
    <cellStyle name="40% - Accent3 4 5 2 2 2 4 2" xfId="37338" xr:uid="{00000000-0005-0000-0000-0000D16D0000}"/>
    <cellStyle name="40% - Accent3 4 5 2 2 2 5" xfId="26037" xr:uid="{00000000-0005-0000-0000-0000D26D0000}"/>
    <cellStyle name="40% - Accent3 4 5 2 2 3" xfId="5033" xr:uid="{00000000-0005-0000-0000-0000D36D0000}"/>
    <cellStyle name="40% - Accent3 4 5 2 2 3 2" xfId="10683" xr:uid="{00000000-0005-0000-0000-0000D46D0000}"/>
    <cellStyle name="40% - Accent3 4 5 2 2 3 2 2" xfId="21984" xr:uid="{00000000-0005-0000-0000-0000D56D0000}"/>
    <cellStyle name="40% - Accent3 4 5 2 2 3 2 2 2" xfId="44586" xr:uid="{00000000-0005-0000-0000-0000D66D0000}"/>
    <cellStyle name="40% - Accent3 4 5 2 2 3 2 3" xfId="33285" xr:uid="{00000000-0005-0000-0000-0000D76D0000}"/>
    <cellStyle name="40% - Accent3 4 5 2 2 3 3" xfId="16334" xr:uid="{00000000-0005-0000-0000-0000D86D0000}"/>
    <cellStyle name="40% - Accent3 4 5 2 2 3 3 2" xfId="38936" xr:uid="{00000000-0005-0000-0000-0000D96D0000}"/>
    <cellStyle name="40% - Accent3 4 5 2 2 3 4" xfId="27635" xr:uid="{00000000-0005-0000-0000-0000DA6D0000}"/>
    <cellStyle name="40% - Accent3 4 5 2 2 4" xfId="7724" xr:uid="{00000000-0005-0000-0000-0000DB6D0000}"/>
    <cellStyle name="40% - Accent3 4 5 2 2 4 2" xfId="19025" xr:uid="{00000000-0005-0000-0000-0000DC6D0000}"/>
    <cellStyle name="40% - Accent3 4 5 2 2 4 2 2" xfId="41627" xr:uid="{00000000-0005-0000-0000-0000DD6D0000}"/>
    <cellStyle name="40% - Accent3 4 5 2 2 4 3" xfId="30326" xr:uid="{00000000-0005-0000-0000-0000DE6D0000}"/>
    <cellStyle name="40% - Accent3 4 5 2 2 5" xfId="13375" xr:uid="{00000000-0005-0000-0000-0000DF6D0000}"/>
    <cellStyle name="40% - Accent3 4 5 2 2 5 2" xfId="35977" xr:uid="{00000000-0005-0000-0000-0000E06D0000}"/>
    <cellStyle name="40% - Accent3 4 5 2 2 6" xfId="24676" xr:uid="{00000000-0005-0000-0000-0000E16D0000}"/>
    <cellStyle name="40% - Accent3 4 5 2 3" xfId="2624" xr:uid="{00000000-0005-0000-0000-0000E26D0000}"/>
    <cellStyle name="40% - Accent3 4 5 2 3 2" xfId="5643" xr:uid="{00000000-0005-0000-0000-0000E36D0000}"/>
    <cellStyle name="40% - Accent3 4 5 2 3 2 2" xfId="11293" xr:uid="{00000000-0005-0000-0000-0000E46D0000}"/>
    <cellStyle name="40% - Accent3 4 5 2 3 2 2 2" xfId="22594" xr:uid="{00000000-0005-0000-0000-0000E56D0000}"/>
    <cellStyle name="40% - Accent3 4 5 2 3 2 2 2 2" xfId="45196" xr:uid="{00000000-0005-0000-0000-0000E66D0000}"/>
    <cellStyle name="40% - Accent3 4 5 2 3 2 2 3" xfId="33895" xr:uid="{00000000-0005-0000-0000-0000E76D0000}"/>
    <cellStyle name="40% - Accent3 4 5 2 3 2 3" xfId="16944" xr:uid="{00000000-0005-0000-0000-0000E86D0000}"/>
    <cellStyle name="40% - Accent3 4 5 2 3 2 3 2" xfId="39546" xr:uid="{00000000-0005-0000-0000-0000E96D0000}"/>
    <cellStyle name="40% - Accent3 4 5 2 3 2 4" xfId="28245" xr:uid="{00000000-0005-0000-0000-0000EA6D0000}"/>
    <cellStyle name="40% - Accent3 4 5 2 3 3" xfId="8460" xr:uid="{00000000-0005-0000-0000-0000EB6D0000}"/>
    <cellStyle name="40% - Accent3 4 5 2 3 3 2" xfId="19761" xr:uid="{00000000-0005-0000-0000-0000EC6D0000}"/>
    <cellStyle name="40% - Accent3 4 5 2 3 3 2 2" xfId="42363" xr:uid="{00000000-0005-0000-0000-0000ED6D0000}"/>
    <cellStyle name="40% - Accent3 4 5 2 3 3 3" xfId="31062" xr:uid="{00000000-0005-0000-0000-0000EE6D0000}"/>
    <cellStyle name="40% - Accent3 4 5 2 3 4" xfId="14111" xr:uid="{00000000-0005-0000-0000-0000EF6D0000}"/>
    <cellStyle name="40% - Accent3 4 5 2 3 4 2" xfId="36713" xr:uid="{00000000-0005-0000-0000-0000F06D0000}"/>
    <cellStyle name="40% - Accent3 4 5 2 3 5" xfId="25412" xr:uid="{00000000-0005-0000-0000-0000F16D0000}"/>
    <cellStyle name="40% - Accent3 4 5 2 4" xfId="4409" xr:uid="{00000000-0005-0000-0000-0000F26D0000}"/>
    <cellStyle name="40% - Accent3 4 5 2 4 2" xfId="10059" xr:uid="{00000000-0005-0000-0000-0000F36D0000}"/>
    <cellStyle name="40% - Accent3 4 5 2 4 2 2" xfId="21360" xr:uid="{00000000-0005-0000-0000-0000F46D0000}"/>
    <cellStyle name="40% - Accent3 4 5 2 4 2 2 2" xfId="43962" xr:uid="{00000000-0005-0000-0000-0000F56D0000}"/>
    <cellStyle name="40% - Accent3 4 5 2 4 2 3" xfId="32661" xr:uid="{00000000-0005-0000-0000-0000F66D0000}"/>
    <cellStyle name="40% - Accent3 4 5 2 4 3" xfId="15710" xr:uid="{00000000-0005-0000-0000-0000F76D0000}"/>
    <cellStyle name="40% - Accent3 4 5 2 4 3 2" xfId="38312" xr:uid="{00000000-0005-0000-0000-0000F86D0000}"/>
    <cellStyle name="40% - Accent3 4 5 2 4 4" xfId="27011" xr:uid="{00000000-0005-0000-0000-0000F96D0000}"/>
    <cellStyle name="40% - Accent3 4 5 2 5" xfId="7205" xr:uid="{00000000-0005-0000-0000-0000FA6D0000}"/>
    <cellStyle name="40% - Accent3 4 5 2 5 2" xfId="18506" xr:uid="{00000000-0005-0000-0000-0000FB6D0000}"/>
    <cellStyle name="40% - Accent3 4 5 2 5 2 2" xfId="41108" xr:uid="{00000000-0005-0000-0000-0000FC6D0000}"/>
    <cellStyle name="40% - Accent3 4 5 2 5 3" xfId="29807" xr:uid="{00000000-0005-0000-0000-0000FD6D0000}"/>
    <cellStyle name="40% - Accent3 4 5 2 6" xfId="12856" xr:uid="{00000000-0005-0000-0000-0000FE6D0000}"/>
    <cellStyle name="40% - Accent3 4 5 2 6 2" xfId="35458" xr:uid="{00000000-0005-0000-0000-0000FF6D0000}"/>
    <cellStyle name="40% - Accent3 4 5 2 7" xfId="24157" xr:uid="{00000000-0005-0000-0000-0000006E0000}"/>
    <cellStyle name="40% - Accent3 4 5 3" xfId="924" xr:uid="{00000000-0005-0000-0000-0000016E0000}"/>
    <cellStyle name="40% - Accent3 4 5 3 2" xfId="2987" xr:uid="{00000000-0005-0000-0000-0000026E0000}"/>
    <cellStyle name="40% - Accent3 4 5 3 2 2" xfId="5959" xr:uid="{00000000-0005-0000-0000-0000036E0000}"/>
    <cellStyle name="40% - Accent3 4 5 3 2 2 2" xfId="11609" xr:uid="{00000000-0005-0000-0000-0000046E0000}"/>
    <cellStyle name="40% - Accent3 4 5 3 2 2 2 2" xfId="22910" xr:uid="{00000000-0005-0000-0000-0000056E0000}"/>
    <cellStyle name="40% - Accent3 4 5 3 2 2 2 2 2" xfId="45512" xr:uid="{00000000-0005-0000-0000-0000066E0000}"/>
    <cellStyle name="40% - Accent3 4 5 3 2 2 2 3" xfId="34211" xr:uid="{00000000-0005-0000-0000-0000076E0000}"/>
    <cellStyle name="40% - Accent3 4 5 3 2 2 3" xfId="17260" xr:uid="{00000000-0005-0000-0000-0000086E0000}"/>
    <cellStyle name="40% - Accent3 4 5 3 2 2 3 2" xfId="39862" xr:uid="{00000000-0005-0000-0000-0000096E0000}"/>
    <cellStyle name="40% - Accent3 4 5 3 2 2 4" xfId="28561" xr:uid="{00000000-0005-0000-0000-00000A6E0000}"/>
    <cellStyle name="40% - Accent3 4 5 3 2 3" xfId="8777" xr:uid="{00000000-0005-0000-0000-00000B6E0000}"/>
    <cellStyle name="40% - Accent3 4 5 3 2 3 2" xfId="20078" xr:uid="{00000000-0005-0000-0000-00000C6E0000}"/>
    <cellStyle name="40% - Accent3 4 5 3 2 3 2 2" xfId="42680" xr:uid="{00000000-0005-0000-0000-00000D6E0000}"/>
    <cellStyle name="40% - Accent3 4 5 3 2 3 3" xfId="31379" xr:uid="{00000000-0005-0000-0000-00000E6E0000}"/>
    <cellStyle name="40% - Accent3 4 5 3 2 4" xfId="14428" xr:uid="{00000000-0005-0000-0000-00000F6E0000}"/>
    <cellStyle name="40% - Accent3 4 5 3 2 4 2" xfId="37030" xr:uid="{00000000-0005-0000-0000-0000106E0000}"/>
    <cellStyle name="40% - Accent3 4 5 3 2 5" xfId="25729" xr:uid="{00000000-0005-0000-0000-0000116E0000}"/>
    <cellStyle name="40% - Accent3 4 5 3 3" xfId="4725" xr:uid="{00000000-0005-0000-0000-0000126E0000}"/>
    <cellStyle name="40% - Accent3 4 5 3 3 2" xfId="10375" xr:uid="{00000000-0005-0000-0000-0000136E0000}"/>
    <cellStyle name="40% - Accent3 4 5 3 3 2 2" xfId="21676" xr:uid="{00000000-0005-0000-0000-0000146E0000}"/>
    <cellStyle name="40% - Accent3 4 5 3 3 2 2 2" xfId="44278" xr:uid="{00000000-0005-0000-0000-0000156E0000}"/>
    <cellStyle name="40% - Accent3 4 5 3 3 2 3" xfId="32977" xr:uid="{00000000-0005-0000-0000-0000166E0000}"/>
    <cellStyle name="40% - Accent3 4 5 3 3 3" xfId="16026" xr:uid="{00000000-0005-0000-0000-0000176E0000}"/>
    <cellStyle name="40% - Accent3 4 5 3 3 3 2" xfId="38628" xr:uid="{00000000-0005-0000-0000-0000186E0000}"/>
    <cellStyle name="40% - Accent3 4 5 3 3 4" xfId="27327" xr:uid="{00000000-0005-0000-0000-0000196E0000}"/>
    <cellStyle name="40% - Accent3 4 5 3 4" xfId="6912" xr:uid="{00000000-0005-0000-0000-00001A6E0000}"/>
    <cellStyle name="40% - Accent3 4 5 3 4 2" xfId="18213" xr:uid="{00000000-0005-0000-0000-00001B6E0000}"/>
    <cellStyle name="40% - Accent3 4 5 3 4 2 2" xfId="40815" xr:uid="{00000000-0005-0000-0000-00001C6E0000}"/>
    <cellStyle name="40% - Accent3 4 5 3 4 3" xfId="29514" xr:uid="{00000000-0005-0000-0000-00001D6E0000}"/>
    <cellStyle name="40% - Accent3 4 5 3 5" xfId="12563" xr:uid="{00000000-0005-0000-0000-00001E6E0000}"/>
    <cellStyle name="40% - Accent3 4 5 3 5 2" xfId="35165" xr:uid="{00000000-0005-0000-0000-00001F6E0000}"/>
    <cellStyle name="40% - Accent3 4 5 3 6" xfId="23864" xr:uid="{00000000-0005-0000-0000-0000206E0000}"/>
    <cellStyle name="40% - Accent3 4 5 4" xfId="1867" xr:uid="{00000000-0005-0000-0000-0000216E0000}"/>
    <cellStyle name="40% - Accent3 4 5 4 2" xfId="3705" xr:uid="{00000000-0005-0000-0000-0000226E0000}"/>
    <cellStyle name="40% - Accent3 4 5 4 2 2" xfId="9415" xr:uid="{00000000-0005-0000-0000-0000236E0000}"/>
    <cellStyle name="40% - Accent3 4 5 4 2 2 2" xfId="20716" xr:uid="{00000000-0005-0000-0000-0000246E0000}"/>
    <cellStyle name="40% - Accent3 4 5 4 2 2 2 2" xfId="43318" xr:uid="{00000000-0005-0000-0000-0000256E0000}"/>
    <cellStyle name="40% - Accent3 4 5 4 2 2 3" xfId="32017" xr:uid="{00000000-0005-0000-0000-0000266E0000}"/>
    <cellStyle name="40% - Accent3 4 5 4 2 3" xfId="15066" xr:uid="{00000000-0005-0000-0000-0000276E0000}"/>
    <cellStyle name="40% - Accent3 4 5 4 2 3 2" xfId="37668" xr:uid="{00000000-0005-0000-0000-0000286E0000}"/>
    <cellStyle name="40% - Accent3 4 5 4 2 4" xfId="26367" xr:uid="{00000000-0005-0000-0000-0000296E0000}"/>
    <cellStyle name="40% - Accent3 4 5 4 3" xfId="5335" xr:uid="{00000000-0005-0000-0000-00002A6E0000}"/>
    <cellStyle name="40% - Accent3 4 5 4 3 2" xfId="10985" xr:uid="{00000000-0005-0000-0000-00002B6E0000}"/>
    <cellStyle name="40% - Accent3 4 5 4 3 2 2" xfId="22286" xr:uid="{00000000-0005-0000-0000-00002C6E0000}"/>
    <cellStyle name="40% - Accent3 4 5 4 3 2 2 2" xfId="44888" xr:uid="{00000000-0005-0000-0000-00002D6E0000}"/>
    <cellStyle name="40% - Accent3 4 5 4 3 2 3" xfId="33587" xr:uid="{00000000-0005-0000-0000-00002E6E0000}"/>
    <cellStyle name="40% - Accent3 4 5 4 3 3" xfId="16636" xr:uid="{00000000-0005-0000-0000-00002F6E0000}"/>
    <cellStyle name="40% - Accent3 4 5 4 3 3 2" xfId="39238" xr:uid="{00000000-0005-0000-0000-0000306E0000}"/>
    <cellStyle name="40% - Accent3 4 5 4 3 4" xfId="27937" xr:uid="{00000000-0005-0000-0000-0000316E0000}"/>
    <cellStyle name="40% - Accent3 4 5 4 4" xfId="7723" xr:uid="{00000000-0005-0000-0000-0000326E0000}"/>
    <cellStyle name="40% - Accent3 4 5 4 4 2" xfId="19024" xr:uid="{00000000-0005-0000-0000-0000336E0000}"/>
    <cellStyle name="40% - Accent3 4 5 4 4 2 2" xfId="41626" xr:uid="{00000000-0005-0000-0000-0000346E0000}"/>
    <cellStyle name="40% - Accent3 4 5 4 4 3" xfId="30325" xr:uid="{00000000-0005-0000-0000-0000356E0000}"/>
    <cellStyle name="40% - Accent3 4 5 4 5" xfId="13374" xr:uid="{00000000-0005-0000-0000-0000366E0000}"/>
    <cellStyle name="40% - Accent3 4 5 4 5 2" xfId="35976" xr:uid="{00000000-0005-0000-0000-0000376E0000}"/>
    <cellStyle name="40% - Accent3 4 5 4 6" xfId="24675" xr:uid="{00000000-0005-0000-0000-0000386E0000}"/>
    <cellStyle name="40% - Accent3 4 5 5" xfId="2316" xr:uid="{00000000-0005-0000-0000-0000396E0000}"/>
    <cellStyle name="40% - Accent3 4 5 5 2" xfId="8152" xr:uid="{00000000-0005-0000-0000-00003A6E0000}"/>
    <cellStyle name="40% - Accent3 4 5 5 2 2" xfId="19453" xr:uid="{00000000-0005-0000-0000-00003B6E0000}"/>
    <cellStyle name="40% - Accent3 4 5 5 2 2 2" xfId="42055" xr:uid="{00000000-0005-0000-0000-00003C6E0000}"/>
    <cellStyle name="40% - Accent3 4 5 5 2 3" xfId="30754" xr:uid="{00000000-0005-0000-0000-00003D6E0000}"/>
    <cellStyle name="40% - Accent3 4 5 5 3" xfId="13803" xr:uid="{00000000-0005-0000-0000-00003E6E0000}"/>
    <cellStyle name="40% - Accent3 4 5 5 3 2" xfId="36405" xr:uid="{00000000-0005-0000-0000-00003F6E0000}"/>
    <cellStyle name="40% - Accent3 4 5 5 4" xfId="25104" xr:uid="{00000000-0005-0000-0000-0000406E0000}"/>
    <cellStyle name="40% - Accent3 4 5 6" xfId="4101" xr:uid="{00000000-0005-0000-0000-0000416E0000}"/>
    <cellStyle name="40% - Accent3 4 5 6 2" xfId="9751" xr:uid="{00000000-0005-0000-0000-0000426E0000}"/>
    <cellStyle name="40% - Accent3 4 5 6 2 2" xfId="21052" xr:uid="{00000000-0005-0000-0000-0000436E0000}"/>
    <cellStyle name="40% - Accent3 4 5 6 2 2 2" xfId="43654" xr:uid="{00000000-0005-0000-0000-0000446E0000}"/>
    <cellStyle name="40% - Accent3 4 5 6 2 3" xfId="32353" xr:uid="{00000000-0005-0000-0000-0000456E0000}"/>
    <cellStyle name="40% - Accent3 4 5 6 3" xfId="15402" xr:uid="{00000000-0005-0000-0000-0000466E0000}"/>
    <cellStyle name="40% - Accent3 4 5 6 3 2" xfId="38004" xr:uid="{00000000-0005-0000-0000-0000476E0000}"/>
    <cellStyle name="40% - Accent3 4 5 6 4" xfId="26703" xr:uid="{00000000-0005-0000-0000-0000486E0000}"/>
    <cellStyle name="40% - Accent3 4 5 7" xfId="6552" xr:uid="{00000000-0005-0000-0000-0000496E0000}"/>
    <cellStyle name="40% - Accent3 4 5 7 2" xfId="17853" xr:uid="{00000000-0005-0000-0000-00004A6E0000}"/>
    <cellStyle name="40% - Accent3 4 5 7 2 2" xfId="40455" xr:uid="{00000000-0005-0000-0000-00004B6E0000}"/>
    <cellStyle name="40% - Accent3 4 5 7 3" xfId="29154" xr:uid="{00000000-0005-0000-0000-00004C6E0000}"/>
    <cellStyle name="40% - Accent3 4 5 8" xfId="12203" xr:uid="{00000000-0005-0000-0000-00004D6E0000}"/>
    <cellStyle name="40% - Accent3 4 5 8 2" xfId="34805" xr:uid="{00000000-0005-0000-0000-00004E6E0000}"/>
    <cellStyle name="40% - Accent3 4 5 9" xfId="23504" xr:uid="{00000000-0005-0000-0000-00004F6E0000}"/>
    <cellStyle name="40% - Accent3 4 6" xfId="1059" xr:uid="{00000000-0005-0000-0000-0000506E0000}"/>
    <cellStyle name="40% - Accent3 4 6 2" xfId="1869" xr:uid="{00000000-0005-0000-0000-0000516E0000}"/>
    <cellStyle name="40% - Accent3 4 6 2 2" xfId="3126" xr:uid="{00000000-0005-0000-0000-0000526E0000}"/>
    <cellStyle name="40% - Accent3 4 6 2 2 2" xfId="6098" xr:uid="{00000000-0005-0000-0000-0000536E0000}"/>
    <cellStyle name="40% - Accent3 4 6 2 2 2 2" xfId="11748" xr:uid="{00000000-0005-0000-0000-0000546E0000}"/>
    <cellStyle name="40% - Accent3 4 6 2 2 2 2 2" xfId="23049" xr:uid="{00000000-0005-0000-0000-0000556E0000}"/>
    <cellStyle name="40% - Accent3 4 6 2 2 2 2 2 2" xfId="45651" xr:uid="{00000000-0005-0000-0000-0000566E0000}"/>
    <cellStyle name="40% - Accent3 4 6 2 2 2 2 3" xfId="34350" xr:uid="{00000000-0005-0000-0000-0000576E0000}"/>
    <cellStyle name="40% - Accent3 4 6 2 2 2 3" xfId="17399" xr:uid="{00000000-0005-0000-0000-0000586E0000}"/>
    <cellStyle name="40% - Accent3 4 6 2 2 2 3 2" xfId="40001" xr:uid="{00000000-0005-0000-0000-0000596E0000}"/>
    <cellStyle name="40% - Accent3 4 6 2 2 2 4" xfId="28700" xr:uid="{00000000-0005-0000-0000-00005A6E0000}"/>
    <cellStyle name="40% - Accent3 4 6 2 2 3" xfId="8916" xr:uid="{00000000-0005-0000-0000-00005B6E0000}"/>
    <cellStyle name="40% - Accent3 4 6 2 2 3 2" xfId="20217" xr:uid="{00000000-0005-0000-0000-00005C6E0000}"/>
    <cellStyle name="40% - Accent3 4 6 2 2 3 2 2" xfId="42819" xr:uid="{00000000-0005-0000-0000-00005D6E0000}"/>
    <cellStyle name="40% - Accent3 4 6 2 2 3 3" xfId="31518" xr:uid="{00000000-0005-0000-0000-00005E6E0000}"/>
    <cellStyle name="40% - Accent3 4 6 2 2 4" xfId="14567" xr:uid="{00000000-0005-0000-0000-00005F6E0000}"/>
    <cellStyle name="40% - Accent3 4 6 2 2 4 2" xfId="37169" xr:uid="{00000000-0005-0000-0000-0000606E0000}"/>
    <cellStyle name="40% - Accent3 4 6 2 2 5" xfId="25868" xr:uid="{00000000-0005-0000-0000-0000616E0000}"/>
    <cellStyle name="40% - Accent3 4 6 2 3" xfId="4864" xr:uid="{00000000-0005-0000-0000-0000626E0000}"/>
    <cellStyle name="40% - Accent3 4 6 2 3 2" xfId="10514" xr:uid="{00000000-0005-0000-0000-0000636E0000}"/>
    <cellStyle name="40% - Accent3 4 6 2 3 2 2" xfId="21815" xr:uid="{00000000-0005-0000-0000-0000646E0000}"/>
    <cellStyle name="40% - Accent3 4 6 2 3 2 2 2" xfId="44417" xr:uid="{00000000-0005-0000-0000-0000656E0000}"/>
    <cellStyle name="40% - Accent3 4 6 2 3 2 3" xfId="33116" xr:uid="{00000000-0005-0000-0000-0000666E0000}"/>
    <cellStyle name="40% - Accent3 4 6 2 3 3" xfId="16165" xr:uid="{00000000-0005-0000-0000-0000676E0000}"/>
    <cellStyle name="40% - Accent3 4 6 2 3 3 2" xfId="38767" xr:uid="{00000000-0005-0000-0000-0000686E0000}"/>
    <cellStyle name="40% - Accent3 4 6 2 3 4" xfId="27466" xr:uid="{00000000-0005-0000-0000-0000696E0000}"/>
    <cellStyle name="40% - Accent3 4 6 2 4" xfId="7725" xr:uid="{00000000-0005-0000-0000-00006A6E0000}"/>
    <cellStyle name="40% - Accent3 4 6 2 4 2" xfId="19026" xr:uid="{00000000-0005-0000-0000-00006B6E0000}"/>
    <cellStyle name="40% - Accent3 4 6 2 4 2 2" xfId="41628" xr:uid="{00000000-0005-0000-0000-00006C6E0000}"/>
    <cellStyle name="40% - Accent3 4 6 2 4 3" xfId="30327" xr:uid="{00000000-0005-0000-0000-00006D6E0000}"/>
    <cellStyle name="40% - Accent3 4 6 2 5" xfId="13376" xr:uid="{00000000-0005-0000-0000-00006E6E0000}"/>
    <cellStyle name="40% - Accent3 4 6 2 5 2" xfId="35978" xr:uid="{00000000-0005-0000-0000-00006F6E0000}"/>
    <cellStyle name="40% - Accent3 4 6 2 6" xfId="24677" xr:uid="{00000000-0005-0000-0000-0000706E0000}"/>
    <cellStyle name="40% - Accent3 4 6 3" xfId="2455" xr:uid="{00000000-0005-0000-0000-0000716E0000}"/>
    <cellStyle name="40% - Accent3 4 6 3 2" xfId="5474" xr:uid="{00000000-0005-0000-0000-0000726E0000}"/>
    <cellStyle name="40% - Accent3 4 6 3 2 2" xfId="11124" xr:uid="{00000000-0005-0000-0000-0000736E0000}"/>
    <cellStyle name="40% - Accent3 4 6 3 2 2 2" xfId="22425" xr:uid="{00000000-0005-0000-0000-0000746E0000}"/>
    <cellStyle name="40% - Accent3 4 6 3 2 2 2 2" xfId="45027" xr:uid="{00000000-0005-0000-0000-0000756E0000}"/>
    <cellStyle name="40% - Accent3 4 6 3 2 2 3" xfId="33726" xr:uid="{00000000-0005-0000-0000-0000766E0000}"/>
    <cellStyle name="40% - Accent3 4 6 3 2 3" xfId="16775" xr:uid="{00000000-0005-0000-0000-0000776E0000}"/>
    <cellStyle name="40% - Accent3 4 6 3 2 3 2" xfId="39377" xr:uid="{00000000-0005-0000-0000-0000786E0000}"/>
    <cellStyle name="40% - Accent3 4 6 3 2 4" xfId="28076" xr:uid="{00000000-0005-0000-0000-0000796E0000}"/>
    <cellStyle name="40% - Accent3 4 6 3 3" xfId="8291" xr:uid="{00000000-0005-0000-0000-00007A6E0000}"/>
    <cellStyle name="40% - Accent3 4 6 3 3 2" xfId="19592" xr:uid="{00000000-0005-0000-0000-00007B6E0000}"/>
    <cellStyle name="40% - Accent3 4 6 3 3 2 2" xfId="42194" xr:uid="{00000000-0005-0000-0000-00007C6E0000}"/>
    <cellStyle name="40% - Accent3 4 6 3 3 3" xfId="30893" xr:uid="{00000000-0005-0000-0000-00007D6E0000}"/>
    <cellStyle name="40% - Accent3 4 6 3 4" xfId="13942" xr:uid="{00000000-0005-0000-0000-00007E6E0000}"/>
    <cellStyle name="40% - Accent3 4 6 3 4 2" xfId="36544" xr:uid="{00000000-0005-0000-0000-00007F6E0000}"/>
    <cellStyle name="40% - Accent3 4 6 3 5" xfId="25243" xr:uid="{00000000-0005-0000-0000-0000806E0000}"/>
    <cellStyle name="40% - Accent3 4 6 4" xfId="4240" xr:uid="{00000000-0005-0000-0000-0000816E0000}"/>
    <cellStyle name="40% - Accent3 4 6 4 2" xfId="9890" xr:uid="{00000000-0005-0000-0000-0000826E0000}"/>
    <cellStyle name="40% - Accent3 4 6 4 2 2" xfId="21191" xr:uid="{00000000-0005-0000-0000-0000836E0000}"/>
    <cellStyle name="40% - Accent3 4 6 4 2 2 2" xfId="43793" xr:uid="{00000000-0005-0000-0000-0000846E0000}"/>
    <cellStyle name="40% - Accent3 4 6 4 2 3" xfId="32492" xr:uid="{00000000-0005-0000-0000-0000856E0000}"/>
    <cellStyle name="40% - Accent3 4 6 4 3" xfId="15541" xr:uid="{00000000-0005-0000-0000-0000866E0000}"/>
    <cellStyle name="40% - Accent3 4 6 4 3 2" xfId="38143" xr:uid="{00000000-0005-0000-0000-0000876E0000}"/>
    <cellStyle name="40% - Accent3 4 6 4 4" xfId="26842" xr:uid="{00000000-0005-0000-0000-0000886E0000}"/>
    <cellStyle name="40% - Accent3 4 6 5" xfId="7038" xr:uid="{00000000-0005-0000-0000-0000896E0000}"/>
    <cellStyle name="40% - Accent3 4 6 5 2" xfId="18339" xr:uid="{00000000-0005-0000-0000-00008A6E0000}"/>
    <cellStyle name="40% - Accent3 4 6 5 2 2" xfId="40941" xr:uid="{00000000-0005-0000-0000-00008B6E0000}"/>
    <cellStyle name="40% - Accent3 4 6 5 3" xfId="29640" xr:uid="{00000000-0005-0000-0000-00008C6E0000}"/>
    <cellStyle name="40% - Accent3 4 6 6" xfId="12689" xr:uid="{00000000-0005-0000-0000-00008D6E0000}"/>
    <cellStyle name="40% - Accent3 4 6 6 2" xfId="35291" xr:uid="{00000000-0005-0000-0000-00008E6E0000}"/>
    <cellStyle name="40% - Accent3 4 6 7" xfId="23990" xr:uid="{00000000-0005-0000-0000-00008F6E0000}"/>
    <cellStyle name="40% - Accent3 4 7" xfId="723" xr:uid="{00000000-0005-0000-0000-0000906E0000}"/>
    <cellStyle name="40% - Accent3 4 7 2" xfId="2820" xr:uid="{00000000-0005-0000-0000-0000916E0000}"/>
    <cellStyle name="40% - Accent3 4 7 2 2" xfId="5792" xr:uid="{00000000-0005-0000-0000-0000926E0000}"/>
    <cellStyle name="40% - Accent3 4 7 2 2 2" xfId="11442" xr:uid="{00000000-0005-0000-0000-0000936E0000}"/>
    <cellStyle name="40% - Accent3 4 7 2 2 2 2" xfId="22743" xr:uid="{00000000-0005-0000-0000-0000946E0000}"/>
    <cellStyle name="40% - Accent3 4 7 2 2 2 2 2" xfId="45345" xr:uid="{00000000-0005-0000-0000-0000956E0000}"/>
    <cellStyle name="40% - Accent3 4 7 2 2 2 3" xfId="34044" xr:uid="{00000000-0005-0000-0000-0000966E0000}"/>
    <cellStyle name="40% - Accent3 4 7 2 2 3" xfId="17093" xr:uid="{00000000-0005-0000-0000-0000976E0000}"/>
    <cellStyle name="40% - Accent3 4 7 2 2 3 2" xfId="39695" xr:uid="{00000000-0005-0000-0000-0000986E0000}"/>
    <cellStyle name="40% - Accent3 4 7 2 2 4" xfId="28394" xr:uid="{00000000-0005-0000-0000-0000996E0000}"/>
    <cellStyle name="40% - Accent3 4 7 2 3" xfId="8610" xr:uid="{00000000-0005-0000-0000-00009A6E0000}"/>
    <cellStyle name="40% - Accent3 4 7 2 3 2" xfId="19911" xr:uid="{00000000-0005-0000-0000-00009B6E0000}"/>
    <cellStyle name="40% - Accent3 4 7 2 3 2 2" xfId="42513" xr:uid="{00000000-0005-0000-0000-00009C6E0000}"/>
    <cellStyle name="40% - Accent3 4 7 2 3 3" xfId="31212" xr:uid="{00000000-0005-0000-0000-00009D6E0000}"/>
    <cellStyle name="40% - Accent3 4 7 2 4" xfId="14261" xr:uid="{00000000-0005-0000-0000-00009E6E0000}"/>
    <cellStyle name="40% - Accent3 4 7 2 4 2" xfId="36863" xr:uid="{00000000-0005-0000-0000-00009F6E0000}"/>
    <cellStyle name="40% - Accent3 4 7 2 5" xfId="25562" xr:uid="{00000000-0005-0000-0000-0000A06E0000}"/>
    <cellStyle name="40% - Accent3 4 7 3" xfId="4558" xr:uid="{00000000-0005-0000-0000-0000A16E0000}"/>
    <cellStyle name="40% - Accent3 4 7 3 2" xfId="10208" xr:uid="{00000000-0005-0000-0000-0000A26E0000}"/>
    <cellStyle name="40% - Accent3 4 7 3 2 2" xfId="21509" xr:uid="{00000000-0005-0000-0000-0000A36E0000}"/>
    <cellStyle name="40% - Accent3 4 7 3 2 2 2" xfId="44111" xr:uid="{00000000-0005-0000-0000-0000A46E0000}"/>
    <cellStyle name="40% - Accent3 4 7 3 2 3" xfId="32810" xr:uid="{00000000-0005-0000-0000-0000A56E0000}"/>
    <cellStyle name="40% - Accent3 4 7 3 3" xfId="15859" xr:uid="{00000000-0005-0000-0000-0000A66E0000}"/>
    <cellStyle name="40% - Accent3 4 7 3 3 2" xfId="38461" xr:uid="{00000000-0005-0000-0000-0000A76E0000}"/>
    <cellStyle name="40% - Accent3 4 7 3 4" xfId="27160" xr:uid="{00000000-0005-0000-0000-0000A86E0000}"/>
    <cellStyle name="40% - Accent3 4 7 4" xfId="6740" xr:uid="{00000000-0005-0000-0000-0000A96E0000}"/>
    <cellStyle name="40% - Accent3 4 7 4 2" xfId="18041" xr:uid="{00000000-0005-0000-0000-0000AA6E0000}"/>
    <cellStyle name="40% - Accent3 4 7 4 2 2" xfId="40643" xr:uid="{00000000-0005-0000-0000-0000AB6E0000}"/>
    <cellStyle name="40% - Accent3 4 7 4 3" xfId="29342" xr:uid="{00000000-0005-0000-0000-0000AC6E0000}"/>
    <cellStyle name="40% - Accent3 4 7 5" xfId="12391" xr:uid="{00000000-0005-0000-0000-0000AD6E0000}"/>
    <cellStyle name="40% - Accent3 4 7 5 2" xfId="34993" xr:uid="{00000000-0005-0000-0000-0000AE6E0000}"/>
    <cellStyle name="40% - Accent3 4 7 6" xfId="23692" xr:uid="{00000000-0005-0000-0000-0000AF6E0000}"/>
    <cellStyle name="40% - Accent3 4 8" xfId="1856" xr:uid="{00000000-0005-0000-0000-0000B06E0000}"/>
    <cellStyle name="40% - Accent3 4 8 2" xfId="3699" xr:uid="{00000000-0005-0000-0000-0000B16E0000}"/>
    <cellStyle name="40% - Accent3 4 8 2 2" xfId="9409" xr:uid="{00000000-0005-0000-0000-0000B26E0000}"/>
    <cellStyle name="40% - Accent3 4 8 2 2 2" xfId="20710" xr:uid="{00000000-0005-0000-0000-0000B36E0000}"/>
    <cellStyle name="40% - Accent3 4 8 2 2 2 2" xfId="43312" xr:uid="{00000000-0005-0000-0000-0000B46E0000}"/>
    <cellStyle name="40% - Accent3 4 8 2 2 3" xfId="32011" xr:uid="{00000000-0005-0000-0000-0000B56E0000}"/>
    <cellStyle name="40% - Accent3 4 8 2 3" xfId="15060" xr:uid="{00000000-0005-0000-0000-0000B66E0000}"/>
    <cellStyle name="40% - Accent3 4 8 2 3 2" xfId="37662" xr:uid="{00000000-0005-0000-0000-0000B76E0000}"/>
    <cellStyle name="40% - Accent3 4 8 2 4" xfId="26361" xr:uid="{00000000-0005-0000-0000-0000B86E0000}"/>
    <cellStyle name="40% - Accent3 4 8 3" xfId="5168" xr:uid="{00000000-0005-0000-0000-0000B96E0000}"/>
    <cellStyle name="40% - Accent3 4 8 3 2" xfId="10818" xr:uid="{00000000-0005-0000-0000-0000BA6E0000}"/>
    <cellStyle name="40% - Accent3 4 8 3 2 2" xfId="22119" xr:uid="{00000000-0005-0000-0000-0000BB6E0000}"/>
    <cellStyle name="40% - Accent3 4 8 3 2 2 2" xfId="44721" xr:uid="{00000000-0005-0000-0000-0000BC6E0000}"/>
    <cellStyle name="40% - Accent3 4 8 3 2 3" xfId="33420" xr:uid="{00000000-0005-0000-0000-0000BD6E0000}"/>
    <cellStyle name="40% - Accent3 4 8 3 3" xfId="16469" xr:uid="{00000000-0005-0000-0000-0000BE6E0000}"/>
    <cellStyle name="40% - Accent3 4 8 3 3 2" xfId="39071" xr:uid="{00000000-0005-0000-0000-0000BF6E0000}"/>
    <cellStyle name="40% - Accent3 4 8 3 4" xfId="27770" xr:uid="{00000000-0005-0000-0000-0000C06E0000}"/>
    <cellStyle name="40% - Accent3 4 8 4" xfId="7712" xr:uid="{00000000-0005-0000-0000-0000C16E0000}"/>
    <cellStyle name="40% - Accent3 4 8 4 2" xfId="19013" xr:uid="{00000000-0005-0000-0000-0000C26E0000}"/>
    <cellStyle name="40% - Accent3 4 8 4 2 2" xfId="41615" xr:uid="{00000000-0005-0000-0000-0000C36E0000}"/>
    <cellStyle name="40% - Accent3 4 8 4 3" xfId="30314" xr:uid="{00000000-0005-0000-0000-0000C46E0000}"/>
    <cellStyle name="40% - Accent3 4 8 5" xfId="13363" xr:uid="{00000000-0005-0000-0000-0000C56E0000}"/>
    <cellStyle name="40% - Accent3 4 8 5 2" xfId="35965" xr:uid="{00000000-0005-0000-0000-0000C66E0000}"/>
    <cellStyle name="40% - Accent3 4 8 6" xfId="24664" xr:uid="{00000000-0005-0000-0000-0000C76E0000}"/>
    <cellStyle name="40% - Accent3 4 9" xfId="2139" xr:uid="{00000000-0005-0000-0000-0000C86E0000}"/>
    <cellStyle name="40% - Accent3 4 9 2" xfId="7982" xr:uid="{00000000-0005-0000-0000-0000C96E0000}"/>
    <cellStyle name="40% - Accent3 4 9 2 2" xfId="19283" xr:uid="{00000000-0005-0000-0000-0000CA6E0000}"/>
    <cellStyle name="40% - Accent3 4 9 2 2 2" xfId="41885" xr:uid="{00000000-0005-0000-0000-0000CB6E0000}"/>
    <cellStyle name="40% - Accent3 4 9 2 3" xfId="30584" xr:uid="{00000000-0005-0000-0000-0000CC6E0000}"/>
    <cellStyle name="40% - Accent3 4 9 3" xfId="13633" xr:uid="{00000000-0005-0000-0000-0000CD6E0000}"/>
    <cellStyle name="40% - Accent3 4 9 3 2" xfId="36235" xr:uid="{00000000-0005-0000-0000-0000CE6E0000}"/>
    <cellStyle name="40% - Accent3 4 9 4" xfId="24934" xr:uid="{00000000-0005-0000-0000-0000CF6E0000}"/>
    <cellStyle name="40% - Accent3 5" xfId="211" xr:uid="{00000000-0005-0000-0000-0000D06E0000}"/>
    <cellStyle name="40% - Accent3 5 10" xfId="12076" xr:uid="{00000000-0005-0000-0000-0000D16E0000}"/>
    <cellStyle name="40% - Accent3 5 10 2" xfId="34678" xr:uid="{00000000-0005-0000-0000-0000D26E0000}"/>
    <cellStyle name="40% - Accent3 5 11" xfId="23377" xr:uid="{00000000-0005-0000-0000-0000D36E0000}"/>
    <cellStyle name="40% - Accent3 5 2" xfId="378" xr:uid="{00000000-0005-0000-0000-0000D46E0000}"/>
    <cellStyle name="40% - Accent3 5 2 10" xfId="23473" xr:uid="{00000000-0005-0000-0000-0000D56E0000}"/>
    <cellStyle name="40% - Accent3 5 2 2" xfId="623" xr:uid="{00000000-0005-0000-0000-0000D66E0000}"/>
    <cellStyle name="40% - Accent3 5 2 2 2" xfId="1333" xr:uid="{00000000-0005-0000-0000-0000D76E0000}"/>
    <cellStyle name="40% - Accent3 5 2 2 2 2" xfId="1873" xr:uid="{00000000-0005-0000-0000-0000D86E0000}"/>
    <cellStyle name="40% - Accent3 5 2 2 2 2 2" xfId="3402" xr:uid="{00000000-0005-0000-0000-0000D96E0000}"/>
    <cellStyle name="40% - Accent3 5 2 2 2 2 2 2" xfId="6374" xr:uid="{00000000-0005-0000-0000-0000DA6E0000}"/>
    <cellStyle name="40% - Accent3 5 2 2 2 2 2 2 2" xfId="12024" xr:uid="{00000000-0005-0000-0000-0000DB6E0000}"/>
    <cellStyle name="40% - Accent3 5 2 2 2 2 2 2 2 2" xfId="23325" xr:uid="{00000000-0005-0000-0000-0000DC6E0000}"/>
    <cellStyle name="40% - Accent3 5 2 2 2 2 2 2 2 2 2" xfId="45927" xr:uid="{00000000-0005-0000-0000-0000DD6E0000}"/>
    <cellStyle name="40% - Accent3 5 2 2 2 2 2 2 2 3" xfId="34626" xr:uid="{00000000-0005-0000-0000-0000DE6E0000}"/>
    <cellStyle name="40% - Accent3 5 2 2 2 2 2 2 3" xfId="17675" xr:uid="{00000000-0005-0000-0000-0000DF6E0000}"/>
    <cellStyle name="40% - Accent3 5 2 2 2 2 2 2 3 2" xfId="40277" xr:uid="{00000000-0005-0000-0000-0000E06E0000}"/>
    <cellStyle name="40% - Accent3 5 2 2 2 2 2 2 4" xfId="28976" xr:uid="{00000000-0005-0000-0000-0000E16E0000}"/>
    <cellStyle name="40% - Accent3 5 2 2 2 2 2 3" xfId="9192" xr:uid="{00000000-0005-0000-0000-0000E26E0000}"/>
    <cellStyle name="40% - Accent3 5 2 2 2 2 2 3 2" xfId="20493" xr:uid="{00000000-0005-0000-0000-0000E36E0000}"/>
    <cellStyle name="40% - Accent3 5 2 2 2 2 2 3 2 2" xfId="43095" xr:uid="{00000000-0005-0000-0000-0000E46E0000}"/>
    <cellStyle name="40% - Accent3 5 2 2 2 2 2 3 3" xfId="31794" xr:uid="{00000000-0005-0000-0000-0000E56E0000}"/>
    <cellStyle name="40% - Accent3 5 2 2 2 2 2 4" xfId="14843" xr:uid="{00000000-0005-0000-0000-0000E66E0000}"/>
    <cellStyle name="40% - Accent3 5 2 2 2 2 2 4 2" xfId="37445" xr:uid="{00000000-0005-0000-0000-0000E76E0000}"/>
    <cellStyle name="40% - Accent3 5 2 2 2 2 2 5" xfId="26144" xr:uid="{00000000-0005-0000-0000-0000E86E0000}"/>
    <cellStyle name="40% - Accent3 5 2 2 2 2 3" xfId="5140" xr:uid="{00000000-0005-0000-0000-0000E96E0000}"/>
    <cellStyle name="40% - Accent3 5 2 2 2 2 3 2" xfId="10790" xr:uid="{00000000-0005-0000-0000-0000EA6E0000}"/>
    <cellStyle name="40% - Accent3 5 2 2 2 2 3 2 2" xfId="22091" xr:uid="{00000000-0005-0000-0000-0000EB6E0000}"/>
    <cellStyle name="40% - Accent3 5 2 2 2 2 3 2 2 2" xfId="44693" xr:uid="{00000000-0005-0000-0000-0000EC6E0000}"/>
    <cellStyle name="40% - Accent3 5 2 2 2 2 3 2 3" xfId="33392" xr:uid="{00000000-0005-0000-0000-0000ED6E0000}"/>
    <cellStyle name="40% - Accent3 5 2 2 2 2 3 3" xfId="16441" xr:uid="{00000000-0005-0000-0000-0000EE6E0000}"/>
    <cellStyle name="40% - Accent3 5 2 2 2 2 3 3 2" xfId="39043" xr:uid="{00000000-0005-0000-0000-0000EF6E0000}"/>
    <cellStyle name="40% - Accent3 5 2 2 2 2 3 4" xfId="27742" xr:uid="{00000000-0005-0000-0000-0000F06E0000}"/>
    <cellStyle name="40% - Accent3 5 2 2 2 2 4" xfId="7729" xr:uid="{00000000-0005-0000-0000-0000F16E0000}"/>
    <cellStyle name="40% - Accent3 5 2 2 2 2 4 2" xfId="19030" xr:uid="{00000000-0005-0000-0000-0000F26E0000}"/>
    <cellStyle name="40% - Accent3 5 2 2 2 2 4 2 2" xfId="41632" xr:uid="{00000000-0005-0000-0000-0000F36E0000}"/>
    <cellStyle name="40% - Accent3 5 2 2 2 2 4 3" xfId="30331" xr:uid="{00000000-0005-0000-0000-0000F46E0000}"/>
    <cellStyle name="40% - Accent3 5 2 2 2 2 5" xfId="13380" xr:uid="{00000000-0005-0000-0000-0000F56E0000}"/>
    <cellStyle name="40% - Accent3 5 2 2 2 2 5 2" xfId="35982" xr:uid="{00000000-0005-0000-0000-0000F66E0000}"/>
    <cellStyle name="40% - Accent3 5 2 2 2 2 6" xfId="24681" xr:uid="{00000000-0005-0000-0000-0000F76E0000}"/>
    <cellStyle name="40% - Accent3 5 2 2 2 3" xfId="2731" xr:uid="{00000000-0005-0000-0000-0000F86E0000}"/>
    <cellStyle name="40% - Accent3 5 2 2 2 3 2" xfId="5750" xr:uid="{00000000-0005-0000-0000-0000F96E0000}"/>
    <cellStyle name="40% - Accent3 5 2 2 2 3 2 2" xfId="11400" xr:uid="{00000000-0005-0000-0000-0000FA6E0000}"/>
    <cellStyle name="40% - Accent3 5 2 2 2 3 2 2 2" xfId="22701" xr:uid="{00000000-0005-0000-0000-0000FB6E0000}"/>
    <cellStyle name="40% - Accent3 5 2 2 2 3 2 2 2 2" xfId="45303" xr:uid="{00000000-0005-0000-0000-0000FC6E0000}"/>
    <cellStyle name="40% - Accent3 5 2 2 2 3 2 2 3" xfId="34002" xr:uid="{00000000-0005-0000-0000-0000FD6E0000}"/>
    <cellStyle name="40% - Accent3 5 2 2 2 3 2 3" xfId="17051" xr:uid="{00000000-0005-0000-0000-0000FE6E0000}"/>
    <cellStyle name="40% - Accent3 5 2 2 2 3 2 3 2" xfId="39653" xr:uid="{00000000-0005-0000-0000-0000FF6E0000}"/>
    <cellStyle name="40% - Accent3 5 2 2 2 3 2 4" xfId="28352" xr:uid="{00000000-0005-0000-0000-0000006F0000}"/>
    <cellStyle name="40% - Accent3 5 2 2 2 3 3" xfId="8567" xr:uid="{00000000-0005-0000-0000-0000016F0000}"/>
    <cellStyle name="40% - Accent3 5 2 2 2 3 3 2" xfId="19868" xr:uid="{00000000-0005-0000-0000-0000026F0000}"/>
    <cellStyle name="40% - Accent3 5 2 2 2 3 3 2 2" xfId="42470" xr:uid="{00000000-0005-0000-0000-0000036F0000}"/>
    <cellStyle name="40% - Accent3 5 2 2 2 3 3 3" xfId="31169" xr:uid="{00000000-0005-0000-0000-0000046F0000}"/>
    <cellStyle name="40% - Accent3 5 2 2 2 3 4" xfId="14218" xr:uid="{00000000-0005-0000-0000-0000056F0000}"/>
    <cellStyle name="40% - Accent3 5 2 2 2 3 4 2" xfId="36820" xr:uid="{00000000-0005-0000-0000-0000066F0000}"/>
    <cellStyle name="40% - Accent3 5 2 2 2 3 5" xfId="25519" xr:uid="{00000000-0005-0000-0000-0000076F0000}"/>
    <cellStyle name="40% - Accent3 5 2 2 2 4" xfId="4516" xr:uid="{00000000-0005-0000-0000-0000086F0000}"/>
    <cellStyle name="40% - Accent3 5 2 2 2 4 2" xfId="10166" xr:uid="{00000000-0005-0000-0000-0000096F0000}"/>
    <cellStyle name="40% - Accent3 5 2 2 2 4 2 2" xfId="21467" xr:uid="{00000000-0005-0000-0000-00000A6F0000}"/>
    <cellStyle name="40% - Accent3 5 2 2 2 4 2 2 2" xfId="44069" xr:uid="{00000000-0005-0000-0000-00000B6F0000}"/>
    <cellStyle name="40% - Accent3 5 2 2 2 4 2 3" xfId="32768" xr:uid="{00000000-0005-0000-0000-00000C6F0000}"/>
    <cellStyle name="40% - Accent3 5 2 2 2 4 3" xfId="15817" xr:uid="{00000000-0005-0000-0000-00000D6F0000}"/>
    <cellStyle name="40% - Accent3 5 2 2 2 4 3 2" xfId="38419" xr:uid="{00000000-0005-0000-0000-00000E6F0000}"/>
    <cellStyle name="40% - Accent3 5 2 2 2 4 4" xfId="27118" xr:uid="{00000000-0005-0000-0000-00000F6F0000}"/>
    <cellStyle name="40% - Accent3 5 2 2 2 5" xfId="7312" xr:uid="{00000000-0005-0000-0000-0000106F0000}"/>
    <cellStyle name="40% - Accent3 5 2 2 2 5 2" xfId="18613" xr:uid="{00000000-0005-0000-0000-0000116F0000}"/>
    <cellStyle name="40% - Accent3 5 2 2 2 5 2 2" xfId="41215" xr:uid="{00000000-0005-0000-0000-0000126F0000}"/>
    <cellStyle name="40% - Accent3 5 2 2 2 5 3" xfId="29914" xr:uid="{00000000-0005-0000-0000-0000136F0000}"/>
    <cellStyle name="40% - Accent3 5 2 2 2 6" xfId="12963" xr:uid="{00000000-0005-0000-0000-0000146F0000}"/>
    <cellStyle name="40% - Accent3 5 2 2 2 6 2" xfId="35565" xr:uid="{00000000-0005-0000-0000-0000156F0000}"/>
    <cellStyle name="40% - Accent3 5 2 2 2 7" xfId="24264" xr:uid="{00000000-0005-0000-0000-0000166F0000}"/>
    <cellStyle name="40% - Accent3 5 2 2 3" xfId="1031" xr:uid="{00000000-0005-0000-0000-0000176F0000}"/>
    <cellStyle name="40% - Accent3 5 2 2 3 2" xfId="3094" xr:uid="{00000000-0005-0000-0000-0000186F0000}"/>
    <cellStyle name="40% - Accent3 5 2 2 3 2 2" xfId="6066" xr:uid="{00000000-0005-0000-0000-0000196F0000}"/>
    <cellStyle name="40% - Accent3 5 2 2 3 2 2 2" xfId="11716" xr:uid="{00000000-0005-0000-0000-00001A6F0000}"/>
    <cellStyle name="40% - Accent3 5 2 2 3 2 2 2 2" xfId="23017" xr:uid="{00000000-0005-0000-0000-00001B6F0000}"/>
    <cellStyle name="40% - Accent3 5 2 2 3 2 2 2 2 2" xfId="45619" xr:uid="{00000000-0005-0000-0000-00001C6F0000}"/>
    <cellStyle name="40% - Accent3 5 2 2 3 2 2 2 3" xfId="34318" xr:uid="{00000000-0005-0000-0000-00001D6F0000}"/>
    <cellStyle name="40% - Accent3 5 2 2 3 2 2 3" xfId="17367" xr:uid="{00000000-0005-0000-0000-00001E6F0000}"/>
    <cellStyle name="40% - Accent3 5 2 2 3 2 2 3 2" xfId="39969" xr:uid="{00000000-0005-0000-0000-00001F6F0000}"/>
    <cellStyle name="40% - Accent3 5 2 2 3 2 2 4" xfId="28668" xr:uid="{00000000-0005-0000-0000-0000206F0000}"/>
    <cellStyle name="40% - Accent3 5 2 2 3 2 3" xfId="8884" xr:uid="{00000000-0005-0000-0000-0000216F0000}"/>
    <cellStyle name="40% - Accent3 5 2 2 3 2 3 2" xfId="20185" xr:uid="{00000000-0005-0000-0000-0000226F0000}"/>
    <cellStyle name="40% - Accent3 5 2 2 3 2 3 2 2" xfId="42787" xr:uid="{00000000-0005-0000-0000-0000236F0000}"/>
    <cellStyle name="40% - Accent3 5 2 2 3 2 3 3" xfId="31486" xr:uid="{00000000-0005-0000-0000-0000246F0000}"/>
    <cellStyle name="40% - Accent3 5 2 2 3 2 4" xfId="14535" xr:uid="{00000000-0005-0000-0000-0000256F0000}"/>
    <cellStyle name="40% - Accent3 5 2 2 3 2 4 2" xfId="37137" xr:uid="{00000000-0005-0000-0000-0000266F0000}"/>
    <cellStyle name="40% - Accent3 5 2 2 3 2 5" xfId="25836" xr:uid="{00000000-0005-0000-0000-0000276F0000}"/>
    <cellStyle name="40% - Accent3 5 2 2 3 3" xfId="4832" xr:uid="{00000000-0005-0000-0000-0000286F0000}"/>
    <cellStyle name="40% - Accent3 5 2 2 3 3 2" xfId="10482" xr:uid="{00000000-0005-0000-0000-0000296F0000}"/>
    <cellStyle name="40% - Accent3 5 2 2 3 3 2 2" xfId="21783" xr:uid="{00000000-0005-0000-0000-00002A6F0000}"/>
    <cellStyle name="40% - Accent3 5 2 2 3 3 2 2 2" xfId="44385" xr:uid="{00000000-0005-0000-0000-00002B6F0000}"/>
    <cellStyle name="40% - Accent3 5 2 2 3 3 2 3" xfId="33084" xr:uid="{00000000-0005-0000-0000-00002C6F0000}"/>
    <cellStyle name="40% - Accent3 5 2 2 3 3 3" xfId="16133" xr:uid="{00000000-0005-0000-0000-00002D6F0000}"/>
    <cellStyle name="40% - Accent3 5 2 2 3 3 3 2" xfId="38735" xr:uid="{00000000-0005-0000-0000-00002E6F0000}"/>
    <cellStyle name="40% - Accent3 5 2 2 3 3 4" xfId="27434" xr:uid="{00000000-0005-0000-0000-00002F6F0000}"/>
    <cellStyle name="40% - Accent3 5 2 2 3 4" xfId="7019" xr:uid="{00000000-0005-0000-0000-0000306F0000}"/>
    <cellStyle name="40% - Accent3 5 2 2 3 4 2" xfId="18320" xr:uid="{00000000-0005-0000-0000-0000316F0000}"/>
    <cellStyle name="40% - Accent3 5 2 2 3 4 2 2" xfId="40922" xr:uid="{00000000-0005-0000-0000-0000326F0000}"/>
    <cellStyle name="40% - Accent3 5 2 2 3 4 3" xfId="29621" xr:uid="{00000000-0005-0000-0000-0000336F0000}"/>
    <cellStyle name="40% - Accent3 5 2 2 3 5" xfId="12670" xr:uid="{00000000-0005-0000-0000-0000346F0000}"/>
    <cellStyle name="40% - Accent3 5 2 2 3 5 2" xfId="35272" xr:uid="{00000000-0005-0000-0000-0000356F0000}"/>
    <cellStyle name="40% - Accent3 5 2 2 3 6" xfId="23971" xr:uid="{00000000-0005-0000-0000-0000366F0000}"/>
    <cellStyle name="40% - Accent3 5 2 2 4" xfId="1872" xr:uid="{00000000-0005-0000-0000-0000376F0000}"/>
    <cellStyle name="40% - Accent3 5 2 2 4 2" xfId="3708" xr:uid="{00000000-0005-0000-0000-0000386F0000}"/>
    <cellStyle name="40% - Accent3 5 2 2 4 2 2" xfId="9418" xr:uid="{00000000-0005-0000-0000-0000396F0000}"/>
    <cellStyle name="40% - Accent3 5 2 2 4 2 2 2" xfId="20719" xr:uid="{00000000-0005-0000-0000-00003A6F0000}"/>
    <cellStyle name="40% - Accent3 5 2 2 4 2 2 2 2" xfId="43321" xr:uid="{00000000-0005-0000-0000-00003B6F0000}"/>
    <cellStyle name="40% - Accent3 5 2 2 4 2 2 3" xfId="32020" xr:uid="{00000000-0005-0000-0000-00003C6F0000}"/>
    <cellStyle name="40% - Accent3 5 2 2 4 2 3" xfId="15069" xr:uid="{00000000-0005-0000-0000-00003D6F0000}"/>
    <cellStyle name="40% - Accent3 5 2 2 4 2 3 2" xfId="37671" xr:uid="{00000000-0005-0000-0000-00003E6F0000}"/>
    <cellStyle name="40% - Accent3 5 2 2 4 2 4" xfId="26370" xr:uid="{00000000-0005-0000-0000-00003F6F0000}"/>
    <cellStyle name="40% - Accent3 5 2 2 4 3" xfId="5442" xr:uid="{00000000-0005-0000-0000-0000406F0000}"/>
    <cellStyle name="40% - Accent3 5 2 2 4 3 2" xfId="11092" xr:uid="{00000000-0005-0000-0000-0000416F0000}"/>
    <cellStyle name="40% - Accent3 5 2 2 4 3 2 2" xfId="22393" xr:uid="{00000000-0005-0000-0000-0000426F0000}"/>
    <cellStyle name="40% - Accent3 5 2 2 4 3 2 2 2" xfId="44995" xr:uid="{00000000-0005-0000-0000-0000436F0000}"/>
    <cellStyle name="40% - Accent3 5 2 2 4 3 2 3" xfId="33694" xr:uid="{00000000-0005-0000-0000-0000446F0000}"/>
    <cellStyle name="40% - Accent3 5 2 2 4 3 3" xfId="16743" xr:uid="{00000000-0005-0000-0000-0000456F0000}"/>
    <cellStyle name="40% - Accent3 5 2 2 4 3 3 2" xfId="39345" xr:uid="{00000000-0005-0000-0000-0000466F0000}"/>
    <cellStyle name="40% - Accent3 5 2 2 4 3 4" xfId="28044" xr:uid="{00000000-0005-0000-0000-0000476F0000}"/>
    <cellStyle name="40% - Accent3 5 2 2 4 4" xfId="7728" xr:uid="{00000000-0005-0000-0000-0000486F0000}"/>
    <cellStyle name="40% - Accent3 5 2 2 4 4 2" xfId="19029" xr:uid="{00000000-0005-0000-0000-0000496F0000}"/>
    <cellStyle name="40% - Accent3 5 2 2 4 4 2 2" xfId="41631" xr:uid="{00000000-0005-0000-0000-00004A6F0000}"/>
    <cellStyle name="40% - Accent3 5 2 2 4 4 3" xfId="30330" xr:uid="{00000000-0005-0000-0000-00004B6F0000}"/>
    <cellStyle name="40% - Accent3 5 2 2 4 5" xfId="13379" xr:uid="{00000000-0005-0000-0000-00004C6F0000}"/>
    <cellStyle name="40% - Accent3 5 2 2 4 5 2" xfId="35981" xr:uid="{00000000-0005-0000-0000-00004D6F0000}"/>
    <cellStyle name="40% - Accent3 5 2 2 4 6" xfId="24680" xr:uid="{00000000-0005-0000-0000-00004E6F0000}"/>
    <cellStyle name="40% - Accent3 5 2 2 5" xfId="2423" xr:uid="{00000000-0005-0000-0000-00004F6F0000}"/>
    <cellStyle name="40% - Accent3 5 2 2 5 2" xfId="8259" xr:uid="{00000000-0005-0000-0000-0000506F0000}"/>
    <cellStyle name="40% - Accent3 5 2 2 5 2 2" xfId="19560" xr:uid="{00000000-0005-0000-0000-0000516F0000}"/>
    <cellStyle name="40% - Accent3 5 2 2 5 2 2 2" xfId="42162" xr:uid="{00000000-0005-0000-0000-0000526F0000}"/>
    <cellStyle name="40% - Accent3 5 2 2 5 2 3" xfId="30861" xr:uid="{00000000-0005-0000-0000-0000536F0000}"/>
    <cellStyle name="40% - Accent3 5 2 2 5 3" xfId="13910" xr:uid="{00000000-0005-0000-0000-0000546F0000}"/>
    <cellStyle name="40% - Accent3 5 2 2 5 3 2" xfId="36512" xr:uid="{00000000-0005-0000-0000-0000556F0000}"/>
    <cellStyle name="40% - Accent3 5 2 2 5 4" xfId="25211" xr:uid="{00000000-0005-0000-0000-0000566F0000}"/>
    <cellStyle name="40% - Accent3 5 2 2 6" xfId="4208" xr:uid="{00000000-0005-0000-0000-0000576F0000}"/>
    <cellStyle name="40% - Accent3 5 2 2 6 2" xfId="9858" xr:uid="{00000000-0005-0000-0000-0000586F0000}"/>
    <cellStyle name="40% - Accent3 5 2 2 6 2 2" xfId="21159" xr:uid="{00000000-0005-0000-0000-0000596F0000}"/>
    <cellStyle name="40% - Accent3 5 2 2 6 2 2 2" xfId="43761" xr:uid="{00000000-0005-0000-0000-00005A6F0000}"/>
    <cellStyle name="40% - Accent3 5 2 2 6 2 3" xfId="32460" xr:uid="{00000000-0005-0000-0000-00005B6F0000}"/>
    <cellStyle name="40% - Accent3 5 2 2 6 3" xfId="15509" xr:uid="{00000000-0005-0000-0000-00005C6F0000}"/>
    <cellStyle name="40% - Accent3 5 2 2 6 3 2" xfId="38111" xr:uid="{00000000-0005-0000-0000-00005D6F0000}"/>
    <cellStyle name="40% - Accent3 5 2 2 6 4" xfId="26810" xr:uid="{00000000-0005-0000-0000-00005E6F0000}"/>
    <cellStyle name="40% - Accent3 5 2 2 7" xfId="6688" xr:uid="{00000000-0005-0000-0000-00005F6F0000}"/>
    <cellStyle name="40% - Accent3 5 2 2 7 2" xfId="17989" xr:uid="{00000000-0005-0000-0000-0000606F0000}"/>
    <cellStyle name="40% - Accent3 5 2 2 7 2 2" xfId="40591" xr:uid="{00000000-0005-0000-0000-0000616F0000}"/>
    <cellStyle name="40% - Accent3 5 2 2 7 3" xfId="29290" xr:uid="{00000000-0005-0000-0000-0000626F0000}"/>
    <cellStyle name="40% - Accent3 5 2 2 8" xfId="12339" xr:uid="{00000000-0005-0000-0000-0000636F0000}"/>
    <cellStyle name="40% - Accent3 5 2 2 8 2" xfId="34941" xr:uid="{00000000-0005-0000-0000-0000646F0000}"/>
    <cellStyle name="40% - Accent3 5 2 2 9" xfId="23640" xr:uid="{00000000-0005-0000-0000-0000656F0000}"/>
    <cellStyle name="40% - Accent3 5 2 3" xfId="1195" xr:uid="{00000000-0005-0000-0000-0000666F0000}"/>
    <cellStyle name="40% - Accent3 5 2 3 2" xfId="1874" xr:uid="{00000000-0005-0000-0000-0000676F0000}"/>
    <cellStyle name="40% - Accent3 5 2 3 2 2" xfId="3263" xr:uid="{00000000-0005-0000-0000-0000686F0000}"/>
    <cellStyle name="40% - Accent3 5 2 3 2 2 2" xfId="6235" xr:uid="{00000000-0005-0000-0000-0000696F0000}"/>
    <cellStyle name="40% - Accent3 5 2 3 2 2 2 2" xfId="11885" xr:uid="{00000000-0005-0000-0000-00006A6F0000}"/>
    <cellStyle name="40% - Accent3 5 2 3 2 2 2 2 2" xfId="23186" xr:uid="{00000000-0005-0000-0000-00006B6F0000}"/>
    <cellStyle name="40% - Accent3 5 2 3 2 2 2 2 2 2" xfId="45788" xr:uid="{00000000-0005-0000-0000-00006C6F0000}"/>
    <cellStyle name="40% - Accent3 5 2 3 2 2 2 2 3" xfId="34487" xr:uid="{00000000-0005-0000-0000-00006D6F0000}"/>
    <cellStyle name="40% - Accent3 5 2 3 2 2 2 3" xfId="17536" xr:uid="{00000000-0005-0000-0000-00006E6F0000}"/>
    <cellStyle name="40% - Accent3 5 2 3 2 2 2 3 2" xfId="40138" xr:uid="{00000000-0005-0000-0000-00006F6F0000}"/>
    <cellStyle name="40% - Accent3 5 2 3 2 2 2 4" xfId="28837" xr:uid="{00000000-0005-0000-0000-0000706F0000}"/>
    <cellStyle name="40% - Accent3 5 2 3 2 2 3" xfId="9053" xr:uid="{00000000-0005-0000-0000-0000716F0000}"/>
    <cellStyle name="40% - Accent3 5 2 3 2 2 3 2" xfId="20354" xr:uid="{00000000-0005-0000-0000-0000726F0000}"/>
    <cellStyle name="40% - Accent3 5 2 3 2 2 3 2 2" xfId="42956" xr:uid="{00000000-0005-0000-0000-0000736F0000}"/>
    <cellStyle name="40% - Accent3 5 2 3 2 2 3 3" xfId="31655" xr:uid="{00000000-0005-0000-0000-0000746F0000}"/>
    <cellStyle name="40% - Accent3 5 2 3 2 2 4" xfId="14704" xr:uid="{00000000-0005-0000-0000-0000756F0000}"/>
    <cellStyle name="40% - Accent3 5 2 3 2 2 4 2" xfId="37306" xr:uid="{00000000-0005-0000-0000-0000766F0000}"/>
    <cellStyle name="40% - Accent3 5 2 3 2 2 5" xfId="26005" xr:uid="{00000000-0005-0000-0000-0000776F0000}"/>
    <cellStyle name="40% - Accent3 5 2 3 2 3" xfId="5001" xr:uid="{00000000-0005-0000-0000-0000786F0000}"/>
    <cellStyle name="40% - Accent3 5 2 3 2 3 2" xfId="10651" xr:uid="{00000000-0005-0000-0000-0000796F0000}"/>
    <cellStyle name="40% - Accent3 5 2 3 2 3 2 2" xfId="21952" xr:uid="{00000000-0005-0000-0000-00007A6F0000}"/>
    <cellStyle name="40% - Accent3 5 2 3 2 3 2 2 2" xfId="44554" xr:uid="{00000000-0005-0000-0000-00007B6F0000}"/>
    <cellStyle name="40% - Accent3 5 2 3 2 3 2 3" xfId="33253" xr:uid="{00000000-0005-0000-0000-00007C6F0000}"/>
    <cellStyle name="40% - Accent3 5 2 3 2 3 3" xfId="16302" xr:uid="{00000000-0005-0000-0000-00007D6F0000}"/>
    <cellStyle name="40% - Accent3 5 2 3 2 3 3 2" xfId="38904" xr:uid="{00000000-0005-0000-0000-00007E6F0000}"/>
    <cellStyle name="40% - Accent3 5 2 3 2 3 4" xfId="27603" xr:uid="{00000000-0005-0000-0000-00007F6F0000}"/>
    <cellStyle name="40% - Accent3 5 2 3 2 4" xfId="7730" xr:uid="{00000000-0005-0000-0000-0000806F0000}"/>
    <cellStyle name="40% - Accent3 5 2 3 2 4 2" xfId="19031" xr:uid="{00000000-0005-0000-0000-0000816F0000}"/>
    <cellStyle name="40% - Accent3 5 2 3 2 4 2 2" xfId="41633" xr:uid="{00000000-0005-0000-0000-0000826F0000}"/>
    <cellStyle name="40% - Accent3 5 2 3 2 4 3" xfId="30332" xr:uid="{00000000-0005-0000-0000-0000836F0000}"/>
    <cellStyle name="40% - Accent3 5 2 3 2 5" xfId="13381" xr:uid="{00000000-0005-0000-0000-0000846F0000}"/>
    <cellStyle name="40% - Accent3 5 2 3 2 5 2" xfId="35983" xr:uid="{00000000-0005-0000-0000-0000856F0000}"/>
    <cellStyle name="40% - Accent3 5 2 3 2 6" xfId="24682" xr:uid="{00000000-0005-0000-0000-0000866F0000}"/>
    <cellStyle name="40% - Accent3 5 2 3 3" xfId="2592" xr:uid="{00000000-0005-0000-0000-0000876F0000}"/>
    <cellStyle name="40% - Accent3 5 2 3 3 2" xfId="5611" xr:uid="{00000000-0005-0000-0000-0000886F0000}"/>
    <cellStyle name="40% - Accent3 5 2 3 3 2 2" xfId="11261" xr:uid="{00000000-0005-0000-0000-0000896F0000}"/>
    <cellStyle name="40% - Accent3 5 2 3 3 2 2 2" xfId="22562" xr:uid="{00000000-0005-0000-0000-00008A6F0000}"/>
    <cellStyle name="40% - Accent3 5 2 3 3 2 2 2 2" xfId="45164" xr:uid="{00000000-0005-0000-0000-00008B6F0000}"/>
    <cellStyle name="40% - Accent3 5 2 3 3 2 2 3" xfId="33863" xr:uid="{00000000-0005-0000-0000-00008C6F0000}"/>
    <cellStyle name="40% - Accent3 5 2 3 3 2 3" xfId="16912" xr:uid="{00000000-0005-0000-0000-00008D6F0000}"/>
    <cellStyle name="40% - Accent3 5 2 3 3 2 3 2" xfId="39514" xr:uid="{00000000-0005-0000-0000-00008E6F0000}"/>
    <cellStyle name="40% - Accent3 5 2 3 3 2 4" xfId="28213" xr:uid="{00000000-0005-0000-0000-00008F6F0000}"/>
    <cellStyle name="40% - Accent3 5 2 3 3 3" xfId="8428" xr:uid="{00000000-0005-0000-0000-0000906F0000}"/>
    <cellStyle name="40% - Accent3 5 2 3 3 3 2" xfId="19729" xr:uid="{00000000-0005-0000-0000-0000916F0000}"/>
    <cellStyle name="40% - Accent3 5 2 3 3 3 2 2" xfId="42331" xr:uid="{00000000-0005-0000-0000-0000926F0000}"/>
    <cellStyle name="40% - Accent3 5 2 3 3 3 3" xfId="31030" xr:uid="{00000000-0005-0000-0000-0000936F0000}"/>
    <cellStyle name="40% - Accent3 5 2 3 3 4" xfId="14079" xr:uid="{00000000-0005-0000-0000-0000946F0000}"/>
    <cellStyle name="40% - Accent3 5 2 3 3 4 2" xfId="36681" xr:uid="{00000000-0005-0000-0000-0000956F0000}"/>
    <cellStyle name="40% - Accent3 5 2 3 3 5" xfId="25380" xr:uid="{00000000-0005-0000-0000-0000966F0000}"/>
    <cellStyle name="40% - Accent3 5 2 3 4" xfId="4377" xr:uid="{00000000-0005-0000-0000-0000976F0000}"/>
    <cellStyle name="40% - Accent3 5 2 3 4 2" xfId="10027" xr:uid="{00000000-0005-0000-0000-0000986F0000}"/>
    <cellStyle name="40% - Accent3 5 2 3 4 2 2" xfId="21328" xr:uid="{00000000-0005-0000-0000-0000996F0000}"/>
    <cellStyle name="40% - Accent3 5 2 3 4 2 2 2" xfId="43930" xr:uid="{00000000-0005-0000-0000-00009A6F0000}"/>
    <cellStyle name="40% - Accent3 5 2 3 4 2 3" xfId="32629" xr:uid="{00000000-0005-0000-0000-00009B6F0000}"/>
    <cellStyle name="40% - Accent3 5 2 3 4 3" xfId="15678" xr:uid="{00000000-0005-0000-0000-00009C6F0000}"/>
    <cellStyle name="40% - Accent3 5 2 3 4 3 2" xfId="38280" xr:uid="{00000000-0005-0000-0000-00009D6F0000}"/>
    <cellStyle name="40% - Accent3 5 2 3 4 4" xfId="26979" xr:uid="{00000000-0005-0000-0000-00009E6F0000}"/>
    <cellStyle name="40% - Accent3 5 2 3 5" xfId="7174" xr:uid="{00000000-0005-0000-0000-00009F6F0000}"/>
    <cellStyle name="40% - Accent3 5 2 3 5 2" xfId="18475" xr:uid="{00000000-0005-0000-0000-0000A06F0000}"/>
    <cellStyle name="40% - Accent3 5 2 3 5 2 2" xfId="41077" xr:uid="{00000000-0005-0000-0000-0000A16F0000}"/>
    <cellStyle name="40% - Accent3 5 2 3 5 3" xfId="29776" xr:uid="{00000000-0005-0000-0000-0000A26F0000}"/>
    <cellStyle name="40% - Accent3 5 2 3 6" xfId="12825" xr:uid="{00000000-0005-0000-0000-0000A36F0000}"/>
    <cellStyle name="40% - Accent3 5 2 3 6 2" xfId="35427" xr:uid="{00000000-0005-0000-0000-0000A46F0000}"/>
    <cellStyle name="40% - Accent3 5 2 3 7" xfId="24126" xr:uid="{00000000-0005-0000-0000-0000A56F0000}"/>
    <cellStyle name="40% - Accent3 5 2 4" xfId="886" xr:uid="{00000000-0005-0000-0000-0000A66F0000}"/>
    <cellStyle name="40% - Accent3 5 2 4 2" xfId="2956" xr:uid="{00000000-0005-0000-0000-0000A76F0000}"/>
    <cellStyle name="40% - Accent3 5 2 4 2 2" xfId="5928" xr:uid="{00000000-0005-0000-0000-0000A86F0000}"/>
    <cellStyle name="40% - Accent3 5 2 4 2 2 2" xfId="11578" xr:uid="{00000000-0005-0000-0000-0000A96F0000}"/>
    <cellStyle name="40% - Accent3 5 2 4 2 2 2 2" xfId="22879" xr:uid="{00000000-0005-0000-0000-0000AA6F0000}"/>
    <cellStyle name="40% - Accent3 5 2 4 2 2 2 2 2" xfId="45481" xr:uid="{00000000-0005-0000-0000-0000AB6F0000}"/>
    <cellStyle name="40% - Accent3 5 2 4 2 2 2 3" xfId="34180" xr:uid="{00000000-0005-0000-0000-0000AC6F0000}"/>
    <cellStyle name="40% - Accent3 5 2 4 2 2 3" xfId="17229" xr:uid="{00000000-0005-0000-0000-0000AD6F0000}"/>
    <cellStyle name="40% - Accent3 5 2 4 2 2 3 2" xfId="39831" xr:uid="{00000000-0005-0000-0000-0000AE6F0000}"/>
    <cellStyle name="40% - Accent3 5 2 4 2 2 4" xfId="28530" xr:uid="{00000000-0005-0000-0000-0000AF6F0000}"/>
    <cellStyle name="40% - Accent3 5 2 4 2 3" xfId="8746" xr:uid="{00000000-0005-0000-0000-0000B06F0000}"/>
    <cellStyle name="40% - Accent3 5 2 4 2 3 2" xfId="20047" xr:uid="{00000000-0005-0000-0000-0000B16F0000}"/>
    <cellStyle name="40% - Accent3 5 2 4 2 3 2 2" xfId="42649" xr:uid="{00000000-0005-0000-0000-0000B26F0000}"/>
    <cellStyle name="40% - Accent3 5 2 4 2 3 3" xfId="31348" xr:uid="{00000000-0005-0000-0000-0000B36F0000}"/>
    <cellStyle name="40% - Accent3 5 2 4 2 4" xfId="14397" xr:uid="{00000000-0005-0000-0000-0000B46F0000}"/>
    <cellStyle name="40% - Accent3 5 2 4 2 4 2" xfId="36999" xr:uid="{00000000-0005-0000-0000-0000B56F0000}"/>
    <cellStyle name="40% - Accent3 5 2 4 2 5" xfId="25698" xr:uid="{00000000-0005-0000-0000-0000B66F0000}"/>
    <cellStyle name="40% - Accent3 5 2 4 3" xfId="4694" xr:uid="{00000000-0005-0000-0000-0000B76F0000}"/>
    <cellStyle name="40% - Accent3 5 2 4 3 2" xfId="10344" xr:uid="{00000000-0005-0000-0000-0000B86F0000}"/>
    <cellStyle name="40% - Accent3 5 2 4 3 2 2" xfId="21645" xr:uid="{00000000-0005-0000-0000-0000B96F0000}"/>
    <cellStyle name="40% - Accent3 5 2 4 3 2 2 2" xfId="44247" xr:uid="{00000000-0005-0000-0000-0000BA6F0000}"/>
    <cellStyle name="40% - Accent3 5 2 4 3 2 3" xfId="32946" xr:uid="{00000000-0005-0000-0000-0000BB6F0000}"/>
    <cellStyle name="40% - Accent3 5 2 4 3 3" xfId="15995" xr:uid="{00000000-0005-0000-0000-0000BC6F0000}"/>
    <cellStyle name="40% - Accent3 5 2 4 3 3 2" xfId="38597" xr:uid="{00000000-0005-0000-0000-0000BD6F0000}"/>
    <cellStyle name="40% - Accent3 5 2 4 3 4" xfId="27296" xr:uid="{00000000-0005-0000-0000-0000BE6F0000}"/>
    <cellStyle name="40% - Accent3 5 2 4 4" xfId="6881" xr:uid="{00000000-0005-0000-0000-0000BF6F0000}"/>
    <cellStyle name="40% - Accent3 5 2 4 4 2" xfId="18182" xr:uid="{00000000-0005-0000-0000-0000C06F0000}"/>
    <cellStyle name="40% - Accent3 5 2 4 4 2 2" xfId="40784" xr:uid="{00000000-0005-0000-0000-0000C16F0000}"/>
    <cellStyle name="40% - Accent3 5 2 4 4 3" xfId="29483" xr:uid="{00000000-0005-0000-0000-0000C26F0000}"/>
    <cellStyle name="40% - Accent3 5 2 4 5" xfId="12532" xr:uid="{00000000-0005-0000-0000-0000C36F0000}"/>
    <cellStyle name="40% - Accent3 5 2 4 5 2" xfId="35134" xr:uid="{00000000-0005-0000-0000-0000C46F0000}"/>
    <cellStyle name="40% - Accent3 5 2 4 6" xfId="23833" xr:uid="{00000000-0005-0000-0000-0000C56F0000}"/>
    <cellStyle name="40% - Accent3 5 2 5" xfId="1871" xr:uid="{00000000-0005-0000-0000-0000C66F0000}"/>
    <cellStyle name="40% - Accent3 5 2 5 2" xfId="3707" xr:uid="{00000000-0005-0000-0000-0000C76F0000}"/>
    <cellStyle name="40% - Accent3 5 2 5 2 2" xfId="9417" xr:uid="{00000000-0005-0000-0000-0000C86F0000}"/>
    <cellStyle name="40% - Accent3 5 2 5 2 2 2" xfId="20718" xr:uid="{00000000-0005-0000-0000-0000C96F0000}"/>
    <cellStyle name="40% - Accent3 5 2 5 2 2 2 2" xfId="43320" xr:uid="{00000000-0005-0000-0000-0000CA6F0000}"/>
    <cellStyle name="40% - Accent3 5 2 5 2 2 3" xfId="32019" xr:uid="{00000000-0005-0000-0000-0000CB6F0000}"/>
    <cellStyle name="40% - Accent3 5 2 5 2 3" xfId="15068" xr:uid="{00000000-0005-0000-0000-0000CC6F0000}"/>
    <cellStyle name="40% - Accent3 5 2 5 2 3 2" xfId="37670" xr:uid="{00000000-0005-0000-0000-0000CD6F0000}"/>
    <cellStyle name="40% - Accent3 5 2 5 2 4" xfId="26369" xr:uid="{00000000-0005-0000-0000-0000CE6F0000}"/>
    <cellStyle name="40% - Accent3 5 2 5 3" xfId="5304" xr:uid="{00000000-0005-0000-0000-0000CF6F0000}"/>
    <cellStyle name="40% - Accent3 5 2 5 3 2" xfId="10954" xr:uid="{00000000-0005-0000-0000-0000D06F0000}"/>
    <cellStyle name="40% - Accent3 5 2 5 3 2 2" xfId="22255" xr:uid="{00000000-0005-0000-0000-0000D16F0000}"/>
    <cellStyle name="40% - Accent3 5 2 5 3 2 2 2" xfId="44857" xr:uid="{00000000-0005-0000-0000-0000D26F0000}"/>
    <cellStyle name="40% - Accent3 5 2 5 3 2 3" xfId="33556" xr:uid="{00000000-0005-0000-0000-0000D36F0000}"/>
    <cellStyle name="40% - Accent3 5 2 5 3 3" xfId="16605" xr:uid="{00000000-0005-0000-0000-0000D46F0000}"/>
    <cellStyle name="40% - Accent3 5 2 5 3 3 2" xfId="39207" xr:uid="{00000000-0005-0000-0000-0000D56F0000}"/>
    <cellStyle name="40% - Accent3 5 2 5 3 4" xfId="27906" xr:uid="{00000000-0005-0000-0000-0000D66F0000}"/>
    <cellStyle name="40% - Accent3 5 2 5 4" xfId="7727" xr:uid="{00000000-0005-0000-0000-0000D76F0000}"/>
    <cellStyle name="40% - Accent3 5 2 5 4 2" xfId="19028" xr:uid="{00000000-0005-0000-0000-0000D86F0000}"/>
    <cellStyle name="40% - Accent3 5 2 5 4 2 2" xfId="41630" xr:uid="{00000000-0005-0000-0000-0000D96F0000}"/>
    <cellStyle name="40% - Accent3 5 2 5 4 3" xfId="30329" xr:uid="{00000000-0005-0000-0000-0000DA6F0000}"/>
    <cellStyle name="40% - Accent3 5 2 5 5" xfId="13378" xr:uid="{00000000-0005-0000-0000-0000DB6F0000}"/>
    <cellStyle name="40% - Accent3 5 2 5 5 2" xfId="35980" xr:uid="{00000000-0005-0000-0000-0000DC6F0000}"/>
    <cellStyle name="40% - Accent3 5 2 5 6" xfId="24679" xr:uid="{00000000-0005-0000-0000-0000DD6F0000}"/>
    <cellStyle name="40% - Accent3 5 2 6" xfId="2283" xr:uid="{00000000-0005-0000-0000-0000DE6F0000}"/>
    <cellStyle name="40% - Accent3 5 2 6 2" xfId="8119" xr:uid="{00000000-0005-0000-0000-0000DF6F0000}"/>
    <cellStyle name="40% - Accent3 5 2 6 2 2" xfId="19420" xr:uid="{00000000-0005-0000-0000-0000E06F0000}"/>
    <cellStyle name="40% - Accent3 5 2 6 2 2 2" xfId="42022" xr:uid="{00000000-0005-0000-0000-0000E16F0000}"/>
    <cellStyle name="40% - Accent3 5 2 6 2 3" xfId="30721" xr:uid="{00000000-0005-0000-0000-0000E26F0000}"/>
    <cellStyle name="40% - Accent3 5 2 6 3" xfId="13770" xr:uid="{00000000-0005-0000-0000-0000E36F0000}"/>
    <cellStyle name="40% - Accent3 5 2 6 3 2" xfId="36372" xr:uid="{00000000-0005-0000-0000-0000E46F0000}"/>
    <cellStyle name="40% - Accent3 5 2 6 4" xfId="25071" xr:uid="{00000000-0005-0000-0000-0000E56F0000}"/>
    <cellStyle name="40% - Accent3 5 2 7" xfId="4070" xr:uid="{00000000-0005-0000-0000-0000E66F0000}"/>
    <cellStyle name="40% - Accent3 5 2 7 2" xfId="9720" xr:uid="{00000000-0005-0000-0000-0000E76F0000}"/>
    <cellStyle name="40% - Accent3 5 2 7 2 2" xfId="21021" xr:uid="{00000000-0005-0000-0000-0000E86F0000}"/>
    <cellStyle name="40% - Accent3 5 2 7 2 2 2" xfId="43623" xr:uid="{00000000-0005-0000-0000-0000E96F0000}"/>
    <cellStyle name="40% - Accent3 5 2 7 2 3" xfId="32322" xr:uid="{00000000-0005-0000-0000-0000EA6F0000}"/>
    <cellStyle name="40% - Accent3 5 2 7 3" xfId="15371" xr:uid="{00000000-0005-0000-0000-0000EB6F0000}"/>
    <cellStyle name="40% - Accent3 5 2 7 3 2" xfId="37973" xr:uid="{00000000-0005-0000-0000-0000EC6F0000}"/>
    <cellStyle name="40% - Accent3 5 2 7 4" xfId="26672" xr:uid="{00000000-0005-0000-0000-0000ED6F0000}"/>
    <cellStyle name="40% - Accent3 5 2 8" xfId="6521" xr:uid="{00000000-0005-0000-0000-0000EE6F0000}"/>
    <cellStyle name="40% - Accent3 5 2 8 2" xfId="17822" xr:uid="{00000000-0005-0000-0000-0000EF6F0000}"/>
    <cellStyle name="40% - Accent3 5 2 8 2 2" xfId="40424" xr:uid="{00000000-0005-0000-0000-0000F06F0000}"/>
    <cellStyle name="40% - Accent3 5 2 8 3" xfId="29123" xr:uid="{00000000-0005-0000-0000-0000F16F0000}"/>
    <cellStyle name="40% - Accent3 5 2 9" xfId="12172" xr:uid="{00000000-0005-0000-0000-0000F26F0000}"/>
    <cellStyle name="40% - Accent3 5 2 9 2" xfId="34774" xr:uid="{00000000-0005-0000-0000-0000F36F0000}"/>
    <cellStyle name="40% - Accent3 5 3" xfId="526" xr:uid="{00000000-0005-0000-0000-0000F46F0000}"/>
    <cellStyle name="40% - Accent3 5 3 2" xfId="1239" xr:uid="{00000000-0005-0000-0000-0000F56F0000}"/>
    <cellStyle name="40% - Accent3 5 3 2 2" xfId="1876" xr:uid="{00000000-0005-0000-0000-0000F66F0000}"/>
    <cellStyle name="40% - Accent3 5 3 2 2 2" xfId="3308" xr:uid="{00000000-0005-0000-0000-0000F76F0000}"/>
    <cellStyle name="40% - Accent3 5 3 2 2 2 2" xfId="6280" xr:uid="{00000000-0005-0000-0000-0000F86F0000}"/>
    <cellStyle name="40% - Accent3 5 3 2 2 2 2 2" xfId="11930" xr:uid="{00000000-0005-0000-0000-0000F96F0000}"/>
    <cellStyle name="40% - Accent3 5 3 2 2 2 2 2 2" xfId="23231" xr:uid="{00000000-0005-0000-0000-0000FA6F0000}"/>
    <cellStyle name="40% - Accent3 5 3 2 2 2 2 2 2 2" xfId="45833" xr:uid="{00000000-0005-0000-0000-0000FB6F0000}"/>
    <cellStyle name="40% - Accent3 5 3 2 2 2 2 2 3" xfId="34532" xr:uid="{00000000-0005-0000-0000-0000FC6F0000}"/>
    <cellStyle name="40% - Accent3 5 3 2 2 2 2 3" xfId="17581" xr:uid="{00000000-0005-0000-0000-0000FD6F0000}"/>
    <cellStyle name="40% - Accent3 5 3 2 2 2 2 3 2" xfId="40183" xr:uid="{00000000-0005-0000-0000-0000FE6F0000}"/>
    <cellStyle name="40% - Accent3 5 3 2 2 2 2 4" xfId="28882" xr:uid="{00000000-0005-0000-0000-0000FF6F0000}"/>
    <cellStyle name="40% - Accent3 5 3 2 2 2 3" xfId="9098" xr:uid="{00000000-0005-0000-0000-000000700000}"/>
    <cellStyle name="40% - Accent3 5 3 2 2 2 3 2" xfId="20399" xr:uid="{00000000-0005-0000-0000-000001700000}"/>
    <cellStyle name="40% - Accent3 5 3 2 2 2 3 2 2" xfId="43001" xr:uid="{00000000-0005-0000-0000-000002700000}"/>
    <cellStyle name="40% - Accent3 5 3 2 2 2 3 3" xfId="31700" xr:uid="{00000000-0005-0000-0000-000003700000}"/>
    <cellStyle name="40% - Accent3 5 3 2 2 2 4" xfId="14749" xr:uid="{00000000-0005-0000-0000-000004700000}"/>
    <cellStyle name="40% - Accent3 5 3 2 2 2 4 2" xfId="37351" xr:uid="{00000000-0005-0000-0000-000005700000}"/>
    <cellStyle name="40% - Accent3 5 3 2 2 2 5" xfId="26050" xr:uid="{00000000-0005-0000-0000-000006700000}"/>
    <cellStyle name="40% - Accent3 5 3 2 2 3" xfId="5046" xr:uid="{00000000-0005-0000-0000-000007700000}"/>
    <cellStyle name="40% - Accent3 5 3 2 2 3 2" xfId="10696" xr:uid="{00000000-0005-0000-0000-000008700000}"/>
    <cellStyle name="40% - Accent3 5 3 2 2 3 2 2" xfId="21997" xr:uid="{00000000-0005-0000-0000-000009700000}"/>
    <cellStyle name="40% - Accent3 5 3 2 2 3 2 2 2" xfId="44599" xr:uid="{00000000-0005-0000-0000-00000A700000}"/>
    <cellStyle name="40% - Accent3 5 3 2 2 3 2 3" xfId="33298" xr:uid="{00000000-0005-0000-0000-00000B700000}"/>
    <cellStyle name="40% - Accent3 5 3 2 2 3 3" xfId="16347" xr:uid="{00000000-0005-0000-0000-00000C700000}"/>
    <cellStyle name="40% - Accent3 5 3 2 2 3 3 2" xfId="38949" xr:uid="{00000000-0005-0000-0000-00000D700000}"/>
    <cellStyle name="40% - Accent3 5 3 2 2 3 4" xfId="27648" xr:uid="{00000000-0005-0000-0000-00000E700000}"/>
    <cellStyle name="40% - Accent3 5 3 2 2 4" xfId="7732" xr:uid="{00000000-0005-0000-0000-00000F700000}"/>
    <cellStyle name="40% - Accent3 5 3 2 2 4 2" xfId="19033" xr:uid="{00000000-0005-0000-0000-000010700000}"/>
    <cellStyle name="40% - Accent3 5 3 2 2 4 2 2" xfId="41635" xr:uid="{00000000-0005-0000-0000-000011700000}"/>
    <cellStyle name="40% - Accent3 5 3 2 2 4 3" xfId="30334" xr:uid="{00000000-0005-0000-0000-000012700000}"/>
    <cellStyle name="40% - Accent3 5 3 2 2 5" xfId="13383" xr:uid="{00000000-0005-0000-0000-000013700000}"/>
    <cellStyle name="40% - Accent3 5 3 2 2 5 2" xfId="35985" xr:uid="{00000000-0005-0000-0000-000014700000}"/>
    <cellStyle name="40% - Accent3 5 3 2 2 6" xfId="24684" xr:uid="{00000000-0005-0000-0000-000015700000}"/>
    <cellStyle name="40% - Accent3 5 3 2 3" xfId="2637" xr:uid="{00000000-0005-0000-0000-000016700000}"/>
    <cellStyle name="40% - Accent3 5 3 2 3 2" xfId="5656" xr:uid="{00000000-0005-0000-0000-000017700000}"/>
    <cellStyle name="40% - Accent3 5 3 2 3 2 2" xfId="11306" xr:uid="{00000000-0005-0000-0000-000018700000}"/>
    <cellStyle name="40% - Accent3 5 3 2 3 2 2 2" xfId="22607" xr:uid="{00000000-0005-0000-0000-000019700000}"/>
    <cellStyle name="40% - Accent3 5 3 2 3 2 2 2 2" xfId="45209" xr:uid="{00000000-0005-0000-0000-00001A700000}"/>
    <cellStyle name="40% - Accent3 5 3 2 3 2 2 3" xfId="33908" xr:uid="{00000000-0005-0000-0000-00001B700000}"/>
    <cellStyle name="40% - Accent3 5 3 2 3 2 3" xfId="16957" xr:uid="{00000000-0005-0000-0000-00001C700000}"/>
    <cellStyle name="40% - Accent3 5 3 2 3 2 3 2" xfId="39559" xr:uid="{00000000-0005-0000-0000-00001D700000}"/>
    <cellStyle name="40% - Accent3 5 3 2 3 2 4" xfId="28258" xr:uid="{00000000-0005-0000-0000-00001E700000}"/>
    <cellStyle name="40% - Accent3 5 3 2 3 3" xfId="8473" xr:uid="{00000000-0005-0000-0000-00001F700000}"/>
    <cellStyle name="40% - Accent3 5 3 2 3 3 2" xfId="19774" xr:uid="{00000000-0005-0000-0000-000020700000}"/>
    <cellStyle name="40% - Accent3 5 3 2 3 3 2 2" xfId="42376" xr:uid="{00000000-0005-0000-0000-000021700000}"/>
    <cellStyle name="40% - Accent3 5 3 2 3 3 3" xfId="31075" xr:uid="{00000000-0005-0000-0000-000022700000}"/>
    <cellStyle name="40% - Accent3 5 3 2 3 4" xfId="14124" xr:uid="{00000000-0005-0000-0000-000023700000}"/>
    <cellStyle name="40% - Accent3 5 3 2 3 4 2" xfId="36726" xr:uid="{00000000-0005-0000-0000-000024700000}"/>
    <cellStyle name="40% - Accent3 5 3 2 3 5" xfId="25425" xr:uid="{00000000-0005-0000-0000-000025700000}"/>
    <cellStyle name="40% - Accent3 5 3 2 4" xfId="4422" xr:uid="{00000000-0005-0000-0000-000026700000}"/>
    <cellStyle name="40% - Accent3 5 3 2 4 2" xfId="10072" xr:uid="{00000000-0005-0000-0000-000027700000}"/>
    <cellStyle name="40% - Accent3 5 3 2 4 2 2" xfId="21373" xr:uid="{00000000-0005-0000-0000-000028700000}"/>
    <cellStyle name="40% - Accent3 5 3 2 4 2 2 2" xfId="43975" xr:uid="{00000000-0005-0000-0000-000029700000}"/>
    <cellStyle name="40% - Accent3 5 3 2 4 2 3" xfId="32674" xr:uid="{00000000-0005-0000-0000-00002A700000}"/>
    <cellStyle name="40% - Accent3 5 3 2 4 3" xfId="15723" xr:uid="{00000000-0005-0000-0000-00002B700000}"/>
    <cellStyle name="40% - Accent3 5 3 2 4 3 2" xfId="38325" xr:uid="{00000000-0005-0000-0000-00002C700000}"/>
    <cellStyle name="40% - Accent3 5 3 2 4 4" xfId="27024" xr:uid="{00000000-0005-0000-0000-00002D700000}"/>
    <cellStyle name="40% - Accent3 5 3 2 5" xfId="7218" xr:uid="{00000000-0005-0000-0000-00002E700000}"/>
    <cellStyle name="40% - Accent3 5 3 2 5 2" xfId="18519" xr:uid="{00000000-0005-0000-0000-00002F700000}"/>
    <cellStyle name="40% - Accent3 5 3 2 5 2 2" xfId="41121" xr:uid="{00000000-0005-0000-0000-000030700000}"/>
    <cellStyle name="40% - Accent3 5 3 2 5 3" xfId="29820" xr:uid="{00000000-0005-0000-0000-000031700000}"/>
    <cellStyle name="40% - Accent3 5 3 2 6" xfId="12869" xr:uid="{00000000-0005-0000-0000-000032700000}"/>
    <cellStyle name="40% - Accent3 5 3 2 6 2" xfId="35471" xr:uid="{00000000-0005-0000-0000-000033700000}"/>
    <cellStyle name="40% - Accent3 5 3 2 7" xfId="24170" xr:uid="{00000000-0005-0000-0000-000034700000}"/>
    <cellStyle name="40% - Accent3 5 3 3" xfId="937" xr:uid="{00000000-0005-0000-0000-000035700000}"/>
    <cellStyle name="40% - Accent3 5 3 3 2" xfId="3000" xr:uid="{00000000-0005-0000-0000-000036700000}"/>
    <cellStyle name="40% - Accent3 5 3 3 2 2" xfId="5972" xr:uid="{00000000-0005-0000-0000-000037700000}"/>
    <cellStyle name="40% - Accent3 5 3 3 2 2 2" xfId="11622" xr:uid="{00000000-0005-0000-0000-000038700000}"/>
    <cellStyle name="40% - Accent3 5 3 3 2 2 2 2" xfId="22923" xr:uid="{00000000-0005-0000-0000-000039700000}"/>
    <cellStyle name="40% - Accent3 5 3 3 2 2 2 2 2" xfId="45525" xr:uid="{00000000-0005-0000-0000-00003A700000}"/>
    <cellStyle name="40% - Accent3 5 3 3 2 2 2 3" xfId="34224" xr:uid="{00000000-0005-0000-0000-00003B700000}"/>
    <cellStyle name="40% - Accent3 5 3 3 2 2 3" xfId="17273" xr:uid="{00000000-0005-0000-0000-00003C700000}"/>
    <cellStyle name="40% - Accent3 5 3 3 2 2 3 2" xfId="39875" xr:uid="{00000000-0005-0000-0000-00003D700000}"/>
    <cellStyle name="40% - Accent3 5 3 3 2 2 4" xfId="28574" xr:uid="{00000000-0005-0000-0000-00003E700000}"/>
    <cellStyle name="40% - Accent3 5 3 3 2 3" xfId="8790" xr:uid="{00000000-0005-0000-0000-00003F700000}"/>
    <cellStyle name="40% - Accent3 5 3 3 2 3 2" xfId="20091" xr:uid="{00000000-0005-0000-0000-000040700000}"/>
    <cellStyle name="40% - Accent3 5 3 3 2 3 2 2" xfId="42693" xr:uid="{00000000-0005-0000-0000-000041700000}"/>
    <cellStyle name="40% - Accent3 5 3 3 2 3 3" xfId="31392" xr:uid="{00000000-0005-0000-0000-000042700000}"/>
    <cellStyle name="40% - Accent3 5 3 3 2 4" xfId="14441" xr:uid="{00000000-0005-0000-0000-000043700000}"/>
    <cellStyle name="40% - Accent3 5 3 3 2 4 2" xfId="37043" xr:uid="{00000000-0005-0000-0000-000044700000}"/>
    <cellStyle name="40% - Accent3 5 3 3 2 5" xfId="25742" xr:uid="{00000000-0005-0000-0000-000045700000}"/>
    <cellStyle name="40% - Accent3 5 3 3 3" xfId="4738" xr:uid="{00000000-0005-0000-0000-000046700000}"/>
    <cellStyle name="40% - Accent3 5 3 3 3 2" xfId="10388" xr:uid="{00000000-0005-0000-0000-000047700000}"/>
    <cellStyle name="40% - Accent3 5 3 3 3 2 2" xfId="21689" xr:uid="{00000000-0005-0000-0000-000048700000}"/>
    <cellStyle name="40% - Accent3 5 3 3 3 2 2 2" xfId="44291" xr:uid="{00000000-0005-0000-0000-000049700000}"/>
    <cellStyle name="40% - Accent3 5 3 3 3 2 3" xfId="32990" xr:uid="{00000000-0005-0000-0000-00004A700000}"/>
    <cellStyle name="40% - Accent3 5 3 3 3 3" xfId="16039" xr:uid="{00000000-0005-0000-0000-00004B700000}"/>
    <cellStyle name="40% - Accent3 5 3 3 3 3 2" xfId="38641" xr:uid="{00000000-0005-0000-0000-00004C700000}"/>
    <cellStyle name="40% - Accent3 5 3 3 3 4" xfId="27340" xr:uid="{00000000-0005-0000-0000-00004D700000}"/>
    <cellStyle name="40% - Accent3 5 3 3 4" xfId="6925" xr:uid="{00000000-0005-0000-0000-00004E700000}"/>
    <cellStyle name="40% - Accent3 5 3 3 4 2" xfId="18226" xr:uid="{00000000-0005-0000-0000-00004F700000}"/>
    <cellStyle name="40% - Accent3 5 3 3 4 2 2" xfId="40828" xr:uid="{00000000-0005-0000-0000-000050700000}"/>
    <cellStyle name="40% - Accent3 5 3 3 4 3" xfId="29527" xr:uid="{00000000-0005-0000-0000-000051700000}"/>
    <cellStyle name="40% - Accent3 5 3 3 5" xfId="12576" xr:uid="{00000000-0005-0000-0000-000052700000}"/>
    <cellStyle name="40% - Accent3 5 3 3 5 2" xfId="35178" xr:uid="{00000000-0005-0000-0000-000053700000}"/>
    <cellStyle name="40% - Accent3 5 3 3 6" xfId="23877" xr:uid="{00000000-0005-0000-0000-000054700000}"/>
    <cellStyle name="40% - Accent3 5 3 4" xfId="1875" xr:uid="{00000000-0005-0000-0000-000055700000}"/>
    <cellStyle name="40% - Accent3 5 3 4 2" xfId="3709" xr:uid="{00000000-0005-0000-0000-000056700000}"/>
    <cellStyle name="40% - Accent3 5 3 4 2 2" xfId="9419" xr:uid="{00000000-0005-0000-0000-000057700000}"/>
    <cellStyle name="40% - Accent3 5 3 4 2 2 2" xfId="20720" xr:uid="{00000000-0005-0000-0000-000058700000}"/>
    <cellStyle name="40% - Accent3 5 3 4 2 2 2 2" xfId="43322" xr:uid="{00000000-0005-0000-0000-000059700000}"/>
    <cellStyle name="40% - Accent3 5 3 4 2 2 3" xfId="32021" xr:uid="{00000000-0005-0000-0000-00005A700000}"/>
    <cellStyle name="40% - Accent3 5 3 4 2 3" xfId="15070" xr:uid="{00000000-0005-0000-0000-00005B700000}"/>
    <cellStyle name="40% - Accent3 5 3 4 2 3 2" xfId="37672" xr:uid="{00000000-0005-0000-0000-00005C700000}"/>
    <cellStyle name="40% - Accent3 5 3 4 2 4" xfId="26371" xr:uid="{00000000-0005-0000-0000-00005D700000}"/>
    <cellStyle name="40% - Accent3 5 3 4 3" xfId="5348" xr:uid="{00000000-0005-0000-0000-00005E700000}"/>
    <cellStyle name="40% - Accent3 5 3 4 3 2" xfId="10998" xr:uid="{00000000-0005-0000-0000-00005F700000}"/>
    <cellStyle name="40% - Accent3 5 3 4 3 2 2" xfId="22299" xr:uid="{00000000-0005-0000-0000-000060700000}"/>
    <cellStyle name="40% - Accent3 5 3 4 3 2 2 2" xfId="44901" xr:uid="{00000000-0005-0000-0000-000061700000}"/>
    <cellStyle name="40% - Accent3 5 3 4 3 2 3" xfId="33600" xr:uid="{00000000-0005-0000-0000-000062700000}"/>
    <cellStyle name="40% - Accent3 5 3 4 3 3" xfId="16649" xr:uid="{00000000-0005-0000-0000-000063700000}"/>
    <cellStyle name="40% - Accent3 5 3 4 3 3 2" xfId="39251" xr:uid="{00000000-0005-0000-0000-000064700000}"/>
    <cellStyle name="40% - Accent3 5 3 4 3 4" xfId="27950" xr:uid="{00000000-0005-0000-0000-000065700000}"/>
    <cellStyle name="40% - Accent3 5 3 4 4" xfId="7731" xr:uid="{00000000-0005-0000-0000-000066700000}"/>
    <cellStyle name="40% - Accent3 5 3 4 4 2" xfId="19032" xr:uid="{00000000-0005-0000-0000-000067700000}"/>
    <cellStyle name="40% - Accent3 5 3 4 4 2 2" xfId="41634" xr:uid="{00000000-0005-0000-0000-000068700000}"/>
    <cellStyle name="40% - Accent3 5 3 4 4 3" xfId="30333" xr:uid="{00000000-0005-0000-0000-000069700000}"/>
    <cellStyle name="40% - Accent3 5 3 4 5" xfId="13382" xr:uid="{00000000-0005-0000-0000-00006A700000}"/>
    <cellStyle name="40% - Accent3 5 3 4 5 2" xfId="35984" xr:uid="{00000000-0005-0000-0000-00006B700000}"/>
    <cellStyle name="40% - Accent3 5 3 4 6" xfId="24683" xr:uid="{00000000-0005-0000-0000-00006C700000}"/>
    <cellStyle name="40% - Accent3 5 3 5" xfId="2329" xr:uid="{00000000-0005-0000-0000-00006D700000}"/>
    <cellStyle name="40% - Accent3 5 3 5 2" xfId="8165" xr:uid="{00000000-0005-0000-0000-00006E700000}"/>
    <cellStyle name="40% - Accent3 5 3 5 2 2" xfId="19466" xr:uid="{00000000-0005-0000-0000-00006F700000}"/>
    <cellStyle name="40% - Accent3 5 3 5 2 2 2" xfId="42068" xr:uid="{00000000-0005-0000-0000-000070700000}"/>
    <cellStyle name="40% - Accent3 5 3 5 2 3" xfId="30767" xr:uid="{00000000-0005-0000-0000-000071700000}"/>
    <cellStyle name="40% - Accent3 5 3 5 3" xfId="13816" xr:uid="{00000000-0005-0000-0000-000072700000}"/>
    <cellStyle name="40% - Accent3 5 3 5 3 2" xfId="36418" xr:uid="{00000000-0005-0000-0000-000073700000}"/>
    <cellStyle name="40% - Accent3 5 3 5 4" xfId="25117" xr:uid="{00000000-0005-0000-0000-000074700000}"/>
    <cellStyle name="40% - Accent3 5 3 6" xfId="4114" xr:uid="{00000000-0005-0000-0000-000075700000}"/>
    <cellStyle name="40% - Accent3 5 3 6 2" xfId="9764" xr:uid="{00000000-0005-0000-0000-000076700000}"/>
    <cellStyle name="40% - Accent3 5 3 6 2 2" xfId="21065" xr:uid="{00000000-0005-0000-0000-000077700000}"/>
    <cellStyle name="40% - Accent3 5 3 6 2 2 2" xfId="43667" xr:uid="{00000000-0005-0000-0000-000078700000}"/>
    <cellStyle name="40% - Accent3 5 3 6 2 3" xfId="32366" xr:uid="{00000000-0005-0000-0000-000079700000}"/>
    <cellStyle name="40% - Accent3 5 3 6 3" xfId="15415" xr:uid="{00000000-0005-0000-0000-00007A700000}"/>
    <cellStyle name="40% - Accent3 5 3 6 3 2" xfId="38017" xr:uid="{00000000-0005-0000-0000-00007B700000}"/>
    <cellStyle name="40% - Accent3 5 3 6 4" xfId="26716" xr:uid="{00000000-0005-0000-0000-00007C700000}"/>
    <cellStyle name="40% - Accent3 5 3 7" xfId="6592" xr:uid="{00000000-0005-0000-0000-00007D700000}"/>
    <cellStyle name="40% - Accent3 5 3 7 2" xfId="17893" xr:uid="{00000000-0005-0000-0000-00007E700000}"/>
    <cellStyle name="40% - Accent3 5 3 7 2 2" xfId="40495" xr:uid="{00000000-0005-0000-0000-00007F700000}"/>
    <cellStyle name="40% - Accent3 5 3 7 3" xfId="29194" xr:uid="{00000000-0005-0000-0000-000080700000}"/>
    <cellStyle name="40% - Accent3 5 3 8" xfId="12243" xr:uid="{00000000-0005-0000-0000-000081700000}"/>
    <cellStyle name="40% - Accent3 5 3 8 2" xfId="34845" xr:uid="{00000000-0005-0000-0000-000082700000}"/>
    <cellStyle name="40% - Accent3 5 3 9" xfId="23544" xr:uid="{00000000-0005-0000-0000-000083700000}"/>
    <cellStyle name="40% - Accent3 5 4" xfId="1099" xr:uid="{00000000-0005-0000-0000-000084700000}"/>
    <cellStyle name="40% - Accent3 5 4 2" xfId="1877" xr:uid="{00000000-0005-0000-0000-000085700000}"/>
    <cellStyle name="40% - Accent3 5 4 2 2" xfId="3167" xr:uid="{00000000-0005-0000-0000-000086700000}"/>
    <cellStyle name="40% - Accent3 5 4 2 2 2" xfId="6139" xr:uid="{00000000-0005-0000-0000-000087700000}"/>
    <cellStyle name="40% - Accent3 5 4 2 2 2 2" xfId="11789" xr:uid="{00000000-0005-0000-0000-000088700000}"/>
    <cellStyle name="40% - Accent3 5 4 2 2 2 2 2" xfId="23090" xr:uid="{00000000-0005-0000-0000-000089700000}"/>
    <cellStyle name="40% - Accent3 5 4 2 2 2 2 2 2" xfId="45692" xr:uid="{00000000-0005-0000-0000-00008A700000}"/>
    <cellStyle name="40% - Accent3 5 4 2 2 2 2 3" xfId="34391" xr:uid="{00000000-0005-0000-0000-00008B700000}"/>
    <cellStyle name="40% - Accent3 5 4 2 2 2 3" xfId="17440" xr:uid="{00000000-0005-0000-0000-00008C700000}"/>
    <cellStyle name="40% - Accent3 5 4 2 2 2 3 2" xfId="40042" xr:uid="{00000000-0005-0000-0000-00008D700000}"/>
    <cellStyle name="40% - Accent3 5 4 2 2 2 4" xfId="28741" xr:uid="{00000000-0005-0000-0000-00008E700000}"/>
    <cellStyle name="40% - Accent3 5 4 2 2 3" xfId="8957" xr:uid="{00000000-0005-0000-0000-00008F700000}"/>
    <cellStyle name="40% - Accent3 5 4 2 2 3 2" xfId="20258" xr:uid="{00000000-0005-0000-0000-000090700000}"/>
    <cellStyle name="40% - Accent3 5 4 2 2 3 2 2" xfId="42860" xr:uid="{00000000-0005-0000-0000-000091700000}"/>
    <cellStyle name="40% - Accent3 5 4 2 2 3 3" xfId="31559" xr:uid="{00000000-0005-0000-0000-000092700000}"/>
    <cellStyle name="40% - Accent3 5 4 2 2 4" xfId="14608" xr:uid="{00000000-0005-0000-0000-000093700000}"/>
    <cellStyle name="40% - Accent3 5 4 2 2 4 2" xfId="37210" xr:uid="{00000000-0005-0000-0000-000094700000}"/>
    <cellStyle name="40% - Accent3 5 4 2 2 5" xfId="25909" xr:uid="{00000000-0005-0000-0000-000095700000}"/>
    <cellStyle name="40% - Accent3 5 4 2 3" xfId="4905" xr:uid="{00000000-0005-0000-0000-000096700000}"/>
    <cellStyle name="40% - Accent3 5 4 2 3 2" xfId="10555" xr:uid="{00000000-0005-0000-0000-000097700000}"/>
    <cellStyle name="40% - Accent3 5 4 2 3 2 2" xfId="21856" xr:uid="{00000000-0005-0000-0000-000098700000}"/>
    <cellStyle name="40% - Accent3 5 4 2 3 2 2 2" xfId="44458" xr:uid="{00000000-0005-0000-0000-000099700000}"/>
    <cellStyle name="40% - Accent3 5 4 2 3 2 3" xfId="33157" xr:uid="{00000000-0005-0000-0000-00009A700000}"/>
    <cellStyle name="40% - Accent3 5 4 2 3 3" xfId="16206" xr:uid="{00000000-0005-0000-0000-00009B700000}"/>
    <cellStyle name="40% - Accent3 5 4 2 3 3 2" xfId="38808" xr:uid="{00000000-0005-0000-0000-00009C700000}"/>
    <cellStyle name="40% - Accent3 5 4 2 3 4" xfId="27507" xr:uid="{00000000-0005-0000-0000-00009D700000}"/>
    <cellStyle name="40% - Accent3 5 4 2 4" xfId="7733" xr:uid="{00000000-0005-0000-0000-00009E700000}"/>
    <cellStyle name="40% - Accent3 5 4 2 4 2" xfId="19034" xr:uid="{00000000-0005-0000-0000-00009F700000}"/>
    <cellStyle name="40% - Accent3 5 4 2 4 2 2" xfId="41636" xr:uid="{00000000-0005-0000-0000-0000A0700000}"/>
    <cellStyle name="40% - Accent3 5 4 2 4 3" xfId="30335" xr:uid="{00000000-0005-0000-0000-0000A1700000}"/>
    <cellStyle name="40% - Accent3 5 4 2 5" xfId="13384" xr:uid="{00000000-0005-0000-0000-0000A2700000}"/>
    <cellStyle name="40% - Accent3 5 4 2 5 2" xfId="35986" xr:uid="{00000000-0005-0000-0000-0000A3700000}"/>
    <cellStyle name="40% - Accent3 5 4 2 6" xfId="24685" xr:uid="{00000000-0005-0000-0000-0000A4700000}"/>
    <cellStyle name="40% - Accent3 5 4 3" xfId="2496" xr:uid="{00000000-0005-0000-0000-0000A5700000}"/>
    <cellStyle name="40% - Accent3 5 4 3 2" xfId="5515" xr:uid="{00000000-0005-0000-0000-0000A6700000}"/>
    <cellStyle name="40% - Accent3 5 4 3 2 2" xfId="11165" xr:uid="{00000000-0005-0000-0000-0000A7700000}"/>
    <cellStyle name="40% - Accent3 5 4 3 2 2 2" xfId="22466" xr:uid="{00000000-0005-0000-0000-0000A8700000}"/>
    <cellStyle name="40% - Accent3 5 4 3 2 2 2 2" xfId="45068" xr:uid="{00000000-0005-0000-0000-0000A9700000}"/>
    <cellStyle name="40% - Accent3 5 4 3 2 2 3" xfId="33767" xr:uid="{00000000-0005-0000-0000-0000AA700000}"/>
    <cellStyle name="40% - Accent3 5 4 3 2 3" xfId="16816" xr:uid="{00000000-0005-0000-0000-0000AB700000}"/>
    <cellStyle name="40% - Accent3 5 4 3 2 3 2" xfId="39418" xr:uid="{00000000-0005-0000-0000-0000AC700000}"/>
    <cellStyle name="40% - Accent3 5 4 3 2 4" xfId="28117" xr:uid="{00000000-0005-0000-0000-0000AD700000}"/>
    <cellStyle name="40% - Accent3 5 4 3 3" xfId="8332" xr:uid="{00000000-0005-0000-0000-0000AE700000}"/>
    <cellStyle name="40% - Accent3 5 4 3 3 2" xfId="19633" xr:uid="{00000000-0005-0000-0000-0000AF700000}"/>
    <cellStyle name="40% - Accent3 5 4 3 3 2 2" xfId="42235" xr:uid="{00000000-0005-0000-0000-0000B0700000}"/>
    <cellStyle name="40% - Accent3 5 4 3 3 3" xfId="30934" xr:uid="{00000000-0005-0000-0000-0000B1700000}"/>
    <cellStyle name="40% - Accent3 5 4 3 4" xfId="13983" xr:uid="{00000000-0005-0000-0000-0000B2700000}"/>
    <cellStyle name="40% - Accent3 5 4 3 4 2" xfId="36585" xr:uid="{00000000-0005-0000-0000-0000B3700000}"/>
    <cellStyle name="40% - Accent3 5 4 3 5" xfId="25284" xr:uid="{00000000-0005-0000-0000-0000B4700000}"/>
    <cellStyle name="40% - Accent3 5 4 4" xfId="4281" xr:uid="{00000000-0005-0000-0000-0000B5700000}"/>
    <cellStyle name="40% - Accent3 5 4 4 2" xfId="9931" xr:uid="{00000000-0005-0000-0000-0000B6700000}"/>
    <cellStyle name="40% - Accent3 5 4 4 2 2" xfId="21232" xr:uid="{00000000-0005-0000-0000-0000B7700000}"/>
    <cellStyle name="40% - Accent3 5 4 4 2 2 2" xfId="43834" xr:uid="{00000000-0005-0000-0000-0000B8700000}"/>
    <cellStyle name="40% - Accent3 5 4 4 2 3" xfId="32533" xr:uid="{00000000-0005-0000-0000-0000B9700000}"/>
    <cellStyle name="40% - Accent3 5 4 4 3" xfId="15582" xr:uid="{00000000-0005-0000-0000-0000BA700000}"/>
    <cellStyle name="40% - Accent3 5 4 4 3 2" xfId="38184" xr:uid="{00000000-0005-0000-0000-0000BB700000}"/>
    <cellStyle name="40% - Accent3 5 4 4 4" xfId="26883" xr:uid="{00000000-0005-0000-0000-0000BC700000}"/>
    <cellStyle name="40% - Accent3 5 4 5" xfId="7078" xr:uid="{00000000-0005-0000-0000-0000BD700000}"/>
    <cellStyle name="40% - Accent3 5 4 5 2" xfId="18379" xr:uid="{00000000-0005-0000-0000-0000BE700000}"/>
    <cellStyle name="40% - Accent3 5 4 5 2 2" xfId="40981" xr:uid="{00000000-0005-0000-0000-0000BF700000}"/>
    <cellStyle name="40% - Accent3 5 4 5 3" xfId="29680" xr:uid="{00000000-0005-0000-0000-0000C0700000}"/>
    <cellStyle name="40% - Accent3 5 4 6" xfId="12729" xr:uid="{00000000-0005-0000-0000-0000C1700000}"/>
    <cellStyle name="40% - Accent3 5 4 6 2" xfId="35331" xr:uid="{00000000-0005-0000-0000-0000C2700000}"/>
    <cellStyle name="40% - Accent3 5 4 7" xfId="24030" xr:uid="{00000000-0005-0000-0000-0000C3700000}"/>
    <cellStyle name="40% - Accent3 5 5" xfId="779" xr:uid="{00000000-0005-0000-0000-0000C4700000}"/>
    <cellStyle name="40% - Accent3 5 5 2" xfId="2860" xr:uid="{00000000-0005-0000-0000-0000C5700000}"/>
    <cellStyle name="40% - Accent3 5 5 2 2" xfId="5832" xr:uid="{00000000-0005-0000-0000-0000C6700000}"/>
    <cellStyle name="40% - Accent3 5 5 2 2 2" xfId="11482" xr:uid="{00000000-0005-0000-0000-0000C7700000}"/>
    <cellStyle name="40% - Accent3 5 5 2 2 2 2" xfId="22783" xr:uid="{00000000-0005-0000-0000-0000C8700000}"/>
    <cellStyle name="40% - Accent3 5 5 2 2 2 2 2" xfId="45385" xr:uid="{00000000-0005-0000-0000-0000C9700000}"/>
    <cellStyle name="40% - Accent3 5 5 2 2 2 3" xfId="34084" xr:uid="{00000000-0005-0000-0000-0000CA700000}"/>
    <cellStyle name="40% - Accent3 5 5 2 2 3" xfId="17133" xr:uid="{00000000-0005-0000-0000-0000CB700000}"/>
    <cellStyle name="40% - Accent3 5 5 2 2 3 2" xfId="39735" xr:uid="{00000000-0005-0000-0000-0000CC700000}"/>
    <cellStyle name="40% - Accent3 5 5 2 2 4" xfId="28434" xr:uid="{00000000-0005-0000-0000-0000CD700000}"/>
    <cellStyle name="40% - Accent3 5 5 2 3" xfId="8650" xr:uid="{00000000-0005-0000-0000-0000CE700000}"/>
    <cellStyle name="40% - Accent3 5 5 2 3 2" xfId="19951" xr:uid="{00000000-0005-0000-0000-0000CF700000}"/>
    <cellStyle name="40% - Accent3 5 5 2 3 2 2" xfId="42553" xr:uid="{00000000-0005-0000-0000-0000D0700000}"/>
    <cellStyle name="40% - Accent3 5 5 2 3 3" xfId="31252" xr:uid="{00000000-0005-0000-0000-0000D1700000}"/>
    <cellStyle name="40% - Accent3 5 5 2 4" xfId="14301" xr:uid="{00000000-0005-0000-0000-0000D2700000}"/>
    <cellStyle name="40% - Accent3 5 5 2 4 2" xfId="36903" xr:uid="{00000000-0005-0000-0000-0000D3700000}"/>
    <cellStyle name="40% - Accent3 5 5 2 5" xfId="25602" xr:uid="{00000000-0005-0000-0000-0000D4700000}"/>
    <cellStyle name="40% - Accent3 5 5 3" xfId="4598" xr:uid="{00000000-0005-0000-0000-0000D5700000}"/>
    <cellStyle name="40% - Accent3 5 5 3 2" xfId="10248" xr:uid="{00000000-0005-0000-0000-0000D6700000}"/>
    <cellStyle name="40% - Accent3 5 5 3 2 2" xfId="21549" xr:uid="{00000000-0005-0000-0000-0000D7700000}"/>
    <cellStyle name="40% - Accent3 5 5 3 2 2 2" xfId="44151" xr:uid="{00000000-0005-0000-0000-0000D8700000}"/>
    <cellStyle name="40% - Accent3 5 5 3 2 3" xfId="32850" xr:uid="{00000000-0005-0000-0000-0000D9700000}"/>
    <cellStyle name="40% - Accent3 5 5 3 3" xfId="15899" xr:uid="{00000000-0005-0000-0000-0000DA700000}"/>
    <cellStyle name="40% - Accent3 5 5 3 3 2" xfId="38501" xr:uid="{00000000-0005-0000-0000-0000DB700000}"/>
    <cellStyle name="40% - Accent3 5 5 3 4" xfId="27200" xr:uid="{00000000-0005-0000-0000-0000DC700000}"/>
    <cellStyle name="40% - Accent3 5 5 4" xfId="6784" xr:uid="{00000000-0005-0000-0000-0000DD700000}"/>
    <cellStyle name="40% - Accent3 5 5 4 2" xfId="18085" xr:uid="{00000000-0005-0000-0000-0000DE700000}"/>
    <cellStyle name="40% - Accent3 5 5 4 2 2" xfId="40687" xr:uid="{00000000-0005-0000-0000-0000DF700000}"/>
    <cellStyle name="40% - Accent3 5 5 4 3" xfId="29386" xr:uid="{00000000-0005-0000-0000-0000E0700000}"/>
    <cellStyle name="40% - Accent3 5 5 5" xfId="12435" xr:uid="{00000000-0005-0000-0000-0000E1700000}"/>
    <cellStyle name="40% - Accent3 5 5 5 2" xfId="35037" xr:uid="{00000000-0005-0000-0000-0000E2700000}"/>
    <cellStyle name="40% - Accent3 5 5 6" xfId="23736" xr:uid="{00000000-0005-0000-0000-0000E3700000}"/>
    <cellStyle name="40% - Accent3 5 6" xfId="1870" xr:uid="{00000000-0005-0000-0000-0000E4700000}"/>
    <cellStyle name="40% - Accent3 5 6 2" xfId="3706" xr:uid="{00000000-0005-0000-0000-0000E5700000}"/>
    <cellStyle name="40% - Accent3 5 6 2 2" xfId="9416" xr:uid="{00000000-0005-0000-0000-0000E6700000}"/>
    <cellStyle name="40% - Accent3 5 6 2 2 2" xfId="20717" xr:uid="{00000000-0005-0000-0000-0000E7700000}"/>
    <cellStyle name="40% - Accent3 5 6 2 2 2 2" xfId="43319" xr:uid="{00000000-0005-0000-0000-0000E8700000}"/>
    <cellStyle name="40% - Accent3 5 6 2 2 3" xfId="32018" xr:uid="{00000000-0005-0000-0000-0000E9700000}"/>
    <cellStyle name="40% - Accent3 5 6 2 3" xfId="15067" xr:uid="{00000000-0005-0000-0000-0000EA700000}"/>
    <cellStyle name="40% - Accent3 5 6 2 3 2" xfId="37669" xr:uid="{00000000-0005-0000-0000-0000EB700000}"/>
    <cellStyle name="40% - Accent3 5 6 2 4" xfId="26368" xr:uid="{00000000-0005-0000-0000-0000EC700000}"/>
    <cellStyle name="40% - Accent3 5 6 3" xfId="5208" xr:uid="{00000000-0005-0000-0000-0000ED700000}"/>
    <cellStyle name="40% - Accent3 5 6 3 2" xfId="10858" xr:uid="{00000000-0005-0000-0000-0000EE700000}"/>
    <cellStyle name="40% - Accent3 5 6 3 2 2" xfId="22159" xr:uid="{00000000-0005-0000-0000-0000EF700000}"/>
    <cellStyle name="40% - Accent3 5 6 3 2 2 2" xfId="44761" xr:uid="{00000000-0005-0000-0000-0000F0700000}"/>
    <cellStyle name="40% - Accent3 5 6 3 2 3" xfId="33460" xr:uid="{00000000-0005-0000-0000-0000F1700000}"/>
    <cellStyle name="40% - Accent3 5 6 3 3" xfId="16509" xr:uid="{00000000-0005-0000-0000-0000F2700000}"/>
    <cellStyle name="40% - Accent3 5 6 3 3 2" xfId="39111" xr:uid="{00000000-0005-0000-0000-0000F3700000}"/>
    <cellStyle name="40% - Accent3 5 6 3 4" xfId="27810" xr:uid="{00000000-0005-0000-0000-0000F4700000}"/>
    <cellStyle name="40% - Accent3 5 6 4" xfId="7726" xr:uid="{00000000-0005-0000-0000-0000F5700000}"/>
    <cellStyle name="40% - Accent3 5 6 4 2" xfId="19027" xr:uid="{00000000-0005-0000-0000-0000F6700000}"/>
    <cellStyle name="40% - Accent3 5 6 4 2 2" xfId="41629" xr:uid="{00000000-0005-0000-0000-0000F7700000}"/>
    <cellStyle name="40% - Accent3 5 6 4 3" xfId="30328" xr:uid="{00000000-0005-0000-0000-0000F8700000}"/>
    <cellStyle name="40% - Accent3 5 6 5" xfId="13377" xr:uid="{00000000-0005-0000-0000-0000F9700000}"/>
    <cellStyle name="40% - Accent3 5 6 5 2" xfId="35979" xr:uid="{00000000-0005-0000-0000-0000FA700000}"/>
    <cellStyle name="40% - Accent3 5 6 6" xfId="24678" xr:uid="{00000000-0005-0000-0000-0000FB700000}"/>
    <cellStyle name="40% - Accent3 5 7" xfId="2181" xr:uid="{00000000-0005-0000-0000-0000FC700000}"/>
    <cellStyle name="40% - Accent3 5 7 2" xfId="8022" xr:uid="{00000000-0005-0000-0000-0000FD700000}"/>
    <cellStyle name="40% - Accent3 5 7 2 2" xfId="19323" xr:uid="{00000000-0005-0000-0000-0000FE700000}"/>
    <cellStyle name="40% - Accent3 5 7 2 2 2" xfId="41925" xr:uid="{00000000-0005-0000-0000-0000FF700000}"/>
    <cellStyle name="40% - Accent3 5 7 2 3" xfId="30624" xr:uid="{00000000-0005-0000-0000-000000710000}"/>
    <cellStyle name="40% - Accent3 5 7 3" xfId="13673" xr:uid="{00000000-0005-0000-0000-000001710000}"/>
    <cellStyle name="40% - Accent3 5 7 3 2" xfId="36275" xr:uid="{00000000-0005-0000-0000-000002710000}"/>
    <cellStyle name="40% - Accent3 5 7 4" xfId="24974" xr:uid="{00000000-0005-0000-0000-000003710000}"/>
    <cellStyle name="40% - Accent3 5 8" xfId="3974" xr:uid="{00000000-0005-0000-0000-000004710000}"/>
    <cellStyle name="40% - Accent3 5 8 2" xfId="9624" xr:uid="{00000000-0005-0000-0000-000005710000}"/>
    <cellStyle name="40% - Accent3 5 8 2 2" xfId="20925" xr:uid="{00000000-0005-0000-0000-000006710000}"/>
    <cellStyle name="40% - Accent3 5 8 2 2 2" xfId="43527" xr:uid="{00000000-0005-0000-0000-000007710000}"/>
    <cellStyle name="40% - Accent3 5 8 2 3" xfId="32226" xr:uid="{00000000-0005-0000-0000-000008710000}"/>
    <cellStyle name="40% - Accent3 5 8 3" xfId="15275" xr:uid="{00000000-0005-0000-0000-000009710000}"/>
    <cellStyle name="40% - Accent3 5 8 3 2" xfId="37877" xr:uid="{00000000-0005-0000-0000-00000A710000}"/>
    <cellStyle name="40% - Accent3 5 8 4" xfId="26576" xr:uid="{00000000-0005-0000-0000-00000B710000}"/>
    <cellStyle name="40% - Accent3 5 9" xfId="6425" xr:uid="{00000000-0005-0000-0000-00000C710000}"/>
    <cellStyle name="40% - Accent3 5 9 2" xfId="17726" xr:uid="{00000000-0005-0000-0000-00000D710000}"/>
    <cellStyle name="40% - Accent3 5 9 2 2" xfId="40328" xr:uid="{00000000-0005-0000-0000-00000E710000}"/>
    <cellStyle name="40% - Accent3 5 9 3" xfId="29027" xr:uid="{00000000-0005-0000-0000-00000F710000}"/>
    <cellStyle name="40% - Accent3 6" xfId="236" xr:uid="{00000000-0005-0000-0000-000010710000}"/>
    <cellStyle name="40% - Accent3 7" xfId="336" xr:uid="{00000000-0005-0000-0000-000011710000}"/>
    <cellStyle name="40% - Accent3 7 10" xfId="23431" xr:uid="{00000000-0005-0000-0000-000012710000}"/>
    <cellStyle name="40% - Accent3 7 2" xfId="581" xr:uid="{00000000-0005-0000-0000-000013710000}"/>
    <cellStyle name="40% - Accent3 7 2 2" xfId="1291" xr:uid="{00000000-0005-0000-0000-000014710000}"/>
    <cellStyle name="40% - Accent3 7 2 2 2" xfId="1880" xr:uid="{00000000-0005-0000-0000-000015710000}"/>
    <cellStyle name="40% - Accent3 7 2 2 2 2" xfId="3360" xr:uid="{00000000-0005-0000-0000-000016710000}"/>
    <cellStyle name="40% - Accent3 7 2 2 2 2 2" xfId="6332" xr:uid="{00000000-0005-0000-0000-000017710000}"/>
    <cellStyle name="40% - Accent3 7 2 2 2 2 2 2" xfId="11982" xr:uid="{00000000-0005-0000-0000-000018710000}"/>
    <cellStyle name="40% - Accent3 7 2 2 2 2 2 2 2" xfId="23283" xr:uid="{00000000-0005-0000-0000-000019710000}"/>
    <cellStyle name="40% - Accent3 7 2 2 2 2 2 2 2 2" xfId="45885" xr:uid="{00000000-0005-0000-0000-00001A710000}"/>
    <cellStyle name="40% - Accent3 7 2 2 2 2 2 2 3" xfId="34584" xr:uid="{00000000-0005-0000-0000-00001B710000}"/>
    <cellStyle name="40% - Accent3 7 2 2 2 2 2 3" xfId="17633" xr:uid="{00000000-0005-0000-0000-00001C710000}"/>
    <cellStyle name="40% - Accent3 7 2 2 2 2 2 3 2" xfId="40235" xr:uid="{00000000-0005-0000-0000-00001D710000}"/>
    <cellStyle name="40% - Accent3 7 2 2 2 2 2 4" xfId="28934" xr:uid="{00000000-0005-0000-0000-00001E710000}"/>
    <cellStyle name="40% - Accent3 7 2 2 2 2 3" xfId="9150" xr:uid="{00000000-0005-0000-0000-00001F710000}"/>
    <cellStyle name="40% - Accent3 7 2 2 2 2 3 2" xfId="20451" xr:uid="{00000000-0005-0000-0000-000020710000}"/>
    <cellStyle name="40% - Accent3 7 2 2 2 2 3 2 2" xfId="43053" xr:uid="{00000000-0005-0000-0000-000021710000}"/>
    <cellStyle name="40% - Accent3 7 2 2 2 2 3 3" xfId="31752" xr:uid="{00000000-0005-0000-0000-000022710000}"/>
    <cellStyle name="40% - Accent3 7 2 2 2 2 4" xfId="14801" xr:uid="{00000000-0005-0000-0000-000023710000}"/>
    <cellStyle name="40% - Accent3 7 2 2 2 2 4 2" xfId="37403" xr:uid="{00000000-0005-0000-0000-000024710000}"/>
    <cellStyle name="40% - Accent3 7 2 2 2 2 5" xfId="26102" xr:uid="{00000000-0005-0000-0000-000025710000}"/>
    <cellStyle name="40% - Accent3 7 2 2 2 3" xfId="5098" xr:uid="{00000000-0005-0000-0000-000026710000}"/>
    <cellStyle name="40% - Accent3 7 2 2 2 3 2" xfId="10748" xr:uid="{00000000-0005-0000-0000-000027710000}"/>
    <cellStyle name="40% - Accent3 7 2 2 2 3 2 2" xfId="22049" xr:uid="{00000000-0005-0000-0000-000028710000}"/>
    <cellStyle name="40% - Accent3 7 2 2 2 3 2 2 2" xfId="44651" xr:uid="{00000000-0005-0000-0000-000029710000}"/>
    <cellStyle name="40% - Accent3 7 2 2 2 3 2 3" xfId="33350" xr:uid="{00000000-0005-0000-0000-00002A710000}"/>
    <cellStyle name="40% - Accent3 7 2 2 2 3 3" xfId="16399" xr:uid="{00000000-0005-0000-0000-00002B710000}"/>
    <cellStyle name="40% - Accent3 7 2 2 2 3 3 2" xfId="39001" xr:uid="{00000000-0005-0000-0000-00002C710000}"/>
    <cellStyle name="40% - Accent3 7 2 2 2 3 4" xfId="27700" xr:uid="{00000000-0005-0000-0000-00002D710000}"/>
    <cellStyle name="40% - Accent3 7 2 2 2 4" xfId="7736" xr:uid="{00000000-0005-0000-0000-00002E710000}"/>
    <cellStyle name="40% - Accent3 7 2 2 2 4 2" xfId="19037" xr:uid="{00000000-0005-0000-0000-00002F710000}"/>
    <cellStyle name="40% - Accent3 7 2 2 2 4 2 2" xfId="41639" xr:uid="{00000000-0005-0000-0000-000030710000}"/>
    <cellStyle name="40% - Accent3 7 2 2 2 4 3" xfId="30338" xr:uid="{00000000-0005-0000-0000-000031710000}"/>
    <cellStyle name="40% - Accent3 7 2 2 2 5" xfId="13387" xr:uid="{00000000-0005-0000-0000-000032710000}"/>
    <cellStyle name="40% - Accent3 7 2 2 2 5 2" xfId="35989" xr:uid="{00000000-0005-0000-0000-000033710000}"/>
    <cellStyle name="40% - Accent3 7 2 2 2 6" xfId="24688" xr:uid="{00000000-0005-0000-0000-000034710000}"/>
    <cellStyle name="40% - Accent3 7 2 2 3" xfId="2689" xr:uid="{00000000-0005-0000-0000-000035710000}"/>
    <cellStyle name="40% - Accent3 7 2 2 3 2" xfId="5708" xr:uid="{00000000-0005-0000-0000-000036710000}"/>
    <cellStyle name="40% - Accent3 7 2 2 3 2 2" xfId="11358" xr:uid="{00000000-0005-0000-0000-000037710000}"/>
    <cellStyle name="40% - Accent3 7 2 2 3 2 2 2" xfId="22659" xr:uid="{00000000-0005-0000-0000-000038710000}"/>
    <cellStyle name="40% - Accent3 7 2 2 3 2 2 2 2" xfId="45261" xr:uid="{00000000-0005-0000-0000-000039710000}"/>
    <cellStyle name="40% - Accent3 7 2 2 3 2 2 3" xfId="33960" xr:uid="{00000000-0005-0000-0000-00003A710000}"/>
    <cellStyle name="40% - Accent3 7 2 2 3 2 3" xfId="17009" xr:uid="{00000000-0005-0000-0000-00003B710000}"/>
    <cellStyle name="40% - Accent3 7 2 2 3 2 3 2" xfId="39611" xr:uid="{00000000-0005-0000-0000-00003C710000}"/>
    <cellStyle name="40% - Accent3 7 2 2 3 2 4" xfId="28310" xr:uid="{00000000-0005-0000-0000-00003D710000}"/>
    <cellStyle name="40% - Accent3 7 2 2 3 3" xfId="8525" xr:uid="{00000000-0005-0000-0000-00003E710000}"/>
    <cellStyle name="40% - Accent3 7 2 2 3 3 2" xfId="19826" xr:uid="{00000000-0005-0000-0000-00003F710000}"/>
    <cellStyle name="40% - Accent3 7 2 2 3 3 2 2" xfId="42428" xr:uid="{00000000-0005-0000-0000-000040710000}"/>
    <cellStyle name="40% - Accent3 7 2 2 3 3 3" xfId="31127" xr:uid="{00000000-0005-0000-0000-000041710000}"/>
    <cellStyle name="40% - Accent3 7 2 2 3 4" xfId="14176" xr:uid="{00000000-0005-0000-0000-000042710000}"/>
    <cellStyle name="40% - Accent3 7 2 2 3 4 2" xfId="36778" xr:uid="{00000000-0005-0000-0000-000043710000}"/>
    <cellStyle name="40% - Accent3 7 2 2 3 5" xfId="25477" xr:uid="{00000000-0005-0000-0000-000044710000}"/>
    <cellStyle name="40% - Accent3 7 2 2 4" xfId="4474" xr:uid="{00000000-0005-0000-0000-000045710000}"/>
    <cellStyle name="40% - Accent3 7 2 2 4 2" xfId="10124" xr:uid="{00000000-0005-0000-0000-000046710000}"/>
    <cellStyle name="40% - Accent3 7 2 2 4 2 2" xfId="21425" xr:uid="{00000000-0005-0000-0000-000047710000}"/>
    <cellStyle name="40% - Accent3 7 2 2 4 2 2 2" xfId="44027" xr:uid="{00000000-0005-0000-0000-000048710000}"/>
    <cellStyle name="40% - Accent3 7 2 2 4 2 3" xfId="32726" xr:uid="{00000000-0005-0000-0000-000049710000}"/>
    <cellStyle name="40% - Accent3 7 2 2 4 3" xfId="15775" xr:uid="{00000000-0005-0000-0000-00004A710000}"/>
    <cellStyle name="40% - Accent3 7 2 2 4 3 2" xfId="38377" xr:uid="{00000000-0005-0000-0000-00004B710000}"/>
    <cellStyle name="40% - Accent3 7 2 2 4 4" xfId="27076" xr:uid="{00000000-0005-0000-0000-00004C710000}"/>
    <cellStyle name="40% - Accent3 7 2 2 5" xfId="7270" xr:uid="{00000000-0005-0000-0000-00004D710000}"/>
    <cellStyle name="40% - Accent3 7 2 2 5 2" xfId="18571" xr:uid="{00000000-0005-0000-0000-00004E710000}"/>
    <cellStyle name="40% - Accent3 7 2 2 5 2 2" xfId="41173" xr:uid="{00000000-0005-0000-0000-00004F710000}"/>
    <cellStyle name="40% - Accent3 7 2 2 5 3" xfId="29872" xr:uid="{00000000-0005-0000-0000-000050710000}"/>
    <cellStyle name="40% - Accent3 7 2 2 6" xfId="12921" xr:uid="{00000000-0005-0000-0000-000051710000}"/>
    <cellStyle name="40% - Accent3 7 2 2 6 2" xfId="35523" xr:uid="{00000000-0005-0000-0000-000052710000}"/>
    <cellStyle name="40% - Accent3 7 2 2 7" xfId="24222" xr:uid="{00000000-0005-0000-0000-000053710000}"/>
    <cellStyle name="40% - Accent3 7 2 3" xfId="989" xr:uid="{00000000-0005-0000-0000-000054710000}"/>
    <cellStyle name="40% - Accent3 7 2 3 2" xfId="3052" xr:uid="{00000000-0005-0000-0000-000055710000}"/>
    <cellStyle name="40% - Accent3 7 2 3 2 2" xfId="6024" xr:uid="{00000000-0005-0000-0000-000056710000}"/>
    <cellStyle name="40% - Accent3 7 2 3 2 2 2" xfId="11674" xr:uid="{00000000-0005-0000-0000-000057710000}"/>
    <cellStyle name="40% - Accent3 7 2 3 2 2 2 2" xfId="22975" xr:uid="{00000000-0005-0000-0000-000058710000}"/>
    <cellStyle name="40% - Accent3 7 2 3 2 2 2 2 2" xfId="45577" xr:uid="{00000000-0005-0000-0000-000059710000}"/>
    <cellStyle name="40% - Accent3 7 2 3 2 2 2 3" xfId="34276" xr:uid="{00000000-0005-0000-0000-00005A710000}"/>
    <cellStyle name="40% - Accent3 7 2 3 2 2 3" xfId="17325" xr:uid="{00000000-0005-0000-0000-00005B710000}"/>
    <cellStyle name="40% - Accent3 7 2 3 2 2 3 2" xfId="39927" xr:uid="{00000000-0005-0000-0000-00005C710000}"/>
    <cellStyle name="40% - Accent3 7 2 3 2 2 4" xfId="28626" xr:uid="{00000000-0005-0000-0000-00005D710000}"/>
    <cellStyle name="40% - Accent3 7 2 3 2 3" xfId="8842" xr:uid="{00000000-0005-0000-0000-00005E710000}"/>
    <cellStyle name="40% - Accent3 7 2 3 2 3 2" xfId="20143" xr:uid="{00000000-0005-0000-0000-00005F710000}"/>
    <cellStyle name="40% - Accent3 7 2 3 2 3 2 2" xfId="42745" xr:uid="{00000000-0005-0000-0000-000060710000}"/>
    <cellStyle name="40% - Accent3 7 2 3 2 3 3" xfId="31444" xr:uid="{00000000-0005-0000-0000-000061710000}"/>
    <cellStyle name="40% - Accent3 7 2 3 2 4" xfId="14493" xr:uid="{00000000-0005-0000-0000-000062710000}"/>
    <cellStyle name="40% - Accent3 7 2 3 2 4 2" xfId="37095" xr:uid="{00000000-0005-0000-0000-000063710000}"/>
    <cellStyle name="40% - Accent3 7 2 3 2 5" xfId="25794" xr:uid="{00000000-0005-0000-0000-000064710000}"/>
    <cellStyle name="40% - Accent3 7 2 3 3" xfId="4790" xr:uid="{00000000-0005-0000-0000-000065710000}"/>
    <cellStyle name="40% - Accent3 7 2 3 3 2" xfId="10440" xr:uid="{00000000-0005-0000-0000-000066710000}"/>
    <cellStyle name="40% - Accent3 7 2 3 3 2 2" xfId="21741" xr:uid="{00000000-0005-0000-0000-000067710000}"/>
    <cellStyle name="40% - Accent3 7 2 3 3 2 2 2" xfId="44343" xr:uid="{00000000-0005-0000-0000-000068710000}"/>
    <cellStyle name="40% - Accent3 7 2 3 3 2 3" xfId="33042" xr:uid="{00000000-0005-0000-0000-000069710000}"/>
    <cellStyle name="40% - Accent3 7 2 3 3 3" xfId="16091" xr:uid="{00000000-0005-0000-0000-00006A710000}"/>
    <cellStyle name="40% - Accent3 7 2 3 3 3 2" xfId="38693" xr:uid="{00000000-0005-0000-0000-00006B710000}"/>
    <cellStyle name="40% - Accent3 7 2 3 3 4" xfId="27392" xr:uid="{00000000-0005-0000-0000-00006C710000}"/>
    <cellStyle name="40% - Accent3 7 2 3 4" xfId="6977" xr:uid="{00000000-0005-0000-0000-00006D710000}"/>
    <cellStyle name="40% - Accent3 7 2 3 4 2" xfId="18278" xr:uid="{00000000-0005-0000-0000-00006E710000}"/>
    <cellStyle name="40% - Accent3 7 2 3 4 2 2" xfId="40880" xr:uid="{00000000-0005-0000-0000-00006F710000}"/>
    <cellStyle name="40% - Accent3 7 2 3 4 3" xfId="29579" xr:uid="{00000000-0005-0000-0000-000070710000}"/>
    <cellStyle name="40% - Accent3 7 2 3 5" xfId="12628" xr:uid="{00000000-0005-0000-0000-000071710000}"/>
    <cellStyle name="40% - Accent3 7 2 3 5 2" xfId="35230" xr:uid="{00000000-0005-0000-0000-000072710000}"/>
    <cellStyle name="40% - Accent3 7 2 3 6" xfId="23929" xr:uid="{00000000-0005-0000-0000-000073710000}"/>
    <cellStyle name="40% - Accent3 7 2 4" xfId="1879" xr:uid="{00000000-0005-0000-0000-000074710000}"/>
    <cellStyle name="40% - Accent3 7 2 4 2" xfId="3711" xr:uid="{00000000-0005-0000-0000-000075710000}"/>
    <cellStyle name="40% - Accent3 7 2 4 2 2" xfId="9421" xr:uid="{00000000-0005-0000-0000-000076710000}"/>
    <cellStyle name="40% - Accent3 7 2 4 2 2 2" xfId="20722" xr:uid="{00000000-0005-0000-0000-000077710000}"/>
    <cellStyle name="40% - Accent3 7 2 4 2 2 2 2" xfId="43324" xr:uid="{00000000-0005-0000-0000-000078710000}"/>
    <cellStyle name="40% - Accent3 7 2 4 2 2 3" xfId="32023" xr:uid="{00000000-0005-0000-0000-000079710000}"/>
    <cellStyle name="40% - Accent3 7 2 4 2 3" xfId="15072" xr:uid="{00000000-0005-0000-0000-00007A710000}"/>
    <cellStyle name="40% - Accent3 7 2 4 2 3 2" xfId="37674" xr:uid="{00000000-0005-0000-0000-00007B710000}"/>
    <cellStyle name="40% - Accent3 7 2 4 2 4" xfId="26373" xr:uid="{00000000-0005-0000-0000-00007C710000}"/>
    <cellStyle name="40% - Accent3 7 2 4 3" xfId="5400" xr:uid="{00000000-0005-0000-0000-00007D710000}"/>
    <cellStyle name="40% - Accent3 7 2 4 3 2" xfId="11050" xr:uid="{00000000-0005-0000-0000-00007E710000}"/>
    <cellStyle name="40% - Accent3 7 2 4 3 2 2" xfId="22351" xr:uid="{00000000-0005-0000-0000-00007F710000}"/>
    <cellStyle name="40% - Accent3 7 2 4 3 2 2 2" xfId="44953" xr:uid="{00000000-0005-0000-0000-000080710000}"/>
    <cellStyle name="40% - Accent3 7 2 4 3 2 3" xfId="33652" xr:uid="{00000000-0005-0000-0000-000081710000}"/>
    <cellStyle name="40% - Accent3 7 2 4 3 3" xfId="16701" xr:uid="{00000000-0005-0000-0000-000082710000}"/>
    <cellStyle name="40% - Accent3 7 2 4 3 3 2" xfId="39303" xr:uid="{00000000-0005-0000-0000-000083710000}"/>
    <cellStyle name="40% - Accent3 7 2 4 3 4" xfId="28002" xr:uid="{00000000-0005-0000-0000-000084710000}"/>
    <cellStyle name="40% - Accent3 7 2 4 4" xfId="7735" xr:uid="{00000000-0005-0000-0000-000085710000}"/>
    <cellStyle name="40% - Accent3 7 2 4 4 2" xfId="19036" xr:uid="{00000000-0005-0000-0000-000086710000}"/>
    <cellStyle name="40% - Accent3 7 2 4 4 2 2" xfId="41638" xr:uid="{00000000-0005-0000-0000-000087710000}"/>
    <cellStyle name="40% - Accent3 7 2 4 4 3" xfId="30337" xr:uid="{00000000-0005-0000-0000-000088710000}"/>
    <cellStyle name="40% - Accent3 7 2 4 5" xfId="13386" xr:uid="{00000000-0005-0000-0000-000089710000}"/>
    <cellStyle name="40% - Accent3 7 2 4 5 2" xfId="35988" xr:uid="{00000000-0005-0000-0000-00008A710000}"/>
    <cellStyle name="40% - Accent3 7 2 4 6" xfId="24687" xr:uid="{00000000-0005-0000-0000-00008B710000}"/>
    <cellStyle name="40% - Accent3 7 2 5" xfId="2381" xr:uid="{00000000-0005-0000-0000-00008C710000}"/>
    <cellStyle name="40% - Accent3 7 2 5 2" xfId="8217" xr:uid="{00000000-0005-0000-0000-00008D710000}"/>
    <cellStyle name="40% - Accent3 7 2 5 2 2" xfId="19518" xr:uid="{00000000-0005-0000-0000-00008E710000}"/>
    <cellStyle name="40% - Accent3 7 2 5 2 2 2" xfId="42120" xr:uid="{00000000-0005-0000-0000-00008F710000}"/>
    <cellStyle name="40% - Accent3 7 2 5 2 3" xfId="30819" xr:uid="{00000000-0005-0000-0000-000090710000}"/>
    <cellStyle name="40% - Accent3 7 2 5 3" xfId="13868" xr:uid="{00000000-0005-0000-0000-000091710000}"/>
    <cellStyle name="40% - Accent3 7 2 5 3 2" xfId="36470" xr:uid="{00000000-0005-0000-0000-000092710000}"/>
    <cellStyle name="40% - Accent3 7 2 5 4" xfId="25169" xr:uid="{00000000-0005-0000-0000-000093710000}"/>
    <cellStyle name="40% - Accent3 7 2 6" xfId="4166" xr:uid="{00000000-0005-0000-0000-000094710000}"/>
    <cellStyle name="40% - Accent3 7 2 6 2" xfId="9816" xr:uid="{00000000-0005-0000-0000-000095710000}"/>
    <cellStyle name="40% - Accent3 7 2 6 2 2" xfId="21117" xr:uid="{00000000-0005-0000-0000-000096710000}"/>
    <cellStyle name="40% - Accent3 7 2 6 2 2 2" xfId="43719" xr:uid="{00000000-0005-0000-0000-000097710000}"/>
    <cellStyle name="40% - Accent3 7 2 6 2 3" xfId="32418" xr:uid="{00000000-0005-0000-0000-000098710000}"/>
    <cellStyle name="40% - Accent3 7 2 6 3" xfId="15467" xr:uid="{00000000-0005-0000-0000-000099710000}"/>
    <cellStyle name="40% - Accent3 7 2 6 3 2" xfId="38069" xr:uid="{00000000-0005-0000-0000-00009A710000}"/>
    <cellStyle name="40% - Accent3 7 2 6 4" xfId="26768" xr:uid="{00000000-0005-0000-0000-00009B710000}"/>
    <cellStyle name="40% - Accent3 7 2 7" xfId="6646" xr:uid="{00000000-0005-0000-0000-00009C710000}"/>
    <cellStyle name="40% - Accent3 7 2 7 2" xfId="17947" xr:uid="{00000000-0005-0000-0000-00009D710000}"/>
    <cellStyle name="40% - Accent3 7 2 7 2 2" xfId="40549" xr:uid="{00000000-0005-0000-0000-00009E710000}"/>
    <cellStyle name="40% - Accent3 7 2 7 3" xfId="29248" xr:uid="{00000000-0005-0000-0000-00009F710000}"/>
    <cellStyle name="40% - Accent3 7 2 8" xfId="12297" xr:uid="{00000000-0005-0000-0000-0000A0710000}"/>
    <cellStyle name="40% - Accent3 7 2 8 2" xfId="34899" xr:uid="{00000000-0005-0000-0000-0000A1710000}"/>
    <cellStyle name="40% - Accent3 7 2 9" xfId="23598" xr:uid="{00000000-0005-0000-0000-0000A2710000}"/>
    <cellStyle name="40% - Accent3 7 3" xfId="1153" xr:uid="{00000000-0005-0000-0000-0000A3710000}"/>
    <cellStyle name="40% - Accent3 7 3 2" xfId="1881" xr:uid="{00000000-0005-0000-0000-0000A4710000}"/>
    <cellStyle name="40% - Accent3 7 3 2 2" xfId="3221" xr:uid="{00000000-0005-0000-0000-0000A5710000}"/>
    <cellStyle name="40% - Accent3 7 3 2 2 2" xfId="6193" xr:uid="{00000000-0005-0000-0000-0000A6710000}"/>
    <cellStyle name="40% - Accent3 7 3 2 2 2 2" xfId="11843" xr:uid="{00000000-0005-0000-0000-0000A7710000}"/>
    <cellStyle name="40% - Accent3 7 3 2 2 2 2 2" xfId="23144" xr:uid="{00000000-0005-0000-0000-0000A8710000}"/>
    <cellStyle name="40% - Accent3 7 3 2 2 2 2 2 2" xfId="45746" xr:uid="{00000000-0005-0000-0000-0000A9710000}"/>
    <cellStyle name="40% - Accent3 7 3 2 2 2 2 3" xfId="34445" xr:uid="{00000000-0005-0000-0000-0000AA710000}"/>
    <cellStyle name="40% - Accent3 7 3 2 2 2 3" xfId="17494" xr:uid="{00000000-0005-0000-0000-0000AB710000}"/>
    <cellStyle name="40% - Accent3 7 3 2 2 2 3 2" xfId="40096" xr:uid="{00000000-0005-0000-0000-0000AC710000}"/>
    <cellStyle name="40% - Accent3 7 3 2 2 2 4" xfId="28795" xr:uid="{00000000-0005-0000-0000-0000AD710000}"/>
    <cellStyle name="40% - Accent3 7 3 2 2 3" xfId="9011" xr:uid="{00000000-0005-0000-0000-0000AE710000}"/>
    <cellStyle name="40% - Accent3 7 3 2 2 3 2" xfId="20312" xr:uid="{00000000-0005-0000-0000-0000AF710000}"/>
    <cellStyle name="40% - Accent3 7 3 2 2 3 2 2" xfId="42914" xr:uid="{00000000-0005-0000-0000-0000B0710000}"/>
    <cellStyle name="40% - Accent3 7 3 2 2 3 3" xfId="31613" xr:uid="{00000000-0005-0000-0000-0000B1710000}"/>
    <cellStyle name="40% - Accent3 7 3 2 2 4" xfId="14662" xr:uid="{00000000-0005-0000-0000-0000B2710000}"/>
    <cellStyle name="40% - Accent3 7 3 2 2 4 2" xfId="37264" xr:uid="{00000000-0005-0000-0000-0000B3710000}"/>
    <cellStyle name="40% - Accent3 7 3 2 2 5" xfId="25963" xr:uid="{00000000-0005-0000-0000-0000B4710000}"/>
    <cellStyle name="40% - Accent3 7 3 2 3" xfId="4959" xr:uid="{00000000-0005-0000-0000-0000B5710000}"/>
    <cellStyle name="40% - Accent3 7 3 2 3 2" xfId="10609" xr:uid="{00000000-0005-0000-0000-0000B6710000}"/>
    <cellStyle name="40% - Accent3 7 3 2 3 2 2" xfId="21910" xr:uid="{00000000-0005-0000-0000-0000B7710000}"/>
    <cellStyle name="40% - Accent3 7 3 2 3 2 2 2" xfId="44512" xr:uid="{00000000-0005-0000-0000-0000B8710000}"/>
    <cellStyle name="40% - Accent3 7 3 2 3 2 3" xfId="33211" xr:uid="{00000000-0005-0000-0000-0000B9710000}"/>
    <cellStyle name="40% - Accent3 7 3 2 3 3" xfId="16260" xr:uid="{00000000-0005-0000-0000-0000BA710000}"/>
    <cellStyle name="40% - Accent3 7 3 2 3 3 2" xfId="38862" xr:uid="{00000000-0005-0000-0000-0000BB710000}"/>
    <cellStyle name="40% - Accent3 7 3 2 3 4" xfId="27561" xr:uid="{00000000-0005-0000-0000-0000BC710000}"/>
    <cellStyle name="40% - Accent3 7 3 2 4" xfId="7737" xr:uid="{00000000-0005-0000-0000-0000BD710000}"/>
    <cellStyle name="40% - Accent3 7 3 2 4 2" xfId="19038" xr:uid="{00000000-0005-0000-0000-0000BE710000}"/>
    <cellStyle name="40% - Accent3 7 3 2 4 2 2" xfId="41640" xr:uid="{00000000-0005-0000-0000-0000BF710000}"/>
    <cellStyle name="40% - Accent3 7 3 2 4 3" xfId="30339" xr:uid="{00000000-0005-0000-0000-0000C0710000}"/>
    <cellStyle name="40% - Accent3 7 3 2 5" xfId="13388" xr:uid="{00000000-0005-0000-0000-0000C1710000}"/>
    <cellStyle name="40% - Accent3 7 3 2 5 2" xfId="35990" xr:uid="{00000000-0005-0000-0000-0000C2710000}"/>
    <cellStyle name="40% - Accent3 7 3 2 6" xfId="24689" xr:uid="{00000000-0005-0000-0000-0000C3710000}"/>
    <cellStyle name="40% - Accent3 7 3 3" xfId="2550" xr:uid="{00000000-0005-0000-0000-0000C4710000}"/>
    <cellStyle name="40% - Accent3 7 3 3 2" xfId="5569" xr:uid="{00000000-0005-0000-0000-0000C5710000}"/>
    <cellStyle name="40% - Accent3 7 3 3 2 2" xfId="11219" xr:uid="{00000000-0005-0000-0000-0000C6710000}"/>
    <cellStyle name="40% - Accent3 7 3 3 2 2 2" xfId="22520" xr:uid="{00000000-0005-0000-0000-0000C7710000}"/>
    <cellStyle name="40% - Accent3 7 3 3 2 2 2 2" xfId="45122" xr:uid="{00000000-0005-0000-0000-0000C8710000}"/>
    <cellStyle name="40% - Accent3 7 3 3 2 2 3" xfId="33821" xr:uid="{00000000-0005-0000-0000-0000C9710000}"/>
    <cellStyle name="40% - Accent3 7 3 3 2 3" xfId="16870" xr:uid="{00000000-0005-0000-0000-0000CA710000}"/>
    <cellStyle name="40% - Accent3 7 3 3 2 3 2" xfId="39472" xr:uid="{00000000-0005-0000-0000-0000CB710000}"/>
    <cellStyle name="40% - Accent3 7 3 3 2 4" xfId="28171" xr:uid="{00000000-0005-0000-0000-0000CC710000}"/>
    <cellStyle name="40% - Accent3 7 3 3 3" xfId="8386" xr:uid="{00000000-0005-0000-0000-0000CD710000}"/>
    <cellStyle name="40% - Accent3 7 3 3 3 2" xfId="19687" xr:uid="{00000000-0005-0000-0000-0000CE710000}"/>
    <cellStyle name="40% - Accent3 7 3 3 3 2 2" xfId="42289" xr:uid="{00000000-0005-0000-0000-0000CF710000}"/>
    <cellStyle name="40% - Accent3 7 3 3 3 3" xfId="30988" xr:uid="{00000000-0005-0000-0000-0000D0710000}"/>
    <cellStyle name="40% - Accent3 7 3 3 4" xfId="14037" xr:uid="{00000000-0005-0000-0000-0000D1710000}"/>
    <cellStyle name="40% - Accent3 7 3 3 4 2" xfId="36639" xr:uid="{00000000-0005-0000-0000-0000D2710000}"/>
    <cellStyle name="40% - Accent3 7 3 3 5" xfId="25338" xr:uid="{00000000-0005-0000-0000-0000D3710000}"/>
    <cellStyle name="40% - Accent3 7 3 4" xfId="4335" xr:uid="{00000000-0005-0000-0000-0000D4710000}"/>
    <cellStyle name="40% - Accent3 7 3 4 2" xfId="9985" xr:uid="{00000000-0005-0000-0000-0000D5710000}"/>
    <cellStyle name="40% - Accent3 7 3 4 2 2" xfId="21286" xr:uid="{00000000-0005-0000-0000-0000D6710000}"/>
    <cellStyle name="40% - Accent3 7 3 4 2 2 2" xfId="43888" xr:uid="{00000000-0005-0000-0000-0000D7710000}"/>
    <cellStyle name="40% - Accent3 7 3 4 2 3" xfId="32587" xr:uid="{00000000-0005-0000-0000-0000D8710000}"/>
    <cellStyle name="40% - Accent3 7 3 4 3" xfId="15636" xr:uid="{00000000-0005-0000-0000-0000D9710000}"/>
    <cellStyle name="40% - Accent3 7 3 4 3 2" xfId="38238" xr:uid="{00000000-0005-0000-0000-0000DA710000}"/>
    <cellStyle name="40% - Accent3 7 3 4 4" xfId="26937" xr:uid="{00000000-0005-0000-0000-0000DB710000}"/>
    <cellStyle name="40% - Accent3 7 3 5" xfId="7132" xr:uid="{00000000-0005-0000-0000-0000DC710000}"/>
    <cellStyle name="40% - Accent3 7 3 5 2" xfId="18433" xr:uid="{00000000-0005-0000-0000-0000DD710000}"/>
    <cellStyle name="40% - Accent3 7 3 5 2 2" xfId="41035" xr:uid="{00000000-0005-0000-0000-0000DE710000}"/>
    <cellStyle name="40% - Accent3 7 3 5 3" xfId="29734" xr:uid="{00000000-0005-0000-0000-0000DF710000}"/>
    <cellStyle name="40% - Accent3 7 3 6" xfId="12783" xr:uid="{00000000-0005-0000-0000-0000E0710000}"/>
    <cellStyle name="40% - Accent3 7 3 6 2" xfId="35385" xr:uid="{00000000-0005-0000-0000-0000E1710000}"/>
    <cellStyle name="40% - Accent3 7 3 7" xfId="24084" xr:uid="{00000000-0005-0000-0000-0000E2710000}"/>
    <cellStyle name="40% - Accent3 7 4" xfId="844" xr:uid="{00000000-0005-0000-0000-0000E3710000}"/>
    <cellStyle name="40% - Accent3 7 4 2" xfId="2914" xr:uid="{00000000-0005-0000-0000-0000E4710000}"/>
    <cellStyle name="40% - Accent3 7 4 2 2" xfId="5886" xr:uid="{00000000-0005-0000-0000-0000E5710000}"/>
    <cellStyle name="40% - Accent3 7 4 2 2 2" xfId="11536" xr:uid="{00000000-0005-0000-0000-0000E6710000}"/>
    <cellStyle name="40% - Accent3 7 4 2 2 2 2" xfId="22837" xr:uid="{00000000-0005-0000-0000-0000E7710000}"/>
    <cellStyle name="40% - Accent3 7 4 2 2 2 2 2" xfId="45439" xr:uid="{00000000-0005-0000-0000-0000E8710000}"/>
    <cellStyle name="40% - Accent3 7 4 2 2 2 3" xfId="34138" xr:uid="{00000000-0005-0000-0000-0000E9710000}"/>
    <cellStyle name="40% - Accent3 7 4 2 2 3" xfId="17187" xr:uid="{00000000-0005-0000-0000-0000EA710000}"/>
    <cellStyle name="40% - Accent3 7 4 2 2 3 2" xfId="39789" xr:uid="{00000000-0005-0000-0000-0000EB710000}"/>
    <cellStyle name="40% - Accent3 7 4 2 2 4" xfId="28488" xr:uid="{00000000-0005-0000-0000-0000EC710000}"/>
    <cellStyle name="40% - Accent3 7 4 2 3" xfId="8704" xr:uid="{00000000-0005-0000-0000-0000ED710000}"/>
    <cellStyle name="40% - Accent3 7 4 2 3 2" xfId="20005" xr:uid="{00000000-0005-0000-0000-0000EE710000}"/>
    <cellStyle name="40% - Accent3 7 4 2 3 2 2" xfId="42607" xr:uid="{00000000-0005-0000-0000-0000EF710000}"/>
    <cellStyle name="40% - Accent3 7 4 2 3 3" xfId="31306" xr:uid="{00000000-0005-0000-0000-0000F0710000}"/>
    <cellStyle name="40% - Accent3 7 4 2 4" xfId="14355" xr:uid="{00000000-0005-0000-0000-0000F1710000}"/>
    <cellStyle name="40% - Accent3 7 4 2 4 2" xfId="36957" xr:uid="{00000000-0005-0000-0000-0000F2710000}"/>
    <cellStyle name="40% - Accent3 7 4 2 5" xfId="25656" xr:uid="{00000000-0005-0000-0000-0000F3710000}"/>
    <cellStyle name="40% - Accent3 7 4 3" xfId="4652" xr:uid="{00000000-0005-0000-0000-0000F4710000}"/>
    <cellStyle name="40% - Accent3 7 4 3 2" xfId="10302" xr:uid="{00000000-0005-0000-0000-0000F5710000}"/>
    <cellStyle name="40% - Accent3 7 4 3 2 2" xfId="21603" xr:uid="{00000000-0005-0000-0000-0000F6710000}"/>
    <cellStyle name="40% - Accent3 7 4 3 2 2 2" xfId="44205" xr:uid="{00000000-0005-0000-0000-0000F7710000}"/>
    <cellStyle name="40% - Accent3 7 4 3 2 3" xfId="32904" xr:uid="{00000000-0005-0000-0000-0000F8710000}"/>
    <cellStyle name="40% - Accent3 7 4 3 3" xfId="15953" xr:uid="{00000000-0005-0000-0000-0000F9710000}"/>
    <cellStyle name="40% - Accent3 7 4 3 3 2" xfId="38555" xr:uid="{00000000-0005-0000-0000-0000FA710000}"/>
    <cellStyle name="40% - Accent3 7 4 3 4" xfId="27254" xr:uid="{00000000-0005-0000-0000-0000FB710000}"/>
    <cellStyle name="40% - Accent3 7 4 4" xfId="6839" xr:uid="{00000000-0005-0000-0000-0000FC710000}"/>
    <cellStyle name="40% - Accent3 7 4 4 2" xfId="18140" xr:uid="{00000000-0005-0000-0000-0000FD710000}"/>
    <cellStyle name="40% - Accent3 7 4 4 2 2" xfId="40742" xr:uid="{00000000-0005-0000-0000-0000FE710000}"/>
    <cellStyle name="40% - Accent3 7 4 4 3" xfId="29441" xr:uid="{00000000-0005-0000-0000-0000FF710000}"/>
    <cellStyle name="40% - Accent3 7 4 5" xfId="12490" xr:uid="{00000000-0005-0000-0000-000000720000}"/>
    <cellStyle name="40% - Accent3 7 4 5 2" xfId="35092" xr:uid="{00000000-0005-0000-0000-000001720000}"/>
    <cellStyle name="40% - Accent3 7 4 6" xfId="23791" xr:uid="{00000000-0005-0000-0000-000002720000}"/>
    <cellStyle name="40% - Accent3 7 5" xfId="1878" xr:uid="{00000000-0005-0000-0000-000003720000}"/>
    <cellStyle name="40% - Accent3 7 5 2" xfId="3710" xr:uid="{00000000-0005-0000-0000-000004720000}"/>
    <cellStyle name="40% - Accent3 7 5 2 2" xfId="9420" xr:uid="{00000000-0005-0000-0000-000005720000}"/>
    <cellStyle name="40% - Accent3 7 5 2 2 2" xfId="20721" xr:uid="{00000000-0005-0000-0000-000006720000}"/>
    <cellStyle name="40% - Accent3 7 5 2 2 2 2" xfId="43323" xr:uid="{00000000-0005-0000-0000-000007720000}"/>
    <cellStyle name="40% - Accent3 7 5 2 2 3" xfId="32022" xr:uid="{00000000-0005-0000-0000-000008720000}"/>
    <cellStyle name="40% - Accent3 7 5 2 3" xfId="15071" xr:uid="{00000000-0005-0000-0000-000009720000}"/>
    <cellStyle name="40% - Accent3 7 5 2 3 2" xfId="37673" xr:uid="{00000000-0005-0000-0000-00000A720000}"/>
    <cellStyle name="40% - Accent3 7 5 2 4" xfId="26372" xr:uid="{00000000-0005-0000-0000-00000B720000}"/>
    <cellStyle name="40% - Accent3 7 5 3" xfId="5262" xr:uid="{00000000-0005-0000-0000-00000C720000}"/>
    <cellStyle name="40% - Accent3 7 5 3 2" xfId="10912" xr:uid="{00000000-0005-0000-0000-00000D720000}"/>
    <cellStyle name="40% - Accent3 7 5 3 2 2" xfId="22213" xr:uid="{00000000-0005-0000-0000-00000E720000}"/>
    <cellStyle name="40% - Accent3 7 5 3 2 2 2" xfId="44815" xr:uid="{00000000-0005-0000-0000-00000F720000}"/>
    <cellStyle name="40% - Accent3 7 5 3 2 3" xfId="33514" xr:uid="{00000000-0005-0000-0000-000010720000}"/>
    <cellStyle name="40% - Accent3 7 5 3 3" xfId="16563" xr:uid="{00000000-0005-0000-0000-000011720000}"/>
    <cellStyle name="40% - Accent3 7 5 3 3 2" xfId="39165" xr:uid="{00000000-0005-0000-0000-000012720000}"/>
    <cellStyle name="40% - Accent3 7 5 3 4" xfId="27864" xr:uid="{00000000-0005-0000-0000-000013720000}"/>
    <cellStyle name="40% - Accent3 7 5 4" xfId="7734" xr:uid="{00000000-0005-0000-0000-000014720000}"/>
    <cellStyle name="40% - Accent3 7 5 4 2" xfId="19035" xr:uid="{00000000-0005-0000-0000-000015720000}"/>
    <cellStyle name="40% - Accent3 7 5 4 2 2" xfId="41637" xr:uid="{00000000-0005-0000-0000-000016720000}"/>
    <cellStyle name="40% - Accent3 7 5 4 3" xfId="30336" xr:uid="{00000000-0005-0000-0000-000017720000}"/>
    <cellStyle name="40% - Accent3 7 5 5" xfId="13385" xr:uid="{00000000-0005-0000-0000-000018720000}"/>
    <cellStyle name="40% - Accent3 7 5 5 2" xfId="35987" xr:uid="{00000000-0005-0000-0000-000019720000}"/>
    <cellStyle name="40% - Accent3 7 5 6" xfId="24686" xr:uid="{00000000-0005-0000-0000-00001A720000}"/>
    <cellStyle name="40% - Accent3 7 6" xfId="2241" xr:uid="{00000000-0005-0000-0000-00001B720000}"/>
    <cellStyle name="40% - Accent3 7 6 2" xfId="8077" xr:uid="{00000000-0005-0000-0000-00001C720000}"/>
    <cellStyle name="40% - Accent3 7 6 2 2" xfId="19378" xr:uid="{00000000-0005-0000-0000-00001D720000}"/>
    <cellStyle name="40% - Accent3 7 6 2 2 2" xfId="41980" xr:uid="{00000000-0005-0000-0000-00001E720000}"/>
    <cellStyle name="40% - Accent3 7 6 2 3" xfId="30679" xr:uid="{00000000-0005-0000-0000-00001F720000}"/>
    <cellStyle name="40% - Accent3 7 6 3" xfId="13728" xr:uid="{00000000-0005-0000-0000-000020720000}"/>
    <cellStyle name="40% - Accent3 7 6 3 2" xfId="36330" xr:uid="{00000000-0005-0000-0000-000021720000}"/>
    <cellStyle name="40% - Accent3 7 6 4" xfId="25029" xr:uid="{00000000-0005-0000-0000-000022720000}"/>
    <cellStyle name="40% - Accent3 7 7" xfId="4028" xr:uid="{00000000-0005-0000-0000-000023720000}"/>
    <cellStyle name="40% - Accent3 7 7 2" xfId="9678" xr:uid="{00000000-0005-0000-0000-000024720000}"/>
    <cellStyle name="40% - Accent3 7 7 2 2" xfId="20979" xr:uid="{00000000-0005-0000-0000-000025720000}"/>
    <cellStyle name="40% - Accent3 7 7 2 2 2" xfId="43581" xr:uid="{00000000-0005-0000-0000-000026720000}"/>
    <cellStyle name="40% - Accent3 7 7 2 3" xfId="32280" xr:uid="{00000000-0005-0000-0000-000027720000}"/>
    <cellStyle name="40% - Accent3 7 7 3" xfId="15329" xr:uid="{00000000-0005-0000-0000-000028720000}"/>
    <cellStyle name="40% - Accent3 7 7 3 2" xfId="37931" xr:uid="{00000000-0005-0000-0000-000029720000}"/>
    <cellStyle name="40% - Accent3 7 7 4" xfId="26630" xr:uid="{00000000-0005-0000-0000-00002A720000}"/>
    <cellStyle name="40% - Accent3 7 8" xfId="6479" xr:uid="{00000000-0005-0000-0000-00002B720000}"/>
    <cellStyle name="40% - Accent3 7 8 2" xfId="17780" xr:uid="{00000000-0005-0000-0000-00002C720000}"/>
    <cellStyle name="40% - Accent3 7 8 2 2" xfId="40382" xr:uid="{00000000-0005-0000-0000-00002D720000}"/>
    <cellStyle name="40% - Accent3 7 8 3" xfId="29081" xr:uid="{00000000-0005-0000-0000-00002E720000}"/>
    <cellStyle name="40% - Accent3 7 9" xfId="12130" xr:uid="{00000000-0005-0000-0000-00002F720000}"/>
    <cellStyle name="40% - Accent3 7 9 2" xfId="34732" xr:uid="{00000000-0005-0000-0000-000030720000}"/>
    <cellStyle name="40% - Accent3 8" xfId="439" xr:uid="{00000000-0005-0000-0000-000031720000}"/>
    <cellStyle name="40% - Accent3 8 2" xfId="1210" xr:uid="{00000000-0005-0000-0000-000032720000}"/>
    <cellStyle name="40% - Accent3 8 2 2" xfId="1883" xr:uid="{00000000-0005-0000-0000-000033720000}"/>
    <cellStyle name="40% - Accent3 8 2 2 2" xfId="3279" xr:uid="{00000000-0005-0000-0000-000034720000}"/>
    <cellStyle name="40% - Accent3 8 2 2 2 2" xfId="6251" xr:uid="{00000000-0005-0000-0000-000035720000}"/>
    <cellStyle name="40% - Accent3 8 2 2 2 2 2" xfId="11901" xr:uid="{00000000-0005-0000-0000-000036720000}"/>
    <cellStyle name="40% - Accent3 8 2 2 2 2 2 2" xfId="23202" xr:uid="{00000000-0005-0000-0000-000037720000}"/>
    <cellStyle name="40% - Accent3 8 2 2 2 2 2 2 2" xfId="45804" xr:uid="{00000000-0005-0000-0000-000038720000}"/>
    <cellStyle name="40% - Accent3 8 2 2 2 2 2 3" xfId="34503" xr:uid="{00000000-0005-0000-0000-000039720000}"/>
    <cellStyle name="40% - Accent3 8 2 2 2 2 3" xfId="17552" xr:uid="{00000000-0005-0000-0000-00003A720000}"/>
    <cellStyle name="40% - Accent3 8 2 2 2 2 3 2" xfId="40154" xr:uid="{00000000-0005-0000-0000-00003B720000}"/>
    <cellStyle name="40% - Accent3 8 2 2 2 2 4" xfId="28853" xr:uid="{00000000-0005-0000-0000-00003C720000}"/>
    <cellStyle name="40% - Accent3 8 2 2 2 3" xfId="9069" xr:uid="{00000000-0005-0000-0000-00003D720000}"/>
    <cellStyle name="40% - Accent3 8 2 2 2 3 2" xfId="20370" xr:uid="{00000000-0005-0000-0000-00003E720000}"/>
    <cellStyle name="40% - Accent3 8 2 2 2 3 2 2" xfId="42972" xr:uid="{00000000-0005-0000-0000-00003F720000}"/>
    <cellStyle name="40% - Accent3 8 2 2 2 3 3" xfId="31671" xr:uid="{00000000-0005-0000-0000-000040720000}"/>
    <cellStyle name="40% - Accent3 8 2 2 2 4" xfId="14720" xr:uid="{00000000-0005-0000-0000-000041720000}"/>
    <cellStyle name="40% - Accent3 8 2 2 2 4 2" xfId="37322" xr:uid="{00000000-0005-0000-0000-000042720000}"/>
    <cellStyle name="40% - Accent3 8 2 2 2 5" xfId="26021" xr:uid="{00000000-0005-0000-0000-000043720000}"/>
    <cellStyle name="40% - Accent3 8 2 2 3" xfId="5017" xr:uid="{00000000-0005-0000-0000-000044720000}"/>
    <cellStyle name="40% - Accent3 8 2 2 3 2" xfId="10667" xr:uid="{00000000-0005-0000-0000-000045720000}"/>
    <cellStyle name="40% - Accent3 8 2 2 3 2 2" xfId="21968" xr:uid="{00000000-0005-0000-0000-000046720000}"/>
    <cellStyle name="40% - Accent3 8 2 2 3 2 2 2" xfId="44570" xr:uid="{00000000-0005-0000-0000-000047720000}"/>
    <cellStyle name="40% - Accent3 8 2 2 3 2 3" xfId="33269" xr:uid="{00000000-0005-0000-0000-000048720000}"/>
    <cellStyle name="40% - Accent3 8 2 2 3 3" xfId="16318" xr:uid="{00000000-0005-0000-0000-000049720000}"/>
    <cellStyle name="40% - Accent3 8 2 2 3 3 2" xfId="38920" xr:uid="{00000000-0005-0000-0000-00004A720000}"/>
    <cellStyle name="40% - Accent3 8 2 2 3 4" xfId="27619" xr:uid="{00000000-0005-0000-0000-00004B720000}"/>
    <cellStyle name="40% - Accent3 8 2 2 4" xfId="7739" xr:uid="{00000000-0005-0000-0000-00004C720000}"/>
    <cellStyle name="40% - Accent3 8 2 2 4 2" xfId="19040" xr:uid="{00000000-0005-0000-0000-00004D720000}"/>
    <cellStyle name="40% - Accent3 8 2 2 4 2 2" xfId="41642" xr:uid="{00000000-0005-0000-0000-00004E720000}"/>
    <cellStyle name="40% - Accent3 8 2 2 4 3" xfId="30341" xr:uid="{00000000-0005-0000-0000-00004F720000}"/>
    <cellStyle name="40% - Accent3 8 2 2 5" xfId="13390" xr:uid="{00000000-0005-0000-0000-000050720000}"/>
    <cellStyle name="40% - Accent3 8 2 2 5 2" xfId="35992" xr:uid="{00000000-0005-0000-0000-000051720000}"/>
    <cellStyle name="40% - Accent3 8 2 2 6" xfId="24691" xr:uid="{00000000-0005-0000-0000-000052720000}"/>
    <cellStyle name="40% - Accent3 8 2 3" xfId="2608" xr:uid="{00000000-0005-0000-0000-000053720000}"/>
    <cellStyle name="40% - Accent3 8 2 3 2" xfId="5627" xr:uid="{00000000-0005-0000-0000-000054720000}"/>
    <cellStyle name="40% - Accent3 8 2 3 2 2" xfId="11277" xr:uid="{00000000-0005-0000-0000-000055720000}"/>
    <cellStyle name="40% - Accent3 8 2 3 2 2 2" xfId="22578" xr:uid="{00000000-0005-0000-0000-000056720000}"/>
    <cellStyle name="40% - Accent3 8 2 3 2 2 2 2" xfId="45180" xr:uid="{00000000-0005-0000-0000-000057720000}"/>
    <cellStyle name="40% - Accent3 8 2 3 2 2 3" xfId="33879" xr:uid="{00000000-0005-0000-0000-000058720000}"/>
    <cellStyle name="40% - Accent3 8 2 3 2 3" xfId="16928" xr:uid="{00000000-0005-0000-0000-000059720000}"/>
    <cellStyle name="40% - Accent3 8 2 3 2 3 2" xfId="39530" xr:uid="{00000000-0005-0000-0000-00005A720000}"/>
    <cellStyle name="40% - Accent3 8 2 3 2 4" xfId="28229" xr:uid="{00000000-0005-0000-0000-00005B720000}"/>
    <cellStyle name="40% - Accent3 8 2 3 3" xfId="8444" xr:uid="{00000000-0005-0000-0000-00005C720000}"/>
    <cellStyle name="40% - Accent3 8 2 3 3 2" xfId="19745" xr:uid="{00000000-0005-0000-0000-00005D720000}"/>
    <cellStyle name="40% - Accent3 8 2 3 3 2 2" xfId="42347" xr:uid="{00000000-0005-0000-0000-00005E720000}"/>
    <cellStyle name="40% - Accent3 8 2 3 3 3" xfId="31046" xr:uid="{00000000-0005-0000-0000-00005F720000}"/>
    <cellStyle name="40% - Accent3 8 2 3 4" xfId="14095" xr:uid="{00000000-0005-0000-0000-000060720000}"/>
    <cellStyle name="40% - Accent3 8 2 3 4 2" xfId="36697" xr:uid="{00000000-0005-0000-0000-000061720000}"/>
    <cellStyle name="40% - Accent3 8 2 3 5" xfId="25396" xr:uid="{00000000-0005-0000-0000-000062720000}"/>
    <cellStyle name="40% - Accent3 8 2 4" xfId="4393" xr:uid="{00000000-0005-0000-0000-000063720000}"/>
    <cellStyle name="40% - Accent3 8 2 4 2" xfId="10043" xr:uid="{00000000-0005-0000-0000-000064720000}"/>
    <cellStyle name="40% - Accent3 8 2 4 2 2" xfId="21344" xr:uid="{00000000-0005-0000-0000-000065720000}"/>
    <cellStyle name="40% - Accent3 8 2 4 2 2 2" xfId="43946" xr:uid="{00000000-0005-0000-0000-000066720000}"/>
    <cellStyle name="40% - Accent3 8 2 4 2 3" xfId="32645" xr:uid="{00000000-0005-0000-0000-000067720000}"/>
    <cellStyle name="40% - Accent3 8 2 4 3" xfId="15694" xr:uid="{00000000-0005-0000-0000-000068720000}"/>
    <cellStyle name="40% - Accent3 8 2 4 3 2" xfId="38296" xr:uid="{00000000-0005-0000-0000-000069720000}"/>
    <cellStyle name="40% - Accent3 8 2 4 4" xfId="26995" xr:uid="{00000000-0005-0000-0000-00006A720000}"/>
    <cellStyle name="40% - Accent3 8 2 5" xfId="7189" xr:uid="{00000000-0005-0000-0000-00006B720000}"/>
    <cellStyle name="40% - Accent3 8 2 5 2" xfId="18490" xr:uid="{00000000-0005-0000-0000-00006C720000}"/>
    <cellStyle name="40% - Accent3 8 2 5 2 2" xfId="41092" xr:uid="{00000000-0005-0000-0000-00006D720000}"/>
    <cellStyle name="40% - Accent3 8 2 5 3" xfId="29791" xr:uid="{00000000-0005-0000-0000-00006E720000}"/>
    <cellStyle name="40% - Accent3 8 2 6" xfId="12840" xr:uid="{00000000-0005-0000-0000-00006F720000}"/>
    <cellStyle name="40% - Accent3 8 2 6 2" xfId="35442" xr:uid="{00000000-0005-0000-0000-000070720000}"/>
    <cellStyle name="40% - Accent3 8 2 7" xfId="24141" xr:uid="{00000000-0005-0000-0000-000071720000}"/>
    <cellStyle name="40% - Accent3 8 3" xfId="907" xr:uid="{00000000-0005-0000-0000-000072720000}"/>
    <cellStyle name="40% - Accent3 8 3 2" xfId="2971" xr:uid="{00000000-0005-0000-0000-000073720000}"/>
    <cellStyle name="40% - Accent3 8 3 2 2" xfId="5943" xr:uid="{00000000-0005-0000-0000-000074720000}"/>
    <cellStyle name="40% - Accent3 8 3 2 2 2" xfId="11593" xr:uid="{00000000-0005-0000-0000-000075720000}"/>
    <cellStyle name="40% - Accent3 8 3 2 2 2 2" xfId="22894" xr:uid="{00000000-0005-0000-0000-000076720000}"/>
    <cellStyle name="40% - Accent3 8 3 2 2 2 2 2" xfId="45496" xr:uid="{00000000-0005-0000-0000-000077720000}"/>
    <cellStyle name="40% - Accent3 8 3 2 2 2 3" xfId="34195" xr:uid="{00000000-0005-0000-0000-000078720000}"/>
    <cellStyle name="40% - Accent3 8 3 2 2 3" xfId="17244" xr:uid="{00000000-0005-0000-0000-000079720000}"/>
    <cellStyle name="40% - Accent3 8 3 2 2 3 2" xfId="39846" xr:uid="{00000000-0005-0000-0000-00007A720000}"/>
    <cellStyle name="40% - Accent3 8 3 2 2 4" xfId="28545" xr:uid="{00000000-0005-0000-0000-00007B720000}"/>
    <cellStyle name="40% - Accent3 8 3 2 3" xfId="8761" xr:uid="{00000000-0005-0000-0000-00007C720000}"/>
    <cellStyle name="40% - Accent3 8 3 2 3 2" xfId="20062" xr:uid="{00000000-0005-0000-0000-00007D720000}"/>
    <cellStyle name="40% - Accent3 8 3 2 3 2 2" xfId="42664" xr:uid="{00000000-0005-0000-0000-00007E720000}"/>
    <cellStyle name="40% - Accent3 8 3 2 3 3" xfId="31363" xr:uid="{00000000-0005-0000-0000-00007F720000}"/>
    <cellStyle name="40% - Accent3 8 3 2 4" xfId="14412" xr:uid="{00000000-0005-0000-0000-000080720000}"/>
    <cellStyle name="40% - Accent3 8 3 2 4 2" xfId="37014" xr:uid="{00000000-0005-0000-0000-000081720000}"/>
    <cellStyle name="40% - Accent3 8 3 2 5" xfId="25713" xr:uid="{00000000-0005-0000-0000-000082720000}"/>
    <cellStyle name="40% - Accent3 8 3 3" xfId="4709" xr:uid="{00000000-0005-0000-0000-000083720000}"/>
    <cellStyle name="40% - Accent3 8 3 3 2" xfId="10359" xr:uid="{00000000-0005-0000-0000-000084720000}"/>
    <cellStyle name="40% - Accent3 8 3 3 2 2" xfId="21660" xr:uid="{00000000-0005-0000-0000-000085720000}"/>
    <cellStyle name="40% - Accent3 8 3 3 2 2 2" xfId="44262" xr:uid="{00000000-0005-0000-0000-000086720000}"/>
    <cellStyle name="40% - Accent3 8 3 3 2 3" xfId="32961" xr:uid="{00000000-0005-0000-0000-000087720000}"/>
    <cellStyle name="40% - Accent3 8 3 3 3" xfId="16010" xr:uid="{00000000-0005-0000-0000-000088720000}"/>
    <cellStyle name="40% - Accent3 8 3 3 3 2" xfId="38612" xr:uid="{00000000-0005-0000-0000-000089720000}"/>
    <cellStyle name="40% - Accent3 8 3 3 4" xfId="27311" xr:uid="{00000000-0005-0000-0000-00008A720000}"/>
    <cellStyle name="40% - Accent3 8 3 4" xfId="6896" xr:uid="{00000000-0005-0000-0000-00008B720000}"/>
    <cellStyle name="40% - Accent3 8 3 4 2" xfId="18197" xr:uid="{00000000-0005-0000-0000-00008C720000}"/>
    <cellStyle name="40% - Accent3 8 3 4 2 2" xfId="40799" xr:uid="{00000000-0005-0000-0000-00008D720000}"/>
    <cellStyle name="40% - Accent3 8 3 4 3" xfId="29498" xr:uid="{00000000-0005-0000-0000-00008E720000}"/>
    <cellStyle name="40% - Accent3 8 3 5" xfId="12547" xr:uid="{00000000-0005-0000-0000-00008F720000}"/>
    <cellStyle name="40% - Accent3 8 3 5 2" xfId="35149" xr:uid="{00000000-0005-0000-0000-000090720000}"/>
    <cellStyle name="40% - Accent3 8 3 6" xfId="23848" xr:uid="{00000000-0005-0000-0000-000091720000}"/>
    <cellStyle name="40% - Accent3 8 4" xfId="1882" xr:uid="{00000000-0005-0000-0000-000092720000}"/>
    <cellStyle name="40% - Accent3 8 4 2" xfId="3712" xr:uid="{00000000-0005-0000-0000-000093720000}"/>
    <cellStyle name="40% - Accent3 8 4 2 2" xfId="9422" xr:uid="{00000000-0005-0000-0000-000094720000}"/>
    <cellStyle name="40% - Accent3 8 4 2 2 2" xfId="20723" xr:uid="{00000000-0005-0000-0000-000095720000}"/>
    <cellStyle name="40% - Accent3 8 4 2 2 2 2" xfId="43325" xr:uid="{00000000-0005-0000-0000-000096720000}"/>
    <cellStyle name="40% - Accent3 8 4 2 2 3" xfId="32024" xr:uid="{00000000-0005-0000-0000-000097720000}"/>
    <cellStyle name="40% - Accent3 8 4 2 3" xfId="15073" xr:uid="{00000000-0005-0000-0000-000098720000}"/>
    <cellStyle name="40% - Accent3 8 4 2 3 2" xfId="37675" xr:uid="{00000000-0005-0000-0000-000099720000}"/>
    <cellStyle name="40% - Accent3 8 4 2 4" xfId="26374" xr:uid="{00000000-0005-0000-0000-00009A720000}"/>
    <cellStyle name="40% - Accent3 8 4 3" xfId="5319" xr:uid="{00000000-0005-0000-0000-00009B720000}"/>
    <cellStyle name="40% - Accent3 8 4 3 2" xfId="10969" xr:uid="{00000000-0005-0000-0000-00009C720000}"/>
    <cellStyle name="40% - Accent3 8 4 3 2 2" xfId="22270" xr:uid="{00000000-0005-0000-0000-00009D720000}"/>
    <cellStyle name="40% - Accent3 8 4 3 2 2 2" xfId="44872" xr:uid="{00000000-0005-0000-0000-00009E720000}"/>
    <cellStyle name="40% - Accent3 8 4 3 2 3" xfId="33571" xr:uid="{00000000-0005-0000-0000-00009F720000}"/>
    <cellStyle name="40% - Accent3 8 4 3 3" xfId="16620" xr:uid="{00000000-0005-0000-0000-0000A0720000}"/>
    <cellStyle name="40% - Accent3 8 4 3 3 2" xfId="39222" xr:uid="{00000000-0005-0000-0000-0000A1720000}"/>
    <cellStyle name="40% - Accent3 8 4 3 4" xfId="27921" xr:uid="{00000000-0005-0000-0000-0000A2720000}"/>
    <cellStyle name="40% - Accent3 8 4 4" xfId="7738" xr:uid="{00000000-0005-0000-0000-0000A3720000}"/>
    <cellStyle name="40% - Accent3 8 4 4 2" xfId="19039" xr:uid="{00000000-0005-0000-0000-0000A4720000}"/>
    <cellStyle name="40% - Accent3 8 4 4 2 2" xfId="41641" xr:uid="{00000000-0005-0000-0000-0000A5720000}"/>
    <cellStyle name="40% - Accent3 8 4 4 3" xfId="30340" xr:uid="{00000000-0005-0000-0000-0000A6720000}"/>
    <cellStyle name="40% - Accent3 8 4 5" xfId="13389" xr:uid="{00000000-0005-0000-0000-0000A7720000}"/>
    <cellStyle name="40% - Accent3 8 4 5 2" xfId="35991" xr:uid="{00000000-0005-0000-0000-0000A8720000}"/>
    <cellStyle name="40% - Accent3 8 4 6" xfId="24690" xr:uid="{00000000-0005-0000-0000-0000A9720000}"/>
    <cellStyle name="40% - Accent3 8 5" xfId="2300" xr:uid="{00000000-0005-0000-0000-0000AA720000}"/>
    <cellStyle name="40% - Accent3 8 5 2" xfId="8136" xr:uid="{00000000-0005-0000-0000-0000AB720000}"/>
    <cellStyle name="40% - Accent3 8 5 2 2" xfId="19437" xr:uid="{00000000-0005-0000-0000-0000AC720000}"/>
    <cellStyle name="40% - Accent3 8 5 2 2 2" xfId="42039" xr:uid="{00000000-0005-0000-0000-0000AD720000}"/>
    <cellStyle name="40% - Accent3 8 5 2 3" xfId="30738" xr:uid="{00000000-0005-0000-0000-0000AE720000}"/>
    <cellStyle name="40% - Accent3 8 5 3" xfId="13787" xr:uid="{00000000-0005-0000-0000-0000AF720000}"/>
    <cellStyle name="40% - Accent3 8 5 3 2" xfId="36389" xr:uid="{00000000-0005-0000-0000-0000B0720000}"/>
    <cellStyle name="40% - Accent3 8 5 4" xfId="25088" xr:uid="{00000000-0005-0000-0000-0000B1720000}"/>
    <cellStyle name="40% - Accent3 8 6" xfId="4085" xr:uid="{00000000-0005-0000-0000-0000B2720000}"/>
    <cellStyle name="40% - Accent3 8 6 2" xfId="9735" xr:uid="{00000000-0005-0000-0000-0000B3720000}"/>
    <cellStyle name="40% - Accent3 8 6 2 2" xfId="21036" xr:uid="{00000000-0005-0000-0000-0000B4720000}"/>
    <cellStyle name="40% - Accent3 8 6 2 2 2" xfId="43638" xr:uid="{00000000-0005-0000-0000-0000B5720000}"/>
    <cellStyle name="40% - Accent3 8 6 2 3" xfId="32337" xr:uid="{00000000-0005-0000-0000-0000B6720000}"/>
    <cellStyle name="40% - Accent3 8 6 3" xfId="15386" xr:uid="{00000000-0005-0000-0000-0000B7720000}"/>
    <cellStyle name="40% - Accent3 8 6 3 2" xfId="37988" xr:uid="{00000000-0005-0000-0000-0000B8720000}"/>
    <cellStyle name="40% - Accent3 8 6 4" xfId="26687" xr:uid="{00000000-0005-0000-0000-0000B9720000}"/>
    <cellStyle name="40% - Accent3 8 7" xfId="6536" xr:uid="{00000000-0005-0000-0000-0000BA720000}"/>
    <cellStyle name="40% - Accent3 8 7 2" xfId="17837" xr:uid="{00000000-0005-0000-0000-0000BB720000}"/>
    <cellStyle name="40% - Accent3 8 7 2 2" xfId="40439" xr:uid="{00000000-0005-0000-0000-0000BC720000}"/>
    <cellStyle name="40% - Accent3 8 7 3" xfId="29138" xr:uid="{00000000-0005-0000-0000-0000BD720000}"/>
    <cellStyle name="40% - Accent3 8 8" xfId="12187" xr:uid="{00000000-0005-0000-0000-0000BE720000}"/>
    <cellStyle name="40% - Accent3 8 8 2" xfId="34789" xr:uid="{00000000-0005-0000-0000-0000BF720000}"/>
    <cellStyle name="40% - Accent3 8 9" xfId="23488" xr:uid="{00000000-0005-0000-0000-0000C0720000}"/>
    <cellStyle name="40% - Accent3 9" xfId="641" xr:uid="{00000000-0005-0000-0000-0000C1720000}"/>
    <cellStyle name="40% - Accent3 9 2" xfId="700" xr:uid="{00000000-0005-0000-0000-0000C2720000}"/>
    <cellStyle name="40% - Accent3 9 2 2" xfId="3111" xr:uid="{00000000-0005-0000-0000-0000C3720000}"/>
    <cellStyle name="40% - Accent3 9 2 2 2" xfId="6083" xr:uid="{00000000-0005-0000-0000-0000C4720000}"/>
    <cellStyle name="40% - Accent3 9 2 2 2 2" xfId="11733" xr:uid="{00000000-0005-0000-0000-0000C5720000}"/>
    <cellStyle name="40% - Accent3 9 2 2 2 2 2" xfId="23034" xr:uid="{00000000-0005-0000-0000-0000C6720000}"/>
    <cellStyle name="40% - Accent3 9 2 2 2 2 2 2" xfId="45636" xr:uid="{00000000-0005-0000-0000-0000C7720000}"/>
    <cellStyle name="40% - Accent3 9 2 2 2 2 3" xfId="34335" xr:uid="{00000000-0005-0000-0000-0000C8720000}"/>
    <cellStyle name="40% - Accent3 9 2 2 2 3" xfId="17384" xr:uid="{00000000-0005-0000-0000-0000C9720000}"/>
    <cellStyle name="40% - Accent3 9 2 2 2 3 2" xfId="39986" xr:uid="{00000000-0005-0000-0000-0000CA720000}"/>
    <cellStyle name="40% - Accent3 9 2 2 2 4" xfId="28685" xr:uid="{00000000-0005-0000-0000-0000CB720000}"/>
    <cellStyle name="40% - Accent3 9 2 2 3" xfId="8901" xr:uid="{00000000-0005-0000-0000-0000CC720000}"/>
    <cellStyle name="40% - Accent3 9 2 2 3 2" xfId="20202" xr:uid="{00000000-0005-0000-0000-0000CD720000}"/>
    <cellStyle name="40% - Accent3 9 2 2 3 2 2" xfId="42804" xr:uid="{00000000-0005-0000-0000-0000CE720000}"/>
    <cellStyle name="40% - Accent3 9 2 2 3 3" xfId="31503" xr:uid="{00000000-0005-0000-0000-0000CF720000}"/>
    <cellStyle name="40% - Accent3 9 2 2 4" xfId="14552" xr:uid="{00000000-0005-0000-0000-0000D0720000}"/>
    <cellStyle name="40% - Accent3 9 2 2 4 2" xfId="37154" xr:uid="{00000000-0005-0000-0000-0000D1720000}"/>
    <cellStyle name="40% - Accent3 9 2 2 5" xfId="25853" xr:uid="{00000000-0005-0000-0000-0000D2720000}"/>
    <cellStyle name="40% - Accent3 9 2 3" xfId="4849" xr:uid="{00000000-0005-0000-0000-0000D3720000}"/>
    <cellStyle name="40% - Accent3 9 2 3 2" xfId="10499" xr:uid="{00000000-0005-0000-0000-0000D4720000}"/>
    <cellStyle name="40% - Accent3 9 2 3 2 2" xfId="21800" xr:uid="{00000000-0005-0000-0000-0000D5720000}"/>
    <cellStyle name="40% - Accent3 9 2 3 2 2 2" xfId="44402" xr:uid="{00000000-0005-0000-0000-0000D6720000}"/>
    <cellStyle name="40% - Accent3 9 2 3 2 3" xfId="33101" xr:uid="{00000000-0005-0000-0000-0000D7720000}"/>
    <cellStyle name="40% - Accent3 9 2 3 3" xfId="16150" xr:uid="{00000000-0005-0000-0000-0000D8720000}"/>
    <cellStyle name="40% - Accent3 9 2 3 3 2" xfId="38752" xr:uid="{00000000-0005-0000-0000-0000D9720000}"/>
    <cellStyle name="40% - Accent3 9 2 3 4" xfId="27451" xr:uid="{00000000-0005-0000-0000-0000DA720000}"/>
    <cellStyle name="40% - Accent3 9 2 4" xfId="6725" xr:uid="{00000000-0005-0000-0000-0000DB720000}"/>
    <cellStyle name="40% - Accent3 9 2 4 2" xfId="18026" xr:uid="{00000000-0005-0000-0000-0000DC720000}"/>
    <cellStyle name="40% - Accent3 9 2 4 2 2" xfId="40628" xr:uid="{00000000-0005-0000-0000-0000DD720000}"/>
    <cellStyle name="40% - Accent3 9 2 4 3" xfId="29327" xr:uid="{00000000-0005-0000-0000-0000DE720000}"/>
    <cellStyle name="40% - Accent3 9 2 5" xfId="12376" xr:uid="{00000000-0005-0000-0000-0000DF720000}"/>
    <cellStyle name="40% - Accent3 9 2 5 2" xfId="34978" xr:uid="{00000000-0005-0000-0000-0000E0720000}"/>
    <cellStyle name="40% - Accent3 9 2 6" xfId="23677" xr:uid="{00000000-0005-0000-0000-0000E1720000}"/>
    <cellStyle name="40% - Accent3 9 3" xfId="1884" xr:uid="{00000000-0005-0000-0000-0000E2720000}"/>
    <cellStyle name="40% - Accent3 9 3 2" xfId="3713" xr:uid="{00000000-0005-0000-0000-0000E3720000}"/>
    <cellStyle name="40% - Accent3 9 3 2 2" xfId="9423" xr:uid="{00000000-0005-0000-0000-0000E4720000}"/>
    <cellStyle name="40% - Accent3 9 3 2 2 2" xfId="20724" xr:uid="{00000000-0005-0000-0000-0000E5720000}"/>
    <cellStyle name="40% - Accent3 9 3 2 2 2 2" xfId="43326" xr:uid="{00000000-0005-0000-0000-0000E6720000}"/>
    <cellStyle name="40% - Accent3 9 3 2 2 3" xfId="32025" xr:uid="{00000000-0005-0000-0000-0000E7720000}"/>
    <cellStyle name="40% - Accent3 9 3 2 3" xfId="15074" xr:uid="{00000000-0005-0000-0000-0000E8720000}"/>
    <cellStyle name="40% - Accent3 9 3 2 3 2" xfId="37676" xr:uid="{00000000-0005-0000-0000-0000E9720000}"/>
    <cellStyle name="40% - Accent3 9 3 2 4" xfId="26375" xr:uid="{00000000-0005-0000-0000-0000EA720000}"/>
    <cellStyle name="40% - Accent3 9 3 3" xfId="5459" xr:uid="{00000000-0005-0000-0000-0000EB720000}"/>
    <cellStyle name="40% - Accent3 9 3 3 2" xfId="11109" xr:uid="{00000000-0005-0000-0000-0000EC720000}"/>
    <cellStyle name="40% - Accent3 9 3 3 2 2" xfId="22410" xr:uid="{00000000-0005-0000-0000-0000ED720000}"/>
    <cellStyle name="40% - Accent3 9 3 3 2 2 2" xfId="45012" xr:uid="{00000000-0005-0000-0000-0000EE720000}"/>
    <cellStyle name="40% - Accent3 9 3 3 2 3" xfId="33711" xr:uid="{00000000-0005-0000-0000-0000EF720000}"/>
    <cellStyle name="40% - Accent3 9 3 3 3" xfId="16760" xr:uid="{00000000-0005-0000-0000-0000F0720000}"/>
    <cellStyle name="40% - Accent3 9 3 3 3 2" xfId="39362" xr:uid="{00000000-0005-0000-0000-0000F1720000}"/>
    <cellStyle name="40% - Accent3 9 3 3 4" xfId="28061" xr:uid="{00000000-0005-0000-0000-0000F2720000}"/>
    <cellStyle name="40% - Accent3 9 3 4" xfId="7740" xr:uid="{00000000-0005-0000-0000-0000F3720000}"/>
    <cellStyle name="40% - Accent3 9 3 4 2" xfId="19041" xr:uid="{00000000-0005-0000-0000-0000F4720000}"/>
    <cellStyle name="40% - Accent3 9 3 4 2 2" xfId="41643" xr:uid="{00000000-0005-0000-0000-0000F5720000}"/>
    <cellStyle name="40% - Accent3 9 3 4 3" xfId="30342" xr:uid="{00000000-0005-0000-0000-0000F6720000}"/>
    <cellStyle name="40% - Accent3 9 3 5" xfId="13391" xr:uid="{00000000-0005-0000-0000-0000F7720000}"/>
    <cellStyle name="40% - Accent3 9 3 5 2" xfId="35993" xr:uid="{00000000-0005-0000-0000-0000F8720000}"/>
    <cellStyle name="40% - Accent3 9 3 6" xfId="24692" xr:uid="{00000000-0005-0000-0000-0000F9720000}"/>
    <cellStyle name="40% - Accent3 9 4" xfId="2440" xr:uid="{00000000-0005-0000-0000-0000FA720000}"/>
    <cellStyle name="40% - Accent3 9 4 2" xfId="8276" xr:uid="{00000000-0005-0000-0000-0000FB720000}"/>
    <cellStyle name="40% - Accent3 9 4 2 2" xfId="19577" xr:uid="{00000000-0005-0000-0000-0000FC720000}"/>
    <cellStyle name="40% - Accent3 9 4 2 2 2" xfId="42179" xr:uid="{00000000-0005-0000-0000-0000FD720000}"/>
    <cellStyle name="40% - Accent3 9 4 2 3" xfId="30878" xr:uid="{00000000-0005-0000-0000-0000FE720000}"/>
    <cellStyle name="40% - Accent3 9 4 3" xfId="13927" xr:uid="{00000000-0005-0000-0000-0000FF720000}"/>
    <cellStyle name="40% - Accent3 9 4 3 2" xfId="36529" xr:uid="{00000000-0005-0000-0000-000000730000}"/>
    <cellStyle name="40% - Accent3 9 4 4" xfId="25228" xr:uid="{00000000-0005-0000-0000-000001730000}"/>
    <cellStyle name="40% - Accent3 9 5" xfId="4225" xr:uid="{00000000-0005-0000-0000-000002730000}"/>
    <cellStyle name="40% - Accent3 9 5 2" xfId="9875" xr:uid="{00000000-0005-0000-0000-000003730000}"/>
    <cellStyle name="40% - Accent3 9 5 2 2" xfId="21176" xr:uid="{00000000-0005-0000-0000-000004730000}"/>
    <cellStyle name="40% - Accent3 9 5 2 2 2" xfId="43778" xr:uid="{00000000-0005-0000-0000-000005730000}"/>
    <cellStyle name="40% - Accent3 9 5 2 3" xfId="32477" xr:uid="{00000000-0005-0000-0000-000006730000}"/>
    <cellStyle name="40% - Accent3 9 5 3" xfId="15526" xr:uid="{00000000-0005-0000-0000-000007730000}"/>
    <cellStyle name="40% - Accent3 9 5 3 2" xfId="38128" xr:uid="{00000000-0005-0000-0000-000008730000}"/>
    <cellStyle name="40% - Accent3 9 5 4" xfId="26827" xr:uid="{00000000-0005-0000-0000-000009730000}"/>
    <cellStyle name="40% - Accent3 9 6" xfId="6704" xr:uid="{00000000-0005-0000-0000-00000A730000}"/>
    <cellStyle name="40% - Accent3 9 6 2" xfId="18005" xr:uid="{00000000-0005-0000-0000-00000B730000}"/>
    <cellStyle name="40% - Accent3 9 6 2 2" xfId="40607" xr:uid="{00000000-0005-0000-0000-00000C730000}"/>
    <cellStyle name="40% - Accent3 9 6 3" xfId="29306" xr:uid="{00000000-0005-0000-0000-00000D730000}"/>
    <cellStyle name="40% - Accent3 9 7" xfId="12355" xr:uid="{00000000-0005-0000-0000-00000E730000}"/>
    <cellStyle name="40% - Accent3 9 7 2" xfId="34957" xr:uid="{00000000-0005-0000-0000-00000F730000}"/>
    <cellStyle name="40% - Accent3 9 8" xfId="23656" xr:uid="{00000000-0005-0000-0000-000010730000}"/>
    <cellStyle name="40% - Accent4 10" xfId="768" xr:uid="{00000000-0005-0000-0000-000011730000}"/>
    <cellStyle name="40% - Accent4 10 2" xfId="1885" xr:uid="{00000000-0005-0000-0000-000012730000}"/>
    <cellStyle name="40% - Accent4 10 2 2" xfId="3415" xr:uid="{00000000-0005-0000-0000-000013730000}"/>
    <cellStyle name="40% - Accent4 10 2 2 2" xfId="6387" xr:uid="{00000000-0005-0000-0000-000014730000}"/>
    <cellStyle name="40% - Accent4 10 2 2 2 2" xfId="12037" xr:uid="{00000000-0005-0000-0000-000015730000}"/>
    <cellStyle name="40% - Accent4 10 2 2 2 2 2" xfId="23338" xr:uid="{00000000-0005-0000-0000-000016730000}"/>
    <cellStyle name="40% - Accent4 10 2 2 2 2 2 2" xfId="45940" xr:uid="{00000000-0005-0000-0000-000017730000}"/>
    <cellStyle name="40% - Accent4 10 2 2 2 2 3" xfId="34639" xr:uid="{00000000-0005-0000-0000-000018730000}"/>
    <cellStyle name="40% - Accent4 10 2 2 2 3" xfId="17688" xr:uid="{00000000-0005-0000-0000-000019730000}"/>
    <cellStyle name="40% - Accent4 10 2 2 2 3 2" xfId="40290" xr:uid="{00000000-0005-0000-0000-00001A730000}"/>
    <cellStyle name="40% - Accent4 10 2 2 2 4" xfId="28989" xr:uid="{00000000-0005-0000-0000-00001B730000}"/>
    <cellStyle name="40% - Accent4 10 2 2 3" xfId="9205" xr:uid="{00000000-0005-0000-0000-00001C730000}"/>
    <cellStyle name="40% - Accent4 10 2 2 3 2" xfId="20506" xr:uid="{00000000-0005-0000-0000-00001D730000}"/>
    <cellStyle name="40% - Accent4 10 2 2 3 2 2" xfId="43108" xr:uid="{00000000-0005-0000-0000-00001E730000}"/>
    <cellStyle name="40% - Accent4 10 2 2 3 3" xfId="31807" xr:uid="{00000000-0005-0000-0000-00001F730000}"/>
    <cellStyle name="40% - Accent4 10 2 2 4" xfId="14856" xr:uid="{00000000-0005-0000-0000-000020730000}"/>
    <cellStyle name="40% - Accent4 10 2 2 4 2" xfId="37458" xr:uid="{00000000-0005-0000-0000-000021730000}"/>
    <cellStyle name="40% - Accent4 10 2 2 5" xfId="26157" xr:uid="{00000000-0005-0000-0000-000022730000}"/>
    <cellStyle name="40% - Accent4 10 2 3" xfId="5153" xr:uid="{00000000-0005-0000-0000-000023730000}"/>
    <cellStyle name="40% - Accent4 10 2 3 2" xfId="10803" xr:uid="{00000000-0005-0000-0000-000024730000}"/>
    <cellStyle name="40% - Accent4 10 2 3 2 2" xfId="22104" xr:uid="{00000000-0005-0000-0000-000025730000}"/>
    <cellStyle name="40% - Accent4 10 2 3 2 2 2" xfId="44706" xr:uid="{00000000-0005-0000-0000-000026730000}"/>
    <cellStyle name="40% - Accent4 10 2 3 2 3" xfId="33405" xr:uid="{00000000-0005-0000-0000-000027730000}"/>
    <cellStyle name="40% - Accent4 10 2 3 3" xfId="16454" xr:uid="{00000000-0005-0000-0000-000028730000}"/>
    <cellStyle name="40% - Accent4 10 2 3 3 2" xfId="39056" xr:uid="{00000000-0005-0000-0000-000029730000}"/>
    <cellStyle name="40% - Accent4 10 2 3 4" xfId="27755" xr:uid="{00000000-0005-0000-0000-00002A730000}"/>
    <cellStyle name="40% - Accent4 10 2 4" xfId="7741" xr:uid="{00000000-0005-0000-0000-00002B730000}"/>
    <cellStyle name="40% - Accent4 10 2 4 2" xfId="19042" xr:uid="{00000000-0005-0000-0000-00002C730000}"/>
    <cellStyle name="40% - Accent4 10 2 4 2 2" xfId="41644" xr:uid="{00000000-0005-0000-0000-00002D730000}"/>
    <cellStyle name="40% - Accent4 10 2 4 3" xfId="30343" xr:uid="{00000000-0005-0000-0000-00002E730000}"/>
    <cellStyle name="40% - Accent4 10 2 5" xfId="13392" xr:uid="{00000000-0005-0000-0000-00002F730000}"/>
    <cellStyle name="40% - Accent4 10 2 5 2" xfId="35994" xr:uid="{00000000-0005-0000-0000-000030730000}"/>
    <cellStyle name="40% - Accent4 10 2 6" xfId="24693" xr:uid="{00000000-0005-0000-0000-000031730000}"/>
    <cellStyle name="40% - Accent4 10 3" xfId="2746" xr:uid="{00000000-0005-0000-0000-000032730000}"/>
    <cellStyle name="40% - Accent4 10 3 2" xfId="5763" xr:uid="{00000000-0005-0000-0000-000033730000}"/>
    <cellStyle name="40% - Accent4 10 3 2 2" xfId="11413" xr:uid="{00000000-0005-0000-0000-000034730000}"/>
    <cellStyle name="40% - Accent4 10 3 2 2 2" xfId="22714" xr:uid="{00000000-0005-0000-0000-000035730000}"/>
    <cellStyle name="40% - Accent4 10 3 2 2 2 2" xfId="45316" xr:uid="{00000000-0005-0000-0000-000036730000}"/>
    <cellStyle name="40% - Accent4 10 3 2 2 3" xfId="34015" xr:uid="{00000000-0005-0000-0000-000037730000}"/>
    <cellStyle name="40% - Accent4 10 3 2 3" xfId="17064" xr:uid="{00000000-0005-0000-0000-000038730000}"/>
    <cellStyle name="40% - Accent4 10 3 2 3 2" xfId="39666" xr:uid="{00000000-0005-0000-0000-000039730000}"/>
    <cellStyle name="40% - Accent4 10 3 2 4" xfId="28365" xr:uid="{00000000-0005-0000-0000-00003A730000}"/>
    <cellStyle name="40% - Accent4 10 3 3" xfId="8580" xr:uid="{00000000-0005-0000-0000-00003B730000}"/>
    <cellStyle name="40% - Accent4 10 3 3 2" xfId="19881" xr:uid="{00000000-0005-0000-0000-00003C730000}"/>
    <cellStyle name="40% - Accent4 10 3 3 2 2" xfId="42483" xr:uid="{00000000-0005-0000-0000-00003D730000}"/>
    <cellStyle name="40% - Accent4 10 3 3 3" xfId="31182" xr:uid="{00000000-0005-0000-0000-00003E730000}"/>
    <cellStyle name="40% - Accent4 10 3 4" xfId="14231" xr:uid="{00000000-0005-0000-0000-00003F730000}"/>
    <cellStyle name="40% - Accent4 10 3 4 2" xfId="36833" xr:uid="{00000000-0005-0000-0000-000040730000}"/>
    <cellStyle name="40% - Accent4 10 3 5" xfId="25532" xr:uid="{00000000-0005-0000-0000-000041730000}"/>
    <cellStyle name="40% - Accent4 10 4" xfId="4529" xr:uid="{00000000-0005-0000-0000-000042730000}"/>
    <cellStyle name="40% - Accent4 10 4 2" xfId="10179" xr:uid="{00000000-0005-0000-0000-000043730000}"/>
    <cellStyle name="40% - Accent4 10 4 2 2" xfId="21480" xr:uid="{00000000-0005-0000-0000-000044730000}"/>
    <cellStyle name="40% - Accent4 10 4 2 2 2" xfId="44082" xr:uid="{00000000-0005-0000-0000-000045730000}"/>
    <cellStyle name="40% - Accent4 10 4 2 3" xfId="32781" xr:uid="{00000000-0005-0000-0000-000046730000}"/>
    <cellStyle name="40% - Accent4 10 4 3" xfId="15830" xr:uid="{00000000-0005-0000-0000-000047730000}"/>
    <cellStyle name="40% - Accent4 10 4 3 2" xfId="38432" xr:uid="{00000000-0005-0000-0000-000048730000}"/>
    <cellStyle name="40% - Accent4 10 4 4" xfId="27131" xr:uid="{00000000-0005-0000-0000-000049730000}"/>
    <cellStyle name="40% - Accent4 10 5" xfId="6776" xr:uid="{00000000-0005-0000-0000-00004A730000}"/>
    <cellStyle name="40% - Accent4 10 5 2" xfId="18077" xr:uid="{00000000-0005-0000-0000-00004B730000}"/>
    <cellStyle name="40% - Accent4 10 5 2 2" xfId="40679" xr:uid="{00000000-0005-0000-0000-00004C730000}"/>
    <cellStyle name="40% - Accent4 10 5 3" xfId="29378" xr:uid="{00000000-0005-0000-0000-00004D730000}"/>
    <cellStyle name="40% - Accent4 10 6" xfId="12427" xr:uid="{00000000-0005-0000-0000-00004E730000}"/>
    <cellStyle name="40% - Accent4 10 6 2" xfId="35029" xr:uid="{00000000-0005-0000-0000-00004F730000}"/>
    <cellStyle name="40% - Accent4 10 7" xfId="23728" xr:uid="{00000000-0005-0000-0000-000050730000}"/>
    <cellStyle name="40% - Accent4 11" xfId="657" xr:uid="{00000000-0005-0000-0000-000051730000}"/>
    <cellStyle name="40% - Accent4 11 2" xfId="1886" xr:uid="{00000000-0005-0000-0000-000052730000}"/>
    <cellStyle name="40% - Accent4 11 2 2" xfId="3714" xr:uid="{00000000-0005-0000-0000-000053730000}"/>
    <cellStyle name="40% - Accent4 11 2 2 2" xfId="9424" xr:uid="{00000000-0005-0000-0000-000054730000}"/>
    <cellStyle name="40% - Accent4 11 2 2 2 2" xfId="20725" xr:uid="{00000000-0005-0000-0000-000055730000}"/>
    <cellStyle name="40% - Accent4 11 2 2 2 2 2" xfId="43327" xr:uid="{00000000-0005-0000-0000-000056730000}"/>
    <cellStyle name="40% - Accent4 11 2 2 2 3" xfId="32026" xr:uid="{00000000-0005-0000-0000-000057730000}"/>
    <cellStyle name="40% - Accent4 11 2 2 3" xfId="15075" xr:uid="{00000000-0005-0000-0000-000058730000}"/>
    <cellStyle name="40% - Accent4 11 2 2 3 2" xfId="37677" xr:uid="{00000000-0005-0000-0000-000059730000}"/>
    <cellStyle name="40% - Accent4 11 2 2 4" xfId="26376" xr:uid="{00000000-0005-0000-0000-00005A730000}"/>
    <cellStyle name="40% - Accent4 11 2 3" xfId="7742" xr:uid="{00000000-0005-0000-0000-00005B730000}"/>
    <cellStyle name="40% - Accent4 11 2 3 2" xfId="19043" xr:uid="{00000000-0005-0000-0000-00005C730000}"/>
    <cellStyle name="40% - Accent4 11 2 3 2 2" xfId="41645" xr:uid="{00000000-0005-0000-0000-00005D730000}"/>
    <cellStyle name="40% - Accent4 11 2 3 3" xfId="30344" xr:uid="{00000000-0005-0000-0000-00005E730000}"/>
    <cellStyle name="40% - Accent4 11 2 4" xfId="13393" xr:uid="{00000000-0005-0000-0000-00005F730000}"/>
    <cellStyle name="40% - Accent4 11 2 4 2" xfId="35995" xr:uid="{00000000-0005-0000-0000-000060730000}"/>
    <cellStyle name="40% - Accent4 11 2 5" xfId="24694" xr:uid="{00000000-0005-0000-0000-000061730000}"/>
    <cellStyle name="40% - Accent4 11 3" xfId="2124" xr:uid="{00000000-0005-0000-0000-000062730000}"/>
    <cellStyle name="40% - Accent4 11 3 2" xfId="7968" xr:uid="{00000000-0005-0000-0000-000063730000}"/>
    <cellStyle name="40% - Accent4 11 3 2 2" xfId="19269" xr:uid="{00000000-0005-0000-0000-000064730000}"/>
    <cellStyle name="40% - Accent4 11 3 2 2 2" xfId="41871" xr:uid="{00000000-0005-0000-0000-000065730000}"/>
    <cellStyle name="40% - Accent4 11 3 2 3" xfId="30570" xr:uid="{00000000-0005-0000-0000-000066730000}"/>
    <cellStyle name="40% - Accent4 11 3 3" xfId="13619" xr:uid="{00000000-0005-0000-0000-000067730000}"/>
    <cellStyle name="40% - Accent4 11 3 3 2" xfId="36221" xr:uid="{00000000-0005-0000-0000-000068730000}"/>
    <cellStyle name="40% - Accent4 11 3 4" xfId="24920" xr:uid="{00000000-0005-0000-0000-000069730000}"/>
    <cellStyle name="40% - Accent4 11 4" xfId="3920" xr:uid="{00000000-0005-0000-0000-00006A730000}"/>
    <cellStyle name="40% - Accent4 11 4 2" xfId="9570" xr:uid="{00000000-0005-0000-0000-00006B730000}"/>
    <cellStyle name="40% - Accent4 11 4 2 2" xfId="20871" xr:uid="{00000000-0005-0000-0000-00006C730000}"/>
    <cellStyle name="40% - Accent4 11 4 2 2 2" xfId="43473" xr:uid="{00000000-0005-0000-0000-00006D730000}"/>
    <cellStyle name="40% - Accent4 11 4 2 3" xfId="32172" xr:uid="{00000000-0005-0000-0000-00006E730000}"/>
    <cellStyle name="40% - Accent4 11 4 3" xfId="15221" xr:uid="{00000000-0005-0000-0000-00006F730000}"/>
    <cellStyle name="40% - Accent4 11 4 3 2" xfId="37823" xr:uid="{00000000-0005-0000-0000-000070730000}"/>
    <cellStyle name="40% - Accent4 11 4 4" xfId="26522" xr:uid="{00000000-0005-0000-0000-000071730000}"/>
    <cellStyle name="40% - Accent4 11 5" xfId="6716" xr:uid="{00000000-0005-0000-0000-000072730000}"/>
    <cellStyle name="40% - Accent4 11 5 2" xfId="18017" xr:uid="{00000000-0005-0000-0000-000073730000}"/>
    <cellStyle name="40% - Accent4 11 5 2 2" xfId="40619" xr:uid="{00000000-0005-0000-0000-000074730000}"/>
    <cellStyle name="40% - Accent4 11 5 3" xfId="29318" xr:uid="{00000000-0005-0000-0000-000075730000}"/>
    <cellStyle name="40% - Accent4 11 6" xfId="12367" xr:uid="{00000000-0005-0000-0000-000076730000}"/>
    <cellStyle name="40% - Accent4 11 6 2" xfId="34969" xr:uid="{00000000-0005-0000-0000-000077730000}"/>
    <cellStyle name="40% - Accent4 11 7" xfId="23668" xr:uid="{00000000-0005-0000-0000-000078730000}"/>
    <cellStyle name="40% - Accent4 12" xfId="666" xr:uid="{00000000-0005-0000-0000-000079730000}"/>
    <cellStyle name="40% - Accent4 12 2" xfId="3899" xr:uid="{00000000-0005-0000-0000-00007A730000}"/>
    <cellStyle name="40% - Accent4 12 2 2" xfId="9561" xr:uid="{00000000-0005-0000-0000-00007B730000}"/>
    <cellStyle name="40% - Accent4 12 2 2 2" xfId="20862" xr:uid="{00000000-0005-0000-0000-00007C730000}"/>
    <cellStyle name="40% - Accent4 12 2 2 2 2" xfId="43464" xr:uid="{00000000-0005-0000-0000-00007D730000}"/>
    <cellStyle name="40% - Accent4 12 2 2 3" xfId="32163" xr:uid="{00000000-0005-0000-0000-00007E730000}"/>
    <cellStyle name="40% - Accent4 12 2 3" xfId="15212" xr:uid="{00000000-0005-0000-0000-00007F730000}"/>
    <cellStyle name="40% - Accent4 12 2 3 2" xfId="37814" xr:uid="{00000000-0005-0000-0000-000080730000}"/>
    <cellStyle name="40% - Accent4 12 2 4" xfId="26513" xr:uid="{00000000-0005-0000-0000-000081730000}"/>
    <cellStyle name="40% - Accent4 13" xfId="3528" xr:uid="{00000000-0005-0000-0000-000082730000}"/>
    <cellStyle name="40% - Accent4 14" xfId="55" xr:uid="{00000000-0005-0000-0000-000083730000}"/>
    <cellStyle name="40% - Accent4 2" xfId="93" xr:uid="{00000000-0005-0000-0000-000084730000}"/>
    <cellStyle name="40% - Accent4 2 2" xfId="316" xr:uid="{00000000-0005-0000-0000-000085730000}"/>
    <cellStyle name="40% - Accent4 2 2 10" xfId="23422" xr:uid="{00000000-0005-0000-0000-000086730000}"/>
    <cellStyle name="40% - Accent4 2 2 2" xfId="572" xr:uid="{00000000-0005-0000-0000-000087730000}"/>
    <cellStyle name="40% - Accent4 2 2 2 2" xfId="1282" xr:uid="{00000000-0005-0000-0000-000088730000}"/>
    <cellStyle name="40% - Accent4 2 2 2 2 2" xfId="1889" xr:uid="{00000000-0005-0000-0000-000089730000}"/>
    <cellStyle name="40% - Accent4 2 2 2 2 2 2" xfId="3351" xr:uid="{00000000-0005-0000-0000-00008A730000}"/>
    <cellStyle name="40% - Accent4 2 2 2 2 2 2 2" xfId="6323" xr:uid="{00000000-0005-0000-0000-00008B730000}"/>
    <cellStyle name="40% - Accent4 2 2 2 2 2 2 2 2" xfId="11973" xr:uid="{00000000-0005-0000-0000-00008C730000}"/>
    <cellStyle name="40% - Accent4 2 2 2 2 2 2 2 2 2" xfId="23274" xr:uid="{00000000-0005-0000-0000-00008D730000}"/>
    <cellStyle name="40% - Accent4 2 2 2 2 2 2 2 2 2 2" xfId="45876" xr:uid="{00000000-0005-0000-0000-00008E730000}"/>
    <cellStyle name="40% - Accent4 2 2 2 2 2 2 2 2 3" xfId="34575" xr:uid="{00000000-0005-0000-0000-00008F730000}"/>
    <cellStyle name="40% - Accent4 2 2 2 2 2 2 2 3" xfId="17624" xr:uid="{00000000-0005-0000-0000-000090730000}"/>
    <cellStyle name="40% - Accent4 2 2 2 2 2 2 2 3 2" xfId="40226" xr:uid="{00000000-0005-0000-0000-000091730000}"/>
    <cellStyle name="40% - Accent4 2 2 2 2 2 2 2 4" xfId="28925" xr:uid="{00000000-0005-0000-0000-000092730000}"/>
    <cellStyle name="40% - Accent4 2 2 2 2 2 2 3" xfId="9141" xr:uid="{00000000-0005-0000-0000-000093730000}"/>
    <cellStyle name="40% - Accent4 2 2 2 2 2 2 3 2" xfId="20442" xr:uid="{00000000-0005-0000-0000-000094730000}"/>
    <cellStyle name="40% - Accent4 2 2 2 2 2 2 3 2 2" xfId="43044" xr:uid="{00000000-0005-0000-0000-000095730000}"/>
    <cellStyle name="40% - Accent4 2 2 2 2 2 2 3 3" xfId="31743" xr:uid="{00000000-0005-0000-0000-000096730000}"/>
    <cellStyle name="40% - Accent4 2 2 2 2 2 2 4" xfId="14792" xr:uid="{00000000-0005-0000-0000-000097730000}"/>
    <cellStyle name="40% - Accent4 2 2 2 2 2 2 4 2" xfId="37394" xr:uid="{00000000-0005-0000-0000-000098730000}"/>
    <cellStyle name="40% - Accent4 2 2 2 2 2 2 5" xfId="26093" xr:uid="{00000000-0005-0000-0000-000099730000}"/>
    <cellStyle name="40% - Accent4 2 2 2 2 2 3" xfId="5089" xr:uid="{00000000-0005-0000-0000-00009A730000}"/>
    <cellStyle name="40% - Accent4 2 2 2 2 2 3 2" xfId="10739" xr:uid="{00000000-0005-0000-0000-00009B730000}"/>
    <cellStyle name="40% - Accent4 2 2 2 2 2 3 2 2" xfId="22040" xr:uid="{00000000-0005-0000-0000-00009C730000}"/>
    <cellStyle name="40% - Accent4 2 2 2 2 2 3 2 2 2" xfId="44642" xr:uid="{00000000-0005-0000-0000-00009D730000}"/>
    <cellStyle name="40% - Accent4 2 2 2 2 2 3 2 3" xfId="33341" xr:uid="{00000000-0005-0000-0000-00009E730000}"/>
    <cellStyle name="40% - Accent4 2 2 2 2 2 3 3" xfId="16390" xr:uid="{00000000-0005-0000-0000-00009F730000}"/>
    <cellStyle name="40% - Accent4 2 2 2 2 2 3 3 2" xfId="38992" xr:uid="{00000000-0005-0000-0000-0000A0730000}"/>
    <cellStyle name="40% - Accent4 2 2 2 2 2 3 4" xfId="27691" xr:uid="{00000000-0005-0000-0000-0000A1730000}"/>
    <cellStyle name="40% - Accent4 2 2 2 2 2 4" xfId="7745" xr:uid="{00000000-0005-0000-0000-0000A2730000}"/>
    <cellStyle name="40% - Accent4 2 2 2 2 2 4 2" xfId="19046" xr:uid="{00000000-0005-0000-0000-0000A3730000}"/>
    <cellStyle name="40% - Accent4 2 2 2 2 2 4 2 2" xfId="41648" xr:uid="{00000000-0005-0000-0000-0000A4730000}"/>
    <cellStyle name="40% - Accent4 2 2 2 2 2 4 3" xfId="30347" xr:uid="{00000000-0005-0000-0000-0000A5730000}"/>
    <cellStyle name="40% - Accent4 2 2 2 2 2 5" xfId="13396" xr:uid="{00000000-0005-0000-0000-0000A6730000}"/>
    <cellStyle name="40% - Accent4 2 2 2 2 2 5 2" xfId="35998" xr:uid="{00000000-0005-0000-0000-0000A7730000}"/>
    <cellStyle name="40% - Accent4 2 2 2 2 2 6" xfId="24697" xr:uid="{00000000-0005-0000-0000-0000A8730000}"/>
    <cellStyle name="40% - Accent4 2 2 2 2 3" xfId="2680" xr:uid="{00000000-0005-0000-0000-0000A9730000}"/>
    <cellStyle name="40% - Accent4 2 2 2 2 3 2" xfId="5699" xr:uid="{00000000-0005-0000-0000-0000AA730000}"/>
    <cellStyle name="40% - Accent4 2 2 2 2 3 2 2" xfId="11349" xr:uid="{00000000-0005-0000-0000-0000AB730000}"/>
    <cellStyle name="40% - Accent4 2 2 2 2 3 2 2 2" xfId="22650" xr:uid="{00000000-0005-0000-0000-0000AC730000}"/>
    <cellStyle name="40% - Accent4 2 2 2 2 3 2 2 2 2" xfId="45252" xr:uid="{00000000-0005-0000-0000-0000AD730000}"/>
    <cellStyle name="40% - Accent4 2 2 2 2 3 2 2 3" xfId="33951" xr:uid="{00000000-0005-0000-0000-0000AE730000}"/>
    <cellStyle name="40% - Accent4 2 2 2 2 3 2 3" xfId="17000" xr:uid="{00000000-0005-0000-0000-0000AF730000}"/>
    <cellStyle name="40% - Accent4 2 2 2 2 3 2 3 2" xfId="39602" xr:uid="{00000000-0005-0000-0000-0000B0730000}"/>
    <cellStyle name="40% - Accent4 2 2 2 2 3 2 4" xfId="28301" xr:uid="{00000000-0005-0000-0000-0000B1730000}"/>
    <cellStyle name="40% - Accent4 2 2 2 2 3 3" xfId="8516" xr:uid="{00000000-0005-0000-0000-0000B2730000}"/>
    <cellStyle name="40% - Accent4 2 2 2 2 3 3 2" xfId="19817" xr:uid="{00000000-0005-0000-0000-0000B3730000}"/>
    <cellStyle name="40% - Accent4 2 2 2 2 3 3 2 2" xfId="42419" xr:uid="{00000000-0005-0000-0000-0000B4730000}"/>
    <cellStyle name="40% - Accent4 2 2 2 2 3 3 3" xfId="31118" xr:uid="{00000000-0005-0000-0000-0000B5730000}"/>
    <cellStyle name="40% - Accent4 2 2 2 2 3 4" xfId="14167" xr:uid="{00000000-0005-0000-0000-0000B6730000}"/>
    <cellStyle name="40% - Accent4 2 2 2 2 3 4 2" xfId="36769" xr:uid="{00000000-0005-0000-0000-0000B7730000}"/>
    <cellStyle name="40% - Accent4 2 2 2 2 3 5" xfId="25468" xr:uid="{00000000-0005-0000-0000-0000B8730000}"/>
    <cellStyle name="40% - Accent4 2 2 2 2 4" xfId="4465" xr:uid="{00000000-0005-0000-0000-0000B9730000}"/>
    <cellStyle name="40% - Accent4 2 2 2 2 4 2" xfId="10115" xr:uid="{00000000-0005-0000-0000-0000BA730000}"/>
    <cellStyle name="40% - Accent4 2 2 2 2 4 2 2" xfId="21416" xr:uid="{00000000-0005-0000-0000-0000BB730000}"/>
    <cellStyle name="40% - Accent4 2 2 2 2 4 2 2 2" xfId="44018" xr:uid="{00000000-0005-0000-0000-0000BC730000}"/>
    <cellStyle name="40% - Accent4 2 2 2 2 4 2 3" xfId="32717" xr:uid="{00000000-0005-0000-0000-0000BD730000}"/>
    <cellStyle name="40% - Accent4 2 2 2 2 4 3" xfId="15766" xr:uid="{00000000-0005-0000-0000-0000BE730000}"/>
    <cellStyle name="40% - Accent4 2 2 2 2 4 3 2" xfId="38368" xr:uid="{00000000-0005-0000-0000-0000BF730000}"/>
    <cellStyle name="40% - Accent4 2 2 2 2 4 4" xfId="27067" xr:uid="{00000000-0005-0000-0000-0000C0730000}"/>
    <cellStyle name="40% - Accent4 2 2 2 2 5" xfId="7261" xr:uid="{00000000-0005-0000-0000-0000C1730000}"/>
    <cellStyle name="40% - Accent4 2 2 2 2 5 2" xfId="18562" xr:uid="{00000000-0005-0000-0000-0000C2730000}"/>
    <cellStyle name="40% - Accent4 2 2 2 2 5 2 2" xfId="41164" xr:uid="{00000000-0005-0000-0000-0000C3730000}"/>
    <cellStyle name="40% - Accent4 2 2 2 2 5 3" xfId="29863" xr:uid="{00000000-0005-0000-0000-0000C4730000}"/>
    <cellStyle name="40% - Accent4 2 2 2 2 6" xfId="12912" xr:uid="{00000000-0005-0000-0000-0000C5730000}"/>
    <cellStyle name="40% - Accent4 2 2 2 2 6 2" xfId="35514" xr:uid="{00000000-0005-0000-0000-0000C6730000}"/>
    <cellStyle name="40% - Accent4 2 2 2 2 7" xfId="24213" xr:uid="{00000000-0005-0000-0000-0000C7730000}"/>
    <cellStyle name="40% - Accent4 2 2 2 3" xfId="980" xr:uid="{00000000-0005-0000-0000-0000C8730000}"/>
    <cellStyle name="40% - Accent4 2 2 2 3 2" xfId="3043" xr:uid="{00000000-0005-0000-0000-0000C9730000}"/>
    <cellStyle name="40% - Accent4 2 2 2 3 2 2" xfId="6015" xr:uid="{00000000-0005-0000-0000-0000CA730000}"/>
    <cellStyle name="40% - Accent4 2 2 2 3 2 2 2" xfId="11665" xr:uid="{00000000-0005-0000-0000-0000CB730000}"/>
    <cellStyle name="40% - Accent4 2 2 2 3 2 2 2 2" xfId="22966" xr:uid="{00000000-0005-0000-0000-0000CC730000}"/>
    <cellStyle name="40% - Accent4 2 2 2 3 2 2 2 2 2" xfId="45568" xr:uid="{00000000-0005-0000-0000-0000CD730000}"/>
    <cellStyle name="40% - Accent4 2 2 2 3 2 2 2 3" xfId="34267" xr:uid="{00000000-0005-0000-0000-0000CE730000}"/>
    <cellStyle name="40% - Accent4 2 2 2 3 2 2 3" xfId="17316" xr:uid="{00000000-0005-0000-0000-0000CF730000}"/>
    <cellStyle name="40% - Accent4 2 2 2 3 2 2 3 2" xfId="39918" xr:uid="{00000000-0005-0000-0000-0000D0730000}"/>
    <cellStyle name="40% - Accent4 2 2 2 3 2 2 4" xfId="28617" xr:uid="{00000000-0005-0000-0000-0000D1730000}"/>
    <cellStyle name="40% - Accent4 2 2 2 3 2 3" xfId="8833" xr:uid="{00000000-0005-0000-0000-0000D2730000}"/>
    <cellStyle name="40% - Accent4 2 2 2 3 2 3 2" xfId="20134" xr:uid="{00000000-0005-0000-0000-0000D3730000}"/>
    <cellStyle name="40% - Accent4 2 2 2 3 2 3 2 2" xfId="42736" xr:uid="{00000000-0005-0000-0000-0000D4730000}"/>
    <cellStyle name="40% - Accent4 2 2 2 3 2 3 3" xfId="31435" xr:uid="{00000000-0005-0000-0000-0000D5730000}"/>
    <cellStyle name="40% - Accent4 2 2 2 3 2 4" xfId="14484" xr:uid="{00000000-0005-0000-0000-0000D6730000}"/>
    <cellStyle name="40% - Accent4 2 2 2 3 2 4 2" xfId="37086" xr:uid="{00000000-0005-0000-0000-0000D7730000}"/>
    <cellStyle name="40% - Accent4 2 2 2 3 2 5" xfId="25785" xr:uid="{00000000-0005-0000-0000-0000D8730000}"/>
    <cellStyle name="40% - Accent4 2 2 2 3 3" xfId="4781" xr:uid="{00000000-0005-0000-0000-0000D9730000}"/>
    <cellStyle name="40% - Accent4 2 2 2 3 3 2" xfId="10431" xr:uid="{00000000-0005-0000-0000-0000DA730000}"/>
    <cellStyle name="40% - Accent4 2 2 2 3 3 2 2" xfId="21732" xr:uid="{00000000-0005-0000-0000-0000DB730000}"/>
    <cellStyle name="40% - Accent4 2 2 2 3 3 2 2 2" xfId="44334" xr:uid="{00000000-0005-0000-0000-0000DC730000}"/>
    <cellStyle name="40% - Accent4 2 2 2 3 3 2 3" xfId="33033" xr:uid="{00000000-0005-0000-0000-0000DD730000}"/>
    <cellStyle name="40% - Accent4 2 2 2 3 3 3" xfId="16082" xr:uid="{00000000-0005-0000-0000-0000DE730000}"/>
    <cellStyle name="40% - Accent4 2 2 2 3 3 3 2" xfId="38684" xr:uid="{00000000-0005-0000-0000-0000DF730000}"/>
    <cellStyle name="40% - Accent4 2 2 2 3 3 4" xfId="27383" xr:uid="{00000000-0005-0000-0000-0000E0730000}"/>
    <cellStyle name="40% - Accent4 2 2 2 3 4" xfId="6968" xr:uid="{00000000-0005-0000-0000-0000E1730000}"/>
    <cellStyle name="40% - Accent4 2 2 2 3 4 2" xfId="18269" xr:uid="{00000000-0005-0000-0000-0000E2730000}"/>
    <cellStyle name="40% - Accent4 2 2 2 3 4 2 2" xfId="40871" xr:uid="{00000000-0005-0000-0000-0000E3730000}"/>
    <cellStyle name="40% - Accent4 2 2 2 3 4 3" xfId="29570" xr:uid="{00000000-0005-0000-0000-0000E4730000}"/>
    <cellStyle name="40% - Accent4 2 2 2 3 5" xfId="12619" xr:uid="{00000000-0005-0000-0000-0000E5730000}"/>
    <cellStyle name="40% - Accent4 2 2 2 3 5 2" xfId="35221" xr:uid="{00000000-0005-0000-0000-0000E6730000}"/>
    <cellStyle name="40% - Accent4 2 2 2 3 6" xfId="23920" xr:uid="{00000000-0005-0000-0000-0000E7730000}"/>
    <cellStyle name="40% - Accent4 2 2 2 4" xfId="1888" xr:uid="{00000000-0005-0000-0000-0000E8730000}"/>
    <cellStyle name="40% - Accent4 2 2 2 4 2" xfId="3716" xr:uid="{00000000-0005-0000-0000-0000E9730000}"/>
    <cellStyle name="40% - Accent4 2 2 2 4 2 2" xfId="9426" xr:uid="{00000000-0005-0000-0000-0000EA730000}"/>
    <cellStyle name="40% - Accent4 2 2 2 4 2 2 2" xfId="20727" xr:uid="{00000000-0005-0000-0000-0000EB730000}"/>
    <cellStyle name="40% - Accent4 2 2 2 4 2 2 2 2" xfId="43329" xr:uid="{00000000-0005-0000-0000-0000EC730000}"/>
    <cellStyle name="40% - Accent4 2 2 2 4 2 2 3" xfId="32028" xr:uid="{00000000-0005-0000-0000-0000ED730000}"/>
    <cellStyle name="40% - Accent4 2 2 2 4 2 3" xfId="15077" xr:uid="{00000000-0005-0000-0000-0000EE730000}"/>
    <cellStyle name="40% - Accent4 2 2 2 4 2 3 2" xfId="37679" xr:uid="{00000000-0005-0000-0000-0000EF730000}"/>
    <cellStyle name="40% - Accent4 2 2 2 4 2 4" xfId="26378" xr:uid="{00000000-0005-0000-0000-0000F0730000}"/>
    <cellStyle name="40% - Accent4 2 2 2 4 3" xfId="5391" xr:uid="{00000000-0005-0000-0000-0000F1730000}"/>
    <cellStyle name="40% - Accent4 2 2 2 4 3 2" xfId="11041" xr:uid="{00000000-0005-0000-0000-0000F2730000}"/>
    <cellStyle name="40% - Accent4 2 2 2 4 3 2 2" xfId="22342" xr:uid="{00000000-0005-0000-0000-0000F3730000}"/>
    <cellStyle name="40% - Accent4 2 2 2 4 3 2 2 2" xfId="44944" xr:uid="{00000000-0005-0000-0000-0000F4730000}"/>
    <cellStyle name="40% - Accent4 2 2 2 4 3 2 3" xfId="33643" xr:uid="{00000000-0005-0000-0000-0000F5730000}"/>
    <cellStyle name="40% - Accent4 2 2 2 4 3 3" xfId="16692" xr:uid="{00000000-0005-0000-0000-0000F6730000}"/>
    <cellStyle name="40% - Accent4 2 2 2 4 3 3 2" xfId="39294" xr:uid="{00000000-0005-0000-0000-0000F7730000}"/>
    <cellStyle name="40% - Accent4 2 2 2 4 3 4" xfId="27993" xr:uid="{00000000-0005-0000-0000-0000F8730000}"/>
    <cellStyle name="40% - Accent4 2 2 2 4 4" xfId="7744" xr:uid="{00000000-0005-0000-0000-0000F9730000}"/>
    <cellStyle name="40% - Accent4 2 2 2 4 4 2" xfId="19045" xr:uid="{00000000-0005-0000-0000-0000FA730000}"/>
    <cellStyle name="40% - Accent4 2 2 2 4 4 2 2" xfId="41647" xr:uid="{00000000-0005-0000-0000-0000FB730000}"/>
    <cellStyle name="40% - Accent4 2 2 2 4 4 3" xfId="30346" xr:uid="{00000000-0005-0000-0000-0000FC730000}"/>
    <cellStyle name="40% - Accent4 2 2 2 4 5" xfId="13395" xr:uid="{00000000-0005-0000-0000-0000FD730000}"/>
    <cellStyle name="40% - Accent4 2 2 2 4 5 2" xfId="35997" xr:uid="{00000000-0005-0000-0000-0000FE730000}"/>
    <cellStyle name="40% - Accent4 2 2 2 4 6" xfId="24696" xr:uid="{00000000-0005-0000-0000-0000FF730000}"/>
    <cellStyle name="40% - Accent4 2 2 2 5" xfId="2372" xr:uid="{00000000-0005-0000-0000-000000740000}"/>
    <cellStyle name="40% - Accent4 2 2 2 5 2" xfId="8208" xr:uid="{00000000-0005-0000-0000-000001740000}"/>
    <cellStyle name="40% - Accent4 2 2 2 5 2 2" xfId="19509" xr:uid="{00000000-0005-0000-0000-000002740000}"/>
    <cellStyle name="40% - Accent4 2 2 2 5 2 2 2" xfId="42111" xr:uid="{00000000-0005-0000-0000-000003740000}"/>
    <cellStyle name="40% - Accent4 2 2 2 5 2 3" xfId="30810" xr:uid="{00000000-0005-0000-0000-000004740000}"/>
    <cellStyle name="40% - Accent4 2 2 2 5 3" xfId="13859" xr:uid="{00000000-0005-0000-0000-000005740000}"/>
    <cellStyle name="40% - Accent4 2 2 2 5 3 2" xfId="36461" xr:uid="{00000000-0005-0000-0000-000006740000}"/>
    <cellStyle name="40% - Accent4 2 2 2 5 4" xfId="25160" xr:uid="{00000000-0005-0000-0000-000007740000}"/>
    <cellStyle name="40% - Accent4 2 2 2 6" xfId="4157" xr:uid="{00000000-0005-0000-0000-000008740000}"/>
    <cellStyle name="40% - Accent4 2 2 2 6 2" xfId="9807" xr:uid="{00000000-0005-0000-0000-000009740000}"/>
    <cellStyle name="40% - Accent4 2 2 2 6 2 2" xfId="21108" xr:uid="{00000000-0005-0000-0000-00000A740000}"/>
    <cellStyle name="40% - Accent4 2 2 2 6 2 2 2" xfId="43710" xr:uid="{00000000-0005-0000-0000-00000B740000}"/>
    <cellStyle name="40% - Accent4 2 2 2 6 2 3" xfId="32409" xr:uid="{00000000-0005-0000-0000-00000C740000}"/>
    <cellStyle name="40% - Accent4 2 2 2 6 3" xfId="15458" xr:uid="{00000000-0005-0000-0000-00000D740000}"/>
    <cellStyle name="40% - Accent4 2 2 2 6 3 2" xfId="38060" xr:uid="{00000000-0005-0000-0000-00000E740000}"/>
    <cellStyle name="40% - Accent4 2 2 2 6 4" xfId="26759" xr:uid="{00000000-0005-0000-0000-00000F740000}"/>
    <cellStyle name="40% - Accent4 2 2 2 7" xfId="6637" xr:uid="{00000000-0005-0000-0000-000010740000}"/>
    <cellStyle name="40% - Accent4 2 2 2 7 2" xfId="17938" xr:uid="{00000000-0005-0000-0000-000011740000}"/>
    <cellStyle name="40% - Accent4 2 2 2 7 2 2" xfId="40540" xr:uid="{00000000-0005-0000-0000-000012740000}"/>
    <cellStyle name="40% - Accent4 2 2 2 7 3" xfId="29239" xr:uid="{00000000-0005-0000-0000-000013740000}"/>
    <cellStyle name="40% - Accent4 2 2 2 8" xfId="12288" xr:uid="{00000000-0005-0000-0000-000014740000}"/>
    <cellStyle name="40% - Accent4 2 2 2 8 2" xfId="34890" xr:uid="{00000000-0005-0000-0000-000015740000}"/>
    <cellStyle name="40% - Accent4 2 2 2 9" xfId="23589" xr:uid="{00000000-0005-0000-0000-000016740000}"/>
    <cellStyle name="40% - Accent4 2 2 3" xfId="1144" xr:uid="{00000000-0005-0000-0000-000017740000}"/>
    <cellStyle name="40% - Accent4 2 2 3 2" xfId="1890" xr:uid="{00000000-0005-0000-0000-000018740000}"/>
    <cellStyle name="40% - Accent4 2 2 3 2 2" xfId="3212" xr:uid="{00000000-0005-0000-0000-000019740000}"/>
    <cellStyle name="40% - Accent4 2 2 3 2 2 2" xfId="6184" xr:uid="{00000000-0005-0000-0000-00001A740000}"/>
    <cellStyle name="40% - Accent4 2 2 3 2 2 2 2" xfId="11834" xr:uid="{00000000-0005-0000-0000-00001B740000}"/>
    <cellStyle name="40% - Accent4 2 2 3 2 2 2 2 2" xfId="23135" xr:uid="{00000000-0005-0000-0000-00001C740000}"/>
    <cellStyle name="40% - Accent4 2 2 3 2 2 2 2 2 2" xfId="45737" xr:uid="{00000000-0005-0000-0000-00001D740000}"/>
    <cellStyle name="40% - Accent4 2 2 3 2 2 2 2 3" xfId="34436" xr:uid="{00000000-0005-0000-0000-00001E740000}"/>
    <cellStyle name="40% - Accent4 2 2 3 2 2 2 3" xfId="17485" xr:uid="{00000000-0005-0000-0000-00001F740000}"/>
    <cellStyle name="40% - Accent4 2 2 3 2 2 2 3 2" xfId="40087" xr:uid="{00000000-0005-0000-0000-000020740000}"/>
    <cellStyle name="40% - Accent4 2 2 3 2 2 2 4" xfId="28786" xr:uid="{00000000-0005-0000-0000-000021740000}"/>
    <cellStyle name="40% - Accent4 2 2 3 2 2 3" xfId="9002" xr:uid="{00000000-0005-0000-0000-000022740000}"/>
    <cellStyle name="40% - Accent4 2 2 3 2 2 3 2" xfId="20303" xr:uid="{00000000-0005-0000-0000-000023740000}"/>
    <cellStyle name="40% - Accent4 2 2 3 2 2 3 2 2" xfId="42905" xr:uid="{00000000-0005-0000-0000-000024740000}"/>
    <cellStyle name="40% - Accent4 2 2 3 2 2 3 3" xfId="31604" xr:uid="{00000000-0005-0000-0000-000025740000}"/>
    <cellStyle name="40% - Accent4 2 2 3 2 2 4" xfId="14653" xr:uid="{00000000-0005-0000-0000-000026740000}"/>
    <cellStyle name="40% - Accent4 2 2 3 2 2 4 2" xfId="37255" xr:uid="{00000000-0005-0000-0000-000027740000}"/>
    <cellStyle name="40% - Accent4 2 2 3 2 2 5" xfId="25954" xr:uid="{00000000-0005-0000-0000-000028740000}"/>
    <cellStyle name="40% - Accent4 2 2 3 2 3" xfId="4950" xr:uid="{00000000-0005-0000-0000-000029740000}"/>
    <cellStyle name="40% - Accent4 2 2 3 2 3 2" xfId="10600" xr:uid="{00000000-0005-0000-0000-00002A740000}"/>
    <cellStyle name="40% - Accent4 2 2 3 2 3 2 2" xfId="21901" xr:uid="{00000000-0005-0000-0000-00002B740000}"/>
    <cellStyle name="40% - Accent4 2 2 3 2 3 2 2 2" xfId="44503" xr:uid="{00000000-0005-0000-0000-00002C740000}"/>
    <cellStyle name="40% - Accent4 2 2 3 2 3 2 3" xfId="33202" xr:uid="{00000000-0005-0000-0000-00002D740000}"/>
    <cellStyle name="40% - Accent4 2 2 3 2 3 3" xfId="16251" xr:uid="{00000000-0005-0000-0000-00002E740000}"/>
    <cellStyle name="40% - Accent4 2 2 3 2 3 3 2" xfId="38853" xr:uid="{00000000-0005-0000-0000-00002F740000}"/>
    <cellStyle name="40% - Accent4 2 2 3 2 3 4" xfId="27552" xr:uid="{00000000-0005-0000-0000-000030740000}"/>
    <cellStyle name="40% - Accent4 2 2 3 2 4" xfId="7746" xr:uid="{00000000-0005-0000-0000-000031740000}"/>
    <cellStyle name="40% - Accent4 2 2 3 2 4 2" xfId="19047" xr:uid="{00000000-0005-0000-0000-000032740000}"/>
    <cellStyle name="40% - Accent4 2 2 3 2 4 2 2" xfId="41649" xr:uid="{00000000-0005-0000-0000-000033740000}"/>
    <cellStyle name="40% - Accent4 2 2 3 2 4 3" xfId="30348" xr:uid="{00000000-0005-0000-0000-000034740000}"/>
    <cellStyle name="40% - Accent4 2 2 3 2 5" xfId="13397" xr:uid="{00000000-0005-0000-0000-000035740000}"/>
    <cellStyle name="40% - Accent4 2 2 3 2 5 2" xfId="35999" xr:uid="{00000000-0005-0000-0000-000036740000}"/>
    <cellStyle name="40% - Accent4 2 2 3 2 6" xfId="24698" xr:uid="{00000000-0005-0000-0000-000037740000}"/>
    <cellStyle name="40% - Accent4 2 2 3 3" xfId="2541" xr:uid="{00000000-0005-0000-0000-000038740000}"/>
    <cellStyle name="40% - Accent4 2 2 3 3 2" xfId="5560" xr:uid="{00000000-0005-0000-0000-000039740000}"/>
    <cellStyle name="40% - Accent4 2 2 3 3 2 2" xfId="11210" xr:uid="{00000000-0005-0000-0000-00003A740000}"/>
    <cellStyle name="40% - Accent4 2 2 3 3 2 2 2" xfId="22511" xr:uid="{00000000-0005-0000-0000-00003B740000}"/>
    <cellStyle name="40% - Accent4 2 2 3 3 2 2 2 2" xfId="45113" xr:uid="{00000000-0005-0000-0000-00003C740000}"/>
    <cellStyle name="40% - Accent4 2 2 3 3 2 2 3" xfId="33812" xr:uid="{00000000-0005-0000-0000-00003D740000}"/>
    <cellStyle name="40% - Accent4 2 2 3 3 2 3" xfId="16861" xr:uid="{00000000-0005-0000-0000-00003E740000}"/>
    <cellStyle name="40% - Accent4 2 2 3 3 2 3 2" xfId="39463" xr:uid="{00000000-0005-0000-0000-00003F740000}"/>
    <cellStyle name="40% - Accent4 2 2 3 3 2 4" xfId="28162" xr:uid="{00000000-0005-0000-0000-000040740000}"/>
    <cellStyle name="40% - Accent4 2 2 3 3 3" xfId="8377" xr:uid="{00000000-0005-0000-0000-000041740000}"/>
    <cellStyle name="40% - Accent4 2 2 3 3 3 2" xfId="19678" xr:uid="{00000000-0005-0000-0000-000042740000}"/>
    <cellStyle name="40% - Accent4 2 2 3 3 3 2 2" xfId="42280" xr:uid="{00000000-0005-0000-0000-000043740000}"/>
    <cellStyle name="40% - Accent4 2 2 3 3 3 3" xfId="30979" xr:uid="{00000000-0005-0000-0000-000044740000}"/>
    <cellStyle name="40% - Accent4 2 2 3 3 4" xfId="14028" xr:uid="{00000000-0005-0000-0000-000045740000}"/>
    <cellStyle name="40% - Accent4 2 2 3 3 4 2" xfId="36630" xr:uid="{00000000-0005-0000-0000-000046740000}"/>
    <cellStyle name="40% - Accent4 2 2 3 3 5" xfId="25329" xr:uid="{00000000-0005-0000-0000-000047740000}"/>
    <cellStyle name="40% - Accent4 2 2 3 4" xfId="4326" xr:uid="{00000000-0005-0000-0000-000048740000}"/>
    <cellStyle name="40% - Accent4 2 2 3 4 2" xfId="9976" xr:uid="{00000000-0005-0000-0000-000049740000}"/>
    <cellStyle name="40% - Accent4 2 2 3 4 2 2" xfId="21277" xr:uid="{00000000-0005-0000-0000-00004A740000}"/>
    <cellStyle name="40% - Accent4 2 2 3 4 2 2 2" xfId="43879" xr:uid="{00000000-0005-0000-0000-00004B740000}"/>
    <cellStyle name="40% - Accent4 2 2 3 4 2 3" xfId="32578" xr:uid="{00000000-0005-0000-0000-00004C740000}"/>
    <cellStyle name="40% - Accent4 2 2 3 4 3" xfId="15627" xr:uid="{00000000-0005-0000-0000-00004D740000}"/>
    <cellStyle name="40% - Accent4 2 2 3 4 3 2" xfId="38229" xr:uid="{00000000-0005-0000-0000-00004E740000}"/>
    <cellStyle name="40% - Accent4 2 2 3 4 4" xfId="26928" xr:uid="{00000000-0005-0000-0000-00004F740000}"/>
    <cellStyle name="40% - Accent4 2 2 3 5" xfId="7123" xr:uid="{00000000-0005-0000-0000-000050740000}"/>
    <cellStyle name="40% - Accent4 2 2 3 5 2" xfId="18424" xr:uid="{00000000-0005-0000-0000-000051740000}"/>
    <cellStyle name="40% - Accent4 2 2 3 5 2 2" xfId="41026" xr:uid="{00000000-0005-0000-0000-000052740000}"/>
    <cellStyle name="40% - Accent4 2 2 3 5 3" xfId="29725" xr:uid="{00000000-0005-0000-0000-000053740000}"/>
    <cellStyle name="40% - Accent4 2 2 3 6" xfId="12774" xr:uid="{00000000-0005-0000-0000-000054740000}"/>
    <cellStyle name="40% - Accent4 2 2 3 6 2" xfId="35376" xr:uid="{00000000-0005-0000-0000-000055740000}"/>
    <cellStyle name="40% - Accent4 2 2 3 7" xfId="24075" xr:uid="{00000000-0005-0000-0000-000056740000}"/>
    <cellStyle name="40% - Accent4 2 2 4" xfId="834" xr:uid="{00000000-0005-0000-0000-000057740000}"/>
    <cellStyle name="40% - Accent4 2 2 4 2" xfId="2905" xr:uid="{00000000-0005-0000-0000-000058740000}"/>
    <cellStyle name="40% - Accent4 2 2 4 2 2" xfId="5877" xr:uid="{00000000-0005-0000-0000-000059740000}"/>
    <cellStyle name="40% - Accent4 2 2 4 2 2 2" xfId="11527" xr:uid="{00000000-0005-0000-0000-00005A740000}"/>
    <cellStyle name="40% - Accent4 2 2 4 2 2 2 2" xfId="22828" xr:uid="{00000000-0005-0000-0000-00005B740000}"/>
    <cellStyle name="40% - Accent4 2 2 4 2 2 2 2 2" xfId="45430" xr:uid="{00000000-0005-0000-0000-00005C740000}"/>
    <cellStyle name="40% - Accent4 2 2 4 2 2 2 3" xfId="34129" xr:uid="{00000000-0005-0000-0000-00005D740000}"/>
    <cellStyle name="40% - Accent4 2 2 4 2 2 3" xfId="17178" xr:uid="{00000000-0005-0000-0000-00005E740000}"/>
    <cellStyle name="40% - Accent4 2 2 4 2 2 3 2" xfId="39780" xr:uid="{00000000-0005-0000-0000-00005F740000}"/>
    <cellStyle name="40% - Accent4 2 2 4 2 2 4" xfId="28479" xr:uid="{00000000-0005-0000-0000-000060740000}"/>
    <cellStyle name="40% - Accent4 2 2 4 2 3" xfId="8695" xr:uid="{00000000-0005-0000-0000-000061740000}"/>
    <cellStyle name="40% - Accent4 2 2 4 2 3 2" xfId="19996" xr:uid="{00000000-0005-0000-0000-000062740000}"/>
    <cellStyle name="40% - Accent4 2 2 4 2 3 2 2" xfId="42598" xr:uid="{00000000-0005-0000-0000-000063740000}"/>
    <cellStyle name="40% - Accent4 2 2 4 2 3 3" xfId="31297" xr:uid="{00000000-0005-0000-0000-000064740000}"/>
    <cellStyle name="40% - Accent4 2 2 4 2 4" xfId="14346" xr:uid="{00000000-0005-0000-0000-000065740000}"/>
    <cellStyle name="40% - Accent4 2 2 4 2 4 2" xfId="36948" xr:uid="{00000000-0005-0000-0000-000066740000}"/>
    <cellStyle name="40% - Accent4 2 2 4 2 5" xfId="25647" xr:uid="{00000000-0005-0000-0000-000067740000}"/>
    <cellStyle name="40% - Accent4 2 2 4 3" xfId="4643" xr:uid="{00000000-0005-0000-0000-000068740000}"/>
    <cellStyle name="40% - Accent4 2 2 4 3 2" xfId="10293" xr:uid="{00000000-0005-0000-0000-000069740000}"/>
    <cellStyle name="40% - Accent4 2 2 4 3 2 2" xfId="21594" xr:uid="{00000000-0005-0000-0000-00006A740000}"/>
    <cellStyle name="40% - Accent4 2 2 4 3 2 2 2" xfId="44196" xr:uid="{00000000-0005-0000-0000-00006B740000}"/>
    <cellStyle name="40% - Accent4 2 2 4 3 2 3" xfId="32895" xr:uid="{00000000-0005-0000-0000-00006C740000}"/>
    <cellStyle name="40% - Accent4 2 2 4 3 3" xfId="15944" xr:uid="{00000000-0005-0000-0000-00006D740000}"/>
    <cellStyle name="40% - Accent4 2 2 4 3 3 2" xfId="38546" xr:uid="{00000000-0005-0000-0000-00006E740000}"/>
    <cellStyle name="40% - Accent4 2 2 4 3 4" xfId="27245" xr:uid="{00000000-0005-0000-0000-00006F740000}"/>
    <cellStyle name="40% - Accent4 2 2 4 4" xfId="6830" xr:uid="{00000000-0005-0000-0000-000070740000}"/>
    <cellStyle name="40% - Accent4 2 2 4 4 2" xfId="18131" xr:uid="{00000000-0005-0000-0000-000071740000}"/>
    <cellStyle name="40% - Accent4 2 2 4 4 2 2" xfId="40733" xr:uid="{00000000-0005-0000-0000-000072740000}"/>
    <cellStyle name="40% - Accent4 2 2 4 4 3" xfId="29432" xr:uid="{00000000-0005-0000-0000-000073740000}"/>
    <cellStyle name="40% - Accent4 2 2 4 5" xfId="12481" xr:uid="{00000000-0005-0000-0000-000074740000}"/>
    <cellStyle name="40% - Accent4 2 2 4 5 2" xfId="35083" xr:uid="{00000000-0005-0000-0000-000075740000}"/>
    <cellStyle name="40% - Accent4 2 2 4 6" xfId="23782" xr:uid="{00000000-0005-0000-0000-000076740000}"/>
    <cellStyle name="40% - Accent4 2 2 5" xfId="1887" xr:uid="{00000000-0005-0000-0000-000077740000}"/>
    <cellStyle name="40% - Accent4 2 2 5 2" xfId="3715" xr:uid="{00000000-0005-0000-0000-000078740000}"/>
    <cellStyle name="40% - Accent4 2 2 5 2 2" xfId="9425" xr:uid="{00000000-0005-0000-0000-000079740000}"/>
    <cellStyle name="40% - Accent4 2 2 5 2 2 2" xfId="20726" xr:uid="{00000000-0005-0000-0000-00007A740000}"/>
    <cellStyle name="40% - Accent4 2 2 5 2 2 2 2" xfId="43328" xr:uid="{00000000-0005-0000-0000-00007B740000}"/>
    <cellStyle name="40% - Accent4 2 2 5 2 2 3" xfId="32027" xr:uid="{00000000-0005-0000-0000-00007C740000}"/>
    <cellStyle name="40% - Accent4 2 2 5 2 3" xfId="15076" xr:uid="{00000000-0005-0000-0000-00007D740000}"/>
    <cellStyle name="40% - Accent4 2 2 5 2 3 2" xfId="37678" xr:uid="{00000000-0005-0000-0000-00007E740000}"/>
    <cellStyle name="40% - Accent4 2 2 5 2 4" xfId="26377" xr:uid="{00000000-0005-0000-0000-00007F740000}"/>
    <cellStyle name="40% - Accent4 2 2 5 3" xfId="5253" xr:uid="{00000000-0005-0000-0000-000080740000}"/>
    <cellStyle name="40% - Accent4 2 2 5 3 2" xfId="10903" xr:uid="{00000000-0005-0000-0000-000081740000}"/>
    <cellStyle name="40% - Accent4 2 2 5 3 2 2" xfId="22204" xr:uid="{00000000-0005-0000-0000-000082740000}"/>
    <cellStyle name="40% - Accent4 2 2 5 3 2 2 2" xfId="44806" xr:uid="{00000000-0005-0000-0000-000083740000}"/>
    <cellStyle name="40% - Accent4 2 2 5 3 2 3" xfId="33505" xr:uid="{00000000-0005-0000-0000-000084740000}"/>
    <cellStyle name="40% - Accent4 2 2 5 3 3" xfId="16554" xr:uid="{00000000-0005-0000-0000-000085740000}"/>
    <cellStyle name="40% - Accent4 2 2 5 3 3 2" xfId="39156" xr:uid="{00000000-0005-0000-0000-000086740000}"/>
    <cellStyle name="40% - Accent4 2 2 5 3 4" xfId="27855" xr:uid="{00000000-0005-0000-0000-000087740000}"/>
    <cellStyle name="40% - Accent4 2 2 5 4" xfId="7743" xr:uid="{00000000-0005-0000-0000-000088740000}"/>
    <cellStyle name="40% - Accent4 2 2 5 4 2" xfId="19044" xr:uid="{00000000-0005-0000-0000-000089740000}"/>
    <cellStyle name="40% - Accent4 2 2 5 4 2 2" xfId="41646" xr:uid="{00000000-0005-0000-0000-00008A740000}"/>
    <cellStyle name="40% - Accent4 2 2 5 4 3" xfId="30345" xr:uid="{00000000-0005-0000-0000-00008B740000}"/>
    <cellStyle name="40% - Accent4 2 2 5 5" xfId="13394" xr:uid="{00000000-0005-0000-0000-00008C740000}"/>
    <cellStyle name="40% - Accent4 2 2 5 5 2" xfId="35996" xr:uid="{00000000-0005-0000-0000-00008D740000}"/>
    <cellStyle name="40% - Accent4 2 2 5 6" xfId="24695" xr:uid="{00000000-0005-0000-0000-00008E740000}"/>
    <cellStyle name="40% - Accent4 2 2 6" xfId="2232" xr:uid="{00000000-0005-0000-0000-00008F740000}"/>
    <cellStyle name="40% - Accent4 2 2 6 2" xfId="8068" xr:uid="{00000000-0005-0000-0000-000090740000}"/>
    <cellStyle name="40% - Accent4 2 2 6 2 2" xfId="19369" xr:uid="{00000000-0005-0000-0000-000091740000}"/>
    <cellStyle name="40% - Accent4 2 2 6 2 2 2" xfId="41971" xr:uid="{00000000-0005-0000-0000-000092740000}"/>
    <cellStyle name="40% - Accent4 2 2 6 2 3" xfId="30670" xr:uid="{00000000-0005-0000-0000-000093740000}"/>
    <cellStyle name="40% - Accent4 2 2 6 3" xfId="13719" xr:uid="{00000000-0005-0000-0000-000094740000}"/>
    <cellStyle name="40% - Accent4 2 2 6 3 2" xfId="36321" xr:uid="{00000000-0005-0000-0000-000095740000}"/>
    <cellStyle name="40% - Accent4 2 2 6 4" xfId="25020" xr:uid="{00000000-0005-0000-0000-000096740000}"/>
    <cellStyle name="40% - Accent4 2 2 7" xfId="4019" xr:uid="{00000000-0005-0000-0000-000097740000}"/>
    <cellStyle name="40% - Accent4 2 2 7 2" xfId="9669" xr:uid="{00000000-0005-0000-0000-000098740000}"/>
    <cellStyle name="40% - Accent4 2 2 7 2 2" xfId="20970" xr:uid="{00000000-0005-0000-0000-000099740000}"/>
    <cellStyle name="40% - Accent4 2 2 7 2 2 2" xfId="43572" xr:uid="{00000000-0005-0000-0000-00009A740000}"/>
    <cellStyle name="40% - Accent4 2 2 7 2 3" xfId="32271" xr:uid="{00000000-0005-0000-0000-00009B740000}"/>
    <cellStyle name="40% - Accent4 2 2 7 3" xfId="15320" xr:uid="{00000000-0005-0000-0000-00009C740000}"/>
    <cellStyle name="40% - Accent4 2 2 7 3 2" xfId="37922" xr:uid="{00000000-0005-0000-0000-00009D740000}"/>
    <cellStyle name="40% - Accent4 2 2 7 4" xfId="26621" xr:uid="{00000000-0005-0000-0000-00009E740000}"/>
    <cellStyle name="40% - Accent4 2 2 8" xfId="6470" xr:uid="{00000000-0005-0000-0000-00009F740000}"/>
    <cellStyle name="40% - Accent4 2 2 8 2" xfId="17771" xr:uid="{00000000-0005-0000-0000-0000A0740000}"/>
    <cellStyle name="40% - Accent4 2 2 8 2 2" xfId="40373" xr:uid="{00000000-0005-0000-0000-0000A1740000}"/>
    <cellStyle name="40% - Accent4 2 2 8 3" xfId="29072" xr:uid="{00000000-0005-0000-0000-0000A2740000}"/>
    <cellStyle name="40% - Accent4 2 2 9" xfId="12121" xr:uid="{00000000-0005-0000-0000-0000A3740000}"/>
    <cellStyle name="40% - Accent4 2 2 9 2" xfId="34723" xr:uid="{00000000-0005-0000-0000-0000A4740000}"/>
    <cellStyle name="40% - Accent4 2 3" xfId="2762" xr:uid="{00000000-0005-0000-0000-0000A5740000}"/>
    <cellStyle name="40% - Accent4 2 3 2" xfId="3863" xr:uid="{00000000-0005-0000-0000-0000A6740000}"/>
    <cellStyle name="40% - Accent4 2 3 2 2" xfId="5777" xr:uid="{00000000-0005-0000-0000-0000A7740000}"/>
    <cellStyle name="40% - Accent4 2 3 2 2 2" xfId="11427" xr:uid="{00000000-0005-0000-0000-0000A8740000}"/>
    <cellStyle name="40% - Accent4 2 3 2 2 2 2" xfId="22728" xr:uid="{00000000-0005-0000-0000-0000A9740000}"/>
    <cellStyle name="40% - Accent4 2 3 2 2 2 2 2" xfId="45330" xr:uid="{00000000-0005-0000-0000-0000AA740000}"/>
    <cellStyle name="40% - Accent4 2 3 2 2 2 3" xfId="34029" xr:uid="{00000000-0005-0000-0000-0000AB740000}"/>
    <cellStyle name="40% - Accent4 2 3 2 2 3" xfId="17078" xr:uid="{00000000-0005-0000-0000-0000AC740000}"/>
    <cellStyle name="40% - Accent4 2 3 2 2 3 2" xfId="39680" xr:uid="{00000000-0005-0000-0000-0000AD740000}"/>
    <cellStyle name="40% - Accent4 2 3 2 2 4" xfId="28379" xr:uid="{00000000-0005-0000-0000-0000AE740000}"/>
    <cellStyle name="40% - Accent4 2 3 2 3" xfId="9550" xr:uid="{00000000-0005-0000-0000-0000AF740000}"/>
    <cellStyle name="40% - Accent4 2 3 2 3 2" xfId="20851" xr:uid="{00000000-0005-0000-0000-0000B0740000}"/>
    <cellStyle name="40% - Accent4 2 3 2 3 2 2" xfId="43453" xr:uid="{00000000-0005-0000-0000-0000B1740000}"/>
    <cellStyle name="40% - Accent4 2 3 2 3 3" xfId="32152" xr:uid="{00000000-0005-0000-0000-0000B2740000}"/>
    <cellStyle name="40% - Accent4 2 3 2 4" xfId="15201" xr:uid="{00000000-0005-0000-0000-0000B3740000}"/>
    <cellStyle name="40% - Accent4 2 3 2 4 2" xfId="37803" xr:uid="{00000000-0005-0000-0000-0000B4740000}"/>
    <cellStyle name="40% - Accent4 2 3 2 5" xfId="26502" xr:uid="{00000000-0005-0000-0000-0000B5740000}"/>
    <cellStyle name="40% - Accent4 2 3 3" xfId="4543" xr:uid="{00000000-0005-0000-0000-0000B6740000}"/>
    <cellStyle name="40% - Accent4 2 3 3 2" xfId="10193" xr:uid="{00000000-0005-0000-0000-0000B7740000}"/>
    <cellStyle name="40% - Accent4 2 3 3 2 2" xfId="21494" xr:uid="{00000000-0005-0000-0000-0000B8740000}"/>
    <cellStyle name="40% - Accent4 2 3 3 2 2 2" xfId="44096" xr:uid="{00000000-0005-0000-0000-0000B9740000}"/>
    <cellStyle name="40% - Accent4 2 3 3 2 3" xfId="32795" xr:uid="{00000000-0005-0000-0000-0000BA740000}"/>
    <cellStyle name="40% - Accent4 2 3 3 3" xfId="15844" xr:uid="{00000000-0005-0000-0000-0000BB740000}"/>
    <cellStyle name="40% - Accent4 2 3 3 3 2" xfId="38446" xr:uid="{00000000-0005-0000-0000-0000BC740000}"/>
    <cellStyle name="40% - Accent4 2 3 3 4" xfId="27145" xr:uid="{00000000-0005-0000-0000-0000BD740000}"/>
    <cellStyle name="40% - Accent4 2 3 4" xfId="8595" xr:uid="{00000000-0005-0000-0000-0000BE740000}"/>
    <cellStyle name="40% - Accent4 2 3 4 2" xfId="19896" xr:uid="{00000000-0005-0000-0000-0000BF740000}"/>
    <cellStyle name="40% - Accent4 2 3 4 2 2" xfId="42498" xr:uid="{00000000-0005-0000-0000-0000C0740000}"/>
    <cellStyle name="40% - Accent4 2 3 4 3" xfId="31197" xr:uid="{00000000-0005-0000-0000-0000C1740000}"/>
    <cellStyle name="40% - Accent4 2 3 5" xfId="14246" xr:uid="{00000000-0005-0000-0000-0000C2740000}"/>
    <cellStyle name="40% - Accent4 2 3 5 2" xfId="36848" xr:uid="{00000000-0005-0000-0000-0000C3740000}"/>
    <cellStyle name="40% - Accent4 2 3 6" xfId="25547" xr:uid="{00000000-0005-0000-0000-0000C4740000}"/>
    <cellStyle name="40% - Accent4 2 4" xfId="2773" xr:uid="{00000000-0005-0000-0000-0000C5740000}"/>
    <cellStyle name="40% - Accent4 2 5" xfId="3883" xr:uid="{00000000-0005-0000-0000-0000C6740000}"/>
    <cellStyle name="40% - Accent4 2 5 2" xfId="9555" xr:uid="{00000000-0005-0000-0000-0000C7740000}"/>
    <cellStyle name="40% - Accent4 2 5 2 2" xfId="20856" xr:uid="{00000000-0005-0000-0000-0000C8740000}"/>
    <cellStyle name="40% - Accent4 2 5 2 2 2" xfId="43458" xr:uid="{00000000-0005-0000-0000-0000C9740000}"/>
    <cellStyle name="40% - Accent4 2 5 2 3" xfId="32157" xr:uid="{00000000-0005-0000-0000-0000CA740000}"/>
    <cellStyle name="40% - Accent4 2 5 3" xfId="15206" xr:uid="{00000000-0005-0000-0000-0000CB740000}"/>
    <cellStyle name="40% - Accent4 2 5 3 2" xfId="37808" xr:uid="{00000000-0005-0000-0000-0000CC740000}"/>
    <cellStyle name="40% - Accent4 2 5 4" xfId="26507" xr:uid="{00000000-0005-0000-0000-0000CD740000}"/>
    <cellStyle name="40% - Accent4 2 6" xfId="3510" xr:uid="{00000000-0005-0000-0000-0000CE740000}"/>
    <cellStyle name="40% - Accent4 3" xfId="163" xr:uid="{00000000-0005-0000-0000-0000CF740000}"/>
    <cellStyle name="40% - Accent4 3 2" xfId="290" xr:uid="{00000000-0005-0000-0000-0000D0740000}"/>
    <cellStyle name="40% - Accent4 3 2 10" xfId="23400" xr:uid="{00000000-0005-0000-0000-0000D1740000}"/>
    <cellStyle name="40% - Accent4 3 2 2" xfId="550" xr:uid="{00000000-0005-0000-0000-0000D2740000}"/>
    <cellStyle name="40% - Accent4 3 2 2 2" xfId="1260" xr:uid="{00000000-0005-0000-0000-0000D3740000}"/>
    <cellStyle name="40% - Accent4 3 2 2 2 2" xfId="1893" xr:uid="{00000000-0005-0000-0000-0000D4740000}"/>
    <cellStyle name="40% - Accent4 3 2 2 2 2 2" xfId="3329" xr:uid="{00000000-0005-0000-0000-0000D5740000}"/>
    <cellStyle name="40% - Accent4 3 2 2 2 2 2 2" xfId="6301" xr:uid="{00000000-0005-0000-0000-0000D6740000}"/>
    <cellStyle name="40% - Accent4 3 2 2 2 2 2 2 2" xfId="11951" xr:uid="{00000000-0005-0000-0000-0000D7740000}"/>
    <cellStyle name="40% - Accent4 3 2 2 2 2 2 2 2 2" xfId="23252" xr:uid="{00000000-0005-0000-0000-0000D8740000}"/>
    <cellStyle name="40% - Accent4 3 2 2 2 2 2 2 2 2 2" xfId="45854" xr:uid="{00000000-0005-0000-0000-0000D9740000}"/>
    <cellStyle name="40% - Accent4 3 2 2 2 2 2 2 2 3" xfId="34553" xr:uid="{00000000-0005-0000-0000-0000DA740000}"/>
    <cellStyle name="40% - Accent4 3 2 2 2 2 2 2 3" xfId="17602" xr:uid="{00000000-0005-0000-0000-0000DB740000}"/>
    <cellStyle name="40% - Accent4 3 2 2 2 2 2 2 3 2" xfId="40204" xr:uid="{00000000-0005-0000-0000-0000DC740000}"/>
    <cellStyle name="40% - Accent4 3 2 2 2 2 2 2 4" xfId="28903" xr:uid="{00000000-0005-0000-0000-0000DD740000}"/>
    <cellStyle name="40% - Accent4 3 2 2 2 2 2 3" xfId="9119" xr:uid="{00000000-0005-0000-0000-0000DE740000}"/>
    <cellStyle name="40% - Accent4 3 2 2 2 2 2 3 2" xfId="20420" xr:uid="{00000000-0005-0000-0000-0000DF740000}"/>
    <cellStyle name="40% - Accent4 3 2 2 2 2 2 3 2 2" xfId="43022" xr:uid="{00000000-0005-0000-0000-0000E0740000}"/>
    <cellStyle name="40% - Accent4 3 2 2 2 2 2 3 3" xfId="31721" xr:uid="{00000000-0005-0000-0000-0000E1740000}"/>
    <cellStyle name="40% - Accent4 3 2 2 2 2 2 4" xfId="14770" xr:uid="{00000000-0005-0000-0000-0000E2740000}"/>
    <cellStyle name="40% - Accent4 3 2 2 2 2 2 4 2" xfId="37372" xr:uid="{00000000-0005-0000-0000-0000E3740000}"/>
    <cellStyle name="40% - Accent4 3 2 2 2 2 2 5" xfId="26071" xr:uid="{00000000-0005-0000-0000-0000E4740000}"/>
    <cellStyle name="40% - Accent4 3 2 2 2 2 3" xfId="5067" xr:uid="{00000000-0005-0000-0000-0000E5740000}"/>
    <cellStyle name="40% - Accent4 3 2 2 2 2 3 2" xfId="10717" xr:uid="{00000000-0005-0000-0000-0000E6740000}"/>
    <cellStyle name="40% - Accent4 3 2 2 2 2 3 2 2" xfId="22018" xr:uid="{00000000-0005-0000-0000-0000E7740000}"/>
    <cellStyle name="40% - Accent4 3 2 2 2 2 3 2 2 2" xfId="44620" xr:uid="{00000000-0005-0000-0000-0000E8740000}"/>
    <cellStyle name="40% - Accent4 3 2 2 2 2 3 2 3" xfId="33319" xr:uid="{00000000-0005-0000-0000-0000E9740000}"/>
    <cellStyle name="40% - Accent4 3 2 2 2 2 3 3" xfId="16368" xr:uid="{00000000-0005-0000-0000-0000EA740000}"/>
    <cellStyle name="40% - Accent4 3 2 2 2 2 3 3 2" xfId="38970" xr:uid="{00000000-0005-0000-0000-0000EB740000}"/>
    <cellStyle name="40% - Accent4 3 2 2 2 2 3 4" xfId="27669" xr:uid="{00000000-0005-0000-0000-0000EC740000}"/>
    <cellStyle name="40% - Accent4 3 2 2 2 2 4" xfId="7749" xr:uid="{00000000-0005-0000-0000-0000ED740000}"/>
    <cellStyle name="40% - Accent4 3 2 2 2 2 4 2" xfId="19050" xr:uid="{00000000-0005-0000-0000-0000EE740000}"/>
    <cellStyle name="40% - Accent4 3 2 2 2 2 4 2 2" xfId="41652" xr:uid="{00000000-0005-0000-0000-0000EF740000}"/>
    <cellStyle name="40% - Accent4 3 2 2 2 2 4 3" xfId="30351" xr:uid="{00000000-0005-0000-0000-0000F0740000}"/>
    <cellStyle name="40% - Accent4 3 2 2 2 2 5" xfId="13400" xr:uid="{00000000-0005-0000-0000-0000F1740000}"/>
    <cellStyle name="40% - Accent4 3 2 2 2 2 5 2" xfId="36002" xr:uid="{00000000-0005-0000-0000-0000F2740000}"/>
    <cellStyle name="40% - Accent4 3 2 2 2 2 6" xfId="24701" xr:uid="{00000000-0005-0000-0000-0000F3740000}"/>
    <cellStyle name="40% - Accent4 3 2 2 2 3" xfId="2658" xr:uid="{00000000-0005-0000-0000-0000F4740000}"/>
    <cellStyle name="40% - Accent4 3 2 2 2 3 2" xfId="5677" xr:uid="{00000000-0005-0000-0000-0000F5740000}"/>
    <cellStyle name="40% - Accent4 3 2 2 2 3 2 2" xfId="11327" xr:uid="{00000000-0005-0000-0000-0000F6740000}"/>
    <cellStyle name="40% - Accent4 3 2 2 2 3 2 2 2" xfId="22628" xr:uid="{00000000-0005-0000-0000-0000F7740000}"/>
    <cellStyle name="40% - Accent4 3 2 2 2 3 2 2 2 2" xfId="45230" xr:uid="{00000000-0005-0000-0000-0000F8740000}"/>
    <cellStyle name="40% - Accent4 3 2 2 2 3 2 2 3" xfId="33929" xr:uid="{00000000-0005-0000-0000-0000F9740000}"/>
    <cellStyle name="40% - Accent4 3 2 2 2 3 2 3" xfId="16978" xr:uid="{00000000-0005-0000-0000-0000FA740000}"/>
    <cellStyle name="40% - Accent4 3 2 2 2 3 2 3 2" xfId="39580" xr:uid="{00000000-0005-0000-0000-0000FB740000}"/>
    <cellStyle name="40% - Accent4 3 2 2 2 3 2 4" xfId="28279" xr:uid="{00000000-0005-0000-0000-0000FC740000}"/>
    <cellStyle name="40% - Accent4 3 2 2 2 3 3" xfId="8494" xr:uid="{00000000-0005-0000-0000-0000FD740000}"/>
    <cellStyle name="40% - Accent4 3 2 2 2 3 3 2" xfId="19795" xr:uid="{00000000-0005-0000-0000-0000FE740000}"/>
    <cellStyle name="40% - Accent4 3 2 2 2 3 3 2 2" xfId="42397" xr:uid="{00000000-0005-0000-0000-0000FF740000}"/>
    <cellStyle name="40% - Accent4 3 2 2 2 3 3 3" xfId="31096" xr:uid="{00000000-0005-0000-0000-000000750000}"/>
    <cellStyle name="40% - Accent4 3 2 2 2 3 4" xfId="14145" xr:uid="{00000000-0005-0000-0000-000001750000}"/>
    <cellStyle name="40% - Accent4 3 2 2 2 3 4 2" xfId="36747" xr:uid="{00000000-0005-0000-0000-000002750000}"/>
    <cellStyle name="40% - Accent4 3 2 2 2 3 5" xfId="25446" xr:uid="{00000000-0005-0000-0000-000003750000}"/>
    <cellStyle name="40% - Accent4 3 2 2 2 4" xfId="4443" xr:uid="{00000000-0005-0000-0000-000004750000}"/>
    <cellStyle name="40% - Accent4 3 2 2 2 4 2" xfId="10093" xr:uid="{00000000-0005-0000-0000-000005750000}"/>
    <cellStyle name="40% - Accent4 3 2 2 2 4 2 2" xfId="21394" xr:uid="{00000000-0005-0000-0000-000006750000}"/>
    <cellStyle name="40% - Accent4 3 2 2 2 4 2 2 2" xfId="43996" xr:uid="{00000000-0005-0000-0000-000007750000}"/>
    <cellStyle name="40% - Accent4 3 2 2 2 4 2 3" xfId="32695" xr:uid="{00000000-0005-0000-0000-000008750000}"/>
    <cellStyle name="40% - Accent4 3 2 2 2 4 3" xfId="15744" xr:uid="{00000000-0005-0000-0000-000009750000}"/>
    <cellStyle name="40% - Accent4 3 2 2 2 4 3 2" xfId="38346" xr:uid="{00000000-0005-0000-0000-00000A750000}"/>
    <cellStyle name="40% - Accent4 3 2 2 2 4 4" xfId="27045" xr:uid="{00000000-0005-0000-0000-00000B750000}"/>
    <cellStyle name="40% - Accent4 3 2 2 2 5" xfId="7239" xr:uid="{00000000-0005-0000-0000-00000C750000}"/>
    <cellStyle name="40% - Accent4 3 2 2 2 5 2" xfId="18540" xr:uid="{00000000-0005-0000-0000-00000D750000}"/>
    <cellStyle name="40% - Accent4 3 2 2 2 5 2 2" xfId="41142" xr:uid="{00000000-0005-0000-0000-00000E750000}"/>
    <cellStyle name="40% - Accent4 3 2 2 2 5 3" xfId="29841" xr:uid="{00000000-0005-0000-0000-00000F750000}"/>
    <cellStyle name="40% - Accent4 3 2 2 2 6" xfId="12890" xr:uid="{00000000-0005-0000-0000-000010750000}"/>
    <cellStyle name="40% - Accent4 3 2 2 2 6 2" xfId="35492" xr:uid="{00000000-0005-0000-0000-000011750000}"/>
    <cellStyle name="40% - Accent4 3 2 2 2 7" xfId="24191" xr:uid="{00000000-0005-0000-0000-000012750000}"/>
    <cellStyle name="40% - Accent4 3 2 2 3" xfId="958" xr:uid="{00000000-0005-0000-0000-000013750000}"/>
    <cellStyle name="40% - Accent4 3 2 2 3 2" xfId="3021" xr:uid="{00000000-0005-0000-0000-000014750000}"/>
    <cellStyle name="40% - Accent4 3 2 2 3 2 2" xfId="5993" xr:uid="{00000000-0005-0000-0000-000015750000}"/>
    <cellStyle name="40% - Accent4 3 2 2 3 2 2 2" xfId="11643" xr:uid="{00000000-0005-0000-0000-000016750000}"/>
    <cellStyle name="40% - Accent4 3 2 2 3 2 2 2 2" xfId="22944" xr:uid="{00000000-0005-0000-0000-000017750000}"/>
    <cellStyle name="40% - Accent4 3 2 2 3 2 2 2 2 2" xfId="45546" xr:uid="{00000000-0005-0000-0000-000018750000}"/>
    <cellStyle name="40% - Accent4 3 2 2 3 2 2 2 3" xfId="34245" xr:uid="{00000000-0005-0000-0000-000019750000}"/>
    <cellStyle name="40% - Accent4 3 2 2 3 2 2 3" xfId="17294" xr:uid="{00000000-0005-0000-0000-00001A750000}"/>
    <cellStyle name="40% - Accent4 3 2 2 3 2 2 3 2" xfId="39896" xr:uid="{00000000-0005-0000-0000-00001B750000}"/>
    <cellStyle name="40% - Accent4 3 2 2 3 2 2 4" xfId="28595" xr:uid="{00000000-0005-0000-0000-00001C750000}"/>
    <cellStyle name="40% - Accent4 3 2 2 3 2 3" xfId="8811" xr:uid="{00000000-0005-0000-0000-00001D750000}"/>
    <cellStyle name="40% - Accent4 3 2 2 3 2 3 2" xfId="20112" xr:uid="{00000000-0005-0000-0000-00001E750000}"/>
    <cellStyle name="40% - Accent4 3 2 2 3 2 3 2 2" xfId="42714" xr:uid="{00000000-0005-0000-0000-00001F750000}"/>
    <cellStyle name="40% - Accent4 3 2 2 3 2 3 3" xfId="31413" xr:uid="{00000000-0005-0000-0000-000020750000}"/>
    <cellStyle name="40% - Accent4 3 2 2 3 2 4" xfId="14462" xr:uid="{00000000-0005-0000-0000-000021750000}"/>
    <cellStyle name="40% - Accent4 3 2 2 3 2 4 2" xfId="37064" xr:uid="{00000000-0005-0000-0000-000022750000}"/>
    <cellStyle name="40% - Accent4 3 2 2 3 2 5" xfId="25763" xr:uid="{00000000-0005-0000-0000-000023750000}"/>
    <cellStyle name="40% - Accent4 3 2 2 3 3" xfId="4759" xr:uid="{00000000-0005-0000-0000-000024750000}"/>
    <cellStyle name="40% - Accent4 3 2 2 3 3 2" xfId="10409" xr:uid="{00000000-0005-0000-0000-000025750000}"/>
    <cellStyle name="40% - Accent4 3 2 2 3 3 2 2" xfId="21710" xr:uid="{00000000-0005-0000-0000-000026750000}"/>
    <cellStyle name="40% - Accent4 3 2 2 3 3 2 2 2" xfId="44312" xr:uid="{00000000-0005-0000-0000-000027750000}"/>
    <cellStyle name="40% - Accent4 3 2 2 3 3 2 3" xfId="33011" xr:uid="{00000000-0005-0000-0000-000028750000}"/>
    <cellStyle name="40% - Accent4 3 2 2 3 3 3" xfId="16060" xr:uid="{00000000-0005-0000-0000-000029750000}"/>
    <cellStyle name="40% - Accent4 3 2 2 3 3 3 2" xfId="38662" xr:uid="{00000000-0005-0000-0000-00002A750000}"/>
    <cellStyle name="40% - Accent4 3 2 2 3 3 4" xfId="27361" xr:uid="{00000000-0005-0000-0000-00002B750000}"/>
    <cellStyle name="40% - Accent4 3 2 2 3 4" xfId="6946" xr:uid="{00000000-0005-0000-0000-00002C750000}"/>
    <cellStyle name="40% - Accent4 3 2 2 3 4 2" xfId="18247" xr:uid="{00000000-0005-0000-0000-00002D750000}"/>
    <cellStyle name="40% - Accent4 3 2 2 3 4 2 2" xfId="40849" xr:uid="{00000000-0005-0000-0000-00002E750000}"/>
    <cellStyle name="40% - Accent4 3 2 2 3 4 3" xfId="29548" xr:uid="{00000000-0005-0000-0000-00002F750000}"/>
    <cellStyle name="40% - Accent4 3 2 2 3 5" xfId="12597" xr:uid="{00000000-0005-0000-0000-000030750000}"/>
    <cellStyle name="40% - Accent4 3 2 2 3 5 2" xfId="35199" xr:uid="{00000000-0005-0000-0000-000031750000}"/>
    <cellStyle name="40% - Accent4 3 2 2 3 6" xfId="23898" xr:uid="{00000000-0005-0000-0000-000032750000}"/>
    <cellStyle name="40% - Accent4 3 2 2 4" xfId="1892" xr:uid="{00000000-0005-0000-0000-000033750000}"/>
    <cellStyle name="40% - Accent4 3 2 2 4 2" xfId="3718" xr:uid="{00000000-0005-0000-0000-000034750000}"/>
    <cellStyle name="40% - Accent4 3 2 2 4 2 2" xfId="9428" xr:uid="{00000000-0005-0000-0000-000035750000}"/>
    <cellStyle name="40% - Accent4 3 2 2 4 2 2 2" xfId="20729" xr:uid="{00000000-0005-0000-0000-000036750000}"/>
    <cellStyle name="40% - Accent4 3 2 2 4 2 2 2 2" xfId="43331" xr:uid="{00000000-0005-0000-0000-000037750000}"/>
    <cellStyle name="40% - Accent4 3 2 2 4 2 2 3" xfId="32030" xr:uid="{00000000-0005-0000-0000-000038750000}"/>
    <cellStyle name="40% - Accent4 3 2 2 4 2 3" xfId="15079" xr:uid="{00000000-0005-0000-0000-000039750000}"/>
    <cellStyle name="40% - Accent4 3 2 2 4 2 3 2" xfId="37681" xr:uid="{00000000-0005-0000-0000-00003A750000}"/>
    <cellStyle name="40% - Accent4 3 2 2 4 2 4" xfId="26380" xr:uid="{00000000-0005-0000-0000-00003B750000}"/>
    <cellStyle name="40% - Accent4 3 2 2 4 3" xfId="5369" xr:uid="{00000000-0005-0000-0000-00003C750000}"/>
    <cellStyle name="40% - Accent4 3 2 2 4 3 2" xfId="11019" xr:uid="{00000000-0005-0000-0000-00003D750000}"/>
    <cellStyle name="40% - Accent4 3 2 2 4 3 2 2" xfId="22320" xr:uid="{00000000-0005-0000-0000-00003E750000}"/>
    <cellStyle name="40% - Accent4 3 2 2 4 3 2 2 2" xfId="44922" xr:uid="{00000000-0005-0000-0000-00003F750000}"/>
    <cellStyle name="40% - Accent4 3 2 2 4 3 2 3" xfId="33621" xr:uid="{00000000-0005-0000-0000-000040750000}"/>
    <cellStyle name="40% - Accent4 3 2 2 4 3 3" xfId="16670" xr:uid="{00000000-0005-0000-0000-000041750000}"/>
    <cellStyle name="40% - Accent4 3 2 2 4 3 3 2" xfId="39272" xr:uid="{00000000-0005-0000-0000-000042750000}"/>
    <cellStyle name="40% - Accent4 3 2 2 4 3 4" xfId="27971" xr:uid="{00000000-0005-0000-0000-000043750000}"/>
    <cellStyle name="40% - Accent4 3 2 2 4 4" xfId="7748" xr:uid="{00000000-0005-0000-0000-000044750000}"/>
    <cellStyle name="40% - Accent4 3 2 2 4 4 2" xfId="19049" xr:uid="{00000000-0005-0000-0000-000045750000}"/>
    <cellStyle name="40% - Accent4 3 2 2 4 4 2 2" xfId="41651" xr:uid="{00000000-0005-0000-0000-000046750000}"/>
    <cellStyle name="40% - Accent4 3 2 2 4 4 3" xfId="30350" xr:uid="{00000000-0005-0000-0000-000047750000}"/>
    <cellStyle name="40% - Accent4 3 2 2 4 5" xfId="13399" xr:uid="{00000000-0005-0000-0000-000048750000}"/>
    <cellStyle name="40% - Accent4 3 2 2 4 5 2" xfId="36001" xr:uid="{00000000-0005-0000-0000-000049750000}"/>
    <cellStyle name="40% - Accent4 3 2 2 4 6" xfId="24700" xr:uid="{00000000-0005-0000-0000-00004A750000}"/>
    <cellStyle name="40% - Accent4 3 2 2 5" xfId="2350" xr:uid="{00000000-0005-0000-0000-00004B750000}"/>
    <cellStyle name="40% - Accent4 3 2 2 5 2" xfId="8186" xr:uid="{00000000-0005-0000-0000-00004C750000}"/>
    <cellStyle name="40% - Accent4 3 2 2 5 2 2" xfId="19487" xr:uid="{00000000-0005-0000-0000-00004D750000}"/>
    <cellStyle name="40% - Accent4 3 2 2 5 2 2 2" xfId="42089" xr:uid="{00000000-0005-0000-0000-00004E750000}"/>
    <cellStyle name="40% - Accent4 3 2 2 5 2 3" xfId="30788" xr:uid="{00000000-0005-0000-0000-00004F750000}"/>
    <cellStyle name="40% - Accent4 3 2 2 5 3" xfId="13837" xr:uid="{00000000-0005-0000-0000-000050750000}"/>
    <cellStyle name="40% - Accent4 3 2 2 5 3 2" xfId="36439" xr:uid="{00000000-0005-0000-0000-000051750000}"/>
    <cellStyle name="40% - Accent4 3 2 2 5 4" xfId="25138" xr:uid="{00000000-0005-0000-0000-000052750000}"/>
    <cellStyle name="40% - Accent4 3 2 2 6" xfId="4135" xr:uid="{00000000-0005-0000-0000-000053750000}"/>
    <cellStyle name="40% - Accent4 3 2 2 6 2" xfId="9785" xr:uid="{00000000-0005-0000-0000-000054750000}"/>
    <cellStyle name="40% - Accent4 3 2 2 6 2 2" xfId="21086" xr:uid="{00000000-0005-0000-0000-000055750000}"/>
    <cellStyle name="40% - Accent4 3 2 2 6 2 2 2" xfId="43688" xr:uid="{00000000-0005-0000-0000-000056750000}"/>
    <cellStyle name="40% - Accent4 3 2 2 6 2 3" xfId="32387" xr:uid="{00000000-0005-0000-0000-000057750000}"/>
    <cellStyle name="40% - Accent4 3 2 2 6 3" xfId="15436" xr:uid="{00000000-0005-0000-0000-000058750000}"/>
    <cellStyle name="40% - Accent4 3 2 2 6 3 2" xfId="38038" xr:uid="{00000000-0005-0000-0000-000059750000}"/>
    <cellStyle name="40% - Accent4 3 2 2 6 4" xfId="26737" xr:uid="{00000000-0005-0000-0000-00005A750000}"/>
    <cellStyle name="40% - Accent4 3 2 2 7" xfId="6615" xr:uid="{00000000-0005-0000-0000-00005B750000}"/>
    <cellStyle name="40% - Accent4 3 2 2 7 2" xfId="17916" xr:uid="{00000000-0005-0000-0000-00005C750000}"/>
    <cellStyle name="40% - Accent4 3 2 2 7 2 2" xfId="40518" xr:uid="{00000000-0005-0000-0000-00005D750000}"/>
    <cellStyle name="40% - Accent4 3 2 2 7 3" xfId="29217" xr:uid="{00000000-0005-0000-0000-00005E750000}"/>
    <cellStyle name="40% - Accent4 3 2 2 8" xfId="12266" xr:uid="{00000000-0005-0000-0000-00005F750000}"/>
    <cellStyle name="40% - Accent4 3 2 2 8 2" xfId="34868" xr:uid="{00000000-0005-0000-0000-000060750000}"/>
    <cellStyle name="40% - Accent4 3 2 2 9" xfId="23567" xr:uid="{00000000-0005-0000-0000-000061750000}"/>
    <cellStyle name="40% - Accent4 3 2 3" xfId="1122" xr:uid="{00000000-0005-0000-0000-000062750000}"/>
    <cellStyle name="40% - Accent4 3 2 3 2" xfId="1894" xr:uid="{00000000-0005-0000-0000-000063750000}"/>
    <cellStyle name="40% - Accent4 3 2 3 2 2" xfId="3190" xr:uid="{00000000-0005-0000-0000-000064750000}"/>
    <cellStyle name="40% - Accent4 3 2 3 2 2 2" xfId="6162" xr:uid="{00000000-0005-0000-0000-000065750000}"/>
    <cellStyle name="40% - Accent4 3 2 3 2 2 2 2" xfId="11812" xr:uid="{00000000-0005-0000-0000-000066750000}"/>
    <cellStyle name="40% - Accent4 3 2 3 2 2 2 2 2" xfId="23113" xr:uid="{00000000-0005-0000-0000-000067750000}"/>
    <cellStyle name="40% - Accent4 3 2 3 2 2 2 2 2 2" xfId="45715" xr:uid="{00000000-0005-0000-0000-000068750000}"/>
    <cellStyle name="40% - Accent4 3 2 3 2 2 2 2 3" xfId="34414" xr:uid="{00000000-0005-0000-0000-000069750000}"/>
    <cellStyle name="40% - Accent4 3 2 3 2 2 2 3" xfId="17463" xr:uid="{00000000-0005-0000-0000-00006A750000}"/>
    <cellStyle name="40% - Accent4 3 2 3 2 2 2 3 2" xfId="40065" xr:uid="{00000000-0005-0000-0000-00006B750000}"/>
    <cellStyle name="40% - Accent4 3 2 3 2 2 2 4" xfId="28764" xr:uid="{00000000-0005-0000-0000-00006C750000}"/>
    <cellStyle name="40% - Accent4 3 2 3 2 2 3" xfId="8980" xr:uid="{00000000-0005-0000-0000-00006D750000}"/>
    <cellStyle name="40% - Accent4 3 2 3 2 2 3 2" xfId="20281" xr:uid="{00000000-0005-0000-0000-00006E750000}"/>
    <cellStyle name="40% - Accent4 3 2 3 2 2 3 2 2" xfId="42883" xr:uid="{00000000-0005-0000-0000-00006F750000}"/>
    <cellStyle name="40% - Accent4 3 2 3 2 2 3 3" xfId="31582" xr:uid="{00000000-0005-0000-0000-000070750000}"/>
    <cellStyle name="40% - Accent4 3 2 3 2 2 4" xfId="14631" xr:uid="{00000000-0005-0000-0000-000071750000}"/>
    <cellStyle name="40% - Accent4 3 2 3 2 2 4 2" xfId="37233" xr:uid="{00000000-0005-0000-0000-000072750000}"/>
    <cellStyle name="40% - Accent4 3 2 3 2 2 5" xfId="25932" xr:uid="{00000000-0005-0000-0000-000073750000}"/>
    <cellStyle name="40% - Accent4 3 2 3 2 3" xfId="4928" xr:uid="{00000000-0005-0000-0000-000074750000}"/>
    <cellStyle name="40% - Accent4 3 2 3 2 3 2" xfId="10578" xr:uid="{00000000-0005-0000-0000-000075750000}"/>
    <cellStyle name="40% - Accent4 3 2 3 2 3 2 2" xfId="21879" xr:uid="{00000000-0005-0000-0000-000076750000}"/>
    <cellStyle name="40% - Accent4 3 2 3 2 3 2 2 2" xfId="44481" xr:uid="{00000000-0005-0000-0000-000077750000}"/>
    <cellStyle name="40% - Accent4 3 2 3 2 3 2 3" xfId="33180" xr:uid="{00000000-0005-0000-0000-000078750000}"/>
    <cellStyle name="40% - Accent4 3 2 3 2 3 3" xfId="16229" xr:uid="{00000000-0005-0000-0000-000079750000}"/>
    <cellStyle name="40% - Accent4 3 2 3 2 3 3 2" xfId="38831" xr:uid="{00000000-0005-0000-0000-00007A750000}"/>
    <cellStyle name="40% - Accent4 3 2 3 2 3 4" xfId="27530" xr:uid="{00000000-0005-0000-0000-00007B750000}"/>
    <cellStyle name="40% - Accent4 3 2 3 2 4" xfId="7750" xr:uid="{00000000-0005-0000-0000-00007C750000}"/>
    <cellStyle name="40% - Accent4 3 2 3 2 4 2" xfId="19051" xr:uid="{00000000-0005-0000-0000-00007D750000}"/>
    <cellStyle name="40% - Accent4 3 2 3 2 4 2 2" xfId="41653" xr:uid="{00000000-0005-0000-0000-00007E750000}"/>
    <cellStyle name="40% - Accent4 3 2 3 2 4 3" xfId="30352" xr:uid="{00000000-0005-0000-0000-00007F750000}"/>
    <cellStyle name="40% - Accent4 3 2 3 2 5" xfId="13401" xr:uid="{00000000-0005-0000-0000-000080750000}"/>
    <cellStyle name="40% - Accent4 3 2 3 2 5 2" xfId="36003" xr:uid="{00000000-0005-0000-0000-000081750000}"/>
    <cellStyle name="40% - Accent4 3 2 3 2 6" xfId="24702" xr:uid="{00000000-0005-0000-0000-000082750000}"/>
    <cellStyle name="40% - Accent4 3 2 3 3" xfId="2519" xr:uid="{00000000-0005-0000-0000-000083750000}"/>
    <cellStyle name="40% - Accent4 3 2 3 3 2" xfId="5538" xr:uid="{00000000-0005-0000-0000-000084750000}"/>
    <cellStyle name="40% - Accent4 3 2 3 3 2 2" xfId="11188" xr:uid="{00000000-0005-0000-0000-000085750000}"/>
    <cellStyle name="40% - Accent4 3 2 3 3 2 2 2" xfId="22489" xr:uid="{00000000-0005-0000-0000-000086750000}"/>
    <cellStyle name="40% - Accent4 3 2 3 3 2 2 2 2" xfId="45091" xr:uid="{00000000-0005-0000-0000-000087750000}"/>
    <cellStyle name="40% - Accent4 3 2 3 3 2 2 3" xfId="33790" xr:uid="{00000000-0005-0000-0000-000088750000}"/>
    <cellStyle name="40% - Accent4 3 2 3 3 2 3" xfId="16839" xr:uid="{00000000-0005-0000-0000-000089750000}"/>
    <cellStyle name="40% - Accent4 3 2 3 3 2 3 2" xfId="39441" xr:uid="{00000000-0005-0000-0000-00008A750000}"/>
    <cellStyle name="40% - Accent4 3 2 3 3 2 4" xfId="28140" xr:uid="{00000000-0005-0000-0000-00008B750000}"/>
    <cellStyle name="40% - Accent4 3 2 3 3 3" xfId="8355" xr:uid="{00000000-0005-0000-0000-00008C750000}"/>
    <cellStyle name="40% - Accent4 3 2 3 3 3 2" xfId="19656" xr:uid="{00000000-0005-0000-0000-00008D750000}"/>
    <cellStyle name="40% - Accent4 3 2 3 3 3 2 2" xfId="42258" xr:uid="{00000000-0005-0000-0000-00008E750000}"/>
    <cellStyle name="40% - Accent4 3 2 3 3 3 3" xfId="30957" xr:uid="{00000000-0005-0000-0000-00008F750000}"/>
    <cellStyle name="40% - Accent4 3 2 3 3 4" xfId="14006" xr:uid="{00000000-0005-0000-0000-000090750000}"/>
    <cellStyle name="40% - Accent4 3 2 3 3 4 2" xfId="36608" xr:uid="{00000000-0005-0000-0000-000091750000}"/>
    <cellStyle name="40% - Accent4 3 2 3 3 5" xfId="25307" xr:uid="{00000000-0005-0000-0000-000092750000}"/>
    <cellStyle name="40% - Accent4 3 2 3 4" xfId="4304" xr:uid="{00000000-0005-0000-0000-000093750000}"/>
    <cellStyle name="40% - Accent4 3 2 3 4 2" xfId="9954" xr:uid="{00000000-0005-0000-0000-000094750000}"/>
    <cellStyle name="40% - Accent4 3 2 3 4 2 2" xfId="21255" xr:uid="{00000000-0005-0000-0000-000095750000}"/>
    <cellStyle name="40% - Accent4 3 2 3 4 2 2 2" xfId="43857" xr:uid="{00000000-0005-0000-0000-000096750000}"/>
    <cellStyle name="40% - Accent4 3 2 3 4 2 3" xfId="32556" xr:uid="{00000000-0005-0000-0000-000097750000}"/>
    <cellStyle name="40% - Accent4 3 2 3 4 3" xfId="15605" xr:uid="{00000000-0005-0000-0000-000098750000}"/>
    <cellStyle name="40% - Accent4 3 2 3 4 3 2" xfId="38207" xr:uid="{00000000-0005-0000-0000-000099750000}"/>
    <cellStyle name="40% - Accent4 3 2 3 4 4" xfId="26906" xr:uid="{00000000-0005-0000-0000-00009A750000}"/>
    <cellStyle name="40% - Accent4 3 2 3 5" xfId="7101" xr:uid="{00000000-0005-0000-0000-00009B750000}"/>
    <cellStyle name="40% - Accent4 3 2 3 5 2" xfId="18402" xr:uid="{00000000-0005-0000-0000-00009C750000}"/>
    <cellStyle name="40% - Accent4 3 2 3 5 2 2" xfId="41004" xr:uid="{00000000-0005-0000-0000-00009D750000}"/>
    <cellStyle name="40% - Accent4 3 2 3 5 3" xfId="29703" xr:uid="{00000000-0005-0000-0000-00009E750000}"/>
    <cellStyle name="40% - Accent4 3 2 3 6" xfId="12752" xr:uid="{00000000-0005-0000-0000-00009F750000}"/>
    <cellStyle name="40% - Accent4 3 2 3 6 2" xfId="35354" xr:uid="{00000000-0005-0000-0000-0000A0750000}"/>
    <cellStyle name="40% - Accent4 3 2 3 7" xfId="24053" xr:uid="{00000000-0005-0000-0000-0000A1750000}"/>
    <cellStyle name="40% - Accent4 3 2 4" xfId="811" xr:uid="{00000000-0005-0000-0000-0000A2750000}"/>
    <cellStyle name="40% - Accent4 3 2 4 2" xfId="2883" xr:uid="{00000000-0005-0000-0000-0000A3750000}"/>
    <cellStyle name="40% - Accent4 3 2 4 2 2" xfId="5855" xr:uid="{00000000-0005-0000-0000-0000A4750000}"/>
    <cellStyle name="40% - Accent4 3 2 4 2 2 2" xfId="11505" xr:uid="{00000000-0005-0000-0000-0000A5750000}"/>
    <cellStyle name="40% - Accent4 3 2 4 2 2 2 2" xfId="22806" xr:uid="{00000000-0005-0000-0000-0000A6750000}"/>
    <cellStyle name="40% - Accent4 3 2 4 2 2 2 2 2" xfId="45408" xr:uid="{00000000-0005-0000-0000-0000A7750000}"/>
    <cellStyle name="40% - Accent4 3 2 4 2 2 2 3" xfId="34107" xr:uid="{00000000-0005-0000-0000-0000A8750000}"/>
    <cellStyle name="40% - Accent4 3 2 4 2 2 3" xfId="17156" xr:uid="{00000000-0005-0000-0000-0000A9750000}"/>
    <cellStyle name="40% - Accent4 3 2 4 2 2 3 2" xfId="39758" xr:uid="{00000000-0005-0000-0000-0000AA750000}"/>
    <cellStyle name="40% - Accent4 3 2 4 2 2 4" xfId="28457" xr:uid="{00000000-0005-0000-0000-0000AB750000}"/>
    <cellStyle name="40% - Accent4 3 2 4 2 3" xfId="8673" xr:uid="{00000000-0005-0000-0000-0000AC750000}"/>
    <cellStyle name="40% - Accent4 3 2 4 2 3 2" xfId="19974" xr:uid="{00000000-0005-0000-0000-0000AD750000}"/>
    <cellStyle name="40% - Accent4 3 2 4 2 3 2 2" xfId="42576" xr:uid="{00000000-0005-0000-0000-0000AE750000}"/>
    <cellStyle name="40% - Accent4 3 2 4 2 3 3" xfId="31275" xr:uid="{00000000-0005-0000-0000-0000AF750000}"/>
    <cellStyle name="40% - Accent4 3 2 4 2 4" xfId="14324" xr:uid="{00000000-0005-0000-0000-0000B0750000}"/>
    <cellStyle name="40% - Accent4 3 2 4 2 4 2" xfId="36926" xr:uid="{00000000-0005-0000-0000-0000B1750000}"/>
    <cellStyle name="40% - Accent4 3 2 4 2 5" xfId="25625" xr:uid="{00000000-0005-0000-0000-0000B2750000}"/>
    <cellStyle name="40% - Accent4 3 2 4 3" xfId="4621" xr:uid="{00000000-0005-0000-0000-0000B3750000}"/>
    <cellStyle name="40% - Accent4 3 2 4 3 2" xfId="10271" xr:uid="{00000000-0005-0000-0000-0000B4750000}"/>
    <cellStyle name="40% - Accent4 3 2 4 3 2 2" xfId="21572" xr:uid="{00000000-0005-0000-0000-0000B5750000}"/>
    <cellStyle name="40% - Accent4 3 2 4 3 2 2 2" xfId="44174" xr:uid="{00000000-0005-0000-0000-0000B6750000}"/>
    <cellStyle name="40% - Accent4 3 2 4 3 2 3" xfId="32873" xr:uid="{00000000-0005-0000-0000-0000B7750000}"/>
    <cellStyle name="40% - Accent4 3 2 4 3 3" xfId="15922" xr:uid="{00000000-0005-0000-0000-0000B8750000}"/>
    <cellStyle name="40% - Accent4 3 2 4 3 3 2" xfId="38524" xr:uid="{00000000-0005-0000-0000-0000B9750000}"/>
    <cellStyle name="40% - Accent4 3 2 4 3 4" xfId="27223" xr:uid="{00000000-0005-0000-0000-0000BA750000}"/>
    <cellStyle name="40% - Accent4 3 2 4 4" xfId="6808" xr:uid="{00000000-0005-0000-0000-0000BB750000}"/>
    <cellStyle name="40% - Accent4 3 2 4 4 2" xfId="18109" xr:uid="{00000000-0005-0000-0000-0000BC750000}"/>
    <cellStyle name="40% - Accent4 3 2 4 4 2 2" xfId="40711" xr:uid="{00000000-0005-0000-0000-0000BD750000}"/>
    <cellStyle name="40% - Accent4 3 2 4 4 3" xfId="29410" xr:uid="{00000000-0005-0000-0000-0000BE750000}"/>
    <cellStyle name="40% - Accent4 3 2 4 5" xfId="12459" xr:uid="{00000000-0005-0000-0000-0000BF750000}"/>
    <cellStyle name="40% - Accent4 3 2 4 5 2" xfId="35061" xr:uid="{00000000-0005-0000-0000-0000C0750000}"/>
    <cellStyle name="40% - Accent4 3 2 4 6" xfId="23760" xr:uid="{00000000-0005-0000-0000-0000C1750000}"/>
    <cellStyle name="40% - Accent4 3 2 5" xfId="1891" xr:uid="{00000000-0005-0000-0000-0000C2750000}"/>
    <cellStyle name="40% - Accent4 3 2 5 2" xfId="3717" xr:uid="{00000000-0005-0000-0000-0000C3750000}"/>
    <cellStyle name="40% - Accent4 3 2 5 2 2" xfId="9427" xr:uid="{00000000-0005-0000-0000-0000C4750000}"/>
    <cellStyle name="40% - Accent4 3 2 5 2 2 2" xfId="20728" xr:uid="{00000000-0005-0000-0000-0000C5750000}"/>
    <cellStyle name="40% - Accent4 3 2 5 2 2 2 2" xfId="43330" xr:uid="{00000000-0005-0000-0000-0000C6750000}"/>
    <cellStyle name="40% - Accent4 3 2 5 2 2 3" xfId="32029" xr:uid="{00000000-0005-0000-0000-0000C7750000}"/>
    <cellStyle name="40% - Accent4 3 2 5 2 3" xfId="15078" xr:uid="{00000000-0005-0000-0000-0000C8750000}"/>
    <cellStyle name="40% - Accent4 3 2 5 2 3 2" xfId="37680" xr:uid="{00000000-0005-0000-0000-0000C9750000}"/>
    <cellStyle name="40% - Accent4 3 2 5 2 4" xfId="26379" xr:uid="{00000000-0005-0000-0000-0000CA750000}"/>
    <cellStyle name="40% - Accent4 3 2 5 3" xfId="5231" xr:uid="{00000000-0005-0000-0000-0000CB750000}"/>
    <cellStyle name="40% - Accent4 3 2 5 3 2" xfId="10881" xr:uid="{00000000-0005-0000-0000-0000CC750000}"/>
    <cellStyle name="40% - Accent4 3 2 5 3 2 2" xfId="22182" xr:uid="{00000000-0005-0000-0000-0000CD750000}"/>
    <cellStyle name="40% - Accent4 3 2 5 3 2 2 2" xfId="44784" xr:uid="{00000000-0005-0000-0000-0000CE750000}"/>
    <cellStyle name="40% - Accent4 3 2 5 3 2 3" xfId="33483" xr:uid="{00000000-0005-0000-0000-0000CF750000}"/>
    <cellStyle name="40% - Accent4 3 2 5 3 3" xfId="16532" xr:uid="{00000000-0005-0000-0000-0000D0750000}"/>
    <cellStyle name="40% - Accent4 3 2 5 3 3 2" xfId="39134" xr:uid="{00000000-0005-0000-0000-0000D1750000}"/>
    <cellStyle name="40% - Accent4 3 2 5 3 4" xfId="27833" xr:uid="{00000000-0005-0000-0000-0000D2750000}"/>
    <cellStyle name="40% - Accent4 3 2 5 4" xfId="7747" xr:uid="{00000000-0005-0000-0000-0000D3750000}"/>
    <cellStyle name="40% - Accent4 3 2 5 4 2" xfId="19048" xr:uid="{00000000-0005-0000-0000-0000D4750000}"/>
    <cellStyle name="40% - Accent4 3 2 5 4 2 2" xfId="41650" xr:uid="{00000000-0005-0000-0000-0000D5750000}"/>
    <cellStyle name="40% - Accent4 3 2 5 4 3" xfId="30349" xr:uid="{00000000-0005-0000-0000-0000D6750000}"/>
    <cellStyle name="40% - Accent4 3 2 5 5" xfId="13398" xr:uid="{00000000-0005-0000-0000-0000D7750000}"/>
    <cellStyle name="40% - Accent4 3 2 5 5 2" xfId="36000" xr:uid="{00000000-0005-0000-0000-0000D8750000}"/>
    <cellStyle name="40% - Accent4 3 2 5 6" xfId="24699" xr:uid="{00000000-0005-0000-0000-0000D9750000}"/>
    <cellStyle name="40% - Accent4 3 2 6" xfId="2209" xr:uid="{00000000-0005-0000-0000-0000DA750000}"/>
    <cellStyle name="40% - Accent4 3 2 6 2" xfId="8045" xr:uid="{00000000-0005-0000-0000-0000DB750000}"/>
    <cellStyle name="40% - Accent4 3 2 6 2 2" xfId="19346" xr:uid="{00000000-0005-0000-0000-0000DC750000}"/>
    <cellStyle name="40% - Accent4 3 2 6 2 2 2" xfId="41948" xr:uid="{00000000-0005-0000-0000-0000DD750000}"/>
    <cellStyle name="40% - Accent4 3 2 6 2 3" xfId="30647" xr:uid="{00000000-0005-0000-0000-0000DE750000}"/>
    <cellStyle name="40% - Accent4 3 2 6 3" xfId="13696" xr:uid="{00000000-0005-0000-0000-0000DF750000}"/>
    <cellStyle name="40% - Accent4 3 2 6 3 2" xfId="36298" xr:uid="{00000000-0005-0000-0000-0000E0750000}"/>
    <cellStyle name="40% - Accent4 3 2 6 4" xfId="24997" xr:uid="{00000000-0005-0000-0000-0000E1750000}"/>
    <cellStyle name="40% - Accent4 3 2 7" xfId="3997" xr:uid="{00000000-0005-0000-0000-0000E2750000}"/>
    <cellStyle name="40% - Accent4 3 2 7 2" xfId="9647" xr:uid="{00000000-0005-0000-0000-0000E3750000}"/>
    <cellStyle name="40% - Accent4 3 2 7 2 2" xfId="20948" xr:uid="{00000000-0005-0000-0000-0000E4750000}"/>
    <cellStyle name="40% - Accent4 3 2 7 2 2 2" xfId="43550" xr:uid="{00000000-0005-0000-0000-0000E5750000}"/>
    <cellStyle name="40% - Accent4 3 2 7 2 3" xfId="32249" xr:uid="{00000000-0005-0000-0000-0000E6750000}"/>
    <cellStyle name="40% - Accent4 3 2 7 3" xfId="15298" xr:uid="{00000000-0005-0000-0000-0000E7750000}"/>
    <cellStyle name="40% - Accent4 3 2 7 3 2" xfId="37900" xr:uid="{00000000-0005-0000-0000-0000E8750000}"/>
    <cellStyle name="40% - Accent4 3 2 7 4" xfId="26599" xr:uid="{00000000-0005-0000-0000-0000E9750000}"/>
    <cellStyle name="40% - Accent4 3 2 8" xfId="6448" xr:uid="{00000000-0005-0000-0000-0000EA750000}"/>
    <cellStyle name="40% - Accent4 3 2 8 2" xfId="17749" xr:uid="{00000000-0005-0000-0000-0000EB750000}"/>
    <cellStyle name="40% - Accent4 3 2 8 2 2" xfId="40351" xr:uid="{00000000-0005-0000-0000-0000EC750000}"/>
    <cellStyle name="40% - Accent4 3 2 8 3" xfId="29050" xr:uid="{00000000-0005-0000-0000-0000ED750000}"/>
    <cellStyle name="40% - Accent4 3 2 9" xfId="12099" xr:uid="{00000000-0005-0000-0000-0000EE750000}"/>
    <cellStyle name="40% - Accent4 3 2 9 2" xfId="34701" xr:uid="{00000000-0005-0000-0000-0000EF750000}"/>
    <cellStyle name="40% - Accent4 3 3" xfId="354" xr:uid="{00000000-0005-0000-0000-0000F0750000}"/>
    <cellStyle name="40% - Accent4 3 3 10" xfId="23449" xr:uid="{00000000-0005-0000-0000-0000F1750000}"/>
    <cellStyle name="40% - Accent4 3 3 2" xfId="599" xr:uid="{00000000-0005-0000-0000-0000F2750000}"/>
    <cellStyle name="40% - Accent4 3 3 2 2" xfId="1309" xr:uid="{00000000-0005-0000-0000-0000F3750000}"/>
    <cellStyle name="40% - Accent4 3 3 2 2 2" xfId="1897" xr:uid="{00000000-0005-0000-0000-0000F4750000}"/>
    <cellStyle name="40% - Accent4 3 3 2 2 2 2" xfId="3378" xr:uid="{00000000-0005-0000-0000-0000F5750000}"/>
    <cellStyle name="40% - Accent4 3 3 2 2 2 2 2" xfId="6350" xr:uid="{00000000-0005-0000-0000-0000F6750000}"/>
    <cellStyle name="40% - Accent4 3 3 2 2 2 2 2 2" xfId="12000" xr:uid="{00000000-0005-0000-0000-0000F7750000}"/>
    <cellStyle name="40% - Accent4 3 3 2 2 2 2 2 2 2" xfId="23301" xr:uid="{00000000-0005-0000-0000-0000F8750000}"/>
    <cellStyle name="40% - Accent4 3 3 2 2 2 2 2 2 2 2" xfId="45903" xr:uid="{00000000-0005-0000-0000-0000F9750000}"/>
    <cellStyle name="40% - Accent4 3 3 2 2 2 2 2 2 3" xfId="34602" xr:uid="{00000000-0005-0000-0000-0000FA750000}"/>
    <cellStyle name="40% - Accent4 3 3 2 2 2 2 2 3" xfId="17651" xr:uid="{00000000-0005-0000-0000-0000FB750000}"/>
    <cellStyle name="40% - Accent4 3 3 2 2 2 2 2 3 2" xfId="40253" xr:uid="{00000000-0005-0000-0000-0000FC750000}"/>
    <cellStyle name="40% - Accent4 3 3 2 2 2 2 2 4" xfId="28952" xr:uid="{00000000-0005-0000-0000-0000FD750000}"/>
    <cellStyle name="40% - Accent4 3 3 2 2 2 2 3" xfId="9168" xr:uid="{00000000-0005-0000-0000-0000FE750000}"/>
    <cellStyle name="40% - Accent4 3 3 2 2 2 2 3 2" xfId="20469" xr:uid="{00000000-0005-0000-0000-0000FF750000}"/>
    <cellStyle name="40% - Accent4 3 3 2 2 2 2 3 2 2" xfId="43071" xr:uid="{00000000-0005-0000-0000-000000760000}"/>
    <cellStyle name="40% - Accent4 3 3 2 2 2 2 3 3" xfId="31770" xr:uid="{00000000-0005-0000-0000-000001760000}"/>
    <cellStyle name="40% - Accent4 3 3 2 2 2 2 4" xfId="14819" xr:uid="{00000000-0005-0000-0000-000002760000}"/>
    <cellStyle name="40% - Accent4 3 3 2 2 2 2 4 2" xfId="37421" xr:uid="{00000000-0005-0000-0000-000003760000}"/>
    <cellStyle name="40% - Accent4 3 3 2 2 2 2 5" xfId="26120" xr:uid="{00000000-0005-0000-0000-000004760000}"/>
    <cellStyle name="40% - Accent4 3 3 2 2 2 3" xfId="5116" xr:uid="{00000000-0005-0000-0000-000005760000}"/>
    <cellStyle name="40% - Accent4 3 3 2 2 2 3 2" xfId="10766" xr:uid="{00000000-0005-0000-0000-000006760000}"/>
    <cellStyle name="40% - Accent4 3 3 2 2 2 3 2 2" xfId="22067" xr:uid="{00000000-0005-0000-0000-000007760000}"/>
    <cellStyle name="40% - Accent4 3 3 2 2 2 3 2 2 2" xfId="44669" xr:uid="{00000000-0005-0000-0000-000008760000}"/>
    <cellStyle name="40% - Accent4 3 3 2 2 2 3 2 3" xfId="33368" xr:uid="{00000000-0005-0000-0000-000009760000}"/>
    <cellStyle name="40% - Accent4 3 3 2 2 2 3 3" xfId="16417" xr:uid="{00000000-0005-0000-0000-00000A760000}"/>
    <cellStyle name="40% - Accent4 3 3 2 2 2 3 3 2" xfId="39019" xr:uid="{00000000-0005-0000-0000-00000B760000}"/>
    <cellStyle name="40% - Accent4 3 3 2 2 2 3 4" xfId="27718" xr:uid="{00000000-0005-0000-0000-00000C760000}"/>
    <cellStyle name="40% - Accent4 3 3 2 2 2 4" xfId="7753" xr:uid="{00000000-0005-0000-0000-00000D760000}"/>
    <cellStyle name="40% - Accent4 3 3 2 2 2 4 2" xfId="19054" xr:uid="{00000000-0005-0000-0000-00000E760000}"/>
    <cellStyle name="40% - Accent4 3 3 2 2 2 4 2 2" xfId="41656" xr:uid="{00000000-0005-0000-0000-00000F760000}"/>
    <cellStyle name="40% - Accent4 3 3 2 2 2 4 3" xfId="30355" xr:uid="{00000000-0005-0000-0000-000010760000}"/>
    <cellStyle name="40% - Accent4 3 3 2 2 2 5" xfId="13404" xr:uid="{00000000-0005-0000-0000-000011760000}"/>
    <cellStyle name="40% - Accent4 3 3 2 2 2 5 2" xfId="36006" xr:uid="{00000000-0005-0000-0000-000012760000}"/>
    <cellStyle name="40% - Accent4 3 3 2 2 2 6" xfId="24705" xr:uid="{00000000-0005-0000-0000-000013760000}"/>
    <cellStyle name="40% - Accent4 3 3 2 2 3" xfId="2707" xr:uid="{00000000-0005-0000-0000-000014760000}"/>
    <cellStyle name="40% - Accent4 3 3 2 2 3 2" xfId="5726" xr:uid="{00000000-0005-0000-0000-000015760000}"/>
    <cellStyle name="40% - Accent4 3 3 2 2 3 2 2" xfId="11376" xr:uid="{00000000-0005-0000-0000-000016760000}"/>
    <cellStyle name="40% - Accent4 3 3 2 2 3 2 2 2" xfId="22677" xr:uid="{00000000-0005-0000-0000-000017760000}"/>
    <cellStyle name="40% - Accent4 3 3 2 2 3 2 2 2 2" xfId="45279" xr:uid="{00000000-0005-0000-0000-000018760000}"/>
    <cellStyle name="40% - Accent4 3 3 2 2 3 2 2 3" xfId="33978" xr:uid="{00000000-0005-0000-0000-000019760000}"/>
    <cellStyle name="40% - Accent4 3 3 2 2 3 2 3" xfId="17027" xr:uid="{00000000-0005-0000-0000-00001A760000}"/>
    <cellStyle name="40% - Accent4 3 3 2 2 3 2 3 2" xfId="39629" xr:uid="{00000000-0005-0000-0000-00001B760000}"/>
    <cellStyle name="40% - Accent4 3 3 2 2 3 2 4" xfId="28328" xr:uid="{00000000-0005-0000-0000-00001C760000}"/>
    <cellStyle name="40% - Accent4 3 3 2 2 3 3" xfId="8543" xr:uid="{00000000-0005-0000-0000-00001D760000}"/>
    <cellStyle name="40% - Accent4 3 3 2 2 3 3 2" xfId="19844" xr:uid="{00000000-0005-0000-0000-00001E760000}"/>
    <cellStyle name="40% - Accent4 3 3 2 2 3 3 2 2" xfId="42446" xr:uid="{00000000-0005-0000-0000-00001F760000}"/>
    <cellStyle name="40% - Accent4 3 3 2 2 3 3 3" xfId="31145" xr:uid="{00000000-0005-0000-0000-000020760000}"/>
    <cellStyle name="40% - Accent4 3 3 2 2 3 4" xfId="14194" xr:uid="{00000000-0005-0000-0000-000021760000}"/>
    <cellStyle name="40% - Accent4 3 3 2 2 3 4 2" xfId="36796" xr:uid="{00000000-0005-0000-0000-000022760000}"/>
    <cellStyle name="40% - Accent4 3 3 2 2 3 5" xfId="25495" xr:uid="{00000000-0005-0000-0000-000023760000}"/>
    <cellStyle name="40% - Accent4 3 3 2 2 4" xfId="4492" xr:uid="{00000000-0005-0000-0000-000024760000}"/>
    <cellStyle name="40% - Accent4 3 3 2 2 4 2" xfId="10142" xr:uid="{00000000-0005-0000-0000-000025760000}"/>
    <cellStyle name="40% - Accent4 3 3 2 2 4 2 2" xfId="21443" xr:uid="{00000000-0005-0000-0000-000026760000}"/>
    <cellStyle name="40% - Accent4 3 3 2 2 4 2 2 2" xfId="44045" xr:uid="{00000000-0005-0000-0000-000027760000}"/>
    <cellStyle name="40% - Accent4 3 3 2 2 4 2 3" xfId="32744" xr:uid="{00000000-0005-0000-0000-000028760000}"/>
    <cellStyle name="40% - Accent4 3 3 2 2 4 3" xfId="15793" xr:uid="{00000000-0005-0000-0000-000029760000}"/>
    <cellStyle name="40% - Accent4 3 3 2 2 4 3 2" xfId="38395" xr:uid="{00000000-0005-0000-0000-00002A760000}"/>
    <cellStyle name="40% - Accent4 3 3 2 2 4 4" xfId="27094" xr:uid="{00000000-0005-0000-0000-00002B760000}"/>
    <cellStyle name="40% - Accent4 3 3 2 2 5" xfId="7288" xr:uid="{00000000-0005-0000-0000-00002C760000}"/>
    <cellStyle name="40% - Accent4 3 3 2 2 5 2" xfId="18589" xr:uid="{00000000-0005-0000-0000-00002D760000}"/>
    <cellStyle name="40% - Accent4 3 3 2 2 5 2 2" xfId="41191" xr:uid="{00000000-0005-0000-0000-00002E760000}"/>
    <cellStyle name="40% - Accent4 3 3 2 2 5 3" xfId="29890" xr:uid="{00000000-0005-0000-0000-00002F760000}"/>
    <cellStyle name="40% - Accent4 3 3 2 2 6" xfId="12939" xr:uid="{00000000-0005-0000-0000-000030760000}"/>
    <cellStyle name="40% - Accent4 3 3 2 2 6 2" xfId="35541" xr:uid="{00000000-0005-0000-0000-000031760000}"/>
    <cellStyle name="40% - Accent4 3 3 2 2 7" xfId="24240" xr:uid="{00000000-0005-0000-0000-000032760000}"/>
    <cellStyle name="40% - Accent4 3 3 2 3" xfId="1007" xr:uid="{00000000-0005-0000-0000-000033760000}"/>
    <cellStyle name="40% - Accent4 3 3 2 3 2" xfId="3070" xr:uid="{00000000-0005-0000-0000-000034760000}"/>
    <cellStyle name="40% - Accent4 3 3 2 3 2 2" xfId="6042" xr:uid="{00000000-0005-0000-0000-000035760000}"/>
    <cellStyle name="40% - Accent4 3 3 2 3 2 2 2" xfId="11692" xr:uid="{00000000-0005-0000-0000-000036760000}"/>
    <cellStyle name="40% - Accent4 3 3 2 3 2 2 2 2" xfId="22993" xr:uid="{00000000-0005-0000-0000-000037760000}"/>
    <cellStyle name="40% - Accent4 3 3 2 3 2 2 2 2 2" xfId="45595" xr:uid="{00000000-0005-0000-0000-000038760000}"/>
    <cellStyle name="40% - Accent4 3 3 2 3 2 2 2 3" xfId="34294" xr:uid="{00000000-0005-0000-0000-000039760000}"/>
    <cellStyle name="40% - Accent4 3 3 2 3 2 2 3" xfId="17343" xr:uid="{00000000-0005-0000-0000-00003A760000}"/>
    <cellStyle name="40% - Accent4 3 3 2 3 2 2 3 2" xfId="39945" xr:uid="{00000000-0005-0000-0000-00003B760000}"/>
    <cellStyle name="40% - Accent4 3 3 2 3 2 2 4" xfId="28644" xr:uid="{00000000-0005-0000-0000-00003C760000}"/>
    <cellStyle name="40% - Accent4 3 3 2 3 2 3" xfId="8860" xr:uid="{00000000-0005-0000-0000-00003D760000}"/>
    <cellStyle name="40% - Accent4 3 3 2 3 2 3 2" xfId="20161" xr:uid="{00000000-0005-0000-0000-00003E760000}"/>
    <cellStyle name="40% - Accent4 3 3 2 3 2 3 2 2" xfId="42763" xr:uid="{00000000-0005-0000-0000-00003F760000}"/>
    <cellStyle name="40% - Accent4 3 3 2 3 2 3 3" xfId="31462" xr:uid="{00000000-0005-0000-0000-000040760000}"/>
    <cellStyle name="40% - Accent4 3 3 2 3 2 4" xfId="14511" xr:uid="{00000000-0005-0000-0000-000041760000}"/>
    <cellStyle name="40% - Accent4 3 3 2 3 2 4 2" xfId="37113" xr:uid="{00000000-0005-0000-0000-000042760000}"/>
    <cellStyle name="40% - Accent4 3 3 2 3 2 5" xfId="25812" xr:uid="{00000000-0005-0000-0000-000043760000}"/>
    <cellStyle name="40% - Accent4 3 3 2 3 3" xfId="4808" xr:uid="{00000000-0005-0000-0000-000044760000}"/>
    <cellStyle name="40% - Accent4 3 3 2 3 3 2" xfId="10458" xr:uid="{00000000-0005-0000-0000-000045760000}"/>
    <cellStyle name="40% - Accent4 3 3 2 3 3 2 2" xfId="21759" xr:uid="{00000000-0005-0000-0000-000046760000}"/>
    <cellStyle name="40% - Accent4 3 3 2 3 3 2 2 2" xfId="44361" xr:uid="{00000000-0005-0000-0000-000047760000}"/>
    <cellStyle name="40% - Accent4 3 3 2 3 3 2 3" xfId="33060" xr:uid="{00000000-0005-0000-0000-000048760000}"/>
    <cellStyle name="40% - Accent4 3 3 2 3 3 3" xfId="16109" xr:uid="{00000000-0005-0000-0000-000049760000}"/>
    <cellStyle name="40% - Accent4 3 3 2 3 3 3 2" xfId="38711" xr:uid="{00000000-0005-0000-0000-00004A760000}"/>
    <cellStyle name="40% - Accent4 3 3 2 3 3 4" xfId="27410" xr:uid="{00000000-0005-0000-0000-00004B760000}"/>
    <cellStyle name="40% - Accent4 3 3 2 3 4" xfId="6995" xr:uid="{00000000-0005-0000-0000-00004C760000}"/>
    <cellStyle name="40% - Accent4 3 3 2 3 4 2" xfId="18296" xr:uid="{00000000-0005-0000-0000-00004D760000}"/>
    <cellStyle name="40% - Accent4 3 3 2 3 4 2 2" xfId="40898" xr:uid="{00000000-0005-0000-0000-00004E760000}"/>
    <cellStyle name="40% - Accent4 3 3 2 3 4 3" xfId="29597" xr:uid="{00000000-0005-0000-0000-00004F760000}"/>
    <cellStyle name="40% - Accent4 3 3 2 3 5" xfId="12646" xr:uid="{00000000-0005-0000-0000-000050760000}"/>
    <cellStyle name="40% - Accent4 3 3 2 3 5 2" xfId="35248" xr:uid="{00000000-0005-0000-0000-000051760000}"/>
    <cellStyle name="40% - Accent4 3 3 2 3 6" xfId="23947" xr:uid="{00000000-0005-0000-0000-000052760000}"/>
    <cellStyle name="40% - Accent4 3 3 2 4" xfId="1896" xr:uid="{00000000-0005-0000-0000-000053760000}"/>
    <cellStyle name="40% - Accent4 3 3 2 4 2" xfId="3720" xr:uid="{00000000-0005-0000-0000-000054760000}"/>
    <cellStyle name="40% - Accent4 3 3 2 4 2 2" xfId="9430" xr:uid="{00000000-0005-0000-0000-000055760000}"/>
    <cellStyle name="40% - Accent4 3 3 2 4 2 2 2" xfId="20731" xr:uid="{00000000-0005-0000-0000-000056760000}"/>
    <cellStyle name="40% - Accent4 3 3 2 4 2 2 2 2" xfId="43333" xr:uid="{00000000-0005-0000-0000-000057760000}"/>
    <cellStyle name="40% - Accent4 3 3 2 4 2 2 3" xfId="32032" xr:uid="{00000000-0005-0000-0000-000058760000}"/>
    <cellStyle name="40% - Accent4 3 3 2 4 2 3" xfId="15081" xr:uid="{00000000-0005-0000-0000-000059760000}"/>
    <cellStyle name="40% - Accent4 3 3 2 4 2 3 2" xfId="37683" xr:uid="{00000000-0005-0000-0000-00005A760000}"/>
    <cellStyle name="40% - Accent4 3 3 2 4 2 4" xfId="26382" xr:uid="{00000000-0005-0000-0000-00005B760000}"/>
    <cellStyle name="40% - Accent4 3 3 2 4 3" xfId="5418" xr:uid="{00000000-0005-0000-0000-00005C760000}"/>
    <cellStyle name="40% - Accent4 3 3 2 4 3 2" xfId="11068" xr:uid="{00000000-0005-0000-0000-00005D760000}"/>
    <cellStyle name="40% - Accent4 3 3 2 4 3 2 2" xfId="22369" xr:uid="{00000000-0005-0000-0000-00005E760000}"/>
    <cellStyle name="40% - Accent4 3 3 2 4 3 2 2 2" xfId="44971" xr:uid="{00000000-0005-0000-0000-00005F760000}"/>
    <cellStyle name="40% - Accent4 3 3 2 4 3 2 3" xfId="33670" xr:uid="{00000000-0005-0000-0000-000060760000}"/>
    <cellStyle name="40% - Accent4 3 3 2 4 3 3" xfId="16719" xr:uid="{00000000-0005-0000-0000-000061760000}"/>
    <cellStyle name="40% - Accent4 3 3 2 4 3 3 2" xfId="39321" xr:uid="{00000000-0005-0000-0000-000062760000}"/>
    <cellStyle name="40% - Accent4 3 3 2 4 3 4" xfId="28020" xr:uid="{00000000-0005-0000-0000-000063760000}"/>
    <cellStyle name="40% - Accent4 3 3 2 4 4" xfId="7752" xr:uid="{00000000-0005-0000-0000-000064760000}"/>
    <cellStyle name="40% - Accent4 3 3 2 4 4 2" xfId="19053" xr:uid="{00000000-0005-0000-0000-000065760000}"/>
    <cellStyle name="40% - Accent4 3 3 2 4 4 2 2" xfId="41655" xr:uid="{00000000-0005-0000-0000-000066760000}"/>
    <cellStyle name="40% - Accent4 3 3 2 4 4 3" xfId="30354" xr:uid="{00000000-0005-0000-0000-000067760000}"/>
    <cellStyle name="40% - Accent4 3 3 2 4 5" xfId="13403" xr:uid="{00000000-0005-0000-0000-000068760000}"/>
    <cellStyle name="40% - Accent4 3 3 2 4 5 2" xfId="36005" xr:uid="{00000000-0005-0000-0000-000069760000}"/>
    <cellStyle name="40% - Accent4 3 3 2 4 6" xfId="24704" xr:uid="{00000000-0005-0000-0000-00006A760000}"/>
    <cellStyle name="40% - Accent4 3 3 2 5" xfId="2399" xr:uid="{00000000-0005-0000-0000-00006B760000}"/>
    <cellStyle name="40% - Accent4 3 3 2 5 2" xfId="8235" xr:uid="{00000000-0005-0000-0000-00006C760000}"/>
    <cellStyle name="40% - Accent4 3 3 2 5 2 2" xfId="19536" xr:uid="{00000000-0005-0000-0000-00006D760000}"/>
    <cellStyle name="40% - Accent4 3 3 2 5 2 2 2" xfId="42138" xr:uid="{00000000-0005-0000-0000-00006E760000}"/>
    <cellStyle name="40% - Accent4 3 3 2 5 2 3" xfId="30837" xr:uid="{00000000-0005-0000-0000-00006F760000}"/>
    <cellStyle name="40% - Accent4 3 3 2 5 3" xfId="13886" xr:uid="{00000000-0005-0000-0000-000070760000}"/>
    <cellStyle name="40% - Accent4 3 3 2 5 3 2" xfId="36488" xr:uid="{00000000-0005-0000-0000-000071760000}"/>
    <cellStyle name="40% - Accent4 3 3 2 5 4" xfId="25187" xr:uid="{00000000-0005-0000-0000-000072760000}"/>
    <cellStyle name="40% - Accent4 3 3 2 6" xfId="4184" xr:uid="{00000000-0005-0000-0000-000073760000}"/>
    <cellStyle name="40% - Accent4 3 3 2 6 2" xfId="9834" xr:uid="{00000000-0005-0000-0000-000074760000}"/>
    <cellStyle name="40% - Accent4 3 3 2 6 2 2" xfId="21135" xr:uid="{00000000-0005-0000-0000-000075760000}"/>
    <cellStyle name="40% - Accent4 3 3 2 6 2 2 2" xfId="43737" xr:uid="{00000000-0005-0000-0000-000076760000}"/>
    <cellStyle name="40% - Accent4 3 3 2 6 2 3" xfId="32436" xr:uid="{00000000-0005-0000-0000-000077760000}"/>
    <cellStyle name="40% - Accent4 3 3 2 6 3" xfId="15485" xr:uid="{00000000-0005-0000-0000-000078760000}"/>
    <cellStyle name="40% - Accent4 3 3 2 6 3 2" xfId="38087" xr:uid="{00000000-0005-0000-0000-000079760000}"/>
    <cellStyle name="40% - Accent4 3 3 2 6 4" xfId="26786" xr:uid="{00000000-0005-0000-0000-00007A760000}"/>
    <cellStyle name="40% - Accent4 3 3 2 7" xfId="6664" xr:uid="{00000000-0005-0000-0000-00007B760000}"/>
    <cellStyle name="40% - Accent4 3 3 2 7 2" xfId="17965" xr:uid="{00000000-0005-0000-0000-00007C760000}"/>
    <cellStyle name="40% - Accent4 3 3 2 7 2 2" xfId="40567" xr:uid="{00000000-0005-0000-0000-00007D760000}"/>
    <cellStyle name="40% - Accent4 3 3 2 7 3" xfId="29266" xr:uid="{00000000-0005-0000-0000-00007E760000}"/>
    <cellStyle name="40% - Accent4 3 3 2 8" xfId="12315" xr:uid="{00000000-0005-0000-0000-00007F760000}"/>
    <cellStyle name="40% - Accent4 3 3 2 8 2" xfId="34917" xr:uid="{00000000-0005-0000-0000-000080760000}"/>
    <cellStyle name="40% - Accent4 3 3 2 9" xfId="23616" xr:uid="{00000000-0005-0000-0000-000081760000}"/>
    <cellStyle name="40% - Accent4 3 3 3" xfId="1171" xr:uid="{00000000-0005-0000-0000-000082760000}"/>
    <cellStyle name="40% - Accent4 3 3 3 2" xfId="1898" xr:uid="{00000000-0005-0000-0000-000083760000}"/>
    <cellStyle name="40% - Accent4 3 3 3 2 2" xfId="3239" xr:uid="{00000000-0005-0000-0000-000084760000}"/>
    <cellStyle name="40% - Accent4 3 3 3 2 2 2" xfId="6211" xr:uid="{00000000-0005-0000-0000-000085760000}"/>
    <cellStyle name="40% - Accent4 3 3 3 2 2 2 2" xfId="11861" xr:uid="{00000000-0005-0000-0000-000086760000}"/>
    <cellStyle name="40% - Accent4 3 3 3 2 2 2 2 2" xfId="23162" xr:uid="{00000000-0005-0000-0000-000087760000}"/>
    <cellStyle name="40% - Accent4 3 3 3 2 2 2 2 2 2" xfId="45764" xr:uid="{00000000-0005-0000-0000-000088760000}"/>
    <cellStyle name="40% - Accent4 3 3 3 2 2 2 2 3" xfId="34463" xr:uid="{00000000-0005-0000-0000-000089760000}"/>
    <cellStyle name="40% - Accent4 3 3 3 2 2 2 3" xfId="17512" xr:uid="{00000000-0005-0000-0000-00008A760000}"/>
    <cellStyle name="40% - Accent4 3 3 3 2 2 2 3 2" xfId="40114" xr:uid="{00000000-0005-0000-0000-00008B760000}"/>
    <cellStyle name="40% - Accent4 3 3 3 2 2 2 4" xfId="28813" xr:uid="{00000000-0005-0000-0000-00008C760000}"/>
    <cellStyle name="40% - Accent4 3 3 3 2 2 3" xfId="9029" xr:uid="{00000000-0005-0000-0000-00008D760000}"/>
    <cellStyle name="40% - Accent4 3 3 3 2 2 3 2" xfId="20330" xr:uid="{00000000-0005-0000-0000-00008E760000}"/>
    <cellStyle name="40% - Accent4 3 3 3 2 2 3 2 2" xfId="42932" xr:uid="{00000000-0005-0000-0000-00008F760000}"/>
    <cellStyle name="40% - Accent4 3 3 3 2 2 3 3" xfId="31631" xr:uid="{00000000-0005-0000-0000-000090760000}"/>
    <cellStyle name="40% - Accent4 3 3 3 2 2 4" xfId="14680" xr:uid="{00000000-0005-0000-0000-000091760000}"/>
    <cellStyle name="40% - Accent4 3 3 3 2 2 4 2" xfId="37282" xr:uid="{00000000-0005-0000-0000-000092760000}"/>
    <cellStyle name="40% - Accent4 3 3 3 2 2 5" xfId="25981" xr:uid="{00000000-0005-0000-0000-000093760000}"/>
    <cellStyle name="40% - Accent4 3 3 3 2 3" xfId="4977" xr:uid="{00000000-0005-0000-0000-000094760000}"/>
    <cellStyle name="40% - Accent4 3 3 3 2 3 2" xfId="10627" xr:uid="{00000000-0005-0000-0000-000095760000}"/>
    <cellStyle name="40% - Accent4 3 3 3 2 3 2 2" xfId="21928" xr:uid="{00000000-0005-0000-0000-000096760000}"/>
    <cellStyle name="40% - Accent4 3 3 3 2 3 2 2 2" xfId="44530" xr:uid="{00000000-0005-0000-0000-000097760000}"/>
    <cellStyle name="40% - Accent4 3 3 3 2 3 2 3" xfId="33229" xr:uid="{00000000-0005-0000-0000-000098760000}"/>
    <cellStyle name="40% - Accent4 3 3 3 2 3 3" xfId="16278" xr:uid="{00000000-0005-0000-0000-000099760000}"/>
    <cellStyle name="40% - Accent4 3 3 3 2 3 3 2" xfId="38880" xr:uid="{00000000-0005-0000-0000-00009A760000}"/>
    <cellStyle name="40% - Accent4 3 3 3 2 3 4" xfId="27579" xr:uid="{00000000-0005-0000-0000-00009B760000}"/>
    <cellStyle name="40% - Accent4 3 3 3 2 4" xfId="7754" xr:uid="{00000000-0005-0000-0000-00009C760000}"/>
    <cellStyle name="40% - Accent4 3 3 3 2 4 2" xfId="19055" xr:uid="{00000000-0005-0000-0000-00009D760000}"/>
    <cellStyle name="40% - Accent4 3 3 3 2 4 2 2" xfId="41657" xr:uid="{00000000-0005-0000-0000-00009E760000}"/>
    <cellStyle name="40% - Accent4 3 3 3 2 4 3" xfId="30356" xr:uid="{00000000-0005-0000-0000-00009F760000}"/>
    <cellStyle name="40% - Accent4 3 3 3 2 5" xfId="13405" xr:uid="{00000000-0005-0000-0000-0000A0760000}"/>
    <cellStyle name="40% - Accent4 3 3 3 2 5 2" xfId="36007" xr:uid="{00000000-0005-0000-0000-0000A1760000}"/>
    <cellStyle name="40% - Accent4 3 3 3 2 6" xfId="24706" xr:uid="{00000000-0005-0000-0000-0000A2760000}"/>
    <cellStyle name="40% - Accent4 3 3 3 3" xfId="2568" xr:uid="{00000000-0005-0000-0000-0000A3760000}"/>
    <cellStyle name="40% - Accent4 3 3 3 3 2" xfId="5587" xr:uid="{00000000-0005-0000-0000-0000A4760000}"/>
    <cellStyle name="40% - Accent4 3 3 3 3 2 2" xfId="11237" xr:uid="{00000000-0005-0000-0000-0000A5760000}"/>
    <cellStyle name="40% - Accent4 3 3 3 3 2 2 2" xfId="22538" xr:uid="{00000000-0005-0000-0000-0000A6760000}"/>
    <cellStyle name="40% - Accent4 3 3 3 3 2 2 2 2" xfId="45140" xr:uid="{00000000-0005-0000-0000-0000A7760000}"/>
    <cellStyle name="40% - Accent4 3 3 3 3 2 2 3" xfId="33839" xr:uid="{00000000-0005-0000-0000-0000A8760000}"/>
    <cellStyle name="40% - Accent4 3 3 3 3 2 3" xfId="16888" xr:uid="{00000000-0005-0000-0000-0000A9760000}"/>
    <cellStyle name="40% - Accent4 3 3 3 3 2 3 2" xfId="39490" xr:uid="{00000000-0005-0000-0000-0000AA760000}"/>
    <cellStyle name="40% - Accent4 3 3 3 3 2 4" xfId="28189" xr:uid="{00000000-0005-0000-0000-0000AB760000}"/>
    <cellStyle name="40% - Accent4 3 3 3 3 3" xfId="8404" xr:uid="{00000000-0005-0000-0000-0000AC760000}"/>
    <cellStyle name="40% - Accent4 3 3 3 3 3 2" xfId="19705" xr:uid="{00000000-0005-0000-0000-0000AD760000}"/>
    <cellStyle name="40% - Accent4 3 3 3 3 3 2 2" xfId="42307" xr:uid="{00000000-0005-0000-0000-0000AE760000}"/>
    <cellStyle name="40% - Accent4 3 3 3 3 3 3" xfId="31006" xr:uid="{00000000-0005-0000-0000-0000AF760000}"/>
    <cellStyle name="40% - Accent4 3 3 3 3 4" xfId="14055" xr:uid="{00000000-0005-0000-0000-0000B0760000}"/>
    <cellStyle name="40% - Accent4 3 3 3 3 4 2" xfId="36657" xr:uid="{00000000-0005-0000-0000-0000B1760000}"/>
    <cellStyle name="40% - Accent4 3 3 3 3 5" xfId="25356" xr:uid="{00000000-0005-0000-0000-0000B2760000}"/>
    <cellStyle name="40% - Accent4 3 3 3 4" xfId="4353" xr:uid="{00000000-0005-0000-0000-0000B3760000}"/>
    <cellStyle name="40% - Accent4 3 3 3 4 2" xfId="10003" xr:uid="{00000000-0005-0000-0000-0000B4760000}"/>
    <cellStyle name="40% - Accent4 3 3 3 4 2 2" xfId="21304" xr:uid="{00000000-0005-0000-0000-0000B5760000}"/>
    <cellStyle name="40% - Accent4 3 3 3 4 2 2 2" xfId="43906" xr:uid="{00000000-0005-0000-0000-0000B6760000}"/>
    <cellStyle name="40% - Accent4 3 3 3 4 2 3" xfId="32605" xr:uid="{00000000-0005-0000-0000-0000B7760000}"/>
    <cellStyle name="40% - Accent4 3 3 3 4 3" xfId="15654" xr:uid="{00000000-0005-0000-0000-0000B8760000}"/>
    <cellStyle name="40% - Accent4 3 3 3 4 3 2" xfId="38256" xr:uid="{00000000-0005-0000-0000-0000B9760000}"/>
    <cellStyle name="40% - Accent4 3 3 3 4 4" xfId="26955" xr:uid="{00000000-0005-0000-0000-0000BA760000}"/>
    <cellStyle name="40% - Accent4 3 3 3 5" xfId="7150" xr:uid="{00000000-0005-0000-0000-0000BB760000}"/>
    <cellStyle name="40% - Accent4 3 3 3 5 2" xfId="18451" xr:uid="{00000000-0005-0000-0000-0000BC760000}"/>
    <cellStyle name="40% - Accent4 3 3 3 5 2 2" xfId="41053" xr:uid="{00000000-0005-0000-0000-0000BD760000}"/>
    <cellStyle name="40% - Accent4 3 3 3 5 3" xfId="29752" xr:uid="{00000000-0005-0000-0000-0000BE760000}"/>
    <cellStyle name="40% - Accent4 3 3 3 6" xfId="12801" xr:uid="{00000000-0005-0000-0000-0000BF760000}"/>
    <cellStyle name="40% - Accent4 3 3 3 6 2" xfId="35403" xr:uid="{00000000-0005-0000-0000-0000C0760000}"/>
    <cellStyle name="40% - Accent4 3 3 3 7" xfId="24102" xr:uid="{00000000-0005-0000-0000-0000C1760000}"/>
    <cellStyle name="40% - Accent4 3 3 4" xfId="862" xr:uid="{00000000-0005-0000-0000-0000C2760000}"/>
    <cellStyle name="40% - Accent4 3 3 4 2" xfId="2932" xr:uid="{00000000-0005-0000-0000-0000C3760000}"/>
    <cellStyle name="40% - Accent4 3 3 4 2 2" xfId="5904" xr:uid="{00000000-0005-0000-0000-0000C4760000}"/>
    <cellStyle name="40% - Accent4 3 3 4 2 2 2" xfId="11554" xr:uid="{00000000-0005-0000-0000-0000C5760000}"/>
    <cellStyle name="40% - Accent4 3 3 4 2 2 2 2" xfId="22855" xr:uid="{00000000-0005-0000-0000-0000C6760000}"/>
    <cellStyle name="40% - Accent4 3 3 4 2 2 2 2 2" xfId="45457" xr:uid="{00000000-0005-0000-0000-0000C7760000}"/>
    <cellStyle name="40% - Accent4 3 3 4 2 2 2 3" xfId="34156" xr:uid="{00000000-0005-0000-0000-0000C8760000}"/>
    <cellStyle name="40% - Accent4 3 3 4 2 2 3" xfId="17205" xr:uid="{00000000-0005-0000-0000-0000C9760000}"/>
    <cellStyle name="40% - Accent4 3 3 4 2 2 3 2" xfId="39807" xr:uid="{00000000-0005-0000-0000-0000CA760000}"/>
    <cellStyle name="40% - Accent4 3 3 4 2 2 4" xfId="28506" xr:uid="{00000000-0005-0000-0000-0000CB760000}"/>
    <cellStyle name="40% - Accent4 3 3 4 2 3" xfId="8722" xr:uid="{00000000-0005-0000-0000-0000CC760000}"/>
    <cellStyle name="40% - Accent4 3 3 4 2 3 2" xfId="20023" xr:uid="{00000000-0005-0000-0000-0000CD760000}"/>
    <cellStyle name="40% - Accent4 3 3 4 2 3 2 2" xfId="42625" xr:uid="{00000000-0005-0000-0000-0000CE760000}"/>
    <cellStyle name="40% - Accent4 3 3 4 2 3 3" xfId="31324" xr:uid="{00000000-0005-0000-0000-0000CF760000}"/>
    <cellStyle name="40% - Accent4 3 3 4 2 4" xfId="14373" xr:uid="{00000000-0005-0000-0000-0000D0760000}"/>
    <cellStyle name="40% - Accent4 3 3 4 2 4 2" xfId="36975" xr:uid="{00000000-0005-0000-0000-0000D1760000}"/>
    <cellStyle name="40% - Accent4 3 3 4 2 5" xfId="25674" xr:uid="{00000000-0005-0000-0000-0000D2760000}"/>
    <cellStyle name="40% - Accent4 3 3 4 3" xfId="4670" xr:uid="{00000000-0005-0000-0000-0000D3760000}"/>
    <cellStyle name="40% - Accent4 3 3 4 3 2" xfId="10320" xr:uid="{00000000-0005-0000-0000-0000D4760000}"/>
    <cellStyle name="40% - Accent4 3 3 4 3 2 2" xfId="21621" xr:uid="{00000000-0005-0000-0000-0000D5760000}"/>
    <cellStyle name="40% - Accent4 3 3 4 3 2 2 2" xfId="44223" xr:uid="{00000000-0005-0000-0000-0000D6760000}"/>
    <cellStyle name="40% - Accent4 3 3 4 3 2 3" xfId="32922" xr:uid="{00000000-0005-0000-0000-0000D7760000}"/>
    <cellStyle name="40% - Accent4 3 3 4 3 3" xfId="15971" xr:uid="{00000000-0005-0000-0000-0000D8760000}"/>
    <cellStyle name="40% - Accent4 3 3 4 3 3 2" xfId="38573" xr:uid="{00000000-0005-0000-0000-0000D9760000}"/>
    <cellStyle name="40% - Accent4 3 3 4 3 4" xfId="27272" xr:uid="{00000000-0005-0000-0000-0000DA760000}"/>
    <cellStyle name="40% - Accent4 3 3 4 4" xfId="6857" xr:uid="{00000000-0005-0000-0000-0000DB760000}"/>
    <cellStyle name="40% - Accent4 3 3 4 4 2" xfId="18158" xr:uid="{00000000-0005-0000-0000-0000DC760000}"/>
    <cellStyle name="40% - Accent4 3 3 4 4 2 2" xfId="40760" xr:uid="{00000000-0005-0000-0000-0000DD760000}"/>
    <cellStyle name="40% - Accent4 3 3 4 4 3" xfId="29459" xr:uid="{00000000-0005-0000-0000-0000DE760000}"/>
    <cellStyle name="40% - Accent4 3 3 4 5" xfId="12508" xr:uid="{00000000-0005-0000-0000-0000DF760000}"/>
    <cellStyle name="40% - Accent4 3 3 4 5 2" xfId="35110" xr:uid="{00000000-0005-0000-0000-0000E0760000}"/>
    <cellStyle name="40% - Accent4 3 3 4 6" xfId="23809" xr:uid="{00000000-0005-0000-0000-0000E1760000}"/>
    <cellStyle name="40% - Accent4 3 3 5" xfId="1895" xr:uid="{00000000-0005-0000-0000-0000E2760000}"/>
    <cellStyle name="40% - Accent4 3 3 5 2" xfId="3719" xr:uid="{00000000-0005-0000-0000-0000E3760000}"/>
    <cellStyle name="40% - Accent4 3 3 5 2 2" xfId="9429" xr:uid="{00000000-0005-0000-0000-0000E4760000}"/>
    <cellStyle name="40% - Accent4 3 3 5 2 2 2" xfId="20730" xr:uid="{00000000-0005-0000-0000-0000E5760000}"/>
    <cellStyle name="40% - Accent4 3 3 5 2 2 2 2" xfId="43332" xr:uid="{00000000-0005-0000-0000-0000E6760000}"/>
    <cellStyle name="40% - Accent4 3 3 5 2 2 3" xfId="32031" xr:uid="{00000000-0005-0000-0000-0000E7760000}"/>
    <cellStyle name="40% - Accent4 3 3 5 2 3" xfId="15080" xr:uid="{00000000-0005-0000-0000-0000E8760000}"/>
    <cellStyle name="40% - Accent4 3 3 5 2 3 2" xfId="37682" xr:uid="{00000000-0005-0000-0000-0000E9760000}"/>
    <cellStyle name="40% - Accent4 3 3 5 2 4" xfId="26381" xr:uid="{00000000-0005-0000-0000-0000EA760000}"/>
    <cellStyle name="40% - Accent4 3 3 5 3" xfId="5280" xr:uid="{00000000-0005-0000-0000-0000EB760000}"/>
    <cellStyle name="40% - Accent4 3 3 5 3 2" xfId="10930" xr:uid="{00000000-0005-0000-0000-0000EC760000}"/>
    <cellStyle name="40% - Accent4 3 3 5 3 2 2" xfId="22231" xr:uid="{00000000-0005-0000-0000-0000ED760000}"/>
    <cellStyle name="40% - Accent4 3 3 5 3 2 2 2" xfId="44833" xr:uid="{00000000-0005-0000-0000-0000EE760000}"/>
    <cellStyle name="40% - Accent4 3 3 5 3 2 3" xfId="33532" xr:uid="{00000000-0005-0000-0000-0000EF760000}"/>
    <cellStyle name="40% - Accent4 3 3 5 3 3" xfId="16581" xr:uid="{00000000-0005-0000-0000-0000F0760000}"/>
    <cellStyle name="40% - Accent4 3 3 5 3 3 2" xfId="39183" xr:uid="{00000000-0005-0000-0000-0000F1760000}"/>
    <cellStyle name="40% - Accent4 3 3 5 3 4" xfId="27882" xr:uid="{00000000-0005-0000-0000-0000F2760000}"/>
    <cellStyle name="40% - Accent4 3 3 5 4" xfId="7751" xr:uid="{00000000-0005-0000-0000-0000F3760000}"/>
    <cellStyle name="40% - Accent4 3 3 5 4 2" xfId="19052" xr:uid="{00000000-0005-0000-0000-0000F4760000}"/>
    <cellStyle name="40% - Accent4 3 3 5 4 2 2" xfId="41654" xr:uid="{00000000-0005-0000-0000-0000F5760000}"/>
    <cellStyle name="40% - Accent4 3 3 5 4 3" xfId="30353" xr:uid="{00000000-0005-0000-0000-0000F6760000}"/>
    <cellStyle name="40% - Accent4 3 3 5 5" xfId="13402" xr:uid="{00000000-0005-0000-0000-0000F7760000}"/>
    <cellStyle name="40% - Accent4 3 3 5 5 2" xfId="36004" xr:uid="{00000000-0005-0000-0000-0000F8760000}"/>
    <cellStyle name="40% - Accent4 3 3 5 6" xfId="24703" xr:uid="{00000000-0005-0000-0000-0000F9760000}"/>
    <cellStyle name="40% - Accent4 3 3 6" xfId="2259" xr:uid="{00000000-0005-0000-0000-0000FA760000}"/>
    <cellStyle name="40% - Accent4 3 3 6 2" xfId="8095" xr:uid="{00000000-0005-0000-0000-0000FB760000}"/>
    <cellStyle name="40% - Accent4 3 3 6 2 2" xfId="19396" xr:uid="{00000000-0005-0000-0000-0000FC760000}"/>
    <cellStyle name="40% - Accent4 3 3 6 2 2 2" xfId="41998" xr:uid="{00000000-0005-0000-0000-0000FD760000}"/>
    <cellStyle name="40% - Accent4 3 3 6 2 3" xfId="30697" xr:uid="{00000000-0005-0000-0000-0000FE760000}"/>
    <cellStyle name="40% - Accent4 3 3 6 3" xfId="13746" xr:uid="{00000000-0005-0000-0000-0000FF760000}"/>
    <cellStyle name="40% - Accent4 3 3 6 3 2" xfId="36348" xr:uid="{00000000-0005-0000-0000-000000770000}"/>
    <cellStyle name="40% - Accent4 3 3 6 4" xfId="25047" xr:uid="{00000000-0005-0000-0000-000001770000}"/>
    <cellStyle name="40% - Accent4 3 3 7" xfId="4046" xr:uid="{00000000-0005-0000-0000-000002770000}"/>
    <cellStyle name="40% - Accent4 3 3 7 2" xfId="9696" xr:uid="{00000000-0005-0000-0000-000003770000}"/>
    <cellStyle name="40% - Accent4 3 3 7 2 2" xfId="20997" xr:uid="{00000000-0005-0000-0000-000004770000}"/>
    <cellStyle name="40% - Accent4 3 3 7 2 2 2" xfId="43599" xr:uid="{00000000-0005-0000-0000-000005770000}"/>
    <cellStyle name="40% - Accent4 3 3 7 2 3" xfId="32298" xr:uid="{00000000-0005-0000-0000-000006770000}"/>
    <cellStyle name="40% - Accent4 3 3 7 3" xfId="15347" xr:uid="{00000000-0005-0000-0000-000007770000}"/>
    <cellStyle name="40% - Accent4 3 3 7 3 2" xfId="37949" xr:uid="{00000000-0005-0000-0000-000008770000}"/>
    <cellStyle name="40% - Accent4 3 3 7 4" xfId="26648" xr:uid="{00000000-0005-0000-0000-000009770000}"/>
    <cellStyle name="40% - Accent4 3 3 8" xfId="6497" xr:uid="{00000000-0005-0000-0000-00000A770000}"/>
    <cellStyle name="40% - Accent4 3 3 8 2" xfId="17798" xr:uid="{00000000-0005-0000-0000-00000B770000}"/>
    <cellStyle name="40% - Accent4 3 3 8 2 2" xfId="40400" xr:uid="{00000000-0005-0000-0000-00000C770000}"/>
    <cellStyle name="40% - Accent4 3 3 8 3" xfId="29099" xr:uid="{00000000-0005-0000-0000-00000D770000}"/>
    <cellStyle name="40% - Accent4 3 3 9" xfId="12148" xr:uid="{00000000-0005-0000-0000-00000E770000}"/>
    <cellStyle name="40% - Accent4 3 3 9 2" xfId="34750" xr:uid="{00000000-0005-0000-0000-00000F770000}"/>
    <cellStyle name="40% - Accent4 3 4" xfId="496" xr:uid="{00000000-0005-0000-0000-000010770000}"/>
    <cellStyle name="40% - Accent4 3 4 2" xfId="1075" xr:uid="{00000000-0005-0000-0000-000011770000}"/>
    <cellStyle name="40% - Accent4 3 4 2 2" xfId="1900" xr:uid="{00000000-0005-0000-0000-000012770000}"/>
    <cellStyle name="40% - Accent4 3 4 2 2 2" xfId="3142" xr:uid="{00000000-0005-0000-0000-000013770000}"/>
    <cellStyle name="40% - Accent4 3 4 2 2 2 2" xfId="6114" xr:uid="{00000000-0005-0000-0000-000014770000}"/>
    <cellStyle name="40% - Accent4 3 4 2 2 2 2 2" xfId="11764" xr:uid="{00000000-0005-0000-0000-000015770000}"/>
    <cellStyle name="40% - Accent4 3 4 2 2 2 2 2 2" xfId="23065" xr:uid="{00000000-0005-0000-0000-000016770000}"/>
    <cellStyle name="40% - Accent4 3 4 2 2 2 2 2 2 2" xfId="45667" xr:uid="{00000000-0005-0000-0000-000017770000}"/>
    <cellStyle name="40% - Accent4 3 4 2 2 2 2 2 3" xfId="34366" xr:uid="{00000000-0005-0000-0000-000018770000}"/>
    <cellStyle name="40% - Accent4 3 4 2 2 2 2 3" xfId="17415" xr:uid="{00000000-0005-0000-0000-000019770000}"/>
    <cellStyle name="40% - Accent4 3 4 2 2 2 2 3 2" xfId="40017" xr:uid="{00000000-0005-0000-0000-00001A770000}"/>
    <cellStyle name="40% - Accent4 3 4 2 2 2 2 4" xfId="28716" xr:uid="{00000000-0005-0000-0000-00001B770000}"/>
    <cellStyle name="40% - Accent4 3 4 2 2 2 3" xfId="8932" xr:uid="{00000000-0005-0000-0000-00001C770000}"/>
    <cellStyle name="40% - Accent4 3 4 2 2 2 3 2" xfId="20233" xr:uid="{00000000-0005-0000-0000-00001D770000}"/>
    <cellStyle name="40% - Accent4 3 4 2 2 2 3 2 2" xfId="42835" xr:uid="{00000000-0005-0000-0000-00001E770000}"/>
    <cellStyle name="40% - Accent4 3 4 2 2 2 3 3" xfId="31534" xr:uid="{00000000-0005-0000-0000-00001F770000}"/>
    <cellStyle name="40% - Accent4 3 4 2 2 2 4" xfId="14583" xr:uid="{00000000-0005-0000-0000-000020770000}"/>
    <cellStyle name="40% - Accent4 3 4 2 2 2 4 2" xfId="37185" xr:uid="{00000000-0005-0000-0000-000021770000}"/>
    <cellStyle name="40% - Accent4 3 4 2 2 2 5" xfId="25884" xr:uid="{00000000-0005-0000-0000-000022770000}"/>
    <cellStyle name="40% - Accent4 3 4 2 2 3" xfId="4880" xr:uid="{00000000-0005-0000-0000-000023770000}"/>
    <cellStyle name="40% - Accent4 3 4 2 2 3 2" xfId="10530" xr:uid="{00000000-0005-0000-0000-000024770000}"/>
    <cellStyle name="40% - Accent4 3 4 2 2 3 2 2" xfId="21831" xr:uid="{00000000-0005-0000-0000-000025770000}"/>
    <cellStyle name="40% - Accent4 3 4 2 2 3 2 2 2" xfId="44433" xr:uid="{00000000-0005-0000-0000-000026770000}"/>
    <cellStyle name="40% - Accent4 3 4 2 2 3 2 3" xfId="33132" xr:uid="{00000000-0005-0000-0000-000027770000}"/>
    <cellStyle name="40% - Accent4 3 4 2 2 3 3" xfId="16181" xr:uid="{00000000-0005-0000-0000-000028770000}"/>
    <cellStyle name="40% - Accent4 3 4 2 2 3 3 2" xfId="38783" xr:uid="{00000000-0005-0000-0000-000029770000}"/>
    <cellStyle name="40% - Accent4 3 4 2 2 3 4" xfId="27482" xr:uid="{00000000-0005-0000-0000-00002A770000}"/>
    <cellStyle name="40% - Accent4 3 4 2 2 4" xfId="7756" xr:uid="{00000000-0005-0000-0000-00002B770000}"/>
    <cellStyle name="40% - Accent4 3 4 2 2 4 2" xfId="19057" xr:uid="{00000000-0005-0000-0000-00002C770000}"/>
    <cellStyle name="40% - Accent4 3 4 2 2 4 2 2" xfId="41659" xr:uid="{00000000-0005-0000-0000-00002D770000}"/>
    <cellStyle name="40% - Accent4 3 4 2 2 4 3" xfId="30358" xr:uid="{00000000-0005-0000-0000-00002E770000}"/>
    <cellStyle name="40% - Accent4 3 4 2 2 5" xfId="13407" xr:uid="{00000000-0005-0000-0000-00002F770000}"/>
    <cellStyle name="40% - Accent4 3 4 2 2 5 2" xfId="36009" xr:uid="{00000000-0005-0000-0000-000030770000}"/>
    <cellStyle name="40% - Accent4 3 4 2 2 6" xfId="24708" xr:uid="{00000000-0005-0000-0000-000031770000}"/>
    <cellStyle name="40% - Accent4 3 4 2 3" xfId="2471" xr:uid="{00000000-0005-0000-0000-000032770000}"/>
    <cellStyle name="40% - Accent4 3 4 2 3 2" xfId="5490" xr:uid="{00000000-0005-0000-0000-000033770000}"/>
    <cellStyle name="40% - Accent4 3 4 2 3 2 2" xfId="11140" xr:uid="{00000000-0005-0000-0000-000034770000}"/>
    <cellStyle name="40% - Accent4 3 4 2 3 2 2 2" xfId="22441" xr:uid="{00000000-0005-0000-0000-000035770000}"/>
    <cellStyle name="40% - Accent4 3 4 2 3 2 2 2 2" xfId="45043" xr:uid="{00000000-0005-0000-0000-000036770000}"/>
    <cellStyle name="40% - Accent4 3 4 2 3 2 2 3" xfId="33742" xr:uid="{00000000-0005-0000-0000-000037770000}"/>
    <cellStyle name="40% - Accent4 3 4 2 3 2 3" xfId="16791" xr:uid="{00000000-0005-0000-0000-000038770000}"/>
    <cellStyle name="40% - Accent4 3 4 2 3 2 3 2" xfId="39393" xr:uid="{00000000-0005-0000-0000-000039770000}"/>
    <cellStyle name="40% - Accent4 3 4 2 3 2 4" xfId="28092" xr:uid="{00000000-0005-0000-0000-00003A770000}"/>
    <cellStyle name="40% - Accent4 3 4 2 3 3" xfId="8307" xr:uid="{00000000-0005-0000-0000-00003B770000}"/>
    <cellStyle name="40% - Accent4 3 4 2 3 3 2" xfId="19608" xr:uid="{00000000-0005-0000-0000-00003C770000}"/>
    <cellStyle name="40% - Accent4 3 4 2 3 3 2 2" xfId="42210" xr:uid="{00000000-0005-0000-0000-00003D770000}"/>
    <cellStyle name="40% - Accent4 3 4 2 3 3 3" xfId="30909" xr:uid="{00000000-0005-0000-0000-00003E770000}"/>
    <cellStyle name="40% - Accent4 3 4 2 3 4" xfId="13958" xr:uid="{00000000-0005-0000-0000-00003F770000}"/>
    <cellStyle name="40% - Accent4 3 4 2 3 4 2" xfId="36560" xr:uid="{00000000-0005-0000-0000-000040770000}"/>
    <cellStyle name="40% - Accent4 3 4 2 3 5" xfId="25259" xr:uid="{00000000-0005-0000-0000-000041770000}"/>
    <cellStyle name="40% - Accent4 3 4 2 4" xfId="4256" xr:uid="{00000000-0005-0000-0000-000042770000}"/>
    <cellStyle name="40% - Accent4 3 4 2 4 2" xfId="9906" xr:uid="{00000000-0005-0000-0000-000043770000}"/>
    <cellStyle name="40% - Accent4 3 4 2 4 2 2" xfId="21207" xr:uid="{00000000-0005-0000-0000-000044770000}"/>
    <cellStyle name="40% - Accent4 3 4 2 4 2 2 2" xfId="43809" xr:uid="{00000000-0005-0000-0000-000045770000}"/>
    <cellStyle name="40% - Accent4 3 4 2 4 2 3" xfId="32508" xr:uid="{00000000-0005-0000-0000-000046770000}"/>
    <cellStyle name="40% - Accent4 3 4 2 4 3" xfId="15557" xr:uid="{00000000-0005-0000-0000-000047770000}"/>
    <cellStyle name="40% - Accent4 3 4 2 4 3 2" xfId="38159" xr:uid="{00000000-0005-0000-0000-000048770000}"/>
    <cellStyle name="40% - Accent4 3 4 2 4 4" xfId="26858" xr:uid="{00000000-0005-0000-0000-000049770000}"/>
    <cellStyle name="40% - Accent4 3 4 2 5" xfId="7054" xr:uid="{00000000-0005-0000-0000-00004A770000}"/>
    <cellStyle name="40% - Accent4 3 4 2 5 2" xfId="18355" xr:uid="{00000000-0005-0000-0000-00004B770000}"/>
    <cellStyle name="40% - Accent4 3 4 2 5 2 2" xfId="40957" xr:uid="{00000000-0005-0000-0000-00004C770000}"/>
    <cellStyle name="40% - Accent4 3 4 2 5 3" xfId="29656" xr:uid="{00000000-0005-0000-0000-00004D770000}"/>
    <cellStyle name="40% - Accent4 3 4 2 6" xfId="12705" xr:uid="{00000000-0005-0000-0000-00004E770000}"/>
    <cellStyle name="40% - Accent4 3 4 2 6 2" xfId="35307" xr:uid="{00000000-0005-0000-0000-00004F770000}"/>
    <cellStyle name="40% - Accent4 3 4 2 7" xfId="24006" xr:uid="{00000000-0005-0000-0000-000050770000}"/>
    <cellStyle name="40% - Accent4 3 4 3" xfId="748" xr:uid="{00000000-0005-0000-0000-000051770000}"/>
    <cellStyle name="40% - Accent4 3 4 3 2" xfId="2836" xr:uid="{00000000-0005-0000-0000-000052770000}"/>
    <cellStyle name="40% - Accent4 3 4 3 2 2" xfId="5808" xr:uid="{00000000-0005-0000-0000-000053770000}"/>
    <cellStyle name="40% - Accent4 3 4 3 2 2 2" xfId="11458" xr:uid="{00000000-0005-0000-0000-000054770000}"/>
    <cellStyle name="40% - Accent4 3 4 3 2 2 2 2" xfId="22759" xr:uid="{00000000-0005-0000-0000-000055770000}"/>
    <cellStyle name="40% - Accent4 3 4 3 2 2 2 2 2" xfId="45361" xr:uid="{00000000-0005-0000-0000-000056770000}"/>
    <cellStyle name="40% - Accent4 3 4 3 2 2 2 3" xfId="34060" xr:uid="{00000000-0005-0000-0000-000057770000}"/>
    <cellStyle name="40% - Accent4 3 4 3 2 2 3" xfId="17109" xr:uid="{00000000-0005-0000-0000-000058770000}"/>
    <cellStyle name="40% - Accent4 3 4 3 2 2 3 2" xfId="39711" xr:uid="{00000000-0005-0000-0000-000059770000}"/>
    <cellStyle name="40% - Accent4 3 4 3 2 2 4" xfId="28410" xr:uid="{00000000-0005-0000-0000-00005A770000}"/>
    <cellStyle name="40% - Accent4 3 4 3 2 3" xfId="8626" xr:uid="{00000000-0005-0000-0000-00005B770000}"/>
    <cellStyle name="40% - Accent4 3 4 3 2 3 2" xfId="19927" xr:uid="{00000000-0005-0000-0000-00005C770000}"/>
    <cellStyle name="40% - Accent4 3 4 3 2 3 2 2" xfId="42529" xr:uid="{00000000-0005-0000-0000-00005D770000}"/>
    <cellStyle name="40% - Accent4 3 4 3 2 3 3" xfId="31228" xr:uid="{00000000-0005-0000-0000-00005E770000}"/>
    <cellStyle name="40% - Accent4 3 4 3 2 4" xfId="14277" xr:uid="{00000000-0005-0000-0000-00005F770000}"/>
    <cellStyle name="40% - Accent4 3 4 3 2 4 2" xfId="36879" xr:uid="{00000000-0005-0000-0000-000060770000}"/>
    <cellStyle name="40% - Accent4 3 4 3 2 5" xfId="25578" xr:uid="{00000000-0005-0000-0000-000061770000}"/>
    <cellStyle name="40% - Accent4 3 4 3 3" xfId="4574" xr:uid="{00000000-0005-0000-0000-000062770000}"/>
    <cellStyle name="40% - Accent4 3 4 3 3 2" xfId="10224" xr:uid="{00000000-0005-0000-0000-000063770000}"/>
    <cellStyle name="40% - Accent4 3 4 3 3 2 2" xfId="21525" xr:uid="{00000000-0005-0000-0000-000064770000}"/>
    <cellStyle name="40% - Accent4 3 4 3 3 2 2 2" xfId="44127" xr:uid="{00000000-0005-0000-0000-000065770000}"/>
    <cellStyle name="40% - Accent4 3 4 3 3 2 3" xfId="32826" xr:uid="{00000000-0005-0000-0000-000066770000}"/>
    <cellStyle name="40% - Accent4 3 4 3 3 3" xfId="15875" xr:uid="{00000000-0005-0000-0000-000067770000}"/>
    <cellStyle name="40% - Accent4 3 4 3 3 3 2" xfId="38477" xr:uid="{00000000-0005-0000-0000-000068770000}"/>
    <cellStyle name="40% - Accent4 3 4 3 3 4" xfId="27176" xr:uid="{00000000-0005-0000-0000-000069770000}"/>
    <cellStyle name="40% - Accent4 3 4 3 4" xfId="6757" xr:uid="{00000000-0005-0000-0000-00006A770000}"/>
    <cellStyle name="40% - Accent4 3 4 3 4 2" xfId="18058" xr:uid="{00000000-0005-0000-0000-00006B770000}"/>
    <cellStyle name="40% - Accent4 3 4 3 4 2 2" xfId="40660" xr:uid="{00000000-0005-0000-0000-00006C770000}"/>
    <cellStyle name="40% - Accent4 3 4 3 4 3" xfId="29359" xr:uid="{00000000-0005-0000-0000-00006D770000}"/>
    <cellStyle name="40% - Accent4 3 4 3 5" xfId="12408" xr:uid="{00000000-0005-0000-0000-00006E770000}"/>
    <cellStyle name="40% - Accent4 3 4 3 5 2" xfId="35010" xr:uid="{00000000-0005-0000-0000-00006F770000}"/>
    <cellStyle name="40% - Accent4 3 4 3 6" xfId="23709" xr:uid="{00000000-0005-0000-0000-000070770000}"/>
    <cellStyle name="40% - Accent4 3 4 4" xfId="1899" xr:uid="{00000000-0005-0000-0000-000071770000}"/>
    <cellStyle name="40% - Accent4 3 4 4 2" xfId="3721" xr:uid="{00000000-0005-0000-0000-000072770000}"/>
    <cellStyle name="40% - Accent4 3 4 4 2 2" xfId="9431" xr:uid="{00000000-0005-0000-0000-000073770000}"/>
    <cellStyle name="40% - Accent4 3 4 4 2 2 2" xfId="20732" xr:uid="{00000000-0005-0000-0000-000074770000}"/>
    <cellStyle name="40% - Accent4 3 4 4 2 2 2 2" xfId="43334" xr:uid="{00000000-0005-0000-0000-000075770000}"/>
    <cellStyle name="40% - Accent4 3 4 4 2 2 3" xfId="32033" xr:uid="{00000000-0005-0000-0000-000076770000}"/>
    <cellStyle name="40% - Accent4 3 4 4 2 3" xfId="15082" xr:uid="{00000000-0005-0000-0000-000077770000}"/>
    <cellStyle name="40% - Accent4 3 4 4 2 3 2" xfId="37684" xr:uid="{00000000-0005-0000-0000-000078770000}"/>
    <cellStyle name="40% - Accent4 3 4 4 2 4" xfId="26383" xr:uid="{00000000-0005-0000-0000-000079770000}"/>
    <cellStyle name="40% - Accent4 3 4 4 3" xfId="5184" xr:uid="{00000000-0005-0000-0000-00007A770000}"/>
    <cellStyle name="40% - Accent4 3 4 4 3 2" xfId="10834" xr:uid="{00000000-0005-0000-0000-00007B770000}"/>
    <cellStyle name="40% - Accent4 3 4 4 3 2 2" xfId="22135" xr:uid="{00000000-0005-0000-0000-00007C770000}"/>
    <cellStyle name="40% - Accent4 3 4 4 3 2 2 2" xfId="44737" xr:uid="{00000000-0005-0000-0000-00007D770000}"/>
    <cellStyle name="40% - Accent4 3 4 4 3 2 3" xfId="33436" xr:uid="{00000000-0005-0000-0000-00007E770000}"/>
    <cellStyle name="40% - Accent4 3 4 4 3 3" xfId="16485" xr:uid="{00000000-0005-0000-0000-00007F770000}"/>
    <cellStyle name="40% - Accent4 3 4 4 3 3 2" xfId="39087" xr:uid="{00000000-0005-0000-0000-000080770000}"/>
    <cellStyle name="40% - Accent4 3 4 4 3 4" xfId="27786" xr:uid="{00000000-0005-0000-0000-000081770000}"/>
    <cellStyle name="40% - Accent4 3 4 4 4" xfId="7755" xr:uid="{00000000-0005-0000-0000-000082770000}"/>
    <cellStyle name="40% - Accent4 3 4 4 4 2" xfId="19056" xr:uid="{00000000-0005-0000-0000-000083770000}"/>
    <cellStyle name="40% - Accent4 3 4 4 4 2 2" xfId="41658" xr:uid="{00000000-0005-0000-0000-000084770000}"/>
    <cellStyle name="40% - Accent4 3 4 4 4 3" xfId="30357" xr:uid="{00000000-0005-0000-0000-000085770000}"/>
    <cellStyle name="40% - Accent4 3 4 4 5" xfId="13406" xr:uid="{00000000-0005-0000-0000-000086770000}"/>
    <cellStyle name="40% - Accent4 3 4 4 5 2" xfId="36008" xr:uid="{00000000-0005-0000-0000-000087770000}"/>
    <cellStyle name="40% - Accent4 3 4 4 6" xfId="24707" xr:uid="{00000000-0005-0000-0000-000088770000}"/>
    <cellStyle name="40% - Accent4 3 4 5" xfId="2156" xr:uid="{00000000-0005-0000-0000-000089770000}"/>
    <cellStyle name="40% - Accent4 3 4 5 2" xfId="7998" xr:uid="{00000000-0005-0000-0000-00008A770000}"/>
    <cellStyle name="40% - Accent4 3 4 5 2 2" xfId="19299" xr:uid="{00000000-0005-0000-0000-00008B770000}"/>
    <cellStyle name="40% - Accent4 3 4 5 2 2 2" xfId="41901" xr:uid="{00000000-0005-0000-0000-00008C770000}"/>
    <cellStyle name="40% - Accent4 3 4 5 2 3" xfId="30600" xr:uid="{00000000-0005-0000-0000-00008D770000}"/>
    <cellStyle name="40% - Accent4 3 4 5 3" xfId="13649" xr:uid="{00000000-0005-0000-0000-00008E770000}"/>
    <cellStyle name="40% - Accent4 3 4 5 3 2" xfId="36251" xr:uid="{00000000-0005-0000-0000-00008F770000}"/>
    <cellStyle name="40% - Accent4 3 4 5 4" xfId="24950" xr:uid="{00000000-0005-0000-0000-000090770000}"/>
    <cellStyle name="40% - Accent4 3 4 6" xfId="3950" xr:uid="{00000000-0005-0000-0000-000091770000}"/>
    <cellStyle name="40% - Accent4 3 4 6 2" xfId="9600" xr:uid="{00000000-0005-0000-0000-000092770000}"/>
    <cellStyle name="40% - Accent4 3 4 6 2 2" xfId="20901" xr:uid="{00000000-0005-0000-0000-000093770000}"/>
    <cellStyle name="40% - Accent4 3 4 6 2 2 2" xfId="43503" xr:uid="{00000000-0005-0000-0000-000094770000}"/>
    <cellStyle name="40% - Accent4 3 4 6 2 3" xfId="32202" xr:uid="{00000000-0005-0000-0000-000095770000}"/>
    <cellStyle name="40% - Accent4 3 4 6 3" xfId="15251" xr:uid="{00000000-0005-0000-0000-000096770000}"/>
    <cellStyle name="40% - Accent4 3 4 6 3 2" xfId="37853" xr:uid="{00000000-0005-0000-0000-000097770000}"/>
    <cellStyle name="40% - Accent4 3 4 6 4" xfId="26552" xr:uid="{00000000-0005-0000-0000-000098770000}"/>
    <cellStyle name="40% - Accent4 3 4 7" xfId="6568" xr:uid="{00000000-0005-0000-0000-000099770000}"/>
    <cellStyle name="40% - Accent4 3 4 7 2" xfId="17869" xr:uid="{00000000-0005-0000-0000-00009A770000}"/>
    <cellStyle name="40% - Accent4 3 4 7 2 2" xfId="40471" xr:uid="{00000000-0005-0000-0000-00009B770000}"/>
    <cellStyle name="40% - Accent4 3 4 7 3" xfId="29170" xr:uid="{00000000-0005-0000-0000-00009C770000}"/>
    <cellStyle name="40% - Accent4 3 4 8" xfId="12219" xr:uid="{00000000-0005-0000-0000-00009D770000}"/>
    <cellStyle name="40% - Accent4 3 4 8 2" xfId="34821" xr:uid="{00000000-0005-0000-0000-00009E770000}"/>
    <cellStyle name="40% - Accent4 3 4 9" xfId="23520" xr:uid="{00000000-0005-0000-0000-00009F770000}"/>
    <cellStyle name="40% - Accent4 3 5" xfId="398" xr:uid="{00000000-0005-0000-0000-0000A0770000}"/>
    <cellStyle name="40% - Accent4 3 6" xfId="667" xr:uid="{00000000-0005-0000-0000-0000A1770000}"/>
    <cellStyle name="40% - Accent4 3 7" xfId="6401" xr:uid="{00000000-0005-0000-0000-0000A2770000}"/>
    <cellStyle name="40% - Accent4 3 7 2" xfId="17702" xr:uid="{00000000-0005-0000-0000-0000A3770000}"/>
    <cellStyle name="40% - Accent4 3 7 2 2" xfId="40304" xr:uid="{00000000-0005-0000-0000-0000A4770000}"/>
    <cellStyle name="40% - Accent4 3 7 3" xfId="29003" xr:uid="{00000000-0005-0000-0000-0000A5770000}"/>
    <cellStyle name="40% - Accent4 3 8" xfId="12052" xr:uid="{00000000-0005-0000-0000-0000A6770000}"/>
    <cellStyle name="40% - Accent4 3 8 2" xfId="34654" xr:uid="{00000000-0005-0000-0000-0000A7770000}"/>
    <cellStyle name="40% - Accent4 3 9" xfId="23353" xr:uid="{00000000-0005-0000-0000-0000A8770000}"/>
    <cellStyle name="40% - Accent4 4" xfId="183" xr:uid="{00000000-0005-0000-0000-0000A9770000}"/>
    <cellStyle name="40% - Accent4 4 10" xfId="3936" xr:uid="{00000000-0005-0000-0000-0000AA770000}"/>
    <cellStyle name="40% - Accent4 4 10 2" xfId="9586" xr:uid="{00000000-0005-0000-0000-0000AB770000}"/>
    <cellStyle name="40% - Accent4 4 10 2 2" xfId="20887" xr:uid="{00000000-0005-0000-0000-0000AC770000}"/>
    <cellStyle name="40% - Accent4 4 10 2 2 2" xfId="43489" xr:uid="{00000000-0005-0000-0000-0000AD770000}"/>
    <cellStyle name="40% - Accent4 4 10 2 3" xfId="32188" xr:uid="{00000000-0005-0000-0000-0000AE770000}"/>
    <cellStyle name="40% - Accent4 4 10 3" xfId="15237" xr:uid="{00000000-0005-0000-0000-0000AF770000}"/>
    <cellStyle name="40% - Accent4 4 10 3 2" xfId="37839" xr:uid="{00000000-0005-0000-0000-0000B0770000}"/>
    <cellStyle name="40% - Accent4 4 10 4" xfId="26538" xr:uid="{00000000-0005-0000-0000-0000B1770000}"/>
    <cellStyle name="40% - Accent4 4 11" xfId="6415" xr:uid="{00000000-0005-0000-0000-0000B2770000}"/>
    <cellStyle name="40% - Accent4 4 11 2" xfId="17716" xr:uid="{00000000-0005-0000-0000-0000B3770000}"/>
    <cellStyle name="40% - Accent4 4 11 2 2" xfId="40318" xr:uid="{00000000-0005-0000-0000-0000B4770000}"/>
    <cellStyle name="40% - Accent4 4 11 3" xfId="29017" xr:uid="{00000000-0005-0000-0000-0000B5770000}"/>
    <cellStyle name="40% - Accent4 4 12" xfId="12066" xr:uid="{00000000-0005-0000-0000-0000B6770000}"/>
    <cellStyle name="40% - Accent4 4 12 2" xfId="34668" xr:uid="{00000000-0005-0000-0000-0000B7770000}"/>
    <cellStyle name="40% - Accent4 4 13" xfId="23367" xr:uid="{00000000-0005-0000-0000-0000B8770000}"/>
    <cellStyle name="40% - Accent4 4 2" xfId="306" xr:uid="{00000000-0005-0000-0000-0000B9770000}"/>
    <cellStyle name="40% - Accent4 4 2 10" xfId="23414" xr:uid="{00000000-0005-0000-0000-0000BA770000}"/>
    <cellStyle name="40% - Accent4 4 2 2" xfId="564" xr:uid="{00000000-0005-0000-0000-0000BB770000}"/>
    <cellStyle name="40% - Accent4 4 2 2 2" xfId="1274" xr:uid="{00000000-0005-0000-0000-0000BC770000}"/>
    <cellStyle name="40% - Accent4 4 2 2 2 2" xfId="1904" xr:uid="{00000000-0005-0000-0000-0000BD770000}"/>
    <cellStyle name="40% - Accent4 4 2 2 2 2 2" xfId="3343" xr:uid="{00000000-0005-0000-0000-0000BE770000}"/>
    <cellStyle name="40% - Accent4 4 2 2 2 2 2 2" xfId="6315" xr:uid="{00000000-0005-0000-0000-0000BF770000}"/>
    <cellStyle name="40% - Accent4 4 2 2 2 2 2 2 2" xfId="11965" xr:uid="{00000000-0005-0000-0000-0000C0770000}"/>
    <cellStyle name="40% - Accent4 4 2 2 2 2 2 2 2 2" xfId="23266" xr:uid="{00000000-0005-0000-0000-0000C1770000}"/>
    <cellStyle name="40% - Accent4 4 2 2 2 2 2 2 2 2 2" xfId="45868" xr:uid="{00000000-0005-0000-0000-0000C2770000}"/>
    <cellStyle name="40% - Accent4 4 2 2 2 2 2 2 2 3" xfId="34567" xr:uid="{00000000-0005-0000-0000-0000C3770000}"/>
    <cellStyle name="40% - Accent4 4 2 2 2 2 2 2 3" xfId="17616" xr:uid="{00000000-0005-0000-0000-0000C4770000}"/>
    <cellStyle name="40% - Accent4 4 2 2 2 2 2 2 3 2" xfId="40218" xr:uid="{00000000-0005-0000-0000-0000C5770000}"/>
    <cellStyle name="40% - Accent4 4 2 2 2 2 2 2 4" xfId="28917" xr:uid="{00000000-0005-0000-0000-0000C6770000}"/>
    <cellStyle name="40% - Accent4 4 2 2 2 2 2 3" xfId="9133" xr:uid="{00000000-0005-0000-0000-0000C7770000}"/>
    <cellStyle name="40% - Accent4 4 2 2 2 2 2 3 2" xfId="20434" xr:uid="{00000000-0005-0000-0000-0000C8770000}"/>
    <cellStyle name="40% - Accent4 4 2 2 2 2 2 3 2 2" xfId="43036" xr:uid="{00000000-0005-0000-0000-0000C9770000}"/>
    <cellStyle name="40% - Accent4 4 2 2 2 2 2 3 3" xfId="31735" xr:uid="{00000000-0005-0000-0000-0000CA770000}"/>
    <cellStyle name="40% - Accent4 4 2 2 2 2 2 4" xfId="14784" xr:uid="{00000000-0005-0000-0000-0000CB770000}"/>
    <cellStyle name="40% - Accent4 4 2 2 2 2 2 4 2" xfId="37386" xr:uid="{00000000-0005-0000-0000-0000CC770000}"/>
    <cellStyle name="40% - Accent4 4 2 2 2 2 2 5" xfId="26085" xr:uid="{00000000-0005-0000-0000-0000CD770000}"/>
    <cellStyle name="40% - Accent4 4 2 2 2 2 3" xfId="5081" xr:uid="{00000000-0005-0000-0000-0000CE770000}"/>
    <cellStyle name="40% - Accent4 4 2 2 2 2 3 2" xfId="10731" xr:uid="{00000000-0005-0000-0000-0000CF770000}"/>
    <cellStyle name="40% - Accent4 4 2 2 2 2 3 2 2" xfId="22032" xr:uid="{00000000-0005-0000-0000-0000D0770000}"/>
    <cellStyle name="40% - Accent4 4 2 2 2 2 3 2 2 2" xfId="44634" xr:uid="{00000000-0005-0000-0000-0000D1770000}"/>
    <cellStyle name="40% - Accent4 4 2 2 2 2 3 2 3" xfId="33333" xr:uid="{00000000-0005-0000-0000-0000D2770000}"/>
    <cellStyle name="40% - Accent4 4 2 2 2 2 3 3" xfId="16382" xr:uid="{00000000-0005-0000-0000-0000D3770000}"/>
    <cellStyle name="40% - Accent4 4 2 2 2 2 3 3 2" xfId="38984" xr:uid="{00000000-0005-0000-0000-0000D4770000}"/>
    <cellStyle name="40% - Accent4 4 2 2 2 2 3 4" xfId="27683" xr:uid="{00000000-0005-0000-0000-0000D5770000}"/>
    <cellStyle name="40% - Accent4 4 2 2 2 2 4" xfId="7760" xr:uid="{00000000-0005-0000-0000-0000D6770000}"/>
    <cellStyle name="40% - Accent4 4 2 2 2 2 4 2" xfId="19061" xr:uid="{00000000-0005-0000-0000-0000D7770000}"/>
    <cellStyle name="40% - Accent4 4 2 2 2 2 4 2 2" xfId="41663" xr:uid="{00000000-0005-0000-0000-0000D8770000}"/>
    <cellStyle name="40% - Accent4 4 2 2 2 2 4 3" xfId="30362" xr:uid="{00000000-0005-0000-0000-0000D9770000}"/>
    <cellStyle name="40% - Accent4 4 2 2 2 2 5" xfId="13411" xr:uid="{00000000-0005-0000-0000-0000DA770000}"/>
    <cellStyle name="40% - Accent4 4 2 2 2 2 5 2" xfId="36013" xr:uid="{00000000-0005-0000-0000-0000DB770000}"/>
    <cellStyle name="40% - Accent4 4 2 2 2 2 6" xfId="24712" xr:uid="{00000000-0005-0000-0000-0000DC770000}"/>
    <cellStyle name="40% - Accent4 4 2 2 2 3" xfId="2672" xr:uid="{00000000-0005-0000-0000-0000DD770000}"/>
    <cellStyle name="40% - Accent4 4 2 2 2 3 2" xfId="5691" xr:uid="{00000000-0005-0000-0000-0000DE770000}"/>
    <cellStyle name="40% - Accent4 4 2 2 2 3 2 2" xfId="11341" xr:uid="{00000000-0005-0000-0000-0000DF770000}"/>
    <cellStyle name="40% - Accent4 4 2 2 2 3 2 2 2" xfId="22642" xr:uid="{00000000-0005-0000-0000-0000E0770000}"/>
    <cellStyle name="40% - Accent4 4 2 2 2 3 2 2 2 2" xfId="45244" xr:uid="{00000000-0005-0000-0000-0000E1770000}"/>
    <cellStyle name="40% - Accent4 4 2 2 2 3 2 2 3" xfId="33943" xr:uid="{00000000-0005-0000-0000-0000E2770000}"/>
    <cellStyle name="40% - Accent4 4 2 2 2 3 2 3" xfId="16992" xr:uid="{00000000-0005-0000-0000-0000E3770000}"/>
    <cellStyle name="40% - Accent4 4 2 2 2 3 2 3 2" xfId="39594" xr:uid="{00000000-0005-0000-0000-0000E4770000}"/>
    <cellStyle name="40% - Accent4 4 2 2 2 3 2 4" xfId="28293" xr:uid="{00000000-0005-0000-0000-0000E5770000}"/>
    <cellStyle name="40% - Accent4 4 2 2 2 3 3" xfId="8508" xr:uid="{00000000-0005-0000-0000-0000E6770000}"/>
    <cellStyle name="40% - Accent4 4 2 2 2 3 3 2" xfId="19809" xr:uid="{00000000-0005-0000-0000-0000E7770000}"/>
    <cellStyle name="40% - Accent4 4 2 2 2 3 3 2 2" xfId="42411" xr:uid="{00000000-0005-0000-0000-0000E8770000}"/>
    <cellStyle name="40% - Accent4 4 2 2 2 3 3 3" xfId="31110" xr:uid="{00000000-0005-0000-0000-0000E9770000}"/>
    <cellStyle name="40% - Accent4 4 2 2 2 3 4" xfId="14159" xr:uid="{00000000-0005-0000-0000-0000EA770000}"/>
    <cellStyle name="40% - Accent4 4 2 2 2 3 4 2" xfId="36761" xr:uid="{00000000-0005-0000-0000-0000EB770000}"/>
    <cellStyle name="40% - Accent4 4 2 2 2 3 5" xfId="25460" xr:uid="{00000000-0005-0000-0000-0000EC770000}"/>
    <cellStyle name="40% - Accent4 4 2 2 2 4" xfId="4457" xr:uid="{00000000-0005-0000-0000-0000ED770000}"/>
    <cellStyle name="40% - Accent4 4 2 2 2 4 2" xfId="10107" xr:uid="{00000000-0005-0000-0000-0000EE770000}"/>
    <cellStyle name="40% - Accent4 4 2 2 2 4 2 2" xfId="21408" xr:uid="{00000000-0005-0000-0000-0000EF770000}"/>
    <cellStyle name="40% - Accent4 4 2 2 2 4 2 2 2" xfId="44010" xr:uid="{00000000-0005-0000-0000-0000F0770000}"/>
    <cellStyle name="40% - Accent4 4 2 2 2 4 2 3" xfId="32709" xr:uid="{00000000-0005-0000-0000-0000F1770000}"/>
    <cellStyle name="40% - Accent4 4 2 2 2 4 3" xfId="15758" xr:uid="{00000000-0005-0000-0000-0000F2770000}"/>
    <cellStyle name="40% - Accent4 4 2 2 2 4 3 2" xfId="38360" xr:uid="{00000000-0005-0000-0000-0000F3770000}"/>
    <cellStyle name="40% - Accent4 4 2 2 2 4 4" xfId="27059" xr:uid="{00000000-0005-0000-0000-0000F4770000}"/>
    <cellStyle name="40% - Accent4 4 2 2 2 5" xfId="7253" xr:uid="{00000000-0005-0000-0000-0000F5770000}"/>
    <cellStyle name="40% - Accent4 4 2 2 2 5 2" xfId="18554" xr:uid="{00000000-0005-0000-0000-0000F6770000}"/>
    <cellStyle name="40% - Accent4 4 2 2 2 5 2 2" xfId="41156" xr:uid="{00000000-0005-0000-0000-0000F7770000}"/>
    <cellStyle name="40% - Accent4 4 2 2 2 5 3" xfId="29855" xr:uid="{00000000-0005-0000-0000-0000F8770000}"/>
    <cellStyle name="40% - Accent4 4 2 2 2 6" xfId="12904" xr:uid="{00000000-0005-0000-0000-0000F9770000}"/>
    <cellStyle name="40% - Accent4 4 2 2 2 6 2" xfId="35506" xr:uid="{00000000-0005-0000-0000-0000FA770000}"/>
    <cellStyle name="40% - Accent4 4 2 2 2 7" xfId="24205" xr:uid="{00000000-0005-0000-0000-0000FB770000}"/>
    <cellStyle name="40% - Accent4 4 2 2 3" xfId="972" xr:uid="{00000000-0005-0000-0000-0000FC770000}"/>
    <cellStyle name="40% - Accent4 4 2 2 3 2" xfId="3035" xr:uid="{00000000-0005-0000-0000-0000FD770000}"/>
    <cellStyle name="40% - Accent4 4 2 2 3 2 2" xfId="6007" xr:uid="{00000000-0005-0000-0000-0000FE770000}"/>
    <cellStyle name="40% - Accent4 4 2 2 3 2 2 2" xfId="11657" xr:uid="{00000000-0005-0000-0000-0000FF770000}"/>
    <cellStyle name="40% - Accent4 4 2 2 3 2 2 2 2" xfId="22958" xr:uid="{00000000-0005-0000-0000-000000780000}"/>
    <cellStyle name="40% - Accent4 4 2 2 3 2 2 2 2 2" xfId="45560" xr:uid="{00000000-0005-0000-0000-000001780000}"/>
    <cellStyle name="40% - Accent4 4 2 2 3 2 2 2 3" xfId="34259" xr:uid="{00000000-0005-0000-0000-000002780000}"/>
    <cellStyle name="40% - Accent4 4 2 2 3 2 2 3" xfId="17308" xr:uid="{00000000-0005-0000-0000-000003780000}"/>
    <cellStyle name="40% - Accent4 4 2 2 3 2 2 3 2" xfId="39910" xr:uid="{00000000-0005-0000-0000-000004780000}"/>
    <cellStyle name="40% - Accent4 4 2 2 3 2 2 4" xfId="28609" xr:uid="{00000000-0005-0000-0000-000005780000}"/>
    <cellStyle name="40% - Accent4 4 2 2 3 2 3" xfId="8825" xr:uid="{00000000-0005-0000-0000-000006780000}"/>
    <cellStyle name="40% - Accent4 4 2 2 3 2 3 2" xfId="20126" xr:uid="{00000000-0005-0000-0000-000007780000}"/>
    <cellStyle name="40% - Accent4 4 2 2 3 2 3 2 2" xfId="42728" xr:uid="{00000000-0005-0000-0000-000008780000}"/>
    <cellStyle name="40% - Accent4 4 2 2 3 2 3 3" xfId="31427" xr:uid="{00000000-0005-0000-0000-000009780000}"/>
    <cellStyle name="40% - Accent4 4 2 2 3 2 4" xfId="14476" xr:uid="{00000000-0005-0000-0000-00000A780000}"/>
    <cellStyle name="40% - Accent4 4 2 2 3 2 4 2" xfId="37078" xr:uid="{00000000-0005-0000-0000-00000B780000}"/>
    <cellStyle name="40% - Accent4 4 2 2 3 2 5" xfId="25777" xr:uid="{00000000-0005-0000-0000-00000C780000}"/>
    <cellStyle name="40% - Accent4 4 2 2 3 3" xfId="4773" xr:uid="{00000000-0005-0000-0000-00000D780000}"/>
    <cellStyle name="40% - Accent4 4 2 2 3 3 2" xfId="10423" xr:uid="{00000000-0005-0000-0000-00000E780000}"/>
    <cellStyle name="40% - Accent4 4 2 2 3 3 2 2" xfId="21724" xr:uid="{00000000-0005-0000-0000-00000F780000}"/>
    <cellStyle name="40% - Accent4 4 2 2 3 3 2 2 2" xfId="44326" xr:uid="{00000000-0005-0000-0000-000010780000}"/>
    <cellStyle name="40% - Accent4 4 2 2 3 3 2 3" xfId="33025" xr:uid="{00000000-0005-0000-0000-000011780000}"/>
    <cellStyle name="40% - Accent4 4 2 2 3 3 3" xfId="16074" xr:uid="{00000000-0005-0000-0000-000012780000}"/>
    <cellStyle name="40% - Accent4 4 2 2 3 3 3 2" xfId="38676" xr:uid="{00000000-0005-0000-0000-000013780000}"/>
    <cellStyle name="40% - Accent4 4 2 2 3 3 4" xfId="27375" xr:uid="{00000000-0005-0000-0000-000014780000}"/>
    <cellStyle name="40% - Accent4 4 2 2 3 4" xfId="6960" xr:uid="{00000000-0005-0000-0000-000015780000}"/>
    <cellStyle name="40% - Accent4 4 2 2 3 4 2" xfId="18261" xr:uid="{00000000-0005-0000-0000-000016780000}"/>
    <cellStyle name="40% - Accent4 4 2 2 3 4 2 2" xfId="40863" xr:uid="{00000000-0005-0000-0000-000017780000}"/>
    <cellStyle name="40% - Accent4 4 2 2 3 4 3" xfId="29562" xr:uid="{00000000-0005-0000-0000-000018780000}"/>
    <cellStyle name="40% - Accent4 4 2 2 3 5" xfId="12611" xr:uid="{00000000-0005-0000-0000-000019780000}"/>
    <cellStyle name="40% - Accent4 4 2 2 3 5 2" xfId="35213" xr:uid="{00000000-0005-0000-0000-00001A780000}"/>
    <cellStyle name="40% - Accent4 4 2 2 3 6" xfId="23912" xr:uid="{00000000-0005-0000-0000-00001B780000}"/>
    <cellStyle name="40% - Accent4 4 2 2 4" xfId="1903" xr:uid="{00000000-0005-0000-0000-00001C780000}"/>
    <cellStyle name="40% - Accent4 4 2 2 4 2" xfId="3724" xr:uid="{00000000-0005-0000-0000-00001D780000}"/>
    <cellStyle name="40% - Accent4 4 2 2 4 2 2" xfId="9434" xr:uid="{00000000-0005-0000-0000-00001E780000}"/>
    <cellStyle name="40% - Accent4 4 2 2 4 2 2 2" xfId="20735" xr:uid="{00000000-0005-0000-0000-00001F780000}"/>
    <cellStyle name="40% - Accent4 4 2 2 4 2 2 2 2" xfId="43337" xr:uid="{00000000-0005-0000-0000-000020780000}"/>
    <cellStyle name="40% - Accent4 4 2 2 4 2 2 3" xfId="32036" xr:uid="{00000000-0005-0000-0000-000021780000}"/>
    <cellStyle name="40% - Accent4 4 2 2 4 2 3" xfId="15085" xr:uid="{00000000-0005-0000-0000-000022780000}"/>
    <cellStyle name="40% - Accent4 4 2 2 4 2 3 2" xfId="37687" xr:uid="{00000000-0005-0000-0000-000023780000}"/>
    <cellStyle name="40% - Accent4 4 2 2 4 2 4" xfId="26386" xr:uid="{00000000-0005-0000-0000-000024780000}"/>
    <cellStyle name="40% - Accent4 4 2 2 4 3" xfId="5383" xr:uid="{00000000-0005-0000-0000-000025780000}"/>
    <cellStyle name="40% - Accent4 4 2 2 4 3 2" xfId="11033" xr:uid="{00000000-0005-0000-0000-000026780000}"/>
    <cellStyle name="40% - Accent4 4 2 2 4 3 2 2" xfId="22334" xr:uid="{00000000-0005-0000-0000-000027780000}"/>
    <cellStyle name="40% - Accent4 4 2 2 4 3 2 2 2" xfId="44936" xr:uid="{00000000-0005-0000-0000-000028780000}"/>
    <cellStyle name="40% - Accent4 4 2 2 4 3 2 3" xfId="33635" xr:uid="{00000000-0005-0000-0000-000029780000}"/>
    <cellStyle name="40% - Accent4 4 2 2 4 3 3" xfId="16684" xr:uid="{00000000-0005-0000-0000-00002A780000}"/>
    <cellStyle name="40% - Accent4 4 2 2 4 3 3 2" xfId="39286" xr:uid="{00000000-0005-0000-0000-00002B780000}"/>
    <cellStyle name="40% - Accent4 4 2 2 4 3 4" xfId="27985" xr:uid="{00000000-0005-0000-0000-00002C780000}"/>
    <cellStyle name="40% - Accent4 4 2 2 4 4" xfId="7759" xr:uid="{00000000-0005-0000-0000-00002D780000}"/>
    <cellStyle name="40% - Accent4 4 2 2 4 4 2" xfId="19060" xr:uid="{00000000-0005-0000-0000-00002E780000}"/>
    <cellStyle name="40% - Accent4 4 2 2 4 4 2 2" xfId="41662" xr:uid="{00000000-0005-0000-0000-00002F780000}"/>
    <cellStyle name="40% - Accent4 4 2 2 4 4 3" xfId="30361" xr:uid="{00000000-0005-0000-0000-000030780000}"/>
    <cellStyle name="40% - Accent4 4 2 2 4 5" xfId="13410" xr:uid="{00000000-0005-0000-0000-000031780000}"/>
    <cellStyle name="40% - Accent4 4 2 2 4 5 2" xfId="36012" xr:uid="{00000000-0005-0000-0000-000032780000}"/>
    <cellStyle name="40% - Accent4 4 2 2 4 6" xfId="24711" xr:uid="{00000000-0005-0000-0000-000033780000}"/>
    <cellStyle name="40% - Accent4 4 2 2 5" xfId="2364" xr:uid="{00000000-0005-0000-0000-000034780000}"/>
    <cellStyle name="40% - Accent4 4 2 2 5 2" xfId="8200" xr:uid="{00000000-0005-0000-0000-000035780000}"/>
    <cellStyle name="40% - Accent4 4 2 2 5 2 2" xfId="19501" xr:uid="{00000000-0005-0000-0000-000036780000}"/>
    <cellStyle name="40% - Accent4 4 2 2 5 2 2 2" xfId="42103" xr:uid="{00000000-0005-0000-0000-000037780000}"/>
    <cellStyle name="40% - Accent4 4 2 2 5 2 3" xfId="30802" xr:uid="{00000000-0005-0000-0000-000038780000}"/>
    <cellStyle name="40% - Accent4 4 2 2 5 3" xfId="13851" xr:uid="{00000000-0005-0000-0000-000039780000}"/>
    <cellStyle name="40% - Accent4 4 2 2 5 3 2" xfId="36453" xr:uid="{00000000-0005-0000-0000-00003A780000}"/>
    <cellStyle name="40% - Accent4 4 2 2 5 4" xfId="25152" xr:uid="{00000000-0005-0000-0000-00003B780000}"/>
    <cellStyle name="40% - Accent4 4 2 2 6" xfId="4149" xr:uid="{00000000-0005-0000-0000-00003C780000}"/>
    <cellStyle name="40% - Accent4 4 2 2 6 2" xfId="9799" xr:uid="{00000000-0005-0000-0000-00003D780000}"/>
    <cellStyle name="40% - Accent4 4 2 2 6 2 2" xfId="21100" xr:uid="{00000000-0005-0000-0000-00003E780000}"/>
    <cellStyle name="40% - Accent4 4 2 2 6 2 2 2" xfId="43702" xr:uid="{00000000-0005-0000-0000-00003F780000}"/>
    <cellStyle name="40% - Accent4 4 2 2 6 2 3" xfId="32401" xr:uid="{00000000-0005-0000-0000-000040780000}"/>
    <cellStyle name="40% - Accent4 4 2 2 6 3" xfId="15450" xr:uid="{00000000-0005-0000-0000-000041780000}"/>
    <cellStyle name="40% - Accent4 4 2 2 6 3 2" xfId="38052" xr:uid="{00000000-0005-0000-0000-000042780000}"/>
    <cellStyle name="40% - Accent4 4 2 2 6 4" xfId="26751" xr:uid="{00000000-0005-0000-0000-000043780000}"/>
    <cellStyle name="40% - Accent4 4 2 2 7" xfId="6629" xr:uid="{00000000-0005-0000-0000-000044780000}"/>
    <cellStyle name="40% - Accent4 4 2 2 7 2" xfId="17930" xr:uid="{00000000-0005-0000-0000-000045780000}"/>
    <cellStyle name="40% - Accent4 4 2 2 7 2 2" xfId="40532" xr:uid="{00000000-0005-0000-0000-000046780000}"/>
    <cellStyle name="40% - Accent4 4 2 2 7 3" xfId="29231" xr:uid="{00000000-0005-0000-0000-000047780000}"/>
    <cellStyle name="40% - Accent4 4 2 2 8" xfId="12280" xr:uid="{00000000-0005-0000-0000-000048780000}"/>
    <cellStyle name="40% - Accent4 4 2 2 8 2" xfId="34882" xr:uid="{00000000-0005-0000-0000-000049780000}"/>
    <cellStyle name="40% - Accent4 4 2 2 9" xfId="23581" xr:uid="{00000000-0005-0000-0000-00004A780000}"/>
    <cellStyle name="40% - Accent4 4 2 3" xfId="1136" xr:uid="{00000000-0005-0000-0000-00004B780000}"/>
    <cellStyle name="40% - Accent4 4 2 3 2" xfId="1905" xr:uid="{00000000-0005-0000-0000-00004C780000}"/>
    <cellStyle name="40% - Accent4 4 2 3 2 2" xfId="3204" xr:uid="{00000000-0005-0000-0000-00004D780000}"/>
    <cellStyle name="40% - Accent4 4 2 3 2 2 2" xfId="6176" xr:uid="{00000000-0005-0000-0000-00004E780000}"/>
    <cellStyle name="40% - Accent4 4 2 3 2 2 2 2" xfId="11826" xr:uid="{00000000-0005-0000-0000-00004F780000}"/>
    <cellStyle name="40% - Accent4 4 2 3 2 2 2 2 2" xfId="23127" xr:uid="{00000000-0005-0000-0000-000050780000}"/>
    <cellStyle name="40% - Accent4 4 2 3 2 2 2 2 2 2" xfId="45729" xr:uid="{00000000-0005-0000-0000-000051780000}"/>
    <cellStyle name="40% - Accent4 4 2 3 2 2 2 2 3" xfId="34428" xr:uid="{00000000-0005-0000-0000-000052780000}"/>
    <cellStyle name="40% - Accent4 4 2 3 2 2 2 3" xfId="17477" xr:uid="{00000000-0005-0000-0000-000053780000}"/>
    <cellStyle name="40% - Accent4 4 2 3 2 2 2 3 2" xfId="40079" xr:uid="{00000000-0005-0000-0000-000054780000}"/>
    <cellStyle name="40% - Accent4 4 2 3 2 2 2 4" xfId="28778" xr:uid="{00000000-0005-0000-0000-000055780000}"/>
    <cellStyle name="40% - Accent4 4 2 3 2 2 3" xfId="8994" xr:uid="{00000000-0005-0000-0000-000056780000}"/>
    <cellStyle name="40% - Accent4 4 2 3 2 2 3 2" xfId="20295" xr:uid="{00000000-0005-0000-0000-000057780000}"/>
    <cellStyle name="40% - Accent4 4 2 3 2 2 3 2 2" xfId="42897" xr:uid="{00000000-0005-0000-0000-000058780000}"/>
    <cellStyle name="40% - Accent4 4 2 3 2 2 3 3" xfId="31596" xr:uid="{00000000-0005-0000-0000-000059780000}"/>
    <cellStyle name="40% - Accent4 4 2 3 2 2 4" xfId="14645" xr:uid="{00000000-0005-0000-0000-00005A780000}"/>
    <cellStyle name="40% - Accent4 4 2 3 2 2 4 2" xfId="37247" xr:uid="{00000000-0005-0000-0000-00005B780000}"/>
    <cellStyle name="40% - Accent4 4 2 3 2 2 5" xfId="25946" xr:uid="{00000000-0005-0000-0000-00005C780000}"/>
    <cellStyle name="40% - Accent4 4 2 3 2 3" xfId="4942" xr:uid="{00000000-0005-0000-0000-00005D780000}"/>
    <cellStyle name="40% - Accent4 4 2 3 2 3 2" xfId="10592" xr:uid="{00000000-0005-0000-0000-00005E780000}"/>
    <cellStyle name="40% - Accent4 4 2 3 2 3 2 2" xfId="21893" xr:uid="{00000000-0005-0000-0000-00005F780000}"/>
    <cellStyle name="40% - Accent4 4 2 3 2 3 2 2 2" xfId="44495" xr:uid="{00000000-0005-0000-0000-000060780000}"/>
    <cellStyle name="40% - Accent4 4 2 3 2 3 2 3" xfId="33194" xr:uid="{00000000-0005-0000-0000-000061780000}"/>
    <cellStyle name="40% - Accent4 4 2 3 2 3 3" xfId="16243" xr:uid="{00000000-0005-0000-0000-000062780000}"/>
    <cellStyle name="40% - Accent4 4 2 3 2 3 3 2" xfId="38845" xr:uid="{00000000-0005-0000-0000-000063780000}"/>
    <cellStyle name="40% - Accent4 4 2 3 2 3 4" xfId="27544" xr:uid="{00000000-0005-0000-0000-000064780000}"/>
    <cellStyle name="40% - Accent4 4 2 3 2 4" xfId="7761" xr:uid="{00000000-0005-0000-0000-000065780000}"/>
    <cellStyle name="40% - Accent4 4 2 3 2 4 2" xfId="19062" xr:uid="{00000000-0005-0000-0000-000066780000}"/>
    <cellStyle name="40% - Accent4 4 2 3 2 4 2 2" xfId="41664" xr:uid="{00000000-0005-0000-0000-000067780000}"/>
    <cellStyle name="40% - Accent4 4 2 3 2 4 3" xfId="30363" xr:uid="{00000000-0005-0000-0000-000068780000}"/>
    <cellStyle name="40% - Accent4 4 2 3 2 5" xfId="13412" xr:uid="{00000000-0005-0000-0000-000069780000}"/>
    <cellStyle name="40% - Accent4 4 2 3 2 5 2" xfId="36014" xr:uid="{00000000-0005-0000-0000-00006A780000}"/>
    <cellStyle name="40% - Accent4 4 2 3 2 6" xfId="24713" xr:uid="{00000000-0005-0000-0000-00006B780000}"/>
    <cellStyle name="40% - Accent4 4 2 3 3" xfId="2533" xr:uid="{00000000-0005-0000-0000-00006C780000}"/>
    <cellStyle name="40% - Accent4 4 2 3 3 2" xfId="5552" xr:uid="{00000000-0005-0000-0000-00006D780000}"/>
    <cellStyle name="40% - Accent4 4 2 3 3 2 2" xfId="11202" xr:uid="{00000000-0005-0000-0000-00006E780000}"/>
    <cellStyle name="40% - Accent4 4 2 3 3 2 2 2" xfId="22503" xr:uid="{00000000-0005-0000-0000-00006F780000}"/>
    <cellStyle name="40% - Accent4 4 2 3 3 2 2 2 2" xfId="45105" xr:uid="{00000000-0005-0000-0000-000070780000}"/>
    <cellStyle name="40% - Accent4 4 2 3 3 2 2 3" xfId="33804" xr:uid="{00000000-0005-0000-0000-000071780000}"/>
    <cellStyle name="40% - Accent4 4 2 3 3 2 3" xfId="16853" xr:uid="{00000000-0005-0000-0000-000072780000}"/>
    <cellStyle name="40% - Accent4 4 2 3 3 2 3 2" xfId="39455" xr:uid="{00000000-0005-0000-0000-000073780000}"/>
    <cellStyle name="40% - Accent4 4 2 3 3 2 4" xfId="28154" xr:uid="{00000000-0005-0000-0000-000074780000}"/>
    <cellStyle name="40% - Accent4 4 2 3 3 3" xfId="8369" xr:uid="{00000000-0005-0000-0000-000075780000}"/>
    <cellStyle name="40% - Accent4 4 2 3 3 3 2" xfId="19670" xr:uid="{00000000-0005-0000-0000-000076780000}"/>
    <cellStyle name="40% - Accent4 4 2 3 3 3 2 2" xfId="42272" xr:uid="{00000000-0005-0000-0000-000077780000}"/>
    <cellStyle name="40% - Accent4 4 2 3 3 3 3" xfId="30971" xr:uid="{00000000-0005-0000-0000-000078780000}"/>
    <cellStyle name="40% - Accent4 4 2 3 3 4" xfId="14020" xr:uid="{00000000-0005-0000-0000-000079780000}"/>
    <cellStyle name="40% - Accent4 4 2 3 3 4 2" xfId="36622" xr:uid="{00000000-0005-0000-0000-00007A780000}"/>
    <cellStyle name="40% - Accent4 4 2 3 3 5" xfId="25321" xr:uid="{00000000-0005-0000-0000-00007B780000}"/>
    <cellStyle name="40% - Accent4 4 2 3 4" xfId="4318" xr:uid="{00000000-0005-0000-0000-00007C780000}"/>
    <cellStyle name="40% - Accent4 4 2 3 4 2" xfId="9968" xr:uid="{00000000-0005-0000-0000-00007D780000}"/>
    <cellStyle name="40% - Accent4 4 2 3 4 2 2" xfId="21269" xr:uid="{00000000-0005-0000-0000-00007E780000}"/>
    <cellStyle name="40% - Accent4 4 2 3 4 2 2 2" xfId="43871" xr:uid="{00000000-0005-0000-0000-00007F780000}"/>
    <cellStyle name="40% - Accent4 4 2 3 4 2 3" xfId="32570" xr:uid="{00000000-0005-0000-0000-000080780000}"/>
    <cellStyle name="40% - Accent4 4 2 3 4 3" xfId="15619" xr:uid="{00000000-0005-0000-0000-000081780000}"/>
    <cellStyle name="40% - Accent4 4 2 3 4 3 2" xfId="38221" xr:uid="{00000000-0005-0000-0000-000082780000}"/>
    <cellStyle name="40% - Accent4 4 2 3 4 4" xfId="26920" xr:uid="{00000000-0005-0000-0000-000083780000}"/>
    <cellStyle name="40% - Accent4 4 2 3 5" xfId="7115" xr:uid="{00000000-0005-0000-0000-000084780000}"/>
    <cellStyle name="40% - Accent4 4 2 3 5 2" xfId="18416" xr:uid="{00000000-0005-0000-0000-000085780000}"/>
    <cellStyle name="40% - Accent4 4 2 3 5 2 2" xfId="41018" xr:uid="{00000000-0005-0000-0000-000086780000}"/>
    <cellStyle name="40% - Accent4 4 2 3 5 3" xfId="29717" xr:uid="{00000000-0005-0000-0000-000087780000}"/>
    <cellStyle name="40% - Accent4 4 2 3 6" xfId="12766" xr:uid="{00000000-0005-0000-0000-000088780000}"/>
    <cellStyle name="40% - Accent4 4 2 3 6 2" xfId="35368" xr:uid="{00000000-0005-0000-0000-000089780000}"/>
    <cellStyle name="40% - Accent4 4 2 3 7" xfId="24067" xr:uid="{00000000-0005-0000-0000-00008A780000}"/>
    <cellStyle name="40% - Accent4 4 2 4" xfId="826" xr:uid="{00000000-0005-0000-0000-00008B780000}"/>
    <cellStyle name="40% - Accent4 4 2 4 2" xfId="2897" xr:uid="{00000000-0005-0000-0000-00008C780000}"/>
    <cellStyle name="40% - Accent4 4 2 4 2 2" xfId="5869" xr:uid="{00000000-0005-0000-0000-00008D780000}"/>
    <cellStyle name="40% - Accent4 4 2 4 2 2 2" xfId="11519" xr:uid="{00000000-0005-0000-0000-00008E780000}"/>
    <cellStyle name="40% - Accent4 4 2 4 2 2 2 2" xfId="22820" xr:uid="{00000000-0005-0000-0000-00008F780000}"/>
    <cellStyle name="40% - Accent4 4 2 4 2 2 2 2 2" xfId="45422" xr:uid="{00000000-0005-0000-0000-000090780000}"/>
    <cellStyle name="40% - Accent4 4 2 4 2 2 2 3" xfId="34121" xr:uid="{00000000-0005-0000-0000-000091780000}"/>
    <cellStyle name="40% - Accent4 4 2 4 2 2 3" xfId="17170" xr:uid="{00000000-0005-0000-0000-000092780000}"/>
    <cellStyle name="40% - Accent4 4 2 4 2 2 3 2" xfId="39772" xr:uid="{00000000-0005-0000-0000-000093780000}"/>
    <cellStyle name="40% - Accent4 4 2 4 2 2 4" xfId="28471" xr:uid="{00000000-0005-0000-0000-000094780000}"/>
    <cellStyle name="40% - Accent4 4 2 4 2 3" xfId="8687" xr:uid="{00000000-0005-0000-0000-000095780000}"/>
    <cellStyle name="40% - Accent4 4 2 4 2 3 2" xfId="19988" xr:uid="{00000000-0005-0000-0000-000096780000}"/>
    <cellStyle name="40% - Accent4 4 2 4 2 3 2 2" xfId="42590" xr:uid="{00000000-0005-0000-0000-000097780000}"/>
    <cellStyle name="40% - Accent4 4 2 4 2 3 3" xfId="31289" xr:uid="{00000000-0005-0000-0000-000098780000}"/>
    <cellStyle name="40% - Accent4 4 2 4 2 4" xfId="14338" xr:uid="{00000000-0005-0000-0000-000099780000}"/>
    <cellStyle name="40% - Accent4 4 2 4 2 4 2" xfId="36940" xr:uid="{00000000-0005-0000-0000-00009A780000}"/>
    <cellStyle name="40% - Accent4 4 2 4 2 5" xfId="25639" xr:uid="{00000000-0005-0000-0000-00009B780000}"/>
    <cellStyle name="40% - Accent4 4 2 4 3" xfId="4635" xr:uid="{00000000-0005-0000-0000-00009C780000}"/>
    <cellStyle name="40% - Accent4 4 2 4 3 2" xfId="10285" xr:uid="{00000000-0005-0000-0000-00009D780000}"/>
    <cellStyle name="40% - Accent4 4 2 4 3 2 2" xfId="21586" xr:uid="{00000000-0005-0000-0000-00009E780000}"/>
    <cellStyle name="40% - Accent4 4 2 4 3 2 2 2" xfId="44188" xr:uid="{00000000-0005-0000-0000-00009F780000}"/>
    <cellStyle name="40% - Accent4 4 2 4 3 2 3" xfId="32887" xr:uid="{00000000-0005-0000-0000-0000A0780000}"/>
    <cellStyle name="40% - Accent4 4 2 4 3 3" xfId="15936" xr:uid="{00000000-0005-0000-0000-0000A1780000}"/>
    <cellStyle name="40% - Accent4 4 2 4 3 3 2" xfId="38538" xr:uid="{00000000-0005-0000-0000-0000A2780000}"/>
    <cellStyle name="40% - Accent4 4 2 4 3 4" xfId="27237" xr:uid="{00000000-0005-0000-0000-0000A3780000}"/>
    <cellStyle name="40% - Accent4 4 2 4 4" xfId="6822" xr:uid="{00000000-0005-0000-0000-0000A4780000}"/>
    <cellStyle name="40% - Accent4 4 2 4 4 2" xfId="18123" xr:uid="{00000000-0005-0000-0000-0000A5780000}"/>
    <cellStyle name="40% - Accent4 4 2 4 4 2 2" xfId="40725" xr:uid="{00000000-0005-0000-0000-0000A6780000}"/>
    <cellStyle name="40% - Accent4 4 2 4 4 3" xfId="29424" xr:uid="{00000000-0005-0000-0000-0000A7780000}"/>
    <cellStyle name="40% - Accent4 4 2 4 5" xfId="12473" xr:uid="{00000000-0005-0000-0000-0000A8780000}"/>
    <cellStyle name="40% - Accent4 4 2 4 5 2" xfId="35075" xr:uid="{00000000-0005-0000-0000-0000A9780000}"/>
    <cellStyle name="40% - Accent4 4 2 4 6" xfId="23774" xr:uid="{00000000-0005-0000-0000-0000AA780000}"/>
    <cellStyle name="40% - Accent4 4 2 5" xfId="1902" xr:uid="{00000000-0005-0000-0000-0000AB780000}"/>
    <cellStyle name="40% - Accent4 4 2 5 2" xfId="3723" xr:uid="{00000000-0005-0000-0000-0000AC780000}"/>
    <cellStyle name="40% - Accent4 4 2 5 2 2" xfId="9433" xr:uid="{00000000-0005-0000-0000-0000AD780000}"/>
    <cellStyle name="40% - Accent4 4 2 5 2 2 2" xfId="20734" xr:uid="{00000000-0005-0000-0000-0000AE780000}"/>
    <cellStyle name="40% - Accent4 4 2 5 2 2 2 2" xfId="43336" xr:uid="{00000000-0005-0000-0000-0000AF780000}"/>
    <cellStyle name="40% - Accent4 4 2 5 2 2 3" xfId="32035" xr:uid="{00000000-0005-0000-0000-0000B0780000}"/>
    <cellStyle name="40% - Accent4 4 2 5 2 3" xfId="15084" xr:uid="{00000000-0005-0000-0000-0000B1780000}"/>
    <cellStyle name="40% - Accent4 4 2 5 2 3 2" xfId="37686" xr:uid="{00000000-0005-0000-0000-0000B2780000}"/>
    <cellStyle name="40% - Accent4 4 2 5 2 4" xfId="26385" xr:uid="{00000000-0005-0000-0000-0000B3780000}"/>
    <cellStyle name="40% - Accent4 4 2 5 3" xfId="5245" xr:uid="{00000000-0005-0000-0000-0000B4780000}"/>
    <cellStyle name="40% - Accent4 4 2 5 3 2" xfId="10895" xr:uid="{00000000-0005-0000-0000-0000B5780000}"/>
    <cellStyle name="40% - Accent4 4 2 5 3 2 2" xfId="22196" xr:uid="{00000000-0005-0000-0000-0000B6780000}"/>
    <cellStyle name="40% - Accent4 4 2 5 3 2 2 2" xfId="44798" xr:uid="{00000000-0005-0000-0000-0000B7780000}"/>
    <cellStyle name="40% - Accent4 4 2 5 3 2 3" xfId="33497" xr:uid="{00000000-0005-0000-0000-0000B8780000}"/>
    <cellStyle name="40% - Accent4 4 2 5 3 3" xfId="16546" xr:uid="{00000000-0005-0000-0000-0000B9780000}"/>
    <cellStyle name="40% - Accent4 4 2 5 3 3 2" xfId="39148" xr:uid="{00000000-0005-0000-0000-0000BA780000}"/>
    <cellStyle name="40% - Accent4 4 2 5 3 4" xfId="27847" xr:uid="{00000000-0005-0000-0000-0000BB780000}"/>
    <cellStyle name="40% - Accent4 4 2 5 4" xfId="7758" xr:uid="{00000000-0005-0000-0000-0000BC780000}"/>
    <cellStyle name="40% - Accent4 4 2 5 4 2" xfId="19059" xr:uid="{00000000-0005-0000-0000-0000BD780000}"/>
    <cellStyle name="40% - Accent4 4 2 5 4 2 2" xfId="41661" xr:uid="{00000000-0005-0000-0000-0000BE780000}"/>
    <cellStyle name="40% - Accent4 4 2 5 4 3" xfId="30360" xr:uid="{00000000-0005-0000-0000-0000BF780000}"/>
    <cellStyle name="40% - Accent4 4 2 5 5" xfId="13409" xr:uid="{00000000-0005-0000-0000-0000C0780000}"/>
    <cellStyle name="40% - Accent4 4 2 5 5 2" xfId="36011" xr:uid="{00000000-0005-0000-0000-0000C1780000}"/>
    <cellStyle name="40% - Accent4 4 2 5 6" xfId="24710" xr:uid="{00000000-0005-0000-0000-0000C2780000}"/>
    <cellStyle name="40% - Accent4 4 2 6" xfId="2224" xr:uid="{00000000-0005-0000-0000-0000C3780000}"/>
    <cellStyle name="40% - Accent4 4 2 6 2" xfId="8060" xr:uid="{00000000-0005-0000-0000-0000C4780000}"/>
    <cellStyle name="40% - Accent4 4 2 6 2 2" xfId="19361" xr:uid="{00000000-0005-0000-0000-0000C5780000}"/>
    <cellStyle name="40% - Accent4 4 2 6 2 2 2" xfId="41963" xr:uid="{00000000-0005-0000-0000-0000C6780000}"/>
    <cellStyle name="40% - Accent4 4 2 6 2 3" xfId="30662" xr:uid="{00000000-0005-0000-0000-0000C7780000}"/>
    <cellStyle name="40% - Accent4 4 2 6 3" xfId="13711" xr:uid="{00000000-0005-0000-0000-0000C8780000}"/>
    <cellStyle name="40% - Accent4 4 2 6 3 2" xfId="36313" xr:uid="{00000000-0005-0000-0000-0000C9780000}"/>
    <cellStyle name="40% - Accent4 4 2 6 4" xfId="25012" xr:uid="{00000000-0005-0000-0000-0000CA780000}"/>
    <cellStyle name="40% - Accent4 4 2 7" xfId="4011" xr:uid="{00000000-0005-0000-0000-0000CB780000}"/>
    <cellStyle name="40% - Accent4 4 2 7 2" xfId="9661" xr:uid="{00000000-0005-0000-0000-0000CC780000}"/>
    <cellStyle name="40% - Accent4 4 2 7 2 2" xfId="20962" xr:uid="{00000000-0005-0000-0000-0000CD780000}"/>
    <cellStyle name="40% - Accent4 4 2 7 2 2 2" xfId="43564" xr:uid="{00000000-0005-0000-0000-0000CE780000}"/>
    <cellStyle name="40% - Accent4 4 2 7 2 3" xfId="32263" xr:uid="{00000000-0005-0000-0000-0000CF780000}"/>
    <cellStyle name="40% - Accent4 4 2 7 3" xfId="15312" xr:uid="{00000000-0005-0000-0000-0000D0780000}"/>
    <cellStyle name="40% - Accent4 4 2 7 3 2" xfId="37914" xr:uid="{00000000-0005-0000-0000-0000D1780000}"/>
    <cellStyle name="40% - Accent4 4 2 7 4" xfId="26613" xr:uid="{00000000-0005-0000-0000-0000D2780000}"/>
    <cellStyle name="40% - Accent4 4 2 8" xfId="6462" xr:uid="{00000000-0005-0000-0000-0000D3780000}"/>
    <cellStyle name="40% - Accent4 4 2 8 2" xfId="17763" xr:uid="{00000000-0005-0000-0000-0000D4780000}"/>
    <cellStyle name="40% - Accent4 4 2 8 2 2" xfId="40365" xr:uid="{00000000-0005-0000-0000-0000D5780000}"/>
    <cellStyle name="40% - Accent4 4 2 8 3" xfId="29064" xr:uid="{00000000-0005-0000-0000-0000D6780000}"/>
    <cellStyle name="40% - Accent4 4 2 9" xfId="12113" xr:uid="{00000000-0005-0000-0000-0000D7780000}"/>
    <cellStyle name="40% - Accent4 4 2 9 2" xfId="34715" xr:uid="{00000000-0005-0000-0000-0000D8780000}"/>
    <cellStyle name="40% - Accent4 4 3" xfId="368" xr:uid="{00000000-0005-0000-0000-0000D9780000}"/>
    <cellStyle name="40% - Accent4 4 3 10" xfId="23463" xr:uid="{00000000-0005-0000-0000-0000DA780000}"/>
    <cellStyle name="40% - Accent4 4 3 2" xfId="613" xr:uid="{00000000-0005-0000-0000-0000DB780000}"/>
    <cellStyle name="40% - Accent4 4 3 2 2" xfId="1323" xr:uid="{00000000-0005-0000-0000-0000DC780000}"/>
    <cellStyle name="40% - Accent4 4 3 2 2 2" xfId="1908" xr:uid="{00000000-0005-0000-0000-0000DD780000}"/>
    <cellStyle name="40% - Accent4 4 3 2 2 2 2" xfId="3392" xr:uid="{00000000-0005-0000-0000-0000DE780000}"/>
    <cellStyle name="40% - Accent4 4 3 2 2 2 2 2" xfId="6364" xr:uid="{00000000-0005-0000-0000-0000DF780000}"/>
    <cellStyle name="40% - Accent4 4 3 2 2 2 2 2 2" xfId="12014" xr:uid="{00000000-0005-0000-0000-0000E0780000}"/>
    <cellStyle name="40% - Accent4 4 3 2 2 2 2 2 2 2" xfId="23315" xr:uid="{00000000-0005-0000-0000-0000E1780000}"/>
    <cellStyle name="40% - Accent4 4 3 2 2 2 2 2 2 2 2" xfId="45917" xr:uid="{00000000-0005-0000-0000-0000E2780000}"/>
    <cellStyle name="40% - Accent4 4 3 2 2 2 2 2 2 3" xfId="34616" xr:uid="{00000000-0005-0000-0000-0000E3780000}"/>
    <cellStyle name="40% - Accent4 4 3 2 2 2 2 2 3" xfId="17665" xr:uid="{00000000-0005-0000-0000-0000E4780000}"/>
    <cellStyle name="40% - Accent4 4 3 2 2 2 2 2 3 2" xfId="40267" xr:uid="{00000000-0005-0000-0000-0000E5780000}"/>
    <cellStyle name="40% - Accent4 4 3 2 2 2 2 2 4" xfId="28966" xr:uid="{00000000-0005-0000-0000-0000E6780000}"/>
    <cellStyle name="40% - Accent4 4 3 2 2 2 2 3" xfId="9182" xr:uid="{00000000-0005-0000-0000-0000E7780000}"/>
    <cellStyle name="40% - Accent4 4 3 2 2 2 2 3 2" xfId="20483" xr:uid="{00000000-0005-0000-0000-0000E8780000}"/>
    <cellStyle name="40% - Accent4 4 3 2 2 2 2 3 2 2" xfId="43085" xr:uid="{00000000-0005-0000-0000-0000E9780000}"/>
    <cellStyle name="40% - Accent4 4 3 2 2 2 2 3 3" xfId="31784" xr:uid="{00000000-0005-0000-0000-0000EA780000}"/>
    <cellStyle name="40% - Accent4 4 3 2 2 2 2 4" xfId="14833" xr:uid="{00000000-0005-0000-0000-0000EB780000}"/>
    <cellStyle name="40% - Accent4 4 3 2 2 2 2 4 2" xfId="37435" xr:uid="{00000000-0005-0000-0000-0000EC780000}"/>
    <cellStyle name="40% - Accent4 4 3 2 2 2 2 5" xfId="26134" xr:uid="{00000000-0005-0000-0000-0000ED780000}"/>
    <cellStyle name="40% - Accent4 4 3 2 2 2 3" xfId="5130" xr:uid="{00000000-0005-0000-0000-0000EE780000}"/>
    <cellStyle name="40% - Accent4 4 3 2 2 2 3 2" xfId="10780" xr:uid="{00000000-0005-0000-0000-0000EF780000}"/>
    <cellStyle name="40% - Accent4 4 3 2 2 2 3 2 2" xfId="22081" xr:uid="{00000000-0005-0000-0000-0000F0780000}"/>
    <cellStyle name="40% - Accent4 4 3 2 2 2 3 2 2 2" xfId="44683" xr:uid="{00000000-0005-0000-0000-0000F1780000}"/>
    <cellStyle name="40% - Accent4 4 3 2 2 2 3 2 3" xfId="33382" xr:uid="{00000000-0005-0000-0000-0000F2780000}"/>
    <cellStyle name="40% - Accent4 4 3 2 2 2 3 3" xfId="16431" xr:uid="{00000000-0005-0000-0000-0000F3780000}"/>
    <cellStyle name="40% - Accent4 4 3 2 2 2 3 3 2" xfId="39033" xr:uid="{00000000-0005-0000-0000-0000F4780000}"/>
    <cellStyle name="40% - Accent4 4 3 2 2 2 3 4" xfId="27732" xr:uid="{00000000-0005-0000-0000-0000F5780000}"/>
    <cellStyle name="40% - Accent4 4 3 2 2 2 4" xfId="7764" xr:uid="{00000000-0005-0000-0000-0000F6780000}"/>
    <cellStyle name="40% - Accent4 4 3 2 2 2 4 2" xfId="19065" xr:uid="{00000000-0005-0000-0000-0000F7780000}"/>
    <cellStyle name="40% - Accent4 4 3 2 2 2 4 2 2" xfId="41667" xr:uid="{00000000-0005-0000-0000-0000F8780000}"/>
    <cellStyle name="40% - Accent4 4 3 2 2 2 4 3" xfId="30366" xr:uid="{00000000-0005-0000-0000-0000F9780000}"/>
    <cellStyle name="40% - Accent4 4 3 2 2 2 5" xfId="13415" xr:uid="{00000000-0005-0000-0000-0000FA780000}"/>
    <cellStyle name="40% - Accent4 4 3 2 2 2 5 2" xfId="36017" xr:uid="{00000000-0005-0000-0000-0000FB780000}"/>
    <cellStyle name="40% - Accent4 4 3 2 2 2 6" xfId="24716" xr:uid="{00000000-0005-0000-0000-0000FC780000}"/>
    <cellStyle name="40% - Accent4 4 3 2 2 3" xfId="2721" xr:uid="{00000000-0005-0000-0000-0000FD780000}"/>
    <cellStyle name="40% - Accent4 4 3 2 2 3 2" xfId="5740" xr:uid="{00000000-0005-0000-0000-0000FE780000}"/>
    <cellStyle name="40% - Accent4 4 3 2 2 3 2 2" xfId="11390" xr:uid="{00000000-0005-0000-0000-0000FF780000}"/>
    <cellStyle name="40% - Accent4 4 3 2 2 3 2 2 2" xfId="22691" xr:uid="{00000000-0005-0000-0000-000000790000}"/>
    <cellStyle name="40% - Accent4 4 3 2 2 3 2 2 2 2" xfId="45293" xr:uid="{00000000-0005-0000-0000-000001790000}"/>
    <cellStyle name="40% - Accent4 4 3 2 2 3 2 2 3" xfId="33992" xr:uid="{00000000-0005-0000-0000-000002790000}"/>
    <cellStyle name="40% - Accent4 4 3 2 2 3 2 3" xfId="17041" xr:uid="{00000000-0005-0000-0000-000003790000}"/>
    <cellStyle name="40% - Accent4 4 3 2 2 3 2 3 2" xfId="39643" xr:uid="{00000000-0005-0000-0000-000004790000}"/>
    <cellStyle name="40% - Accent4 4 3 2 2 3 2 4" xfId="28342" xr:uid="{00000000-0005-0000-0000-000005790000}"/>
    <cellStyle name="40% - Accent4 4 3 2 2 3 3" xfId="8557" xr:uid="{00000000-0005-0000-0000-000006790000}"/>
    <cellStyle name="40% - Accent4 4 3 2 2 3 3 2" xfId="19858" xr:uid="{00000000-0005-0000-0000-000007790000}"/>
    <cellStyle name="40% - Accent4 4 3 2 2 3 3 2 2" xfId="42460" xr:uid="{00000000-0005-0000-0000-000008790000}"/>
    <cellStyle name="40% - Accent4 4 3 2 2 3 3 3" xfId="31159" xr:uid="{00000000-0005-0000-0000-000009790000}"/>
    <cellStyle name="40% - Accent4 4 3 2 2 3 4" xfId="14208" xr:uid="{00000000-0005-0000-0000-00000A790000}"/>
    <cellStyle name="40% - Accent4 4 3 2 2 3 4 2" xfId="36810" xr:uid="{00000000-0005-0000-0000-00000B790000}"/>
    <cellStyle name="40% - Accent4 4 3 2 2 3 5" xfId="25509" xr:uid="{00000000-0005-0000-0000-00000C790000}"/>
    <cellStyle name="40% - Accent4 4 3 2 2 4" xfId="4506" xr:uid="{00000000-0005-0000-0000-00000D790000}"/>
    <cellStyle name="40% - Accent4 4 3 2 2 4 2" xfId="10156" xr:uid="{00000000-0005-0000-0000-00000E790000}"/>
    <cellStyle name="40% - Accent4 4 3 2 2 4 2 2" xfId="21457" xr:uid="{00000000-0005-0000-0000-00000F790000}"/>
    <cellStyle name="40% - Accent4 4 3 2 2 4 2 2 2" xfId="44059" xr:uid="{00000000-0005-0000-0000-000010790000}"/>
    <cellStyle name="40% - Accent4 4 3 2 2 4 2 3" xfId="32758" xr:uid="{00000000-0005-0000-0000-000011790000}"/>
    <cellStyle name="40% - Accent4 4 3 2 2 4 3" xfId="15807" xr:uid="{00000000-0005-0000-0000-000012790000}"/>
    <cellStyle name="40% - Accent4 4 3 2 2 4 3 2" xfId="38409" xr:uid="{00000000-0005-0000-0000-000013790000}"/>
    <cellStyle name="40% - Accent4 4 3 2 2 4 4" xfId="27108" xr:uid="{00000000-0005-0000-0000-000014790000}"/>
    <cellStyle name="40% - Accent4 4 3 2 2 5" xfId="7302" xr:uid="{00000000-0005-0000-0000-000015790000}"/>
    <cellStyle name="40% - Accent4 4 3 2 2 5 2" xfId="18603" xr:uid="{00000000-0005-0000-0000-000016790000}"/>
    <cellStyle name="40% - Accent4 4 3 2 2 5 2 2" xfId="41205" xr:uid="{00000000-0005-0000-0000-000017790000}"/>
    <cellStyle name="40% - Accent4 4 3 2 2 5 3" xfId="29904" xr:uid="{00000000-0005-0000-0000-000018790000}"/>
    <cellStyle name="40% - Accent4 4 3 2 2 6" xfId="12953" xr:uid="{00000000-0005-0000-0000-000019790000}"/>
    <cellStyle name="40% - Accent4 4 3 2 2 6 2" xfId="35555" xr:uid="{00000000-0005-0000-0000-00001A790000}"/>
    <cellStyle name="40% - Accent4 4 3 2 2 7" xfId="24254" xr:uid="{00000000-0005-0000-0000-00001B790000}"/>
    <cellStyle name="40% - Accent4 4 3 2 3" xfId="1021" xr:uid="{00000000-0005-0000-0000-00001C790000}"/>
    <cellStyle name="40% - Accent4 4 3 2 3 2" xfId="3084" xr:uid="{00000000-0005-0000-0000-00001D790000}"/>
    <cellStyle name="40% - Accent4 4 3 2 3 2 2" xfId="6056" xr:uid="{00000000-0005-0000-0000-00001E790000}"/>
    <cellStyle name="40% - Accent4 4 3 2 3 2 2 2" xfId="11706" xr:uid="{00000000-0005-0000-0000-00001F790000}"/>
    <cellStyle name="40% - Accent4 4 3 2 3 2 2 2 2" xfId="23007" xr:uid="{00000000-0005-0000-0000-000020790000}"/>
    <cellStyle name="40% - Accent4 4 3 2 3 2 2 2 2 2" xfId="45609" xr:uid="{00000000-0005-0000-0000-000021790000}"/>
    <cellStyle name="40% - Accent4 4 3 2 3 2 2 2 3" xfId="34308" xr:uid="{00000000-0005-0000-0000-000022790000}"/>
    <cellStyle name="40% - Accent4 4 3 2 3 2 2 3" xfId="17357" xr:uid="{00000000-0005-0000-0000-000023790000}"/>
    <cellStyle name="40% - Accent4 4 3 2 3 2 2 3 2" xfId="39959" xr:uid="{00000000-0005-0000-0000-000024790000}"/>
    <cellStyle name="40% - Accent4 4 3 2 3 2 2 4" xfId="28658" xr:uid="{00000000-0005-0000-0000-000025790000}"/>
    <cellStyle name="40% - Accent4 4 3 2 3 2 3" xfId="8874" xr:uid="{00000000-0005-0000-0000-000026790000}"/>
    <cellStyle name="40% - Accent4 4 3 2 3 2 3 2" xfId="20175" xr:uid="{00000000-0005-0000-0000-000027790000}"/>
    <cellStyle name="40% - Accent4 4 3 2 3 2 3 2 2" xfId="42777" xr:uid="{00000000-0005-0000-0000-000028790000}"/>
    <cellStyle name="40% - Accent4 4 3 2 3 2 3 3" xfId="31476" xr:uid="{00000000-0005-0000-0000-000029790000}"/>
    <cellStyle name="40% - Accent4 4 3 2 3 2 4" xfId="14525" xr:uid="{00000000-0005-0000-0000-00002A790000}"/>
    <cellStyle name="40% - Accent4 4 3 2 3 2 4 2" xfId="37127" xr:uid="{00000000-0005-0000-0000-00002B790000}"/>
    <cellStyle name="40% - Accent4 4 3 2 3 2 5" xfId="25826" xr:uid="{00000000-0005-0000-0000-00002C790000}"/>
    <cellStyle name="40% - Accent4 4 3 2 3 3" xfId="4822" xr:uid="{00000000-0005-0000-0000-00002D790000}"/>
    <cellStyle name="40% - Accent4 4 3 2 3 3 2" xfId="10472" xr:uid="{00000000-0005-0000-0000-00002E790000}"/>
    <cellStyle name="40% - Accent4 4 3 2 3 3 2 2" xfId="21773" xr:uid="{00000000-0005-0000-0000-00002F790000}"/>
    <cellStyle name="40% - Accent4 4 3 2 3 3 2 2 2" xfId="44375" xr:uid="{00000000-0005-0000-0000-000030790000}"/>
    <cellStyle name="40% - Accent4 4 3 2 3 3 2 3" xfId="33074" xr:uid="{00000000-0005-0000-0000-000031790000}"/>
    <cellStyle name="40% - Accent4 4 3 2 3 3 3" xfId="16123" xr:uid="{00000000-0005-0000-0000-000032790000}"/>
    <cellStyle name="40% - Accent4 4 3 2 3 3 3 2" xfId="38725" xr:uid="{00000000-0005-0000-0000-000033790000}"/>
    <cellStyle name="40% - Accent4 4 3 2 3 3 4" xfId="27424" xr:uid="{00000000-0005-0000-0000-000034790000}"/>
    <cellStyle name="40% - Accent4 4 3 2 3 4" xfId="7009" xr:uid="{00000000-0005-0000-0000-000035790000}"/>
    <cellStyle name="40% - Accent4 4 3 2 3 4 2" xfId="18310" xr:uid="{00000000-0005-0000-0000-000036790000}"/>
    <cellStyle name="40% - Accent4 4 3 2 3 4 2 2" xfId="40912" xr:uid="{00000000-0005-0000-0000-000037790000}"/>
    <cellStyle name="40% - Accent4 4 3 2 3 4 3" xfId="29611" xr:uid="{00000000-0005-0000-0000-000038790000}"/>
    <cellStyle name="40% - Accent4 4 3 2 3 5" xfId="12660" xr:uid="{00000000-0005-0000-0000-000039790000}"/>
    <cellStyle name="40% - Accent4 4 3 2 3 5 2" xfId="35262" xr:uid="{00000000-0005-0000-0000-00003A790000}"/>
    <cellStyle name="40% - Accent4 4 3 2 3 6" xfId="23961" xr:uid="{00000000-0005-0000-0000-00003B790000}"/>
    <cellStyle name="40% - Accent4 4 3 2 4" xfId="1907" xr:uid="{00000000-0005-0000-0000-00003C790000}"/>
    <cellStyle name="40% - Accent4 4 3 2 4 2" xfId="3726" xr:uid="{00000000-0005-0000-0000-00003D790000}"/>
    <cellStyle name="40% - Accent4 4 3 2 4 2 2" xfId="9436" xr:uid="{00000000-0005-0000-0000-00003E790000}"/>
    <cellStyle name="40% - Accent4 4 3 2 4 2 2 2" xfId="20737" xr:uid="{00000000-0005-0000-0000-00003F790000}"/>
    <cellStyle name="40% - Accent4 4 3 2 4 2 2 2 2" xfId="43339" xr:uid="{00000000-0005-0000-0000-000040790000}"/>
    <cellStyle name="40% - Accent4 4 3 2 4 2 2 3" xfId="32038" xr:uid="{00000000-0005-0000-0000-000041790000}"/>
    <cellStyle name="40% - Accent4 4 3 2 4 2 3" xfId="15087" xr:uid="{00000000-0005-0000-0000-000042790000}"/>
    <cellStyle name="40% - Accent4 4 3 2 4 2 3 2" xfId="37689" xr:uid="{00000000-0005-0000-0000-000043790000}"/>
    <cellStyle name="40% - Accent4 4 3 2 4 2 4" xfId="26388" xr:uid="{00000000-0005-0000-0000-000044790000}"/>
    <cellStyle name="40% - Accent4 4 3 2 4 3" xfId="5432" xr:uid="{00000000-0005-0000-0000-000045790000}"/>
    <cellStyle name="40% - Accent4 4 3 2 4 3 2" xfId="11082" xr:uid="{00000000-0005-0000-0000-000046790000}"/>
    <cellStyle name="40% - Accent4 4 3 2 4 3 2 2" xfId="22383" xr:uid="{00000000-0005-0000-0000-000047790000}"/>
    <cellStyle name="40% - Accent4 4 3 2 4 3 2 2 2" xfId="44985" xr:uid="{00000000-0005-0000-0000-000048790000}"/>
    <cellStyle name="40% - Accent4 4 3 2 4 3 2 3" xfId="33684" xr:uid="{00000000-0005-0000-0000-000049790000}"/>
    <cellStyle name="40% - Accent4 4 3 2 4 3 3" xfId="16733" xr:uid="{00000000-0005-0000-0000-00004A790000}"/>
    <cellStyle name="40% - Accent4 4 3 2 4 3 3 2" xfId="39335" xr:uid="{00000000-0005-0000-0000-00004B790000}"/>
    <cellStyle name="40% - Accent4 4 3 2 4 3 4" xfId="28034" xr:uid="{00000000-0005-0000-0000-00004C790000}"/>
    <cellStyle name="40% - Accent4 4 3 2 4 4" xfId="7763" xr:uid="{00000000-0005-0000-0000-00004D790000}"/>
    <cellStyle name="40% - Accent4 4 3 2 4 4 2" xfId="19064" xr:uid="{00000000-0005-0000-0000-00004E790000}"/>
    <cellStyle name="40% - Accent4 4 3 2 4 4 2 2" xfId="41666" xr:uid="{00000000-0005-0000-0000-00004F790000}"/>
    <cellStyle name="40% - Accent4 4 3 2 4 4 3" xfId="30365" xr:uid="{00000000-0005-0000-0000-000050790000}"/>
    <cellStyle name="40% - Accent4 4 3 2 4 5" xfId="13414" xr:uid="{00000000-0005-0000-0000-000051790000}"/>
    <cellStyle name="40% - Accent4 4 3 2 4 5 2" xfId="36016" xr:uid="{00000000-0005-0000-0000-000052790000}"/>
    <cellStyle name="40% - Accent4 4 3 2 4 6" xfId="24715" xr:uid="{00000000-0005-0000-0000-000053790000}"/>
    <cellStyle name="40% - Accent4 4 3 2 5" xfId="2413" xr:uid="{00000000-0005-0000-0000-000054790000}"/>
    <cellStyle name="40% - Accent4 4 3 2 5 2" xfId="8249" xr:uid="{00000000-0005-0000-0000-000055790000}"/>
    <cellStyle name="40% - Accent4 4 3 2 5 2 2" xfId="19550" xr:uid="{00000000-0005-0000-0000-000056790000}"/>
    <cellStyle name="40% - Accent4 4 3 2 5 2 2 2" xfId="42152" xr:uid="{00000000-0005-0000-0000-000057790000}"/>
    <cellStyle name="40% - Accent4 4 3 2 5 2 3" xfId="30851" xr:uid="{00000000-0005-0000-0000-000058790000}"/>
    <cellStyle name="40% - Accent4 4 3 2 5 3" xfId="13900" xr:uid="{00000000-0005-0000-0000-000059790000}"/>
    <cellStyle name="40% - Accent4 4 3 2 5 3 2" xfId="36502" xr:uid="{00000000-0005-0000-0000-00005A790000}"/>
    <cellStyle name="40% - Accent4 4 3 2 5 4" xfId="25201" xr:uid="{00000000-0005-0000-0000-00005B790000}"/>
    <cellStyle name="40% - Accent4 4 3 2 6" xfId="4198" xr:uid="{00000000-0005-0000-0000-00005C790000}"/>
    <cellStyle name="40% - Accent4 4 3 2 6 2" xfId="9848" xr:uid="{00000000-0005-0000-0000-00005D790000}"/>
    <cellStyle name="40% - Accent4 4 3 2 6 2 2" xfId="21149" xr:uid="{00000000-0005-0000-0000-00005E790000}"/>
    <cellStyle name="40% - Accent4 4 3 2 6 2 2 2" xfId="43751" xr:uid="{00000000-0005-0000-0000-00005F790000}"/>
    <cellStyle name="40% - Accent4 4 3 2 6 2 3" xfId="32450" xr:uid="{00000000-0005-0000-0000-000060790000}"/>
    <cellStyle name="40% - Accent4 4 3 2 6 3" xfId="15499" xr:uid="{00000000-0005-0000-0000-000061790000}"/>
    <cellStyle name="40% - Accent4 4 3 2 6 3 2" xfId="38101" xr:uid="{00000000-0005-0000-0000-000062790000}"/>
    <cellStyle name="40% - Accent4 4 3 2 6 4" xfId="26800" xr:uid="{00000000-0005-0000-0000-000063790000}"/>
    <cellStyle name="40% - Accent4 4 3 2 7" xfId="6678" xr:uid="{00000000-0005-0000-0000-000064790000}"/>
    <cellStyle name="40% - Accent4 4 3 2 7 2" xfId="17979" xr:uid="{00000000-0005-0000-0000-000065790000}"/>
    <cellStyle name="40% - Accent4 4 3 2 7 2 2" xfId="40581" xr:uid="{00000000-0005-0000-0000-000066790000}"/>
    <cellStyle name="40% - Accent4 4 3 2 7 3" xfId="29280" xr:uid="{00000000-0005-0000-0000-000067790000}"/>
    <cellStyle name="40% - Accent4 4 3 2 8" xfId="12329" xr:uid="{00000000-0005-0000-0000-000068790000}"/>
    <cellStyle name="40% - Accent4 4 3 2 8 2" xfId="34931" xr:uid="{00000000-0005-0000-0000-000069790000}"/>
    <cellStyle name="40% - Accent4 4 3 2 9" xfId="23630" xr:uid="{00000000-0005-0000-0000-00006A790000}"/>
    <cellStyle name="40% - Accent4 4 3 3" xfId="1185" xr:uid="{00000000-0005-0000-0000-00006B790000}"/>
    <cellStyle name="40% - Accent4 4 3 3 2" xfId="1909" xr:uid="{00000000-0005-0000-0000-00006C790000}"/>
    <cellStyle name="40% - Accent4 4 3 3 2 2" xfId="3253" xr:uid="{00000000-0005-0000-0000-00006D790000}"/>
    <cellStyle name="40% - Accent4 4 3 3 2 2 2" xfId="6225" xr:uid="{00000000-0005-0000-0000-00006E790000}"/>
    <cellStyle name="40% - Accent4 4 3 3 2 2 2 2" xfId="11875" xr:uid="{00000000-0005-0000-0000-00006F790000}"/>
    <cellStyle name="40% - Accent4 4 3 3 2 2 2 2 2" xfId="23176" xr:uid="{00000000-0005-0000-0000-000070790000}"/>
    <cellStyle name="40% - Accent4 4 3 3 2 2 2 2 2 2" xfId="45778" xr:uid="{00000000-0005-0000-0000-000071790000}"/>
    <cellStyle name="40% - Accent4 4 3 3 2 2 2 2 3" xfId="34477" xr:uid="{00000000-0005-0000-0000-000072790000}"/>
    <cellStyle name="40% - Accent4 4 3 3 2 2 2 3" xfId="17526" xr:uid="{00000000-0005-0000-0000-000073790000}"/>
    <cellStyle name="40% - Accent4 4 3 3 2 2 2 3 2" xfId="40128" xr:uid="{00000000-0005-0000-0000-000074790000}"/>
    <cellStyle name="40% - Accent4 4 3 3 2 2 2 4" xfId="28827" xr:uid="{00000000-0005-0000-0000-000075790000}"/>
    <cellStyle name="40% - Accent4 4 3 3 2 2 3" xfId="9043" xr:uid="{00000000-0005-0000-0000-000076790000}"/>
    <cellStyle name="40% - Accent4 4 3 3 2 2 3 2" xfId="20344" xr:uid="{00000000-0005-0000-0000-000077790000}"/>
    <cellStyle name="40% - Accent4 4 3 3 2 2 3 2 2" xfId="42946" xr:uid="{00000000-0005-0000-0000-000078790000}"/>
    <cellStyle name="40% - Accent4 4 3 3 2 2 3 3" xfId="31645" xr:uid="{00000000-0005-0000-0000-000079790000}"/>
    <cellStyle name="40% - Accent4 4 3 3 2 2 4" xfId="14694" xr:uid="{00000000-0005-0000-0000-00007A790000}"/>
    <cellStyle name="40% - Accent4 4 3 3 2 2 4 2" xfId="37296" xr:uid="{00000000-0005-0000-0000-00007B790000}"/>
    <cellStyle name="40% - Accent4 4 3 3 2 2 5" xfId="25995" xr:uid="{00000000-0005-0000-0000-00007C790000}"/>
    <cellStyle name="40% - Accent4 4 3 3 2 3" xfId="4991" xr:uid="{00000000-0005-0000-0000-00007D790000}"/>
    <cellStyle name="40% - Accent4 4 3 3 2 3 2" xfId="10641" xr:uid="{00000000-0005-0000-0000-00007E790000}"/>
    <cellStyle name="40% - Accent4 4 3 3 2 3 2 2" xfId="21942" xr:uid="{00000000-0005-0000-0000-00007F790000}"/>
    <cellStyle name="40% - Accent4 4 3 3 2 3 2 2 2" xfId="44544" xr:uid="{00000000-0005-0000-0000-000080790000}"/>
    <cellStyle name="40% - Accent4 4 3 3 2 3 2 3" xfId="33243" xr:uid="{00000000-0005-0000-0000-000081790000}"/>
    <cellStyle name="40% - Accent4 4 3 3 2 3 3" xfId="16292" xr:uid="{00000000-0005-0000-0000-000082790000}"/>
    <cellStyle name="40% - Accent4 4 3 3 2 3 3 2" xfId="38894" xr:uid="{00000000-0005-0000-0000-000083790000}"/>
    <cellStyle name="40% - Accent4 4 3 3 2 3 4" xfId="27593" xr:uid="{00000000-0005-0000-0000-000084790000}"/>
    <cellStyle name="40% - Accent4 4 3 3 2 4" xfId="7765" xr:uid="{00000000-0005-0000-0000-000085790000}"/>
    <cellStyle name="40% - Accent4 4 3 3 2 4 2" xfId="19066" xr:uid="{00000000-0005-0000-0000-000086790000}"/>
    <cellStyle name="40% - Accent4 4 3 3 2 4 2 2" xfId="41668" xr:uid="{00000000-0005-0000-0000-000087790000}"/>
    <cellStyle name="40% - Accent4 4 3 3 2 4 3" xfId="30367" xr:uid="{00000000-0005-0000-0000-000088790000}"/>
    <cellStyle name="40% - Accent4 4 3 3 2 5" xfId="13416" xr:uid="{00000000-0005-0000-0000-000089790000}"/>
    <cellStyle name="40% - Accent4 4 3 3 2 5 2" xfId="36018" xr:uid="{00000000-0005-0000-0000-00008A790000}"/>
    <cellStyle name="40% - Accent4 4 3 3 2 6" xfId="24717" xr:uid="{00000000-0005-0000-0000-00008B790000}"/>
    <cellStyle name="40% - Accent4 4 3 3 3" xfId="2582" xr:uid="{00000000-0005-0000-0000-00008C790000}"/>
    <cellStyle name="40% - Accent4 4 3 3 3 2" xfId="5601" xr:uid="{00000000-0005-0000-0000-00008D790000}"/>
    <cellStyle name="40% - Accent4 4 3 3 3 2 2" xfId="11251" xr:uid="{00000000-0005-0000-0000-00008E790000}"/>
    <cellStyle name="40% - Accent4 4 3 3 3 2 2 2" xfId="22552" xr:uid="{00000000-0005-0000-0000-00008F790000}"/>
    <cellStyle name="40% - Accent4 4 3 3 3 2 2 2 2" xfId="45154" xr:uid="{00000000-0005-0000-0000-000090790000}"/>
    <cellStyle name="40% - Accent4 4 3 3 3 2 2 3" xfId="33853" xr:uid="{00000000-0005-0000-0000-000091790000}"/>
    <cellStyle name="40% - Accent4 4 3 3 3 2 3" xfId="16902" xr:uid="{00000000-0005-0000-0000-000092790000}"/>
    <cellStyle name="40% - Accent4 4 3 3 3 2 3 2" xfId="39504" xr:uid="{00000000-0005-0000-0000-000093790000}"/>
    <cellStyle name="40% - Accent4 4 3 3 3 2 4" xfId="28203" xr:uid="{00000000-0005-0000-0000-000094790000}"/>
    <cellStyle name="40% - Accent4 4 3 3 3 3" xfId="8418" xr:uid="{00000000-0005-0000-0000-000095790000}"/>
    <cellStyle name="40% - Accent4 4 3 3 3 3 2" xfId="19719" xr:uid="{00000000-0005-0000-0000-000096790000}"/>
    <cellStyle name="40% - Accent4 4 3 3 3 3 2 2" xfId="42321" xr:uid="{00000000-0005-0000-0000-000097790000}"/>
    <cellStyle name="40% - Accent4 4 3 3 3 3 3" xfId="31020" xr:uid="{00000000-0005-0000-0000-000098790000}"/>
    <cellStyle name="40% - Accent4 4 3 3 3 4" xfId="14069" xr:uid="{00000000-0005-0000-0000-000099790000}"/>
    <cellStyle name="40% - Accent4 4 3 3 3 4 2" xfId="36671" xr:uid="{00000000-0005-0000-0000-00009A790000}"/>
    <cellStyle name="40% - Accent4 4 3 3 3 5" xfId="25370" xr:uid="{00000000-0005-0000-0000-00009B790000}"/>
    <cellStyle name="40% - Accent4 4 3 3 4" xfId="4367" xr:uid="{00000000-0005-0000-0000-00009C790000}"/>
    <cellStyle name="40% - Accent4 4 3 3 4 2" xfId="10017" xr:uid="{00000000-0005-0000-0000-00009D790000}"/>
    <cellStyle name="40% - Accent4 4 3 3 4 2 2" xfId="21318" xr:uid="{00000000-0005-0000-0000-00009E790000}"/>
    <cellStyle name="40% - Accent4 4 3 3 4 2 2 2" xfId="43920" xr:uid="{00000000-0005-0000-0000-00009F790000}"/>
    <cellStyle name="40% - Accent4 4 3 3 4 2 3" xfId="32619" xr:uid="{00000000-0005-0000-0000-0000A0790000}"/>
    <cellStyle name="40% - Accent4 4 3 3 4 3" xfId="15668" xr:uid="{00000000-0005-0000-0000-0000A1790000}"/>
    <cellStyle name="40% - Accent4 4 3 3 4 3 2" xfId="38270" xr:uid="{00000000-0005-0000-0000-0000A2790000}"/>
    <cellStyle name="40% - Accent4 4 3 3 4 4" xfId="26969" xr:uid="{00000000-0005-0000-0000-0000A3790000}"/>
    <cellStyle name="40% - Accent4 4 3 3 5" xfId="7164" xr:uid="{00000000-0005-0000-0000-0000A4790000}"/>
    <cellStyle name="40% - Accent4 4 3 3 5 2" xfId="18465" xr:uid="{00000000-0005-0000-0000-0000A5790000}"/>
    <cellStyle name="40% - Accent4 4 3 3 5 2 2" xfId="41067" xr:uid="{00000000-0005-0000-0000-0000A6790000}"/>
    <cellStyle name="40% - Accent4 4 3 3 5 3" xfId="29766" xr:uid="{00000000-0005-0000-0000-0000A7790000}"/>
    <cellStyle name="40% - Accent4 4 3 3 6" xfId="12815" xr:uid="{00000000-0005-0000-0000-0000A8790000}"/>
    <cellStyle name="40% - Accent4 4 3 3 6 2" xfId="35417" xr:uid="{00000000-0005-0000-0000-0000A9790000}"/>
    <cellStyle name="40% - Accent4 4 3 3 7" xfId="24116" xr:uid="{00000000-0005-0000-0000-0000AA790000}"/>
    <cellStyle name="40% - Accent4 4 3 4" xfId="876" xr:uid="{00000000-0005-0000-0000-0000AB790000}"/>
    <cellStyle name="40% - Accent4 4 3 4 2" xfId="2946" xr:uid="{00000000-0005-0000-0000-0000AC790000}"/>
    <cellStyle name="40% - Accent4 4 3 4 2 2" xfId="5918" xr:uid="{00000000-0005-0000-0000-0000AD790000}"/>
    <cellStyle name="40% - Accent4 4 3 4 2 2 2" xfId="11568" xr:uid="{00000000-0005-0000-0000-0000AE790000}"/>
    <cellStyle name="40% - Accent4 4 3 4 2 2 2 2" xfId="22869" xr:uid="{00000000-0005-0000-0000-0000AF790000}"/>
    <cellStyle name="40% - Accent4 4 3 4 2 2 2 2 2" xfId="45471" xr:uid="{00000000-0005-0000-0000-0000B0790000}"/>
    <cellStyle name="40% - Accent4 4 3 4 2 2 2 3" xfId="34170" xr:uid="{00000000-0005-0000-0000-0000B1790000}"/>
    <cellStyle name="40% - Accent4 4 3 4 2 2 3" xfId="17219" xr:uid="{00000000-0005-0000-0000-0000B2790000}"/>
    <cellStyle name="40% - Accent4 4 3 4 2 2 3 2" xfId="39821" xr:uid="{00000000-0005-0000-0000-0000B3790000}"/>
    <cellStyle name="40% - Accent4 4 3 4 2 2 4" xfId="28520" xr:uid="{00000000-0005-0000-0000-0000B4790000}"/>
    <cellStyle name="40% - Accent4 4 3 4 2 3" xfId="8736" xr:uid="{00000000-0005-0000-0000-0000B5790000}"/>
    <cellStyle name="40% - Accent4 4 3 4 2 3 2" xfId="20037" xr:uid="{00000000-0005-0000-0000-0000B6790000}"/>
    <cellStyle name="40% - Accent4 4 3 4 2 3 2 2" xfId="42639" xr:uid="{00000000-0005-0000-0000-0000B7790000}"/>
    <cellStyle name="40% - Accent4 4 3 4 2 3 3" xfId="31338" xr:uid="{00000000-0005-0000-0000-0000B8790000}"/>
    <cellStyle name="40% - Accent4 4 3 4 2 4" xfId="14387" xr:uid="{00000000-0005-0000-0000-0000B9790000}"/>
    <cellStyle name="40% - Accent4 4 3 4 2 4 2" xfId="36989" xr:uid="{00000000-0005-0000-0000-0000BA790000}"/>
    <cellStyle name="40% - Accent4 4 3 4 2 5" xfId="25688" xr:uid="{00000000-0005-0000-0000-0000BB790000}"/>
    <cellStyle name="40% - Accent4 4 3 4 3" xfId="4684" xr:uid="{00000000-0005-0000-0000-0000BC790000}"/>
    <cellStyle name="40% - Accent4 4 3 4 3 2" xfId="10334" xr:uid="{00000000-0005-0000-0000-0000BD790000}"/>
    <cellStyle name="40% - Accent4 4 3 4 3 2 2" xfId="21635" xr:uid="{00000000-0005-0000-0000-0000BE790000}"/>
    <cellStyle name="40% - Accent4 4 3 4 3 2 2 2" xfId="44237" xr:uid="{00000000-0005-0000-0000-0000BF790000}"/>
    <cellStyle name="40% - Accent4 4 3 4 3 2 3" xfId="32936" xr:uid="{00000000-0005-0000-0000-0000C0790000}"/>
    <cellStyle name="40% - Accent4 4 3 4 3 3" xfId="15985" xr:uid="{00000000-0005-0000-0000-0000C1790000}"/>
    <cellStyle name="40% - Accent4 4 3 4 3 3 2" xfId="38587" xr:uid="{00000000-0005-0000-0000-0000C2790000}"/>
    <cellStyle name="40% - Accent4 4 3 4 3 4" xfId="27286" xr:uid="{00000000-0005-0000-0000-0000C3790000}"/>
    <cellStyle name="40% - Accent4 4 3 4 4" xfId="6871" xr:uid="{00000000-0005-0000-0000-0000C4790000}"/>
    <cellStyle name="40% - Accent4 4 3 4 4 2" xfId="18172" xr:uid="{00000000-0005-0000-0000-0000C5790000}"/>
    <cellStyle name="40% - Accent4 4 3 4 4 2 2" xfId="40774" xr:uid="{00000000-0005-0000-0000-0000C6790000}"/>
    <cellStyle name="40% - Accent4 4 3 4 4 3" xfId="29473" xr:uid="{00000000-0005-0000-0000-0000C7790000}"/>
    <cellStyle name="40% - Accent4 4 3 4 5" xfId="12522" xr:uid="{00000000-0005-0000-0000-0000C8790000}"/>
    <cellStyle name="40% - Accent4 4 3 4 5 2" xfId="35124" xr:uid="{00000000-0005-0000-0000-0000C9790000}"/>
    <cellStyle name="40% - Accent4 4 3 4 6" xfId="23823" xr:uid="{00000000-0005-0000-0000-0000CA790000}"/>
    <cellStyle name="40% - Accent4 4 3 5" xfId="1906" xr:uid="{00000000-0005-0000-0000-0000CB790000}"/>
    <cellStyle name="40% - Accent4 4 3 5 2" xfId="3725" xr:uid="{00000000-0005-0000-0000-0000CC790000}"/>
    <cellStyle name="40% - Accent4 4 3 5 2 2" xfId="9435" xr:uid="{00000000-0005-0000-0000-0000CD790000}"/>
    <cellStyle name="40% - Accent4 4 3 5 2 2 2" xfId="20736" xr:uid="{00000000-0005-0000-0000-0000CE790000}"/>
    <cellStyle name="40% - Accent4 4 3 5 2 2 2 2" xfId="43338" xr:uid="{00000000-0005-0000-0000-0000CF790000}"/>
    <cellStyle name="40% - Accent4 4 3 5 2 2 3" xfId="32037" xr:uid="{00000000-0005-0000-0000-0000D0790000}"/>
    <cellStyle name="40% - Accent4 4 3 5 2 3" xfId="15086" xr:uid="{00000000-0005-0000-0000-0000D1790000}"/>
    <cellStyle name="40% - Accent4 4 3 5 2 3 2" xfId="37688" xr:uid="{00000000-0005-0000-0000-0000D2790000}"/>
    <cellStyle name="40% - Accent4 4 3 5 2 4" xfId="26387" xr:uid="{00000000-0005-0000-0000-0000D3790000}"/>
    <cellStyle name="40% - Accent4 4 3 5 3" xfId="5294" xr:uid="{00000000-0005-0000-0000-0000D4790000}"/>
    <cellStyle name="40% - Accent4 4 3 5 3 2" xfId="10944" xr:uid="{00000000-0005-0000-0000-0000D5790000}"/>
    <cellStyle name="40% - Accent4 4 3 5 3 2 2" xfId="22245" xr:uid="{00000000-0005-0000-0000-0000D6790000}"/>
    <cellStyle name="40% - Accent4 4 3 5 3 2 2 2" xfId="44847" xr:uid="{00000000-0005-0000-0000-0000D7790000}"/>
    <cellStyle name="40% - Accent4 4 3 5 3 2 3" xfId="33546" xr:uid="{00000000-0005-0000-0000-0000D8790000}"/>
    <cellStyle name="40% - Accent4 4 3 5 3 3" xfId="16595" xr:uid="{00000000-0005-0000-0000-0000D9790000}"/>
    <cellStyle name="40% - Accent4 4 3 5 3 3 2" xfId="39197" xr:uid="{00000000-0005-0000-0000-0000DA790000}"/>
    <cellStyle name="40% - Accent4 4 3 5 3 4" xfId="27896" xr:uid="{00000000-0005-0000-0000-0000DB790000}"/>
    <cellStyle name="40% - Accent4 4 3 5 4" xfId="7762" xr:uid="{00000000-0005-0000-0000-0000DC790000}"/>
    <cellStyle name="40% - Accent4 4 3 5 4 2" xfId="19063" xr:uid="{00000000-0005-0000-0000-0000DD790000}"/>
    <cellStyle name="40% - Accent4 4 3 5 4 2 2" xfId="41665" xr:uid="{00000000-0005-0000-0000-0000DE790000}"/>
    <cellStyle name="40% - Accent4 4 3 5 4 3" xfId="30364" xr:uid="{00000000-0005-0000-0000-0000DF790000}"/>
    <cellStyle name="40% - Accent4 4 3 5 5" xfId="13413" xr:uid="{00000000-0005-0000-0000-0000E0790000}"/>
    <cellStyle name="40% - Accent4 4 3 5 5 2" xfId="36015" xr:uid="{00000000-0005-0000-0000-0000E1790000}"/>
    <cellStyle name="40% - Accent4 4 3 5 6" xfId="24714" xr:uid="{00000000-0005-0000-0000-0000E2790000}"/>
    <cellStyle name="40% - Accent4 4 3 6" xfId="2273" xr:uid="{00000000-0005-0000-0000-0000E3790000}"/>
    <cellStyle name="40% - Accent4 4 3 6 2" xfId="8109" xr:uid="{00000000-0005-0000-0000-0000E4790000}"/>
    <cellStyle name="40% - Accent4 4 3 6 2 2" xfId="19410" xr:uid="{00000000-0005-0000-0000-0000E5790000}"/>
    <cellStyle name="40% - Accent4 4 3 6 2 2 2" xfId="42012" xr:uid="{00000000-0005-0000-0000-0000E6790000}"/>
    <cellStyle name="40% - Accent4 4 3 6 2 3" xfId="30711" xr:uid="{00000000-0005-0000-0000-0000E7790000}"/>
    <cellStyle name="40% - Accent4 4 3 6 3" xfId="13760" xr:uid="{00000000-0005-0000-0000-0000E8790000}"/>
    <cellStyle name="40% - Accent4 4 3 6 3 2" xfId="36362" xr:uid="{00000000-0005-0000-0000-0000E9790000}"/>
    <cellStyle name="40% - Accent4 4 3 6 4" xfId="25061" xr:uid="{00000000-0005-0000-0000-0000EA790000}"/>
    <cellStyle name="40% - Accent4 4 3 7" xfId="4060" xr:uid="{00000000-0005-0000-0000-0000EB790000}"/>
    <cellStyle name="40% - Accent4 4 3 7 2" xfId="9710" xr:uid="{00000000-0005-0000-0000-0000EC790000}"/>
    <cellStyle name="40% - Accent4 4 3 7 2 2" xfId="21011" xr:uid="{00000000-0005-0000-0000-0000ED790000}"/>
    <cellStyle name="40% - Accent4 4 3 7 2 2 2" xfId="43613" xr:uid="{00000000-0005-0000-0000-0000EE790000}"/>
    <cellStyle name="40% - Accent4 4 3 7 2 3" xfId="32312" xr:uid="{00000000-0005-0000-0000-0000EF790000}"/>
    <cellStyle name="40% - Accent4 4 3 7 3" xfId="15361" xr:uid="{00000000-0005-0000-0000-0000F0790000}"/>
    <cellStyle name="40% - Accent4 4 3 7 3 2" xfId="37963" xr:uid="{00000000-0005-0000-0000-0000F1790000}"/>
    <cellStyle name="40% - Accent4 4 3 7 4" xfId="26662" xr:uid="{00000000-0005-0000-0000-0000F2790000}"/>
    <cellStyle name="40% - Accent4 4 3 8" xfId="6511" xr:uid="{00000000-0005-0000-0000-0000F3790000}"/>
    <cellStyle name="40% - Accent4 4 3 8 2" xfId="17812" xr:uid="{00000000-0005-0000-0000-0000F4790000}"/>
    <cellStyle name="40% - Accent4 4 3 8 2 2" xfId="40414" xr:uid="{00000000-0005-0000-0000-0000F5790000}"/>
    <cellStyle name="40% - Accent4 4 3 8 3" xfId="29113" xr:uid="{00000000-0005-0000-0000-0000F6790000}"/>
    <cellStyle name="40% - Accent4 4 3 9" xfId="12162" xr:uid="{00000000-0005-0000-0000-0000F7790000}"/>
    <cellStyle name="40% - Accent4 4 3 9 2" xfId="34764" xr:uid="{00000000-0005-0000-0000-0000F8790000}"/>
    <cellStyle name="40% - Accent4 4 4" xfId="515" xr:uid="{00000000-0005-0000-0000-0000F9790000}"/>
    <cellStyle name="40% - Accent4 4 4 2" xfId="1089" xr:uid="{00000000-0005-0000-0000-0000FA790000}"/>
    <cellStyle name="40% - Accent4 4 4 2 2" xfId="1911" xr:uid="{00000000-0005-0000-0000-0000FB790000}"/>
    <cellStyle name="40% - Accent4 4 4 2 2 2" xfId="3157" xr:uid="{00000000-0005-0000-0000-0000FC790000}"/>
    <cellStyle name="40% - Accent4 4 4 2 2 2 2" xfId="6129" xr:uid="{00000000-0005-0000-0000-0000FD790000}"/>
    <cellStyle name="40% - Accent4 4 4 2 2 2 2 2" xfId="11779" xr:uid="{00000000-0005-0000-0000-0000FE790000}"/>
    <cellStyle name="40% - Accent4 4 4 2 2 2 2 2 2" xfId="23080" xr:uid="{00000000-0005-0000-0000-0000FF790000}"/>
    <cellStyle name="40% - Accent4 4 4 2 2 2 2 2 2 2" xfId="45682" xr:uid="{00000000-0005-0000-0000-0000007A0000}"/>
    <cellStyle name="40% - Accent4 4 4 2 2 2 2 2 3" xfId="34381" xr:uid="{00000000-0005-0000-0000-0000017A0000}"/>
    <cellStyle name="40% - Accent4 4 4 2 2 2 2 3" xfId="17430" xr:uid="{00000000-0005-0000-0000-0000027A0000}"/>
    <cellStyle name="40% - Accent4 4 4 2 2 2 2 3 2" xfId="40032" xr:uid="{00000000-0005-0000-0000-0000037A0000}"/>
    <cellStyle name="40% - Accent4 4 4 2 2 2 2 4" xfId="28731" xr:uid="{00000000-0005-0000-0000-0000047A0000}"/>
    <cellStyle name="40% - Accent4 4 4 2 2 2 3" xfId="8947" xr:uid="{00000000-0005-0000-0000-0000057A0000}"/>
    <cellStyle name="40% - Accent4 4 4 2 2 2 3 2" xfId="20248" xr:uid="{00000000-0005-0000-0000-0000067A0000}"/>
    <cellStyle name="40% - Accent4 4 4 2 2 2 3 2 2" xfId="42850" xr:uid="{00000000-0005-0000-0000-0000077A0000}"/>
    <cellStyle name="40% - Accent4 4 4 2 2 2 3 3" xfId="31549" xr:uid="{00000000-0005-0000-0000-0000087A0000}"/>
    <cellStyle name="40% - Accent4 4 4 2 2 2 4" xfId="14598" xr:uid="{00000000-0005-0000-0000-0000097A0000}"/>
    <cellStyle name="40% - Accent4 4 4 2 2 2 4 2" xfId="37200" xr:uid="{00000000-0005-0000-0000-00000A7A0000}"/>
    <cellStyle name="40% - Accent4 4 4 2 2 2 5" xfId="25899" xr:uid="{00000000-0005-0000-0000-00000B7A0000}"/>
    <cellStyle name="40% - Accent4 4 4 2 2 3" xfId="4895" xr:uid="{00000000-0005-0000-0000-00000C7A0000}"/>
    <cellStyle name="40% - Accent4 4 4 2 2 3 2" xfId="10545" xr:uid="{00000000-0005-0000-0000-00000D7A0000}"/>
    <cellStyle name="40% - Accent4 4 4 2 2 3 2 2" xfId="21846" xr:uid="{00000000-0005-0000-0000-00000E7A0000}"/>
    <cellStyle name="40% - Accent4 4 4 2 2 3 2 2 2" xfId="44448" xr:uid="{00000000-0005-0000-0000-00000F7A0000}"/>
    <cellStyle name="40% - Accent4 4 4 2 2 3 2 3" xfId="33147" xr:uid="{00000000-0005-0000-0000-0000107A0000}"/>
    <cellStyle name="40% - Accent4 4 4 2 2 3 3" xfId="16196" xr:uid="{00000000-0005-0000-0000-0000117A0000}"/>
    <cellStyle name="40% - Accent4 4 4 2 2 3 3 2" xfId="38798" xr:uid="{00000000-0005-0000-0000-0000127A0000}"/>
    <cellStyle name="40% - Accent4 4 4 2 2 3 4" xfId="27497" xr:uid="{00000000-0005-0000-0000-0000137A0000}"/>
    <cellStyle name="40% - Accent4 4 4 2 2 4" xfId="7767" xr:uid="{00000000-0005-0000-0000-0000147A0000}"/>
    <cellStyle name="40% - Accent4 4 4 2 2 4 2" xfId="19068" xr:uid="{00000000-0005-0000-0000-0000157A0000}"/>
    <cellStyle name="40% - Accent4 4 4 2 2 4 2 2" xfId="41670" xr:uid="{00000000-0005-0000-0000-0000167A0000}"/>
    <cellStyle name="40% - Accent4 4 4 2 2 4 3" xfId="30369" xr:uid="{00000000-0005-0000-0000-0000177A0000}"/>
    <cellStyle name="40% - Accent4 4 4 2 2 5" xfId="13418" xr:uid="{00000000-0005-0000-0000-0000187A0000}"/>
    <cellStyle name="40% - Accent4 4 4 2 2 5 2" xfId="36020" xr:uid="{00000000-0005-0000-0000-0000197A0000}"/>
    <cellStyle name="40% - Accent4 4 4 2 2 6" xfId="24719" xr:uid="{00000000-0005-0000-0000-00001A7A0000}"/>
    <cellStyle name="40% - Accent4 4 4 2 3" xfId="2486" xr:uid="{00000000-0005-0000-0000-00001B7A0000}"/>
    <cellStyle name="40% - Accent4 4 4 2 3 2" xfId="5505" xr:uid="{00000000-0005-0000-0000-00001C7A0000}"/>
    <cellStyle name="40% - Accent4 4 4 2 3 2 2" xfId="11155" xr:uid="{00000000-0005-0000-0000-00001D7A0000}"/>
    <cellStyle name="40% - Accent4 4 4 2 3 2 2 2" xfId="22456" xr:uid="{00000000-0005-0000-0000-00001E7A0000}"/>
    <cellStyle name="40% - Accent4 4 4 2 3 2 2 2 2" xfId="45058" xr:uid="{00000000-0005-0000-0000-00001F7A0000}"/>
    <cellStyle name="40% - Accent4 4 4 2 3 2 2 3" xfId="33757" xr:uid="{00000000-0005-0000-0000-0000207A0000}"/>
    <cellStyle name="40% - Accent4 4 4 2 3 2 3" xfId="16806" xr:uid="{00000000-0005-0000-0000-0000217A0000}"/>
    <cellStyle name="40% - Accent4 4 4 2 3 2 3 2" xfId="39408" xr:uid="{00000000-0005-0000-0000-0000227A0000}"/>
    <cellStyle name="40% - Accent4 4 4 2 3 2 4" xfId="28107" xr:uid="{00000000-0005-0000-0000-0000237A0000}"/>
    <cellStyle name="40% - Accent4 4 4 2 3 3" xfId="8322" xr:uid="{00000000-0005-0000-0000-0000247A0000}"/>
    <cellStyle name="40% - Accent4 4 4 2 3 3 2" xfId="19623" xr:uid="{00000000-0005-0000-0000-0000257A0000}"/>
    <cellStyle name="40% - Accent4 4 4 2 3 3 2 2" xfId="42225" xr:uid="{00000000-0005-0000-0000-0000267A0000}"/>
    <cellStyle name="40% - Accent4 4 4 2 3 3 3" xfId="30924" xr:uid="{00000000-0005-0000-0000-0000277A0000}"/>
    <cellStyle name="40% - Accent4 4 4 2 3 4" xfId="13973" xr:uid="{00000000-0005-0000-0000-0000287A0000}"/>
    <cellStyle name="40% - Accent4 4 4 2 3 4 2" xfId="36575" xr:uid="{00000000-0005-0000-0000-0000297A0000}"/>
    <cellStyle name="40% - Accent4 4 4 2 3 5" xfId="25274" xr:uid="{00000000-0005-0000-0000-00002A7A0000}"/>
    <cellStyle name="40% - Accent4 4 4 2 4" xfId="4271" xr:uid="{00000000-0005-0000-0000-00002B7A0000}"/>
    <cellStyle name="40% - Accent4 4 4 2 4 2" xfId="9921" xr:uid="{00000000-0005-0000-0000-00002C7A0000}"/>
    <cellStyle name="40% - Accent4 4 4 2 4 2 2" xfId="21222" xr:uid="{00000000-0005-0000-0000-00002D7A0000}"/>
    <cellStyle name="40% - Accent4 4 4 2 4 2 2 2" xfId="43824" xr:uid="{00000000-0005-0000-0000-00002E7A0000}"/>
    <cellStyle name="40% - Accent4 4 4 2 4 2 3" xfId="32523" xr:uid="{00000000-0005-0000-0000-00002F7A0000}"/>
    <cellStyle name="40% - Accent4 4 4 2 4 3" xfId="15572" xr:uid="{00000000-0005-0000-0000-0000307A0000}"/>
    <cellStyle name="40% - Accent4 4 4 2 4 3 2" xfId="38174" xr:uid="{00000000-0005-0000-0000-0000317A0000}"/>
    <cellStyle name="40% - Accent4 4 4 2 4 4" xfId="26873" xr:uid="{00000000-0005-0000-0000-0000327A0000}"/>
    <cellStyle name="40% - Accent4 4 4 2 5" xfId="7068" xr:uid="{00000000-0005-0000-0000-0000337A0000}"/>
    <cellStyle name="40% - Accent4 4 4 2 5 2" xfId="18369" xr:uid="{00000000-0005-0000-0000-0000347A0000}"/>
    <cellStyle name="40% - Accent4 4 4 2 5 2 2" xfId="40971" xr:uid="{00000000-0005-0000-0000-0000357A0000}"/>
    <cellStyle name="40% - Accent4 4 4 2 5 3" xfId="29670" xr:uid="{00000000-0005-0000-0000-0000367A0000}"/>
    <cellStyle name="40% - Accent4 4 4 2 6" xfId="12719" xr:uid="{00000000-0005-0000-0000-0000377A0000}"/>
    <cellStyle name="40% - Accent4 4 4 2 6 2" xfId="35321" xr:uid="{00000000-0005-0000-0000-0000387A0000}"/>
    <cellStyle name="40% - Accent4 4 4 2 7" xfId="24020" xr:uid="{00000000-0005-0000-0000-0000397A0000}"/>
    <cellStyle name="40% - Accent4 4 4 3" xfId="763" xr:uid="{00000000-0005-0000-0000-00003A7A0000}"/>
    <cellStyle name="40% - Accent4 4 4 3 2" xfId="2850" xr:uid="{00000000-0005-0000-0000-00003B7A0000}"/>
    <cellStyle name="40% - Accent4 4 4 3 2 2" xfId="5822" xr:uid="{00000000-0005-0000-0000-00003C7A0000}"/>
    <cellStyle name="40% - Accent4 4 4 3 2 2 2" xfId="11472" xr:uid="{00000000-0005-0000-0000-00003D7A0000}"/>
    <cellStyle name="40% - Accent4 4 4 3 2 2 2 2" xfId="22773" xr:uid="{00000000-0005-0000-0000-00003E7A0000}"/>
    <cellStyle name="40% - Accent4 4 4 3 2 2 2 2 2" xfId="45375" xr:uid="{00000000-0005-0000-0000-00003F7A0000}"/>
    <cellStyle name="40% - Accent4 4 4 3 2 2 2 3" xfId="34074" xr:uid="{00000000-0005-0000-0000-0000407A0000}"/>
    <cellStyle name="40% - Accent4 4 4 3 2 2 3" xfId="17123" xr:uid="{00000000-0005-0000-0000-0000417A0000}"/>
    <cellStyle name="40% - Accent4 4 4 3 2 2 3 2" xfId="39725" xr:uid="{00000000-0005-0000-0000-0000427A0000}"/>
    <cellStyle name="40% - Accent4 4 4 3 2 2 4" xfId="28424" xr:uid="{00000000-0005-0000-0000-0000437A0000}"/>
    <cellStyle name="40% - Accent4 4 4 3 2 3" xfId="8640" xr:uid="{00000000-0005-0000-0000-0000447A0000}"/>
    <cellStyle name="40% - Accent4 4 4 3 2 3 2" xfId="19941" xr:uid="{00000000-0005-0000-0000-0000457A0000}"/>
    <cellStyle name="40% - Accent4 4 4 3 2 3 2 2" xfId="42543" xr:uid="{00000000-0005-0000-0000-0000467A0000}"/>
    <cellStyle name="40% - Accent4 4 4 3 2 3 3" xfId="31242" xr:uid="{00000000-0005-0000-0000-0000477A0000}"/>
    <cellStyle name="40% - Accent4 4 4 3 2 4" xfId="14291" xr:uid="{00000000-0005-0000-0000-0000487A0000}"/>
    <cellStyle name="40% - Accent4 4 4 3 2 4 2" xfId="36893" xr:uid="{00000000-0005-0000-0000-0000497A0000}"/>
    <cellStyle name="40% - Accent4 4 4 3 2 5" xfId="25592" xr:uid="{00000000-0005-0000-0000-00004A7A0000}"/>
    <cellStyle name="40% - Accent4 4 4 3 3" xfId="4588" xr:uid="{00000000-0005-0000-0000-00004B7A0000}"/>
    <cellStyle name="40% - Accent4 4 4 3 3 2" xfId="10238" xr:uid="{00000000-0005-0000-0000-00004C7A0000}"/>
    <cellStyle name="40% - Accent4 4 4 3 3 2 2" xfId="21539" xr:uid="{00000000-0005-0000-0000-00004D7A0000}"/>
    <cellStyle name="40% - Accent4 4 4 3 3 2 2 2" xfId="44141" xr:uid="{00000000-0005-0000-0000-00004E7A0000}"/>
    <cellStyle name="40% - Accent4 4 4 3 3 2 3" xfId="32840" xr:uid="{00000000-0005-0000-0000-00004F7A0000}"/>
    <cellStyle name="40% - Accent4 4 4 3 3 3" xfId="15889" xr:uid="{00000000-0005-0000-0000-0000507A0000}"/>
    <cellStyle name="40% - Accent4 4 4 3 3 3 2" xfId="38491" xr:uid="{00000000-0005-0000-0000-0000517A0000}"/>
    <cellStyle name="40% - Accent4 4 4 3 3 4" xfId="27190" xr:uid="{00000000-0005-0000-0000-0000527A0000}"/>
    <cellStyle name="40% - Accent4 4 4 3 4" xfId="6771" xr:uid="{00000000-0005-0000-0000-0000537A0000}"/>
    <cellStyle name="40% - Accent4 4 4 3 4 2" xfId="18072" xr:uid="{00000000-0005-0000-0000-0000547A0000}"/>
    <cellStyle name="40% - Accent4 4 4 3 4 2 2" xfId="40674" xr:uid="{00000000-0005-0000-0000-0000557A0000}"/>
    <cellStyle name="40% - Accent4 4 4 3 4 3" xfId="29373" xr:uid="{00000000-0005-0000-0000-0000567A0000}"/>
    <cellStyle name="40% - Accent4 4 4 3 5" xfId="12422" xr:uid="{00000000-0005-0000-0000-0000577A0000}"/>
    <cellStyle name="40% - Accent4 4 4 3 5 2" xfId="35024" xr:uid="{00000000-0005-0000-0000-0000587A0000}"/>
    <cellStyle name="40% - Accent4 4 4 3 6" xfId="23723" xr:uid="{00000000-0005-0000-0000-0000597A0000}"/>
    <cellStyle name="40% - Accent4 4 4 4" xfId="1910" xr:uid="{00000000-0005-0000-0000-00005A7A0000}"/>
    <cellStyle name="40% - Accent4 4 4 4 2" xfId="3727" xr:uid="{00000000-0005-0000-0000-00005B7A0000}"/>
    <cellStyle name="40% - Accent4 4 4 4 2 2" xfId="9437" xr:uid="{00000000-0005-0000-0000-00005C7A0000}"/>
    <cellStyle name="40% - Accent4 4 4 4 2 2 2" xfId="20738" xr:uid="{00000000-0005-0000-0000-00005D7A0000}"/>
    <cellStyle name="40% - Accent4 4 4 4 2 2 2 2" xfId="43340" xr:uid="{00000000-0005-0000-0000-00005E7A0000}"/>
    <cellStyle name="40% - Accent4 4 4 4 2 2 3" xfId="32039" xr:uid="{00000000-0005-0000-0000-00005F7A0000}"/>
    <cellStyle name="40% - Accent4 4 4 4 2 3" xfId="15088" xr:uid="{00000000-0005-0000-0000-0000607A0000}"/>
    <cellStyle name="40% - Accent4 4 4 4 2 3 2" xfId="37690" xr:uid="{00000000-0005-0000-0000-0000617A0000}"/>
    <cellStyle name="40% - Accent4 4 4 4 2 4" xfId="26389" xr:uid="{00000000-0005-0000-0000-0000627A0000}"/>
    <cellStyle name="40% - Accent4 4 4 4 3" xfId="5198" xr:uid="{00000000-0005-0000-0000-0000637A0000}"/>
    <cellStyle name="40% - Accent4 4 4 4 3 2" xfId="10848" xr:uid="{00000000-0005-0000-0000-0000647A0000}"/>
    <cellStyle name="40% - Accent4 4 4 4 3 2 2" xfId="22149" xr:uid="{00000000-0005-0000-0000-0000657A0000}"/>
    <cellStyle name="40% - Accent4 4 4 4 3 2 2 2" xfId="44751" xr:uid="{00000000-0005-0000-0000-0000667A0000}"/>
    <cellStyle name="40% - Accent4 4 4 4 3 2 3" xfId="33450" xr:uid="{00000000-0005-0000-0000-0000677A0000}"/>
    <cellStyle name="40% - Accent4 4 4 4 3 3" xfId="16499" xr:uid="{00000000-0005-0000-0000-0000687A0000}"/>
    <cellStyle name="40% - Accent4 4 4 4 3 3 2" xfId="39101" xr:uid="{00000000-0005-0000-0000-0000697A0000}"/>
    <cellStyle name="40% - Accent4 4 4 4 3 4" xfId="27800" xr:uid="{00000000-0005-0000-0000-00006A7A0000}"/>
    <cellStyle name="40% - Accent4 4 4 4 4" xfId="7766" xr:uid="{00000000-0005-0000-0000-00006B7A0000}"/>
    <cellStyle name="40% - Accent4 4 4 4 4 2" xfId="19067" xr:uid="{00000000-0005-0000-0000-00006C7A0000}"/>
    <cellStyle name="40% - Accent4 4 4 4 4 2 2" xfId="41669" xr:uid="{00000000-0005-0000-0000-00006D7A0000}"/>
    <cellStyle name="40% - Accent4 4 4 4 4 3" xfId="30368" xr:uid="{00000000-0005-0000-0000-00006E7A0000}"/>
    <cellStyle name="40% - Accent4 4 4 4 5" xfId="13417" xr:uid="{00000000-0005-0000-0000-00006F7A0000}"/>
    <cellStyle name="40% - Accent4 4 4 4 5 2" xfId="36019" xr:uid="{00000000-0005-0000-0000-0000707A0000}"/>
    <cellStyle name="40% - Accent4 4 4 4 6" xfId="24718" xr:uid="{00000000-0005-0000-0000-0000717A0000}"/>
    <cellStyle name="40% - Accent4 4 4 5" xfId="2170" xr:uid="{00000000-0005-0000-0000-0000727A0000}"/>
    <cellStyle name="40% - Accent4 4 4 5 2" xfId="8012" xr:uid="{00000000-0005-0000-0000-0000737A0000}"/>
    <cellStyle name="40% - Accent4 4 4 5 2 2" xfId="19313" xr:uid="{00000000-0005-0000-0000-0000747A0000}"/>
    <cellStyle name="40% - Accent4 4 4 5 2 2 2" xfId="41915" xr:uid="{00000000-0005-0000-0000-0000757A0000}"/>
    <cellStyle name="40% - Accent4 4 4 5 2 3" xfId="30614" xr:uid="{00000000-0005-0000-0000-0000767A0000}"/>
    <cellStyle name="40% - Accent4 4 4 5 3" xfId="13663" xr:uid="{00000000-0005-0000-0000-0000777A0000}"/>
    <cellStyle name="40% - Accent4 4 4 5 3 2" xfId="36265" xr:uid="{00000000-0005-0000-0000-0000787A0000}"/>
    <cellStyle name="40% - Accent4 4 4 5 4" xfId="24964" xr:uid="{00000000-0005-0000-0000-0000797A0000}"/>
    <cellStyle name="40% - Accent4 4 4 6" xfId="3964" xr:uid="{00000000-0005-0000-0000-00007A7A0000}"/>
    <cellStyle name="40% - Accent4 4 4 6 2" xfId="9614" xr:uid="{00000000-0005-0000-0000-00007B7A0000}"/>
    <cellStyle name="40% - Accent4 4 4 6 2 2" xfId="20915" xr:uid="{00000000-0005-0000-0000-00007C7A0000}"/>
    <cellStyle name="40% - Accent4 4 4 6 2 2 2" xfId="43517" xr:uid="{00000000-0005-0000-0000-00007D7A0000}"/>
    <cellStyle name="40% - Accent4 4 4 6 2 3" xfId="32216" xr:uid="{00000000-0005-0000-0000-00007E7A0000}"/>
    <cellStyle name="40% - Accent4 4 4 6 3" xfId="15265" xr:uid="{00000000-0005-0000-0000-00007F7A0000}"/>
    <cellStyle name="40% - Accent4 4 4 6 3 2" xfId="37867" xr:uid="{00000000-0005-0000-0000-0000807A0000}"/>
    <cellStyle name="40% - Accent4 4 4 6 4" xfId="26566" xr:uid="{00000000-0005-0000-0000-0000817A0000}"/>
    <cellStyle name="40% - Accent4 4 4 7" xfId="6582" xr:uid="{00000000-0005-0000-0000-0000827A0000}"/>
    <cellStyle name="40% - Accent4 4 4 7 2" xfId="17883" xr:uid="{00000000-0005-0000-0000-0000837A0000}"/>
    <cellStyle name="40% - Accent4 4 4 7 2 2" xfId="40485" xr:uid="{00000000-0005-0000-0000-0000847A0000}"/>
    <cellStyle name="40% - Accent4 4 4 7 3" xfId="29184" xr:uid="{00000000-0005-0000-0000-0000857A0000}"/>
    <cellStyle name="40% - Accent4 4 4 8" xfId="12233" xr:uid="{00000000-0005-0000-0000-0000867A0000}"/>
    <cellStyle name="40% - Accent4 4 4 8 2" xfId="34835" xr:uid="{00000000-0005-0000-0000-0000877A0000}"/>
    <cellStyle name="40% - Accent4 4 4 9" xfId="23534" xr:uid="{00000000-0005-0000-0000-0000887A0000}"/>
    <cellStyle name="40% - Accent4 4 5" xfId="459" xr:uid="{00000000-0005-0000-0000-0000897A0000}"/>
    <cellStyle name="40% - Accent4 4 5 2" xfId="1228" xr:uid="{00000000-0005-0000-0000-00008A7A0000}"/>
    <cellStyle name="40% - Accent4 4 5 2 2" xfId="1913" xr:uid="{00000000-0005-0000-0000-00008B7A0000}"/>
    <cellStyle name="40% - Accent4 4 5 2 2 2" xfId="3297" xr:uid="{00000000-0005-0000-0000-00008C7A0000}"/>
    <cellStyle name="40% - Accent4 4 5 2 2 2 2" xfId="6269" xr:uid="{00000000-0005-0000-0000-00008D7A0000}"/>
    <cellStyle name="40% - Accent4 4 5 2 2 2 2 2" xfId="11919" xr:uid="{00000000-0005-0000-0000-00008E7A0000}"/>
    <cellStyle name="40% - Accent4 4 5 2 2 2 2 2 2" xfId="23220" xr:uid="{00000000-0005-0000-0000-00008F7A0000}"/>
    <cellStyle name="40% - Accent4 4 5 2 2 2 2 2 2 2" xfId="45822" xr:uid="{00000000-0005-0000-0000-0000907A0000}"/>
    <cellStyle name="40% - Accent4 4 5 2 2 2 2 2 3" xfId="34521" xr:uid="{00000000-0005-0000-0000-0000917A0000}"/>
    <cellStyle name="40% - Accent4 4 5 2 2 2 2 3" xfId="17570" xr:uid="{00000000-0005-0000-0000-0000927A0000}"/>
    <cellStyle name="40% - Accent4 4 5 2 2 2 2 3 2" xfId="40172" xr:uid="{00000000-0005-0000-0000-0000937A0000}"/>
    <cellStyle name="40% - Accent4 4 5 2 2 2 2 4" xfId="28871" xr:uid="{00000000-0005-0000-0000-0000947A0000}"/>
    <cellStyle name="40% - Accent4 4 5 2 2 2 3" xfId="9087" xr:uid="{00000000-0005-0000-0000-0000957A0000}"/>
    <cellStyle name="40% - Accent4 4 5 2 2 2 3 2" xfId="20388" xr:uid="{00000000-0005-0000-0000-0000967A0000}"/>
    <cellStyle name="40% - Accent4 4 5 2 2 2 3 2 2" xfId="42990" xr:uid="{00000000-0005-0000-0000-0000977A0000}"/>
    <cellStyle name="40% - Accent4 4 5 2 2 2 3 3" xfId="31689" xr:uid="{00000000-0005-0000-0000-0000987A0000}"/>
    <cellStyle name="40% - Accent4 4 5 2 2 2 4" xfId="14738" xr:uid="{00000000-0005-0000-0000-0000997A0000}"/>
    <cellStyle name="40% - Accent4 4 5 2 2 2 4 2" xfId="37340" xr:uid="{00000000-0005-0000-0000-00009A7A0000}"/>
    <cellStyle name="40% - Accent4 4 5 2 2 2 5" xfId="26039" xr:uid="{00000000-0005-0000-0000-00009B7A0000}"/>
    <cellStyle name="40% - Accent4 4 5 2 2 3" xfId="5035" xr:uid="{00000000-0005-0000-0000-00009C7A0000}"/>
    <cellStyle name="40% - Accent4 4 5 2 2 3 2" xfId="10685" xr:uid="{00000000-0005-0000-0000-00009D7A0000}"/>
    <cellStyle name="40% - Accent4 4 5 2 2 3 2 2" xfId="21986" xr:uid="{00000000-0005-0000-0000-00009E7A0000}"/>
    <cellStyle name="40% - Accent4 4 5 2 2 3 2 2 2" xfId="44588" xr:uid="{00000000-0005-0000-0000-00009F7A0000}"/>
    <cellStyle name="40% - Accent4 4 5 2 2 3 2 3" xfId="33287" xr:uid="{00000000-0005-0000-0000-0000A07A0000}"/>
    <cellStyle name="40% - Accent4 4 5 2 2 3 3" xfId="16336" xr:uid="{00000000-0005-0000-0000-0000A17A0000}"/>
    <cellStyle name="40% - Accent4 4 5 2 2 3 3 2" xfId="38938" xr:uid="{00000000-0005-0000-0000-0000A27A0000}"/>
    <cellStyle name="40% - Accent4 4 5 2 2 3 4" xfId="27637" xr:uid="{00000000-0005-0000-0000-0000A37A0000}"/>
    <cellStyle name="40% - Accent4 4 5 2 2 4" xfId="7769" xr:uid="{00000000-0005-0000-0000-0000A47A0000}"/>
    <cellStyle name="40% - Accent4 4 5 2 2 4 2" xfId="19070" xr:uid="{00000000-0005-0000-0000-0000A57A0000}"/>
    <cellStyle name="40% - Accent4 4 5 2 2 4 2 2" xfId="41672" xr:uid="{00000000-0005-0000-0000-0000A67A0000}"/>
    <cellStyle name="40% - Accent4 4 5 2 2 4 3" xfId="30371" xr:uid="{00000000-0005-0000-0000-0000A77A0000}"/>
    <cellStyle name="40% - Accent4 4 5 2 2 5" xfId="13420" xr:uid="{00000000-0005-0000-0000-0000A87A0000}"/>
    <cellStyle name="40% - Accent4 4 5 2 2 5 2" xfId="36022" xr:uid="{00000000-0005-0000-0000-0000A97A0000}"/>
    <cellStyle name="40% - Accent4 4 5 2 2 6" xfId="24721" xr:uid="{00000000-0005-0000-0000-0000AA7A0000}"/>
    <cellStyle name="40% - Accent4 4 5 2 3" xfId="2626" xr:uid="{00000000-0005-0000-0000-0000AB7A0000}"/>
    <cellStyle name="40% - Accent4 4 5 2 3 2" xfId="5645" xr:uid="{00000000-0005-0000-0000-0000AC7A0000}"/>
    <cellStyle name="40% - Accent4 4 5 2 3 2 2" xfId="11295" xr:uid="{00000000-0005-0000-0000-0000AD7A0000}"/>
    <cellStyle name="40% - Accent4 4 5 2 3 2 2 2" xfId="22596" xr:uid="{00000000-0005-0000-0000-0000AE7A0000}"/>
    <cellStyle name="40% - Accent4 4 5 2 3 2 2 2 2" xfId="45198" xr:uid="{00000000-0005-0000-0000-0000AF7A0000}"/>
    <cellStyle name="40% - Accent4 4 5 2 3 2 2 3" xfId="33897" xr:uid="{00000000-0005-0000-0000-0000B07A0000}"/>
    <cellStyle name="40% - Accent4 4 5 2 3 2 3" xfId="16946" xr:uid="{00000000-0005-0000-0000-0000B17A0000}"/>
    <cellStyle name="40% - Accent4 4 5 2 3 2 3 2" xfId="39548" xr:uid="{00000000-0005-0000-0000-0000B27A0000}"/>
    <cellStyle name="40% - Accent4 4 5 2 3 2 4" xfId="28247" xr:uid="{00000000-0005-0000-0000-0000B37A0000}"/>
    <cellStyle name="40% - Accent4 4 5 2 3 3" xfId="8462" xr:uid="{00000000-0005-0000-0000-0000B47A0000}"/>
    <cellStyle name="40% - Accent4 4 5 2 3 3 2" xfId="19763" xr:uid="{00000000-0005-0000-0000-0000B57A0000}"/>
    <cellStyle name="40% - Accent4 4 5 2 3 3 2 2" xfId="42365" xr:uid="{00000000-0005-0000-0000-0000B67A0000}"/>
    <cellStyle name="40% - Accent4 4 5 2 3 3 3" xfId="31064" xr:uid="{00000000-0005-0000-0000-0000B77A0000}"/>
    <cellStyle name="40% - Accent4 4 5 2 3 4" xfId="14113" xr:uid="{00000000-0005-0000-0000-0000B87A0000}"/>
    <cellStyle name="40% - Accent4 4 5 2 3 4 2" xfId="36715" xr:uid="{00000000-0005-0000-0000-0000B97A0000}"/>
    <cellStyle name="40% - Accent4 4 5 2 3 5" xfId="25414" xr:uid="{00000000-0005-0000-0000-0000BA7A0000}"/>
    <cellStyle name="40% - Accent4 4 5 2 4" xfId="4411" xr:uid="{00000000-0005-0000-0000-0000BB7A0000}"/>
    <cellStyle name="40% - Accent4 4 5 2 4 2" xfId="10061" xr:uid="{00000000-0005-0000-0000-0000BC7A0000}"/>
    <cellStyle name="40% - Accent4 4 5 2 4 2 2" xfId="21362" xr:uid="{00000000-0005-0000-0000-0000BD7A0000}"/>
    <cellStyle name="40% - Accent4 4 5 2 4 2 2 2" xfId="43964" xr:uid="{00000000-0005-0000-0000-0000BE7A0000}"/>
    <cellStyle name="40% - Accent4 4 5 2 4 2 3" xfId="32663" xr:uid="{00000000-0005-0000-0000-0000BF7A0000}"/>
    <cellStyle name="40% - Accent4 4 5 2 4 3" xfId="15712" xr:uid="{00000000-0005-0000-0000-0000C07A0000}"/>
    <cellStyle name="40% - Accent4 4 5 2 4 3 2" xfId="38314" xr:uid="{00000000-0005-0000-0000-0000C17A0000}"/>
    <cellStyle name="40% - Accent4 4 5 2 4 4" xfId="27013" xr:uid="{00000000-0005-0000-0000-0000C27A0000}"/>
    <cellStyle name="40% - Accent4 4 5 2 5" xfId="7207" xr:uid="{00000000-0005-0000-0000-0000C37A0000}"/>
    <cellStyle name="40% - Accent4 4 5 2 5 2" xfId="18508" xr:uid="{00000000-0005-0000-0000-0000C47A0000}"/>
    <cellStyle name="40% - Accent4 4 5 2 5 2 2" xfId="41110" xr:uid="{00000000-0005-0000-0000-0000C57A0000}"/>
    <cellStyle name="40% - Accent4 4 5 2 5 3" xfId="29809" xr:uid="{00000000-0005-0000-0000-0000C67A0000}"/>
    <cellStyle name="40% - Accent4 4 5 2 6" xfId="12858" xr:uid="{00000000-0005-0000-0000-0000C77A0000}"/>
    <cellStyle name="40% - Accent4 4 5 2 6 2" xfId="35460" xr:uid="{00000000-0005-0000-0000-0000C87A0000}"/>
    <cellStyle name="40% - Accent4 4 5 2 7" xfId="24159" xr:uid="{00000000-0005-0000-0000-0000C97A0000}"/>
    <cellStyle name="40% - Accent4 4 5 3" xfId="926" xr:uid="{00000000-0005-0000-0000-0000CA7A0000}"/>
    <cellStyle name="40% - Accent4 4 5 3 2" xfId="2989" xr:uid="{00000000-0005-0000-0000-0000CB7A0000}"/>
    <cellStyle name="40% - Accent4 4 5 3 2 2" xfId="5961" xr:uid="{00000000-0005-0000-0000-0000CC7A0000}"/>
    <cellStyle name="40% - Accent4 4 5 3 2 2 2" xfId="11611" xr:uid="{00000000-0005-0000-0000-0000CD7A0000}"/>
    <cellStyle name="40% - Accent4 4 5 3 2 2 2 2" xfId="22912" xr:uid="{00000000-0005-0000-0000-0000CE7A0000}"/>
    <cellStyle name="40% - Accent4 4 5 3 2 2 2 2 2" xfId="45514" xr:uid="{00000000-0005-0000-0000-0000CF7A0000}"/>
    <cellStyle name="40% - Accent4 4 5 3 2 2 2 3" xfId="34213" xr:uid="{00000000-0005-0000-0000-0000D07A0000}"/>
    <cellStyle name="40% - Accent4 4 5 3 2 2 3" xfId="17262" xr:uid="{00000000-0005-0000-0000-0000D17A0000}"/>
    <cellStyle name="40% - Accent4 4 5 3 2 2 3 2" xfId="39864" xr:uid="{00000000-0005-0000-0000-0000D27A0000}"/>
    <cellStyle name="40% - Accent4 4 5 3 2 2 4" xfId="28563" xr:uid="{00000000-0005-0000-0000-0000D37A0000}"/>
    <cellStyle name="40% - Accent4 4 5 3 2 3" xfId="8779" xr:uid="{00000000-0005-0000-0000-0000D47A0000}"/>
    <cellStyle name="40% - Accent4 4 5 3 2 3 2" xfId="20080" xr:uid="{00000000-0005-0000-0000-0000D57A0000}"/>
    <cellStyle name="40% - Accent4 4 5 3 2 3 2 2" xfId="42682" xr:uid="{00000000-0005-0000-0000-0000D67A0000}"/>
    <cellStyle name="40% - Accent4 4 5 3 2 3 3" xfId="31381" xr:uid="{00000000-0005-0000-0000-0000D77A0000}"/>
    <cellStyle name="40% - Accent4 4 5 3 2 4" xfId="14430" xr:uid="{00000000-0005-0000-0000-0000D87A0000}"/>
    <cellStyle name="40% - Accent4 4 5 3 2 4 2" xfId="37032" xr:uid="{00000000-0005-0000-0000-0000D97A0000}"/>
    <cellStyle name="40% - Accent4 4 5 3 2 5" xfId="25731" xr:uid="{00000000-0005-0000-0000-0000DA7A0000}"/>
    <cellStyle name="40% - Accent4 4 5 3 3" xfId="4727" xr:uid="{00000000-0005-0000-0000-0000DB7A0000}"/>
    <cellStyle name="40% - Accent4 4 5 3 3 2" xfId="10377" xr:uid="{00000000-0005-0000-0000-0000DC7A0000}"/>
    <cellStyle name="40% - Accent4 4 5 3 3 2 2" xfId="21678" xr:uid="{00000000-0005-0000-0000-0000DD7A0000}"/>
    <cellStyle name="40% - Accent4 4 5 3 3 2 2 2" xfId="44280" xr:uid="{00000000-0005-0000-0000-0000DE7A0000}"/>
    <cellStyle name="40% - Accent4 4 5 3 3 2 3" xfId="32979" xr:uid="{00000000-0005-0000-0000-0000DF7A0000}"/>
    <cellStyle name="40% - Accent4 4 5 3 3 3" xfId="16028" xr:uid="{00000000-0005-0000-0000-0000E07A0000}"/>
    <cellStyle name="40% - Accent4 4 5 3 3 3 2" xfId="38630" xr:uid="{00000000-0005-0000-0000-0000E17A0000}"/>
    <cellStyle name="40% - Accent4 4 5 3 3 4" xfId="27329" xr:uid="{00000000-0005-0000-0000-0000E27A0000}"/>
    <cellStyle name="40% - Accent4 4 5 3 4" xfId="6914" xr:uid="{00000000-0005-0000-0000-0000E37A0000}"/>
    <cellStyle name="40% - Accent4 4 5 3 4 2" xfId="18215" xr:uid="{00000000-0005-0000-0000-0000E47A0000}"/>
    <cellStyle name="40% - Accent4 4 5 3 4 2 2" xfId="40817" xr:uid="{00000000-0005-0000-0000-0000E57A0000}"/>
    <cellStyle name="40% - Accent4 4 5 3 4 3" xfId="29516" xr:uid="{00000000-0005-0000-0000-0000E67A0000}"/>
    <cellStyle name="40% - Accent4 4 5 3 5" xfId="12565" xr:uid="{00000000-0005-0000-0000-0000E77A0000}"/>
    <cellStyle name="40% - Accent4 4 5 3 5 2" xfId="35167" xr:uid="{00000000-0005-0000-0000-0000E87A0000}"/>
    <cellStyle name="40% - Accent4 4 5 3 6" xfId="23866" xr:uid="{00000000-0005-0000-0000-0000E97A0000}"/>
    <cellStyle name="40% - Accent4 4 5 4" xfId="1912" xr:uid="{00000000-0005-0000-0000-0000EA7A0000}"/>
    <cellStyle name="40% - Accent4 4 5 4 2" xfId="3728" xr:uid="{00000000-0005-0000-0000-0000EB7A0000}"/>
    <cellStyle name="40% - Accent4 4 5 4 2 2" xfId="9438" xr:uid="{00000000-0005-0000-0000-0000EC7A0000}"/>
    <cellStyle name="40% - Accent4 4 5 4 2 2 2" xfId="20739" xr:uid="{00000000-0005-0000-0000-0000ED7A0000}"/>
    <cellStyle name="40% - Accent4 4 5 4 2 2 2 2" xfId="43341" xr:uid="{00000000-0005-0000-0000-0000EE7A0000}"/>
    <cellStyle name="40% - Accent4 4 5 4 2 2 3" xfId="32040" xr:uid="{00000000-0005-0000-0000-0000EF7A0000}"/>
    <cellStyle name="40% - Accent4 4 5 4 2 3" xfId="15089" xr:uid="{00000000-0005-0000-0000-0000F07A0000}"/>
    <cellStyle name="40% - Accent4 4 5 4 2 3 2" xfId="37691" xr:uid="{00000000-0005-0000-0000-0000F17A0000}"/>
    <cellStyle name="40% - Accent4 4 5 4 2 4" xfId="26390" xr:uid="{00000000-0005-0000-0000-0000F27A0000}"/>
    <cellStyle name="40% - Accent4 4 5 4 3" xfId="5337" xr:uid="{00000000-0005-0000-0000-0000F37A0000}"/>
    <cellStyle name="40% - Accent4 4 5 4 3 2" xfId="10987" xr:uid="{00000000-0005-0000-0000-0000F47A0000}"/>
    <cellStyle name="40% - Accent4 4 5 4 3 2 2" xfId="22288" xr:uid="{00000000-0005-0000-0000-0000F57A0000}"/>
    <cellStyle name="40% - Accent4 4 5 4 3 2 2 2" xfId="44890" xr:uid="{00000000-0005-0000-0000-0000F67A0000}"/>
    <cellStyle name="40% - Accent4 4 5 4 3 2 3" xfId="33589" xr:uid="{00000000-0005-0000-0000-0000F77A0000}"/>
    <cellStyle name="40% - Accent4 4 5 4 3 3" xfId="16638" xr:uid="{00000000-0005-0000-0000-0000F87A0000}"/>
    <cellStyle name="40% - Accent4 4 5 4 3 3 2" xfId="39240" xr:uid="{00000000-0005-0000-0000-0000F97A0000}"/>
    <cellStyle name="40% - Accent4 4 5 4 3 4" xfId="27939" xr:uid="{00000000-0005-0000-0000-0000FA7A0000}"/>
    <cellStyle name="40% - Accent4 4 5 4 4" xfId="7768" xr:uid="{00000000-0005-0000-0000-0000FB7A0000}"/>
    <cellStyle name="40% - Accent4 4 5 4 4 2" xfId="19069" xr:uid="{00000000-0005-0000-0000-0000FC7A0000}"/>
    <cellStyle name="40% - Accent4 4 5 4 4 2 2" xfId="41671" xr:uid="{00000000-0005-0000-0000-0000FD7A0000}"/>
    <cellStyle name="40% - Accent4 4 5 4 4 3" xfId="30370" xr:uid="{00000000-0005-0000-0000-0000FE7A0000}"/>
    <cellStyle name="40% - Accent4 4 5 4 5" xfId="13419" xr:uid="{00000000-0005-0000-0000-0000FF7A0000}"/>
    <cellStyle name="40% - Accent4 4 5 4 5 2" xfId="36021" xr:uid="{00000000-0005-0000-0000-0000007B0000}"/>
    <cellStyle name="40% - Accent4 4 5 4 6" xfId="24720" xr:uid="{00000000-0005-0000-0000-0000017B0000}"/>
    <cellStyle name="40% - Accent4 4 5 5" xfId="2318" xr:uid="{00000000-0005-0000-0000-0000027B0000}"/>
    <cellStyle name="40% - Accent4 4 5 5 2" xfId="8154" xr:uid="{00000000-0005-0000-0000-0000037B0000}"/>
    <cellStyle name="40% - Accent4 4 5 5 2 2" xfId="19455" xr:uid="{00000000-0005-0000-0000-0000047B0000}"/>
    <cellStyle name="40% - Accent4 4 5 5 2 2 2" xfId="42057" xr:uid="{00000000-0005-0000-0000-0000057B0000}"/>
    <cellStyle name="40% - Accent4 4 5 5 2 3" xfId="30756" xr:uid="{00000000-0005-0000-0000-0000067B0000}"/>
    <cellStyle name="40% - Accent4 4 5 5 3" xfId="13805" xr:uid="{00000000-0005-0000-0000-0000077B0000}"/>
    <cellStyle name="40% - Accent4 4 5 5 3 2" xfId="36407" xr:uid="{00000000-0005-0000-0000-0000087B0000}"/>
    <cellStyle name="40% - Accent4 4 5 5 4" xfId="25106" xr:uid="{00000000-0005-0000-0000-0000097B0000}"/>
    <cellStyle name="40% - Accent4 4 5 6" xfId="4103" xr:uid="{00000000-0005-0000-0000-00000A7B0000}"/>
    <cellStyle name="40% - Accent4 4 5 6 2" xfId="9753" xr:uid="{00000000-0005-0000-0000-00000B7B0000}"/>
    <cellStyle name="40% - Accent4 4 5 6 2 2" xfId="21054" xr:uid="{00000000-0005-0000-0000-00000C7B0000}"/>
    <cellStyle name="40% - Accent4 4 5 6 2 2 2" xfId="43656" xr:uid="{00000000-0005-0000-0000-00000D7B0000}"/>
    <cellStyle name="40% - Accent4 4 5 6 2 3" xfId="32355" xr:uid="{00000000-0005-0000-0000-00000E7B0000}"/>
    <cellStyle name="40% - Accent4 4 5 6 3" xfId="15404" xr:uid="{00000000-0005-0000-0000-00000F7B0000}"/>
    <cellStyle name="40% - Accent4 4 5 6 3 2" xfId="38006" xr:uid="{00000000-0005-0000-0000-0000107B0000}"/>
    <cellStyle name="40% - Accent4 4 5 6 4" xfId="26705" xr:uid="{00000000-0005-0000-0000-0000117B0000}"/>
    <cellStyle name="40% - Accent4 4 5 7" xfId="6554" xr:uid="{00000000-0005-0000-0000-0000127B0000}"/>
    <cellStyle name="40% - Accent4 4 5 7 2" xfId="17855" xr:uid="{00000000-0005-0000-0000-0000137B0000}"/>
    <cellStyle name="40% - Accent4 4 5 7 2 2" xfId="40457" xr:uid="{00000000-0005-0000-0000-0000147B0000}"/>
    <cellStyle name="40% - Accent4 4 5 7 3" xfId="29156" xr:uid="{00000000-0005-0000-0000-0000157B0000}"/>
    <cellStyle name="40% - Accent4 4 5 8" xfId="12205" xr:uid="{00000000-0005-0000-0000-0000167B0000}"/>
    <cellStyle name="40% - Accent4 4 5 8 2" xfId="34807" xr:uid="{00000000-0005-0000-0000-0000177B0000}"/>
    <cellStyle name="40% - Accent4 4 5 9" xfId="23506" xr:uid="{00000000-0005-0000-0000-0000187B0000}"/>
    <cellStyle name="40% - Accent4 4 6" xfId="1061" xr:uid="{00000000-0005-0000-0000-0000197B0000}"/>
    <cellStyle name="40% - Accent4 4 6 2" xfId="1914" xr:uid="{00000000-0005-0000-0000-00001A7B0000}"/>
    <cellStyle name="40% - Accent4 4 6 2 2" xfId="3128" xr:uid="{00000000-0005-0000-0000-00001B7B0000}"/>
    <cellStyle name="40% - Accent4 4 6 2 2 2" xfId="6100" xr:uid="{00000000-0005-0000-0000-00001C7B0000}"/>
    <cellStyle name="40% - Accent4 4 6 2 2 2 2" xfId="11750" xr:uid="{00000000-0005-0000-0000-00001D7B0000}"/>
    <cellStyle name="40% - Accent4 4 6 2 2 2 2 2" xfId="23051" xr:uid="{00000000-0005-0000-0000-00001E7B0000}"/>
    <cellStyle name="40% - Accent4 4 6 2 2 2 2 2 2" xfId="45653" xr:uid="{00000000-0005-0000-0000-00001F7B0000}"/>
    <cellStyle name="40% - Accent4 4 6 2 2 2 2 3" xfId="34352" xr:uid="{00000000-0005-0000-0000-0000207B0000}"/>
    <cellStyle name="40% - Accent4 4 6 2 2 2 3" xfId="17401" xr:uid="{00000000-0005-0000-0000-0000217B0000}"/>
    <cellStyle name="40% - Accent4 4 6 2 2 2 3 2" xfId="40003" xr:uid="{00000000-0005-0000-0000-0000227B0000}"/>
    <cellStyle name="40% - Accent4 4 6 2 2 2 4" xfId="28702" xr:uid="{00000000-0005-0000-0000-0000237B0000}"/>
    <cellStyle name="40% - Accent4 4 6 2 2 3" xfId="8918" xr:uid="{00000000-0005-0000-0000-0000247B0000}"/>
    <cellStyle name="40% - Accent4 4 6 2 2 3 2" xfId="20219" xr:uid="{00000000-0005-0000-0000-0000257B0000}"/>
    <cellStyle name="40% - Accent4 4 6 2 2 3 2 2" xfId="42821" xr:uid="{00000000-0005-0000-0000-0000267B0000}"/>
    <cellStyle name="40% - Accent4 4 6 2 2 3 3" xfId="31520" xr:uid="{00000000-0005-0000-0000-0000277B0000}"/>
    <cellStyle name="40% - Accent4 4 6 2 2 4" xfId="14569" xr:uid="{00000000-0005-0000-0000-0000287B0000}"/>
    <cellStyle name="40% - Accent4 4 6 2 2 4 2" xfId="37171" xr:uid="{00000000-0005-0000-0000-0000297B0000}"/>
    <cellStyle name="40% - Accent4 4 6 2 2 5" xfId="25870" xr:uid="{00000000-0005-0000-0000-00002A7B0000}"/>
    <cellStyle name="40% - Accent4 4 6 2 3" xfId="4866" xr:uid="{00000000-0005-0000-0000-00002B7B0000}"/>
    <cellStyle name="40% - Accent4 4 6 2 3 2" xfId="10516" xr:uid="{00000000-0005-0000-0000-00002C7B0000}"/>
    <cellStyle name="40% - Accent4 4 6 2 3 2 2" xfId="21817" xr:uid="{00000000-0005-0000-0000-00002D7B0000}"/>
    <cellStyle name="40% - Accent4 4 6 2 3 2 2 2" xfId="44419" xr:uid="{00000000-0005-0000-0000-00002E7B0000}"/>
    <cellStyle name="40% - Accent4 4 6 2 3 2 3" xfId="33118" xr:uid="{00000000-0005-0000-0000-00002F7B0000}"/>
    <cellStyle name="40% - Accent4 4 6 2 3 3" xfId="16167" xr:uid="{00000000-0005-0000-0000-0000307B0000}"/>
    <cellStyle name="40% - Accent4 4 6 2 3 3 2" xfId="38769" xr:uid="{00000000-0005-0000-0000-0000317B0000}"/>
    <cellStyle name="40% - Accent4 4 6 2 3 4" xfId="27468" xr:uid="{00000000-0005-0000-0000-0000327B0000}"/>
    <cellStyle name="40% - Accent4 4 6 2 4" xfId="7770" xr:uid="{00000000-0005-0000-0000-0000337B0000}"/>
    <cellStyle name="40% - Accent4 4 6 2 4 2" xfId="19071" xr:uid="{00000000-0005-0000-0000-0000347B0000}"/>
    <cellStyle name="40% - Accent4 4 6 2 4 2 2" xfId="41673" xr:uid="{00000000-0005-0000-0000-0000357B0000}"/>
    <cellStyle name="40% - Accent4 4 6 2 4 3" xfId="30372" xr:uid="{00000000-0005-0000-0000-0000367B0000}"/>
    <cellStyle name="40% - Accent4 4 6 2 5" xfId="13421" xr:uid="{00000000-0005-0000-0000-0000377B0000}"/>
    <cellStyle name="40% - Accent4 4 6 2 5 2" xfId="36023" xr:uid="{00000000-0005-0000-0000-0000387B0000}"/>
    <cellStyle name="40% - Accent4 4 6 2 6" xfId="24722" xr:uid="{00000000-0005-0000-0000-0000397B0000}"/>
    <cellStyle name="40% - Accent4 4 6 3" xfId="2457" xr:uid="{00000000-0005-0000-0000-00003A7B0000}"/>
    <cellStyle name="40% - Accent4 4 6 3 2" xfId="5476" xr:uid="{00000000-0005-0000-0000-00003B7B0000}"/>
    <cellStyle name="40% - Accent4 4 6 3 2 2" xfId="11126" xr:uid="{00000000-0005-0000-0000-00003C7B0000}"/>
    <cellStyle name="40% - Accent4 4 6 3 2 2 2" xfId="22427" xr:uid="{00000000-0005-0000-0000-00003D7B0000}"/>
    <cellStyle name="40% - Accent4 4 6 3 2 2 2 2" xfId="45029" xr:uid="{00000000-0005-0000-0000-00003E7B0000}"/>
    <cellStyle name="40% - Accent4 4 6 3 2 2 3" xfId="33728" xr:uid="{00000000-0005-0000-0000-00003F7B0000}"/>
    <cellStyle name="40% - Accent4 4 6 3 2 3" xfId="16777" xr:uid="{00000000-0005-0000-0000-0000407B0000}"/>
    <cellStyle name="40% - Accent4 4 6 3 2 3 2" xfId="39379" xr:uid="{00000000-0005-0000-0000-0000417B0000}"/>
    <cellStyle name="40% - Accent4 4 6 3 2 4" xfId="28078" xr:uid="{00000000-0005-0000-0000-0000427B0000}"/>
    <cellStyle name="40% - Accent4 4 6 3 3" xfId="8293" xr:uid="{00000000-0005-0000-0000-0000437B0000}"/>
    <cellStyle name="40% - Accent4 4 6 3 3 2" xfId="19594" xr:uid="{00000000-0005-0000-0000-0000447B0000}"/>
    <cellStyle name="40% - Accent4 4 6 3 3 2 2" xfId="42196" xr:uid="{00000000-0005-0000-0000-0000457B0000}"/>
    <cellStyle name="40% - Accent4 4 6 3 3 3" xfId="30895" xr:uid="{00000000-0005-0000-0000-0000467B0000}"/>
    <cellStyle name="40% - Accent4 4 6 3 4" xfId="13944" xr:uid="{00000000-0005-0000-0000-0000477B0000}"/>
    <cellStyle name="40% - Accent4 4 6 3 4 2" xfId="36546" xr:uid="{00000000-0005-0000-0000-0000487B0000}"/>
    <cellStyle name="40% - Accent4 4 6 3 5" xfId="25245" xr:uid="{00000000-0005-0000-0000-0000497B0000}"/>
    <cellStyle name="40% - Accent4 4 6 4" xfId="4242" xr:uid="{00000000-0005-0000-0000-00004A7B0000}"/>
    <cellStyle name="40% - Accent4 4 6 4 2" xfId="9892" xr:uid="{00000000-0005-0000-0000-00004B7B0000}"/>
    <cellStyle name="40% - Accent4 4 6 4 2 2" xfId="21193" xr:uid="{00000000-0005-0000-0000-00004C7B0000}"/>
    <cellStyle name="40% - Accent4 4 6 4 2 2 2" xfId="43795" xr:uid="{00000000-0005-0000-0000-00004D7B0000}"/>
    <cellStyle name="40% - Accent4 4 6 4 2 3" xfId="32494" xr:uid="{00000000-0005-0000-0000-00004E7B0000}"/>
    <cellStyle name="40% - Accent4 4 6 4 3" xfId="15543" xr:uid="{00000000-0005-0000-0000-00004F7B0000}"/>
    <cellStyle name="40% - Accent4 4 6 4 3 2" xfId="38145" xr:uid="{00000000-0005-0000-0000-0000507B0000}"/>
    <cellStyle name="40% - Accent4 4 6 4 4" xfId="26844" xr:uid="{00000000-0005-0000-0000-0000517B0000}"/>
    <cellStyle name="40% - Accent4 4 6 5" xfId="7040" xr:uid="{00000000-0005-0000-0000-0000527B0000}"/>
    <cellStyle name="40% - Accent4 4 6 5 2" xfId="18341" xr:uid="{00000000-0005-0000-0000-0000537B0000}"/>
    <cellStyle name="40% - Accent4 4 6 5 2 2" xfId="40943" xr:uid="{00000000-0005-0000-0000-0000547B0000}"/>
    <cellStyle name="40% - Accent4 4 6 5 3" xfId="29642" xr:uid="{00000000-0005-0000-0000-0000557B0000}"/>
    <cellStyle name="40% - Accent4 4 6 6" xfId="12691" xr:uid="{00000000-0005-0000-0000-0000567B0000}"/>
    <cellStyle name="40% - Accent4 4 6 6 2" xfId="35293" xr:uid="{00000000-0005-0000-0000-0000577B0000}"/>
    <cellStyle name="40% - Accent4 4 6 7" xfId="23992" xr:uid="{00000000-0005-0000-0000-0000587B0000}"/>
    <cellStyle name="40% - Accent4 4 7" xfId="725" xr:uid="{00000000-0005-0000-0000-0000597B0000}"/>
    <cellStyle name="40% - Accent4 4 7 2" xfId="2822" xr:uid="{00000000-0005-0000-0000-00005A7B0000}"/>
    <cellStyle name="40% - Accent4 4 7 2 2" xfId="5794" xr:uid="{00000000-0005-0000-0000-00005B7B0000}"/>
    <cellStyle name="40% - Accent4 4 7 2 2 2" xfId="11444" xr:uid="{00000000-0005-0000-0000-00005C7B0000}"/>
    <cellStyle name="40% - Accent4 4 7 2 2 2 2" xfId="22745" xr:uid="{00000000-0005-0000-0000-00005D7B0000}"/>
    <cellStyle name="40% - Accent4 4 7 2 2 2 2 2" xfId="45347" xr:uid="{00000000-0005-0000-0000-00005E7B0000}"/>
    <cellStyle name="40% - Accent4 4 7 2 2 2 3" xfId="34046" xr:uid="{00000000-0005-0000-0000-00005F7B0000}"/>
    <cellStyle name="40% - Accent4 4 7 2 2 3" xfId="17095" xr:uid="{00000000-0005-0000-0000-0000607B0000}"/>
    <cellStyle name="40% - Accent4 4 7 2 2 3 2" xfId="39697" xr:uid="{00000000-0005-0000-0000-0000617B0000}"/>
    <cellStyle name="40% - Accent4 4 7 2 2 4" xfId="28396" xr:uid="{00000000-0005-0000-0000-0000627B0000}"/>
    <cellStyle name="40% - Accent4 4 7 2 3" xfId="8612" xr:uid="{00000000-0005-0000-0000-0000637B0000}"/>
    <cellStyle name="40% - Accent4 4 7 2 3 2" xfId="19913" xr:uid="{00000000-0005-0000-0000-0000647B0000}"/>
    <cellStyle name="40% - Accent4 4 7 2 3 2 2" xfId="42515" xr:uid="{00000000-0005-0000-0000-0000657B0000}"/>
    <cellStyle name="40% - Accent4 4 7 2 3 3" xfId="31214" xr:uid="{00000000-0005-0000-0000-0000667B0000}"/>
    <cellStyle name="40% - Accent4 4 7 2 4" xfId="14263" xr:uid="{00000000-0005-0000-0000-0000677B0000}"/>
    <cellStyle name="40% - Accent4 4 7 2 4 2" xfId="36865" xr:uid="{00000000-0005-0000-0000-0000687B0000}"/>
    <cellStyle name="40% - Accent4 4 7 2 5" xfId="25564" xr:uid="{00000000-0005-0000-0000-0000697B0000}"/>
    <cellStyle name="40% - Accent4 4 7 3" xfId="4560" xr:uid="{00000000-0005-0000-0000-00006A7B0000}"/>
    <cellStyle name="40% - Accent4 4 7 3 2" xfId="10210" xr:uid="{00000000-0005-0000-0000-00006B7B0000}"/>
    <cellStyle name="40% - Accent4 4 7 3 2 2" xfId="21511" xr:uid="{00000000-0005-0000-0000-00006C7B0000}"/>
    <cellStyle name="40% - Accent4 4 7 3 2 2 2" xfId="44113" xr:uid="{00000000-0005-0000-0000-00006D7B0000}"/>
    <cellStyle name="40% - Accent4 4 7 3 2 3" xfId="32812" xr:uid="{00000000-0005-0000-0000-00006E7B0000}"/>
    <cellStyle name="40% - Accent4 4 7 3 3" xfId="15861" xr:uid="{00000000-0005-0000-0000-00006F7B0000}"/>
    <cellStyle name="40% - Accent4 4 7 3 3 2" xfId="38463" xr:uid="{00000000-0005-0000-0000-0000707B0000}"/>
    <cellStyle name="40% - Accent4 4 7 3 4" xfId="27162" xr:uid="{00000000-0005-0000-0000-0000717B0000}"/>
    <cellStyle name="40% - Accent4 4 7 4" xfId="6742" xr:uid="{00000000-0005-0000-0000-0000727B0000}"/>
    <cellStyle name="40% - Accent4 4 7 4 2" xfId="18043" xr:uid="{00000000-0005-0000-0000-0000737B0000}"/>
    <cellStyle name="40% - Accent4 4 7 4 2 2" xfId="40645" xr:uid="{00000000-0005-0000-0000-0000747B0000}"/>
    <cellStyle name="40% - Accent4 4 7 4 3" xfId="29344" xr:uid="{00000000-0005-0000-0000-0000757B0000}"/>
    <cellStyle name="40% - Accent4 4 7 5" xfId="12393" xr:uid="{00000000-0005-0000-0000-0000767B0000}"/>
    <cellStyle name="40% - Accent4 4 7 5 2" xfId="34995" xr:uid="{00000000-0005-0000-0000-0000777B0000}"/>
    <cellStyle name="40% - Accent4 4 7 6" xfId="23694" xr:uid="{00000000-0005-0000-0000-0000787B0000}"/>
    <cellStyle name="40% - Accent4 4 8" xfId="1901" xr:uid="{00000000-0005-0000-0000-0000797B0000}"/>
    <cellStyle name="40% - Accent4 4 8 2" xfId="3722" xr:uid="{00000000-0005-0000-0000-00007A7B0000}"/>
    <cellStyle name="40% - Accent4 4 8 2 2" xfId="9432" xr:uid="{00000000-0005-0000-0000-00007B7B0000}"/>
    <cellStyle name="40% - Accent4 4 8 2 2 2" xfId="20733" xr:uid="{00000000-0005-0000-0000-00007C7B0000}"/>
    <cellStyle name="40% - Accent4 4 8 2 2 2 2" xfId="43335" xr:uid="{00000000-0005-0000-0000-00007D7B0000}"/>
    <cellStyle name="40% - Accent4 4 8 2 2 3" xfId="32034" xr:uid="{00000000-0005-0000-0000-00007E7B0000}"/>
    <cellStyle name="40% - Accent4 4 8 2 3" xfId="15083" xr:uid="{00000000-0005-0000-0000-00007F7B0000}"/>
    <cellStyle name="40% - Accent4 4 8 2 3 2" xfId="37685" xr:uid="{00000000-0005-0000-0000-0000807B0000}"/>
    <cellStyle name="40% - Accent4 4 8 2 4" xfId="26384" xr:uid="{00000000-0005-0000-0000-0000817B0000}"/>
    <cellStyle name="40% - Accent4 4 8 3" xfId="5170" xr:uid="{00000000-0005-0000-0000-0000827B0000}"/>
    <cellStyle name="40% - Accent4 4 8 3 2" xfId="10820" xr:uid="{00000000-0005-0000-0000-0000837B0000}"/>
    <cellStyle name="40% - Accent4 4 8 3 2 2" xfId="22121" xr:uid="{00000000-0005-0000-0000-0000847B0000}"/>
    <cellStyle name="40% - Accent4 4 8 3 2 2 2" xfId="44723" xr:uid="{00000000-0005-0000-0000-0000857B0000}"/>
    <cellStyle name="40% - Accent4 4 8 3 2 3" xfId="33422" xr:uid="{00000000-0005-0000-0000-0000867B0000}"/>
    <cellStyle name="40% - Accent4 4 8 3 3" xfId="16471" xr:uid="{00000000-0005-0000-0000-0000877B0000}"/>
    <cellStyle name="40% - Accent4 4 8 3 3 2" xfId="39073" xr:uid="{00000000-0005-0000-0000-0000887B0000}"/>
    <cellStyle name="40% - Accent4 4 8 3 4" xfId="27772" xr:uid="{00000000-0005-0000-0000-0000897B0000}"/>
    <cellStyle name="40% - Accent4 4 8 4" xfId="7757" xr:uid="{00000000-0005-0000-0000-00008A7B0000}"/>
    <cellStyle name="40% - Accent4 4 8 4 2" xfId="19058" xr:uid="{00000000-0005-0000-0000-00008B7B0000}"/>
    <cellStyle name="40% - Accent4 4 8 4 2 2" xfId="41660" xr:uid="{00000000-0005-0000-0000-00008C7B0000}"/>
    <cellStyle name="40% - Accent4 4 8 4 3" xfId="30359" xr:uid="{00000000-0005-0000-0000-00008D7B0000}"/>
    <cellStyle name="40% - Accent4 4 8 5" xfId="13408" xr:uid="{00000000-0005-0000-0000-00008E7B0000}"/>
    <cellStyle name="40% - Accent4 4 8 5 2" xfId="36010" xr:uid="{00000000-0005-0000-0000-00008F7B0000}"/>
    <cellStyle name="40% - Accent4 4 8 6" xfId="24709" xr:uid="{00000000-0005-0000-0000-0000907B0000}"/>
    <cellStyle name="40% - Accent4 4 9" xfId="2141" xr:uid="{00000000-0005-0000-0000-0000917B0000}"/>
    <cellStyle name="40% - Accent4 4 9 2" xfId="7984" xr:uid="{00000000-0005-0000-0000-0000927B0000}"/>
    <cellStyle name="40% - Accent4 4 9 2 2" xfId="19285" xr:uid="{00000000-0005-0000-0000-0000937B0000}"/>
    <cellStyle name="40% - Accent4 4 9 2 2 2" xfId="41887" xr:uid="{00000000-0005-0000-0000-0000947B0000}"/>
    <cellStyle name="40% - Accent4 4 9 2 3" xfId="30586" xr:uid="{00000000-0005-0000-0000-0000957B0000}"/>
    <cellStyle name="40% - Accent4 4 9 3" xfId="13635" xr:uid="{00000000-0005-0000-0000-0000967B0000}"/>
    <cellStyle name="40% - Accent4 4 9 3 2" xfId="36237" xr:uid="{00000000-0005-0000-0000-0000977B0000}"/>
    <cellStyle name="40% - Accent4 4 9 4" xfId="24936" xr:uid="{00000000-0005-0000-0000-0000987B0000}"/>
    <cellStyle name="40% - Accent4 5" xfId="213" xr:uid="{00000000-0005-0000-0000-0000997B0000}"/>
    <cellStyle name="40% - Accent4 5 10" xfId="12078" xr:uid="{00000000-0005-0000-0000-00009A7B0000}"/>
    <cellStyle name="40% - Accent4 5 10 2" xfId="34680" xr:uid="{00000000-0005-0000-0000-00009B7B0000}"/>
    <cellStyle name="40% - Accent4 5 11" xfId="23379" xr:uid="{00000000-0005-0000-0000-00009C7B0000}"/>
    <cellStyle name="40% - Accent4 5 2" xfId="380" xr:uid="{00000000-0005-0000-0000-00009D7B0000}"/>
    <cellStyle name="40% - Accent4 5 2 10" xfId="23475" xr:uid="{00000000-0005-0000-0000-00009E7B0000}"/>
    <cellStyle name="40% - Accent4 5 2 2" xfId="625" xr:uid="{00000000-0005-0000-0000-00009F7B0000}"/>
    <cellStyle name="40% - Accent4 5 2 2 2" xfId="1335" xr:uid="{00000000-0005-0000-0000-0000A07B0000}"/>
    <cellStyle name="40% - Accent4 5 2 2 2 2" xfId="1918" xr:uid="{00000000-0005-0000-0000-0000A17B0000}"/>
    <cellStyle name="40% - Accent4 5 2 2 2 2 2" xfId="3404" xr:uid="{00000000-0005-0000-0000-0000A27B0000}"/>
    <cellStyle name="40% - Accent4 5 2 2 2 2 2 2" xfId="6376" xr:uid="{00000000-0005-0000-0000-0000A37B0000}"/>
    <cellStyle name="40% - Accent4 5 2 2 2 2 2 2 2" xfId="12026" xr:uid="{00000000-0005-0000-0000-0000A47B0000}"/>
    <cellStyle name="40% - Accent4 5 2 2 2 2 2 2 2 2" xfId="23327" xr:uid="{00000000-0005-0000-0000-0000A57B0000}"/>
    <cellStyle name="40% - Accent4 5 2 2 2 2 2 2 2 2 2" xfId="45929" xr:uid="{00000000-0005-0000-0000-0000A67B0000}"/>
    <cellStyle name="40% - Accent4 5 2 2 2 2 2 2 2 3" xfId="34628" xr:uid="{00000000-0005-0000-0000-0000A77B0000}"/>
    <cellStyle name="40% - Accent4 5 2 2 2 2 2 2 3" xfId="17677" xr:uid="{00000000-0005-0000-0000-0000A87B0000}"/>
    <cellStyle name="40% - Accent4 5 2 2 2 2 2 2 3 2" xfId="40279" xr:uid="{00000000-0005-0000-0000-0000A97B0000}"/>
    <cellStyle name="40% - Accent4 5 2 2 2 2 2 2 4" xfId="28978" xr:uid="{00000000-0005-0000-0000-0000AA7B0000}"/>
    <cellStyle name="40% - Accent4 5 2 2 2 2 2 3" xfId="9194" xr:uid="{00000000-0005-0000-0000-0000AB7B0000}"/>
    <cellStyle name="40% - Accent4 5 2 2 2 2 2 3 2" xfId="20495" xr:uid="{00000000-0005-0000-0000-0000AC7B0000}"/>
    <cellStyle name="40% - Accent4 5 2 2 2 2 2 3 2 2" xfId="43097" xr:uid="{00000000-0005-0000-0000-0000AD7B0000}"/>
    <cellStyle name="40% - Accent4 5 2 2 2 2 2 3 3" xfId="31796" xr:uid="{00000000-0005-0000-0000-0000AE7B0000}"/>
    <cellStyle name="40% - Accent4 5 2 2 2 2 2 4" xfId="14845" xr:uid="{00000000-0005-0000-0000-0000AF7B0000}"/>
    <cellStyle name="40% - Accent4 5 2 2 2 2 2 4 2" xfId="37447" xr:uid="{00000000-0005-0000-0000-0000B07B0000}"/>
    <cellStyle name="40% - Accent4 5 2 2 2 2 2 5" xfId="26146" xr:uid="{00000000-0005-0000-0000-0000B17B0000}"/>
    <cellStyle name="40% - Accent4 5 2 2 2 2 3" xfId="5142" xr:uid="{00000000-0005-0000-0000-0000B27B0000}"/>
    <cellStyle name="40% - Accent4 5 2 2 2 2 3 2" xfId="10792" xr:uid="{00000000-0005-0000-0000-0000B37B0000}"/>
    <cellStyle name="40% - Accent4 5 2 2 2 2 3 2 2" xfId="22093" xr:uid="{00000000-0005-0000-0000-0000B47B0000}"/>
    <cellStyle name="40% - Accent4 5 2 2 2 2 3 2 2 2" xfId="44695" xr:uid="{00000000-0005-0000-0000-0000B57B0000}"/>
    <cellStyle name="40% - Accent4 5 2 2 2 2 3 2 3" xfId="33394" xr:uid="{00000000-0005-0000-0000-0000B67B0000}"/>
    <cellStyle name="40% - Accent4 5 2 2 2 2 3 3" xfId="16443" xr:uid="{00000000-0005-0000-0000-0000B77B0000}"/>
    <cellStyle name="40% - Accent4 5 2 2 2 2 3 3 2" xfId="39045" xr:uid="{00000000-0005-0000-0000-0000B87B0000}"/>
    <cellStyle name="40% - Accent4 5 2 2 2 2 3 4" xfId="27744" xr:uid="{00000000-0005-0000-0000-0000B97B0000}"/>
    <cellStyle name="40% - Accent4 5 2 2 2 2 4" xfId="7774" xr:uid="{00000000-0005-0000-0000-0000BA7B0000}"/>
    <cellStyle name="40% - Accent4 5 2 2 2 2 4 2" xfId="19075" xr:uid="{00000000-0005-0000-0000-0000BB7B0000}"/>
    <cellStyle name="40% - Accent4 5 2 2 2 2 4 2 2" xfId="41677" xr:uid="{00000000-0005-0000-0000-0000BC7B0000}"/>
    <cellStyle name="40% - Accent4 5 2 2 2 2 4 3" xfId="30376" xr:uid="{00000000-0005-0000-0000-0000BD7B0000}"/>
    <cellStyle name="40% - Accent4 5 2 2 2 2 5" xfId="13425" xr:uid="{00000000-0005-0000-0000-0000BE7B0000}"/>
    <cellStyle name="40% - Accent4 5 2 2 2 2 5 2" xfId="36027" xr:uid="{00000000-0005-0000-0000-0000BF7B0000}"/>
    <cellStyle name="40% - Accent4 5 2 2 2 2 6" xfId="24726" xr:uid="{00000000-0005-0000-0000-0000C07B0000}"/>
    <cellStyle name="40% - Accent4 5 2 2 2 3" xfId="2733" xr:uid="{00000000-0005-0000-0000-0000C17B0000}"/>
    <cellStyle name="40% - Accent4 5 2 2 2 3 2" xfId="5752" xr:uid="{00000000-0005-0000-0000-0000C27B0000}"/>
    <cellStyle name="40% - Accent4 5 2 2 2 3 2 2" xfId="11402" xr:uid="{00000000-0005-0000-0000-0000C37B0000}"/>
    <cellStyle name="40% - Accent4 5 2 2 2 3 2 2 2" xfId="22703" xr:uid="{00000000-0005-0000-0000-0000C47B0000}"/>
    <cellStyle name="40% - Accent4 5 2 2 2 3 2 2 2 2" xfId="45305" xr:uid="{00000000-0005-0000-0000-0000C57B0000}"/>
    <cellStyle name="40% - Accent4 5 2 2 2 3 2 2 3" xfId="34004" xr:uid="{00000000-0005-0000-0000-0000C67B0000}"/>
    <cellStyle name="40% - Accent4 5 2 2 2 3 2 3" xfId="17053" xr:uid="{00000000-0005-0000-0000-0000C77B0000}"/>
    <cellStyle name="40% - Accent4 5 2 2 2 3 2 3 2" xfId="39655" xr:uid="{00000000-0005-0000-0000-0000C87B0000}"/>
    <cellStyle name="40% - Accent4 5 2 2 2 3 2 4" xfId="28354" xr:uid="{00000000-0005-0000-0000-0000C97B0000}"/>
    <cellStyle name="40% - Accent4 5 2 2 2 3 3" xfId="8569" xr:uid="{00000000-0005-0000-0000-0000CA7B0000}"/>
    <cellStyle name="40% - Accent4 5 2 2 2 3 3 2" xfId="19870" xr:uid="{00000000-0005-0000-0000-0000CB7B0000}"/>
    <cellStyle name="40% - Accent4 5 2 2 2 3 3 2 2" xfId="42472" xr:uid="{00000000-0005-0000-0000-0000CC7B0000}"/>
    <cellStyle name="40% - Accent4 5 2 2 2 3 3 3" xfId="31171" xr:uid="{00000000-0005-0000-0000-0000CD7B0000}"/>
    <cellStyle name="40% - Accent4 5 2 2 2 3 4" xfId="14220" xr:uid="{00000000-0005-0000-0000-0000CE7B0000}"/>
    <cellStyle name="40% - Accent4 5 2 2 2 3 4 2" xfId="36822" xr:uid="{00000000-0005-0000-0000-0000CF7B0000}"/>
    <cellStyle name="40% - Accent4 5 2 2 2 3 5" xfId="25521" xr:uid="{00000000-0005-0000-0000-0000D07B0000}"/>
    <cellStyle name="40% - Accent4 5 2 2 2 4" xfId="4518" xr:uid="{00000000-0005-0000-0000-0000D17B0000}"/>
    <cellStyle name="40% - Accent4 5 2 2 2 4 2" xfId="10168" xr:uid="{00000000-0005-0000-0000-0000D27B0000}"/>
    <cellStyle name="40% - Accent4 5 2 2 2 4 2 2" xfId="21469" xr:uid="{00000000-0005-0000-0000-0000D37B0000}"/>
    <cellStyle name="40% - Accent4 5 2 2 2 4 2 2 2" xfId="44071" xr:uid="{00000000-0005-0000-0000-0000D47B0000}"/>
    <cellStyle name="40% - Accent4 5 2 2 2 4 2 3" xfId="32770" xr:uid="{00000000-0005-0000-0000-0000D57B0000}"/>
    <cellStyle name="40% - Accent4 5 2 2 2 4 3" xfId="15819" xr:uid="{00000000-0005-0000-0000-0000D67B0000}"/>
    <cellStyle name="40% - Accent4 5 2 2 2 4 3 2" xfId="38421" xr:uid="{00000000-0005-0000-0000-0000D77B0000}"/>
    <cellStyle name="40% - Accent4 5 2 2 2 4 4" xfId="27120" xr:uid="{00000000-0005-0000-0000-0000D87B0000}"/>
    <cellStyle name="40% - Accent4 5 2 2 2 5" xfId="7314" xr:uid="{00000000-0005-0000-0000-0000D97B0000}"/>
    <cellStyle name="40% - Accent4 5 2 2 2 5 2" xfId="18615" xr:uid="{00000000-0005-0000-0000-0000DA7B0000}"/>
    <cellStyle name="40% - Accent4 5 2 2 2 5 2 2" xfId="41217" xr:uid="{00000000-0005-0000-0000-0000DB7B0000}"/>
    <cellStyle name="40% - Accent4 5 2 2 2 5 3" xfId="29916" xr:uid="{00000000-0005-0000-0000-0000DC7B0000}"/>
    <cellStyle name="40% - Accent4 5 2 2 2 6" xfId="12965" xr:uid="{00000000-0005-0000-0000-0000DD7B0000}"/>
    <cellStyle name="40% - Accent4 5 2 2 2 6 2" xfId="35567" xr:uid="{00000000-0005-0000-0000-0000DE7B0000}"/>
    <cellStyle name="40% - Accent4 5 2 2 2 7" xfId="24266" xr:uid="{00000000-0005-0000-0000-0000DF7B0000}"/>
    <cellStyle name="40% - Accent4 5 2 2 3" xfId="1033" xr:uid="{00000000-0005-0000-0000-0000E07B0000}"/>
    <cellStyle name="40% - Accent4 5 2 2 3 2" xfId="3096" xr:uid="{00000000-0005-0000-0000-0000E17B0000}"/>
    <cellStyle name="40% - Accent4 5 2 2 3 2 2" xfId="6068" xr:uid="{00000000-0005-0000-0000-0000E27B0000}"/>
    <cellStyle name="40% - Accent4 5 2 2 3 2 2 2" xfId="11718" xr:uid="{00000000-0005-0000-0000-0000E37B0000}"/>
    <cellStyle name="40% - Accent4 5 2 2 3 2 2 2 2" xfId="23019" xr:uid="{00000000-0005-0000-0000-0000E47B0000}"/>
    <cellStyle name="40% - Accent4 5 2 2 3 2 2 2 2 2" xfId="45621" xr:uid="{00000000-0005-0000-0000-0000E57B0000}"/>
    <cellStyle name="40% - Accent4 5 2 2 3 2 2 2 3" xfId="34320" xr:uid="{00000000-0005-0000-0000-0000E67B0000}"/>
    <cellStyle name="40% - Accent4 5 2 2 3 2 2 3" xfId="17369" xr:uid="{00000000-0005-0000-0000-0000E77B0000}"/>
    <cellStyle name="40% - Accent4 5 2 2 3 2 2 3 2" xfId="39971" xr:uid="{00000000-0005-0000-0000-0000E87B0000}"/>
    <cellStyle name="40% - Accent4 5 2 2 3 2 2 4" xfId="28670" xr:uid="{00000000-0005-0000-0000-0000E97B0000}"/>
    <cellStyle name="40% - Accent4 5 2 2 3 2 3" xfId="8886" xr:uid="{00000000-0005-0000-0000-0000EA7B0000}"/>
    <cellStyle name="40% - Accent4 5 2 2 3 2 3 2" xfId="20187" xr:uid="{00000000-0005-0000-0000-0000EB7B0000}"/>
    <cellStyle name="40% - Accent4 5 2 2 3 2 3 2 2" xfId="42789" xr:uid="{00000000-0005-0000-0000-0000EC7B0000}"/>
    <cellStyle name="40% - Accent4 5 2 2 3 2 3 3" xfId="31488" xr:uid="{00000000-0005-0000-0000-0000ED7B0000}"/>
    <cellStyle name="40% - Accent4 5 2 2 3 2 4" xfId="14537" xr:uid="{00000000-0005-0000-0000-0000EE7B0000}"/>
    <cellStyle name="40% - Accent4 5 2 2 3 2 4 2" xfId="37139" xr:uid="{00000000-0005-0000-0000-0000EF7B0000}"/>
    <cellStyle name="40% - Accent4 5 2 2 3 2 5" xfId="25838" xr:uid="{00000000-0005-0000-0000-0000F07B0000}"/>
    <cellStyle name="40% - Accent4 5 2 2 3 3" xfId="4834" xr:uid="{00000000-0005-0000-0000-0000F17B0000}"/>
    <cellStyle name="40% - Accent4 5 2 2 3 3 2" xfId="10484" xr:uid="{00000000-0005-0000-0000-0000F27B0000}"/>
    <cellStyle name="40% - Accent4 5 2 2 3 3 2 2" xfId="21785" xr:uid="{00000000-0005-0000-0000-0000F37B0000}"/>
    <cellStyle name="40% - Accent4 5 2 2 3 3 2 2 2" xfId="44387" xr:uid="{00000000-0005-0000-0000-0000F47B0000}"/>
    <cellStyle name="40% - Accent4 5 2 2 3 3 2 3" xfId="33086" xr:uid="{00000000-0005-0000-0000-0000F57B0000}"/>
    <cellStyle name="40% - Accent4 5 2 2 3 3 3" xfId="16135" xr:uid="{00000000-0005-0000-0000-0000F67B0000}"/>
    <cellStyle name="40% - Accent4 5 2 2 3 3 3 2" xfId="38737" xr:uid="{00000000-0005-0000-0000-0000F77B0000}"/>
    <cellStyle name="40% - Accent4 5 2 2 3 3 4" xfId="27436" xr:uid="{00000000-0005-0000-0000-0000F87B0000}"/>
    <cellStyle name="40% - Accent4 5 2 2 3 4" xfId="7021" xr:uid="{00000000-0005-0000-0000-0000F97B0000}"/>
    <cellStyle name="40% - Accent4 5 2 2 3 4 2" xfId="18322" xr:uid="{00000000-0005-0000-0000-0000FA7B0000}"/>
    <cellStyle name="40% - Accent4 5 2 2 3 4 2 2" xfId="40924" xr:uid="{00000000-0005-0000-0000-0000FB7B0000}"/>
    <cellStyle name="40% - Accent4 5 2 2 3 4 3" xfId="29623" xr:uid="{00000000-0005-0000-0000-0000FC7B0000}"/>
    <cellStyle name="40% - Accent4 5 2 2 3 5" xfId="12672" xr:uid="{00000000-0005-0000-0000-0000FD7B0000}"/>
    <cellStyle name="40% - Accent4 5 2 2 3 5 2" xfId="35274" xr:uid="{00000000-0005-0000-0000-0000FE7B0000}"/>
    <cellStyle name="40% - Accent4 5 2 2 3 6" xfId="23973" xr:uid="{00000000-0005-0000-0000-0000FF7B0000}"/>
    <cellStyle name="40% - Accent4 5 2 2 4" xfId="1917" xr:uid="{00000000-0005-0000-0000-0000007C0000}"/>
    <cellStyle name="40% - Accent4 5 2 2 4 2" xfId="3731" xr:uid="{00000000-0005-0000-0000-0000017C0000}"/>
    <cellStyle name="40% - Accent4 5 2 2 4 2 2" xfId="9441" xr:uid="{00000000-0005-0000-0000-0000027C0000}"/>
    <cellStyle name="40% - Accent4 5 2 2 4 2 2 2" xfId="20742" xr:uid="{00000000-0005-0000-0000-0000037C0000}"/>
    <cellStyle name="40% - Accent4 5 2 2 4 2 2 2 2" xfId="43344" xr:uid="{00000000-0005-0000-0000-0000047C0000}"/>
    <cellStyle name="40% - Accent4 5 2 2 4 2 2 3" xfId="32043" xr:uid="{00000000-0005-0000-0000-0000057C0000}"/>
    <cellStyle name="40% - Accent4 5 2 2 4 2 3" xfId="15092" xr:uid="{00000000-0005-0000-0000-0000067C0000}"/>
    <cellStyle name="40% - Accent4 5 2 2 4 2 3 2" xfId="37694" xr:uid="{00000000-0005-0000-0000-0000077C0000}"/>
    <cellStyle name="40% - Accent4 5 2 2 4 2 4" xfId="26393" xr:uid="{00000000-0005-0000-0000-0000087C0000}"/>
    <cellStyle name="40% - Accent4 5 2 2 4 3" xfId="5444" xr:uid="{00000000-0005-0000-0000-0000097C0000}"/>
    <cellStyle name="40% - Accent4 5 2 2 4 3 2" xfId="11094" xr:uid="{00000000-0005-0000-0000-00000A7C0000}"/>
    <cellStyle name="40% - Accent4 5 2 2 4 3 2 2" xfId="22395" xr:uid="{00000000-0005-0000-0000-00000B7C0000}"/>
    <cellStyle name="40% - Accent4 5 2 2 4 3 2 2 2" xfId="44997" xr:uid="{00000000-0005-0000-0000-00000C7C0000}"/>
    <cellStyle name="40% - Accent4 5 2 2 4 3 2 3" xfId="33696" xr:uid="{00000000-0005-0000-0000-00000D7C0000}"/>
    <cellStyle name="40% - Accent4 5 2 2 4 3 3" xfId="16745" xr:uid="{00000000-0005-0000-0000-00000E7C0000}"/>
    <cellStyle name="40% - Accent4 5 2 2 4 3 3 2" xfId="39347" xr:uid="{00000000-0005-0000-0000-00000F7C0000}"/>
    <cellStyle name="40% - Accent4 5 2 2 4 3 4" xfId="28046" xr:uid="{00000000-0005-0000-0000-0000107C0000}"/>
    <cellStyle name="40% - Accent4 5 2 2 4 4" xfId="7773" xr:uid="{00000000-0005-0000-0000-0000117C0000}"/>
    <cellStyle name="40% - Accent4 5 2 2 4 4 2" xfId="19074" xr:uid="{00000000-0005-0000-0000-0000127C0000}"/>
    <cellStyle name="40% - Accent4 5 2 2 4 4 2 2" xfId="41676" xr:uid="{00000000-0005-0000-0000-0000137C0000}"/>
    <cellStyle name="40% - Accent4 5 2 2 4 4 3" xfId="30375" xr:uid="{00000000-0005-0000-0000-0000147C0000}"/>
    <cellStyle name="40% - Accent4 5 2 2 4 5" xfId="13424" xr:uid="{00000000-0005-0000-0000-0000157C0000}"/>
    <cellStyle name="40% - Accent4 5 2 2 4 5 2" xfId="36026" xr:uid="{00000000-0005-0000-0000-0000167C0000}"/>
    <cellStyle name="40% - Accent4 5 2 2 4 6" xfId="24725" xr:uid="{00000000-0005-0000-0000-0000177C0000}"/>
    <cellStyle name="40% - Accent4 5 2 2 5" xfId="2425" xr:uid="{00000000-0005-0000-0000-0000187C0000}"/>
    <cellStyle name="40% - Accent4 5 2 2 5 2" xfId="8261" xr:uid="{00000000-0005-0000-0000-0000197C0000}"/>
    <cellStyle name="40% - Accent4 5 2 2 5 2 2" xfId="19562" xr:uid="{00000000-0005-0000-0000-00001A7C0000}"/>
    <cellStyle name="40% - Accent4 5 2 2 5 2 2 2" xfId="42164" xr:uid="{00000000-0005-0000-0000-00001B7C0000}"/>
    <cellStyle name="40% - Accent4 5 2 2 5 2 3" xfId="30863" xr:uid="{00000000-0005-0000-0000-00001C7C0000}"/>
    <cellStyle name="40% - Accent4 5 2 2 5 3" xfId="13912" xr:uid="{00000000-0005-0000-0000-00001D7C0000}"/>
    <cellStyle name="40% - Accent4 5 2 2 5 3 2" xfId="36514" xr:uid="{00000000-0005-0000-0000-00001E7C0000}"/>
    <cellStyle name="40% - Accent4 5 2 2 5 4" xfId="25213" xr:uid="{00000000-0005-0000-0000-00001F7C0000}"/>
    <cellStyle name="40% - Accent4 5 2 2 6" xfId="4210" xr:uid="{00000000-0005-0000-0000-0000207C0000}"/>
    <cellStyle name="40% - Accent4 5 2 2 6 2" xfId="9860" xr:uid="{00000000-0005-0000-0000-0000217C0000}"/>
    <cellStyle name="40% - Accent4 5 2 2 6 2 2" xfId="21161" xr:uid="{00000000-0005-0000-0000-0000227C0000}"/>
    <cellStyle name="40% - Accent4 5 2 2 6 2 2 2" xfId="43763" xr:uid="{00000000-0005-0000-0000-0000237C0000}"/>
    <cellStyle name="40% - Accent4 5 2 2 6 2 3" xfId="32462" xr:uid="{00000000-0005-0000-0000-0000247C0000}"/>
    <cellStyle name="40% - Accent4 5 2 2 6 3" xfId="15511" xr:uid="{00000000-0005-0000-0000-0000257C0000}"/>
    <cellStyle name="40% - Accent4 5 2 2 6 3 2" xfId="38113" xr:uid="{00000000-0005-0000-0000-0000267C0000}"/>
    <cellStyle name="40% - Accent4 5 2 2 6 4" xfId="26812" xr:uid="{00000000-0005-0000-0000-0000277C0000}"/>
    <cellStyle name="40% - Accent4 5 2 2 7" xfId="6690" xr:uid="{00000000-0005-0000-0000-0000287C0000}"/>
    <cellStyle name="40% - Accent4 5 2 2 7 2" xfId="17991" xr:uid="{00000000-0005-0000-0000-0000297C0000}"/>
    <cellStyle name="40% - Accent4 5 2 2 7 2 2" xfId="40593" xr:uid="{00000000-0005-0000-0000-00002A7C0000}"/>
    <cellStyle name="40% - Accent4 5 2 2 7 3" xfId="29292" xr:uid="{00000000-0005-0000-0000-00002B7C0000}"/>
    <cellStyle name="40% - Accent4 5 2 2 8" xfId="12341" xr:uid="{00000000-0005-0000-0000-00002C7C0000}"/>
    <cellStyle name="40% - Accent4 5 2 2 8 2" xfId="34943" xr:uid="{00000000-0005-0000-0000-00002D7C0000}"/>
    <cellStyle name="40% - Accent4 5 2 2 9" xfId="23642" xr:uid="{00000000-0005-0000-0000-00002E7C0000}"/>
    <cellStyle name="40% - Accent4 5 2 3" xfId="1197" xr:uid="{00000000-0005-0000-0000-00002F7C0000}"/>
    <cellStyle name="40% - Accent4 5 2 3 2" xfId="1919" xr:uid="{00000000-0005-0000-0000-0000307C0000}"/>
    <cellStyle name="40% - Accent4 5 2 3 2 2" xfId="3265" xr:uid="{00000000-0005-0000-0000-0000317C0000}"/>
    <cellStyle name="40% - Accent4 5 2 3 2 2 2" xfId="6237" xr:uid="{00000000-0005-0000-0000-0000327C0000}"/>
    <cellStyle name="40% - Accent4 5 2 3 2 2 2 2" xfId="11887" xr:uid="{00000000-0005-0000-0000-0000337C0000}"/>
    <cellStyle name="40% - Accent4 5 2 3 2 2 2 2 2" xfId="23188" xr:uid="{00000000-0005-0000-0000-0000347C0000}"/>
    <cellStyle name="40% - Accent4 5 2 3 2 2 2 2 2 2" xfId="45790" xr:uid="{00000000-0005-0000-0000-0000357C0000}"/>
    <cellStyle name="40% - Accent4 5 2 3 2 2 2 2 3" xfId="34489" xr:uid="{00000000-0005-0000-0000-0000367C0000}"/>
    <cellStyle name="40% - Accent4 5 2 3 2 2 2 3" xfId="17538" xr:uid="{00000000-0005-0000-0000-0000377C0000}"/>
    <cellStyle name="40% - Accent4 5 2 3 2 2 2 3 2" xfId="40140" xr:uid="{00000000-0005-0000-0000-0000387C0000}"/>
    <cellStyle name="40% - Accent4 5 2 3 2 2 2 4" xfId="28839" xr:uid="{00000000-0005-0000-0000-0000397C0000}"/>
    <cellStyle name="40% - Accent4 5 2 3 2 2 3" xfId="9055" xr:uid="{00000000-0005-0000-0000-00003A7C0000}"/>
    <cellStyle name="40% - Accent4 5 2 3 2 2 3 2" xfId="20356" xr:uid="{00000000-0005-0000-0000-00003B7C0000}"/>
    <cellStyle name="40% - Accent4 5 2 3 2 2 3 2 2" xfId="42958" xr:uid="{00000000-0005-0000-0000-00003C7C0000}"/>
    <cellStyle name="40% - Accent4 5 2 3 2 2 3 3" xfId="31657" xr:uid="{00000000-0005-0000-0000-00003D7C0000}"/>
    <cellStyle name="40% - Accent4 5 2 3 2 2 4" xfId="14706" xr:uid="{00000000-0005-0000-0000-00003E7C0000}"/>
    <cellStyle name="40% - Accent4 5 2 3 2 2 4 2" xfId="37308" xr:uid="{00000000-0005-0000-0000-00003F7C0000}"/>
    <cellStyle name="40% - Accent4 5 2 3 2 2 5" xfId="26007" xr:uid="{00000000-0005-0000-0000-0000407C0000}"/>
    <cellStyle name="40% - Accent4 5 2 3 2 3" xfId="5003" xr:uid="{00000000-0005-0000-0000-0000417C0000}"/>
    <cellStyle name="40% - Accent4 5 2 3 2 3 2" xfId="10653" xr:uid="{00000000-0005-0000-0000-0000427C0000}"/>
    <cellStyle name="40% - Accent4 5 2 3 2 3 2 2" xfId="21954" xr:uid="{00000000-0005-0000-0000-0000437C0000}"/>
    <cellStyle name="40% - Accent4 5 2 3 2 3 2 2 2" xfId="44556" xr:uid="{00000000-0005-0000-0000-0000447C0000}"/>
    <cellStyle name="40% - Accent4 5 2 3 2 3 2 3" xfId="33255" xr:uid="{00000000-0005-0000-0000-0000457C0000}"/>
    <cellStyle name="40% - Accent4 5 2 3 2 3 3" xfId="16304" xr:uid="{00000000-0005-0000-0000-0000467C0000}"/>
    <cellStyle name="40% - Accent4 5 2 3 2 3 3 2" xfId="38906" xr:uid="{00000000-0005-0000-0000-0000477C0000}"/>
    <cellStyle name="40% - Accent4 5 2 3 2 3 4" xfId="27605" xr:uid="{00000000-0005-0000-0000-0000487C0000}"/>
    <cellStyle name="40% - Accent4 5 2 3 2 4" xfId="7775" xr:uid="{00000000-0005-0000-0000-0000497C0000}"/>
    <cellStyle name="40% - Accent4 5 2 3 2 4 2" xfId="19076" xr:uid="{00000000-0005-0000-0000-00004A7C0000}"/>
    <cellStyle name="40% - Accent4 5 2 3 2 4 2 2" xfId="41678" xr:uid="{00000000-0005-0000-0000-00004B7C0000}"/>
    <cellStyle name="40% - Accent4 5 2 3 2 4 3" xfId="30377" xr:uid="{00000000-0005-0000-0000-00004C7C0000}"/>
    <cellStyle name="40% - Accent4 5 2 3 2 5" xfId="13426" xr:uid="{00000000-0005-0000-0000-00004D7C0000}"/>
    <cellStyle name="40% - Accent4 5 2 3 2 5 2" xfId="36028" xr:uid="{00000000-0005-0000-0000-00004E7C0000}"/>
    <cellStyle name="40% - Accent4 5 2 3 2 6" xfId="24727" xr:uid="{00000000-0005-0000-0000-00004F7C0000}"/>
    <cellStyle name="40% - Accent4 5 2 3 3" xfId="2594" xr:uid="{00000000-0005-0000-0000-0000507C0000}"/>
    <cellStyle name="40% - Accent4 5 2 3 3 2" xfId="5613" xr:uid="{00000000-0005-0000-0000-0000517C0000}"/>
    <cellStyle name="40% - Accent4 5 2 3 3 2 2" xfId="11263" xr:uid="{00000000-0005-0000-0000-0000527C0000}"/>
    <cellStyle name="40% - Accent4 5 2 3 3 2 2 2" xfId="22564" xr:uid="{00000000-0005-0000-0000-0000537C0000}"/>
    <cellStyle name="40% - Accent4 5 2 3 3 2 2 2 2" xfId="45166" xr:uid="{00000000-0005-0000-0000-0000547C0000}"/>
    <cellStyle name="40% - Accent4 5 2 3 3 2 2 3" xfId="33865" xr:uid="{00000000-0005-0000-0000-0000557C0000}"/>
    <cellStyle name="40% - Accent4 5 2 3 3 2 3" xfId="16914" xr:uid="{00000000-0005-0000-0000-0000567C0000}"/>
    <cellStyle name="40% - Accent4 5 2 3 3 2 3 2" xfId="39516" xr:uid="{00000000-0005-0000-0000-0000577C0000}"/>
    <cellStyle name="40% - Accent4 5 2 3 3 2 4" xfId="28215" xr:uid="{00000000-0005-0000-0000-0000587C0000}"/>
    <cellStyle name="40% - Accent4 5 2 3 3 3" xfId="8430" xr:uid="{00000000-0005-0000-0000-0000597C0000}"/>
    <cellStyle name="40% - Accent4 5 2 3 3 3 2" xfId="19731" xr:uid="{00000000-0005-0000-0000-00005A7C0000}"/>
    <cellStyle name="40% - Accent4 5 2 3 3 3 2 2" xfId="42333" xr:uid="{00000000-0005-0000-0000-00005B7C0000}"/>
    <cellStyle name="40% - Accent4 5 2 3 3 3 3" xfId="31032" xr:uid="{00000000-0005-0000-0000-00005C7C0000}"/>
    <cellStyle name="40% - Accent4 5 2 3 3 4" xfId="14081" xr:uid="{00000000-0005-0000-0000-00005D7C0000}"/>
    <cellStyle name="40% - Accent4 5 2 3 3 4 2" xfId="36683" xr:uid="{00000000-0005-0000-0000-00005E7C0000}"/>
    <cellStyle name="40% - Accent4 5 2 3 3 5" xfId="25382" xr:uid="{00000000-0005-0000-0000-00005F7C0000}"/>
    <cellStyle name="40% - Accent4 5 2 3 4" xfId="4379" xr:uid="{00000000-0005-0000-0000-0000607C0000}"/>
    <cellStyle name="40% - Accent4 5 2 3 4 2" xfId="10029" xr:uid="{00000000-0005-0000-0000-0000617C0000}"/>
    <cellStyle name="40% - Accent4 5 2 3 4 2 2" xfId="21330" xr:uid="{00000000-0005-0000-0000-0000627C0000}"/>
    <cellStyle name="40% - Accent4 5 2 3 4 2 2 2" xfId="43932" xr:uid="{00000000-0005-0000-0000-0000637C0000}"/>
    <cellStyle name="40% - Accent4 5 2 3 4 2 3" xfId="32631" xr:uid="{00000000-0005-0000-0000-0000647C0000}"/>
    <cellStyle name="40% - Accent4 5 2 3 4 3" xfId="15680" xr:uid="{00000000-0005-0000-0000-0000657C0000}"/>
    <cellStyle name="40% - Accent4 5 2 3 4 3 2" xfId="38282" xr:uid="{00000000-0005-0000-0000-0000667C0000}"/>
    <cellStyle name="40% - Accent4 5 2 3 4 4" xfId="26981" xr:uid="{00000000-0005-0000-0000-0000677C0000}"/>
    <cellStyle name="40% - Accent4 5 2 3 5" xfId="7176" xr:uid="{00000000-0005-0000-0000-0000687C0000}"/>
    <cellStyle name="40% - Accent4 5 2 3 5 2" xfId="18477" xr:uid="{00000000-0005-0000-0000-0000697C0000}"/>
    <cellStyle name="40% - Accent4 5 2 3 5 2 2" xfId="41079" xr:uid="{00000000-0005-0000-0000-00006A7C0000}"/>
    <cellStyle name="40% - Accent4 5 2 3 5 3" xfId="29778" xr:uid="{00000000-0005-0000-0000-00006B7C0000}"/>
    <cellStyle name="40% - Accent4 5 2 3 6" xfId="12827" xr:uid="{00000000-0005-0000-0000-00006C7C0000}"/>
    <cellStyle name="40% - Accent4 5 2 3 6 2" xfId="35429" xr:uid="{00000000-0005-0000-0000-00006D7C0000}"/>
    <cellStyle name="40% - Accent4 5 2 3 7" xfId="24128" xr:uid="{00000000-0005-0000-0000-00006E7C0000}"/>
    <cellStyle name="40% - Accent4 5 2 4" xfId="888" xr:uid="{00000000-0005-0000-0000-00006F7C0000}"/>
    <cellStyle name="40% - Accent4 5 2 4 2" xfId="2958" xr:uid="{00000000-0005-0000-0000-0000707C0000}"/>
    <cellStyle name="40% - Accent4 5 2 4 2 2" xfId="5930" xr:uid="{00000000-0005-0000-0000-0000717C0000}"/>
    <cellStyle name="40% - Accent4 5 2 4 2 2 2" xfId="11580" xr:uid="{00000000-0005-0000-0000-0000727C0000}"/>
    <cellStyle name="40% - Accent4 5 2 4 2 2 2 2" xfId="22881" xr:uid="{00000000-0005-0000-0000-0000737C0000}"/>
    <cellStyle name="40% - Accent4 5 2 4 2 2 2 2 2" xfId="45483" xr:uid="{00000000-0005-0000-0000-0000747C0000}"/>
    <cellStyle name="40% - Accent4 5 2 4 2 2 2 3" xfId="34182" xr:uid="{00000000-0005-0000-0000-0000757C0000}"/>
    <cellStyle name="40% - Accent4 5 2 4 2 2 3" xfId="17231" xr:uid="{00000000-0005-0000-0000-0000767C0000}"/>
    <cellStyle name="40% - Accent4 5 2 4 2 2 3 2" xfId="39833" xr:uid="{00000000-0005-0000-0000-0000777C0000}"/>
    <cellStyle name="40% - Accent4 5 2 4 2 2 4" xfId="28532" xr:uid="{00000000-0005-0000-0000-0000787C0000}"/>
    <cellStyle name="40% - Accent4 5 2 4 2 3" xfId="8748" xr:uid="{00000000-0005-0000-0000-0000797C0000}"/>
    <cellStyle name="40% - Accent4 5 2 4 2 3 2" xfId="20049" xr:uid="{00000000-0005-0000-0000-00007A7C0000}"/>
    <cellStyle name="40% - Accent4 5 2 4 2 3 2 2" xfId="42651" xr:uid="{00000000-0005-0000-0000-00007B7C0000}"/>
    <cellStyle name="40% - Accent4 5 2 4 2 3 3" xfId="31350" xr:uid="{00000000-0005-0000-0000-00007C7C0000}"/>
    <cellStyle name="40% - Accent4 5 2 4 2 4" xfId="14399" xr:uid="{00000000-0005-0000-0000-00007D7C0000}"/>
    <cellStyle name="40% - Accent4 5 2 4 2 4 2" xfId="37001" xr:uid="{00000000-0005-0000-0000-00007E7C0000}"/>
    <cellStyle name="40% - Accent4 5 2 4 2 5" xfId="25700" xr:uid="{00000000-0005-0000-0000-00007F7C0000}"/>
    <cellStyle name="40% - Accent4 5 2 4 3" xfId="4696" xr:uid="{00000000-0005-0000-0000-0000807C0000}"/>
    <cellStyle name="40% - Accent4 5 2 4 3 2" xfId="10346" xr:uid="{00000000-0005-0000-0000-0000817C0000}"/>
    <cellStyle name="40% - Accent4 5 2 4 3 2 2" xfId="21647" xr:uid="{00000000-0005-0000-0000-0000827C0000}"/>
    <cellStyle name="40% - Accent4 5 2 4 3 2 2 2" xfId="44249" xr:uid="{00000000-0005-0000-0000-0000837C0000}"/>
    <cellStyle name="40% - Accent4 5 2 4 3 2 3" xfId="32948" xr:uid="{00000000-0005-0000-0000-0000847C0000}"/>
    <cellStyle name="40% - Accent4 5 2 4 3 3" xfId="15997" xr:uid="{00000000-0005-0000-0000-0000857C0000}"/>
    <cellStyle name="40% - Accent4 5 2 4 3 3 2" xfId="38599" xr:uid="{00000000-0005-0000-0000-0000867C0000}"/>
    <cellStyle name="40% - Accent4 5 2 4 3 4" xfId="27298" xr:uid="{00000000-0005-0000-0000-0000877C0000}"/>
    <cellStyle name="40% - Accent4 5 2 4 4" xfId="6883" xr:uid="{00000000-0005-0000-0000-0000887C0000}"/>
    <cellStyle name="40% - Accent4 5 2 4 4 2" xfId="18184" xr:uid="{00000000-0005-0000-0000-0000897C0000}"/>
    <cellStyle name="40% - Accent4 5 2 4 4 2 2" xfId="40786" xr:uid="{00000000-0005-0000-0000-00008A7C0000}"/>
    <cellStyle name="40% - Accent4 5 2 4 4 3" xfId="29485" xr:uid="{00000000-0005-0000-0000-00008B7C0000}"/>
    <cellStyle name="40% - Accent4 5 2 4 5" xfId="12534" xr:uid="{00000000-0005-0000-0000-00008C7C0000}"/>
    <cellStyle name="40% - Accent4 5 2 4 5 2" xfId="35136" xr:uid="{00000000-0005-0000-0000-00008D7C0000}"/>
    <cellStyle name="40% - Accent4 5 2 4 6" xfId="23835" xr:uid="{00000000-0005-0000-0000-00008E7C0000}"/>
    <cellStyle name="40% - Accent4 5 2 5" xfId="1916" xr:uid="{00000000-0005-0000-0000-00008F7C0000}"/>
    <cellStyle name="40% - Accent4 5 2 5 2" xfId="3730" xr:uid="{00000000-0005-0000-0000-0000907C0000}"/>
    <cellStyle name="40% - Accent4 5 2 5 2 2" xfId="9440" xr:uid="{00000000-0005-0000-0000-0000917C0000}"/>
    <cellStyle name="40% - Accent4 5 2 5 2 2 2" xfId="20741" xr:uid="{00000000-0005-0000-0000-0000927C0000}"/>
    <cellStyle name="40% - Accent4 5 2 5 2 2 2 2" xfId="43343" xr:uid="{00000000-0005-0000-0000-0000937C0000}"/>
    <cellStyle name="40% - Accent4 5 2 5 2 2 3" xfId="32042" xr:uid="{00000000-0005-0000-0000-0000947C0000}"/>
    <cellStyle name="40% - Accent4 5 2 5 2 3" xfId="15091" xr:uid="{00000000-0005-0000-0000-0000957C0000}"/>
    <cellStyle name="40% - Accent4 5 2 5 2 3 2" xfId="37693" xr:uid="{00000000-0005-0000-0000-0000967C0000}"/>
    <cellStyle name="40% - Accent4 5 2 5 2 4" xfId="26392" xr:uid="{00000000-0005-0000-0000-0000977C0000}"/>
    <cellStyle name="40% - Accent4 5 2 5 3" xfId="5306" xr:uid="{00000000-0005-0000-0000-0000987C0000}"/>
    <cellStyle name="40% - Accent4 5 2 5 3 2" xfId="10956" xr:uid="{00000000-0005-0000-0000-0000997C0000}"/>
    <cellStyle name="40% - Accent4 5 2 5 3 2 2" xfId="22257" xr:uid="{00000000-0005-0000-0000-00009A7C0000}"/>
    <cellStyle name="40% - Accent4 5 2 5 3 2 2 2" xfId="44859" xr:uid="{00000000-0005-0000-0000-00009B7C0000}"/>
    <cellStyle name="40% - Accent4 5 2 5 3 2 3" xfId="33558" xr:uid="{00000000-0005-0000-0000-00009C7C0000}"/>
    <cellStyle name="40% - Accent4 5 2 5 3 3" xfId="16607" xr:uid="{00000000-0005-0000-0000-00009D7C0000}"/>
    <cellStyle name="40% - Accent4 5 2 5 3 3 2" xfId="39209" xr:uid="{00000000-0005-0000-0000-00009E7C0000}"/>
    <cellStyle name="40% - Accent4 5 2 5 3 4" xfId="27908" xr:uid="{00000000-0005-0000-0000-00009F7C0000}"/>
    <cellStyle name="40% - Accent4 5 2 5 4" xfId="7772" xr:uid="{00000000-0005-0000-0000-0000A07C0000}"/>
    <cellStyle name="40% - Accent4 5 2 5 4 2" xfId="19073" xr:uid="{00000000-0005-0000-0000-0000A17C0000}"/>
    <cellStyle name="40% - Accent4 5 2 5 4 2 2" xfId="41675" xr:uid="{00000000-0005-0000-0000-0000A27C0000}"/>
    <cellStyle name="40% - Accent4 5 2 5 4 3" xfId="30374" xr:uid="{00000000-0005-0000-0000-0000A37C0000}"/>
    <cellStyle name="40% - Accent4 5 2 5 5" xfId="13423" xr:uid="{00000000-0005-0000-0000-0000A47C0000}"/>
    <cellStyle name="40% - Accent4 5 2 5 5 2" xfId="36025" xr:uid="{00000000-0005-0000-0000-0000A57C0000}"/>
    <cellStyle name="40% - Accent4 5 2 5 6" xfId="24724" xr:uid="{00000000-0005-0000-0000-0000A67C0000}"/>
    <cellStyle name="40% - Accent4 5 2 6" xfId="2285" xr:uid="{00000000-0005-0000-0000-0000A77C0000}"/>
    <cellStyle name="40% - Accent4 5 2 6 2" xfId="8121" xr:uid="{00000000-0005-0000-0000-0000A87C0000}"/>
    <cellStyle name="40% - Accent4 5 2 6 2 2" xfId="19422" xr:uid="{00000000-0005-0000-0000-0000A97C0000}"/>
    <cellStyle name="40% - Accent4 5 2 6 2 2 2" xfId="42024" xr:uid="{00000000-0005-0000-0000-0000AA7C0000}"/>
    <cellStyle name="40% - Accent4 5 2 6 2 3" xfId="30723" xr:uid="{00000000-0005-0000-0000-0000AB7C0000}"/>
    <cellStyle name="40% - Accent4 5 2 6 3" xfId="13772" xr:uid="{00000000-0005-0000-0000-0000AC7C0000}"/>
    <cellStyle name="40% - Accent4 5 2 6 3 2" xfId="36374" xr:uid="{00000000-0005-0000-0000-0000AD7C0000}"/>
    <cellStyle name="40% - Accent4 5 2 6 4" xfId="25073" xr:uid="{00000000-0005-0000-0000-0000AE7C0000}"/>
    <cellStyle name="40% - Accent4 5 2 7" xfId="4072" xr:uid="{00000000-0005-0000-0000-0000AF7C0000}"/>
    <cellStyle name="40% - Accent4 5 2 7 2" xfId="9722" xr:uid="{00000000-0005-0000-0000-0000B07C0000}"/>
    <cellStyle name="40% - Accent4 5 2 7 2 2" xfId="21023" xr:uid="{00000000-0005-0000-0000-0000B17C0000}"/>
    <cellStyle name="40% - Accent4 5 2 7 2 2 2" xfId="43625" xr:uid="{00000000-0005-0000-0000-0000B27C0000}"/>
    <cellStyle name="40% - Accent4 5 2 7 2 3" xfId="32324" xr:uid="{00000000-0005-0000-0000-0000B37C0000}"/>
    <cellStyle name="40% - Accent4 5 2 7 3" xfId="15373" xr:uid="{00000000-0005-0000-0000-0000B47C0000}"/>
    <cellStyle name="40% - Accent4 5 2 7 3 2" xfId="37975" xr:uid="{00000000-0005-0000-0000-0000B57C0000}"/>
    <cellStyle name="40% - Accent4 5 2 7 4" xfId="26674" xr:uid="{00000000-0005-0000-0000-0000B67C0000}"/>
    <cellStyle name="40% - Accent4 5 2 8" xfId="6523" xr:uid="{00000000-0005-0000-0000-0000B77C0000}"/>
    <cellStyle name="40% - Accent4 5 2 8 2" xfId="17824" xr:uid="{00000000-0005-0000-0000-0000B87C0000}"/>
    <cellStyle name="40% - Accent4 5 2 8 2 2" xfId="40426" xr:uid="{00000000-0005-0000-0000-0000B97C0000}"/>
    <cellStyle name="40% - Accent4 5 2 8 3" xfId="29125" xr:uid="{00000000-0005-0000-0000-0000BA7C0000}"/>
    <cellStyle name="40% - Accent4 5 2 9" xfId="12174" xr:uid="{00000000-0005-0000-0000-0000BB7C0000}"/>
    <cellStyle name="40% - Accent4 5 2 9 2" xfId="34776" xr:uid="{00000000-0005-0000-0000-0000BC7C0000}"/>
    <cellStyle name="40% - Accent4 5 3" xfId="528" xr:uid="{00000000-0005-0000-0000-0000BD7C0000}"/>
    <cellStyle name="40% - Accent4 5 3 2" xfId="1241" xr:uid="{00000000-0005-0000-0000-0000BE7C0000}"/>
    <cellStyle name="40% - Accent4 5 3 2 2" xfId="1921" xr:uid="{00000000-0005-0000-0000-0000BF7C0000}"/>
    <cellStyle name="40% - Accent4 5 3 2 2 2" xfId="3310" xr:uid="{00000000-0005-0000-0000-0000C07C0000}"/>
    <cellStyle name="40% - Accent4 5 3 2 2 2 2" xfId="6282" xr:uid="{00000000-0005-0000-0000-0000C17C0000}"/>
    <cellStyle name="40% - Accent4 5 3 2 2 2 2 2" xfId="11932" xr:uid="{00000000-0005-0000-0000-0000C27C0000}"/>
    <cellStyle name="40% - Accent4 5 3 2 2 2 2 2 2" xfId="23233" xr:uid="{00000000-0005-0000-0000-0000C37C0000}"/>
    <cellStyle name="40% - Accent4 5 3 2 2 2 2 2 2 2" xfId="45835" xr:uid="{00000000-0005-0000-0000-0000C47C0000}"/>
    <cellStyle name="40% - Accent4 5 3 2 2 2 2 2 3" xfId="34534" xr:uid="{00000000-0005-0000-0000-0000C57C0000}"/>
    <cellStyle name="40% - Accent4 5 3 2 2 2 2 3" xfId="17583" xr:uid="{00000000-0005-0000-0000-0000C67C0000}"/>
    <cellStyle name="40% - Accent4 5 3 2 2 2 2 3 2" xfId="40185" xr:uid="{00000000-0005-0000-0000-0000C77C0000}"/>
    <cellStyle name="40% - Accent4 5 3 2 2 2 2 4" xfId="28884" xr:uid="{00000000-0005-0000-0000-0000C87C0000}"/>
    <cellStyle name="40% - Accent4 5 3 2 2 2 3" xfId="9100" xr:uid="{00000000-0005-0000-0000-0000C97C0000}"/>
    <cellStyle name="40% - Accent4 5 3 2 2 2 3 2" xfId="20401" xr:uid="{00000000-0005-0000-0000-0000CA7C0000}"/>
    <cellStyle name="40% - Accent4 5 3 2 2 2 3 2 2" xfId="43003" xr:uid="{00000000-0005-0000-0000-0000CB7C0000}"/>
    <cellStyle name="40% - Accent4 5 3 2 2 2 3 3" xfId="31702" xr:uid="{00000000-0005-0000-0000-0000CC7C0000}"/>
    <cellStyle name="40% - Accent4 5 3 2 2 2 4" xfId="14751" xr:uid="{00000000-0005-0000-0000-0000CD7C0000}"/>
    <cellStyle name="40% - Accent4 5 3 2 2 2 4 2" xfId="37353" xr:uid="{00000000-0005-0000-0000-0000CE7C0000}"/>
    <cellStyle name="40% - Accent4 5 3 2 2 2 5" xfId="26052" xr:uid="{00000000-0005-0000-0000-0000CF7C0000}"/>
    <cellStyle name="40% - Accent4 5 3 2 2 3" xfId="5048" xr:uid="{00000000-0005-0000-0000-0000D07C0000}"/>
    <cellStyle name="40% - Accent4 5 3 2 2 3 2" xfId="10698" xr:uid="{00000000-0005-0000-0000-0000D17C0000}"/>
    <cellStyle name="40% - Accent4 5 3 2 2 3 2 2" xfId="21999" xr:uid="{00000000-0005-0000-0000-0000D27C0000}"/>
    <cellStyle name="40% - Accent4 5 3 2 2 3 2 2 2" xfId="44601" xr:uid="{00000000-0005-0000-0000-0000D37C0000}"/>
    <cellStyle name="40% - Accent4 5 3 2 2 3 2 3" xfId="33300" xr:uid="{00000000-0005-0000-0000-0000D47C0000}"/>
    <cellStyle name="40% - Accent4 5 3 2 2 3 3" xfId="16349" xr:uid="{00000000-0005-0000-0000-0000D57C0000}"/>
    <cellStyle name="40% - Accent4 5 3 2 2 3 3 2" xfId="38951" xr:uid="{00000000-0005-0000-0000-0000D67C0000}"/>
    <cellStyle name="40% - Accent4 5 3 2 2 3 4" xfId="27650" xr:uid="{00000000-0005-0000-0000-0000D77C0000}"/>
    <cellStyle name="40% - Accent4 5 3 2 2 4" xfId="7777" xr:uid="{00000000-0005-0000-0000-0000D87C0000}"/>
    <cellStyle name="40% - Accent4 5 3 2 2 4 2" xfId="19078" xr:uid="{00000000-0005-0000-0000-0000D97C0000}"/>
    <cellStyle name="40% - Accent4 5 3 2 2 4 2 2" xfId="41680" xr:uid="{00000000-0005-0000-0000-0000DA7C0000}"/>
    <cellStyle name="40% - Accent4 5 3 2 2 4 3" xfId="30379" xr:uid="{00000000-0005-0000-0000-0000DB7C0000}"/>
    <cellStyle name="40% - Accent4 5 3 2 2 5" xfId="13428" xr:uid="{00000000-0005-0000-0000-0000DC7C0000}"/>
    <cellStyle name="40% - Accent4 5 3 2 2 5 2" xfId="36030" xr:uid="{00000000-0005-0000-0000-0000DD7C0000}"/>
    <cellStyle name="40% - Accent4 5 3 2 2 6" xfId="24729" xr:uid="{00000000-0005-0000-0000-0000DE7C0000}"/>
    <cellStyle name="40% - Accent4 5 3 2 3" xfId="2639" xr:uid="{00000000-0005-0000-0000-0000DF7C0000}"/>
    <cellStyle name="40% - Accent4 5 3 2 3 2" xfId="5658" xr:uid="{00000000-0005-0000-0000-0000E07C0000}"/>
    <cellStyle name="40% - Accent4 5 3 2 3 2 2" xfId="11308" xr:uid="{00000000-0005-0000-0000-0000E17C0000}"/>
    <cellStyle name="40% - Accent4 5 3 2 3 2 2 2" xfId="22609" xr:uid="{00000000-0005-0000-0000-0000E27C0000}"/>
    <cellStyle name="40% - Accent4 5 3 2 3 2 2 2 2" xfId="45211" xr:uid="{00000000-0005-0000-0000-0000E37C0000}"/>
    <cellStyle name="40% - Accent4 5 3 2 3 2 2 3" xfId="33910" xr:uid="{00000000-0005-0000-0000-0000E47C0000}"/>
    <cellStyle name="40% - Accent4 5 3 2 3 2 3" xfId="16959" xr:uid="{00000000-0005-0000-0000-0000E57C0000}"/>
    <cellStyle name="40% - Accent4 5 3 2 3 2 3 2" xfId="39561" xr:uid="{00000000-0005-0000-0000-0000E67C0000}"/>
    <cellStyle name="40% - Accent4 5 3 2 3 2 4" xfId="28260" xr:uid="{00000000-0005-0000-0000-0000E77C0000}"/>
    <cellStyle name="40% - Accent4 5 3 2 3 3" xfId="8475" xr:uid="{00000000-0005-0000-0000-0000E87C0000}"/>
    <cellStyle name="40% - Accent4 5 3 2 3 3 2" xfId="19776" xr:uid="{00000000-0005-0000-0000-0000E97C0000}"/>
    <cellStyle name="40% - Accent4 5 3 2 3 3 2 2" xfId="42378" xr:uid="{00000000-0005-0000-0000-0000EA7C0000}"/>
    <cellStyle name="40% - Accent4 5 3 2 3 3 3" xfId="31077" xr:uid="{00000000-0005-0000-0000-0000EB7C0000}"/>
    <cellStyle name="40% - Accent4 5 3 2 3 4" xfId="14126" xr:uid="{00000000-0005-0000-0000-0000EC7C0000}"/>
    <cellStyle name="40% - Accent4 5 3 2 3 4 2" xfId="36728" xr:uid="{00000000-0005-0000-0000-0000ED7C0000}"/>
    <cellStyle name="40% - Accent4 5 3 2 3 5" xfId="25427" xr:uid="{00000000-0005-0000-0000-0000EE7C0000}"/>
    <cellStyle name="40% - Accent4 5 3 2 4" xfId="4424" xr:uid="{00000000-0005-0000-0000-0000EF7C0000}"/>
    <cellStyle name="40% - Accent4 5 3 2 4 2" xfId="10074" xr:uid="{00000000-0005-0000-0000-0000F07C0000}"/>
    <cellStyle name="40% - Accent4 5 3 2 4 2 2" xfId="21375" xr:uid="{00000000-0005-0000-0000-0000F17C0000}"/>
    <cellStyle name="40% - Accent4 5 3 2 4 2 2 2" xfId="43977" xr:uid="{00000000-0005-0000-0000-0000F27C0000}"/>
    <cellStyle name="40% - Accent4 5 3 2 4 2 3" xfId="32676" xr:uid="{00000000-0005-0000-0000-0000F37C0000}"/>
    <cellStyle name="40% - Accent4 5 3 2 4 3" xfId="15725" xr:uid="{00000000-0005-0000-0000-0000F47C0000}"/>
    <cellStyle name="40% - Accent4 5 3 2 4 3 2" xfId="38327" xr:uid="{00000000-0005-0000-0000-0000F57C0000}"/>
    <cellStyle name="40% - Accent4 5 3 2 4 4" xfId="27026" xr:uid="{00000000-0005-0000-0000-0000F67C0000}"/>
    <cellStyle name="40% - Accent4 5 3 2 5" xfId="7220" xr:uid="{00000000-0005-0000-0000-0000F77C0000}"/>
    <cellStyle name="40% - Accent4 5 3 2 5 2" xfId="18521" xr:uid="{00000000-0005-0000-0000-0000F87C0000}"/>
    <cellStyle name="40% - Accent4 5 3 2 5 2 2" xfId="41123" xr:uid="{00000000-0005-0000-0000-0000F97C0000}"/>
    <cellStyle name="40% - Accent4 5 3 2 5 3" xfId="29822" xr:uid="{00000000-0005-0000-0000-0000FA7C0000}"/>
    <cellStyle name="40% - Accent4 5 3 2 6" xfId="12871" xr:uid="{00000000-0005-0000-0000-0000FB7C0000}"/>
    <cellStyle name="40% - Accent4 5 3 2 6 2" xfId="35473" xr:uid="{00000000-0005-0000-0000-0000FC7C0000}"/>
    <cellStyle name="40% - Accent4 5 3 2 7" xfId="24172" xr:uid="{00000000-0005-0000-0000-0000FD7C0000}"/>
    <cellStyle name="40% - Accent4 5 3 3" xfId="939" xr:uid="{00000000-0005-0000-0000-0000FE7C0000}"/>
    <cellStyle name="40% - Accent4 5 3 3 2" xfId="3002" xr:uid="{00000000-0005-0000-0000-0000FF7C0000}"/>
    <cellStyle name="40% - Accent4 5 3 3 2 2" xfId="5974" xr:uid="{00000000-0005-0000-0000-0000007D0000}"/>
    <cellStyle name="40% - Accent4 5 3 3 2 2 2" xfId="11624" xr:uid="{00000000-0005-0000-0000-0000017D0000}"/>
    <cellStyle name="40% - Accent4 5 3 3 2 2 2 2" xfId="22925" xr:uid="{00000000-0005-0000-0000-0000027D0000}"/>
    <cellStyle name="40% - Accent4 5 3 3 2 2 2 2 2" xfId="45527" xr:uid="{00000000-0005-0000-0000-0000037D0000}"/>
    <cellStyle name="40% - Accent4 5 3 3 2 2 2 3" xfId="34226" xr:uid="{00000000-0005-0000-0000-0000047D0000}"/>
    <cellStyle name="40% - Accent4 5 3 3 2 2 3" xfId="17275" xr:uid="{00000000-0005-0000-0000-0000057D0000}"/>
    <cellStyle name="40% - Accent4 5 3 3 2 2 3 2" xfId="39877" xr:uid="{00000000-0005-0000-0000-0000067D0000}"/>
    <cellStyle name="40% - Accent4 5 3 3 2 2 4" xfId="28576" xr:uid="{00000000-0005-0000-0000-0000077D0000}"/>
    <cellStyle name="40% - Accent4 5 3 3 2 3" xfId="8792" xr:uid="{00000000-0005-0000-0000-0000087D0000}"/>
    <cellStyle name="40% - Accent4 5 3 3 2 3 2" xfId="20093" xr:uid="{00000000-0005-0000-0000-0000097D0000}"/>
    <cellStyle name="40% - Accent4 5 3 3 2 3 2 2" xfId="42695" xr:uid="{00000000-0005-0000-0000-00000A7D0000}"/>
    <cellStyle name="40% - Accent4 5 3 3 2 3 3" xfId="31394" xr:uid="{00000000-0005-0000-0000-00000B7D0000}"/>
    <cellStyle name="40% - Accent4 5 3 3 2 4" xfId="14443" xr:uid="{00000000-0005-0000-0000-00000C7D0000}"/>
    <cellStyle name="40% - Accent4 5 3 3 2 4 2" xfId="37045" xr:uid="{00000000-0005-0000-0000-00000D7D0000}"/>
    <cellStyle name="40% - Accent4 5 3 3 2 5" xfId="25744" xr:uid="{00000000-0005-0000-0000-00000E7D0000}"/>
    <cellStyle name="40% - Accent4 5 3 3 3" xfId="4740" xr:uid="{00000000-0005-0000-0000-00000F7D0000}"/>
    <cellStyle name="40% - Accent4 5 3 3 3 2" xfId="10390" xr:uid="{00000000-0005-0000-0000-0000107D0000}"/>
    <cellStyle name="40% - Accent4 5 3 3 3 2 2" xfId="21691" xr:uid="{00000000-0005-0000-0000-0000117D0000}"/>
    <cellStyle name="40% - Accent4 5 3 3 3 2 2 2" xfId="44293" xr:uid="{00000000-0005-0000-0000-0000127D0000}"/>
    <cellStyle name="40% - Accent4 5 3 3 3 2 3" xfId="32992" xr:uid="{00000000-0005-0000-0000-0000137D0000}"/>
    <cellStyle name="40% - Accent4 5 3 3 3 3" xfId="16041" xr:uid="{00000000-0005-0000-0000-0000147D0000}"/>
    <cellStyle name="40% - Accent4 5 3 3 3 3 2" xfId="38643" xr:uid="{00000000-0005-0000-0000-0000157D0000}"/>
    <cellStyle name="40% - Accent4 5 3 3 3 4" xfId="27342" xr:uid="{00000000-0005-0000-0000-0000167D0000}"/>
    <cellStyle name="40% - Accent4 5 3 3 4" xfId="6927" xr:uid="{00000000-0005-0000-0000-0000177D0000}"/>
    <cellStyle name="40% - Accent4 5 3 3 4 2" xfId="18228" xr:uid="{00000000-0005-0000-0000-0000187D0000}"/>
    <cellStyle name="40% - Accent4 5 3 3 4 2 2" xfId="40830" xr:uid="{00000000-0005-0000-0000-0000197D0000}"/>
    <cellStyle name="40% - Accent4 5 3 3 4 3" xfId="29529" xr:uid="{00000000-0005-0000-0000-00001A7D0000}"/>
    <cellStyle name="40% - Accent4 5 3 3 5" xfId="12578" xr:uid="{00000000-0005-0000-0000-00001B7D0000}"/>
    <cellStyle name="40% - Accent4 5 3 3 5 2" xfId="35180" xr:uid="{00000000-0005-0000-0000-00001C7D0000}"/>
    <cellStyle name="40% - Accent4 5 3 3 6" xfId="23879" xr:uid="{00000000-0005-0000-0000-00001D7D0000}"/>
    <cellStyle name="40% - Accent4 5 3 4" xfId="1920" xr:uid="{00000000-0005-0000-0000-00001E7D0000}"/>
    <cellStyle name="40% - Accent4 5 3 4 2" xfId="3732" xr:uid="{00000000-0005-0000-0000-00001F7D0000}"/>
    <cellStyle name="40% - Accent4 5 3 4 2 2" xfId="9442" xr:uid="{00000000-0005-0000-0000-0000207D0000}"/>
    <cellStyle name="40% - Accent4 5 3 4 2 2 2" xfId="20743" xr:uid="{00000000-0005-0000-0000-0000217D0000}"/>
    <cellStyle name="40% - Accent4 5 3 4 2 2 2 2" xfId="43345" xr:uid="{00000000-0005-0000-0000-0000227D0000}"/>
    <cellStyle name="40% - Accent4 5 3 4 2 2 3" xfId="32044" xr:uid="{00000000-0005-0000-0000-0000237D0000}"/>
    <cellStyle name="40% - Accent4 5 3 4 2 3" xfId="15093" xr:uid="{00000000-0005-0000-0000-0000247D0000}"/>
    <cellStyle name="40% - Accent4 5 3 4 2 3 2" xfId="37695" xr:uid="{00000000-0005-0000-0000-0000257D0000}"/>
    <cellStyle name="40% - Accent4 5 3 4 2 4" xfId="26394" xr:uid="{00000000-0005-0000-0000-0000267D0000}"/>
    <cellStyle name="40% - Accent4 5 3 4 3" xfId="5350" xr:uid="{00000000-0005-0000-0000-0000277D0000}"/>
    <cellStyle name="40% - Accent4 5 3 4 3 2" xfId="11000" xr:uid="{00000000-0005-0000-0000-0000287D0000}"/>
    <cellStyle name="40% - Accent4 5 3 4 3 2 2" xfId="22301" xr:uid="{00000000-0005-0000-0000-0000297D0000}"/>
    <cellStyle name="40% - Accent4 5 3 4 3 2 2 2" xfId="44903" xr:uid="{00000000-0005-0000-0000-00002A7D0000}"/>
    <cellStyle name="40% - Accent4 5 3 4 3 2 3" xfId="33602" xr:uid="{00000000-0005-0000-0000-00002B7D0000}"/>
    <cellStyle name="40% - Accent4 5 3 4 3 3" xfId="16651" xr:uid="{00000000-0005-0000-0000-00002C7D0000}"/>
    <cellStyle name="40% - Accent4 5 3 4 3 3 2" xfId="39253" xr:uid="{00000000-0005-0000-0000-00002D7D0000}"/>
    <cellStyle name="40% - Accent4 5 3 4 3 4" xfId="27952" xr:uid="{00000000-0005-0000-0000-00002E7D0000}"/>
    <cellStyle name="40% - Accent4 5 3 4 4" xfId="7776" xr:uid="{00000000-0005-0000-0000-00002F7D0000}"/>
    <cellStyle name="40% - Accent4 5 3 4 4 2" xfId="19077" xr:uid="{00000000-0005-0000-0000-0000307D0000}"/>
    <cellStyle name="40% - Accent4 5 3 4 4 2 2" xfId="41679" xr:uid="{00000000-0005-0000-0000-0000317D0000}"/>
    <cellStyle name="40% - Accent4 5 3 4 4 3" xfId="30378" xr:uid="{00000000-0005-0000-0000-0000327D0000}"/>
    <cellStyle name="40% - Accent4 5 3 4 5" xfId="13427" xr:uid="{00000000-0005-0000-0000-0000337D0000}"/>
    <cellStyle name="40% - Accent4 5 3 4 5 2" xfId="36029" xr:uid="{00000000-0005-0000-0000-0000347D0000}"/>
    <cellStyle name="40% - Accent4 5 3 4 6" xfId="24728" xr:uid="{00000000-0005-0000-0000-0000357D0000}"/>
    <cellStyle name="40% - Accent4 5 3 5" xfId="2331" xr:uid="{00000000-0005-0000-0000-0000367D0000}"/>
    <cellStyle name="40% - Accent4 5 3 5 2" xfId="8167" xr:uid="{00000000-0005-0000-0000-0000377D0000}"/>
    <cellStyle name="40% - Accent4 5 3 5 2 2" xfId="19468" xr:uid="{00000000-0005-0000-0000-0000387D0000}"/>
    <cellStyle name="40% - Accent4 5 3 5 2 2 2" xfId="42070" xr:uid="{00000000-0005-0000-0000-0000397D0000}"/>
    <cellStyle name="40% - Accent4 5 3 5 2 3" xfId="30769" xr:uid="{00000000-0005-0000-0000-00003A7D0000}"/>
    <cellStyle name="40% - Accent4 5 3 5 3" xfId="13818" xr:uid="{00000000-0005-0000-0000-00003B7D0000}"/>
    <cellStyle name="40% - Accent4 5 3 5 3 2" xfId="36420" xr:uid="{00000000-0005-0000-0000-00003C7D0000}"/>
    <cellStyle name="40% - Accent4 5 3 5 4" xfId="25119" xr:uid="{00000000-0005-0000-0000-00003D7D0000}"/>
    <cellStyle name="40% - Accent4 5 3 6" xfId="4116" xr:uid="{00000000-0005-0000-0000-00003E7D0000}"/>
    <cellStyle name="40% - Accent4 5 3 6 2" xfId="9766" xr:uid="{00000000-0005-0000-0000-00003F7D0000}"/>
    <cellStyle name="40% - Accent4 5 3 6 2 2" xfId="21067" xr:uid="{00000000-0005-0000-0000-0000407D0000}"/>
    <cellStyle name="40% - Accent4 5 3 6 2 2 2" xfId="43669" xr:uid="{00000000-0005-0000-0000-0000417D0000}"/>
    <cellStyle name="40% - Accent4 5 3 6 2 3" xfId="32368" xr:uid="{00000000-0005-0000-0000-0000427D0000}"/>
    <cellStyle name="40% - Accent4 5 3 6 3" xfId="15417" xr:uid="{00000000-0005-0000-0000-0000437D0000}"/>
    <cellStyle name="40% - Accent4 5 3 6 3 2" xfId="38019" xr:uid="{00000000-0005-0000-0000-0000447D0000}"/>
    <cellStyle name="40% - Accent4 5 3 6 4" xfId="26718" xr:uid="{00000000-0005-0000-0000-0000457D0000}"/>
    <cellStyle name="40% - Accent4 5 3 7" xfId="6594" xr:uid="{00000000-0005-0000-0000-0000467D0000}"/>
    <cellStyle name="40% - Accent4 5 3 7 2" xfId="17895" xr:uid="{00000000-0005-0000-0000-0000477D0000}"/>
    <cellStyle name="40% - Accent4 5 3 7 2 2" xfId="40497" xr:uid="{00000000-0005-0000-0000-0000487D0000}"/>
    <cellStyle name="40% - Accent4 5 3 7 3" xfId="29196" xr:uid="{00000000-0005-0000-0000-0000497D0000}"/>
    <cellStyle name="40% - Accent4 5 3 8" xfId="12245" xr:uid="{00000000-0005-0000-0000-00004A7D0000}"/>
    <cellStyle name="40% - Accent4 5 3 8 2" xfId="34847" xr:uid="{00000000-0005-0000-0000-00004B7D0000}"/>
    <cellStyle name="40% - Accent4 5 3 9" xfId="23546" xr:uid="{00000000-0005-0000-0000-00004C7D0000}"/>
    <cellStyle name="40% - Accent4 5 4" xfId="1101" xr:uid="{00000000-0005-0000-0000-00004D7D0000}"/>
    <cellStyle name="40% - Accent4 5 4 2" xfId="1922" xr:uid="{00000000-0005-0000-0000-00004E7D0000}"/>
    <cellStyle name="40% - Accent4 5 4 2 2" xfId="3169" xr:uid="{00000000-0005-0000-0000-00004F7D0000}"/>
    <cellStyle name="40% - Accent4 5 4 2 2 2" xfId="6141" xr:uid="{00000000-0005-0000-0000-0000507D0000}"/>
    <cellStyle name="40% - Accent4 5 4 2 2 2 2" xfId="11791" xr:uid="{00000000-0005-0000-0000-0000517D0000}"/>
    <cellStyle name="40% - Accent4 5 4 2 2 2 2 2" xfId="23092" xr:uid="{00000000-0005-0000-0000-0000527D0000}"/>
    <cellStyle name="40% - Accent4 5 4 2 2 2 2 2 2" xfId="45694" xr:uid="{00000000-0005-0000-0000-0000537D0000}"/>
    <cellStyle name="40% - Accent4 5 4 2 2 2 2 3" xfId="34393" xr:uid="{00000000-0005-0000-0000-0000547D0000}"/>
    <cellStyle name="40% - Accent4 5 4 2 2 2 3" xfId="17442" xr:uid="{00000000-0005-0000-0000-0000557D0000}"/>
    <cellStyle name="40% - Accent4 5 4 2 2 2 3 2" xfId="40044" xr:uid="{00000000-0005-0000-0000-0000567D0000}"/>
    <cellStyle name="40% - Accent4 5 4 2 2 2 4" xfId="28743" xr:uid="{00000000-0005-0000-0000-0000577D0000}"/>
    <cellStyle name="40% - Accent4 5 4 2 2 3" xfId="8959" xr:uid="{00000000-0005-0000-0000-0000587D0000}"/>
    <cellStyle name="40% - Accent4 5 4 2 2 3 2" xfId="20260" xr:uid="{00000000-0005-0000-0000-0000597D0000}"/>
    <cellStyle name="40% - Accent4 5 4 2 2 3 2 2" xfId="42862" xr:uid="{00000000-0005-0000-0000-00005A7D0000}"/>
    <cellStyle name="40% - Accent4 5 4 2 2 3 3" xfId="31561" xr:uid="{00000000-0005-0000-0000-00005B7D0000}"/>
    <cellStyle name="40% - Accent4 5 4 2 2 4" xfId="14610" xr:uid="{00000000-0005-0000-0000-00005C7D0000}"/>
    <cellStyle name="40% - Accent4 5 4 2 2 4 2" xfId="37212" xr:uid="{00000000-0005-0000-0000-00005D7D0000}"/>
    <cellStyle name="40% - Accent4 5 4 2 2 5" xfId="25911" xr:uid="{00000000-0005-0000-0000-00005E7D0000}"/>
    <cellStyle name="40% - Accent4 5 4 2 3" xfId="4907" xr:uid="{00000000-0005-0000-0000-00005F7D0000}"/>
    <cellStyle name="40% - Accent4 5 4 2 3 2" xfId="10557" xr:uid="{00000000-0005-0000-0000-0000607D0000}"/>
    <cellStyle name="40% - Accent4 5 4 2 3 2 2" xfId="21858" xr:uid="{00000000-0005-0000-0000-0000617D0000}"/>
    <cellStyle name="40% - Accent4 5 4 2 3 2 2 2" xfId="44460" xr:uid="{00000000-0005-0000-0000-0000627D0000}"/>
    <cellStyle name="40% - Accent4 5 4 2 3 2 3" xfId="33159" xr:uid="{00000000-0005-0000-0000-0000637D0000}"/>
    <cellStyle name="40% - Accent4 5 4 2 3 3" xfId="16208" xr:uid="{00000000-0005-0000-0000-0000647D0000}"/>
    <cellStyle name="40% - Accent4 5 4 2 3 3 2" xfId="38810" xr:uid="{00000000-0005-0000-0000-0000657D0000}"/>
    <cellStyle name="40% - Accent4 5 4 2 3 4" xfId="27509" xr:uid="{00000000-0005-0000-0000-0000667D0000}"/>
    <cellStyle name="40% - Accent4 5 4 2 4" xfId="7778" xr:uid="{00000000-0005-0000-0000-0000677D0000}"/>
    <cellStyle name="40% - Accent4 5 4 2 4 2" xfId="19079" xr:uid="{00000000-0005-0000-0000-0000687D0000}"/>
    <cellStyle name="40% - Accent4 5 4 2 4 2 2" xfId="41681" xr:uid="{00000000-0005-0000-0000-0000697D0000}"/>
    <cellStyle name="40% - Accent4 5 4 2 4 3" xfId="30380" xr:uid="{00000000-0005-0000-0000-00006A7D0000}"/>
    <cellStyle name="40% - Accent4 5 4 2 5" xfId="13429" xr:uid="{00000000-0005-0000-0000-00006B7D0000}"/>
    <cellStyle name="40% - Accent4 5 4 2 5 2" xfId="36031" xr:uid="{00000000-0005-0000-0000-00006C7D0000}"/>
    <cellStyle name="40% - Accent4 5 4 2 6" xfId="24730" xr:uid="{00000000-0005-0000-0000-00006D7D0000}"/>
    <cellStyle name="40% - Accent4 5 4 3" xfId="2498" xr:uid="{00000000-0005-0000-0000-00006E7D0000}"/>
    <cellStyle name="40% - Accent4 5 4 3 2" xfId="5517" xr:uid="{00000000-0005-0000-0000-00006F7D0000}"/>
    <cellStyle name="40% - Accent4 5 4 3 2 2" xfId="11167" xr:uid="{00000000-0005-0000-0000-0000707D0000}"/>
    <cellStyle name="40% - Accent4 5 4 3 2 2 2" xfId="22468" xr:uid="{00000000-0005-0000-0000-0000717D0000}"/>
    <cellStyle name="40% - Accent4 5 4 3 2 2 2 2" xfId="45070" xr:uid="{00000000-0005-0000-0000-0000727D0000}"/>
    <cellStyle name="40% - Accent4 5 4 3 2 2 3" xfId="33769" xr:uid="{00000000-0005-0000-0000-0000737D0000}"/>
    <cellStyle name="40% - Accent4 5 4 3 2 3" xfId="16818" xr:uid="{00000000-0005-0000-0000-0000747D0000}"/>
    <cellStyle name="40% - Accent4 5 4 3 2 3 2" xfId="39420" xr:uid="{00000000-0005-0000-0000-0000757D0000}"/>
    <cellStyle name="40% - Accent4 5 4 3 2 4" xfId="28119" xr:uid="{00000000-0005-0000-0000-0000767D0000}"/>
    <cellStyle name="40% - Accent4 5 4 3 3" xfId="8334" xr:uid="{00000000-0005-0000-0000-0000777D0000}"/>
    <cellStyle name="40% - Accent4 5 4 3 3 2" xfId="19635" xr:uid="{00000000-0005-0000-0000-0000787D0000}"/>
    <cellStyle name="40% - Accent4 5 4 3 3 2 2" xfId="42237" xr:uid="{00000000-0005-0000-0000-0000797D0000}"/>
    <cellStyle name="40% - Accent4 5 4 3 3 3" xfId="30936" xr:uid="{00000000-0005-0000-0000-00007A7D0000}"/>
    <cellStyle name="40% - Accent4 5 4 3 4" xfId="13985" xr:uid="{00000000-0005-0000-0000-00007B7D0000}"/>
    <cellStyle name="40% - Accent4 5 4 3 4 2" xfId="36587" xr:uid="{00000000-0005-0000-0000-00007C7D0000}"/>
    <cellStyle name="40% - Accent4 5 4 3 5" xfId="25286" xr:uid="{00000000-0005-0000-0000-00007D7D0000}"/>
    <cellStyle name="40% - Accent4 5 4 4" xfId="4283" xr:uid="{00000000-0005-0000-0000-00007E7D0000}"/>
    <cellStyle name="40% - Accent4 5 4 4 2" xfId="9933" xr:uid="{00000000-0005-0000-0000-00007F7D0000}"/>
    <cellStyle name="40% - Accent4 5 4 4 2 2" xfId="21234" xr:uid="{00000000-0005-0000-0000-0000807D0000}"/>
    <cellStyle name="40% - Accent4 5 4 4 2 2 2" xfId="43836" xr:uid="{00000000-0005-0000-0000-0000817D0000}"/>
    <cellStyle name="40% - Accent4 5 4 4 2 3" xfId="32535" xr:uid="{00000000-0005-0000-0000-0000827D0000}"/>
    <cellStyle name="40% - Accent4 5 4 4 3" xfId="15584" xr:uid="{00000000-0005-0000-0000-0000837D0000}"/>
    <cellStyle name="40% - Accent4 5 4 4 3 2" xfId="38186" xr:uid="{00000000-0005-0000-0000-0000847D0000}"/>
    <cellStyle name="40% - Accent4 5 4 4 4" xfId="26885" xr:uid="{00000000-0005-0000-0000-0000857D0000}"/>
    <cellStyle name="40% - Accent4 5 4 5" xfId="7080" xr:uid="{00000000-0005-0000-0000-0000867D0000}"/>
    <cellStyle name="40% - Accent4 5 4 5 2" xfId="18381" xr:uid="{00000000-0005-0000-0000-0000877D0000}"/>
    <cellStyle name="40% - Accent4 5 4 5 2 2" xfId="40983" xr:uid="{00000000-0005-0000-0000-0000887D0000}"/>
    <cellStyle name="40% - Accent4 5 4 5 3" xfId="29682" xr:uid="{00000000-0005-0000-0000-0000897D0000}"/>
    <cellStyle name="40% - Accent4 5 4 6" xfId="12731" xr:uid="{00000000-0005-0000-0000-00008A7D0000}"/>
    <cellStyle name="40% - Accent4 5 4 6 2" xfId="35333" xr:uid="{00000000-0005-0000-0000-00008B7D0000}"/>
    <cellStyle name="40% - Accent4 5 4 7" xfId="24032" xr:uid="{00000000-0005-0000-0000-00008C7D0000}"/>
    <cellStyle name="40% - Accent4 5 5" xfId="781" xr:uid="{00000000-0005-0000-0000-00008D7D0000}"/>
    <cellStyle name="40% - Accent4 5 5 2" xfId="2862" xr:uid="{00000000-0005-0000-0000-00008E7D0000}"/>
    <cellStyle name="40% - Accent4 5 5 2 2" xfId="5834" xr:uid="{00000000-0005-0000-0000-00008F7D0000}"/>
    <cellStyle name="40% - Accent4 5 5 2 2 2" xfId="11484" xr:uid="{00000000-0005-0000-0000-0000907D0000}"/>
    <cellStyle name="40% - Accent4 5 5 2 2 2 2" xfId="22785" xr:uid="{00000000-0005-0000-0000-0000917D0000}"/>
    <cellStyle name="40% - Accent4 5 5 2 2 2 2 2" xfId="45387" xr:uid="{00000000-0005-0000-0000-0000927D0000}"/>
    <cellStyle name="40% - Accent4 5 5 2 2 2 3" xfId="34086" xr:uid="{00000000-0005-0000-0000-0000937D0000}"/>
    <cellStyle name="40% - Accent4 5 5 2 2 3" xfId="17135" xr:uid="{00000000-0005-0000-0000-0000947D0000}"/>
    <cellStyle name="40% - Accent4 5 5 2 2 3 2" xfId="39737" xr:uid="{00000000-0005-0000-0000-0000957D0000}"/>
    <cellStyle name="40% - Accent4 5 5 2 2 4" xfId="28436" xr:uid="{00000000-0005-0000-0000-0000967D0000}"/>
    <cellStyle name="40% - Accent4 5 5 2 3" xfId="8652" xr:uid="{00000000-0005-0000-0000-0000977D0000}"/>
    <cellStyle name="40% - Accent4 5 5 2 3 2" xfId="19953" xr:uid="{00000000-0005-0000-0000-0000987D0000}"/>
    <cellStyle name="40% - Accent4 5 5 2 3 2 2" xfId="42555" xr:uid="{00000000-0005-0000-0000-0000997D0000}"/>
    <cellStyle name="40% - Accent4 5 5 2 3 3" xfId="31254" xr:uid="{00000000-0005-0000-0000-00009A7D0000}"/>
    <cellStyle name="40% - Accent4 5 5 2 4" xfId="14303" xr:uid="{00000000-0005-0000-0000-00009B7D0000}"/>
    <cellStyle name="40% - Accent4 5 5 2 4 2" xfId="36905" xr:uid="{00000000-0005-0000-0000-00009C7D0000}"/>
    <cellStyle name="40% - Accent4 5 5 2 5" xfId="25604" xr:uid="{00000000-0005-0000-0000-00009D7D0000}"/>
    <cellStyle name="40% - Accent4 5 5 3" xfId="4600" xr:uid="{00000000-0005-0000-0000-00009E7D0000}"/>
    <cellStyle name="40% - Accent4 5 5 3 2" xfId="10250" xr:uid="{00000000-0005-0000-0000-00009F7D0000}"/>
    <cellStyle name="40% - Accent4 5 5 3 2 2" xfId="21551" xr:uid="{00000000-0005-0000-0000-0000A07D0000}"/>
    <cellStyle name="40% - Accent4 5 5 3 2 2 2" xfId="44153" xr:uid="{00000000-0005-0000-0000-0000A17D0000}"/>
    <cellStyle name="40% - Accent4 5 5 3 2 3" xfId="32852" xr:uid="{00000000-0005-0000-0000-0000A27D0000}"/>
    <cellStyle name="40% - Accent4 5 5 3 3" xfId="15901" xr:uid="{00000000-0005-0000-0000-0000A37D0000}"/>
    <cellStyle name="40% - Accent4 5 5 3 3 2" xfId="38503" xr:uid="{00000000-0005-0000-0000-0000A47D0000}"/>
    <cellStyle name="40% - Accent4 5 5 3 4" xfId="27202" xr:uid="{00000000-0005-0000-0000-0000A57D0000}"/>
    <cellStyle name="40% - Accent4 5 5 4" xfId="6786" xr:uid="{00000000-0005-0000-0000-0000A67D0000}"/>
    <cellStyle name="40% - Accent4 5 5 4 2" xfId="18087" xr:uid="{00000000-0005-0000-0000-0000A77D0000}"/>
    <cellStyle name="40% - Accent4 5 5 4 2 2" xfId="40689" xr:uid="{00000000-0005-0000-0000-0000A87D0000}"/>
    <cellStyle name="40% - Accent4 5 5 4 3" xfId="29388" xr:uid="{00000000-0005-0000-0000-0000A97D0000}"/>
    <cellStyle name="40% - Accent4 5 5 5" xfId="12437" xr:uid="{00000000-0005-0000-0000-0000AA7D0000}"/>
    <cellStyle name="40% - Accent4 5 5 5 2" xfId="35039" xr:uid="{00000000-0005-0000-0000-0000AB7D0000}"/>
    <cellStyle name="40% - Accent4 5 5 6" xfId="23738" xr:uid="{00000000-0005-0000-0000-0000AC7D0000}"/>
    <cellStyle name="40% - Accent4 5 6" xfId="1915" xr:uid="{00000000-0005-0000-0000-0000AD7D0000}"/>
    <cellStyle name="40% - Accent4 5 6 2" xfId="3729" xr:uid="{00000000-0005-0000-0000-0000AE7D0000}"/>
    <cellStyle name="40% - Accent4 5 6 2 2" xfId="9439" xr:uid="{00000000-0005-0000-0000-0000AF7D0000}"/>
    <cellStyle name="40% - Accent4 5 6 2 2 2" xfId="20740" xr:uid="{00000000-0005-0000-0000-0000B07D0000}"/>
    <cellStyle name="40% - Accent4 5 6 2 2 2 2" xfId="43342" xr:uid="{00000000-0005-0000-0000-0000B17D0000}"/>
    <cellStyle name="40% - Accent4 5 6 2 2 3" xfId="32041" xr:uid="{00000000-0005-0000-0000-0000B27D0000}"/>
    <cellStyle name="40% - Accent4 5 6 2 3" xfId="15090" xr:uid="{00000000-0005-0000-0000-0000B37D0000}"/>
    <cellStyle name="40% - Accent4 5 6 2 3 2" xfId="37692" xr:uid="{00000000-0005-0000-0000-0000B47D0000}"/>
    <cellStyle name="40% - Accent4 5 6 2 4" xfId="26391" xr:uid="{00000000-0005-0000-0000-0000B57D0000}"/>
    <cellStyle name="40% - Accent4 5 6 3" xfId="5210" xr:uid="{00000000-0005-0000-0000-0000B67D0000}"/>
    <cellStyle name="40% - Accent4 5 6 3 2" xfId="10860" xr:uid="{00000000-0005-0000-0000-0000B77D0000}"/>
    <cellStyle name="40% - Accent4 5 6 3 2 2" xfId="22161" xr:uid="{00000000-0005-0000-0000-0000B87D0000}"/>
    <cellStyle name="40% - Accent4 5 6 3 2 2 2" xfId="44763" xr:uid="{00000000-0005-0000-0000-0000B97D0000}"/>
    <cellStyle name="40% - Accent4 5 6 3 2 3" xfId="33462" xr:uid="{00000000-0005-0000-0000-0000BA7D0000}"/>
    <cellStyle name="40% - Accent4 5 6 3 3" xfId="16511" xr:uid="{00000000-0005-0000-0000-0000BB7D0000}"/>
    <cellStyle name="40% - Accent4 5 6 3 3 2" xfId="39113" xr:uid="{00000000-0005-0000-0000-0000BC7D0000}"/>
    <cellStyle name="40% - Accent4 5 6 3 4" xfId="27812" xr:uid="{00000000-0005-0000-0000-0000BD7D0000}"/>
    <cellStyle name="40% - Accent4 5 6 4" xfId="7771" xr:uid="{00000000-0005-0000-0000-0000BE7D0000}"/>
    <cellStyle name="40% - Accent4 5 6 4 2" xfId="19072" xr:uid="{00000000-0005-0000-0000-0000BF7D0000}"/>
    <cellStyle name="40% - Accent4 5 6 4 2 2" xfId="41674" xr:uid="{00000000-0005-0000-0000-0000C07D0000}"/>
    <cellStyle name="40% - Accent4 5 6 4 3" xfId="30373" xr:uid="{00000000-0005-0000-0000-0000C17D0000}"/>
    <cellStyle name="40% - Accent4 5 6 5" xfId="13422" xr:uid="{00000000-0005-0000-0000-0000C27D0000}"/>
    <cellStyle name="40% - Accent4 5 6 5 2" xfId="36024" xr:uid="{00000000-0005-0000-0000-0000C37D0000}"/>
    <cellStyle name="40% - Accent4 5 6 6" xfId="24723" xr:uid="{00000000-0005-0000-0000-0000C47D0000}"/>
    <cellStyle name="40% - Accent4 5 7" xfId="2183" xr:uid="{00000000-0005-0000-0000-0000C57D0000}"/>
    <cellStyle name="40% - Accent4 5 7 2" xfId="8024" xr:uid="{00000000-0005-0000-0000-0000C67D0000}"/>
    <cellStyle name="40% - Accent4 5 7 2 2" xfId="19325" xr:uid="{00000000-0005-0000-0000-0000C77D0000}"/>
    <cellStyle name="40% - Accent4 5 7 2 2 2" xfId="41927" xr:uid="{00000000-0005-0000-0000-0000C87D0000}"/>
    <cellStyle name="40% - Accent4 5 7 2 3" xfId="30626" xr:uid="{00000000-0005-0000-0000-0000C97D0000}"/>
    <cellStyle name="40% - Accent4 5 7 3" xfId="13675" xr:uid="{00000000-0005-0000-0000-0000CA7D0000}"/>
    <cellStyle name="40% - Accent4 5 7 3 2" xfId="36277" xr:uid="{00000000-0005-0000-0000-0000CB7D0000}"/>
    <cellStyle name="40% - Accent4 5 7 4" xfId="24976" xr:uid="{00000000-0005-0000-0000-0000CC7D0000}"/>
    <cellStyle name="40% - Accent4 5 8" xfId="3976" xr:uid="{00000000-0005-0000-0000-0000CD7D0000}"/>
    <cellStyle name="40% - Accent4 5 8 2" xfId="9626" xr:uid="{00000000-0005-0000-0000-0000CE7D0000}"/>
    <cellStyle name="40% - Accent4 5 8 2 2" xfId="20927" xr:uid="{00000000-0005-0000-0000-0000CF7D0000}"/>
    <cellStyle name="40% - Accent4 5 8 2 2 2" xfId="43529" xr:uid="{00000000-0005-0000-0000-0000D07D0000}"/>
    <cellStyle name="40% - Accent4 5 8 2 3" xfId="32228" xr:uid="{00000000-0005-0000-0000-0000D17D0000}"/>
    <cellStyle name="40% - Accent4 5 8 3" xfId="15277" xr:uid="{00000000-0005-0000-0000-0000D27D0000}"/>
    <cellStyle name="40% - Accent4 5 8 3 2" xfId="37879" xr:uid="{00000000-0005-0000-0000-0000D37D0000}"/>
    <cellStyle name="40% - Accent4 5 8 4" xfId="26578" xr:uid="{00000000-0005-0000-0000-0000D47D0000}"/>
    <cellStyle name="40% - Accent4 5 9" xfId="6427" xr:uid="{00000000-0005-0000-0000-0000D57D0000}"/>
    <cellStyle name="40% - Accent4 5 9 2" xfId="17728" xr:uid="{00000000-0005-0000-0000-0000D67D0000}"/>
    <cellStyle name="40% - Accent4 5 9 2 2" xfId="40330" xr:uid="{00000000-0005-0000-0000-0000D77D0000}"/>
    <cellStyle name="40% - Accent4 5 9 3" xfId="29029" xr:uid="{00000000-0005-0000-0000-0000D87D0000}"/>
    <cellStyle name="40% - Accent4 6" xfId="237" xr:uid="{00000000-0005-0000-0000-0000D97D0000}"/>
    <cellStyle name="40% - Accent4 7" xfId="338" xr:uid="{00000000-0005-0000-0000-0000DA7D0000}"/>
    <cellStyle name="40% - Accent4 7 10" xfId="23433" xr:uid="{00000000-0005-0000-0000-0000DB7D0000}"/>
    <cellStyle name="40% - Accent4 7 2" xfId="583" xr:uid="{00000000-0005-0000-0000-0000DC7D0000}"/>
    <cellStyle name="40% - Accent4 7 2 2" xfId="1293" xr:uid="{00000000-0005-0000-0000-0000DD7D0000}"/>
    <cellStyle name="40% - Accent4 7 2 2 2" xfId="1925" xr:uid="{00000000-0005-0000-0000-0000DE7D0000}"/>
    <cellStyle name="40% - Accent4 7 2 2 2 2" xfId="3362" xr:uid="{00000000-0005-0000-0000-0000DF7D0000}"/>
    <cellStyle name="40% - Accent4 7 2 2 2 2 2" xfId="6334" xr:uid="{00000000-0005-0000-0000-0000E07D0000}"/>
    <cellStyle name="40% - Accent4 7 2 2 2 2 2 2" xfId="11984" xr:uid="{00000000-0005-0000-0000-0000E17D0000}"/>
    <cellStyle name="40% - Accent4 7 2 2 2 2 2 2 2" xfId="23285" xr:uid="{00000000-0005-0000-0000-0000E27D0000}"/>
    <cellStyle name="40% - Accent4 7 2 2 2 2 2 2 2 2" xfId="45887" xr:uid="{00000000-0005-0000-0000-0000E37D0000}"/>
    <cellStyle name="40% - Accent4 7 2 2 2 2 2 2 3" xfId="34586" xr:uid="{00000000-0005-0000-0000-0000E47D0000}"/>
    <cellStyle name="40% - Accent4 7 2 2 2 2 2 3" xfId="17635" xr:uid="{00000000-0005-0000-0000-0000E57D0000}"/>
    <cellStyle name="40% - Accent4 7 2 2 2 2 2 3 2" xfId="40237" xr:uid="{00000000-0005-0000-0000-0000E67D0000}"/>
    <cellStyle name="40% - Accent4 7 2 2 2 2 2 4" xfId="28936" xr:uid="{00000000-0005-0000-0000-0000E77D0000}"/>
    <cellStyle name="40% - Accent4 7 2 2 2 2 3" xfId="9152" xr:uid="{00000000-0005-0000-0000-0000E87D0000}"/>
    <cellStyle name="40% - Accent4 7 2 2 2 2 3 2" xfId="20453" xr:uid="{00000000-0005-0000-0000-0000E97D0000}"/>
    <cellStyle name="40% - Accent4 7 2 2 2 2 3 2 2" xfId="43055" xr:uid="{00000000-0005-0000-0000-0000EA7D0000}"/>
    <cellStyle name="40% - Accent4 7 2 2 2 2 3 3" xfId="31754" xr:uid="{00000000-0005-0000-0000-0000EB7D0000}"/>
    <cellStyle name="40% - Accent4 7 2 2 2 2 4" xfId="14803" xr:uid="{00000000-0005-0000-0000-0000EC7D0000}"/>
    <cellStyle name="40% - Accent4 7 2 2 2 2 4 2" xfId="37405" xr:uid="{00000000-0005-0000-0000-0000ED7D0000}"/>
    <cellStyle name="40% - Accent4 7 2 2 2 2 5" xfId="26104" xr:uid="{00000000-0005-0000-0000-0000EE7D0000}"/>
    <cellStyle name="40% - Accent4 7 2 2 2 3" xfId="5100" xr:uid="{00000000-0005-0000-0000-0000EF7D0000}"/>
    <cellStyle name="40% - Accent4 7 2 2 2 3 2" xfId="10750" xr:uid="{00000000-0005-0000-0000-0000F07D0000}"/>
    <cellStyle name="40% - Accent4 7 2 2 2 3 2 2" xfId="22051" xr:uid="{00000000-0005-0000-0000-0000F17D0000}"/>
    <cellStyle name="40% - Accent4 7 2 2 2 3 2 2 2" xfId="44653" xr:uid="{00000000-0005-0000-0000-0000F27D0000}"/>
    <cellStyle name="40% - Accent4 7 2 2 2 3 2 3" xfId="33352" xr:uid="{00000000-0005-0000-0000-0000F37D0000}"/>
    <cellStyle name="40% - Accent4 7 2 2 2 3 3" xfId="16401" xr:uid="{00000000-0005-0000-0000-0000F47D0000}"/>
    <cellStyle name="40% - Accent4 7 2 2 2 3 3 2" xfId="39003" xr:uid="{00000000-0005-0000-0000-0000F57D0000}"/>
    <cellStyle name="40% - Accent4 7 2 2 2 3 4" xfId="27702" xr:uid="{00000000-0005-0000-0000-0000F67D0000}"/>
    <cellStyle name="40% - Accent4 7 2 2 2 4" xfId="7781" xr:uid="{00000000-0005-0000-0000-0000F77D0000}"/>
    <cellStyle name="40% - Accent4 7 2 2 2 4 2" xfId="19082" xr:uid="{00000000-0005-0000-0000-0000F87D0000}"/>
    <cellStyle name="40% - Accent4 7 2 2 2 4 2 2" xfId="41684" xr:uid="{00000000-0005-0000-0000-0000F97D0000}"/>
    <cellStyle name="40% - Accent4 7 2 2 2 4 3" xfId="30383" xr:uid="{00000000-0005-0000-0000-0000FA7D0000}"/>
    <cellStyle name="40% - Accent4 7 2 2 2 5" xfId="13432" xr:uid="{00000000-0005-0000-0000-0000FB7D0000}"/>
    <cellStyle name="40% - Accent4 7 2 2 2 5 2" xfId="36034" xr:uid="{00000000-0005-0000-0000-0000FC7D0000}"/>
    <cellStyle name="40% - Accent4 7 2 2 2 6" xfId="24733" xr:uid="{00000000-0005-0000-0000-0000FD7D0000}"/>
    <cellStyle name="40% - Accent4 7 2 2 3" xfId="2691" xr:uid="{00000000-0005-0000-0000-0000FE7D0000}"/>
    <cellStyle name="40% - Accent4 7 2 2 3 2" xfId="5710" xr:uid="{00000000-0005-0000-0000-0000FF7D0000}"/>
    <cellStyle name="40% - Accent4 7 2 2 3 2 2" xfId="11360" xr:uid="{00000000-0005-0000-0000-0000007E0000}"/>
    <cellStyle name="40% - Accent4 7 2 2 3 2 2 2" xfId="22661" xr:uid="{00000000-0005-0000-0000-0000017E0000}"/>
    <cellStyle name="40% - Accent4 7 2 2 3 2 2 2 2" xfId="45263" xr:uid="{00000000-0005-0000-0000-0000027E0000}"/>
    <cellStyle name="40% - Accent4 7 2 2 3 2 2 3" xfId="33962" xr:uid="{00000000-0005-0000-0000-0000037E0000}"/>
    <cellStyle name="40% - Accent4 7 2 2 3 2 3" xfId="17011" xr:uid="{00000000-0005-0000-0000-0000047E0000}"/>
    <cellStyle name="40% - Accent4 7 2 2 3 2 3 2" xfId="39613" xr:uid="{00000000-0005-0000-0000-0000057E0000}"/>
    <cellStyle name="40% - Accent4 7 2 2 3 2 4" xfId="28312" xr:uid="{00000000-0005-0000-0000-0000067E0000}"/>
    <cellStyle name="40% - Accent4 7 2 2 3 3" xfId="8527" xr:uid="{00000000-0005-0000-0000-0000077E0000}"/>
    <cellStyle name="40% - Accent4 7 2 2 3 3 2" xfId="19828" xr:uid="{00000000-0005-0000-0000-0000087E0000}"/>
    <cellStyle name="40% - Accent4 7 2 2 3 3 2 2" xfId="42430" xr:uid="{00000000-0005-0000-0000-0000097E0000}"/>
    <cellStyle name="40% - Accent4 7 2 2 3 3 3" xfId="31129" xr:uid="{00000000-0005-0000-0000-00000A7E0000}"/>
    <cellStyle name="40% - Accent4 7 2 2 3 4" xfId="14178" xr:uid="{00000000-0005-0000-0000-00000B7E0000}"/>
    <cellStyle name="40% - Accent4 7 2 2 3 4 2" xfId="36780" xr:uid="{00000000-0005-0000-0000-00000C7E0000}"/>
    <cellStyle name="40% - Accent4 7 2 2 3 5" xfId="25479" xr:uid="{00000000-0005-0000-0000-00000D7E0000}"/>
    <cellStyle name="40% - Accent4 7 2 2 4" xfId="4476" xr:uid="{00000000-0005-0000-0000-00000E7E0000}"/>
    <cellStyle name="40% - Accent4 7 2 2 4 2" xfId="10126" xr:uid="{00000000-0005-0000-0000-00000F7E0000}"/>
    <cellStyle name="40% - Accent4 7 2 2 4 2 2" xfId="21427" xr:uid="{00000000-0005-0000-0000-0000107E0000}"/>
    <cellStyle name="40% - Accent4 7 2 2 4 2 2 2" xfId="44029" xr:uid="{00000000-0005-0000-0000-0000117E0000}"/>
    <cellStyle name="40% - Accent4 7 2 2 4 2 3" xfId="32728" xr:uid="{00000000-0005-0000-0000-0000127E0000}"/>
    <cellStyle name="40% - Accent4 7 2 2 4 3" xfId="15777" xr:uid="{00000000-0005-0000-0000-0000137E0000}"/>
    <cellStyle name="40% - Accent4 7 2 2 4 3 2" xfId="38379" xr:uid="{00000000-0005-0000-0000-0000147E0000}"/>
    <cellStyle name="40% - Accent4 7 2 2 4 4" xfId="27078" xr:uid="{00000000-0005-0000-0000-0000157E0000}"/>
    <cellStyle name="40% - Accent4 7 2 2 5" xfId="7272" xr:uid="{00000000-0005-0000-0000-0000167E0000}"/>
    <cellStyle name="40% - Accent4 7 2 2 5 2" xfId="18573" xr:uid="{00000000-0005-0000-0000-0000177E0000}"/>
    <cellStyle name="40% - Accent4 7 2 2 5 2 2" xfId="41175" xr:uid="{00000000-0005-0000-0000-0000187E0000}"/>
    <cellStyle name="40% - Accent4 7 2 2 5 3" xfId="29874" xr:uid="{00000000-0005-0000-0000-0000197E0000}"/>
    <cellStyle name="40% - Accent4 7 2 2 6" xfId="12923" xr:uid="{00000000-0005-0000-0000-00001A7E0000}"/>
    <cellStyle name="40% - Accent4 7 2 2 6 2" xfId="35525" xr:uid="{00000000-0005-0000-0000-00001B7E0000}"/>
    <cellStyle name="40% - Accent4 7 2 2 7" xfId="24224" xr:uid="{00000000-0005-0000-0000-00001C7E0000}"/>
    <cellStyle name="40% - Accent4 7 2 3" xfId="991" xr:uid="{00000000-0005-0000-0000-00001D7E0000}"/>
    <cellStyle name="40% - Accent4 7 2 3 2" xfId="3054" xr:uid="{00000000-0005-0000-0000-00001E7E0000}"/>
    <cellStyle name="40% - Accent4 7 2 3 2 2" xfId="6026" xr:uid="{00000000-0005-0000-0000-00001F7E0000}"/>
    <cellStyle name="40% - Accent4 7 2 3 2 2 2" xfId="11676" xr:uid="{00000000-0005-0000-0000-0000207E0000}"/>
    <cellStyle name="40% - Accent4 7 2 3 2 2 2 2" xfId="22977" xr:uid="{00000000-0005-0000-0000-0000217E0000}"/>
    <cellStyle name="40% - Accent4 7 2 3 2 2 2 2 2" xfId="45579" xr:uid="{00000000-0005-0000-0000-0000227E0000}"/>
    <cellStyle name="40% - Accent4 7 2 3 2 2 2 3" xfId="34278" xr:uid="{00000000-0005-0000-0000-0000237E0000}"/>
    <cellStyle name="40% - Accent4 7 2 3 2 2 3" xfId="17327" xr:uid="{00000000-0005-0000-0000-0000247E0000}"/>
    <cellStyle name="40% - Accent4 7 2 3 2 2 3 2" xfId="39929" xr:uid="{00000000-0005-0000-0000-0000257E0000}"/>
    <cellStyle name="40% - Accent4 7 2 3 2 2 4" xfId="28628" xr:uid="{00000000-0005-0000-0000-0000267E0000}"/>
    <cellStyle name="40% - Accent4 7 2 3 2 3" xfId="8844" xr:uid="{00000000-0005-0000-0000-0000277E0000}"/>
    <cellStyle name="40% - Accent4 7 2 3 2 3 2" xfId="20145" xr:uid="{00000000-0005-0000-0000-0000287E0000}"/>
    <cellStyle name="40% - Accent4 7 2 3 2 3 2 2" xfId="42747" xr:uid="{00000000-0005-0000-0000-0000297E0000}"/>
    <cellStyle name="40% - Accent4 7 2 3 2 3 3" xfId="31446" xr:uid="{00000000-0005-0000-0000-00002A7E0000}"/>
    <cellStyle name="40% - Accent4 7 2 3 2 4" xfId="14495" xr:uid="{00000000-0005-0000-0000-00002B7E0000}"/>
    <cellStyle name="40% - Accent4 7 2 3 2 4 2" xfId="37097" xr:uid="{00000000-0005-0000-0000-00002C7E0000}"/>
    <cellStyle name="40% - Accent4 7 2 3 2 5" xfId="25796" xr:uid="{00000000-0005-0000-0000-00002D7E0000}"/>
    <cellStyle name="40% - Accent4 7 2 3 3" xfId="4792" xr:uid="{00000000-0005-0000-0000-00002E7E0000}"/>
    <cellStyle name="40% - Accent4 7 2 3 3 2" xfId="10442" xr:uid="{00000000-0005-0000-0000-00002F7E0000}"/>
    <cellStyle name="40% - Accent4 7 2 3 3 2 2" xfId="21743" xr:uid="{00000000-0005-0000-0000-0000307E0000}"/>
    <cellStyle name="40% - Accent4 7 2 3 3 2 2 2" xfId="44345" xr:uid="{00000000-0005-0000-0000-0000317E0000}"/>
    <cellStyle name="40% - Accent4 7 2 3 3 2 3" xfId="33044" xr:uid="{00000000-0005-0000-0000-0000327E0000}"/>
    <cellStyle name="40% - Accent4 7 2 3 3 3" xfId="16093" xr:uid="{00000000-0005-0000-0000-0000337E0000}"/>
    <cellStyle name="40% - Accent4 7 2 3 3 3 2" xfId="38695" xr:uid="{00000000-0005-0000-0000-0000347E0000}"/>
    <cellStyle name="40% - Accent4 7 2 3 3 4" xfId="27394" xr:uid="{00000000-0005-0000-0000-0000357E0000}"/>
    <cellStyle name="40% - Accent4 7 2 3 4" xfId="6979" xr:uid="{00000000-0005-0000-0000-0000367E0000}"/>
    <cellStyle name="40% - Accent4 7 2 3 4 2" xfId="18280" xr:uid="{00000000-0005-0000-0000-0000377E0000}"/>
    <cellStyle name="40% - Accent4 7 2 3 4 2 2" xfId="40882" xr:uid="{00000000-0005-0000-0000-0000387E0000}"/>
    <cellStyle name="40% - Accent4 7 2 3 4 3" xfId="29581" xr:uid="{00000000-0005-0000-0000-0000397E0000}"/>
    <cellStyle name="40% - Accent4 7 2 3 5" xfId="12630" xr:uid="{00000000-0005-0000-0000-00003A7E0000}"/>
    <cellStyle name="40% - Accent4 7 2 3 5 2" xfId="35232" xr:uid="{00000000-0005-0000-0000-00003B7E0000}"/>
    <cellStyle name="40% - Accent4 7 2 3 6" xfId="23931" xr:uid="{00000000-0005-0000-0000-00003C7E0000}"/>
    <cellStyle name="40% - Accent4 7 2 4" xfId="1924" xr:uid="{00000000-0005-0000-0000-00003D7E0000}"/>
    <cellStyle name="40% - Accent4 7 2 4 2" xfId="3734" xr:uid="{00000000-0005-0000-0000-00003E7E0000}"/>
    <cellStyle name="40% - Accent4 7 2 4 2 2" xfId="9444" xr:uid="{00000000-0005-0000-0000-00003F7E0000}"/>
    <cellStyle name="40% - Accent4 7 2 4 2 2 2" xfId="20745" xr:uid="{00000000-0005-0000-0000-0000407E0000}"/>
    <cellStyle name="40% - Accent4 7 2 4 2 2 2 2" xfId="43347" xr:uid="{00000000-0005-0000-0000-0000417E0000}"/>
    <cellStyle name="40% - Accent4 7 2 4 2 2 3" xfId="32046" xr:uid="{00000000-0005-0000-0000-0000427E0000}"/>
    <cellStyle name="40% - Accent4 7 2 4 2 3" xfId="15095" xr:uid="{00000000-0005-0000-0000-0000437E0000}"/>
    <cellStyle name="40% - Accent4 7 2 4 2 3 2" xfId="37697" xr:uid="{00000000-0005-0000-0000-0000447E0000}"/>
    <cellStyle name="40% - Accent4 7 2 4 2 4" xfId="26396" xr:uid="{00000000-0005-0000-0000-0000457E0000}"/>
    <cellStyle name="40% - Accent4 7 2 4 3" xfId="5402" xr:uid="{00000000-0005-0000-0000-0000467E0000}"/>
    <cellStyle name="40% - Accent4 7 2 4 3 2" xfId="11052" xr:uid="{00000000-0005-0000-0000-0000477E0000}"/>
    <cellStyle name="40% - Accent4 7 2 4 3 2 2" xfId="22353" xr:uid="{00000000-0005-0000-0000-0000487E0000}"/>
    <cellStyle name="40% - Accent4 7 2 4 3 2 2 2" xfId="44955" xr:uid="{00000000-0005-0000-0000-0000497E0000}"/>
    <cellStyle name="40% - Accent4 7 2 4 3 2 3" xfId="33654" xr:uid="{00000000-0005-0000-0000-00004A7E0000}"/>
    <cellStyle name="40% - Accent4 7 2 4 3 3" xfId="16703" xr:uid="{00000000-0005-0000-0000-00004B7E0000}"/>
    <cellStyle name="40% - Accent4 7 2 4 3 3 2" xfId="39305" xr:uid="{00000000-0005-0000-0000-00004C7E0000}"/>
    <cellStyle name="40% - Accent4 7 2 4 3 4" xfId="28004" xr:uid="{00000000-0005-0000-0000-00004D7E0000}"/>
    <cellStyle name="40% - Accent4 7 2 4 4" xfId="7780" xr:uid="{00000000-0005-0000-0000-00004E7E0000}"/>
    <cellStyle name="40% - Accent4 7 2 4 4 2" xfId="19081" xr:uid="{00000000-0005-0000-0000-00004F7E0000}"/>
    <cellStyle name="40% - Accent4 7 2 4 4 2 2" xfId="41683" xr:uid="{00000000-0005-0000-0000-0000507E0000}"/>
    <cellStyle name="40% - Accent4 7 2 4 4 3" xfId="30382" xr:uid="{00000000-0005-0000-0000-0000517E0000}"/>
    <cellStyle name="40% - Accent4 7 2 4 5" xfId="13431" xr:uid="{00000000-0005-0000-0000-0000527E0000}"/>
    <cellStyle name="40% - Accent4 7 2 4 5 2" xfId="36033" xr:uid="{00000000-0005-0000-0000-0000537E0000}"/>
    <cellStyle name="40% - Accent4 7 2 4 6" xfId="24732" xr:uid="{00000000-0005-0000-0000-0000547E0000}"/>
    <cellStyle name="40% - Accent4 7 2 5" xfId="2383" xr:uid="{00000000-0005-0000-0000-0000557E0000}"/>
    <cellStyle name="40% - Accent4 7 2 5 2" xfId="8219" xr:uid="{00000000-0005-0000-0000-0000567E0000}"/>
    <cellStyle name="40% - Accent4 7 2 5 2 2" xfId="19520" xr:uid="{00000000-0005-0000-0000-0000577E0000}"/>
    <cellStyle name="40% - Accent4 7 2 5 2 2 2" xfId="42122" xr:uid="{00000000-0005-0000-0000-0000587E0000}"/>
    <cellStyle name="40% - Accent4 7 2 5 2 3" xfId="30821" xr:uid="{00000000-0005-0000-0000-0000597E0000}"/>
    <cellStyle name="40% - Accent4 7 2 5 3" xfId="13870" xr:uid="{00000000-0005-0000-0000-00005A7E0000}"/>
    <cellStyle name="40% - Accent4 7 2 5 3 2" xfId="36472" xr:uid="{00000000-0005-0000-0000-00005B7E0000}"/>
    <cellStyle name="40% - Accent4 7 2 5 4" xfId="25171" xr:uid="{00000000-0005-0000-0000-00005C7E0000}"/>
    <cellStyle name="40% - Accent4 7 2 6" xfId="4168" xr:uid="{00000000-0005-0000-0000-00005D7E0000}"/>
    <cellStyle name="40% - Accent4 7 2 6 2" xfId="9818" xr:uid="{00000000-0005-0000-0000-00005E7E0000}"/>
    <cellStyle name="40% - Accent4 7 2 6 2 2" xfId="21119" xr:uid="{00000000-0005-0000-0000-00005F7E0000}"/>
    <cellStyle name="40% - Accent4 7 2 6 2 2 2" xfId="43721" xr:uid="{00000000-0005-0000-0000-0000607E0000}"/>
    <cellStyle name="40% - Accent4 7 2 6 2 3" xfId="32420" xr:uid="{00000000-0005-0000-0000-0000617E0000}"/>
    <cellStyle name="40% - Accent4 7 2 6 3" xfId="15469" xr:uid="{00000000-0005-0000-0000-0000627E0000}"/>
    <cellStyle name="40% - Accent4 7 2 6 3 2" xfId="38071" xr:uid="{00000000-0005-0000-0000-0000637E0000}"/>
    <cellStyle name="40% - Accent4 7 2 6 4" xfId="26770" xr:uid="{00000000-0005-0000-0000-0000647E0000}"/>
    <cellStyle name="40% - Accent4 7 2 7" xfId="6648" xr:uid="{00000000-0005-0000-0000-0000657E0000}"/>
    <cellStyle name="40% - Accent4 7 2 7 2" xfId="17949" xr:uid="{00000000-0005-0000-0000-0000667E0000}"/>
    <cellStyle name="40% - Accent4 7 2 7 2 2" xfId="40551" xr:uid="{00000000-0005-0000-0000-0000677E0000}"/>
    <cellStyle name="40% - Accent4 7 2 7 3" xfId="29250" xr:uid="{00000000-0005-0000-0000-0000687E0000}"/>
    <cellStyle name="40% - Accent4 7 2 8" xfId="12299" xr:uid="{00000000-0005-0000-0000-0000697E0000}"/>
    <cellStyle name="40% - Accent4 7 2 8 2" xfId="34901" xr:uid="{00000000-0005-0000-0000-00006A7E0000}"/>
    <cellStyle name="40% - Accent4 7 2 9" xfId="23600" xr:uid="{00000000-0005-0000-0000-00006B7E0000}"/>
    <cellStyle name="40% - Accent4 7 3" xfId="1155" xr:uid="{00000000-0005-0000-0000-00006C7E0000}"/>
    <cellStyle name="40% - Accent4 7 3 2" xfId="1926" xr:uid="{00000000-0005-0000-0000-00006D7E0000}"/>
    <cellStyle name="40% - Accent4 7 3 2 2" xfId="3223" xr:uid="{00000000-0005-0000-0000-00006E7E0000}"/>
    <cellStyle name="40% - Accent4 7 3 2 2 2" xfId="6195" xr:uid="{00000000-0005-0000-0000-00006F7E0000}"/>
    <cellStyle name="40% - Accent4 7 3 2 2 2 2" xfId="11845" xr:uid="{00000000-0005-0000-0000-0000707E0000}"/>
    <cellStyle name="40% - Accent4 7 3 2 2 2 2 2" xfId="23146" xr:uid="{00000000-0005-0000-0000-0000717E0000}"/>
    <cellStyle name="40% - Accent4 7 3 2 2 2 2 2 2" xfId="45748" xr:uid="{00000000-0005-0000-0000-0000727E0000}"/>
    <cellStyle name="40% - Accent4 7 3 2 2 2 2 3" xfId="34447" xr:uid="{00000000-0005-0000-0000-0000737E0000}"/>
    <cellStyle name="40% - Accent4 7 3 2 2 2 3" xfId="17496" xr:uid="{00000000-0005-0000-0000-0000747E0000}"/>
    <cellStyle name="40% - Accent4 7 3 2 2 2 3 2" xfId="40098" xr:uid="{00000000-0005-0000-0000-0000757E0000}"/>
    <cellStyle name="40% - Accent4 7 3 2 2 2 4" xfId="28797" xr:uid="{00000000-0005-0000-0000-0000767E0000}"/>
    <cellStyle name="40% - Accent4 7 3 2 2 3" xfId="9013" xr:uid="{00000000-0005-0000-0000-0000777E0000}"/>
    <cellStyle name="40% - Accent4 7 3 2 2 3 2" xfId="20314" xr:uid="{00000000-0005-0000-0000-0000787E0000}"/>
    <cellStyle name="40% - Accent4 7 3 2 2 3 2 2" xfId="42916" xr:uid="{00000000-0005-0000-0000-0000797E0000}"/>
    <cellStyle name="40% - Accent4 7 3 2 2 3 3" xfId="31615" xr:uid="{00000000-0005-0000-0000-00007A7E0000}"/>
    <cellStyle name="40% - Accent4 7 3 2 2 4" xfId="14664" xr:uid="{00000000-0005-0000-0000-00007B7E0000}"/>
    <cellStyle name="40% - Accent4 7 3 2 2 4 2" xfId="37266" xr:uid="{00000000-0005-0000-0000-00007C7E0000}"/>
    <cellStyle name="40% - Accent4 7 3 2 2 5" xfId="25965" xr:uid="{00000000-0005-0000-0000-00007D7E0000}"/>
    <cellStyle name="40% - Accent4 7 3 2 3" xfId="4961" xr:uid="{00000000-0005-0000-0000-00007E7E0000}"/>
    <cellStyle name="40% - Accent4 7 3 2 3 2" xfId="10611" xr:uid="{00000000-0005-0000-0000-00007F7E0000}"/>
    <cellStyle name="40% - Accent4 7 3 2 3 2 2" xfId="21912" xr:uid="{00000000-0005-0000-0000-0000807E0000}"/>
    <cellStyle name="40% - Accent4 7 3 2 3 2 2 2" xfId="44514" xr:uid="{00000000-0005-0000-0000-0000817E0000}"/>
    <cellStyle name="40% - Accent4 7 3 2 3 2 3" xfId="33213" xr:uid="{00000000-0005-0000-0000-0000827E0000}"/>
    <cellStyle name="40% - Accent4 7 3 2 3 3" xfId="16262" xr:uid="{00000000-0005-0000-0000-0000837E0000}"/>
    <cellStyle name="40% - Accent4 7 3 2 3 3 2" xfId="38864" xr:uid="{00000000-0005-0000-0000-0000847E0000}"/>
    <cellStyle name="40% - Accent4 7 3 2 3 4" xfId="27563" xr:uid="{00000000-0005-0000-0000-0000857E0000}"/>
    <cellStyle name="40% - Accent4 7 3 2 4" xfId="7782" xr:uid="{00000000-0005-0000-0000-0000867E0000}"/>
    <cellStyle name="40% - Accent4 7 3 2 4 2" xfId="19083" xr:uid="{00000000-0005-0000-0000-0000877E0000}"/>
    <cellStyle name="40% - Accent4 7 3 2 4 2 2" xfId="41685" xr:uid="{00000000-0005-0000-0000-0000887E0000}"/>
    <cellStyle name="40% - Accent4 7 3 2 4 3" xfId="30384" xr:uid="{00000000-0005-0000-0000-0000897E0000}"/>
    <cellStyle name="40% - Accent4 7 3 2 5" xfId="13433" xr:uid="{00000000-0005-0000-0000-00008A7E0000}"/>
    <cellStyle name="40% - Accent4 7 3 2 5 2" xfId="36035" xr:uid="{00000000-0005-0000-0000-00008B7E0000}"/>
    <cellStyle name="40% - Accent4 7 3 2 6" xfId="24734" xr:uid="{00000000-0005-0000-0000-00008C7E0000}"/>
    <cellStyle name="40% - Accent4 7 3 3" xfId="2552" xr:uid="{00000000-0005-0000-0000-00008D7E0000}"/>
    <cellStyle name="40% - Accent4 7 3 3 2" xfId="5571" xr:uid="{00000000-0005-0000-0000-00008E7E0000}"/>
    <cellStyle name="40% - Accent4 7 3 3 2 2" xfId="11221" xr:uid="{00000000-0005-0000-0000-00008F7E0000}"/>
    <cellStyle name="40% - Accent4 7 3 3 2 2 2" xfId="22522" xr:uid="{00000000-0005-0000-0000-0000907E0000}"/>
    <cellStyle name="40% - Accent4 7 3 3 2 2 2 2" xfId="45124" xr:uid="{00000000-0005-0000-0000-0000917E0000}"/>
    <cellStyle name="40% - Accent4 7 3 3 2 2 3" xfId="33823" xr:uid="{00000000-0005-0000-0000-0000927E0000}"/>
    <cellStyle name="40% - Accent4 7 3 3 2 3" xfId="16872" xr:uid="{00000000-0005-0000-0000-0000937E0000}"/>
    <cellStyle name="40% - Accent4 7 3 3 2 3 2" xfId="39474" xr:uid="{00000000-0005-0000-0000-0000947E0000}"/>
    <cellStyle name="40% - Accent4 7 3 3 2 4" xfId="28173" xr:uid="{00000000-0005-0000-0000-0000957E0000}"/>
    <cellStyle name="40% - Accent4 7 3 3 3" xfId="8388" xr:uid="{00000000-0005-0000-0000-0000967E0000}"/>
    <cellStyle name="40% - Accent4 7 3 3 3 2" xfId="19689" xr:uid="{00000000-0005-0000-0000-0000977E0000}"/>
    <cellStyle name="40% - Accent4 7 3 3 3 2 2" xfId="42291" xr:uid="{00000000-0005-0000-0000-0000987E0000}"/>
    <cellStyle name="40% - Accent4 7 3 3 3 3" xfId="30990" xr:uid="{00000000-0005-0000-0000-0000997E0000}"/>
    <cellStyle name="40% - Accent4 7 3 3 4" xfId="14039" xr:uid="{00000000-0005-0000-0000-00009A7E0000}"/>
    <cellStyle name="40% - Accent4 7 3 3 4 2" xfId="36641" xr:uid="{00000000-0005-0000-0000-00009B7E0000}"/>
    <cellStyle name="40% - Accent4 7 3 3 5" xfId="25340" xr:uid="{00000000-0005-0000-0000-00009C7E0000}"/>
    <cellStyle name="40% - Accent4 7 3 4" xfId="4337" xr:uid="{00000000-0005-0000-0000-00009D7E0000}"/>
    <cellStyle name="40% - Accent4 7 3 4 2" xfId="9987" xr:uid="{00000000-0005-0000-0000-00009E7E0000}"/>
    <cellStyle name="40% - Accent4 7 3 4 2 2" xfId="21288" xr:uid="{00000000-0005-0000-0000-00009F7E0000}"/>
    <cellStyle name="40% - Accent4 7 3 4 2 2 2" xfId="43890" xr:uid="{00000000-0005-0000-0000-0000A07E0000}"/>
    <cellStyle name="40% - Accent4 7 3 4 2 3" xfId="32589" xr:uid="{00000000-0005-0000-0000-0000A17E0000}"/>
    <cellStyle name="40% - Accent4 7 3 4 3" xfId="15638" xr:uid="{00000000-0005-0000-0000-0000A27E0000}"/>
    <cellStyle name="40% - Accent4 7 3 4 3 2" xfId="38240" xr:uid="{00000000-0005-0000-0000-0000A37E0000}"/>
    <cellStyle name="40% - Accent4 7 3 4 4" xfId="26939" xr:uid="{00000000-0005-0000-0000-0000A47E0000}"/>
    <cellStyle name="40% - Accent4 7 3 5" xfId="7134" xr:uid="{00000000-0005-0000-0000-0000A57E0000}"/>
    <cellStyle name="40% - Accent4 7 3 5 2" xfId="18435" xr:uid="{00000000-0005-0000-0000-0000A67E0000}"/>
    <cellStyle name="40% - Accent4 7 3 5 2 2" xfId="41037" xr:uid="{00000000-0005-0000-0000-0000A77E0000}"/>
    <cellStyle name="40% - Accent4 7 3 5 3" xfId="29736" xr:uid="{00000000-0005-0000-0000-0000A87E0000}"/>
    <cellStyle name="40% - Accent4 7 3 6" xfId="12785" xr:uid="{00000000-0005-0000-0000-0000A97E0000}"/>
    <cellStyle name="40% - Accent4 7 3 6 2" xfId="35387" xr:uid="{00000000-0005-0000-0000-0000AA7E0000}"/>
    <cellStyle name="40% - Accent4 7 3 7" xfId="24086" xr:uid="{00000000-0005-0000-0000-0000AB7E0000}"/>
    <cellStyle name="40% - Accent4 7 4" xfId="846" xr:uid="{00000000-0005-0000-0000-0000AC7E0000}"/>
    <cellStyle name="40% - Accent4 7 4 2" xfId="2916" xr:uid="{00000000-0005-0000-0000-0000AD7E0000}"/>
    <cellStyle name="40% - Accent4 7 4 2 2" xfId="5888" xr:uid="{00000000-0005-0000-0000-0000AE7E0000}"/>
    <cellStyle name="40% - Accent4 7 4 2 2 2" xfId="11538" xr:uid="{00000000-0005-0000-0000-0000AF7E0000}"/>
    <cellStyle name="40% - Accent4 7 4 2 2 2 2" xfId="22839" xr:uid="{00000000-0005-0000-0000-0000B07E0000}"/>
    <cellStyle name="40% - Accent4 7 4 2 2 2 2 2" xfId="45441" xr:uid="{00000000-0005-0000-0000-0000B17E0000}"/>
    <cellStyle name="40% - Accent4 7 4 2 2 2 3" xfId="34140" xr:uid="{00000000-0005-0000-0000-0000B27E0000}"/>
    <cellStyle name="40% - Accent4 7 4 2 2 3" xfId="17189" xr:uid="{00000000-0005-0000-0000-0000B37E0000}"/>
    <cellStyle name="40% - Accent4 7 4 2 2 3 2" xfId="39791" xr:uid="{00000000-0005-0000-0000-0000B47E0000}"/>
    <cellStyle name="40% - Accent4 7 4 2 2 4" xfId="28490" xr:uid="{00000000-0005-0000-0000-0000B57E0000}"/>
    <cellStyle name="40% - Accent4 7 4 2 3" xfId="8706" xr:uid="{00000000-0005-0000-0000-0000B67E0000}"/>
    <cellStyle name="40% - Accent4 7 4 2 3 2" xfId="20007" xr:uid="{00000000-0005-0000-0000-0000B77E0000}"/>
    <cellStyle name="40% - Accent4 7 4 2 3 2 2" xfId="42609" xr:uid="{00000000-0005-0000-0000-0000B87E0000}"/>
    <cellStyle name="40% - Accent4 7 4 2 3 3" xfId="31308" xr:uid="{00000000-0005-0000-0000-0000B97E0000}"/>
    <cellStyle name="40% - Accent4 7 4 2 4" xfId="14357" xr:uid="{00000000-0005-0000-0000-0000BA7E0000}"/>
    <cellStyle name="40% - Accent4 7 4 2 4 2" xfId="36959" xr:uid="{00000000-0005-0000-0000-0000BB7E0000}"/>
    <cellStyle name="40% - Accent4 7 4 2 5" xfId="25658" xr:uid="{00000000-0005-0000-0000-0000BC7E0000}"/>
    <cellStyle name="40% - Accent4 7 4 3" xfId="4654" xr:uid="{00000000-0005-0000-0000-0000BD7E0000}"/>
    <cellStyle name="40% - Accent4 7 4 3 2" xfId="10304" xr:uid="{00000000-0005-0000-0000-0000BE7E0000}"/>
    <cellStyle name="40% - Accent4 7 4 3 2 2" xfId="21605" xr:uid="{00000000-0005-0000-0000-0000BF7E0000}"/>
    <cellStyle name="40% - Accent4 7 4 3 2 2 2" xfId="44207" xr:uid="{00000000-0005-0000-0000-0000C07E0000}"/>
    <cellStyle name="40% - Accent4 7 4 3 2 3" xfId="32906" xr:uid="{00000000-0005-0000-0000-0000C17E0000}"/>
    <cellStyle name="40% - Accent4 7 4 3 3" xfId="15955" xr:uid="{00000000-0005-0000-0000-0000C27E0000}"/>
    <cellStyle name="40% - Accent4 7 4 3 3 2" xfId="38557" xr:uid="{00000000-0005-0000-0000-0000C37E0000}"/>
    <cellStyle name="40% - Accent4 7 4 3 4" xfId="27256" xr:uid="{00000000-0005-0000-0000-0000C47E0000}"/>
    <cellStyle name="40% - Accent4 7 4 4" xfId="6841" xr:uid="{00000000-0005-0000-0000-0000C57E0000}"/>
    <cellStyle name="40% - Accent4 7 4 4 2" xfId="18142" xr:uid="{00000000-0005-0000-0000-0000C67E0000}"/>
    <cellStyle name="40% - Accent4 7 4 4 2 2" xfId="40744" xr:uid="{00000000-0005-0000-0000-0000C77E0000}"/>
    <cellStyle name="40% - Accent4 7 4 4 3" xfId="29443" xr:uid="{00000000-0005-0000-0000-0000C87E0000}"/>
    <cellStyle name="40% - Accent4 7 4 5" xfId="12492" xr:uid="{00000000-0005-0000-0000-0000C97E0000}"/>
    <cellStyle name="40% - Accent4 7 4 5 2" xfId="35094" xr:uid="{00000000-0005-0000-0000-0000CA7E0000}"/>
    <cellStyle name="40% - Accent4 7 4 6" xfId="23793" xr:uid="{00000000-0005-0000-0000-0000CB7E0000}"/>
    <cellStyle name="40% - Accent4 7 5" xfId="1923" xr:uid="{00000000-0005-0000-0000-0000CC7E0000}"/>
    <cellStyle name="40% - Accent4 7 5 2" xfId="3733" xr:uid="{00000000-0005-0000-0000-0000CD7E0000}"/>
    <cellStyle name="40% - Accent4 7 5 2 2" xfId="9443" xr:uid="{00000000-0005-0000-0000-0000CE7E0000}"/>
    <cellStyle name="40% - Accent4 7 5 2 2 2" xfId="20744" xr:uid="{00000000-0005-0000-0000-0000CF7E0000}"/>
    <cellStyle name="40% - Accent4 7 5 2 2 2 2" xfId="43346" xr:uid="{00000000-0005-0000-0000-0000D07E0000}"/>
    <cellStyle name="40% - Accent4 7 5 2 2 3" xfId="32045" xr:uid="{00000000-0005-0000-0000-0000D17E0000}"/>
    <cellStyle name="40% - Accent4 7 5 2 3" xfId="15094" xr:uid="{00000000-0005-0000-0000-0000D27E0000}"/>
    <cellStyle name="40% - Accent4 7 5 2 3 2" xfId="37696" xr:uid="{00000000-0005-0000-0000-0000D37E0000}"/>
    <cellStyle name="40% - Accent4 7 5 2 4" xfId="26395" xr:uid="{00000000-0005-0000-0000-0000D47E0000}"/>
    <cellStyle name="40% - Accent4 7 5 3" xfId="5264" xr:uid="{00000000-0005-0000-0000-0000D57E0000}"/>
    <cellStyle name="40% - Accent4 7 5 3 2" xfId="10914" xr:uid="{00000000-0005-0000-0000-0000D67E0000}"/>
    <cellStyle name="40% - Accent4 7 5 3 2 2" xfId="22215" xr:uid="{00000000-0005-0000-0000-0000D77E0000}"/>
    <cellStyle name="40% - Accent4 7 5 3 2 2 2" xfId="44817" xr:uid="{00000000-0005-0000-0000-0000D87E0000}"/>
    <cellStyle name="40% - Accent4 7 5 3 2 3" xfId="33516" xr:uid="{00000000-0005-0000-0000-0000D97E0000}"/>
    <cellStyle name="40% - Accent4 7 5 3 3" xfId="16565" xr:uid="{00000000-0005-0000-0000-0000DA7E0000}"/>
    <cellStyle name="40% - Accent4 7 5 3 3 2" xfId="39167" xr:uid="{00000000-0005-0000-0000-0000DB7E0000}"/>
    <cellStyle name="40% - Accent4 7 5 3 4" xfId="27866" xr:uid="{00000000-0005-0000-0000-0000DC7E0000}"/>
    <cellStyle name="40% - Accent4 7 5 4" xfId="7779" xr:uid="{00000000-0005-0000-0000-0000DD7E0000}"/>
    <cellStyle name="40% - Accent4 7 5 4 2" xfId="19080" xr:uid="{00000000-0005-0000-0000-0000DE7E0000}"/>
    <cellStyle name="40% - Accent4 7 5 4 2 2" xfId="41682" xr:uid="{00000000-0005-0000-0000-0000DF7E0000}"/>
    <cellStyle name="40% - Accent4 7 5 4 3" xfId="30381" xr:uid="{00000000-0005-0000-0000-0000E07E0000}"/>
    <cellStyle name="40% - Accent4 7 5 5" xfId="13430" xr:uid="{00000000-0005-0000-0000-0000E17E0000}"/>
    <cellStyle name="40% - Accent4 7 5 5 2" xfId="36032" xr:uid="{00000000-0005-0000-0000-0000E27E0000}"/>
    <cellStyle name="40% - Accent4 7 5 6" xfId="24731" xr:uid="{00000000-0005-0000-0000-0000E37E0000}"/>
    <cellStyle name="40% - Accent4 7 6" xfId="2243" xr:uid="{00000000-0005-0000-0000-0000E47E0000}"/>
    <cellStyle name="40% - Accent4 7 6 2" xfId="8079" xr:uid="{00000000-0005-0000-0000-0000E57E0000}"/>
    <cellStyle name="40% - Accent4 7 6 2 2" xfId="19380" xr:uid="{00000000-0005-0000-0000-0000E67E0000}"/>
    <cellStyle name="40% - Accent4 7 6 2 2 2" xfId="41982" xr:uid="{00000000-0005-0000-0000-0000E77E0000}"/>
    <cellStyle name="40% - Accent4 7 6 2 3" xfId="30681" xr:uid="{00000000-0005-0000-0000-0000E87E0000}"/>
    <cellStyle name="40% - Accent4 7 6 3" xfId="13730" xr:uid="{00000000-0005-0000-0000-0000E97E0000}"/>
    <cellStyle name="40% - Accent4 7 6 3 2" xfId="36332" xr:uid="{00000000-0005-0000-0000-0000EA7E0000}"/>
    <cellStyle name="40% - Accent4 7 6 4" xfId="25031" xr:uid="{00000000-0005-0000-0000-0000EB7E0000}"/>
    <cellStyle name="40% - Accent4 7 7" xfId="4030" xr:uid="{00000000-0005-0000-0000-0000EC7E0000}"/>
    <cellStyle name="40% - Accent4 7 7 2" xfId="9680" xr:uid="{00000000-0005-0000-0000-0000ED7E0000}"/>
    <cellStyle name="40% - Accent4 7 7 2 2" xfId="20981" xr:uid="{00000000-0005-0000-0000-0000EE7E0000}"/>
    <cellStyle name="40% - Accent4 7 7 2 2 2" xfId="43583" xr:uid="{00000000-0005-0000-0000-0000EF7E0000}"/>
    <cellStyle name="40% - Accent4 7 7 2 3" xfId="32282" xr:uid="{00000000-0005-0000-0000-0000F07E0000}"/>
    <cellStyle name="40% - Accent4 7 7 3" xfId="15331" xr:uid="{00000000-0005-0000-0000-0000F17E0000}"/>
    <cellStyle name="40% - Accent4 7 7 3 2" xfId="37933" xr:uid="{00000000-0005-0000-0000-0000F27E0000}"/>
    <cellStyle name="40% - Accent4 7 7 4" xfId="26632" xr:uid="{00000000-0005-0000-0000-0000F37E0000}"/>
    <cellStyle name="40% - Accent4 7 8" xfId="6481" xr:uid="{00000000-0005-0000-0000-0000F47E0000}"/>
    <cellStyle name="40% - Accent4 7 8 2" xfId="17782" xr:uid="{00000000-0005-0000-0000-0000F57E0000}"/>
    <cellStyle name="40% - Accent4 7 8 2 2" xfId="40384" xr:uid="{00000000-0005-0000-0000-0000F67E0000}"/>
    <cellStyle name="40% - Accent4 7 8 3" xfId="29083" xr:uid="{00000000-0005-0000-0000-0000F77E0000}"/>
    <cellStyle name="40% - Accent4 7 9" xfId="12132" xr:uid="{00000000-0005-0000-0000-0000F87E0000}"/>
    <cellStyle name="40% - Accent4 7 9 2" xfId="34734" xr:uid="{00000000-0005-0000-0000-0000F97E0000}"/>
    <cellStyle name="40% - Accent4 8" xfId="441" xr:uid="{00000000-0005-0000-0000-0000FA7E0000}"/>
    <cellStyle name="40% - Accent4 8 2" xfId="1212" xr:uid="{00000000-0005-0000-0000-0000FB7E0000}"/>
    <cellStyle name="40% - Accent4 8 2 2" xfId="1928" xr:uid="{00000000-0005-0000-0000-0000FC7E0000}"/>
    <cellStyle name="40% - Accent4 8 2 2 2" xfId="3281" xr:uid="{00000000-0005-0000-0000-0000FD7E0000}"/>
    <cellStyle name="40% - Accent4 8 2 2 2 2" xfId="6253" xr:uid="{00000000-0005-0000-0000-0000FE7E0000}"/>
    <cellStyle name="40% - Accent4 8 2 2 2 2 2" xfId="11903" xr:uid="{00000000-0005-0000-0000-0000FF7E0000}"/>
    <cellStyle name="40% - Accent4 8 2 2 2 2 2 2" xfId="23204" xr:uid="{00000000-0005-0000-0000-0000007F0000}"/>
    <cellStyle name="40% - Accent4 8 2 2 2 2 2 2 2" xfId="45806" xr:uid="{00000000-0005-0000-0000-0000017F0000}"/>
    <cellStyle name="40% - Accent4 8 2 2 2 2 2 3" xfId="34505" xr:uid="{00000000-0005-0000-0000-0000027F0000}"/>
    <cellStyle name="40% - Accent4 8 2 2 2 2 3" xfId="17554" xr:uid="{00000000-0005-0000-0000-0000037F0000}"/>
    <cellStyle name="40% - Accent4 8 2 2 2 2 3 2" xfId="40156" xr:uid="{00000000-0005-0000-0000-0000047F0000}"/>
    <cellStyle name="40% - Accent4 8 2 2 2 2 4" xfId="28855" xr:uid="{00000000-0005-0000-0000-0000057F0000}"/>
    <cellStyle name="40% - Accent4 8 2 2 2 3" xfId="9071" xr:uid="{00000000-0005-0000-0000-0000067F0000}"/>
    <cellStyle name="40% - Accent4 8 2 2 2 3 2" xfId="20372" xr:uid="{00000000-0005-0000-0000-0000077F0000}"/>
    <cellStyle name="40% - Accent4 8 2 2 2 3 2 2" xfId="42974" xr:uid="{00000000-0005-0000-0000-0000087F0000}"/>
    <cellStyle name="40% - Accent4 8 2 2 2 3 3" xfId="31673" xr:uid="{00000000-0005-0000-0000-0000097F0000}"/>
    <cellStyle name="40% - Accent4 8 2 2 2 4" xfId="14722" xr:uid="{00000000-0005-0000-0000-00000A7F0000}"/>
    <cellStyle name="40% - Accent4 8 2 2 2 4 2" xfId="37324" xr:uid="{00000000-0005-0000-0000-00000B7F0000}"/>
    <cellStyle name="40% - Accent4 8 2 2 2 5" xfId="26023" xr:uid="{00000000-0005-0000-0000-00000C7F0000}"/>
    <cellStyle name="40% - Accent4 8 2 2 3" xfId="5019" xr:uid="{00000000-0005-0000-0000-00000D7F0000}"/>
    <cellStyle name="40% - Accent4 8 2 2 3 2" xfId="10669" xr:uid="{00000000-0005-0000-0000-00000E7F0000}"/>
    <cellStyle name="40% - Accent4 8 2 2 3 2 2" xfId="21970" xr:uid="{00000000-0005-0000-0000-00000F7F0000}"/>
    <cellStyle name="40% - Accent4 8 2 2 3 2 2 2" xfId="44572" xr:uid="{00000000-0005-0000-0000-0000107F0000}"/>
    <cellStyle name="40% - Accent4 8 2 2 3 2 3" xfId="33271" xr:uid="{00000000-0005-0000-0000-0000117F0000}"/>
    <cellStyle name="40% - Accent4 8 2 2 3 3" xfId="16320" xr:uid="{00000000-0005-0000-0000-0000127F0000}"/>
    <cellStyle name="40% - Accent4 8 2 2 3 3 2" xfId="38922" xr:uid="{00000000-0005-0000-0000-0000137F0000}"/>
    <cellStyle name="40% - Accent4 8 2 2 3 4" xfId="27621" xr:uid="{00000000-0005-0000-0000-0000147F0000}"/>
    <cellStyle name="40% - Accent4 8 2 2 4" xfId="7784" xr:uid="{00000000-0005-0000-0000-0000157F0000}"/>
    <cellStyle name="40% - Accent4 8 2 2 4 2" xfId="19085" xr:uid="{00000000-0005-0000-0000-0000167F0000}"/>
    <cellStyle name="40% - Accent4 8 2 2 4 2 2" xfId="41687" xr:uid="{00000000-0005-0000-0000-0000177F0000}"/>
    <cellStyle name="40% - Accent4 8 2 2 4 3" xfId="30386" xr:uid="{00000000-0005-0000-0000-0000187F0000}"/>
    <cellStyle name="40% - Accent4 8 2 2 5" xfId="13435" xr:uid="{00000000-0005-0000-0000-0000197F0000}"/>
    <cellStyle name="40% - Accent4 8 2 2 5 2" xfId="36037" xr:uid="{00000000-0005-0000-0000-00001A7F0000}"/>
    <cellStyle name="40% - Accent4 8 2 2 6" xfId="24736" xr:uid="{00000000-0005-0000-0000-00001B7F0000}"/>
    <cellStyle name="40% - Accent4 8 2 3" xfId="2610" xr:uid="{00000000-0005-0000-0000-00001C7F0000}"/>
    <cellStyle name="40% - Accent4 8 2 3 2" xfId="5629" xr:uid="{00000000-0005-0000-0000-00001D7F0000}"/>
    <cellStyle name="40% - Accent4 8 2 3 2 2" xfId="11279" xr:uid="{00000000-0005-0000-0000-00001E7F0000}"/>
    <cellStyle name="40% - Accent4 8 2 3 2 2 2" xfId="22580" xr:uid="{00000000-0005-0000-0000-00001F7F0000}"/>
    <cellStyle name="40% - Accent4 8 2 3 2 2 2 2" xfId="45182" xr:uid="{00000000-0005-0000-0000-0000207F0000}"/>
    <cellStyle name="40% - Accent4 8 2 3 2 2 3" xfId="33881" xr:uid="{00000000-0005-0000-0000-0000217F0000}"/>
    <cellStyle name="40% - Accent4 8 2 3 2 3" xfId="16930" xr:uid="{00000000-0005-0000-0000-0000227F0000}"/>
    <cellStyle name="40% - Accent4 8 2 3 2 3 2" xfId="39532" xr:uid="{00000000-0005-0000-0000-0000237F0000}"/>
    <cellStyle name="40% - Accent4 8 2 3 2 4" xfId="28231" xr:uid="{00000000-0005-0000-0000-0000247F0000}"/>
    <cellStyle name="40% - Accent4 8 2 3 3" xfId="8446" xr:uid="{00000000-0005-0000-0000-0000257F0000}"/>
    <cellStyle name="40% - Accent4 8 2 3 3 2" xfId="19747" xr:uid="{00000000-0005-0000-0000-0000267F0000}"/>
    <cellStyle name="40% - Accent4 8 2 3 3 2 2" xfId="42349" xr:uid="{00000000-0005-0000-0000-0000277F0000}"/>
    <cellStyle name="40% - Accent4 8 2 3 3 3" xfId="31048" xr:uid="{00000000-0005-0000-0000-0000287F0000}"/>
    <cellStyle name="40% - Accent4 8 2 3 4" xfId="14097" xr:uid="{00000000-0005-0000-0000-0000297F0000}"/>
    <cellStyle name="40% - Accent4 8 2 3 4 2" xfId="36699" xr:uid="{00000000-0005-0000-0000-00002A7F0000}"/>
    <cellStyle name="40% - Accent4 8 2 3 5" xfId="25398" xr:uid="{00000000-0005-0000-0000-00002B7F0000}"/>
    <cellStyle name="40% - Accent4 8 2 4" xfId="4395" xr:uid="{00000000-0005-0000-0000-00002C7F0000}"/>
    <cellStyle name="40% - Accent4 8 2 4 2" xfId="10045" xr:uid="{00000000-0005-0000-0000-00002D7F0000}"/>
    <cellStyle name="40% - Accent4 8 2 4 2 2" xfId="21346" xr:uid="{00000000-0005-0000-0000-00002E7F0000}"/>
    <cellStyle name="40% - Accent4 8 2 4 2 2 2" xfId="43948" xr:uid="{00000000-0005-0000-0000-00002F7F0000}"/>
    <cellStyle name="40% - Accent4 8 2 4 2 3" xfId="32647" xr:uid="{00000000-0005-0000-0000-0000307F0000}"/>
    <cellStyle name="40% - Accent4 8 2 4 3" xfId="15696" xr:uid="{00000000-0005-0000-0000-0000317F0000}"/>
    <cellStyle name="40% - Accent4 8 2 4 3 2" xfId="38298" xr:uid="{00000000-0005-0000-0000-0000327F0000}"/>
    <cellStyle name="40% - Accent4 8 2 4 4" xfId="26997" xr:uid="{00000000-0005-0000-0000-0000337F0000}"/>
    <cellStyle name="40% - Accent4 8 2 5" xfId="7191" xr:uid="{00000000-0005-0000-0000-0000347F0000}"/>
    <cellStyle name="40% - Accent4 8 2 5 2" xfId="18492" xr:uid="{00000000-0005-0000-0000-0000357F0000}"/>
    <cellStyle name="40% - Accent4 8 2 5 2 2" xfId="41094" xr:uid="{00000000-0005-0000-0000-0000367F0000}"/>
    <cellStyle name="40% - Accent4 8 2 5 3" xfId="29793" xr:uid="{00000000-0005-0000-0000-0000377F0000}"/>
    <cellStyle name="40% - Accent4 8 2 6" xfId="12842" xr:uid="{00000000-0005-0000-0000-0000387F0000}"/>
    <cellStyle name="40% - Accent4 8 2 6 2" xfId="35444" xr:uid="{00000000-0005-0000-0000-0000397F0000}"/>
    <cellStyle name="40% - Accent4 8 2 7" xfId="24143" xr:uid="{00000000-0005-0000-0000-00003A7F0000}"/>
    <cellStyle name="40% - Accent4 8 3" xfId="909" xr:uid="{00000000-0005-0000-0000-00003B7F0000}"/>
    <cellStyle name="40% - Accent4 8 3 2" xfId="2973" xr:uid="{00000000-0005-0000-0000-00003C7F0000}"/>
    <cellStyle name="40% - Accent4 8 3 2 2" xfId="5945" xr:uid="{00000000-0005-0000-0000-00003D7F0000}"/>
    <cellStyle name="40% - Accent4 8 3 2 2 2" xfId="11595" xr:uid="{00000000-0005-0000-0000-00003E7F0000}"/>
    <cellStyle name="40% - Accent4 8 3 2 2 2 2" xfId="22896" xr:uid="{00000000-0005-0000-0000-00003F7F0000}"/>
    <cellStyle name="40% - Accent4 8 3 2 2 2 2 2" xfId="45498" xr:uid="{00000000-0005-0000-0000-0000407F0000}"/>
    <cellStyle name="40% - Accent4 8 3 2 2 2 3" xfId="34197" xr:uid="{00000000-0005-0000-0000-0000417F0000}"/>
    <cellStyle name="40% - Accent4 8 3 2 2 3" xfId="17246" xr:uid="{00000000-0005-0000-0000-0000427F0000}"/>
    <cellStyle name="40% - Accent4 8 3 2 2 3 2" xfId="39848" xr:uid="{00000000-0005-0000-0000-0000437F0000}"/>
    <cellStyle name="40% - Accent4 8 3 2 2 4" xfId="28547" xr:uid="{00000000-0005-0000-0000-0000447F0000}"/>
    <cellStyle name="40% - Accent4 8 3 2 3" xfId="8763" xr:uid="{00000000-0005-0000-0000-0000457F0000}"/>
    <cellStyle name="40% - Accent4 8 3 2 3 2" xfId="20064" xr:uid="{00000000-0005-0000-0000-0000467F0000}"/>
    <cellStyle name="40% - Accent4 8 3 2 3 2 2" xfId="42666" xr:uid="{00000000-0005-0000-0000-0000477F0000}"/>
    <cellStyle name="40% - Accent4 8 3 2 3 3" xfId="31365" xr:uid="{00000000-0005-0000-0000-0000487F0000}"/>
    <cellStyle name="40% - Accent4 8 3 2 4" xfId="14414" xr:uid="{00000000-0005-0000-0000-0000497F0000}"/>
    <cellStyle name="40% - Accent4 8 3 2 4 2" xfId="37016" xr:uid="{00000000-0005-0000-0000-00004A7F0000}"/>
    <cellStyle name="40% - Accent4 8 3 2 5" xfId="25715" xr:uid="{00000000-0005-0000-0000-00004B7F0000}"/>
    <cellStyle name="40% - Accent4 8 3 3" xfId="4711" xr:uid="{00000000-0005-0000-0000-00004C7F0000}"/>
    <cellStyle name="40% - Accent4 8 3 3 2" xfId="10361" xr:uid="{00000000-0005-0000-0000-00004D7F0000}"/>
    <cellStyle name="40% - Accent4 8 3 3 2 2" xfId="21662" xr:uid="{00000000-0005-0000-0000-00004E7F0000}"/>
    <cellStyle name="40% - Accent4 8 3 3 2 2 2" xfId="44264" xr:uid="{00000000-0005-0000-0000-00004F7F0000}"/>
    <cellStyle name="40% - Accent4 8 3 3 2 3" xfId="32963" xr:uid="{00000000-0005-0000-0000-0000507F0000}"/>
    <cellStyle name="40% - Accent4 8 3 3 3" xfId="16012" xr:uid="{00000000-0005-0000-0000-0000517F0000}"/>
    <cellStyle name="40% - Accent4 8 3 3 3 2" xfId="38614" xr:uid="{00000000-0005-0000-0000-0000527F0000}"/>
    <cellStyle name="40% - Accent4 8 3 3 4" xfId="27313" xr:uid="{00000000-0005-0000-0000-0000537F0000}"/>
    <cellStyle name="40% - Accent4 8 3 4" xfId="6898" xr:uid="{00000000-0005-0000-0000-0000547F0000}"/>
    <cellStyle name="40% - Accent4 8 3 4 2" xfId="18199" xr:uid="{00000000-0005-0000-0000-0000557F0000}"/>
    <cellStyle name="40% - Accent4 8 3 4 2 2" xfId="40801" xr:uid="{00000000-0005-0000-0000-0000567F0000}"/>
    <cellStyle name="40% - Accent4 8 3 4 3" xfId="29500" xr:uid="{00000000-0005-0000-0000-0000577F0000}"/>
    <cellStyle name="40% - Accent4 8 3 5" xfId="12549" xr:uid="{00000000-0005-0000-0000-0000587F0000}"/>
    <cellStyle name="40% - Accent4 8 3 5 2" xfId="35151" xr:uid="{00000000-0005-0000-0000-0000597F0000}"/>
    <cellStyle name="40% - Accent4 8 3 6" xfId="23850" xr:uid="{00000000-0005-0000-0000-00005A7F0000}"/>
    <cellStyle name="40% - Accent4 8 4" xfId="1927" xr:uid="{00000000-0005-0000-0000-00005B7F0000}"/>
    <cellStyle name="40% - Accent4 8 4 2" xfId="3735" xr:uid="{00000000-0005-0000-0000-00005C7F0000}"/>
    <cellStyle name="40% - Accent4 8 4 2 2" xfId="9445" xr:uid="{00000000-0005-0000-0000-00005D7F0000}"/>
    <cellStyle name="40% - Accent4 8 4 2 2 2" xfId="20746" xr:uid="{00000000-0005-0000-0000-00005E7F0000}"/>
    <cellStyle name="40% - Accent4 8 4 2 2 2 2" xfId="43348" xr:uid="{00000000-0005-0000-0000-00005F7F0000}"/>
    <cellStyle name="40% - Accent4 8 4 2 2 3" xfId="32047" xr:uid="{00000000-0005-0000-0000-0000607F0000}"/>
    <cellStyle name="40% - Accent4 8 4 2 3" xfId="15096" xr:uid="{00000000-0005-0000-0000-0000617F0000}"/>
    <cellStyle name="40% - Accent4 8 4 2 3 2" xfId="37698" xr:uid="{00000000-0005-0000-0000-0000627F0000}"/>
    <cellStyle name="40% - Accent4 8 4 2 4" xfId="26397" xr:uid="{00000000-0005-0000-0000-0000637F0000}"/>
    <cellStyle name="40% - Accent4 8 4 3" xfId="5321" xr:uid="{00000000-0005-0000-0000-0000647F0000}"/>
    <cellStyle name="40% - Accent4 8 4 3 2" xfId="10971" xr:uid="{00000000-0005-0000-0000-0000657F0000}"/>
    <cellStyle name="40% - Accent4 8 4 3 2 2" xfId="22272" xr:uid="{00000000-0005-0000-0000-0000667F0000}"/>
    <cellStyle name="40% - Accent4 8 4 3 2 2 2" xfId="44874" xr:uid="{00000000-0005-0000-0000-0000677F0000}"/>
    <cellStyle name="40% - Accent4 8 4 3 2 3" xfId="33573" xr:uid="{00000000-0005-0000-0000-0000687F0000}"/>
    <cellStyle name="40% - Accent4 8 4 3 3" xfId="16622" xr:uid="{00000000-0005-0000-0000-0000697F0000}"/>
    <cellStyle name="40% - Accent4 8 4 3 3 2" xfId="39224" xr:uid="{00000000-0005-0000-0000-00006A7F0000}"/>
    <cellStyle name="40% - Accent4 8 4 3 4" xfId="27923" xr:uid="{00000000-0005-0000-0000-00006B7F0000}"/>
    <cellStyle name="40% - Accent4 8 4 4" xfId="7783" xr:uid="{00000000-0005-0000-0000-00006C7F0000}"/>
    <cellStyle name="40% - Accent4 8 4 4 2" xfId="19084" xr:uid="{00000000-0005-0000-0000-00006D7F0000}"/>
    <cellStyle name="40% - Accent4 8 4 4 2 2" xfId="41686" xr:uid="{00000000-0005-0000-0000-00006E7F0000}"/>
    <cellStyle name="40% - Accent4 8 4 4 3" xfId="30385" xr:uid="{00000000-0005-0000-0000-00006F7F0000}"/>
    <cellStyle name="40% - Accent4 8 4 5" xfId="13434" xr:uid="{00000000-0005-0000-0000-0000707F0000}"/>
    <cellStyle name="40% - Accent4 8 4 5 2" xfId="36036" xr:uid="{00000000-0005-0000-0000-0000717F0000}"/>
    <cellStyle name="40% - Accent4 8 4 6" xfId="24735" xr:uid="{00000000-0005-0000-0000-0000727F0000}"/>
    <cellStyle name="40% - Accent4 8 5" xfId="2302" xr:uid="{00000000-0005-0000-0000-0000737F0000}"/>
    <cellStyle name="40% - Accent4 8 5 2" xfId="8138" xr:uid="{00000000-0005-0000-0000-0000747F0000}"/>
    <cellStyle name="40% - Accent4 8 5 2 2" xfId="19439" xr:uid="{00000000-0005-0000-0000-0000757F0000}"/>
    <cellStyle name="40% - Accent4 8 5 2 2 2" xfId="42041" xr:uid="{00000000-0005-0000-0000-0000767F0000}"/>
    <cellStyle name="40% - Accent4 8 5 2 3" xfId="30740" xr:uid="{00000000-0005-0000-0000-0000777F0000}"/>
    <cellStyle name="40% - Accent4 8 5 3" xfId="13789" xr:uid="{00000000-0005-0000-0000-0000787F0000}"/>
    <cellStyle name="40% - Accent4 8 5 3 2" xfId="36391" xr:uid="{00000000-0005-0000-0000-0000797F0000}"/>
    <cellStyle name="40% - Accent4 8 5 4" xfId="25090" xr:uid="{00000000-0005-0000-0000-00007A7F0000}"/>
    <cellStyle name="40% - Accent4 8 6" xfId="4087" xr:uid="{00000000-0005-0000-0000-00007B7F0000}"/>
    <cellStyle name="40% - Accent4 8 6 2" xfId="9737" xr:uid="{00000000-0005-0000-0000-00007C7F0000}"/>
    <cellStyle name="40% - Accent4 8 6 2 2" xfId="21038" xr:uid="{00000000-0005-0000-0000-00007D7F0000}"/>
    <cellStyle name="40% - Accent4 8 6 2 2 2" xfId="43640" xr:uid="{00000000-0005-0000-0000-00007E7F0000}"/>
    <cellStyle name="40% - Accent4 8 6 2 3" xfId="32339" xr:uid="{00000000-0005-0000-0000-00007F7F0000}"/>
    <cellStyle name="40% - Accent4 8 6 3" xfId="15388" xr:uid="{00000000-0005-0000-0000-0000807F0000}"/>
    <cellStyle name="40% - Accent4 8 6 3 2" xfId="37990" xr:uid="{00000000-0005-0000-0000-0000817F0000}"/>
    <cellStyle name="40% - Accent4 8 6 4" xfId="26689" xr:uid="{00000000-0005-0000-0000-0000827F0000}"/>
    <cellStyle name="40% - Accent4 8 7" xfId="6538" xr:uid="{00000000-0005-0000-0000-0000837F0000}"/>
    <cellStyle name="40% - Accent4 8 7 2" xfId="17839" xr:uid="{00000000-0005-0000-0000-0000847F0000}"/>
    <cellStyle name="40% - Accent4 8 7 2 2" xfId="40441" xr:uid="{00000000-0005-0000-0000-0000857F0000}"/>
    <cellStyle name="40% - Accent4 8 7 3" xfId="29140" xr:uid="{00000000-0005-0000-0000-0000867F0000}"/>
    <cellStyle name="40% - Accent4 8 8" xfId="12189" xr:uid="{00000000-0005-0000-0000-0000877F0000}"/>
    <cellStyle name="40% - Accent4 8 8 2" xfId="34791" xr:uid="{00000000-0005-0000-0000-0000887F0000}"/>
    <cellStyle name="40% - Accent4 8 9" xfId="23490" xr:uid="{00000000-0005-0000-0000-0000897F0000}"/>
    <cellStyle name="40% - Accent4 9" xfId="643" xr:uid="{00000000-0005-0000-0000-00008A7F0000}"/>
    <cellStyle name="40% - Accent4 9 2" xfId="704" xr:uid="{00000000-0005-0000-0000-00008B7F0000}"/>
    <cellStyle name="40% - Accent4 9 2 2" xfId="3113" xr:uid="{00000000-0005-0000-0000-00008C7F0000}"/>
    <cellStyle name="40% - Accent4 9 2 2 2" xfId="6085" xr:uid="{00000000-0005-0000-0000-00008D7F0000}"/>
    <cellStyle name="40% - Accent4 9 2 2 2 2" xfId="11735" xr:uid="{00000000-0005-0000-0000-00008E7F0000}"/>
    <cellStyle name="40% - Accent4 9 2 2 2 2 2" xfId="23036" xr:uid="{00000000-0005-0000-0000-00008F7F0000}"/>
    <cellStyle name="40% - Accent4 9 2 2 2 2 2 2" xfId="45638" xr:uid="{00000000-0005-0000-0000-0000907F0000}"/>
    <cellStyle name="40% - Accent4 9 2 2 2 2 3" xfId="34337" xr:uid="{00000000-0005-0000-0000-0000917F0000}"/>
    <cellStyle name="40% - Accent4 9 2 2 2 3" xfId="17386" xr:uid="{00000000-0005-0000-0000-0000927F0000}"/>
    <cellStyle name="40% - Accent4 9 2 2 2 3 2" xfId="39988" xr:uid="{00000000-0005-0000-0000-0000937F0000}"/>
    <cellStyle name="40% - Accent4 9 2 2 2 4" xfId="28687" xr:uid="{00000000-0005-0000-0000-0000947F0000}"/>
    <cellStyle name="40% - Accent4 9 2 2 3" xfId="8903" xr:uid="{00000000-0005-0000-0000-0000957F0000}"/>
    <cellStyle name="40% - Accent4 9 2 2 3 2" xfId="20204" xr:uid="{00000000-0005-0000-0000-0000967F0000}"/>
    <cellStyle name="40% - Accent4 9 2 2 3 2 2" xfId="42806" xr:uid="{00000000-0005-0000-0000-0000977F0000}"/>
    <cellStyle name="40% - Accent4 9 2 2 3 3" xfId="31505" xr:uid="{00000000-0005-0000-0000-0000987F0000}"/>
    <cellStyle name="40% - Accent4 9 2 2 4" xfId="14554" xr:uid="{00000000-0005-0000-0000-0000997F0000}"/>
    <cellStyle name="40% - Accent4 9 2 2 4 2" xfId="37156" xr:uid="{00000000-0005-0000-0000-00009A7F0000}"/>
    <cellStyle name="40% - Accent4 9 2 2 5" xfId="25855" xr:uid="{00000000-0005-0000-0000-00009B7F0000}"/>
    <cellStyle name="40% - Accent4 9 2 3" xfId="4851" xr:uid="{00000000-0005-0000-0000-00009C7F0000}"/>
    <cellStyle name="40% - Accent4 9 2 3 2" xfId="10501" xr:uid="{00000000-0005-0000-0000-00009D7F0000}"/>
    <cellStyle name="40% - Accent4 9 2 3 2 2" xfId="21802" xr:uid="{00000000-0005-0000-0000-00009E7F0000}"/>
    <cellStyle name="40% - Accent4 9 2 3 2 2 2" xfId="44404" xr:uid="{00000000-0005-0000-0000-00009F7F0000}"/>
    <cellStyle name="40% - Accent4 9 2 3 2 3" xfId="33103" xr:uid="{00000000-0005-0000-0000-0000A07F0000}"/>
    <cellStyle name="40% - Accent4 9 2 3 3" xfId="16152" xr:uid="{00000000-0005-0000-0000-0000A17F0000}"/>
    <cellStyle name="40% - Accent4 9 2 3 3 2" xfId="38754" xr:uid="{00000000-0005-0000-0000-0000A27F0000}"/>
    <cellStyle name="40% - Accent4 9 2 3 4" xfId="27453" xr:uid="{00000000-0005-0000-0000-0000A37F0000}"/>
    <cellStyle name="40% - Accent4 9 2 4" xfId="6727" xr:uid="{00000000-0005-0000-0000-0000A47F0000}"/>
    <cellStyle name="40% - Accent4 9 2 4 2" xfId="18028" xr:uid="{00000000-0005-0000-0000-0000A57F0000}"/>
    <cellStyle name="40% - Accent4 9 2 4 2 2" xfId="40630" xr:uid="{00000000-0005-0000-0000-0000A67F0000}"/>
    <cellStyle name="40% - Accent4 9 2 4 3" xfId="29329" xr:uid="{00000000-0005-0000-0000-0000A77F0000}"/>
    <cellStyle name="40% - Accent4 9 2 5" xfId="12378" xr:uid="{00000000-0005-0000-0000-0000A87F0000}"/>
    <cellStyle name="40% - Accent4 9 2 5 2" xfId="34980" xr:uid="{00000000-0005-0000-0000-0000A97F0000}"/>
    <cellStyle name="40% - Accent4 9 2 6" xfId="23679" xr:uid="{00000000-0005-0000-0000-0000AA7F0000}"/>
    <cellStyle name="40% - Accent4 9 3" xfId="1929" xr:uid="{00000000-0005-0000-0000-0000AB7F0000}"/>
    <cellStyle name="40% - Accent4 9 3 2" xfId="3736" xr:uid="{00000000-0005-0000-0000-0000AC7F0000}"/>
    <cellStyle name="40% - Accent4 9 3 2 2" xfId="9446" xr:uid="{00000000-0005-0000-0000-0000AD7F0000}"/>
    <cellStyle name="40% - Accent4 9 3 2 2 2" xfId="20747" xr:uid="{00000000-0005-0000-0000-0000AE7F0000}"/>
    <cellStyle name="40% - Accent4 9 3 2 2 2 2" xfId="43349" xr:uid="{00000000-0005-0000-0000-0000AF7F0000}"/>
    <cellStyle name="40% - Accent4 9 3 2 2 3" xfId="32048" xr:uid="{00000000-0005-0000-0000-0000B07F0000}"/>
    <cellStyle name="40% - Accent4 9 3 2 3" xfId="15097" xr:uid="{00000000-0005-0000-0000-0000B17F0000}"/>
    <cellStyle name="40% - Accent4 9 3 2 3 2" xfId="37699" xr:uid="{00000000-0005-0000-0000-0000B27F0000}"/>
    <cellStyle name="40% - Accent4 9 3 2 4" xfId="26398" xr:uid="{00000000-0005-0000-0000-0000B37F0000}"/>
    <cellStyle name="40% - Accent4 9 3 3" xfId="5461" xr:uid="{00000000-0005-0000-0000-0000B47F0000}"/>
    <cellStyle name="40% - Accent4 9 3 3 2" xfId="11111" xr:uid="{00000000-0005-0000-0000-0000B57F0000}"/>
    <cellStyle name="40% - Accent4 9 3 3 2 2" xfId="22412" xr:uid="{00000000-0005-0000-0000-0000B67F0000}"/>
    <cellStyle name="40% - Accent4 9 3 3 2 2 2" xfId="45014" xr:uid="{00000000-0005-0000-0000-0000B77F0000}"/>
    <cellStyle name="40% - Accent4 9 3 3 2 3" xfId="33713" xr:uid="{00000000-0005-0000-0000-0000B87F0000}"/>
    <cellStyle name="40% - Accent4 9 3 3 3" xfId="16762" xr:uid="{00000000-0005-0000-0000-0000B97F0000}"/>
    <cellStyle name="40% - Accent4 9 3 3 3 2" xfId="39364" xr:uid="{00000000-0005-0000-0000-0000BA7F0000}"/>
    <cellStyle name="40% - Accent4 9 3 3 4" xfId="28063" xr:uid="{00000000-0005-0000-0000-0000BB7F0000}"/>
    <cellStyle name="40% - Accent4 9 3 4" xfId="7785" xr:uid="{00000000-0005-0000-0000-0000BC7F0000}"/>
    <cellStyle name="40% - Accent4 9 3 4 2" xfId="19086" xr:uid="{00000000-0005-0000-0000-0000BD7F0000}"/>
    <cellStyle name="40% - Accent4 9 3 4 2 2" xfId="41688" xr:uid="{00000000-0005-0000-0000-0000BE7F0000}"/>
    <cellStyle name="40% - Accent4 9 3 4 3" xfId="30387" xr:uid="{00000000-0005-0000-0000-0000BF7F0000}"/>
    <cellStyle name="40% - Accent4 9 3 5" xfId="13436" xr:uid="{00000000-0005-0000-0000-0000C07F0000}"/>
    <cellStyle name="40% - Accent4 9 3 5 2" xfId="36038" xr:uid="{00000000-0005-0000-0000-0000C17F0000}"/>
    <cellStyle name="40% - Accent4 9 3 6" xfId="24737" xr:uid="{00000000-0005-0000-0000-0000C27F0000}"/>
    <cellStyle name="40% - Accent4 9 4" xfId="2442" xr:uid="{00000000-0005-0000-0000-0000C37F0000}"/>
    <cellStyle name="40% - Accent4 9 4 2" xfId="8278" xr:uid="{00000000-0005-0000-0000-0000C47F0000}"/>
    <cellStyle name="40% - Accent4 9 4 2 2" xfId="19579" xr:uid="{00000000-0005-0000-0000-0000C57F0000}"/>
    <cellStyle name="40% - Accent4 9 4 2 2 2" xfId="42181" xr:uid="{00000000-0005-0000-0000-0000C67F0000}"/>
    <cellStyle name="40% - Accent4 9 4 2 3" xfId="30880" xr:uid="{00000000-0005-0000-0000-0000C77F0000}"/>
    <cellStyle name="40% - Accent4 9 4 3" xfId="13929" xr:uid="{00000000-0005-0000-0000-0000C87F0000}"/>
    <cellStyle name="40% - Accent4 9 4 3 2" xfId="36531" xr:uid="{00000000-0005-0000-0000-0000C97F0000}"/>
    <cellStyle name="40% - Accent4 9 4 4" xfId="25230" xr:uid="{00000000-0005-0000-0000-0000CA7F0000}"/>
    <cellStyle name="40% - Accent4 9 5" xfId="4227" xr:uid="{00000000-0005-0000-0000-0000CB7F0000}"/>
    <cellStyle name="40% - Accent4 9 5 2" xfId="9877" xr:uid="{00000000-0005-0000-0000-0000CC7F0000}"/>
    <cellStyle name="40% - Accent4 9 5 2 2" xfId="21178" xr:uid="{00000000-0005-0000-0000-0000CD7F0000}"/>
    <cellStyle name="40% - Accent4 9 5 2 2 2" xfId="43780" xr:uid="{00000000-0005-0000-0000-0000CE7F0000}"/>
    <cellStyle name="40% - Accent4 9 5 2 3" xfId="32479" xr:uid="{00000000-0005-0000-0000-0000CF7F0000}"/>
    <cellStyle name="40% - Accent4 9 5 3" xfId="15528" xr:uid="{00000000-0005-0000-0000-0000D07F0000}"/>
    <cellStyle name="40% - Accent4 9 5 3 2" xfId="38130" xr:uid="{00000000-0005-0000-0000-0000D17F0000}"/>
    <cellStyle name="40% - Accent4 9 5 4" xfId="26829" xr:uid="{00000000-0005-0000-0000-0000D27F0000}"/>
    <cellStyle name="40% - Accent4 9 6" xfId="6706" xr:uid="{00000000-0005-0000-0000-0000D37F0000}"/>
    <cellStyle name="40% - Accent4 9 6 2" xfId="18007" xr:uid="{00000000-0005-0000-0000-0000D47F0000}"/>
    <cellStyle name="40% - Accent4 9 6 2 2" xfId="40609" xr:uid="{00000000-0005-0000-0000-0000D57F0000}"/>
    <cellStyle name="40% - Accent4 9 6 3" xfId="29308" xr:uid="{00000000-0005-0000-0000-0000D67F0000}"/>
    <cellStyle name="40% - Accent4 9 7" xfId="12357" xr:uid="{00000000-0005-0000-0000-0000D77F0000}"/>
    <cellStyle name="40% - Accent4 9 7 2" xfId="34959" xr:uid="{00000000-0005-0000-0000-0000D87F0000}"/>
    <cellStyle name="40% - Accent4 9 8" xfId="23658" xr:uid="{00000000-0005-0000-0000-0000D97F0000}"/>
    <cellStyle name="40% - Accent5 10" xfId="1427" xr:uid="{00000000-0005-0000-0000-0000DA7F0000}"/>
    <cellStyle name="40% - Accent5 10 2" xfId="1930" xr:uid="{00000000-0005-0000-0000-0000DB7F0000}"/>
    <cellStyle name="40% - Accent5 10 2 2" xfId="3416" xr:uid="{00000000-0005-0000-0000-0000DC7F0000}"/>
    <cellStyle name="40% - Accent5 10 2 2 2" xfId="6388" xr:uid="{00000000-0005-0000-0000-0000DD7F0000}"/>
    <cellStyle name="40% - Accent5 10 2 2 2 2" xfId="12038" xr:uid="{00000000-0005-0000-0000-0000DE7F0000}"/>
    <cellStyle name="40% - Accent5 10 2 2 2 2 2" xfId="23339" xr:uid="{00000000-0005-0000-0000-0000DF7F0000}"/>
    <cellStyle name="40% - Accent5 10 2 2 2 2 2 2" xfId="45941" xr:uid="{00000000-0005-0000-0000-0000E07F0000}"/>
    <cellStyle name="40% - Accent5 10 2 2 2 2 3" xfId="34640" xr:uid="{00000000-0005-0000-0000-0000E17F0000}"/>
    <cellStyle name="40% - Accent5 10 2 2 2 3" xfId="17689" xr:uid="{00000000-0005-0000-0000-0000E27F0000}"/>
    <cellStyle name="40% - Accent5 10 2 2 2 3 2" xfId="40291" xr:uid="{00000000-0005-0000-0000-0000E37F0000}"/>
    <cellStyle name="40% - Accent5 10 2 2 2 4" xfId="28990" xr:uid="{00000000-0005-0000-0000-0000E47F0000}"/>
    <cellStyle name="40% - Accent5 10 2 2 3" xfId="9206" xr:uid="{00000000-0005-0000-0000-0000E57F0000}"/>
    <cellStyle name="40% - Accent5 10 2 2 3 2" xfId="20507" xr:uid="{00000000-0005-0000-0000-0000E67F0000}"/>
    <cellStyle name="40% - Accent5 10 2 2 3 2 2" xfId="43109" xr:uid="{00000000-0005-0000-0000-0000E77F0000}"/>
    <cellStyle name="40% - Accent5 10 2 2 3 3" xfId="31808" xr:uid="{00000000-0005-0000-0000-0000E87F0000}"/>
    <cellStyle name="40% - Accent5 10 2 2 4" xfId="14857" xr:uid="{00000000-0005-0000-0000-0000E97F0000}"/>
    <cellStyle name="40% - Accent5 10 2 2 4 2" xfId="37459" xr:uid="{00000000-0005-0000-0000-0000EA7F0000}"/>
    <cellStyle name="40% - Accent5 10 2 2 5" xfId="26158" xr:uid="{00000000-0005-0000-0000-0000EB7F0000}"/>
    <cellStyle name="40% - Accent5 10 2 3" xfId="5154" xr:uid="{00000000-0005-0000-0000-0000EC7F0000}"/>
    <cellStyle name="40% - Accent5 10 2 3 2" xfId="10804" xr:uid="{00000000-0005-0000-0000-0000ED7F0000}"/>
    <cellStyle name="40% - Accent5 10 2 3 2 2" xfId="22105" xr:uid="{00000000-0005-0000-0000-0000EE7F0000}"/>
    <cellStyle name="40% - Accent5 10 2 3 2 2 2" xfId="44707" xr:uid="{00000000-0005-0000-0000-0000EF7F0000}"/>
    <cellStyle name="40% - Accent5 10 2 3 2 3" xfId="33406" xr:uid="{00000000-0005-0000-0000-0000F07F0000}"/>
    <cellStyle name="40% - Accent5 10 2 3 3" xfId="16455" xr:uid="{00000000-0005-0000-0000-0000F17F0000}"/>
    <cellStyle name="40% - Accent5 10 2 3 3 2" xfId="39057" xr:uid="{00000000-0005-0000-0000-0000F27F0000}"/>
    <cellStyle name="40% - Accent5 10 2 3 4" xfId="27756" xr:uid="{00000000-0005-0000-0000-0000F37F0000}"/>
    <cellStyle name="40% - Accent5 10 2 4" xfId="7786" xr:uid="{00000000-0005-0000-0000-0000F47F0000}"/>
    <cellStyle name="40% - Accent5 10 2 4 2" xfId="19087" xr:uid="{00000000-0005-0000-0000-0000F57F0000}"/>
    <cellStyle name="40% - Accent5 10 2 4 2 2" xfId="41689" xr:uid="{00000000-0005-0000-0000-0000F67F0000}"/>
    <cellStyle name="40% - Accent5 10 2 4 3" xfId="30388" xr:uid="{00000000-0005-0000-0000-0000F77F0000}"/>
    <cellStyle name="40% - Accent5 10 2 5" xfId="13437" xr:uid="{00000000-0005-0000-0000-0000F87F0000}"/>
    <cellStyle name="40% - Accent5 10 2 5 2" xfId="36039" xr:uid="{00000000-0005-0000-0000-0000F97F0000}"/>
    <cellStyle name="40% - Accent5 10 2 6" xfId="24738" xr:uid="{00000000-0005-0000-0000-0000FA7F0000}"/>
    <cellStyle name="40% - Accent5 10 3" xfId="2747" xr:uid="{00000000-0005-0000-0000-0000FB7F0000}"/>
    <cellStyle name="40% - Accent5 10 3 2" xfId="5764" xr:uid="{00000000-0005-0000-0000-0000FC7F0000}"/>
    <cellStyle name="40% - Accent5 10 3 2 2" xfId="11414" xr:uid="{00000000-0005-0000-0000-0000FD7F0000}"/>
    <cellStyle name="40% - Accent5 10 3 2 2 2" xfId="22715" xr:uid="{00000000-0005-0000-0000-0000FE7F0000}"/>
    <cellStyle name="40% - Accent5 10 3 2 2 2 2" xfId="45317" xr:uid="{00000000-0005-0000-0000-0000FF7F0000}"/>
    <cellStyle name="40% - Accent5 10 3 2 2 3" xfId="34016" xr:uid="{00000000-0005-0000-0000-000000800000}"/>
    <cellStyle name="40% - Accent5 10 3 2 3" xfId="17065" xr:uid="{00000000-0005-0000-0000-000001800000}"/>
    <cellStyle name="40% - Accent5 10 3 2 3 2" xfId="39667" xr:uid="{00000000-0005-0000-0000-000002800000}"/>
    <cellStyle name="40% - Accent5 10 3 2 4" xfId="28366" xr:uid="{00000000-0005-0000-0000-000003800000}"/>
    <cellStyle name="40% - Accent5 10 3 3" xfId="8581" xr:uid="{00000000-0005-0000-0000-000004800000}"/>
    <cellStyle name="40% - Accent5 10 3 3 2" xfId="19882" xr:uid="{00000000-0005-0000-0000-000005800000}"/>
    <cellStyle name="40% - Accent5 10 3 3 2 2" xfId="42484" xr:uid="{00000000-0005-0000-0000-000006800000}"/>
    <cellStyle name="40% - Accent5 10 3 3 3" xfId="31183" xr:uid="{00000000-0005-0000-0000-000007800000}"/>
    <cellStyle name="40% - Accent5 10 3 4" xfId="14232" xr:uid="{00000000-0005-0000-0000-000008800000}"/>
    <cellStyle name="40% - Accent5 10 3 4 2" xfId="36834" xr:uid="{00000000-0005-0000-0000-000009800000}"/>
    <cellStyle name="40% - Accent5 10 3 5" xfId="25533" xr:uid="{00000000-0005-0000-0000-00000A800000}"/>
    <cellStyle name="40% - Accent5 10 4" xfId="4530" xr:uid="{00000000-0005-0000-0000-00000B800000}"/>
    <cellStyle name="40% - Accent5 10 4 2" xfId="10180" xr:uid="{00000000-0005-0000-0000-00000C800000}"/>
    <cellStyle name="40% - Accent5 10 4 2 2" xfId="21481" xr:uid="{00000000-0005-0000-0000-00000D800000}"/>
    <cellStyle name="40% - Accent5 10 4 2 2 2" xfId="44083" xr:uid="{00000000-0005-0000-0000-00000E800000}"/>
    <cellStyle name="40% - Accent5 10 4 2 3" xfId="32782" xr:uid="{00000000-0005-0000-0000-00000F800000}"/>
    <cellStyle name="40% - Accent5 10 4 3" xfId="15831" xr:uid="{00000000-0005-0000-0000-000010800000}"/>
    <cellStyle name="40% - Accent5 10 4 3 2" xfId="38433" xr:uid="{00000000-0005-0000-0000-000011800000}"/>
    <cellStyle name="40% - Accent5 10 4 4" xfId="27132" xr:uid="{00000000-0005-0000-0000-000012800000}"/>
    <cellStyle name="40% - Accent5 10 5" xfId="7330" xr:uid="{00000000-0005-0000-0000-000013800000}"/>
    <cellStyle name="40% - Accent5 10 5 2" xfId="18631" xr:uid="{00000000-0005-0000-0000-000014800000}"/>
    <cellStyle name="40% - Accent5 10 5 2 2" xfId="41233" xr:uid="{00000000-0005-0000-0000-000015800000}"/>
    <cellStyle name="40% - Accent5 10 5 3" xfId="29932" xr:uid="{00000000-0005-0000-0000-000016800000}"/>
    <cellStyle name="40% - Accent5 10 6" xfId="12981" xr:uid="{00000000-0005-0000-0000-000017800000}"/>
    <cellStyle name="40% - Accent5 10 6 2" xfId="35583" xr:uid="{00000000-0005-0000-0000-000018800000}"/>
    <cellStyle name="40% - Accent5 10 7" xfId="24282" xr:uid="{00000000-0005-0000-0000-000019800000}"/>
    <cellStyle name="40% - Accent5 11" xfId="1415" xr:uid="{00000000-0005-0000-0000-00001A800000}"/>
    <cellStyle name="40% - Accent5 11 2" xfId="1931" xr:uid="{00000000-0005-0000-0000-00001B800000}"/>
    <cellStyle name="40% - Accent5 11 2 2" xfId="3737" xr:uid="{00000000-0005-0000-0000-00001C800000}"/>
    <cellStyle name="40% - Accent5 11 2 2 2" xfId="9447" xr:uid="{00000000-0005-0000-0000-00001D800000}"/>
    <cellStyle name="40% - Accent5 11 2 2 2 2" xfId="20748" xr:uid="{00000000-0005-0000-0000-00001E800000}"/>
    <cellStyle name="40% - Accent5 11 2 2 2 2 2" xfId="43350" xr:uid="{00000000-0005-0000-0000-00001F800000}"/>
    <cellStyle name="40% - Accent5 11 2 2 2 3" xfId="32049" xr:uid="{00000000-0005-0000-0000-000020800000}"/>
    <cellStyle name="40% - Accent5 11 2 2 3" xfId="15098" xr:uid="{00000000-0005-0000-0000-000021800000}"/>
    <cellStyle name="40% - Accent5 11 2 2 3 2" xfId="37700" xr:uid="{00000000-0005-0000-0000-000022800000}"/>
    <cellStyle name="40% - Accent5 11 2 2 4" xfId="26399" xr:uid="{00000000-0005-0000-0000-000023800000}"/>
    <cellStyle name="40% - Accent5 11 2 3" xfId="7787" xr:uid="{00000000-0005-0000-0000-000024800000}"/>
    <cellStyle name="40% - Accent5 11 2 3 2" xfId="19088" xr:uid="{00000000-0005-0000-0000-000025800000}"/>
    <cellStyle name="40% - Accent5 11 2 3 2 2" xfId="41690" xr:uid="{00000000-0005-0000-0000-000026800000}"/>
    <cellStyle name="40% - Accent5 11 2 3 3" xfId="30389" xr:uid="{00000000-0005-0000-0000-000027800000}"/>
    <cellStyle name="40% - Accent5 11 2 4" xfId="13438" xr:uid="{00000000-0005-0000-0000-000028800000}"/>
    <cellStyle name="40% - Accent5 11 2 4 2" xfId="36040" xr:uid="{00000000-0005-0000-0000-000029800000}"/>
    <cellStyle name="40% - Accent5 11 2 5" xfId="24739" xr:uid="{00000000-0005-0000-0000-00002A800000}"/>
    <cellStyle name="40% - Accent5 11 3" xfId="2126" xr:uid="{00000000-0005-0000-0000-00002B800000}"/>
    <cellStyle name="40% - Accent5 11 3 2" xfId="7970" xr:uid="{00000000-0005-0000-0000-00002C800000}"/>
    <cellStyle name="40% - Accent5 11 3 2 2" xfId="19271" xr:uid="{00000000-0005-0000-0000-00002D800000}"/>
    <cellStyle name="40% - Accent5 11 3 2 2 2" xfId="41873" xr:uid="{00000000-0005-0000-0000-00002E800000}"/>
    <cellStyle name="40% - Accent5 11 3 2 3" xfId="30572" xr:uid="{00000000-0005-0000-0000-00002F800000}"/>
    <cellStyle name="40% - Accent5 11 3 3" xfId="13621" xr:uid="{00000000-0005-0000-0000-000030800000}"/>
    <cellStyle name="40% - Accent5 11 3 3 2" xfId="36223" xr:uid="{00000000-0005-0000-0000-000031800000}"/>
    <cellStyle name="40% - Accent5 11 3 4" xfId="24922" xr:uid="{00000000-0005-0000-0000-000032800000}"/>
    <cellStyle name="40% - Accent5 11 4" xfId="3922" xr:uid="{00000000-0005-0000-0000-000033800000}"/>
    <cellStyle name="40% - Accent5 11 4 2" xfId="9572" xr:uid="{00000000-0005-0000-0000-000034800000}"/>
    <cellStyle name="40% - Accent5 11 4 2 2" xfId="20873" xr:uid="{00000000-0005-0000-0000-000035800000}"/>
    <cellStyle name="40% - Accent5 11 4 2 2 2" xfId="43475" xr:uid="{00000000-0005-0000-0000-000036800000}"/>
    <cellStyle name="40% - Accent5 11 4 2 3" xfId="32174" xr:uid="{00000000-0005-0000-0000-000037800000}"/>
    <cellStyle name="40% - Accent5 11 4 3" xfId="15223" xr:uid="{00000000-0005-0000-0000-000038800000}"/>
    <cellStyle name="40% - Accent5 11 4 3 2" xfId="37825" xr:uid="{00000000-0005-0000-0000-000039800000}"/>
    <cellStyle name="40% - Accent5 11 4 4" xfId="26524" xr:uid="{00000000-0005-0000-0000-00003A800000}"/>
    <cellStyle name="40% - Accent5 11 5" xfId="7327" xr:uid="{00000000-0005-0000-0000-00003B800000}"/>
    <cellStyle name="40% - Accent5 11 5 2" xfId="18628" xr:uid="{00000000-0005-0000-0000-00003C800000}"/>
    <cellStyle name="40% - Accent5 11 5 2 2" xfId="41230" xr:uid="{00000000-0005-0000-0000-00003D800000}"/>
    <cellStyle name="40% - Accent5 11 5 3" xfId="29929" xr:uid="{00000000-0005-0000-0000-00003E800000}"/>
    <cellStyle name="40% - Accent5 11 6" xfId="12978" xr:uid="{00000000-0005-0000-0000-00003F800000}"/>
    <cellStyle name="40% - Accent5 11 6 2" xfId="35580" xr:uid="{00000000-0005-0000-0000-000040800000}"/>
    <cellStyle name="40% - Accent5 11 7" xfId="24279" xr:uid="{00000000-0005-0000-0000-000041800000}"/>
    <cellStyle name="40% - Accent5 12" xfId="772" xr:uid="{00000000-0005-0000-0000-000042800000}"/>
    <cellStyle name="40% - Accent5 12 2" xfId="3875" xr:uid="{00000000-0005-0000-0000-000043800000}"/>
    <cellStyle name="40% - Accent5 12 2 2" xfId="9552" xr:uid="{00000000-0005-0000-0000-000044800000}"/>
    <cellStyle name="40% - Accent5 12 2 2 2" xfId="20853" xr:uid="{00000000-0005-0000-0000-000045800000}"/>
    <cellStyle name="40% - Accent5 12 2 2 2 2" xfId="43455" xr:uid="{00000000-0005-0000-0000-000046800000}"/>
    <cellStyle name="40% - Accent5 12 2 2 3" xfId="32154" xr:uid="{00000000-0005-0000-0000-000047800000}"/>
    <cellStyle name="40% - Accent5 12 2 3" xfId="15203" xr:uid="{00000000-0005-0000-0000-000048800000}"/>
    <cellStyle name="40% - Accent5 12 2 3 2" xfId="37805" xr:uid="{00000000-0005-0000-0000-000049800000}"/>
    <cellStyle name="40% - Accent5 12 2 4" xfId="26504" xr:uid="{00000000-0005-0000-0000-00004A800000}"/>
    <cellStyle name="40% - Accent5 13" xfId="3497" xr:uid="{00000000-0005-0000-0000-00004B800000}"/>
    <cellStyle name="40% - Accent5 14" xfId="56" xr:uid="{00000000-0005-0000-0000-00004C800000}"/>
    <cellStyle name="40% - Accent5 2" xfId="92" xr:uid="{00000000-0005-0000-0000-00004D800000}"/>
    <cellStyle name="40% - Accent5 2 2" xfId="271" xr:uid="{00000000-0005-0000-0000-00004E800000}"/>
    <cellStyle name="40% - Accent5 2 2 10" xfId="23389" xr:uid="{00000000-0005-0000-0000-00004F800000}"/>
    <cellStyle name="40% - Accent5 2 2 2" xfId="539" xr:uid="{00000000-0005-0000-0000-000050800000}"/>
    <cellStyle name="40% - Accent5 2 2 2 2" xfId="1249" xr:uid="{00000000-0005-0000-0000-000051800000}"/>
    <cellStyle name="40% - Accent5 2 2 2 2 2" xfId="1934" xr:uid="{00000000-0005-0000-0000-000052800000}"/>
    <cellStyle name="40% - Accent5 2 2 2 2 2 2" xfId="3318" xr:uid="{00000000-0005-0000-0000-000053800000}"/>
    <cellStyle name="40% - Accent5 2 2 2 2 2 2 2" xfId="6290" xr:uid="{00000000-0005-0000-0000-000054800000}"/>
    <cellStyle name="40% - Accent5 2 2 2 2 2 2 2 2" xfId="11940" xr:uid="{00000000-0005-0000-0000-000055800000}"/>
    <cellStyle name="40% - Accent5 2 2 2 2 2 2 2 2 2" xfId="23241" xr:uid="{00000000-0005-0000-0000-000056800000}"/>
    <cellStyle name="40% - Accent5 2 2 2 2 2 2 2 2 2 2" xfId="45843" xr:uid="{00000000-0005-0000-0000-000057800000}"/>
    <cellStyle name="40% - Accent5 2 2 2 2 2 2 2 2 3" xfId="34542" xr:uid="{00000000-0005-0000-0000-000058800000}"/>
    <cellStyle name="40% - Accent5 2 2 2 2 2 2 2 3" xfId="17591" xr:uid="{00000000-0005-0000-0000-000059800000}"/>
    <cellStyle name="40% - Accent5 2 2 2 2 2 2 2 3 2" xfId="40193" xr:uid="{00000000-0005-0000-0000-00005A800000}"/>
    <cellStyle name="40% - Accent5 2 2 2 2 2 2 2 4" xfId="28892" xr:uid="{00000000-0005-0000-0000-00005B800000}"/>
    <cellStyle name="40% - Accent5 2 2 2 2 2 2 3" xfId="9108" xr:uid="{00000000-0005-0000-0000-00005C800000}"/>
    <cellStyle name="40% - Accent5 2 2 2 2 2 2 3 2" xfId="20409" xr:uid="{00000000-0005-0000-0000-00005D800000}"/>
    <cellStyle name="40% - Accent5 2 2 2 2 2 2 3 2 2" xfId="43011" xr:uid="{00000000-0005-0000-0000-00005E800000}"/>
    <cellStyle name="40% - Accent5 2 2 2 2 2 2 3 3" xfId="31710" xr:uid="{00000000-0005-0000-0000-00005F800000}"/>
    <cellStyle name="40% - Accent5 2 2 2 2 2 2 4" xfId="14759" xr:uid="{00000000-0005-0000-0000-000060800000}"/>
    <cellStyle name="40% - Accent5 2 2 2 2 2 2 4 2" xfId="37361" xr:uid="{00000000-0005-0000-0000-000061800000}"/>
    <cellStyle name="40% - Accent5 2 2 2 2 2 2 5" xfId="26060" xr:uid="{00000000-0005-0000-0000-000062800000}"/>
    <cellStyle name="40% - Accent5 2 2 2 2 2 3" xfId="5056" xr:uid="{00000000-0005-0000-0000-000063800000}"/>
    <cellStyle name="40% - Accent5 2 2 2 2 2 3 2" xfId="10706" xr:uid="{00000000-0005-0000-0000-000064800000}"/>
    <cellStyle name="40% - Accent5 2 2 2 2 2 3 2 2" xfId="22007" xr:uid="{00000000-0005-0000-0000-000065800000}"/>
    <cellStyle name="40% - Accent5 2 2 2 2 2 3 2 2 2" xfId="44609" xr:uid="{00000000-0005-0000-0000-000066800000}"/>
    <cellStyle name="40% - Accent5 2 2 2 2 2 3 2 3" xfId="33308" xr:uid="{00000000-0005-0000-0000-000067800000}"/>
    <cellStyle name="40% - Accent5 2 2 2 2 2 3 3" xfId="16357" xr:uid="{00000000-0005-0000-0000-000068800000}"/>
    <cellStyle name="40% - Accent5 2 2 2 2 2 3 3 2" xfId="38959" xr:uid="{00000000-0005-0000-0000-000069800000}"/>
    <cellStyle name="40% - Accent5 2 2 2 2 2 3 4" xfId="27658" xr:uid="{00000000-0005-0000-0000-00006A800000}"/>
    <cellStyle name="40% - Accent5 2 2 2 2 2 4" xfId="7790" xr:uid="{00000000-0005-0000-0000-00006B800000}"/>
    <cellStyle name="40% - Accent5 2 2 2 2 2 4 2" xfId="19091" xr:uid="{00000000-0005-0000-0000-00006C800000}"/>
    <cellStyle name="40% - Accent5 2 2 2 2 2 4 2 2" xfId="41693" xr:uid="{00000000-0005-0000-0000-00006D800000}"/>
    <cellStyle name="40% - Accent5 2 2 2 2 2 4 3" xfId="30392" xr:uid="{00000000-0005-0000-0000-00006E800000}"/>
    <cellStyle name="40% - Accent5 2 2 2 2 2 5" xfId="13441" xr:uid="{00000000-0005-0000-0000-00006F800000}"/>
    <cellStyle name="40% - Accent5 2 2 2 2 2 5 2" xfId="36043" xr:uid="{00000000-0005-0000-0000-000070800000}"/>
    <cellStyle name="40% - Accent5 2 2 2 2 2 6" xfId="24742" xr:uid="{00000000-0005-0000-0000-000071800000}"/>
    <cellStyle name="40% - Accent5 2 2 2 2 3" xfId="2647" xr:uid="{00000000-0005-0000-0000-000072800000}"/>
    <cellStyle name="40% - Accent5 2 2 2 2 3 2" xfId="5666" xr:uid="{00000000-0005-0000-0000-000073800000}"/>
    <cellStyle name="40% - Accent5 2 2 2 2 3 2 2" xfId="11316" xr:uid="{00000000-0005-0000-0000-000074800000}"/>
    <cellStyle name="40% - Accent5 2 2 2 2 3 2 2 2" xfId="22617" xr:uid="{00000000-0005-0000-0000-000075800000}"/>
    <cellStyle name="40% - Accent5 2 2 2 2 3 2 2 2 2" xfId="45219" xr:uid="{00000000-0005-0000-0000-000076800000}"/>
    <cellStyle name="40% - Accent5 2 2 2 2 3 2 2 3" xfId="33918" xr:uid="{00000000-0005-0000-0000-000077800000}"/>
    <cellStyle name="40% - Accent5 2 2 2 2 3 2 3" xfId="16967" xr:uid="{00000000-0005-0000-0000-000078800000}"/>
    <cellStyle name="40% - Accent5 2 2 2 2 3 2 3 2" xfId="39569" xr:uid="{00000000-0005-0000-0000-000079800000}"/>
    <cellStyle name="40% - Accent5 2 2 2 2 3 2 4" xfId="28268" xr:uid="{00000000-0005-0000-0000-00007A800000}"/>
    <cellStyle name="40% - Accent5 2 2 2 2 3 3" xfId="8483" xr:uid="{00000000-0005-0000-0000-00007B800000}"/>
    <cellStyle name="40% - Accent5 2 2 2 2 3 3 2" xfId="19784" xr:uid="{00000000-0005-0000-0000-00007C800000}"/>
    <cellStyle name="40% - Accent5 2 2 2 2 3 3 2 2" xfId="42386" xr:uid="{00000000-0005-0000-0000-00007D800000}"/>
    <cellStyle name="40% - Accent5 2 2 2 2 3 3 3" xfId="31085" xr:uid="{00000000-0005-0000-0000-00007E800000}"/>
    <cellStyle name="40% - Accent5 2 2 2 2 3 4" xfId="14134" xr:uid="{00000000-0005-0000-0000-00007F800000}"/>
    <cellStyle name="40% - Accent5 2 2 2 2 3 4 2" xfId="36736" xr:uid="{00000000-0005-0000-0000-000080800000}"/>
    <cellStyle name="40% - Accent5 2 2 2 2 3 5" xfId="25435" xr:uid="{00000000-0005-0000-0000-000081800000}"/>
    <cellStyle name="40% - Accent5 2 2 2 2 4" xfId="4432" xr:uid="{00000000-0005-0000-0000-000082800000}"/>
    <cellStyle name="40% - Accent5 2 2 2 2 4 2" xfId="10082" xr:uid="{00000000-0005-0000-0000-000083800000}"/>
    <cellStyle name="40% - Accent5 2 2 2 2 4 2 2" xfId="21383" xr:uid="{00000000-0005-0000-0000-000084800000}"/>
    <cellStyle name="40% - Accent5 2 2 2 2 4 2 2 2" xfId="43985" xr:uid="{00000000-0005-0000-0000-000085800000}"/>
    <cellStyle name="40% - Accent5 2 2 2 2 4 2 3" xfId="32684" xr:uid="{00000000-0005-0000-0000-000086800000}"/>
    <cellStyle name="40% - Accent5 2 2 2 2 4 3" xfId="15733" xr:uid="{00000000-0005-0000-0000-000087800000}"/>
    <cellStyle name="40% - Accent5 2 2 2 2 4 3 2" xfId="38335" xr:uid="{00000000-0005-0000-0000-000088800000}"/>
    <cellStyle name="40% - Accent5 2 2 2 2 4 4" xfId="27034" xr:uid="{00000000-0005-0000-0000-000089800000}"/>
    <cellStyle name="40% - Accent5 2 2 2 2 5" xfId="7228" xr:uid="{00000000-0005-0000-0000-00008A800000}"/>
    <cellStyle name="40% - Accent5 2 2 2 2 5 2" xfId="18529" xr:uid="{00000000-0005-0000-0000-00008B800000}"/>
    <cellStyle name="40% - Accent5 2 2 2 2 5 2 2" xfId="41131" xr:uid="{00000000-0005-0000-0000-00008C800000}"/>
    <cellStyle name="40% - Accent5 2 2 2 2 5 3" xfId="29830" xr:uid="{00000000-0005-0000-0000-00008D800000}"/>
    <cellStyle name="40% - Accent5 2 2 2 2 6" xfId="12879" xr:uid="{00000000-0005-0000-0000-00008E800000}"/>
    <cellStyle name="40% - Accent5 2 2 2 2 6 2" xfId="35481" xr:uid="{00000000-0005-0000-0000-00008F800000}"/>
    <cellStyle name="40% - Accent5 2 2 2 2 7" xfId="24180" xr:uid="{00000000-0005-0000-0000-000090800000}"/>
    <cellStyle name="40% - Accent5 2 2 2 3" xfId="947" xr:uid="{00000000-0005-0000-0000-000091800000}"/>
    <cellStyle name="40% - Accent5 2 2 2 3 2" xfId="3010" xr:uid="{00000000-0005-0000-0000-000092800000}"/>
    <cellStyle name="40% - Accent5 2 2 2 3 2 2" xfId="5982" xr:uid="{00000000-0005-0000-0000-000093800000}"/>
    <cellStyle name="40% - Accent5 2 2 2 3 2 2 2" xfId="11632" xr:uid="{00000000-0005-0000-0000-000094800000}"/>
    <cellStyle name="40% - Accent5 2 2 2 3 2 2 2 2" xfId="22933" xr:uid="{00000000-0005-0000-0000-000095800000}"/>
    <cellStyle name="40% - Accent5 2 2 2 3 2 2 2 2 2" xfId="45535" xr:uid="{00000000-0005-0000-0000-000096800000}"/>
    <cellStyle name="40% - Accent5 2 2 2 3 2 2 2 3" xfId="34234" xr:uid="{00000000-0005-0000-0000-000097800000}"/>
    <cellStyle name="40% - Accent5 2 2 2 3 2 2 3" xfId="17283" xr:uid="{00000000-0005-0000-0000-000098800000}"/>
    <cellStyle name="40% - Accent5 2 2 2 3 2 2 3 2" xfId="39885" xr:uid="{00000000-0005-0000-0000-000099800000}"/>
    <cellStyle name="40% - Accent5 2 2 2 3 2 2 4" xfId="28584" xr:uid="{00000000-0005-0000-0000-00009A800000}"/>
    <cellStyle name="40% - Accent5 2 2 2 3 2 3" xfId="8800" xr:uid="{00000000-0005-0000-0000-00009B800000}"/>
    <cellStyle name="40% - Accent5 2 2 2 3 2 3 2" xfId="20101" xr:uid="{00000000-0005-0000-0000-00009C800000}"/>
    <cellStyle name="40% - Accent5 2 2 2 3 2 3 2 2" xfId="42703" xr:uid="{00000000-0005-0000-0000-00009D800000}"/>
    <cellStyle name="40% - Accent5 2 2 2 3 2 3 3" xfId="31402" xr:uid="{00000000-0005-0000-0000-00009E800000}"/>
    <cellStyle name="40% - Accent5 2 2 2 3 2 4" xfId="14451" xr:uid="{00000000-0005-0000-0000-00009F800000}"/>
    <cellStyle name="40% - Accent5 2 2 2 3 2 4 2" xfId="37053" xr:uid="{00000000-0005-0000-0000-0000A0800000}"/>
    <cellStyle name="40% - Accent5 2 2 2 3 2 5" xfId="25752" xr:uid="{00000000-0005-0000-0000-0000A1800000}"/>
    <cellStyle name="40% - Accent5 2 2 2 3 3" xfId="4748" xr:uid="{00000000-0005-0000-0000-0000A2800000}"/>
    <cellStyle name="40% - Accent5 2 2 2 3 3 2" xfId="10398" xr:uid="{00000000-0005-0000-0000-0000A3800000}"/>
    <cellStyle name="40% - Accent5 2 2 2 3 3 2 2" xfId="21699" xr:uid="{00000000-0005-0000-0000-0000A4800000}"/>
    <cellStyle name="40% - Accent5 2 2 2 3 3 2 2 2" xfId="44301" xr:uid="{00000000-0005-0000-0000-0000A5800000}"/>
    <cellStyle name="40% - Accent5 2 2 2 3 3 2 3" xfId="33000" xr:uid="{00000000-0005-0000-0000-0000A6800000}"/>
    <cellStyle name="40% - Accent5 2 2 2 3 3 3" xfId="16049" xr:uid="{00000000-0005-0000-0000-0000A7800000}"/>
    <cellStyle name="40% - Accent5 2 2 2 3 3 3 2" xfId="38651" xr:uid="{00000000-0005-0000-0000-0000A8800000}"/>
    <cellStyle name="40% - Accent5 2 2 2 3 3 4" xfId="27350" xr:uid="{00000000-0005-0000-0000-0000A9800000}"/>
    <cellStyle name="40% - Accent5 2 2 2 3 4" xfId="6935" xr:uid="{00000000-0005-0000-0000-0000AA800000}"/>
    <cellStyle name="40% - Accent5 2 2 2 3 4 2" xfId="18236" xr:uid="{00000000-0005-0000-0000-0000AB800000}"/>
    <cellStyle name="40% - Accent5 2 2 2 3 4 2 2" xfId="40838" xr:uid="{00000000-0005-0000-0000-0000AC800000}"/>
    <cellStyle name="40% - Accent5 2 2 2 3 4 3" xfId="29537" xr:uid="{00000000-0005-0000-0000-0000AD800000}"/>
    <cellStyle name="40% - Accent5 2 2 2 3 5" xfId="12586" xr:uid="{00000000-0005-0000-0000-0000AE800000}"/>
    <cellStyle name="40% - Accent5 2 2 2 3 5 2" xfId="35188" xr:uid="{00000000-0005-0000-0000-0000AF800000}"/>
    <cellStyle name="40% - Accent5 2 2 2 3 6" xfId="23887" xr:uid="{00000000-0005-0000-0000-0000B0800000}"/>
    <cellStyle name="40% - Accent5 2 2 2 4" xfId="1933" xr:uid="{00000000-0005-0000-0000-0000B1800000}"/>
    <cellStyle name="40% - Accent5 2 2 2 4 2" xfId="3739" xr:uid="{00000000-0005-0000-0000-0000B2800000}"/>
    <cellStyle name="40% - Accent5 2 2 2 4 2 2" xfId="9449" xr:uid="{00000000-0005-0000-0000-0000B3800000}"/>
    <cellStyle name="40% - Accent5 2 2 2 4 2 2 2" xfId="20750" xr:uid="{00000000-0005-0000-0000-0000B4800000}"/>
    <cellStyle name="40% - Accent5 2 2 2 4 2 2 2 2" xfId="43352" xr:uid="{00000000-0005-0000-0000-0000B5800000}"/>
    <cellStyle name="40% - Accent5 2 2 2 4 2 2 3" xfId="32051" xr:uid="{00000000-0005-0000-0000-0000B6800000}"/>
    <cellStyle name="40% - Accent5 2 2 2 4 2 3" xfId="15100" xr:uid="{00000000-0005-0000-0000-0000B7800000}"/>
    <cellStyle name="40% - Accent5 2 2 2 4 2 3 2" xfId="37702" xr:uid="{00000000-0005-0000-0000-0000B8800000}"/>
    <cellStyle name="40% - Accent5 2 2 2 4 2 4" xfId="26401" xr:uid="{00000000-0005-0000-0000-0000B9800000}"/>
    <cellStyle name="40% - Accent5 2 2 2 4 3" xfId="5358" xr:uid="{00000000-0005-0000-0000-0000BA800000}"/>
    <cellStyle name="40% - Accent5 2 2 2 4 3 2" xfId="11008" xr:uid="{00000000-0005-0000-0000-0000BB800000}"/>
    <cellStyle name="40% - Accent5 2 2 2 4 3 2 2" xfId="22309" xr:uid="{00000000-0005-0000-0000-0000BC800000}"/>
    <cellStyle name="40% - Accent5 2 2 2 4 3 2 2 2" xfId="44911" xr:uid="{00000000-0005-0000-0000-0000BD800000}"/>
    <cellStyle name="40% - Accent5 2 2 2 4 3 2 3" xfId="33610" xr:uid="{00000000-0005-0000-0000-0000BE800000}"/>
    <cellStyle name="40% - Accent5 2 2 2 4 3 3" xfId="16659" xr:uid="{00000000-0005-0000-0000-0000BF800000}"/>
    <cellStyle name="40% - Accent5 2 2 2 4 3 3 2" xfId="39261" xr:uid="{00000000-0005-0000-0000-0000C0800000}"/>
    <cellStyle name="40% - Accent5 2 2 2 4 3 4" xfId="27960" xr:uid="{00000000-0005-0000-0000-0000C1800000}"/>
    <cellStyle name="40% - Accent5 2 2 2 4 4" xfId="7789" xr:uid="{00000000-0005-0000-0000-0000C2800000}"/>
    <cellStyle name="40% - Accent5 2 2 2 4 4 2" xfId="19090" xr:uid="{00000000-0005-0000-0000-0000C3800000}"/>
    <cellStyle name="40% - Accent5 2 2 2 4 4 2 2" xfId="41692" xr:uid="{00000000-0005-0000-0000-0000C4800000}"/>
    <cellStyle name="40% - Accent5 2 2 2 4 4 3" xfId="30391" xr:uid="{00000000-0005-0000-0000-0000C5800000}"/>
    <cellStyle name="40% - Accent5 2 2 2 4 5" xfId="13440" xr:uid="{00000000-0005-0000-0000-0000C6800000}"/>
    <cellStyle name="40% - Accent5 2 2 2 4 5 2" xfId="36042" xr:uid="{00000000-0005-0000-0000-0000C7800000}"/>
    <cellStyle name="40% - Accent5 2 2 2 4 6" xfId="24741" xr:uid="{00000000-0005-0000-0000-0000C8800000}"/>
    <cellStyle name="40% - Accent5 2 2 2 5" xfId="2339" xr:uid="{00000000-0005-0000-0000-0000C9800000}"/>
    <cellStyle name="40% - Accent5 2 2 2 5 2" xfId="8175" xr:uid="{00000000-0005-0000-0000-0000CA800000}"/>
    <cellStyle name="40% - Accent5 2 2 2 5 2 2" xfId="19476" xr:uid="{00000000-0005-0000-0000-0000CB800000}"/>
    <cellStyle name="40% - Accent5 2 2 2 5 2 2 2" xfId="42078" xr:uid="{00000000-0005-0000-0000-0000CC800000}"/>
    <cellStyle name="40% - Accent5 2 2 2 5 2 3" xfId="30777" xr:uid="{00000000-0005-0000-0000-0000CD800000}"/>
    <cellStyle name="40% - Accent5 2 2 2 5 3" xfId="13826" xr:uid="{00000000-0005-0000-0000-0000CE800000}"/>
    <cellStyle name="40% - Accent5 2 2 2 5 3 2" xfId="36428" xr:uid="{00000000-0005-0000-0000-0000CF800000}"/>
    <cellStyle name="40% - Accent5 2 2 2 5 4" xfId="25127" xr:uid="{00000000-0005-0000-0000-0000D0800000}"/>
    <cellStyle name="40% - Accent5 2 2 2 6" xfId="4124" xr:uid="{00000000-0005-0000-0000-0000D1800000}"/>
    <cellStyle name="40% - Accent5 2 2 2 6 2" xfId="9774" xr:uid="{00000000-0005-0000-0000-0000D2800000}"/>
    <cellStyle name="40% - Accent5 2 2 2 6 2 2" xfId="21075" xr:uid="{00000000-0005-0000-0000-0000D3800000}"/>
    <cellStyle name="40% - Accent5 2 2 2 6 2 2 2" xfId="43677" xr:uid="{00000000-0005-0000-0000-0000D4800000}"/>
    <cellStyle name="40% - Accent5 2 2 2 6 2 3" xfId="32376" xr:uid="{00000000-0005-0000-0000-0000D5800000}"/>
    <cellStyle name="40% - Accent5 2 2 2 6 3" xfId="15425" xr:uid="{00000000-0005-0000-0000-0000D6800000}"/>
    <cellStyle name="40% - Accent5 2 2 2 6 3 2" xfId="38027" xr:uid="{00000000-0005-0000-0000-0000D7800000}"/>
    <cellStyle name="40% - Accent5 2 2 2 6 4" xfId="26726" xr:uid="{00000000-0005-0000-0000-0000D8800000}"/>
    <cellStyle name="40% - Accent5 2 2 2 7" xfId="6604" xr:uid="{00000000-0005-0000-0000-0000D9800000}"/>
    <cellStyle name="40% - Accent5 2 2 2 7 2" xfId="17905" xr:uid="{00000000-0005-0000-0000-0000DA800000}"/>
    <cellStyle name="40% - Accent5 2 2 2 7 2 2" xfId="40507" xr:uid="{00000000-0005-0000-0000-0000DB800000}"/>
    <cellStyle name="40% - Accent5 2 2 2 7 3" xfId="29206" xr:uid="{00000000-0005-0000-0000-0000DC800000}"/>
    <cellStyle name="40% - Accent5 2 2 2 8" xfId="12255" xr:uid="{00000000-0005-0000-0000-0000DD800000}"/>
    <cellStyle name="40% - Accent5 2 2 2 8 2" xfId="34857" xr:uid="{00000000-0005-0000-0000-0000DE800000}"/>
    <cellStyle name="40% - Accent5 2 2 2 9" xfId="23556" xr:uid="{00000000-0005-0000-0000-0000DF800000}"/>
    <cellStyle name="40% - Accent5 2 2 3" xfId="1111" xr:uid="{00000000-0005-0000-0000-0000E0800000}"/>
    <cellStyle name="40% - Accent5 2 2 3 2" xfId="1935" xr:uid="{00000000-0005-0000-0000-0000E1800000}"/>
    <cellStyle name="40% - Accent5 2 2 3 2 2" xfId="3179" xr:uid="{00000000-0005-0000-0000-0000E2800000}"/>
    <cellStyle name="40% - Accent5 2 2 3 2 2 2" xfId="6151" xr:uid="{00000000-0005-0000-0000-0000E3800000}"/>
    <cellStyle name="40% - Accent5 2 2 3 2 2 2 2" xfId="11801" xr:uid="{00000000-0005-0000-0000-0000E4800000}"/>
    <cellStyle name="40% - Accent5 2 2 3 2 2 2 2 2" xfId="23102" xr:uid="{00000000-0005-0000-0000-0000E5800000}"/>
    <cellStyle name="40% - Accent5 2 2 3 2 2 2 2 2 2" xfId="45704" xr:uid="{00000000-0005-0000-0000-0000E6800000}"/>
    <cellStyle name="40% - Accent5 2 2 3 2 2 2 2 3" xfId="34403" xr:uid="{00000000-0005-0000-0000-0000E7800000}"/>
    <cellStyle name="40% - Accent5 2 2 3 2 2 2 3" xfId="17452" xr:uid="{00000000-0005-0000-0000-0000E8800000}"/>
    <cellStyle name="40% - Accent5 2 2 3 2 2 2 3 2" xfId="40054" xr:uid="{00000000-0005-0000-0000-0000E9800000}"/>
    <cellStyle name="40% - Accent5 2 2 3 2 2 2 4" xfId="28753" xr:uid="{00000000-0005-0000-0000-0000EA800000}"/>
    <cellStyle name="40% - Accent5 2 2 3 2 2 3" xfId="8969" xr:uid="{00000000-0005-0000-0000-0000EB800000}"/>
    <cellStyle name="40% - Accent5 2 2 3 2 2 3 2" xfId="20270" xr:uid="{00000000-0005-0000-0000-0000EC800000}"/>
    <cellStyle name="40% - Accent5 2 2 3 2 2 3 2 2" xfId="42872" xr:uid="{00000000-0005-0000-0000-0000ED800000}"/>
    <cellStyle name="40% - Accent5 2 2 3 2 2 3 3" xfId="31571" xr:uid="{00000000-0005-0000-0000-0000EE800000}"/>
    <cellStyle name="40% - Accent5 2 2 3 2 2 4" xfId="14620" xr:uid="{00000000-0005-0000-0000-0000EF800000}"/>
    <cellStyle name="40% - Accent5 2 2 3 2 2 4 2" xfId="37222" xr:uid="{00000000-0005-0000-0000-0000F0800000}"/>
    <cellStyle name="40% - Accent5 2 2 3 2 2 5" xfId="25921" xr:uid="{00000000-0005-0000-0000-0000F1800000}"/>
    <cellStyle name="40% - Accent5 2 2 3 2 3" xfId="4917" xr:uid="{00000000-0005-0000-0000-0000F2800000}"/>
    <cellStyle name="40% - Accent5 2 2 3 2 3 2" xfId="10567" xr:uid="{00000000-0005-0000-0000-0000F3800000}"/>
    <cellStyle name="40% - Accent5 2 2 3 2 3 2 2" xfId="21868" xr:uid="{00000000-0005-0000-0000-0000F4800000}"/>
    <cellStyle name="40% - Accent5 2 2 3 2 3 2 2 2" xfId="44470" xr:uid="{00000000-0005-0000-0000-0000F5800000}"/>
    <cellStyle name="40% - Accent5 2 2 3 2 3 2 3" xfId="33169" xr:uid="{00000000-0005-0000-0000-0000F6800000}"/>
    <cellStyle name="40% - Accent5 2 2 3 2 3 3" xfId="16218" xr:uid="{00000000-0005-0000-0000-0000F7800000}"/>
    <cellStyle name="40% - Accent5 2 2 3 2 3 3 2" xfId="38820" xr:uid="{00000000-0005-0000-0000-0000F8800000}"/>
    <cellStyle name="40% - Accent5 2 2 3 2 3 4" xfId="27519" xr:uid="{00000000-0005-0000-0000-0000F9800000}"/>
    <cellStyle name="40% - Accent5 2 2 3 2 4" xfId="7791" xr:uid="{00000000-0005-0000-0000-0000FA800000}"/>
    <cellStyle name="40% - Accent5 2 2 3 2 4 2" xfId="19092" xr:uid="{00000000-0005-0000-0000-0000FB800000}"/>
    <cellStyle name="40% - Accent5 2 2 3 2 4 2 2" xfId="41694" xr:uid="{00000000-0005-0000-0000-0000FC800000}"/>
    <cellStyle name="40% - Accent5 2 2 3 2 4 3" xfId="30393" xr:uid="{00000000-0005-0000-0000-0000FD800000}"/>
    <cellStyle name="40% - Accent5 2 2 3 2 5" xfId="13442" xr:uid="{00000000-0005-0000-0000-0000FE800000}"/>
    <cellStyle name="40% - Accent5 2 2 3 2 5 2" xfId="36044" xr:uid="{00000000-0005-0000-0000-0000FF800000}"/>
    <cellStyle name="40% - Accent5 2 2 3 2 6" xfId="24743" xr:uid="{00000000-0005-0000-0000-000000810000}"/>
    <cellStyle name="40% - Accent5 2 2 3 3" xfId="2508" xr:uid="{00000000-0005-0000-0000-000001810000}"/>
    <cellStyle name="40% - Accent5 2 2 3 3 2" xfId="5527" xr:uid="{00000000-0005-0000-0000-000002810000}"/>
    <cellStyle name="40% - Accent5 2 2 3 3 2 2" xfId="11177" xr:uid="{00000000-0005-0000-0000-000003810000}"/>
    <cellStyle name="40% - Accent5 2 2 3 3 2 2 2" xfId="22478" xr:uid="{00000000-0005-0000-0000-000004810000}"/>
    <cellStyle name="40% - Accent5 2 2 3 3 2 2 2 2" xfId="45080" xr:uid="{00000000-0005-0000-0000-000005810000}"/>
    <cellStyle name="40% - Accent5 2 2 3 3 2 2 3" xfId="33779" xr:uid="{00000000-0005-0000-0000-000006810000}"/>
    <cellStyle name="40% - Accent5 2 2 3 3 2 3" xfId="16828" xr:uid="{00000000-0005-0000-0000-000007810000}"/>
    <cellStyle name="40% - Accent5 2 2 3 3 2 3 2" xfId="39430" xr:uid="{00000000-0005-0000-0000-000008810000}"/>
    <cellStyle name="40% - Accent5 2 2 3 3 2 4" xfId="28129" xr:uid="{00000000-0005-0000-0000-000009810000}"/>
    <cellStyle name="40% - Accent5 2 2 3 3 3" xfId="8344" xr:uid="{00000000-0005-0000-0000-00000A810000}"/>
    <cellStyle name="40% - Accent5 2 2 3 3 3 2" xfId="19645" xr:uid="{00000000-0005-0000-0000-00000B810000}"/>
    <cellStyle name="40% - Accent5 2 2 3 3 3 2 2" xfId="42247" xr:uid="{00000000-0005-0000-0000-00000C810000}"/>
    <cellStyle name="40% - Accent5 2 2 3 3 3 3" xfId="30946" xr:uid="{00000000-0005-0000-0000-00000D810000}"/>
    <cellStyle name="40% - Accent5 2 2 3 3 4" xfId="13995" xr:uid="{00000000-0005-0000-0000-00000E810000}"/>
    <cellStyle name="40% - Accent5 2 2 3 3 4 2" xfId="36597" xr:uid="{00000000-0005-0000-0000-00000F810000}"/>
    <cellStyle name="40% - Accent5 2 2 3 3 5" xfId="25296" xr:uid="{00000000-0005-0000-0000-000010810000}"/>
    <cellStyle name="40% - Accent5 2 2 3 4" xfId="4293" xr:uid="{00000000-0005-0000-0000-000011810000}"/>
    <cellStyle name="40% - Accent5 2 2 3 4 2" xfId="9943" xr:uid="{00000000-0005-0000-0000-000012810000}"/>
    <cellStyle name="40% - Accent5 2 2 3 4 2 2" xfId="21244" xr:uid="{00000000-0005-0000-0000-000013810000}"/>
    <cellStyle name="40% - Accent5 2 2 3 4 2 2 2" xfId="43846" xr:uid="{00000000-0005-0000-0000-000014810000}"/>
    <cellStyle name="40% - Accent5 2 2 3 4 2 3" xfId="32545" xr:uid="{00000000-0005-0000-0000-000015810000}"/>
    <cellStyle name="40% - Accent5 2 2 3 4 3" xfId="15594" xr:uid="{00000000-0005-0000-0000-000016810000}"/>
    <cellStyle name="40% - Accent5 2 2 3 4 3 2" xfId="38196" xr:uid="{00000000-0005-0000-0000-000017810000}"/>
    <cellStyle name="40% - Accent5 2 2 3 4 4" xfId="26895" xr:uid="{00000000-0005-0000-0000-000018810000}"/>
    <cellStyle name="40% - Accent5 2 2 3 5" xfId="7090" xr:uid="{00000000-0005-0000-0000-000019810000}"/>
    <cellStyle name="40% - Accent5 2 2 3 5 2" xfId="18391" xr:uid="{00000000-0005-0000-0000-00001A810000}"/>
    <cellStyle name="40% - Accent5 2 2 3 5 2 2" xfId="40993" xr:uid="{00000000-0005-0000-0000-00001B810000}"/>
    <cellStyle name="40% - Accent5 2 2 3 5 3" xfId="29692" xr:uid="{00000000-0005-0000-0000-00001C810000}"/>
    <cellStyle name="40% - Accent5 2 2 3 6" xfId="12741" xr:uid="{00000000-0005-0000-0000-00001D810000}"/>
    <cellStyle name="40% - Accent5 2 2 3 6 2" xfId="35343" xr:uid="{00000000-0005-0000-0000-00001E810000}"/>
    <cellStyle name="40% - Accent5 2 2 3 7" xfId="24042" xr:uid="{00000000-0005-0000-0000-00001F810000}"/>
    <cellStyle name="40% - Accent5 2 2 4" xfId="799" xr:uid="{00000000-0005-0000-0000-000020810000}"/>
    <cellStyle name="40% - Accent5 2 2 4 2" xfId="2872" xr:uid="{00000000-0005-0000-0000-000021810000}"/>
    <cellStyle name="40% - Accent5 2 2 4 2 2" xfId="5844" xr:uid="{00000000-0005-0000-0000-000022810000}"/>
    <cellStyle name="40% - Accent5 2 2 4 2 2 2" xfId="11494" xr:uid="{00000000-0005-0000-0000-000023810000}"/>
    <cellStyle name="40% - Accent5 2 2 4 2 2 2 2" xfId="22795" xr:uid="{00000000-0005-0000-0000-000024810000}"/>
    <cellStyle name="40% - Accent5 2 2 4 2 2 2 2 2" xfId="45397" xr:uid="{00000000-0005-0000-0000-000025810000}"/>
    <cellStyle name="40% - Accent5 2 2 4 2 2 2 3" xfId="34096" xr:uid="{00000000-0005-0000-0000-000026810000}"/>
    <cellStyle name="40% - Accent5 2 2 4 2 2 3" xfId="17145" xr:uid="{00000000-0005-0000-0000-000027810000}"/>
    <cellStyle name="40% - Accent5 2 2 4 2 2 3 2" xfId="39747" xr:uid="{00000000-0005-0000-0000-000028810000}"/>
    <cellStyle name="40% - Accent5 2 2 4 2 2 4" xfId="28446" xr:uid="{00000000-0005-0000-0000-000029810000}"/>
    <cellStyle name="40% - Accent5 2 2 4 2 3" xfId="8662" xr:uid="{00000000-0005-0000-0000-00002A810000}"/>
    <cellStyle name="40% - Accent5 2 2 4 2 3 2" xfId="19963" xr:uid="{00000000-0005-0000-0000-00002B810000}"/>
    <cellStyle name="40% - Accent5 2 2 4 2 3 2 2" xfId="42565" xr:uid="{00000000-0005-0000-0000-00002C810000}"/>
    <cellStyle name="40% - Accent5 2 2 4 2 3 3" xfId="31264" xr:uid="{00000000-0005-0000-0000-00002D810000}"/>
    <cellStyle name="40% - Accent5 2 2 4 2 4" xfId="14313" xr:uid="{00000000-0005-0000-0000-00002E810000}"/>
    <cellStyle name="40% - Accent5 2 2 4 2 4 2" xfId="36915" xr:uid="{00000000-0005-0000-0000-00002F810000}"/>
    <cellStyle name="40% - Accent5 2 2 4 2 5" xfId="25614" xr:uid="{00000000-0005-0000-0000-000030810000}"/>
    <cellStyle name="40% - Accent5 2 2 4 3" xfId="4610" xr:uid="{00000000-0005-0000-0000-000031810000}"/>
    <cellStyle name="40% - Accent5 2 2 4 3 2" xfId="10260" xr:uid="{00000000-0005-0000-0000-000032810000}"/>
    <cellStyle name="40% - Accent5 2 2 4 3 2 2" xfId="21561" xr:uid="{00000000-0005-0000-0000-000033810000}"/>
    <cellStyle name="40% - Accent5 2 2 4 3 2 2 2" xfId="44163" xr:uid="{00000000-0005-0000-0000-000034810000}"/>
    <cellStyle name="40% - Accent5 2 2 4 3 2 3" xfId="32862" xr:uid="{00000000-0005-0000-0000-000035810000}"/>
    <cellStyle name="40% - Accent5 2 2 4 3 3" xfId="15911" xr:uid="{00000000-0005-0000-0000-000036810000}"/>
    <cellStyle name="40% - Accent5 2 2 4 3 3 2" xfId="38513" xr:uid="{00000000-0005-0000-0000-000037810000}"/>
    <cellStyle name="40% - Accent5 2 2 4 3 4" xfId="27212" xr:uid="{00000000-0005-0000-0000-000038810000}"/>
    <cellStyle name="40% - Accent5 2 2 4 4" xfId="6797" xr:uid="{00000000-0005-0000-0000-000039810000}"/>
    <cellStyle name="40% - Accent5 2 2 4 4 2" xfId="18098" xr:uid="{00000000-0005-0000-0000-00003A810000}"/>
    <cellStyle name="40% - Accent5 2 2 4 4 2 2" xfId="40700" xr:uid="{00000000-0005-0000-0000-00003B810000}"/>
    <cellStyle name="40% - Accent5 2 2 4 4 3" xfId="29399" xr:uid="{00000000-0005-0000-0000-00003C810000}"/>
    <cellStyle name="40% - Accent5 2 2 4 5" xfId="12448" xr:uid="{00000000-0005-0000-0000-00003D810000}"/>
    <cellStyle name="40% - Accent5 2 2 4 5 2" xfId="35050" xr:uid="{00000000-0005-0000-0000-00003E810000}"/>
    <cellStyle name="40% - Accent5 2 2 4 6" xfId="23749" xr:uid="{00000000-0005-0000-0000-00003F810000}"/>
    <cellStyle name="40% - Accent5 2 2 5" xfId="1932" xr:uid="{00000000-0005-0000-0000-000040810000}"/>
    <cellStyle name="40% - Accent5 2 2 5 2" xfId="3738" xr:uid="{00000000-0005-0000-0000-000041810000}"/>
    <cellStyle name="40% - Accent5 2 2 5 2 2" xfId="9448" xr:uid="{00000000-0005-0000-0000-000042810000}"/>
    <cellStyle name="40% - Accent5 2 2 5 2 2 2" xfId="20749" xr:uid="{00000000-0005-0000-0000-000043810000}"/>
    <cellStyle name="40% - Accent5 2 2 5 2 2 2 2" xfId="43351" xr:uid="{00000000-0005-0000-0000-000044810000}"/>
    <cellStyle name="40% - Accent5 2 2 5 2 2 3" xfId="32050" xr:uid="{00000000-0005-0000-0000-000045810000}"/>
    <cellStyle name="40% - Accent5 2 2 5 2 3" xfId="15099" xr:uid="{00000000-0005-0000-0000-000046810000}"/>
    <cellStyle name="40% - Accent5 2 2 5 2 3 2" xfId="37701" xr:uid="{00000000-0005-0000-0000-000047810000}"/>
    <cellStyle name="40% - Accent5 2 2 5 2 4" xfId="26400" xr:uid="{00000000-0005-0000-0000-000048810000}"/>
    <cellStyle name="40% - Accent5 2 2 5 3" xfId="5220" xr:uid="{00000000-0005-0000-0000-000049810000}"/>
    <cellStyle name="40% - Accent5 2 2 5 3 2" xfId="10870" xr:uid="{00000000-0005-0000-0000-00004A810000}"/>
    <cellStyle name="40% - Accent5 2 2 5 3 2 2" xfId="22171" xr:uid="{00000000-0005-0000-0000-00004B810000}"/>
    <cellStyle name="40% - Accent5 2 2 5 3 2 2 2" xfId="44773" xr:uid="{00000000-0005-0000-0000-00004C810000}"/>
    <cellStyle name="40% - Accent5 2 2 5 3 2 3" xfId="33472" xr:uid="{00000000-0005-0000-0000-00004D810000}"/>
    <cellStyle name="40% - Accent5 2 2 5 3 3" xfId="16521" xr:uid="{00000000-0005-0000-0000-00004E810000}"/>
    <cellStyle name="40% - Accent5 2 2 5 3 3 2" xfId="39123" xr:uid="{00000000-0005-0000-0000-00004F810000}"/>
    <cellStyle name="40% - Accent5 2 2 5 3 4" xfId="27822" xr:uid="{00000000-0005-0000-0000-000050810000}"/>
    <cellStyle name="40% - Accent5 2 2 5 4" xfId="7788" xr:uid="{00000000-0005-0000-0000-000051810000}"/>
    <cellStyle name="40% - Accent5 2 2 5 4 2" xfId="19089" xr:uid="{00000000-0005-0000-0000-000052810000}"/>
    <cellStyle name="40% - Accent5 2 2 5 4 2 2" xfId="41691" xr:uid="{00000000-0005-0000-0000-000053810000}"/>
    <cellStyle name="40% - Accent5 2 2 5 4 3" xfId="30390" xr:uid="{00000000-0005-0000-0000-000054810000}"/>
    <cellStyle name="40% - Accent5 2 2 5 5" xfId="13439" xr:uid="{00000000-0005-0000-0000-000055810000}"/>
    <cellStyle name="40% - Accent5 2 2 5 5 2" xfId="36041" xr:uid="{00000000-0005-0000-0000-000056810000}"/>
    <cellStyle name="40% - Accent5 2 2 5 6" xfId="24740" xr:uid="{00000000-0005-0000-0000-000057810000}"/>
    <cellStyle name="40% - Accent5 2 2 6" xfId="2197" xr:uid="{00000000-0005-0000-0000-000058810000}"/>
    <cellStyle name="40% - Accent5 2 2 6 2" xfId="8034" xr:uid="{00000000-0005-0000-0000-000059810000}"/>
    <cellStyle name="40% - Accent5 2 2 6 2 2" xfId="19335" xr:uid="{00000000-0005-0000-0000-00005A810000}"/>
    <cellStyle name="40% - Accent5 2 2 6 2 2 2" xfId="41937" xr:uid="{00000000-0005-0000-0000-00005B810000}"/>
    <cellStyle name="40% - Accent5 2 2 6 2 3" xfId="30636" xr:uid="{00000000-0005-0000-0000-00005C810000}"/>
    <cellStyle name="40% - Accent5 2 2 6 3" xfId="13685" xr:uid="{00000000-0005-0000-0000-00005D810000}"/>
    <cellStyle name="40% - Accent5 2 2 6 3 2" xfId="36287" xr:uid="{00000000-0005-0000-0000-00005E810000}"/>
    <cellStyle name="40% - Accent5 2 2 6 4" xfId="24986" xr:uid="{00000000-0005-0000-0000-00005F810000}"/>
    <cellStyle name="40% - Accent5 2 2 7" xfId="3986" xr:uid="{00000000-0005-0000-0000-000060810000}"/>
    <cellStyle name="40% - Accent5 2 2 7 2" xfId="9636" xr:uid="{00000000-0005-0000-0000-000061810000}"/>
    <cellStyle name="40% - Accent5 2 2 7 2 2" xfId="20937" xr:uid="{00000000-0005-0000-0000-000062810000}"/>
    <cellStyle name="40% - Accent5 2 2 7 2 2 2" xfId="43539" xr:uid="{00000000-0005-0000-0000-000063810000}"/>
    <cellStyle name="40% - Accent5 2 2 7 2 3" xfId="32238" xr:uid="{00000000-0005-0000-0000-000064810000}"/>
    <cellStyle name="40% - Accent5 2 2 7 3" xfId="15287" xr:uid="{00000000-0005-0000-0000-000065810000}"/>
    <cellStyle name="40% - Accent5 2 2 7 3 2" xfId="37889" xr:uid="{00000000-0005-0000-0000-000066810000}"/>
    <cellStyle name="40% - Accent5 2 2 7 4" xfId="26588" xr:uid="{00000000-0005-0000-0000-000067810000}"/>
    <cellStyle name="40% - Accent5 2 2 8" xfId="6437" xr:uid="{00000000-0005-0000-0000-000068810000}"/>
    <cellStyle name="40% - Accent5 2 2 8 2" xfId="17738" xr:uid="{00000000-0005-0000-0000-000069810000}"/>
    <cellStyle name="40% - Accent5 2 2 8 2 2" xfId="40340" xr:uid="{00000000-0005-0000-0000-00006A810000}"/>
    <cellStyle name="40% - Accent5 2 2 8 3" xfId="29039" xr:uid="{00000000-0005-0000-0000-00006B810000}"/>
    <cellStyle name="40% - Accent5 2 2 9" xfId="12088" xr:uid="{00000000-0005-0000-0000-00006C810000}"/>
    <cellStyle name="40% - Accent5 2 2 9 2" xfId="34690" xr:uid="{00000000-0005-0000-0000-00006D810000}"/>
    <cellStyle name="40% - Accent5 2 3" xfId="2763" xr:uid="{00000000-0005-0000-0000-00006E810000}"/>
    <cellStyle name="40% - Accent5 2 3 2" xfId="3507" xr:uid="{00000000-0005-0000-0000-00006F810000}"/>
    <cellStyle name="40% - Accent5 2 3 2 2" xfId="5778" xr:uid="{00000000-0005-0000-0000-000070810000}"/>
    <cellStyle name="40% - Accent5 2 3 2 2 2" xfId="11428" xr:uid="{00000000-0005-0000-0000-000071810000}"/>
    <cellStyle name="40% - Accent5 2 3 2 2 2 2" xfId="22729" xr:uid="{00000000-0005-0000-0000-000072810000}"/>
    <cellStyle name="40% - Accent5 2 3 2 2 2 2 2" xfId="45331" xr:uid="{00000000-0005-0000-0000-000073810000}"/>
    <cellStyle name="40% - Accent5 2 3 2 2 2 3" xfId="34030" xr:uid="{00000000-0005-0000-0000-000074810000}"/>
    <cellStyle name="40% - Accent5 2 3 2 2 3" xfId="17079" xr:uid="{00000000-0005-0000-0000-000075810000}"/>
    <cellStyle name="40% - Accent5 2 3 2 2 3 2" xfId="39681" xr:uid="{00000000-0005-0000-0000-000076810000}"/>
    <cellStyle name="40% - Accent5 2 3 2 2 4" xfId="28380" xr:uid="{00000000-0005-0000-0000-000077810000}"/>
    <cellStyle name="40% - Accent5 2 3 2 3" xfId="9240" xr:uid="{00000000-0005-0000-0000-000078810000}"/>
    <cellStyle name="40% - Accent5 2 3 2 3 2" xfId="20541" xr:uid="{00000000-0005-0000-0000-000079810000}"/>
    <cellStyle name="40% - Accent5 2 3 2 3 2 2" xfId="43143" xr:uid="{00000000-0005-0000-0000-00007A810000}"/>
    <cellStyle name="40% - Accent5 2 3 2 3 3" xfId="31842" xr:uid="{00000000-0005-0000-0000-00007B810000}"/>
    <cellStyle name="40% - Accent5 2 3 2 4" xfId="14891" xr:uid="{00000000-0005-0000-0000-00007C810000}"/>
    <cellStyle name="40% - Accent5 2 3 2 4 2" xfId="37493" xr:uid="{00000000-0005-0000-0000-00007D810000}"/>
    <cellStyle name="40% - Accent5 2 3 2 5" xfId="26192" xr:uid="{00000000-0005-0000-0000-00007E810000}"/>
    <cellStyle name="40% - Accent5 2 3 3" xfId="4544" xr:uid="{00000000-0005-0000-0000-00007F810000}"/>
    <cellStyle name="40% - Accent5 2 3 3 2" xfId="10194" xr:uid="{00000000-0005-0000-0000-000080810000}"/>
    <cellStyle name="40% - Accent5 2 3 3 2 2" xfId="21495" xr:uid="{00000000-0005-0000-0000-000081810000}"/>
    <cellStyle name="40% - Accent5 2 3 3 2 2 2" xfId="44097" xr:uid="{00000000-0005-0000-0000-000082810000}"/>
    <cellStyle name="40% - Accent5 2 3 3 2 3" xfId="32796" xr:uid="{00000000-0005-0000-0000-000083810000}"/>
    <cellStyle name="40% - Accent5 2 3 3 3" xfId="15845" xr:uid="{00000000-0005-0000-0000-000084810000}"/>
    <cellStyle name="40% - Accent5 2 3 3 3 2" xfId="38447" xr:uid="{00000000-0005-0000-0000-000085810000}"/>
    <cellStyle name="40% - Accent5 2 3 3 4" xfId="27146" xr:uid="{00000000-0005-0000-0000-000086810000}"/>
    <cellStyle name="40% - Accent5 2 3 4" xfId="8596" xr:uid="{00000000-0005-0000-0000-000087810000}"/>
    <cellStyle name="40% - Accent5 2 3 4 2" xfId="19897" xr:uid="{00000000-0005-0000-0000-000088810000}"/>
    <cellStyle name="40% - Accent5 2 3 4 2 2" xfId="42499" xr:uid="{00000000-0005-0000-0000-000089810000}"/>
    <cellStyle name="40% - Accent5 2 3 4 3" xfId="31198" xr:uid="{00000000-0005-0000-0000-00008A810000}"/>
    <cellStyle name="40% - Accent5 2 3 5" xfId="14247" xr:uid="{00000000-0005-0000-0000-00008B810000}"/>
    <cellStyle name="40% - Accent5 2 3 5 2" xfId="36849" xr:uid="{00000000-0005-0000-0000-00008C810000}"/>
    <cellStyle name="40% - Accent5 2 3 6" xfId="25548" xr:uid="{00000000-0005-0000-0000-00008D810000}"/>
    <cellStyle name="40% - Accent5 2 4" xfId="2772" xr:uid="{00000000-0005-0000-0000-00008E810000}"/>
    <cellStyle name="40% - Accent5 2 5" xfId="3856" xr:uid="{00000000-0005-0000-0000-00008F810000}"/>
    <cellStyle name="40% - Accent5 2 5 2" xfId="9549" xr:uid="{00000000-0005-0000-0000-000090810000}"/>
    <cellStyle name="40% - Accent5 2 5 2 2" xfId="20850" xr:uid="{00000000-0005-0000-0000-000091810000}"/>
    <cellStyle name="40% - Accent5 2 5 2 2 2" xfId="43452" xr:uid="{00000000-0005-0000-0000-000092810000}"/>
    <cellStyle name="40% - Accent5 2 5 2 3" xfId="32151" xr:uid="{00000000-0005-0000-0000-000093810000}"/>
    <cellStyle name="40% - Accent5 2 5 3" xfId="15200" xr:uid="{00000000-0005-0000-0000-000094810000}"/>
    <cellStyle name="40% - Accent5 2 5 3 2" xfId="37802" xr:uid="{00000000-0005-0000-0000-000095810000}"/>
    <cellStyle name="40% - Accent5 2 5 4" xfId="26501" xr:uid="{00000000-0005-0000-0000-000096810000}"/>
    <cellStyle name="40% - Accent5 2 6" xfId="3849" xr:uid="{00000000-0005-0000-0000-000097810000}"/>
    <cellStyle name="40% - Accent5 3" xfId="167" xr:uid="{00000000-0005-0000-0000-000098810000}"/>
    <cellStyle name="40% - Accent5 3 2" xfId="292" xr:uid="{00000000-0005-0000-0000-000099810000}"/>
    <cellStyle name="40% - Accent5 3 2 10" xfId="23402" xr:uid="{00000000-0005-0000-0000-00009A810000}"/>
    <cellStyle name="40% - Accent5 3 2 2" xfId="552" xr:uid="{00000000-0005-0000-0000-00009B810000}"/>
    <cellStyle name="40% - Accent5 3 2 2 2" xfId="1262" xr:uid="{00000000-0005-0000-0000-00009C810000}"/>
    <cellStyle name="40% - Accent5 3 2 2 2 2" xfId="1938" xr:uid="{00000000-0005-0000-0000-00009D810000}"/>
    <cellStyle name="40% - Accent5 3 2 2 2 2 2" xfId="3331" xr:uid="{00000000-0005-0000-0000-00009E810000}"/>
    <cellStyle name="40% - Accent5 3 2 2 2 2 2 2" xfId="6303" xr:uid="{00000000-0005-0000-0000-00009F810000}"/>
    <cellStyle name="40% - Accent5 3 2 2 2 2 2 2 2" xfId="11953" xr:uid="{00000000-0005-0000-0000-0000A0810000}"/>
    <cellStyle name="40% - Accent5 3 2 2 2 2 2 2 2 2" xfId="23254" xr:uid="{00000000-0005-0000-0000-0000A1810000}"/>
    <cellStyle name="40% - Accent5 3 2 2 2 2 2 2 2 2 2" xfId="45856" xr:uid="{00000000-0005-0000-0000-0000A2810000}"/>
    <cellStyle name="40% - Accent5 3 2 2 2 2 2 2 2 3" xfId="34555" xr:uid="{00000000-0005-0000-0000-0000A3810000}"/>
    <cellStyle name="40% - Accent5 3 2 2 2 2 2 2 3" xfId="17604" xr:uid="{00000000-0005-0000-0000-0000A4810000}"/>
    <cellStyle name="40% - Accent5 3 2 2 2 2 2 2 3 2" xfId="40206" xr:uid="{00000000-0005-0000-0000-0000A5810000}"/>
    <cellStyle name="40% - Accent5 3 2 2 2 2 2 2 4" xfId="28905" xr:uid="{00000000-0005-0000-0000-0000A6810000}"/>
    <cellStyle name="40% - Accent5 3 2 2 2 2 2 3" xfId="9121" xr:uid="{00000000-0005-0000-0000-0000A7810000}"/>
    <cellStyle name="40% - Accent5 3 2 2 2 2 2 3 2" xfId="20422" xr:uid="{00000000-0005-0000-0000-0000A8810000}"/>
    <cellStyle name="40% - Accent5 3 2 2 2 2 2 3 2 2" xfId="43024" xr:uid="{00000000-0005-0000-0000-0000A9810000}"/>
    <cellStyle name="40% - Accent5 3 2 2 2 2 2 3 3" xfId="31723" xr:uid="{00000000-0005-0000-0000-0000AA810000}"/>
    <cellStyle name="40% - Accent5 3 2 2 2 2 2 4" xfId="14772" xr:uid="{00000000-0005-0000-0000-0000AB810000}"/>
    <cellStyle name="40% - Accent5 3 2 2 2 2 2 4 2" xfId="37374" xr:uid="{00000000-0005-0000-0000-0000AC810000}"/>
    <cellStyle name="40% - Accent5 3 2 2 2 2 2 5" xfId="26073" xr:uid="{00000000-0005-0000-0000-0000AD810000}"/>
    <cellStyle name="40% - Accent5 3 2 2 2 2 3" xfId="5069" xr:uid="{00000000-0005-0000-0000-0000AE810000}"/>
    <cellStyle name="40% - Accent5 3 2 2 2 2 3 2" xfId="10719" xr:uid="{00000000-0005-0000-0000-0000AF810000}"/>
    <cellStyle name="40% - Accent5 3 2 2 2 2 3 2 2" xfId="22020" xr:uid="{00000000-0005-0000-0000-0000B0810000}"/>
    <cellStyle name="40% - Accent5 3 2 2 2 2 3 2 2 2" xfId="44622" xr:uid="{00000000-0005-0000-0000-0000B1810000}"/>
    <cellStyle name="40% - Accent5 3 2 2 2 2 3 2 3" xfId="33321" xr:uid="{00000000-0005-0000-0000-0000B2810000}"/>
    <cellStyle name="40% - Accent5 3 2 2 2 2 3 3" xfId="16370" xr:uid="{00000000-0005-0000-0000-0000B3810000}"/>
    <cellStyle name="40% - Accent5 3 2 2 2 2 3 3 2" xfId="38972" xr:uid="{00000000-0005-0000-0000-0000B4810000}"/>
    <cellStyle name="40% - Accent5 3 2 2 2 2 3 4" xfId="27671" xr:uid="{00000000-0005-0000-0000-0000B5810000}"/>
    <cellStyle name="40% - Accent5 3 2 2 2 2 4" xfId="7794" xr:uid="{00000000-0005-0000-0000-0000B6810000}"/>
    <cellStyle name="40% - Accent5 3 2 2 2 2 4 2" xfId="19095" xr:uid="{00000000-0005-0000-0000-0000B7810000}"/>
    <cellStyle name="40% - Accent5 3 2 2 2 2 4 2 2" xfId="41697" xr:uid="{00000000-0005-0000-0000-0000B8810000}"/>
    <cellStyle name="40% - Accent5 3 2 2 2 2 4 3" xfId="30396" xr:uid="{00000000-0005-0000-0000-0000B9810000}"/>
    <cellStyle name="40% - Accent5 3 2 2 2 2 5" xfId="13445" xr:uid="{00000000-0005-0000-0000-0000BA810000}"/>
    <cellStyle name="40% - Accent5 3 2 2 2 2 5 2" xfId="36047" xr:uid="{00000000-0005-0000-0000-0000BB810000}"/>
    <cellStyle name="40% - Accent5 3 2 2 2 2 6" xfId="24746" xr:uid="{00000000-0005-0000-0000-0000BC810000}"/>
    <cellStyle name="40% - Accent5 3 2 2 2 3" xfId="2660" xr:uid="{00000000-0005-0000-0000-0000BD810000}"/>
    <cellStyle name="40% - Accent5 3 2 2 2 3 2" xfId="5679" xr:uid="{00000000-0005-0000-0000-0000BE810000}"/>
    <cellStyle name="40% - Accent5 3 2 2 2 3 2 2" xfId="11329" xr:uid="{00000000-0005-0000-0000-0000BF810000}"/>
    <cellStyle name="40% - Accent5 3 2 2 2 3 2 2 2" xfId="22630" xr:uid="{00000000-0005-0000-0000-0000C0810000}"/>
    <cellStyle name="40% - Accent5 3 2 2 2 3 2 2 2 2" xfId="45232" xr:uid="{00000000-0005-0000-0000-0000C1810000}"/>
    <cellStyle name="40% - Accent5 3 2 2 2 3 2 2 3" xfId="33931" xr:uid="{00000000-0005-0000-0000-0000C2810000}"/>
    <cellStyle name="40% - Accent5 3 2 2 2 3 2 3" xfId="16980" xr:uid="{00000000-0005-0000-0000-0000C3810000}"/>
    <cellStyle name="40% - Accent5 3 2 2 2 3 2 3 2" xfId="39582" xr:uid="{00000000-0005-0000-0000-0000C4810000}"/>
    <cellStyle name="40% - Accent5 3 2 2 2 3 2 4" xfId="28281" xr:uid="{00000000-0005-0000-0000-0000C5810000}"/>
    <cellStyle name="40% - Accent5 3 2 2 2 3 3" xfId="8496" xr:uid="{00000000-0005-0000-0000-0000C6810000}"/>
    <cellStyle name="40% - Accent5 3 2 2 2 3 3 2" xfId="19797" xr:uid="{00000000-0005-0000-0000-0000C7810000}"/>
    <cellStyle name="40% - Accent5 3 2 2 2 3 3 2 2" xfId="42399" xr:uid="{00000000-0005-0000-0000-0000C8810000}"/>
    <cellStyle name="40% - Accent5 3 2 2 2 3 3 3" xfId="31098" xr:uid="{00000000-0005-0000-0000-0000C9810000}"/>
    <cellStyle name="40% - Accent5 3 2 2 2 3 4" xfId="14147" xr:uid="{00000000-0005-0000-0000-0000CA810000}"/>
    <cellStyle name="40% - Accent5 3 2 2 2 3 4 2" xfId="36749" xr:uid="{00000000-0005-0000-0000-0000CB810000}"/>
    <cellStyle name="40% - Accent5 3 2 2 2 3 5" xfId="25448" xr:uid="{00000000-0005-0000-0000-0000CC810000}"/>
    <cellStyle name="40% - Accent5 3 2 2 2 4" xfId="4445" xr:uid="{00000000-0005-0000-0000-0000CD810000}"/>
    <cellStyle name="40% - Accent5 3 2 2 2 4 2" xfId="10095" xr:uid="{00000000-0005-0000-0000-0000CE810000}"/>
    <cellStyle name="40% - Accent5 3 2 2 2 4 2 2" xfId="21396" xr:uid="{00000000-0005-0000-0000-0000CF810000}"/>
    <cellStyle name="40% - Accent5 3 2 2 2 4 2 2 2" xfId="43998" xr:uid="{00000000-0005-0000-0000-0000D0810000}"/>
    <cellStyle name="40% - Accent5 3 2 2 2 4 2 3" xfId="32697" xr:uid="{00000000-0005-0000-0000-0000D1810000}"/>
    <cellStyle name="40% - Accent5 3 2 2 2 4 3" xfId="15746" xr:uid="{00000000-0005-0000-0000-0000D2810000}"/>
    <cellStyle name="40% - Accent5 3 2 2 2 4 3 2" xfId="38348" xr:uid="{00000000-0005-0000-0000-0000D3810000}"/>
    <cellStyle name="40% - Accent5 3 2 2 2 4 4" xfId="27047" xr:uid="{00000000-0005-0000-0000-0000D4810000}"/>
    <cellStyle name="40% - Accent5 3 2 2 2 5" xfId="7241" xr:uid="{00000000-0005-0000-0000-0000D5810000}"/>
    <cellStyle name="40% - Accent5 3 2 2 2 5 2" xfId="18542" xr:uid="{00000000-0005-0000-0000-0000D6810000}"/>
    <cellStyle name="40% - Accent5 3 2 2 2 5 2 2" xfId="41144" xr:uid="{00000000-0005-0000-0000-0000D7810000}"/>
    <cellStyle name="40% - Accent5 3 2 2 2 5 3" xfId="29843" xr:uid="{00000000-0005-0000-0000-0000D8810000}"/>
    <cellStyle name="40% - Accent5 3 2 2 2 6" xfId="12892" xr:uid="{00000000-0005-0000-0000-0000D9810000}"/>
    <cellStyle name="40% - Accent5 3 2 2 2 6 2" xfId="35494" xr:uid="{00000000-0005-0000-0000-0000DA810000}"/>
    <cellStyle name="40% - Accent5 3 2 2 2 7" xfId="24193" xr:uid="{00000000-0005-0000-0000-0000DB810000}"/>
    <cellStyle name="40% - Accent5 3 2 2 3" xfId="960" xr:uid="{00000000-0005-0000-0000-0000DC810000}"/>
    <cellStyle name="40% - Accent5 3 2 2 3 2" xfId="3023" xr:uid="{00000000-0005-0000-0000-0000DD810000}"/>
    <cellStyle name="40% - Accent5 3 2 2 3 2 2" xfId="5995" xr:uid="{00000000-0005-0000-0000-0000DE810000}"/>
    <cellStyle name="40% - Accent5 3 2 2 3 2 2 2" xfId="11645" xr:uid="{00000000-0005-0000-0000-0000DF810000}"/>
    <cellStyle name="40% - Accent5 3 2 2 3 2 2 2 2" xfId="22946" xr:uid="{00000000-0005-0000-0000-0000E0810000}"/>
    <cellStyle name="40% - Accent5 3 2 2 3 2 2 2 2 2" xfId="45548" xr:uid="{00000000-0005-0000-0000-0000E1810000}"/>
    <cellStyle name="40% - Accent5 3 2 2 3 2 2 2 3" xfId="34247" xr:uid="{00000000-0005-0000-0000-0000E2810000}"/>
    <cellStyle name="40% - Accent5 3 2 2 3 2 2 3" xfId="17296" xr:uid="{00000000-0005-0000-0000-0000E3810000}"/>
    <cellStyle name="40% - Accent5 3 2 2 3 2 2 3 2" xfId="39898" xr:uid="{00000000-0005-0000-0000-0000E4810000}"/>
    <cellStyle name="40% - Accent5 3 2 2 3 2 2 4" xfId="28597" xr:uid="{00000000-0005-0000-0000-0000E5810000}"/>
    <cellStyle name="40% - Accent5 3 2 2 3 2 3" xfId="8813" xr:uid="{00000000-0005-0000-0000-0000E6810000}"/>
    <cellStyle name="40% - Accent5 3 2 2 3 2 3 2" xfId="20114" xr:uid="{00000000-0005-0000-0000-0000E7810000}"/>
    <cellStyle name="40% - Accent5 3 2 2 3 2 3 2 2" xfId="42716" xr:uid="{00000000-0005-0000-0000-0000E8810000}"/>
    <cellStyle name="40% - Accent5 3 2 2 3 2 3 3" xfId="31415" xr:uid="{00000000-0005-0000-0000-0000E9810000}"/>
    <cellStyle name="40% - Accent5 3 2 2 3 2 4" xfId="14464" xr:uid="{00000000-0005-0000-0000-0000EA810000}"/>
    <cellStyle name="40% - Accent5 3 2 2 3 2 4 2" xfId="37066" xr:uid="{00000000-0005-0000-0000-0000EB810000}"/>
    <cellStyle name="40% - Accent5 3 2 2 3 2 5" xfId="25765" xr:uid="{00000000-0005-0000-0000-0000EC810000}"/>
    <cellStyle name="40% - Accent5 3 2 2 3 3" xfId="4761" xr:uid="{00000000-0005-0000-0000-0000ED810000}"/>
    <cellStyle name="40% - Accent5 3 2 2 3 3 2" xfId="10411" xr:uid="{00000000-0005-0000-0000-0000EE810000}"/>
    <cellStyle name="40% - Accent5 3 2 2 3 3 2 2" xfId="21712" xr:uid="{00000000-0005-0000-0000-0000EF810000}"/>
    <cellStyle name="40% - Accent5 3 2 2 3 3 2 2 2" xfId="44314" xr:uid="{00000000-0005-0000-0000-0000F0810000}"/>
    <cellStyle name="40% - Accent5 3 2 2 3 3 2 3" xfId="33013" xr:uid="{00000000-0005-0000-0000-0000F1810000}"/>
    <cellStyle name="40% - Accent5 3 2 2 3 3 3" xfId="16062" xr:uid="{00000000-0005-0000-0000-0000F2810000}"/>
    <cellStyle name="40% - Accent5 3 2 2 3 3 3 2" xfId="38664" xr:uid="{00000000-0005-0000-0000-0000F3810000}"/>
    <cellStyle name="40% - Accent5 3 2 2 3 3 4" xfId="27363" xr:uid="{00000000-0005-0000-0000-0000F4810000}"/>
    <cellStyle name="40% - Accent5 3 2 2 3 4" xfId="6948" xr:uid="{00000000-0005-0000-0000-0000F5810000}"/>
    <cellStyle name="40% - Accent5 3 2 2 3 4 2" xfId="18249" xr:uid="{00000000-0005-0000-0000-0000F6810000}"/>
    <cellStyle name="40% - Accent5 3 2 2 3 4 2 2" xfId="40851" xr:uid="{00000000-0005-0000-0000-0000F7810000}"/>
    <cellStyle name="40% - Accent5 3 2 2 3 4 3" xfId="29550" xr:uid="{00000000-0005-0000-0000-0000F8810000}"/>
    <cellStyle name="40% - Accent5 3 2 2 3 5" xfId="12599" xr:uid="{00000000-0005-0000-0000-0000F9810000}"/>
    <cellStyle name="40% - Accent5 3 2 2 3 5 2" xfId="35201" xr:uid="{00000000-0005-0000-0000-0000FA810000}"/>
    <cellStyle name="40% - Accent5 3 2 2 3 6" xfId="23900" xr:uid="{00000000-0005-0000-0000-0000FB810000}"/>
    <cellStyle name="40% - Accent5 3 2 2 4" xfId="1937" xr:uid="{00000000-0005-0000-0000-0000FC810000}"/>
    <cellStyle name="40% - Accent5 3 2 2 4 2" xfId="3741" xr:uid="{00000000-0005-0000-0000-0000FD810000}"/>
    <cellStyle name="40% - Accent5 3 2 2 4 2 2" xfId="9451" xr:uid="{00000000-0005-0000-0000-0000FE810000}"/>
    <cellStyle name="40% - Accent5 3 2 2 4 2 2 2" xfId="20752" xr:uid="{00000000-0005-0000-0000-0000FF810000}"/>
    <cellStyle name="40% - Accent5 3 2 2 4 2 2 2 2" xfId="43354" xr:uid="{00000000-0005-0000-0000-000000820000}"/>
    <cellStyle name="40% - Accent5 3 2 2 4 2 2 3" xfId="32053" xr:uid="{00000000-0005-0000-0000-000001820000}"/>
    <cellStyle name="40% - Accent5 3 2 2 4 2 3" xfId="15102" xr:uid="{00000000-0005-0000-0000-000002820000}"/>
    <cellStyle name="40% - Accent5 3 2 2 4 2 3 2" xfId="37704" xr:uid="{00000000-0005-0000-0000-000003820000}"/>
    <cellStyle name="40% - Accent5 3 2 2 4 2 4" xfId="26403" xr:uid="{00000000-0005-0000-0000-000004820000}"/>
    <cellStyle name="40% - Accent5 3 2 2 4 3" xfId="5371" xr:uid="{00000000-0005-0000-0000-000005820000}"/>
    <cellStyle name="40% - Accent5 3 2 2 4 3 2" xfId="11021" xr:uid="{00000000-0005-0000-0000-000006820000}"/>
    <cellStyle name="40% - Accent5 3 2 2 4 3 2 2" xfId="22322" xr:uid="{00000000-0005-0000-0000-000007820000}"/>
    <cellStyle name="40% - Accent5 3 2 2 4 3 2 2 2" xfId="44924" xr:uid="{00000000-0005-0000-0000-000008820000}"/>
    <cellStyle name="40% - Accent5 3 2 2 4 3 2 3" xfId="33623" xr:uid="{00000000-0005-0000-0000-000009820000}"/>
    <cellStyle name="40% - Accent5 3 2 2 4 3 3" xfId="16672" xr:uid="{00000000-0005-0000-0000-00000A820000}"/>
    <cellStyle name="40% - Accent5 3 2 2 4 3 3 2" xfId="39274" xr:uid="{00000000-0005-0000-0000-00000B820000}"/>
    <cellStyle name="40% - Accent5 3 2 2 4 3 4" xfId="27973" xr:uid="{00000000-0005-0000-0000-00000C820000}"/>
    <cellStyle name="40% - Accent5 3 2 2 4 4" xfId="7793" xr:uid="{00000000-0005-0000-0000-00000D820000}"/>
    <cellStyle name="40% - Accent5 3 2 2 4 4 2" xfId="19094" xr:uid="{00000000-0005-0000-0000-00000E820000}"/>
    <cellStyle name="40% - Accent5 3 2 2 4 4 2 2" xfId="41696" xr:uid="{00000000-0005-0000-0000-00000F820000}"/>
    <cellStyle name="40% - Accent5 3 2 2 4 4 3" xfId="30395" xr:uid="{00000000-0005-0000-0000-000010820000}"/>
    <cellStyle name="40% - Accent5 3 2 2 4 5" xfId="13444" xr:uid="{00000000-0005-0000-0000-000011820000}"/>
    <cellStyle name="40% - Accent5 3 2 2 4 5 2" xfId="36046" xr:uid="{00000000-0005-0000-0000-000012820000}"/>
    <cellStyle name="40% - Accent5 3 2 2 4 6" xfId="24745" xr:uid="{00000000-0005-0000-0000-000013820000}"/>
    <cellStyle name="40% - Accent5 3 2 2 5" xfId="2352" xr:uid="{00000000-0005-0000-0000-000014820000}"/>
    <cellStyle name="40% - Accent5 3 2 2 5 2" xfId="8188" xr:uid="{00000000-0005-0000-0000-000015820000}"/>
    <cellStyle name="40% - Accent5 3 2 2 5 2 2" xfId="19489" xr:uid="{00000000-0005-0000-0000-000016820000}"/>
    <cellStyle name="40% - Accent5 3 2 2 5 2 2 2" xfId="42091" xr:uid="{00000000-0005-0000-0000-000017820000}"/>
    <cellStyle name="40% - Accent5 3 2 2 5 2 3" xfId="30790" xr:uid="{00000000-0005-0000-0000-000018820000}"/>
    <cellStyle name="40% - Accent5 3 2 2 5 3" xfId="13839" xr:uid="{00000000-0005-0000-0000-000019820000}"/>
    <cellStyle name="40% - Accent5 3 2 2 5 3 2" xfId="36441" xr:uid="{00000000-0005-0000-0000-00001A820000}"/>
    <cellStyle name="40% - Accent5 3 2 2 5 4" xfId="25140" xr:uid="{00000000-0005-0000-0000-00001B820000}"/>
    <cellStyle name="40% - Accent5 3 2 2 6" xfId="4137" xr:uid="{00000000-0005-0000-0000-00001C820000}"/>
    <cellStyle name="40% - Accent5 3 2 2 6 2" xfId="9787" xr:uid="{00000000-0005-0000-0000-00001D820000}"/>
    <cellStyle name="40% - Accent5 3 2 2 6 2 2" xfId="21088" xr:uid="{00000000-0005-0000-0000-00001E820000}"/>
    <cellStyle name="40% - Accent5 3 2 2 6 2 2 2" xfId="43690" xr:uid="{00000000-0005-0000-0000-00001F820000}"/>
    <cellStyle name="40% - Accent5 3 2 2 6 2 3" xfId="32389" xr:uid="{00000000-0005-0000-0000-000020820000}"/>
    <cellStyle name="40% - Accent5 3 2 2 6 3" xfId="15438" xr:uid="{00000000-0005-0000-0000-000021820000}"/>
    <cellStyle name="40% - Accent5 3 2 2 6 3 2" xfId="38040" xr:uid="{00000000-0005-0000-0000-000022820000}"/>
    <cellStyle name="40% - Accent5 3 2 2 6 4" xfId="26739" xr:uid="{00000000-0005-0000-0000-000023820000}"/>
    <cellStyle name="40% - Accent5 3 2 2 7" xfId="6617" xr:uid="{00000000-0005-0000-0000-000024820000}"/>
    <cellStyle name="40% - Accent5 3 2 2 7 2" xfId="17918" xr:uid="{00000000-0005-0000-0000-000025820000}"/>
    <cellStyle name="40% - Accent5 3 2 2 7 2 2" xfId="40520" xr:uid="{00000000-0005-0000-0000-000026820000}"/>
    <cellStyle name="40% - Accent5 3 2 2 7 3" xfId="29219" xr:uid="{00000000-0005-0000-0000-000027820000}"/>
    <cellStyle name="40% - Accent5 3 2 2 8" xfId="12268" xr:uid="{00000000-0005-0000-0000-000028820000}"/>
    <cellStyle name="40% - Accent5 3 2 2 8 2" xfId="34870" xr:uid="{00000000-0005-0000-0000-000029820000}"/>
    <cellStyle name="40% - Accent5 3 2 2 9" xfId="23569" xr:uid="{00000000-0005-0000-0000-00002A820000}"/>
    <cellStyle name="40% - Accent5 3 2 3" xfId="1124" xr:uid="{00000000-0005-0000-0000-00002B820000}"/>
    <cellStyle name="40% - Accent5 3 2 3 2" xfId="1939" xr:uid="{00000000-0005-0000-0000-00002C820000}"/>
    <cellStyle name="40% - Accent5 3 2 3 2 2" xfId="3192" xr:uid="{00000000-0005-0000-0000-00002D820000}"/>
    <cellStyle name="40% - Accent5 3 2 3 2 2 2" xfId="6164" xr:uid="{00000000-0005-0000-0000-00002E820000}"/>
    <cellStyle name="40% - Accent5 3 2 3 2 2 2 2" xfId="11814" xr:uid="{00000000-0005-0000-0000-00002F820000}"/>
    <cellStyle name="40% - Accent5 3 2 3 2 2 2 2 2" xfId="23115" xr:uid="{00000000-0005-0000-0000-000030820000}"/>
    <cellStyle name="40% - Accent5 3 2 3 2 2 2 2 2 2" xfId="45717" xr:uid="{00000000-0005-0000-0000-000031820000}"/>
    <cellStyle name="40% - Accent5 3 2 3 2 2 2 2 3" xfId="34416" xr:uid="{00000000-0005-0000-0000-000032820000}"/>
    <cellStyle name="40% - Accent5 3 2 3 2 2 2 3" xfId="17465" xr:uid="{00000000-0005-0000-0000-000033820000}"/>
    <cellStyle name="40% - Accent5 3 2 3 2 2 2 3 2" xfId="40067" xr:uid="{00000000-0005-0000-0000-000034820000}"/>
    <cellStyle name="40% - Accent5 3 2 3 2 2 2 4" xfId="28766" xr:uid="{00000000-0005-0000-0000-000035820000}"/>
    <cellStyle name="40% - Accent5 3 2 3 2 2 3" xfId="8982" xr:uid="{00000000-0005-0000-0000-000036820000}"/>
    <cellStyle name="40% - Accent5 3 2 3 2 2 3 2" xfId="20283" xr:uid="{00000000-0005-0000-0000-000037820000}"/>
    <cellStyle name="40% - Accent5 3 2 3 2 2 3 2 2" xfId="42885" xr:uid="{00000000-0005-0000-0000-000038820000}"/>
    <cellStyle name="40% - Accent5 3 2 3 2 2 3 3" xfId="31584" xr:uid="{00000000-0005-0000-0000-000039820000}"/>
    <cellStyle name="40% - Accent5 3 2 3 2 2 4" xfId="14633" xr:uid="{00000000-0005-0000-0000-00003A820000}"/>
    <cellStyle name="40% - Accent5 3 2 3 2 2 4 2" xfId="37235" xr:uid="{00000000-0005-0000-0000-00003B820000}"/>
    <cellStyle name="40% - Accent5 3 2 3 2 2 5" xfId="25934" xr:uid="{00000000-0005-0000-0000-00003C820000}"/>
    <cellStyle name="40% - Accent5 3 2 3 2 3" xfId="4930" xr:uid="{00000000-0005-0000-0000-00003D820000}"/>
    <cellStyle name="40% - Accent5 3 2 3 2 3 2" xfId="10580" xr:uid="{00000000-0005-0000-0000-00003E820000}"/>
    <cellStyle name="40% - Accent5 3 2 3 2 3 2 2" xfId="21881" xr:uid="{00000000-0005-0000-0000-00003F820000}"/>
    <cellStyle name="40% - Accent5 3 2 3 2 3 2 2 2" xfId="44483" xr:uid="{00000000-0005-0000-0000-000040820000}"/>
    <cellStyle name="40% - Accent5 3 2 3 2 3 2 3" xfId="33182" xr:uid="{00000000-0005-0000-0000-000041820000}"/>
    <cellStyle name="40% - Accent5 3 2 3 2 3 3" xfId="16231" xr:uid="{00000000-0005-0000-0000-000042820000}"/>
    <cellStyle name="40% - Accent5 3 2 3 2 3 3 2" xfId="38833" xr:uid="{00000000-0005-0000-0000-000043820000}"/>
    <cellStyle name="40% - Accent5 3 2 3 2 3 4" xfId="27532" xr:uid="{00000000-0005-0000-0000-000044820000}"/>
    <cellStyle name="40% - Accent5 3 2 3 2 4" xfId="7795" xr:uid="{00000000-0005-0000-0000-000045820000}"/>
    <cellStyle name="40% - Accent5 3 2 3 2 4 2" xfId="19096" xr:uid="{00000000-0005-0000-0000-000046820000}"/>
    <cellStyle name="40% - Accent5 3 2 3 2 4 2 2" xfId="41698" xr:uid="{00000000-0005-0000-0000-000047820000}"/>
    <cellStyle name="40% - Accent5 3 2 3 2 4 3" xfId="30397" xr:uid="{00000000-0005-0000-0000-000048820000}"/>
    <cellStyle name="40% - Accent5 3 2 3 2 5" xfId="13446" xr:uid="{00000000-0005-0000-0000-000049820000}"/>
    <cellStyle name="40% - Accent5 3 2 3 2 5 2" xfId="36048" xr:uid="{00000000-0005-0000-0000-00004A820000}"/>
    <cellStyle name="40% - Accent5 3 2 3 2 6" xfId="24747" xr:uid="{00000000-0005-0000-0000-00004B820000}"/>
    <cellStyle name="40% - Accent5 3 2 3 3" xfId="2521" xr:uid="{00000000-0005-0000-0000-00004C820000}"/>
    <cellStyle name="40% - Accent5 3 2 3 3 2" xfId="5540" xr:uid="{00000000-0005-0000-0000-00004D820000}"/>
    <cellStyle name="40% - Accent5 3 2 3 3 2 2" xfId="11190" xr:uid="{00000000-0005-0000-0000-00004E820000}"/>
    <cellStyle name="40% - Accent5 3 2 3 3 2 2 2" xfId="22491" xr:uid="{00000000-0005-0000-0000-00004F820000}"/>
    <cellStyle name="40% - Accent5 3 2 3 3 2 2 2 2" xfId="45093" xr:uid="{00000000-0005-0000-0000-000050820000}"/>
    <cellStyle name="40% - Accent5 3 2 3 3 2 2 3" xfId="33792" xr:uid="{00000000-0005-0000-0000-000051820000}"/>
    <cellStyle name="40% - Accent5 3 2 3 3 2 3" xfId="16841" xr:uid="{00000000-0005-0000-0000-000052820000}"/>
    <cellStyle name="40% - Accent5 3 2 3 3 2 3 2" xfId="39443" xr:uid="{00000000-0005-0000-0000-000053820000}"/>
    <cellStyle name="40% - Accent5 3 2 3 3 2 4" xfId="28142" xr:uid="{00000000-0005-0000-0000-000054820000}"/>
    <cellStyle name="40% - Accent5 3 2 3 3 3" xfId="8357" xr:uid="{00000000-0005-0000-0000-000055820000}"/>
    <cellStyle name="40% - Accent5 3 2 3 3 3 2" xfId="19658" xr:uid="{00000000-0005-0000-0000-000056820000}"/>
    <cellStyle name="40% - Accent5 3 2 3 3 3 2 2" xfId="42260" xr:uid="{00000000-0005-0000-0000-000057820000}"/>
    <cellStyle name="40% - Accent5 3 2 3 3 3 3" xfId="30959" xr:uid="{00000000-0005-0000-0000-000058820000}"/>
    <cellStyle name="40% - Accent5 3 2 3 3 4" xfId="14008" xr:uid="{00000000-0005-0000-0000-000059820000}"/>
    <cellStyle name="40% - Accent5 3 2 3 3 4 2" xfId="36610" xr:uid="{00000000-0005-0000-0000-00005A820000}"/>
    <cellStyle name="40% - Accent5 3 2 3 3 5" xfId="25309" xr:uid="{00000000-0005-0000-0000-00005B820000}"/>
    <cellStyle name="40% - Accent5 3 2 3 4" xfId="4306" xr:uid="{00000000-0005-0000-0000-00005C820000}"/>
    <cellStyle name="40% - Accent5 3 2 3 4 2" xfId="9956" xr:uid="{00000000-0005-0000-0000-00005D820000}"/>
    <cellStyle name="40% - Accent5 3 2 3 4 2 2" xfId="21257" xr:uid="{00000000-0005-0000-0000-00005E820000}"/>
    <cellStyle name="40% - Accent5 3 2 3 4 2 2 2" xfId="43859" xr:uid="{00000000-0005-0000-0000-00005F820000}"/>
    <cellStyle name="40% - Accent5 3 2 3 4 2 3" xfId="32558" xr:uid="{00000000-0005-0000-0000-000060820000}"/>
    <cellStyle name="40% - Accent5 3 2 3 4 3" xfId="15607" xr:uid="{00000000-0005-0000-0000-000061820000}"/>
    <cellStyle name="40% - Accent5 3 2 3 4 3 2" xfId="38209" xr:uid="{00000000-0005-0000-0000-000062820000}"/>
    <cellStyle name="40% - Accent5 3 2 3 4 4" xfId="26908" xr:uid="{00000000-0005-0000-0000-000063820000}"/>
    <cellStyle name="40% - Accent5 3 2 3 5" xfId="7103" xr:uid="{00000000-0005-0000-0000-000064820000}"/>
    <cellStyle name="40% - Accent5 3 2 3 5 2" xfId="18404" xr:uid="{00000000-0005-0000-0000-000065820000}"/>
    <cellStyle name="40% - Accent5 3 2 3 5 2 2" xfId="41006" xr:uid="{00000000-0005-0000-0000-000066820000}"/>
    <cellStyle name="40% - Accent5 3 2 3 5 3" xfId="29705" xr:uid="{00000000-0005-0000-0000-000067820000}"/>
    <cellStyle name="40% - Accent5 3 2 3 6" xfId="12754" xr:uid="{00000000-0005-0000-0000-000068820000}"/>
    <cellStyle name="40% - Accent5 3 2 3 6 2" xfId="35356" xr:uid="{00000000-0005-0000-0000-000069820000}"/>
    <cellStyle name="40% - Accent5 3 2 3 7" xfId="24055" xr:uid="{00000000-0005-0000-0000-00006A820000}"/>
    <cellStyle name="40% - Accent5 3 2 4" xfId="813" xr:uid="{00000000-0005-0000-0000-00006B820000}"/>
    <cellStyle name="40% - Accent5 3 2 4 2" xfId="2885" xr:uid="{00000000-0005-0000-0000-00006C820000}"/>
    <cellStyle name="40% - Accent5 3 2 4 2 2" xfId="5857" xr:uid="{00000000-0005-0000-0000-00006D820000}"/>
    <cellStyle name="40% - Accent5 3 2 4 2 2 2" xfId="11507" xr:uid="{00000000-0005-0000-0000-00006E820000}"/>
    <cellStyle name="40% - Accent5 3 2 4 2 2 2 2" xfId="22808" xr:uid="{00000000-0005-0000-0000-00006F820000}"/>
    <cellStyle name="40% - Accent5 3 2 4 2 2 2 2 2" xfId="45410" xr:uid="{00000000-0005-0000-0000-000070820000}"/>
    <cellStyle name="40% - Accent5 3 2 4 2 2 2 3" xfId="34109" xr:uid="{00000000-0005-0000-0000-000071820000}"/>
    <cellStyle name="40% - Accent5 3 2 4 2 2 3" xfId="17158" xr:uid="{00000000-0005-0000-0000-000072820000}"/>
    <cellStyle name="40% - Accent5 3 2 4 2 2 3 2" xfId="39760" xr:uid="{00000000-0005-0000-0000-000073820000}"/>
    <cellStyle name="40% - Accent5 3 2 4 2 2 4" xfId="28459" xr:uid="{00000000-0005-0000-0000-000074820000}"/>
    <cellStyle name="40% - Accent5 3 2 4 2 3" xfId="8675" xr:uid="{00000000-0005-0000-0000-000075820000}"/>
    <cellStyle name="40% - Accent5 3 2 4 2 3 2" xfId="19976" xr:uid="{00000000-0005-0000-0000-000076820000}"/>
    <cellStyle name="40% - Accent5 3 2 4 2 3 2 2" xfId="42578" xr:uid="{00000000-0005-0000-0000-000077820000}"/>
    <cellStyle name="40% - Accent5 3 2 4 2 3 3" xfId="31277" xr:uid="{00000000-0005-0000-0000-000078820000}"/>
    <cellStyle name="40% - Accent5 3 2 4 2 4" xfId="14326" xr:uid="{00000000-0005-0000-0000-000079820000}"/>
    <cellStyle name="40% - Accent5 3 2 4 2 4 2" xfId="36928" xr:uid="{00000000-0005-0000-0000-00007A820000}"/>
    <cellStyle name="40% - Accent5 3 2 4 2 5" xfId="25627" xr:uid="{00000000-0005-0000-0000-00007B820000}"/>
    <cellStyle name="40% - Accent5 3 2 4 3" xfId="4623" xr:uid="{00000000-0005-0000-0000-00007C820000}"/>
    <cellStyle name="40% - Accent5 3 2 4 3 2" xfId="10273" xr:uid="{00000000-0005-0000-0000-00007D820000}"/>
    <cellStyle name="40% - Accent5 3 2 4 3 2 2" xfId="21574" xr:uid="{00000000-0005-0000-0000-00007E820000}"/>
    <cellStyle name="40% - Accent5 3 2 4 3 2 2 2" xfId="44176" xr:uid="{00000000-0005-0000-0000-00007F820000}"/>
    <cellStyle name="40% - Accent5 3 2 4 3 2 3" xfId="32875" xr:uid="{00000000-0005-0000-0000-000080820000}"/>
    <cellStyle name="40% - Accent5 3 2 4 3 3" xfId="15924" xr:uid="{00000000-0005-0000-0000-000081820000}"/>
    <cellStyle name="40% - Accent5 3 2 4 3 3 2" xfId="38526" xr:uid="{00000000-0005-0000-0000-000082820000}"/>
    <cellStyle name="40% - Accent5 3 2 4 3 4" xfId="27225" xr:uid="{00000000-0005-0000-0000-000083820000}"/>
    <cellStyle name="40% - Accent5 3 2 4 4" xfId="6810" xr:uid="{00000000-0005-0000-0000-000084820000}"/>
    <cellStyle name="40% - Accent5 3 2 4 4 2" xfId="18111" xr:uid="{00000000-0005-0000-0000-000085820000}"/>
    <cellStyle name="40% - Accent5 3 2 4 4 2 2" xfId="40713" xr:uid="{00000000-0005-0000-0000-000086820000}"/>
    <cellStyle name="40% - Accent5 3 2 4 4 3" xfId="29412" xr:uid="{00000000-0005-0000-0000-000087820000}"/>
    <cellStyle name="40% - Accent5 3 2 4 5" xfId="12461" xr:uid="{00000000-0005-0000-0000-000088820000}"/>
    <cellStyle name="40% - Accent5 3 2 4 5 2" xfId="35063" xr:uid="{00000000-0005-0000-0000-000089820000}"/>
    <cellStyle name="40% - Accent5 3 2 4 6" xfId="23762" xr:uid="{00000000-0005-0000-0000-00008A820000}"/>
    <cellStyle name="40% - Accent5 3 2 5" xfId="1936" xr:uid="{00000000-0005-0000-0000-00008B820000}"/>
    <cellStyle name="40% - Accent5 3 2 5 2" xfId="3740" xr:uid="{00000000-0005-0000-0000-00008C820000}"/>
    <cellStyle name="40% - Accent5 3 2 5 2 2" xfId="9450" xr:uid="{00000000-0005-0000-0000-00008D820000}"/>
    <cellStyle name="40% - Accent5 3 2 5 2 2 2" xfId="20751" xr:uid="{00000000-0005-0000-0000-00008E820000}"/>
    <cellStyle name="40% - Accent5 3 2 5 2 2 2 2" xfId="43353" xr:uid="{00000000-0005-0000-0000-00008F820000}"/>
    <cellStyle name="40% - Accent5 3 2 5 2 2 3" xfId="32052" xr:uid="{00000000-0005-0000-0000-000090820000}"/>
    <cellStyle name="40% - Accent5 3 2 5 2 3" xfId="15101" xr:uid="{00000000-0005-0000-0000-000091820000}"/>
    <cellStyle name="40% - Accent5 3 2 5 2 3 2" xfId="37703" xr:uid="{00000000-0005-0000-0000-000092820000}"/>
    <cellStyle name="40% - Accent5 3 2 5 2 4" xfId="26402" xr:uid="{00000000-0005-0000-0000-000093820000}"/>
    <cellStyle name="40% - Accent5 3 2 5 3" xfId="5233" xr:uid="{00000000-0005-0000-0000-000094820000}"/>
    <cellStyle name="40% - Accent5 3 2 5 3 2" xfId="10883" xr:uid="{00000000-0005-0000-0000-000095820000}"/>
    <cellStyle name="40% - Accent5 3 2 5 3 2 2" xfId="22184" xr:uid="{00000000-0005-0000-0000-000096820000}"/>
    <cellStyle name="40% - Accent5 3 2 5 3 2 2 2" xfId="44786" xr:uid="{00000000-0005-0000-0000-000097820000}"/>
    <cellStyle name="40% - Accent5 3 2 5 3 2 3" xfId="33485" xr:uid="{00000000-0005-0000-0000-000098820000}"/>
    <cellStyle name="40% - Accent5 3 2 5 3 3" xfId="16534" xr:uid="{00000000-0005-0000-0000-000099820000}"/>
    <cellStyle name="40% - Accent5 3 2 5 3 3 2" xfId="39136" xr:uid="{00000000-0005-0000-0000-00009A820000}"/>
    <cellStyle name="40% - Accent5 3 2 5 3 4" xfId="27835" xr:uid="{00000000-0005-0000-0000-00009B820000}"/>
    <cellStyle name="40% - Accent5 3 2 5 4" xfId="7792" xr:uid="{00000000-0005-0000-0000-00009C820000}"/>
    <cellStyle name="40% - Accent5 3 2 5 4 2" xfId="19093" xr:uid="{00000000-0005-0000-0000-00009D820000}"/>
    <cellStyle name="40% - Accent5 3 2 5 4 2 2" xfId="41695" xr:uid="{00000000-0005-0000-0000-00009E820000}"/>
    <cellStyle name="40% - Accent5 3 2 5 4 3" xfId="30394" xr:uid="{00000000-0005-0000-0000-00009F820000}"/>
    <cellStyle name="40% - Accent5 3 2 5 5" xfId="13443" xr:uid="{00000000-0005-0000-0000-0000A0820000}"/>
    <cellStyle name="40% - Accent5 3 2 5 5 2" xfId="36045" xr:uid="{00000000-0005-0000-0000-0000A1820000}"/>
    <cellStyle name="40% - Accent5 3 2 5 6" xfId="24744" xr:uid="{00000000-0005-0000-0000-0000A2820000}"/>
    <cellStyle name="40% - Accent5 3 2 6" xfId="2211" xr:uid="{00000000-0005-0000-0000-0000A3820000}"/>
    <cellStyle name="40% - Accent5 3 2 6 2" xfId="8047" xr:uid="{00000000-0005-0000-0000-0000A4820000}"/>
    <cellStyle name="40% - Accent5 3 2 6 2 2" xfId="19348" xr:uid="{00000000-0005-0000-0000-0000A5820000}"/>
    <cellStyle name="40% - Accent5 3 2 6 2 2 2" xfId="41950" xr:uid="{00000000-0005-0000-0000-0000A6820000}"/>
    <cellStyle name="40% - Accent5 3 2 6 2 3" xfId="30649" xr:uid="{00000000-0005-0000-0000-0000A7820000}"/>
    <cellStyle name="40% - Accent5 3 2 6 3" xfId="13698" xr:uid="{00000000-0005-0000-0000-0000A8820000}"/>
    <cellStyle name="40% - Accent5 3 2 6 3 2" xfId="36300" xr:uid="{00000000-0005-0000-0000-0000A9820000}"/>
    <cellStyle name="40% - Accent5 3 2 6 4" xfId="24999" xr:uid="{00000000-0005-0000-0000-0000AA820000}"/>
    <cellStyle name="40% - Accent5 3 2 7" xfId="3999" xr:uid="{00000000-0005-0000-0000-0000AB820000}"/>
    <cellStyle name="40% - Accent5 3 2 7 2" xfId="9649" xr:uid="{00000000-0005-0000-0000-0000AC820000}"/>
    <cellStyle name="40% - Accent5 3 2 7 2 2" xfId="20950" xr:uid="{00000000-0005-0000-0000-0000AD820000}"/>
    <cellStyle name="40% - Accent5 3 2 7 2 2 2" xfId="43552" xr:uid="{00000000-0005-0000-0000-0000AE820000}"/>
    <cellStyle name="40% - Accent5 3 2 7 2 3" xfId="32251" xr:uid="{00000000-0005-0000-0000-0000AF820000}"/>
    <cellStyle name="40% - Accent5 3 2 7 3" xfId="15300" xr:uid="{00000000-0005-0000-0000-0000B0820000}"/>
    <cellStyle name="40% - Accent5 3 2 7 3 2" xfId="37902" xr:uid="{00000000-0005-0000-0000-0000B1820000}"/>
    <cellStyle name="40% - Accent5 3 2 7 4" xfId="26601" xr:uid="{00000000-0005-0000-0000-0000B2820000}"/>
    <cellStyle name="40% - Accent5 3 2 8" xfId="6450" xr:uid="{00000000-0005-0000-0000-0000B3820000}"/>
    <cellStyle name="40% - Accent5 3 2 8 2" xfId="17751" xr:uid="{00000000-0005-0000-0000-0000B4820000}"/>
    <cellStyle name="40% - Accent5 3 2 8 2 2" xfId="40353" xr:uid="{00000000-0005-0000-0000-0000B5820000}"/>
    <cellStyle name="40% - Accent5 3 2 8 3" xfId="29052" xr:uid="{00000000-0005-0000-0000-0000B6820000}"/>
    <cellStyle name="40% - Accent5 3 2 9" xfId="12101" xr:uid="{00000000-0005-0000-0000-0000B7820000}"/>
    <cellStyle name="40% - Accent5 3 2 9 2" xfId="34703" xr:uid="{00000000-0005-0000-0000-0000B8820000}"/>
    <cellStyle name="40% - Accent5 3 3" xfId="356" xr:uid="{00000000-0005-0000-0000-0000B9820000}"/>
    <cellStyle name="40% - Accent5 3 3 10" xfId="23451" xr:uid="{00000000-0005-0000-0000-0000BA820000}"/>
    <cellStyle name="40% - Accent5 3 3 2" xfId="601" xr:uid="{00000000-0005-0000-0000-0000BB820000}"/>
    <cellStyle name="40% - Accent5 3 3 2 2" xfId="1311" xr:uid="{00000000-0005-0000-0000-0000BC820000}"/>
    <cellStyle name="40% - Accent5 3 3 2 2 2" xfId="1942" xr:uid="{00000000-0005-0000-0000-0000BD820000}"/>
    <cellStyle name="40% - Accent5 3 3 2 2 2 2" xfId="3380" xr:uid="{00000000-0005-0000-0000-0000BE820000}"/>
    <cellStyle name="40% - Accent5 3 3 2 2 2 2 2" xfId="6352" xr:uid="{00000000-0005-0000-0000-0000BF820000}"/>
    <cellStyle name="40% - Accent5 3 3 2 2 2 2 2 2" xfId="12002" xr:uid="{00000000-0005-0000-0000-0000C0820000}"/>
    <cellStyle name="40% - Accent5 3 3 2 2 2 2 2 2 2" xfId="23303" xr:uid="{00000000-0005-0000-0000-0000C1820000}"/>
    <cellStyle name="40% - Accent5 3 3 2 2 2 2 2 2 2 2" xfId="45905" xr:uid="{00000000-0005-0000-0000-0000C2820000}"/>
    <cellStyle name="40% - Accent5 3 3 2 2 2 2 2 2 3" xfId="34604" xr:uid="{00000000-0005-0000-0000-0000C3820000}"/>
    <cellStyle name="40% - Accent5 3 3 2 2 2 2 2 3" xfId="17653" xr:uid="{00000000-0005-0000-0000-0000C4820000}"/>
    <cellStyle name="40% - Accent5 3 3 2 2 2 2 2 3 2" xfId="40255" xr:uid="{00000000-0005-0000-0000-0000C5820000}"/>
    <cellStyle name="40% - Accent5 3 3 2 2 2 2 2 4" xfId="28954" xr:uid="{00000000-0005-0000-0000-0000C6820000}"/>
    <cellStyle name="40% - Accent5 3 3 2 2 2 2 3" xfId="9170" xr:uid="{00000000-0005-0000-0000-0000C7820000}"/>
    <cellStyle name="40% - Accent5 3 3 2 2 2 2 3 2" xfId="20471" xr:uid="{00000000-0005-0000-0000-0000C8820000}"/>
    <cellStyle name="40% - Accent5 3 3 2 2 2 2 3 2 2" xfId="43073" xr:uid="{00000000-0005-0000-0000-0000C9820000}"/>
    <cellStyle name="40% - Accent5 3 3 2 2 2 2 3 3" xfId="31772" xr:uid="{00000000-0005-0000-0000-0000CA820000}"/>
    <cellStyle name="40% - Accent5 3 3 2 2 2 2 4" xfId="14821" xr:uid="{00000000-0005-0000-0000-0000CB820000}"/>
    <cellStyle name="40% - Accent5 3 3 2 2 2 2 4 2" xfId="37423" xr:uid="{00000000-0005-0000-0000-0000CC820000}"/>
    <cellStyle name="40% - Accent5 3 3 2 2 2 2 5" xfId="26122" xr:uid="{00000000-0005-0000-0000-0000CD820000}"/>
    <cellStyle name="40% - Accent5 3 3 2 2 2 3" xfId="5118" xr:uid="{00000000-0005-0000-0000-0000CE820000}"/>
    <cellStyle name="40% - Accent5 3 3 2 2 2 3 2" xfId="10768" xr:uid="{00000000-0005-0000-0000-0000CF820000}"/>
    <cellStyle name="40% - Accent5 3 3 2 2 2 3 2 2" xfId="22069" xr:uid="{00000000-0005-0000-0000-0000D0820000}"/>
    <cellStyle name="40% - Accent5 3 3 2 2 2 3 2 2 2" xfId="44671" xr:uid="{00000000-0005-0000-0000-0000D1820000}"/>
    <cellStyle name="40% - Accent5 3 3 2 2 2 3 2 3" xfId="33370" xr:uid="{00000000-0005-0000-0000-0000D2820000}"/>
    <cellStyle name="40% - Accent5 3 3 2 2 2 3 3" xfId="16419" xr:uid="{00000000-0005-0000-0000-0000D3820000}"/>
    <cellStyle name="40% - Accent5 3 3 2 2 2 3 3 2" xfId="39021" xr:uid="{00000000-0005-0000-0000-0000D4820000}"/>
    <cellStyle name="40% - Accent5 3 3 2 2 2 3 4" xfId="27720" xr:uid="{00000000-0005-0000-0000-0000D5820000}"/>
    <cellStyle name="40% - Accent5 3 3 2 2 2 4" xfId="7798" xr:uid="{00000000-0005-0000-0000-0000D6820000}"/>
    <cellStyle name="40% - Accent5 3 3 2 2 2 4 2" xfId="19099" xr:uid="{00000000-0005-0000-0000-0000D7820000}"/>
    <cellStyle name="40% - Accent5 3 3 2 2 2 4 2 2" xfId="41701" xr:uid="{00000000-0005-0000-0000-0000D8820000}"/>
    <cellStyle name="40% - Accent5 3 3 2 2 2 4 3" xfId="30400" xr:uid="{00000000-0005-0000-0000-0000D9820000}"/>
    <cellStyle name="40% - Accent5 3 3 2 2 2 5" xfId="13449" xr:uid="{00000000-0005-0000-0000-0000DA820000}"/>
    <cellStyle name="40% - Accent5 3 3 2 2 2 5 2" xfId="36051" xr:uid="{00000000-0005-0000-0000-0000DB820000}"/>
    <cellStyle name="40% - Accent5 3 3 2 2 2 6" xfId="24750" xr:uid="{00000000-0005-0000-0000-0000DC820000}"/>
    <cellStyle name="40% - Accent5 3 3 2 2 3" xfId="2709" xr:uid="{00000000-0005-0000-0000-0000DD820000}"/>
    <cellStyle name="40% - Accent5 3 3 2 2 3 2" xfId="5728" xr:uid="{00000000-0005-0000-0000-0000DE820000}"/>
    <cellStyle name="40% - Accent5 3 3 2 2 3 2 2" xfId="11378" xr:uid="{00000000-0005-0000-0000-0000DF820000}"/>
    <cellStyle name="40% - Accent5 3 3 2 2 3 2 2 2" xfId="22679" xr:uid="{00000000-0005-0000-0000-0000E0820000}"/>
    <cellStyle name="40% - Accent5 3 3 2 2 3 2 2 2 2" xfId="45281" xr:uid="{00000000-0005-0000-0000-0000E1820000}"/>
    <cellStyle name="40% - Accent5 3 3 2 2 3 2 2 3" xfId="33980" xr:uid="{00000000-0005-0000-0000-0000E2820000}"/>
    <cellStyle name="40% - Accent5 3 3 2 2 3 2 3" xfId="17029" xr:uid="{00000000-0005-0000-0000-0000E3820000}"/>
    <cellStyle name="40% - Accent5 3 3 2 2 3 2 3 2" xfId="39631" xr:uid="{00000000-0005-0000-0000-0000E4820000}"/>
    <cellStyle name="40% - Accent5 3 3 2 2 3 2 4" xfId="28330" xr:uid="{00000000-0005-0000-0000-0000E5820000}"/>
    <cellStyle name="40% - Accent5 3 3 2 2 3 3" xfId="8545" xr:uid="{00000000-0005-0000-0000-0000E6820000}"/>
    <cellStyle name="40% - Accent5 3 3 2 2 3 3 2" xfId="19846" xr:uid="{00000000-0005-0000-0000-0000E7820000}"/>
    <cellStyle name="40% - Accent5 3 3 2 2 3 3 2 2" xfId="42448" xr:uid="{00000000-0005-0000-0000-0000E8820000}"/>
    <cellStyle name="40% - Accent5 3 3 2 2 3 3 3" xfId="31147" xr:uid="{00000000-0005-0000-0000-0000E9820000}"/>
    <cellStyle name="40% - Accent5 3 3 2 2 3 4" xfId="14196" xr:uid="{00000000-0005-0000-0000-0000EA820000}"/>
    <cellStyle name="40% - Accent5 3 3 2 2 3 4 2" xfId="36798" xr:uid="{00000000-0005-0000-0000-0000EB820000}"/>
    <cellStyle name="40% - Accent5 3 3 2 2 3 5" xfId="25497" xr:uid="{00000000-0005-0000-0000-0000EC820000}"/>
    <cellStyle name="40% - Accent5 3 3 2 2 4" xfId="4494" xr:uid="{00000000-0005-0000-0000-0000ED820000}"/>
    <cellStyle name="40% - Accent5 3 3 2 2 4 2" xfId="10144" xr:uid="{00000000-0005-0000-0000-0000EE820000}"/>
    <cellStyle name="40% - Accent5 3 3 2 2 4 2 2" xfId="21445" xr:uid="{00000000-0005-0000-0000-0000EF820000}"/>
    <cellStyle name="40% - Accent5 3 3 2 2 4 2 2 2" xfId="44047" xr:uid="{00000000-0005-0000-0000-0000F0820000}"/>
    <cellStyle name="40% - Accent5 3 3 2 2 4 2 3" xfId="32746" xr:uid="{00000000-0005-0000-0000-0000F1820000}"/>
    <cellStyle name="40% - Accent5 3 3 2 2 4 3" xfId="15795" xr:uid="{00000000-0005-0000-0000-0000F2820000}"/>
    <cellStyle name="40% - Accent5 3 3 2 2 4 3 2" xfId="38397" xr:uid="{00000000-0005-0000-0000-0000F3820000}"/>
    <cellStyle name="40% - Accent5 3 3 2 2 4 4" xfId="27096" xr:uid="{00000000-0005-0000-0000-0000F4820000}"/>
    <cellStyle name="40% - Accent5 3 3 2 2 5" xfId="7290" xr:uid="{00000000-0005-0000-0000-0000F5820000}"/>
    <cellStyle name="40% - Accent5 3 3 2 2 5 2" xfId="18591" xr:uid="{00000000-0005-0000-0000-0000F6820000}"/>
    <cellStyle name="40% - Accent5 3 3 2 2 5 2 2" xfId="41193" xr:uid="{00000000-0005-0000-0000-0000F7820000}"/>
    <cellStyle name="40% - Accent5 3 3 2 2 5 3" xfId="29892" xr:uid="{00000000-0005-0000-0000-0000F8820000}"/>
    <cellStyle name="40% - Accent5 3 3 2 2 6" xfId="12941" xr:uid="{00000000-0005-0000-0000-0000F9820000}"/>
    <cellStyle name="40% - Accent5 3 3 2 2 6 2" xfId="35543" xr:uid="{00000000-0005-0000-0000-0000FA820000}"/>
    <cellStyle name="40% - Accent5 3 3 2 2 7" xfId="24242" xr:uid="{00000000-0005-0000-0000-0000FB820000}"/>
    <cellStyle name="40% - Accent5 3 3 2 3" xfId="1009" xr:uid="{00000000-0005-0000-0000-0000FC820000}"/>
    <cellStyle name="40% - Accent5 3 3 2 3 2" xfId="3072" xr:uid="{00000000-0005-0000-0000-0000FD820000}"/>
    <cellStyle name="40% - Accent5 3 3 2 3 2 2" xfId="6044" xr:uid="{00000000-0005-0000-0000-0000FE820000}"/>
    <cellStyle name="40% - Accent5 3 3 2 3 2 2 2" xfId="11694" xr:uid="{00000000-0005-0000-0000-0000FF820000}"/>
    <cellStyle name="40% - Accent5 3 3 2 3 2 2 2 2" xfId="22995" xr:uid="{00000000-0005-0000-0000-000000830000}"/>
    <cellStyle name="40% - Accent5 3 3 2 3 2 2 2 2 2" xfId="45597" xr:uid="{00000000-0005-0000-0000-000001830000}"/>
    <cellStyle name="40% - Accent5 3 3 2 3 2 2 2 3" xfId="34296" xr:uid="{00000000-0005-0000-0000-000002830000}"/>
    <cellStyle name="40% - Accent5 3 3 2 3 2 2 3" xfId="17345" xr:uid="{00000000-0005-0000-0000-000003830000}"/>
    <cellStyle name="40% - Accent5 3 3 2 3 2 2 3 2" xfId="39947" xr:uid="{00000000-0005-0000-0000-000004830000}"/>
    <cellStyle name="40% - Accent5 3 3 2 3 2 2 4" xfId="28646" xr:uid="{00000000-0005-0000-0000-000005830000}"/>
    <cellStyle name="40% - Accent5 3 3 2 3 2 3" xfId="8862" xr:uid="{00000000-0005-0000-0000-000006830000}"/>
    <cellStyle name="40% - Accent5 3 3 2 3 2 3 2" xfId="20163" xr:uid="{00000000-0005-0000-0000-000007830000}"/>
    <cellStyle name="40% - Accent5 3 3 2 3 2 3 2 2" xfId="42765" xr:uid="{00000000-0005-0000-0000-000008830000}"/>
    <cellStyle name="40% - Accent5 3 3 2 3 2 3 3" xfId="31464" xr:uid="{00000000-0005-0000-0000-000009830000}"/>
    <cellStyle name="40% - Accent5 3 3 2 3 2 4" xfId="14513" xr:uid="{00000000-0005-0000-0000-00000A830000}"/>
    <cellStyle name="40% - Accent5 3 3 2 3 2 4 2" xfId="37115" xr:uid="{00000000-0005-0000-0000-00000B830000}"/>
    <cellStyle name="40% - Accent5 3 3 2 3 2 5" xfId="25814" xr:uid="{00000000-0005-0000-0000-00000C830000}"/>
    <cellStyle name="40% - Accent5 3 3 2 3 3" xfId="4810" xr:uid="{00000000-0005-0000-0000-00000D830000}"/>
    <cellStyle name="40% - Accent5 3 3 2 3 3 2" xfId="10460" xr:uid="{00000000-0005-0000-0000-00000E830000}"/>
    <cellStyle name="40% - Accent5 3 3 2 3 3 2 2" xfId="21761" xr:uid="{00000000-0005-0000-0000-00000F830000}"/>
    <cellStyle name="40% - Accent5 3 3 2 3 3 2 2 2" xfId="44363" xr:uid="{00000000-0005-0000-0000-000010830000}"/>
    <cellStyle name="40% - Accent5 3 3 2 3 3 2 3" xfId="33062" xr:uid="{00000000-0005-0000-0000-000011830000}"/>
    <cellStyle name="40% - Accent5 3 3 2 3 3 3" xfId="16111" xr:uid="{00000000-0005-0000-0000-000012830000}"/>
    <cellStyle name="40% - Accent5 3 3 2 3 3 3 2" xfId="38713" xr:uid="{00000000-0005-0000-0000-000013830000}"/>
    <cellStyle name="40% - Accent5 3 3 2 3 3 4" xfId="27412" xr:uid="{00000000-0005-0000-0000-000014830000}"/>
    <cellStyle name="40% - Accent5 3 3 2 3 4" xfId="6997" xr:uid="{00000000-0005-0000-0000-000015830000}"/>
    <cellStyle name="40% - Accent5 3 3 2 3 4 2" xfId="18298" xr:uid="{00000000-0005-0000-0000-000016830000}"/>
    <cellStyle name="40% - Accent5 3 3 2 3 4 2 2" xfId="40900" xr:uid="{00000000-0005-0000-0000-000017830000}"/>
    <cellStyle name="40% - Accent5 3 3 2 3 4 3" xfId="29599" xr:uid="{00000000-0005-0000-0000-000018830000}"/>
    <cellStyle name="40% - Accent5 3 3 2 3 5" xfId="12648" xr:uid="{00000000-0005-0000-0000-000019830000}"/>
    <cellStyle name="40% - Accent5 3 3 2 3 5 2" xfId="35250" xr:uid="{00000000-0005-0000-0000-00001A830000}"/>
    <cellStyle name="40% - Accent5 3 3 2 3 6" xfId="23949" xr:uid="{00000000-0005-0000-0000-00001B830000}"/>
    <cellStyle name="40% - Accent5 3 3 2 4" xfId="1941" xr:uid="{00000000-0005-0000-0000-00001C830000}"/>
    <cellStyle name="40% - Accent5 3 3 2 4 2" xfId="3743" xr:uid="{00000000-0005-0000-0000-00001D830000}"/>
    <cellStyle name="40% - Accent5 3 3 2 4 2 2" xfId="9453" xr:uid="{00000000-0005-0000-0000-00001E830000}"/>
    <cellStyle name="40% - Accent5 3 3 2 4 2 2 2" xfId="20754" xr:uid="{00000000-0005-0000-0000-00001F830000}"/>
    <cellStyle name="40% - Accent5 3 3 2 4 2 2 2 2" xfId="43356" xr:uid="{00000000-0005-0000-0000-000020830000}"/>
    <cellStyle name="40% - Accent5 3 3 2 4 2 2 3" xfId="32055" xr:uid="{00000000-0005-0000-0000-000021830000}"/>
    <cellStyle name="40% - Accent5 3 3 2 4 2 3" xfId="15104" xr:uid="{00000000-0005-0000-0000-000022830000}"/>
    <cellStyle name="40% - Accent5 3 3 2 4 2 3 2" xfId="37706" xr:uid="{00000000-0005-0000-0000-000023830000}"/>
    <cellStyle name="40% - Accent5 3 3 2 4 2 4" xfId="26405" xr:uid="{00000000-0005-0000-0000-000024830000}"/>
    <cellStyle name="40% - Accent5 3 3 2 4 3" xfId="5420" xr:uid="{00000000-0005-0000-0000-000025830000}"/>
    <cellStyle name="40% - Accent5 3 3 2 4 3 2" xfId="11070" xr:uid="{00000000-0005-0000-0000-000026830000}"/>
    <cellStyle name="40% - Accent5 3 3 2 4 3 2 2" xfId="22371" xr:uid="{00000000-0005-0000-0000-000027830000}"/>
    <cellStyle name="40% - Accent5 3 3 2 4 3 2 2 2" xfId="44973" xr:uid="{00000000-0005-0000-0000-000028830000}"/>
    <cellStyle name="40% - Accent5 3 3 2 4 3 2 3" xfId="33672" xr:uid="{00000000-0005-0000-0000-000029830000}"/>
    <cellStyle name="40% - Accent5 3 3 2 4 3 3" xfId="16721" xr:uid="{00000000-0005-0000-0000-00002A830000}"/>
    <cellStyle name="40% - Accent5 3 3 2 4 3 3 2" xfId="39323" xr:uid="{00000000-0005-0000-0000-00002B830000}"/>
    <cellStyle name="40% - Accent5 3 3 2 4 3 4" xfId="28022" xr:uid="{00000000-0005-0000-0000-00002C830000}"/>
    <cellStyle name="40% - Accent5 3 3 2 4 4" xfId="7797" xr:uid="{00000000-0005-0000-0000-00002D830000}"/>
    <cellStyle name="40% - Accent5 3 3 2 4 4 2" xfId="19098" xr:uid="{00000000-0005-0000-0000-00002E830000}"/>
    <cellStyle name="40% - Accent5 3 3 2 4 4 2 2" xfId="41700" xr:uid="{00000000-0005-0000-0000-00002F830000}"/>
    <cellStyle name="40% - Accent5 3 3 2 4 4 3" xfId="30399" xr:uid="{00000000-0005-0000-0000-000030830000}"/>
    <cellStyle name="40% - Accent5 3 3 2 4 5" xfId="13448" xr:uid="{00000000-0005-0000-0000-000031830000}"/>
    <cellStyle name="40% - Accent5 3 3 2 4 5 2" xfId="36050" xr:uid="{00000000-0005-0000-0000-000032830000}"/>
    <cellStyle name="40% - Accent5 3 3 2 4 6" xfId="24749" xr:uid="{00000000-0005-0000-0000-000033830000}"/>
    <cellStyle name="40% - Accent5 3 3 2 5" xfId="2401" xr:uid="{00000000-0005-0000-0000-000034830000}"/>
    <cellStyle name="40% - Accent5 3 3 2 5 2" xfId="8237" xr:uid="{00000000-0005-0000-0000-000035830000}"/>
    <cellStyle name="40% - Accent5 3 3 2 5 2 2" xfId="19538" xr:uid="{00000000-0005-0000-0000-000036830000}"/>
    <cellStyle name="40% - Accent5 3 3 2 5 2 2 2" xfId="42140" xr:uid="{00000000-0005-0000-0000-000037830000}"/>
    <cellStyle name="40% - Accent5 3 3 2 5 2 3" xfId="30839" xr:uid="{00000000-0005-0000-0000-000038830000}"/>
    <cellStyle name="40% - Accent5 3 3 2 5 3" xfId="13888" xr:uid="{00000000-0005-0000-0000-000039830000}"/>
    <cellStyle name="40% - Accent5 3 3 2 5 3 2" xfId="36490" xr:uid="{00000000-0005-0000-0000-00003A830000}"/>
    <cellStyle name="40% - Accent5 3 3 2 5 4" xfId="25189" xr:uid="{00000000-0005-0000-0000-00003B830000}"/>
    <cellStyle name="40% - Accent5 3 3 2 6" xfId="4186" xr:uid="{00000000-0005-0000-0000-00003C830000}"/>
    <cellStyle name="40% - Accent5 3 3 2 6 2" xfId="9836" xr:uid="{00000000-0005-0000-0000-00003D830000}"/>
    <cellStyle name="40% - Accent5 3 3 2 6 2 2" xfId="21137" xr:uid="{00000000-0005-0000-0000-00003E830000}"/>
    <cellStyle name="40% - Accent5 3 3 2 6 2 2 2" xfId="43739" xr:uid="{00000000-0005-0000-0000-00003F830000}"/>
    <cellStyle name="40% - Accent5 3 3 2 6 2 3" xfId="32438" xr:uid="{00000000-0005-0000-0000-000040830000}"/>
    <cellStyle name="40% - Accent5 3 3 2 6 3" xfId="15487" xr:uid="{00000000-0005-0000-0000-000041830000}"/>
    <cellStyle name="40% - Accent5 3 3 2 6 3 2" xfId="38089" xr:uid="{00000000-0005-0000-0000-000042830000}"/>
    <cellStyle name="40% - Accent5 3 3 2 6 4" xfId="26788" xr:uid="{00000000-0005-0000-0000-000043830000}"/>
    <cellStyle name="40% - Accent5 3 3 2 7" xfId="6666" xr:uid="{00000000-0005-0000-0000-000044830000}"/>
    <cellStyle name="40% - Accent5 3 3 2 7 2" xfId="17967" xr:uid="{00000000-0005-0000-0000-000045830000}"/>
    <cellStyle name="40% - Accent5 3 3 2 7 2 2" xfId="40569" xr:uid="{00000000-0005-0000-0000-000046830000}"/>
    <cellStyle name="40% - Accent5 3 3 2 7 3" xfId="29268" xr:uid="{00000000-0005-0000-0000-000047830000}"/>
    <cellStyle name="40% - Accent5 3 3 2 8" xfId="12317" xr:uid="{00000000-0005-0000-0000-000048830000}"/>
    <cellStyle name="40% - Accent5 3 3 2 8 2" xfId="34919" xr:uid="{00000000-0005-0000-0000-000049830000}"/>
    <cellStyle name="40% - Accent5 3 3 2 9" xfId="23618" xr:uid="{00000000-0005-0000-0000-00004A830000}"/>
    <cellStyle name="40% - Accent5 3 3 3" xfId="1173" xr:uid="{00000000-0005-0000-0000-00004B830000}"/>
    <cellStyle name="40% - Accent5 3 3 3 2" xfId="1943" xr:uid="{00000000-0005-0000-0000-00004C830000}"/>
    <cellStyle name="40% - Accent5 3 3 3 2 2" xfId="3241" xr:uid="{00000000-0005-0000-0000-00004D830000}"/>
    <cellStyle name="40% - Accent5 3 3 3 2 2 2" xfId="6213" xr:uid="{00000000-0005-0000-0000-00004E830000}"/>
    <cellStyle name="40% - Accent5 3 3 3 2 2 2 2" xfId="11863" xr:uid="{00000000-0005-0000-0000-00004F830000}"/>
    <cellStyle name="40% - Accent5 3 3 3 2 2 2 2 2" xfId="23164" xr:uid="{00000000-0005-0000-0000-000050830000}"/>
    <cellStyle name="40% - Accent5 3 3 3 2 2 2 2 2 2" xfId="45766" xr:uid="{00000000-0005-0000-0000-000051830000}"/>
    <cellStyle name="40% - Accent5 3 3 3 2 2 2 2 3" xfId="34465" xr:uid="{00000000-0005-0000-0000-000052830000}"/>
    <cellStyle name="40% - Accent5 3 3 3 2 2 2 3" xfId="17514" xr:uid="{00000000-0005-0000-0000-000053830000}"/>
    <cellStyle name="40% - Accent5 3 3 3 2 2 2 3 2" xfId="40116" xr:uid="{00000000-0005-0000-0000-000054830000}"/>
    <cellStyle name="40% - Accent5 3 3 3 2 2 2 4" xfId="28815" xr:uid="{00000000-0005-0000-0000-000055830000}"/>
    <cellStyle name="40% - Accent5 3 3 3 2 2 3" xfId="9031" xr:uid="{00000000-0005-0000-0000-000056830000}"/>
    <cellStyle name="40% - Accent5 3 3 3 2 2 3 2" xfId="20332" xr:uid="{00000000-0005-0000-0000-000057830000}"/>
    <cellStyle name="40% - Accent5 3 3 3 2 2 3 2 2" xfId="42934" xr:uid="{00000000-0005-0000-0000-000058830000}"/>
    <cellStyle name="40% - Accent5 3 3 3 2 2 3 3" xfId="31633" xr:uid="{00000000-0005-0000-0000-000059830000}"/>
    <cellStyle name="40% - Accent5 3 3 3 2 2 4" xfId="14682" xr:uid="{00000000-0005-0000-0000-00005A830000}"/>
    <cellStyle name="40% - Accent5 3 3 3 2 2 4 2" xfId="37284" xr:uid="{00000000-0005-0000-0000-00005B830000}"/>
    <cellStyle name="40% - Accent5 3 3 3 2 2 5" xfId="25983" xr:uid="{00000000-0005-0000-0000-00005C830000}"/>
    <cellStyle name="40% - Accent5 3 3 3 2 3" xfId="4979" xr:uid="{00000000-0005-0000-0000-00005D830000}"/>
    <cellStyle name="40% - Accent5 3 3 3 2 3 2" xfId="10629" xr:uid="{00000000-0005-0000-0000-00005E830000}"/>
    <cellStyle name="40% - Accent5 3 3 3 2 3 2 2" xfId="21930" xr:uid="{00000000-0005-0000-0000-00005F830000}"/>
    <cellStyle name="40% - Accent5 3 3 3 2 3 2 2 2" xfId="44532" xr:uid="{00000000-0005-0000-0000-000060830000}"/>
    <cellStyle name="40% - Accent5 3 3 3 2 3 2 3" xfId="33231" xr:uid="{00000000-0005-0000-0000-000061830000}"/>
    <cellStyle name="40% - Accent5 3 3 3 2 3 3" xfId="16280" xr:uid="{00000000-0005-0000-0000-000062830000}"/>
    <cellStyle name="40% - Accent5 3 3 3 2 3 3 2" xfId="38882" xr:uid="{00000000-0005-0000-0000-000063830000}"/>
    <cellStyle name="40% - Accent5 3 3 3 2 3 4" xfId="27581" xr:uid="{00000000-0005-0000-0000-000064830000}"/>
    <cellStyle name="40% - Accent5 3 3 3 2 4" xfId="7799" xr:uid="{00000000-0005-0000-0000-000065830000}"/>
    <cellStyle name="40% - Accent5 3 3 3 2 4 2" xfId="19100" xr:uid="{00000000-0005-0000-0000-000066830000}"/>
    <cellStyle name="40% - Accent5 3 3 3 2 4 2 2" xfId="41702" xr:uid="{00000000-0005-0000-0000-000067830000}"/>
    <cellStyle name="40% - Accent5 3 3 3 2 4 3" xfId="30401" xr:uid="{00000000-0005-0000-0000-000068830000}"/>
    <cellStyle name="40% - Accent5 3 3 3 2 5" xfId="13450" xr:uid="{00000000-0005-0000-0000-000069830000}"/>
    <cellStyle name="40% - Accent5 3 3 3 2 5 2" xfId="36052" xr:uid="{00000000-0005-0000-0000-00006A830000}"/>
    <cellStyle name="40% - Accent5 3 3 3 2 6" xfId="24751" xr:uid="{00000000-0005-0000-0000-00006B830000}"/>
    <cellStyle name="40% - Accent5 3 3 3 3" xfId="2570" xr:uid="{00000000-0005-0000-0000-00006C830000}"/>
    <cellStyle name="40% - Accent5 3 3 3 3 2" xfId="5589" xr:uid="{00000000-0005-0000-0000-00006D830000}"/>
    <cellStyle name="40% - Accent5 3 3 3 3 2 2" xfId="11239" xr:uid="{00000000-0005-0000-0000-00006E830000}"/>
    <cellStyle name="40% - Accent5 3 3 3 3 2 2 2" xfId="22540" xr:uid="{00000000-0005-0000-0000-00006F830000}"/>
    <cellStyle name="40% - Accent5 3 3 3 3 2 2 2 2" xfId="45142" xr:uid="{00000000-0005-0000-0000-000070830000}"/>
    <cellStyle name="40% - Accent5 3 3 3 3 2 2 3" xfId="33841" xr:uid="{00000000-0005-0000-0000-000071830000}"/>
    <cellStyle name="40% - Accent5 3 3 3 3 2 3" xfId="16890" xr:uid="{00000000-0005-0000-0000-000072830000}"/>
    <cellStyle name="40% - Accent5 3 3 3 3 2 3 2" xfId="39492" xr:uid="{00000000-0005-0000-0000-000073830000}"/>
    <cellStyle name="40% - Accent5 3 3 3 3 2 4" xfId="28191" xr:uid="{00000000-0005-0000-0000-000074830000}"/>
    <cellStyle name="40% - Accent5 3 3 3 3 3" xfId="8406" xr:uid="{00000000-0005-0000-0000-000075830000}"/>
    <cellStyle name="40% - Accent5 3 3 3 3 3 2" xfId="19707" xr:uid="{00000000-0005-0000-0000-000076830000}"/>
    <cellStyle name="40% - Accent5 3 3 3 3 3 2 2" xfId="42309" xr:uid="{00000000-0005-0000-0000-000077830000}"/>
    <cellStyle name="40% - Accent5 3 3 3 3 3 3" xfId="31008" xr:uid="{00000000-0005-0000-0000-000078830000}"/>
    <cellStyle name="40% - Accent5 3 3 3 3 4" xfId="14057" xr:uid="{00000000-0005-0000-0000-000079830000}"/>
    <cellStyle name="40% - Accent5 3 3 3 3 4 2" xfId="36659" xr:uid="{00000000-0005-0000-0000-00007A830000}"/>
    <cellStyle name="40% - Accent5 3 3 3 3 5" xfId="25358" xr:uid="{00000000-0005-0000-0000-00007B830000}"/>
    <cellStyle name="40% - Accent5 3 3 3 4" xfId="4355" xr:uid="{00000000-0005-0000-0000-00007C830000}"/>
    <cellStyle name="40% - Accent5 3 3 3 4 2" xfId="10005" xr:uid="{00000000-0005-0000-0000-00007D830000}"/>
    <cellStyle name="40% - Accent5 3 3 3 4 2 2" xfId="21306" xr:uid="{00000000-0005-0000-0000-00007E830000}"/>
    <cellStyle name="40% - Accent5 3 3 3 4 2 2 2" xfId="43908" xr:uid="{00000000-0005-0000-0000-00007F830000}"/>
    <cellStyle name="40% - Accent5 3 3 3 4 2 3" xfId="32607" xr:uid="{00000000-0005-0000-0000-000080830000}"/>
    <cellStyle name="40% - Accent5 3 3 3 4 3" xfId="15656" xr:uid="{00000000-0005-0000-0000-000081830000}"/>
    <cellStyle name="40% - Accent5 3 3 3 4 3 2" xfId="38258" xr:uid="{00000000-0005-0000-0000-000082830000}"/>
    <cellStyle name="40% - Accent5 3 3 3 4 4" xfId="26957" xr:uid="{00000000-0005-0000-0000-000083830000}"/>
    <cellStyle name="40% - Accent5 3 3 3 5" xfId="7152" xr:uid="{00000000-0005-0000-0000-000084830000}"/>
    <cellStyle name="40% - Accent5 3 3 3 5 2" xfId="18453" xr:uid="{00000000-0005-0000-0000-000085830000}"/>
    <cellStyle name="40% - Accent5 3 3 3 5 2 2" xfId="41055" xr:uid="{00000000-0005-0000-0000-000086830000}"/>
    <cellStyle name="40% - Accent5 3 3 3 5 3" xfId="29754" xr:uid="{00000000-0005-0000-0000-000087830000}"/>
    <cellStyle name="40% - Accent5 3 3 3 6" xfId="12803" xr:uid="{00000000-0005-0000-0000-000088830000}"/>
    <cellStyle name="40% - Accent5 3 3 3 6 2" xfId="35405" xr:uid="{00000000-0005-0000-0000-000089830000}"/>
    <cellStyle name="40% - Accent5 3 3 3 7" xfId="24104" xr:uid="{00000000-0005-0000-0000-00008A830000}"/>
    <cellStyle name="40% - Accent5 3 3 4" xfId="864" xr:uid="{00000000-0005-0000-0000-00008B830000}"/>
    <cellStyle name="40% - Accent5 3 3 4 2" xfId="2934" xr:uid="{00000000-0005-0000-0000-00008C830000}"/>
    <cellStyle name="40% - Accent5 3 3 4 2 2" xfId="5906" xr:uid="{00000000-0005-0000-0000-00008D830000}"/>
    <cellStyle name="40% - Accent5 3 3 4 2 2 2" xfId="11556" xr:uid="{00000000-0005-0000-0000-00008E830000}"/>
    <cellStyle name="40% - Accent5 3 3 4 2 2 2 2" xfId="22857" xr:uid="{00000000-0005-0000-0000-00008F830000}"/>
    <cellStyle name="40% - Accent5 3 3 4 2 2 2 2 2" xfId="45459" xr:uid="{00000000-0005-0000-0000-000090830000}"/>
    <cellStyle name="40% - Accent5 3 3 4 2 2 2 3" xfId="34158" xr:uid="{00000000-0005-0000-0000-000091830000}"/>
    <cellStyle name="40% - Accent5 3 3 4 2 2 3" xfId="17207" xr:uid="{00000000-0005-0000-0000-000092830000}"/>
    <cellStyle name="40% - Accent5 3 3 4 2 2 3 2" xfId="39809" xr:uid="{00000000-0005-0000-0000-000093830000}"/>
    <cellStyle name="40% - Accent5 3 3 4 2 2 4" xfId="28508" xr:uid="{00000000-0005-0000-0000-000094830000}"/>
    <cellStyle name="40% - Accent5 3 3 4 2 3" xfId="8724" xr:uid="{00000000-0005-0000-0000-000095830000}"/>
    <cellStyle name="40% - Accent5 3 3 4 2 3 2" xfId="20025" xr:uid="{00000000-0005-0000-0000-000096830000}"/>
    <cellStyle name="40% - Accent5 3 3 4 2 3 2 2" xfId="42627" xr:uid="{00000000-0005-0000-0000-000097830000}"/>
    <cellStyle name="40% - Accent5 3 3 4 2 3 3" xfId="31326" xr:uid="{00000000-0005-0000-0000-000098830000}"/>
    <cellStyle name="40% - Accent5 3 3 4 2 4" xfId="14375" xr:uid="{00000000-0005-0000-0000-000099830000}"/>
    <cellStyle name="40% - Accent5 3 3 4 2 4 2" xfId="36977" xr:uid="{00000000-0005-0000-0000-00009A830000}"/>
    <cellStyle name="40% - Accent5 3 3 4 2 5" xfId="25676" xr:uid="{00000000-0005-0000-0000-00009B830000}"/>
    <cellStyle name="40% - Accent5 3 3 4 3" xfId="4672" xr:uid="{00000000-0005-0000-0000-00009C830000}"/>
    <cellStyle name="40% - Accent5 3 3 4 3 2" xfId="10322" xr:uid="{00000000-0005-0000-0000-00009D830000}"/>
    <cellStyle name="40% - Accent5 3 3 4 3 2 2" xfId="21623" xr:uid="{00000000-0005-0000-0000-00009E830000}"/>
    <cellStyle name="40% - Accent5 3 3 4 3 2 2 2" xfId="44225" xr:uid="{00000000-0005-0000-0000-00009F830000}"/>
    <cellStyle name="40% - Accent5 3 3 4 3 2 3" xfId="32924" xr:uid="{00000000-0005-0000-0000-0000A0830000}"/>
    <cellStyle name="40% - Accent5 3 3 4 3 3" xfId="15973" xr:uid="{00000000-0005-0000-0000-0000A1830000}"/>
    <cellStyle name="40% - Accent5 3 3 4 3 3 2" xfId="38575" xr:uid="{00000000-0005-0000-0000-0000A2830000}"/>
    <cellStyle name="40% - Accent5 3 3 4 3 4" xfId="27274" xr:uid="{00000000-0005-0000-0000-0000A3830000}"/>
    <cellStyle name="40% - Accent5 3 3 4 4" xfId="6859" xr:uid="{00000000-0005-0000-0000-0000A4830000}"/>
    <cellStyle name="40% - Accent5 3 3 4 4 2" xfId="18160" xr:uid="{00000000-0005-0000-0000-0000A5830000}"/>
    <cellStyle name="40% - Accent5 3 3 4 4 2 2" xfId="40762" xr:uid="{00000000-0005-0000-0000-0000A6830000}"/>
    <cellStyle name="40% - Accent5 3 3 4 4 3" xfId="29461" xr:uid="{00000000-0005-0000-0000-0000A7830000}"/>
    <cellStyle name="40% - Accent5 3 3 4 5" xfId="12510" xr:uid="{00000000-0005-0000-0000-0000A8830000}"/>
    <cellStyle name="40% - Accent5 3 3 4 5 2" xfId="35112" xr:uid="{00000000-0005-0000-0000-0000A9830000}"/>
    <cellStyle name="40% - Accent5 3 3 4 6" xfId="23811" xr:uid="{00000000-0005-0000-0000-0000AA830000}"/>
    <cellStyle name="40% - Accent5 3 3 5" xfId="1940" xr:uid="{00000000-0005-0000-0000-0000AB830000}"/>
    <cellStyle name="40% - Accent5 3 3 5 2" xfId="3742" xr:uid="{00000000-0005-0000-0000-0000AC830000}"/>
    <cellStyle name="40% - Accent5 3 3 5 2 2" xfId="9452" xr:uid="{00000000-0005-0000-0000-0000AD830000}"/>
    <cellStyle name="40% - Accent5 3 3 5 2 2 2" xfId="20753" xr:uid="{00000000-0005-0000-0000-0000AE830000}"/>
    <cellStyle name="40% - Accent5 3 3 5 2 2 2 2" xfId="43355" xr:uid="{00000000-0005-0000-0000-0000AF830000}"/>
    <cellStyle name="40% - Accent5 3 3 5 2 2 3" xfId="32054" xr:uid="{00000000-0005-0000-0000-0000B0830000}"/>
    <cellStyle name="40% - Accent5 3 3 5 2 3" xfId="15103" xr:uid="{00000000-0005-0000-0000-0000B1830000}"/>
    <cellStyle name="40% - Accent5 3 3 5 2 3 2" xfId="37705" xr:uid="{00000000-0005-0000-0000-0000B2830000}"/>
    <cellStyle name="40% - Accent5 3 3 5 2 4" xfId="26404" xr:uid="{00000000-0005-0000-0000-0000B3830000}"/>
    <cellStyle name="40% - Accent5 3 3 5 3" xfId="5282" xr:uid="{00000000-0005-0000-0000-0000B4830000}"/>
    <cellStyle name="40% - Accent5 3 3 5 3 2" xfId="10932" xr:uid="{00000000-0005-0000-0000-0000B5830000}"/>
    <cellStyle name="40% - Accent5 3 3 5 3 2 2" xfId="22233" xr:uid="{00000000-0005-0000-0000-0000B6830000}"/>
    <cellStyle name="40% - Accent5 3 3 5 3 2 2 2" xfId="44835" xr:uid="{00000000-0005-0000-0000-0000B7830000}"/>
    <cellStyle name="40% - Accent5 3 3 5 3 2 3" xfId="33534" xr:uid="{00000000-0005-0000-0000-0000B8830000}"/>
    <cellStyle name="40% - Accent5 3 3 5 3 3" xfId="16583" xr:uid="{00000000-0005-0000-0000-0000B9830000}"/>
    <cellStyle name="40% - Accent5 3 3 5 3 3 2" xfId="39185" xr:uid="{00000000-0005-0000-0000-0000BA830000}"/>
    <cellStyle name="40% - Accent5 3 3 5 3 4" xfId="27884" xr:uid="{00000000-0005-0000-0000-0000BB830000}"/>
    <cellStyle name="40% - Accent5 3 3 5 4" xfId="7796" xr:uid="{00000000-0005-0000-0000-0000BC830000}"/>
    <cellStyle name="40% - Accent5 3 3 5 4 2" xfId="19097" xr:uid="{00000000-0005-0000-0000-0000BD830000}"/>
    <cellStyle name="40% - Accent5 3 3 5 4 2 2" xfId="41699" xr:uid="{00000000-0005-0000-0000-0000BE830000}"/>
    <cellStyle name="40% - Accent5 3 3 5 4 3" xfId="30398" xr:uid="{00000000-0005-0000-0000-0000BF830000}"/>
    <cellStyle name="40% - Accent5 3 3 5 5" xfId="13447" xr:uid="{00000000-0005-0000-0000-0000C0830000}"/>
    <cellStyle name="40% - Accent5 3 3 5 5 2" xfId="36049" xr:uid="{00000000-0005-0000-0000-0000C1830000}"/>
    <cellStyle name="40% - Accent5 3 3 5 6" xfId="24748" xr:uid="{00000000-0005-0000-0000-0000C2830000}"/>
    <cellStyle name="40% - Accent5 3 3 6" xfId="2261" xr:uid="{00000000-0005-0000-0000-0000C3830000}"/>
    <cellStyle name="40% - Accent5 3 3 6 2" xfId="8097" xr:uid="{00000000-0005-0000-0000-0000C4830000}"/>
    <cellStyle name="40% - Accent5 3 3 6 2 2" xfId="19398" xr:uid="{00000000-0005-0000-0000-0000C5830000}"/>
    <cellStyle name="40% - Accent5 3 3 6 2 2 2" xfId="42000" xr:uid="{00000000-0005-0000-0000-0000C6830000}"/>
    <cellStyle name="40% - Accent5 3 3 6 2 3" xfId="30699" xr:uid="{00000000-0005-0000-0000-0000C7830000}"/>
    <cellStyle name="40% - Accent5 3 3 6 3" xfId="13748" xr:uid="{00000000-0005-0000-0000-0000C8830000}"/>
    <cellStyle name="40% - Accent5 3 3 6 3 2" xfId="36350" xr:uid="{00000000-0005-0000-0000-0000C9830000}"/>
    <cellStyle name="40% - Accent5 3 3 6 4" xfId="25049" xr:uid="{00000000-0005-0000-0000-0000CA830000}"/>
    <cellStyle name="40% - Accent5 3 3 7" xfId="4048" xr:uid="{00000000-0005-0000-0000-0000CB830000}"/>
    <cellStyle name="40% - Accent5 3 3 7 2" xfId="9698" xr:uid="{00000000-0005-0000-0000-0000CC830000}"/>
    <cellStyle name="40% - Accent5 3 3 7 2 2" xfId="20999" xr:uid="{00000000-0005-0000-0000-0000CD830000}"/>
    <cellStyle name="40% - Accent5 3 3 7 2 2 2" xfId="43601" xr:uid="{00000000-0005-0000-0000-0000CE830000}"/>
    <cellStyle name="40% - Accent5 3 3 7 2 3" xfId="32300" xr:uid="{00000000-0005-0000-0000-0000CF830000}"/>
    <cellStyle name="40% - Accent5 3 3 7 3" xfId="15349" xr:uid="{00000000-0005-0000-0000-0000D0830000}"/>
    <cellStyle name="40% - Accent5 3 3 7 3 2" xfId="37951" xr:uid="{00000000-0005-0000-0000-0000D1830000}"/>
    <cellStyle name="40% - Accent5 3 3 7 4" xfId="26650" xr:uid="{00000000-0005-0000-0000-0000D2830000}"/>
    <cellStyle name="40% - Accent5 3 3 8" xfId="6499" xr:uid="{00000000-0005-0000-0000-0000D3830000}"/>
    <cellStyle name="40% - Accent5 3 3 8 2" xfId="17800" xr:uid="{00000000-0005-0000-0000-0000D4830000}"/>
    <cellStyle name="40% - Accent5 3 3 8 2 2" xfId="40402" xr:uid="{00000000-0005-0000-0000-0000D5830000}"/>
    <cellStyle name="40% - Accent5 3 3 8 3" xfId="29101" xr:uid="{00000000-0005-0000-0000-0000D6830000}"/>
    <cellStyle name="40% - Accent5 3 3 9" xfId="12150" xr:uid="{00000000-0005-0000-0000-0000D7830000}"/>
    <cellStyle name="40% - Accent5 3 3 9 2" xfId="34752" xr:uid="{00000000-0005-0000-0000-0000D8830000}"/>
    <cellStyle name="40% - Accent5 3 4" xfId="500" xr:uid="{00000000-0005-0000-0000-0000D9830000}"/>
    <cellStyle name="40% - Accent5 3 4 2" xfId="1077" xr:uid="{00000000-0005-0000-0000-0000DA830000}"/>
    <cellStyle name="40% - Accent5 3 4 2 2" xfId="1945" xr:uid="{00000000-0005-0000-0000-0000DB830000}"/>
    <cellStyle name="40% - Accent5 3 4 2 2 2" xfId="3144" xr:uid="{00000000-0005-0000-0000-0000DC830000}"/>
    <cellStyle name="40% - Accent5 3 4 2 2 2 2" xfId="6116" xr:uid="{00000000-0005-0000-0000-0000DD830000}"/>
    <cellStyle name="40% - Accent5 3 4 2 2 2 2 2" xfId="11766" xr:uid="{00000000-0005-0000-0000-0000DE830000}"/>
    <cellStyle name="40% - Accent5 3 4 2 2 2 2 2 2" xfId="23067" xr:uid="{00000000-0005-0000-0000-0000DF830000}"/>
    <cellStyle name="40% - Accent5 3 4 2 2 2 2 2 2 2" xfId="45669" xr:uid="{00000000-0005-0000-0000-0000E0830000}"/>
    <cellStyle name="40% - Accent5 3 4 2 2 2 2 2 3" xfId="34368" xr:uid="{00000000-0005-0000-0000-0000E1830000}"/>
    <cellStyle name="40% - Accent5 3 4 2 2 2 2 3" xfId="17417" xr:uid="{00000000-0005-0000-0000-0000E2830000}"/>
    <cellStyle name="40% - Accent5 3 4 2 2 2 2 3 2" xfId="40019" xr:uid="{00000000-0005-0000-0000-0000E3830000}"/>
    <cellStyle name="40% - Accent5 3 4 2 2 2 2 4" xfId="28718" xr:uid="{00000000-0005-0000-0000-0000E4830000}"/>
    <cellStyle name="40% - Accent5 3 4 2 2 2 3" xfId="8934" xr:uid="{00000000-0005-0000-0000-0000E5830000}"/>
    <cellStyle name="40% - Accent5 3 4 2 2 2 3 2" xfId="20235" xr:uid="{00000000-0005-0000-0000-0000E6830000}"/>
    <cellStyle name="40% - Accent5 3 4 2 2 2 3 2 2" xfId="42837" xr:uid="{00000000-0005-0000-0000-0000E7830000}"/>
    <cellStyle name="40% - Accent5 3 4 2 2 2 3 3" xfId="31536" xr:uid="{00000000-0005-0000-0000-0000E8830000}"/>
    <cellStyle name="40% - Accent5 3 4 2 2 2 4" xfId="14585" xr:uid="{00000000-0005-0000-0000-0000E9830000}"/>
    <cellStyle name="40% - Accent5 3 4 2 2 2 4 2" xfId="37187" xr:uid="{00000000-0005-0000-0000-0000EA830000}"/>
    <cellStyle name="40% - Accent5 3 4 2 2 2 5" xfId="25886" xr:uid="{00000000-0005-0000-0000-0000EB830000}"/>
    <cellStyle name="40% - Accent5 3 4 2 2 3" xfId="4882" xr:uid="{00000000-0005-0000-0000-0000EC830000}"/>
    <cellStyle name="40% - Accent5 3 4 2 2 3 2" xfId="10532" xr:uid="{00000000-0005-0000-0000-0000ED830000}"/>
    <cellStyle name="40% - Accent5 3 4 2 2 3 2 2" xfId="21833" xr:uid="{00000000-0005-0000-0000-0000EE830000}"/>
    <cellStyle name="40% - Accent5 3 4 2 2 3 2 2 2" xfId="44435" xr:uid="{00000000-0005-0000-0000-0000EF830000}"/>
    <cellStyle name="40% - Accent5 3 4 2 2 3 2 3" xfId="33134" xr:uid="{00000000-0005-0000-0000-0000F0830000}"/>
    <cellStyle name="40% - Accent5 3 4 2 2 3 3" xfId="16183" xr:uid="{00000000-0005-0000-0000-0000F1830000}"/>
    <cellStyle name="40% - Accent5 3 4 2 2 3 3 2" xfId="38785" xr:uid="{00000000-0005-0000-0000-0000F2830000}"/>
    <cellStyle name="40% - Accent5 3 4 2 2 3 4" xfId="27484" xr:uid="{00000000-0005-0000-0000-0000F3830000}"/>
    <cellStyle name="40% - Accent5 3 4 2 2 4" xfId="7801" xr:uid="{00000000-0005-0000-0000-0000F4830000}"/>
    <cellStyle name="40% - Accent5 3 4 2 2 4 2" xfId="19102" xr:uid="{00000000-0005-0000-0000-0000F5830000}"/>
    <cellStyle name="40% - Accent5 3 4 2 2 4 2 2" xfId="41704" xr:uid="{00000000-0005-0000-0000-0000F6830000}"/>
    <cellStyle name="40% - Accent5 3 4 2 2 4 3" xfId="30403" xr:uid="{00000000-0005-0000-0000-0000F7830000}"/>
    <cellStyle name="40% - Accent5 3 4 2 2 5" xfId="13452" xr:uid="{00000000-0005-0000-0000-0000F8830000}"/>
    <cellStyle name="40% - Accent5 3 4 2 2 5 2" xfId="36054" xr:uid="{00000000-0005-0000-0000-0000F9830000}"/>
    <cellStyle name="40% - Accent5 3 4 2 2 6" xfId="24753" xr:uid="{00000000-0005-0000-0000-0000FA830000}"/>
    <cellStyle name="40% - Accent5 3 4 2 3" xfId="2473" xr:uid="{00000000-0005-0000-0000-0000FB830000}"/>
    <cellStyle name="40% - Accent5 3 4 2 3 2" xfId="5492" xr:uid="{00000000-0005-0000-0000-0000FC830000}"/>
    <cellStyle name="40% - Accent5 3 4 2 3 2 2" xfId="11142" xr:uid="{00000000-0005-0000-0000-0000FD830000}"/>
    <cellStyle name="40% - Accent5 3 4 2 3 2 2 2" xfId="22443" xr:uid="{00000000-0005-0000-0000-0000FE830000}"/>
    <cellStyle name="40% - Accent5 3 4 2 3 2 2 2 2" xfId="45045" xr:uid="{00000000-0005-0000-0000-0000FF830000}"/>
    <cellStyle name="40% - Accent5 3 4 2 3 2 2 3" xfId="33744" xr:uid="{00000000-0005-0000-0000-000000840000}"/>
    <cellStyle name="40% - Accent5 3 4 2 3 2 3" xfId="16793" xr:uid="{00000000-0005-0000-0000-000001840000}"/>
    <cellStyle name="40% - Accent5 3 4 2 3 2 3 2" xfId="39395" xr:uid="{00000000-0005-0000-0000-000002840000}"/>
    <cellStyle name="40% - Accent5 3 4 2 3 2 4" xfId="28094" xr:uid="{00000000-0005-0000-0000-000003840000}"/>
    <cellStyle name="40% - Accent5 3 4 2 3 3" xfId="8309" xr:uid="{00000000-0005-0000-0000-000004840000}"/>
    <cellStyle name="40% - Accent5 3 4 2 3 3 2" xfId="19610" xr:uid="{00000000-0005-0000-0000-000005840000}"/>
    <cellStyle name="40% - Accent5 3 4 2 3 3 2 2" xfId="42212" xr:uid="{00000000-0005-0000-0000-000006840000}"/>
    <cellStyle name="40% - Accent5 3 4 2 3 3 3" xfId="30911" xr:uid="{00000000-0005-0000-0000-000007840000}"/>
    <cellStyle name="40% - Accent5 3 4 2 3 4" xfId="13960" xr:uid="{00000000-0005-0000-0000-000008840000}"/>
    <cellStyle name="40% - Accent5 3 4 2 3 4 2" xfId="36562" xr:uid="{00000000-0005-0000-0000-000009840000}"/>
    <cellStyle name="40% - Accent5 3 4 2 3 5" xfId="25261" xr:uid="{00000000-0005-0000-0000-00000A840000}"/>
    <cellStyle name="40% - Accent5 3 4 2 4" xfId="4258" xr:uid="{00000000-0005-0000-0000-00000B840000}"/>
    <cellStyle name="40% - Accent5 3 4 2 4 2" xfId="9908" xr:uid="{00000000-0005-0000-0000-00000C840000}"/>
    <cellStyle name="40% - Accent5 3 4 2 4 2 2" xfId="21209" xr:uid="{00000000-0005-0000-0000-00000D840000}"/>
    <cellStyle name="40% - Accent5 3 4 2 4 2 2 2" xfId="43811" xr:uid="{00000000-0005-0000-0000-00000E840000}"/>
    <cellStyle name="40% - Accent5 3 4 2 4 2 3" xfId="32510" xr:uid="{00000000-0005-0000-0000-00000F840000}"/>
    <cellStyle name="40% - Accent5 3 4 2 4 3" xfId="15559" xr:uid="{00000000-0005-0000-0000-000010840000}"/>
    <cellStyle name="40% - Accent5 3 4 2 4 3 2" xfId="38161" xr:uid="{00000000-0005-0000-0000-000011840000}"/>
    <cellStyle name="40% - Accent5 3 4 2 4 4" xfId="26860" xr:uid="{00000000-0005-0000-0000-000012840000}"/>
    <cellStyle name="40% - Accent5 3 4 2 5" xfId="7056" xr:uid="{00000000-0005-0000-0000-000013840000}"/>
    <cellStyle name="40% - Accent5 3 4 2 5 2" xfId="18357" xr:uid="{00000000-0005-0000-0000-000014840000}"/>
    <cellStyle name="40% - Accent5 3 4 2 5 2 2" xfId="40959" xr:uid="{00000000-0005-0000-0000-000015840000}"/>
    <cellStyle name="40% - Accent5 3 4 2 5 3" xfId="29658" xr:uid="{00000000-0005-0000-0000-000016840000}"/>
    <cellStyle name="40% - Accent5 3 4 2 6" xfId="12707" xr:uid="{00000000-0005-0000-0000-000017840000}"/>
    <cellStyle name="40% - Accent5 3 4 2 6 2" xfId="35309" xr:uid="{00000000-0005-0000-0000-000018840000}"/>
    <cellStyle name="40% - Accent5 3 4 2 7" xfId="24008" xr:uid="{00000000-0005-0000-0000-000019840000}"/>
    <cellStyle name="40% - Accent5 3 4 3" xfId="750" xr:uid="{00000000-0005-0000-0000-00001A840000}"/>
    <cellStyle name="40% - Accent5 3 4 3 2" xfId="2838" xr:uid="{00000000-0005-0000-0000-00001B840000}"/>
    <cellStyle name="40% - Accent5 3 4 3 2 2" xfId="5810" xr:uid="{00000000-0005-0000-0000-00001C840000}"/>
    <cellStyle name="40% - Accent5 3 4 3 2 2 2" xfId="11460" xr:uid="{00000000-0005-0000-0000-00001D840000}"/>
    <cellStyle name="40% - Accent5 3 4 3 2 2 2 2" xfId="22761" xr:uid="{00000000-0005-0000-0000-00001E840000}"/>
    <cellStyle name="40% - Accent5 3 4 3 2 2 2 2 2" xfId="45363" xr:uid="{00000000-0005-0000-0000-00001F840000}"/>
    <cellStyle name="40% - Accent5 3 4 3 2 2 2 3" xfId="34062" xr:uid="{00000000-0005-0000-0000-000020840000}"/>
    <cellStyle name="40% - Accent5 3 4 3 2 2 3" xfId="17111" xr:uid="{00000000-0005-0000-0000-000021840000}"/>
    <cellStyle name="40% - Accent5 3 4 3 2 2 3 2" xfId="39713" xr:uid="{00000000-0005-0000-0000-000022840000}"/>
    <cellStyle name="40% - Accent5 3 4 3 2 2 4" xfId="28412" xr:uid="{00000000-0005-0000-0000-000023840000}"/>
    <cellStyle name="40% - Accent5 3 4 3 2 3" xfId="8628" xr:uid="{00000000-0005-0000-0000-000024840000}"/>
    <cellStyle name="40% - Accent5 3 4 3 2 3 2" xfId="19929" xr:uid="{00000000-0005-0000-0000-000025840000}"/>
    <cellStyle name="40% - Accent5 3 4 3 2 3 2 2" xfId="42531" xr:uid="{00000000-0005-0000-0000-000026840000}"/>
    <cellStyle name="40% - Accent5 3 4 3 2 3 3" xfId="31230" xr:uid="{00000000-0005-0000-0000-000027840000}"/>
    <cellStyle name="40% - Accent5 3 4 3 2 4" xfId="14279" xr:uid="{00000000-0005-0000-0000-000028840000}"/>
    <cellStyle name="40% - Accent5 3 4 3 2 4 2" xfId="36881" xr:uid="{00000000-0005-0000-0000-000029840000}"/>
    <cellStyle name="40% - Accent5 3 4 3 2 5" xfId="25580" xr:uid="{00000000-0005-0000-0000-00002A840000}"/>
    <cellStyle name="40% - Accent5 3 4 3 3" xfId="4576" xr:uid="{00000000-0005-0000-0000-00002B840000}"/>
    <cellStyle name="40% - Accent5 3 4 3 3 2" xfId="10226" xr:uid="{00000000-0005-0000-0000-00002C840000}"/>
    <cellStyle name="40% - Accent5 3 4 3 3 2 2" xfId="21527" xr:uid="{00000000-0005-0000-0000-00002D840000}"/>
    <cellStyle name="40% - Accent5 3 4 3 3 2 2 2" xfId="44129" xr:uid="{00000000-0005-0000-0000-00002E840000}"/>
    <cellStyle name="40% - Accent5 3 4 3 3 2 3" xfId="32828" xr:uid="{00000000-0005-0000-0000-00002F840000}"/>
    <cellStyle name="40% - Accent5 3 4 3 3 3" xfId="15877" xr:uid="{00000000-0005-0000-0000-000030840000}"/>
    <cellStyle name="40% - Accent5 3 4 3 3 3 2" xfId="38479" xr:uid="{00000000-0005-0000-0000-000031840000}"/>
    <cellStyle name="40% - Accent5 3 4 3 3 4" xfId="27178" xr:uid="{00000000-0005-0000-0000-000032840000}"/>
    <cellStyle name="40% - Accent5 3 4 3 4" xfId="6759" xr:uid="{00000000-0005-0000-0000-000033840000}"/>
    <cellStyle name="40% - Accent5 3 4 3 4 2" xfId="18060" xr:uid="{00000000-0005-0000-0000-000034840000}"/>
    <cellStyle name="40% - Accent5 3 4 3 4 2 2" xfId="40662" xr:uid="{00000000-0005-0000-0000-000035840000}"/>
    <cellStyle name="40% - Accent5 3 4 3 4 3" xfId="29361" xr:uid="{00000000-0005-0000-0000-000036840000}"/>
    <cellStyle name="40% - Accent5 3 4 3 5" xfId="12410" xr:uid="{00000000-0005-0000-0000-000037840000}"/>
    <cellStyle name="40% - Accent5 3 4 3 5 2" xfId="35012" xr:uid="{00000000-0005-0000-0000-000038840000}"/>
    <cellStyle name="40% - Accent5 3 4 3 6" xfId="23711" xr:uid="{00000000-0005-0000-0000-000039840000}"/>
    <cellStyle name="40% - Accent5 3 4 4" xfId="1944" xr:uid="{00000000-0005-0000-0000-00003A840000}"/>
    <cellStyle name="40% - Accent5 3 4 4 2" xfId="3744" xr:uid="{00000000-0005-0000-0000-00003B840000}"/>
    <cellStyle name="40% - Accent5 3 4 4 2 2" xfId="9454" xr:uid="{00000000-0005-0000-0000-00003C840000}"/>
    <cellStyle name="40% - Accent5 3 4 4 2 2 2" xfId="20755" xr:uid="{00000000-0005-0000-0000-00003D840000}"/>
    <cellStyle name="40% - Accent5 3 4 4 2 2 2 2" xfId="43357" xr:uid="{00000000-0005-0000-0000-00003E840000}"/>
    <cellStyle name="40% - Accent5 3 4 4 2 2 3" xfId="32056" xr:uid="{00000000-0005-0000-0000-00003F840000}"/>
    <cellStyle name="40% - Accent5 3 4 4 2 3" xfId="15105" xr:uid="{00000000-0005-0000-0000-000040840000}"/>
    <cellStyle name="40% - Accent5 3 4 4 2 3 2" xfId="37707" xr:uid="{00000000-0005-0000-0000-000041840000}"/>
    <cellStyle name="40% - Accent5 3 4 4 2 4" xfId="26406" xr:uid="{00000000-0005-0000-0000-000042840000}"/>
    <cellStyle name="40% - Accent5 3 4 4 3" xfId="5186" xr:uid="{00000000-0005-0000-0000-000043840000}"/>
    <cellStyle name="40% - Accent5 3 4 4 3 2" xfId="10836" xr:uid="{00000000-0005-0000-0000-000044840000}"/>
    <cellStyle name="40% - Accent5 3 4 4 3 2 2" xfId="22137" xr:uid="{00000000-0005-0000-0000-000045840000}"/>
    <cellStyle name="40% - Accent5 3 4 4 3 2 2 2" xfId="44739" xr:uid="{00000000-0005-0000-0000-000046840000}"/>
    <cellStyle name="40% - Accent5 3 4 4 3 2 3" xfId="33438" xr:uid="{00000000-0005-0000-0000-000047840000}"/>
    <cellStyle name="40% - Accent5 3 4 4 3 3" xfId="16487" xr:uid="{00000000-0005-0000-0000-000048840000}"/>
    <cellStyle name="40% - Accent5 3 4 4 3 3 2" xfId="39089" xr:uid="{00000000-0005-0000-0000-000049840000}"/>
    <cellStyle name="40% - Accent5 3 4 4 3 4" xfId="27788" xr:uid="{00000000-0005-0000-0000-00004A840000}"/>
    <cellStyle name="40% - Accent5 3 4 4 4" xfId="7800" xr:uid="{00000000-0005-0000-0000-00004B840000}"/>
    <cellStyle name="40% - Accent5 3 4 4 4 2" xfId="19101" xr:uid="{00000000-0005-0000-0000-00004C840000}"/>
    <cellStyle name="40% - Accent5 3 4 4 4 2 2" xfId="41703" xr:uid="{00000000-0005-0000-0000-00004D840000}"/>
    <cellStyle name="40% - Accent5 3 4 4 4 3" xfId="30402" xr:uid="{00000000-0005-0000-0000-00004E840000}"/>
    <cellStyle name="40% - Accent5 3 4 4 5" xfId="13451" xr:uid="{00000000-0005-0000-0000-00004F840000}"/>
    <cellStyle name="40% - Accent5 3 4 4 5 2" xfId="36053" xr:uid="{00000000-0005-0000-0000-000050840000}"/>
    <cellStyle name="40% - Accent5 3 4 4 6" xfId="24752" xr:uid="{00000000-0005-0000-0000-000051840000}"/>
    <cellStyle name="40% - Accent5 3 4 5" xfId="2158" xr:uid="{00000000-0005-0000-0000-000052840000}"/>
    <cellStyle name="40% - Accent5 3 4 5 2" xfId="8000" xr:uid="{00000000-0005-0000-0000-000053840000}"/>
    <cellStyle name="40% - Accent5 3 4 5 2 2" xfId="19301" xr:uid="{00000000-0005-0000-0000-000054840000}"/>
    <cellStyle name="40% - Accent5 3 4 5 2 2 2" xfId="41903" xr:uid="{00000000-0005-0000-0000-000055840000}"/>
    <cellStyle name="40% - Accent5 3 4 5 2 3" xfId="30602" xr:uid="{00000000-0005-0000-0000-000056840000}"/>
    <cellStyle name="40% - Accent5 3 4 5 3" xfId="13651" xr:uid="{00000000-0005-0000-0000-000057840000}"/>
    <cellStyle name="40% - Accent5 3 4 5 3 2" xfId="36253" xr:uid="{00000000-0005-0000-0000-000058840000}"/>
    <cellStyle name="40% - Accent5 3 4 5 4" xfId="24952" xr:uid="{00000000-0005-0000-0000-000059840000}"/>
    <cellStyle name="40% - Accent5 3 4 6" xfId="3952" xr:uid="{00000000-0005-0000-0000-00005A840000}"/>
    <cellStyle name="40% - Accent5 3 4 6 2" xfId="9602" xr:uid="{00000000-0005-0000-0000-00005B840000}"/>
    <cellStyle name="40% - Accent5 3 4 6 2 2" xfId="20903" xr:uid="{00000000-0005-0000-0000-00005C840000}"/>
    <cellStyle name="40% - Accent5 3 4 6 2 2 2" xfId="43505" xr:uid="{00000000-0005-0000-0000-00005D840000}"/>
    <cellStyle name="40% - Accent5 3 4 6 2 3" xfId="32204" xr:uid="{00000000-0005-0000-0000-00005E840000}"/>
    <cellStyle name="40% - Accent5 3 4 6 3" xfId="15253" xr:uid="{00000000-0005-0000-0000-00005F840000}"/>
    <cellStyle name="40% - Accent5 3 4 6 3 2" xfId="37855" xr:uid="{00000000-0005-0000-0000-000060840000}"/>
    <cellStyle name="40% - Accent5 3 4 6 4" xfId="26554" xr:uid="{00000000-0005-0000-0000-000061840000}"/>
    <cellStyle name="40% - Accent5 3 4 7" xfId="6570" xr:uid="{00000000-0005-0000-0000-000062840000}"/>
    <cellStyle name="40% - Accent5 3 4 7 2" xfId="17871" xr:uid="{00000000-0005-0000-0000-000063840000}"/>
    <cellStyle name="40% - Accent5 3 4 7 2 2" xfId="40473" xr:uid="{00000000-0005-0000-0000-000064840000}"/>
    <cellStyle name="40% - Accent5 3 4 7 3" xfId="29172" xr:uid="{00000000-0005-0000-0000-000065840000}"/>
    <cellStyle name="40% - Accent5 3 4 8" xfId="12221" xr:uid="{00000000-0005-0000-0000-000066840000}"/>
    <cellStyle name="40% - Accent5 3 4 8 2" xfId="34823" xr:uid="{00000000-0005-0000-0000-000067840000}"/>
    <cellStyle name="40% - Accent5 3 4 9" xfId="23522" xr:uid="{00000000-0005-0000-0000-000068840000}"/>
    <cellStyle name="40% - Accent5 3 5" xfId="399" xr:uid="{00000000-0005-0000-0000-000069840000}"/>
    <cellStyle name="40% - Accent5 3 6" xfId="1358" xr:uid="{00000000-0005-0000-0000-00006A840000}"/>
    <cellStyle name="40% - Accent5 3 7" xfId="6403" xr:uid="{00000000-0005-0000-0000-00006B840000}"/>
    <cellStyle name="40% - Accent5 3 7 2" xfId="17704" xr:uid="{00000000-0005-0000-0000-00006C840000}"/>
    <cellStyle name="40% - Accent5 3 7 2 2" xfId="40306" xr:uid="{00000000-0005-0000-0000-00006D840000}"/>
    <cellStyle name="40% - Accent5 3 7 3" xfId="29005" xr:uid="{00000000-0005-0000-0000-00006E840000}"/>
    <cellStyle name="40% - Accent5 3 8" xfId="12054" xr:uid="{00000000-0005-0000-0000-00006F840000}"/>
    <cellStyle name="40% - Accent5 3 8 2" xfId="34656" xr:uid="{00000000-0005-0000-0000-000070840000}"/>
    <cellStyle name="40% - Accent5 3 9" xfId="23355" xr:uid="{00000000-0005-0000-0000-000071840000}"/>
    <cellStyle name="40% - Accent5 4" xfId="185" xr:uid="{00000000-0005-0000-0000-000072840000}"/>
    <cellStyle name="40% - Accent5 4 10" xfId="3938" xr:uid="{00000000-0005-0000-0000-000073840000}"/>
    <cellStyle name="40% - Accent5 4 10 2" xfId="9588" xr:uid="{00000000-0005-0000-0000-000074840000}"/>
    <cellStyle name="40% - Accent5 4 10 2 2" xfId="20889" xr:uid="{00000000-0005-0000-0000-000075840000}"/>
    <cellStyle name="40% - Accent5 4 10 2 2 2" xfId="43491" xr:uid="{00000000-0005-0000-0000-000076840000}"/>
    <cellStyle name="40% - Accent5 4 10 2 3" xfId="32190" xr:uid="{00000000-0005-0000-0000-000077840000}"/>
    <cellStyle name="40% - Accent5 4 10 3" xfId="15239" xr:uid="{00000000-0005-0000-0000-000078840000}"/>
    <cellStyle name="40% - Accent5 4 10 3 2" xfId="37841" xr:uid="{00000000-0005-0000-0000-000079840000}"/>
    <cellStyle name="40% - Accent5 4 10 4" xfId="26540" xr:uid="{00000000-0005-0000-0000-00007A840000}"/>
    <cellStyle name="40% - Accent5 4 11" xfId="6417" xr:uid="{00000000-0005-0000-0000-00007B840000}"/>
    <cellStyle name="40% - Accent5 4 11 2" xfId="17718" xr:uid="{00000000-0005-0000-0000-00007C840000}"/>
    <cellStyle name="40% - Accent5 4 11 2 2" xfId="40320" xr:uid="{00000000-0005-0000-0000-00007D840000}"/>
    <cellStyle name="40% - Accent5 4 11 3" xfId="29019" xr:uid="{00000000-0005-0000-0000-00007E840000}"/>
    <cellStyle name="40% - Accent5 4 12" xfId="12068" xr:uid="{00000000-0005-0000-0000-00007F840000}"/>
    <cellStyle name="40% - Accent5 4 12 2" xfId="34670" xr:uid="{00000000-0005-0000-0000-000080840000}"/>
    <cellStyle name="40% - Accent5 4 13" xfId="23369" xr:uid="{00000000-0005-0000-0000-000081840000}"/>
    <cellStyle name="40% - Accent5 4 2" xfId="308" xr:uid="{00000000-0005-0000-0000-000082840000}"/>
    <cellStyle name="40% - Accent5 4 2 10" xfId="23416" xr:uid="{00000000-0005-0000-0000-000083840000}"/>
    <cellStyle name="40% - Accent5 4 2 2" xfId="566" xr:uid="{00000000-0005-0000-0000-000084840000}"/>
    <cellStyle name="40% - Accent5 4 2 2 2" xfId="1276" xr:uid="{00000000-0005-0000-0000-000085840000}"/>
    <cellStyle name="40% - Accent5 4 2 2 2 2" xfId="1949" xr:uid="{00000000-0005-0000-0000-000086840000}"/>
    <cellStyle name="40% - Accent5 4 2 2 2 2 2" xfId="3345" xr:uid="{00000000-0005-0000-0000-000087840000}"/>
    <cellStyle name="40% - Accent5 4 2 2 2 2 2 2" xfId="6317" xr:uid="{00000000-0005-0000-0000-000088840000}"/>
    <cellStyle name="40% - Accent5 4 2 2 2 2 2 2 2" xfId="11967" xr:uid="{00000000-0005-0000-0000-000089840000}"/>
    <cellStyle name="40% - Accent5 4 2 2 2 2 2 2 2 2" xfId="23268" xr:uid="{00000000-0005-0000-0000-00008A840000}"/>
    <cellStyle name="40% - Accent5 4 2 2 2 2 2 2 2 2 2" xfId="45870" xr:uid="{00000000-0005-0000-0000-00008B840000}"/>
    <cellStyle name="40% - Accent5 4 2 2 2 2 2 2 2 3" xfId="34569" xr:uid="{00000000-0005-0000-0000-00008C840000}"/>
    <cellStyle name="40% - Accent5 4 2 2 2 2 2 2 3" xfId="17618" xr:uid="{00000000-0005-0000-0000-00008D840000}"/>
    <cellStyle name="40% - Accent5 4 2 2 2 2 2 2 3 2" xfId="40220" xr:uid="{00000000-0005-0000-0000-00008E840000}"/>
    <cellStyle name="40% - Accent5 4 2 2 2 2 2 2 4" xfId="28919" xr:uid="{00000000-0005-0000-0000-00008F840000}"/>
    <cellStyle name="40% - Accent5 4 2 2 2 2 2 3" xfId="9135" xr:uid="{00000000-0005-0000-0000-000090840000}"/>
    <cellStyle name="40% - Accent5 4 2 2 2 2 2 3 2" xfId="20436" xr:uid="{00000000-0005-0000-0000-000091840000}"/>
    <cellStyle name="40% - Accent5 4 2 2 2 2 2 3 2 2" xfId="43038" xr:uid="{00000000-0005-0000-0000-000092840000}"/>
    <cellStyle name="40% - Accent5 4 2 2 2 2 2 3 3" xfId="31737" xr:uid="{00000000-0005-0000-0000-000093840000}"/>
    <cellStyle name="40% - Accent5 4 2 2 2 2 2 4" xfId="14786" xr:uid="{00000000-0005-0000-0000-000094840000}"/>
    <cellStyle name="40% - Accent5 4 2 2 2 2 2 4 2" xfId="37388" xr:uid="{00000000-0005-0000-0000-000095840000}"/>
    <cellStyle name="40% - Accent5 4 2 2 2 2 2 5" xfId="26087" xr:uid="{00000000-0005-0000-0000-000096840000}"/>
    <cellStyle name="40% - Accent5 4 2 2 2 2 3" xfId="5083" xr:uid="{00000000-0005-0000-0000-000097840000}"/>
    <cellStyle name="40% - Accent5 4 2 2 2 2 3 2" xfId="10733" xr:uid="{00000000-0005-0000-0000-000098840000}"/>
    <cellStyle name="40% - Accent5 4 2 2 2 2 3 2 2" xfId="22034" xr:uid="{00000000-0005-0000-0000-000099840000}"/>
    <cellStyle name="40% - Accent5 4 2 2 2 2 3 2 2 2" xfId="44636" xr:uid="{00000000-0005-0000-0000-00009A840000}"/>
    <cellStyle name="40% - Accent5 4 2 2 2 2 3 2 3" xfId="33335" xr:uid="{00000000-0005-0000-0000-00009B840000}"/>
    <cellStyle name="40% - Accent5 4 2 2 2 2 3 3" xfId="16384" xr:uid="{00000000-0005-0000-0000-00009C840000}"/>
    <cellStyle name="40% - Accent5 4 2 2 2 2 3 3 2" xfId="38986" xr:uid="{00000000-0005-0000-0000-00009D840000}"/>
    <cellStyle name="40% - Accent5 4 2 2 2 2 3 4" xfId="27685" xr:uid="{00000000-0005-0000-0000-00009E840000}"/>
    <cellStyle name="40% - Accent5 4 2 2 2 2 4" xfId="7805" xr:uid="{00000000-0005-0000-0000-00009F840000}"/>
    <cellStyle name="40% - Accent5 4 2 2 2 2 4 2" xfId="19106" xr:uid="{00000000-0005-0000-0000-0000A0840000}"/>
    <cellStyle name="40% - Accent5 4 2 2 2 2 4 2 2" xfId="41708" xr:uid="{00000000-0005-0000-0000-0000A1840000}"/>
    <cellStyle name="40% - Accent5 4 2 2 2 2 4 3" xfId="30407" xr:uid="{00000000-0005-0000-0000-0000A2840000}"/>
    <cellStyle name="40% - Accent5 4 2 2 2 2 5" xfId="13456" xr:uid="{00000000-0005-0000-0000-0000A3840000}"/>
    <cellStyle name="40% - Accent5 4 2 2 2 2 5 2" xfId="36058" xr:uid="{00000000-0005-0000-0000-0000A4840000}"/>
    <cellStyle name="40% - Accent5 4 2 2 2 2 6" xfId="24757" xr:uid="{00000000-0005-0000-0000-0000A5840000}"/>
    <cellStyle name="40% - Accent5 4 2 2 2 3" xfId="2674" xr:uid="{00000000-0005-0000-0000-0000A6840000}"/>
    <cellStyle name="40% - Accent5 4 2 2 2 3 2" xfId="5693" xr:uid="{00000000-0005-0000-0000-0000A7840000}"/>
    <cellStyle name="40% - Accent5 4 2 2 2 3 2 2" xfId="11343" xr:uid="{00000000-0005-0000-0000-0000A8840000}"/>
    <cellStyle name="40% - Accent5 4 2 2 2 3 2 2 2" xfId="22644" xr:uid="{00000000-0005-0000-0000-0000A9840000}"/>
    <cellStyle name="40% - Accent5 4 2 2 2 3 2 2 2 2" xfId="45246" xr:uid="{00000000-0005-0000-0000-0000AA840000}"/>
    <cellStyle name="40% - Accent5 4 2 2 2 3 2 2 3" xfId="33945" xr:uid="{00000000-0005-0000-0000-0000AB840000}"/>
    <cellStyle name="40% - Accent5 4 2 2 2 3 2 3" xfId="16994" xr:uid="{00000000-0005-0000-0000-0000AC840000}"/>
    <cellStyle name="40% - Accent5 4 2 2 2 3 2 3 2" xfId="39596" xr:uid="{00000000-0005-0000-0000-0000AD840000}"/>
    <cellStyle name="40% - Accent5 4 2 2 2 3 2 4" xfId="28295" xr:uid="{00000000-0005-0000-0000-0000AE840000}"/>
    <cellStyle name="40% - Accent5 4 2 2 2 3 3" xfId="8510" xr:uid="{00000000-0005-0000-0000-0000AF840000}"/>
    <cellStyle name="40% - Accent5 4 2 2 2 3 3 2" xfId="19811" xr:uid="{00000000-0005-0000-0000-0000B0840000}"/>
    <cellStyle name="40% - Accent5 4 2 2 2 3 3 2 2" xfId="42413" xr:uid="{00000000-0005-0000-0000-0000B1840000}"/>
    <cellStyle name="40% - Accent5 4 2 2 2 3 3 3" xfId="31112" xr:uid="{00000000-0005-0000-0000-0000B2840000}"/>
    <cellStyle name="40% - Accent5 4 2 2 2 3 4" xfId="14161" xr:uid="{00000000-0005-0000-0000-0000B3840000}"/>
    <cellStyle name="40% - Accent5 4 2 2 2 3 4 2" xfId="36763" xr:uid="{00000000-0005-0000-0000-0000B4840000}"/>
    <cellStyle name="40% - Accent5 4 2 2 2 3 5" xfId="25462" xr:uid="{00000000-0005-0000-0000-0000B5840000}"/>
    <cellStyle name="40% - Accent5 4 2 2 2 4" xfId="4459" xr:uid="{00000000-0005-0000-0000-0000B6840000}"/>
    <cellStyle name="40% - Accent5 4 2 2 2 4 2" xfId="10109" xr:uid="{00000000-0005-0000-0000-0000B7840000}"/>
    <cellStyle name="40% - Accent5 4 2 2 2 4 2 2" xfId="21410" xr:uid="{00000000-0005-0000-0000-0000B8840000}"/>
    <cellStyle name="40% - Accent5 4 2 2 2 4 2 2 2" xfId="44012" xr:uid="{00000000-0005-0000-0000-0000B9840000}"/>
    <cellStyle name="40% - Accent5 4 2 2 2 4 2 3" xfId="32711" xr:uid="{00000000-0005-0000-0000-0000BA840000}"/>
    <cellStyle name="40% - Accent5 4 2 2 2 4 3" xfId="15760" xr:uid="{00000000-0005-0000-0000-0000BB840000}"/>
    <cellStyle name="40% - Accent5 4 2 2 2 4 3 2" xfId="38362" xr:uid="{00000000-0005-0000-0000-0000BC840000}"/>
    <cellStyle name="40% - Accent5 4 2 2 2 4 4" xfId="27061" xr:uid="{00000000-0005-0000-0000-0000BD840000}"/>
    <cellStyle name="40% - Accent5 4 2 2 2 5" xfId="7255" xr:uid="{00000000-0005-0000-0000-0000BE840000}"/>
    <cellStyle name="40% - Accent5 4 2 2 2 5 2" xfId="18556" xr:uid="{00000000-0005-0000-0000-0000BF840000}"/>
    <cellStyle name="40% - Accent5 4 2 2 2 5 2 2" xfId="41158" xr:uid="{00000000-0005-0000-0000-0000C0840000}"/>
    <cellStyle name="40% - Accent5 4 2 2 2 5 3" xfId="29857" xr:uid="{00000000-0005-0000-0000-0000C1840000}"/>
    <cellStyle name="40% - Accent5 4 2 2 2 6" xfId="12906" xr:uid="{00000000-0005-0000-0000-0000C2840000}"/>
    <cellStyle name="40% - Accent5 4 2 2 2 6 2" xfId="35508" xr:uid="{00000000-0005-0000-0000-0000C3840000}"/>
    <cellStyle name="40% - Accent5 4 2 2 2 7" xfId="24207" xr:uid="{00000000-0005-0000-0000-0000C4840000}"/>
    <cellStyle name="40% - Accent5 4 2 2 3" xfId="974" xr:uid="{00000000-0005-0000-0000-0000C5840000}"/>
    <cellStyle name="40% - Accent5 4 2 2 3 2" xfId="3037" xr:uid="{00000000-0005-0000-0000-0000C6840000}"/>
    <cellStyle name="40% - Accent5 4 2 2 3 2 2" xfId="6009" xr:uid="{00000000-0005-0000-0000-0000C7840000}"/>
    <cellStyle name="40% - Accent5 4 2 2 3 2 2 2" xfId="11659" xr:uid="{00000000-0005-0000-0000-0000C8840000}"/>
    <cellStyle name="40% - Accent5 4 2 2 3 2 2 2 2" xfId="22960" xr:uid="{00000000-0005-0000-0000-0000C9840000}"/>
    <cellStyle name="40% - Accent5 4 2 2 3 2 2 2 2 2" xfId="45562" xr:uid="{00000000-0005-0000-0000-0000CA840000}"/>
    <cellStyle name="40% - Accent5 4 2 2 3 2 2 2 3" xfId="34261" xr:uid="{00000000-0005-0000-0000-0000CB840000}"/>
    <cellStyle name="40% - Accent5 4 2 2 3 2 2 3" xfId="17310" xr:uid="{00000000-0005-0000-0000-0000CC840000}"/>
    <cellStyle name="40% - Accent5 4 2 2 3 2 2 3 2" xfId="39912" xr:uid="{00000000-0005-0000-0000-0000CD840000}"/>
    <cellStyle name="40% - Accent5 4 2 2 3 2 2 4" xfId="28611" xr:uid="{00000000-0005-0000-0000-0000CE840000}"/>
    <cellStyle name="40% - Accent5 4 2 2 3 2 3" xfId="8827" xr:uid="{00000000-0005-0000-0000-0000CF840000}"/>
    <cellStyle name="40% - Accent5 4 2 2 3 2 3 2" xfId="20128" xr:uid="{00000000-0005-0000-0000-0000D0840000}"/>
    <cellStyle name="40% - Accent5 4 2 2 3 2 3 2 2" xfId="42730" xr:uid="{00000000-0005-0000-0000-0000D1840000}"/>
    <cellStyle name="40% - Accent5 4 2 2 3 2 3 3" xfId="31429" xr:uid="{00000000-0005-0000-0000-0000D2840000}"/>
    <cellStyle name="40% - Accent5 4 2 2 3 2 4" xfId="14478" xr:uid="{00000000-0005-0000-0000-0000D3840000}"/>
    <cellStyle name="40% - Accent5 4 2 2 3 2 4 2" xfId="37080" xr:uid="{00000000-0005-0000-0000-0000D4840000}"/>
    <cellStyle name="40% - Accent5 4 2 2 3 2 5" xfId="25779" xr:uid="{00000000-0005-0000-0000-0000D5840000}"/>
    <cellStyle name="40% - Accent5 4 2 2 3 3" xfId="4775" xr:uid="{00000000-0005-0000-0000-0000D6840000}"/>
    <cellStyle name="40% - Accent5 4 2 2 3 3 2" xfId="10425" xr:uid="{00000000-0005-0000-0000-0000D7840000}"/>
    <cellStyle name="40% - Accent5 4 2 2 3 3 2 2" xfId="21726" xr:uid="{00000000-0005-0000-0000-0000D8840000}"/>
    <cellStyle name="40% - Accent5 4 2 2 3 3 2 2 2" xfId="44328" xr:uid="{00000000-0005-0000-0000-0000D9840000}"/>
    <cellStyle name="40% - Accent5 4 2 2 3 3 2 3" xfId="33027" xr:uid="{00000000-0005-0000-0000-0000DA840000}"/>
    <cellStyle name="40% - Accent5 4 2 2 3 3 3" xfId="16076" xr:uid="{00000000-0005-0000-0000-0000DB840000}"/>
    <cellStyle name="40% - Accent5 4 2 2 3 3 3 2" xfId="38678" xr:uid="{00000000-0005-0000-0000-0000DC840000}"/>
    <cellStyle name="40% - Accent5 4 2 2 3 3 4" xfId="27377" xr:uid="{00000000-0005-0000-0000-0000DD840000}"/>
    <cellStyle name="40% - Accent5 4 2 2 3 4" xfId="6962" xr:uid="{00000000-0005-0000-0000-0000DE840000}"/>
    <cellStyle name="40% - Accent5 4 2 2 3 4 2" xfId="18263" xr:uid="{00000000-0005-0000-0000-0000DF840000}"/>
    <cellStyle name="40% - Accent5 4 2 2 3 4 2 2" xfId="40865" xr:uid="{00000000-0005-0000-0000-0000E0840000}"/>
    <cellStyle name="40% - Accent5 4 2 2 3 4 3" xfId="29564" xr:uid="{00000000-0005-0000-0000-0000E1840000}"/>
    <cellStyle name="40% - Accent5 4 2 2 3 5" xfId="12613" xr:uid="{00000000-0005-0000-0000-0000E2840000}"/>
    <cellStyle name="40% - Accent5 4 2 2 3 5 2" xfId="35215" xr:uid="{00000000-0005-0000-0000-0000E3840000}"/>
    <cellStyle name="40% - Accent5 4 2 2 3 6" xfId="23914" xr:uid="{00000000-0005-0000-0000-0000E4840000}"/>
    <cellStyle name="40% - Accent5 4 2 2 4" xfId="1948" xr:uid="{00000000-0005-0000-0000-0000E5840000}"/>
    <cellStyle name="40% - Accent5 4 2 2 4 2" xfId="3747" xr:uid="{00000000-0005-0000-0000-0000E6840000}"/>
    <cellStyle name="40% - Accent5 4 2 2 4 2 2" xfId="9457" xr:uid="{00000000-0005-0000-0000-0000E7840000}"/>
    <cellStyle name="40% - Accent5 4 2 2 4 2 2 2" xfId="20758" xr:uid="{00000000-0005-0000-0000-0000E8840000}"/>
    <cellStyle name="40% - Accent5 4 2 2 4 2 2 2 2" xfId="43360" xr:uid="{00000000-0005-0000-0000-0000E9840000}"/>
    <cellStyle name="40% - Accent5 4 2 2 4 2 2 3" xfId="32059" xr:uid="{00000000-0005-0000-0000-0000EA840000}"/>
    <cellStyle name="40% - Accent5 4 2 2 4 2 3" xfId="15108" xr:uid="{00000000-0005-0000-0000-0000EB840000}"/>
    <cellStyle name="40% - Accent5 4 2 2 4 2 3 2" xfId="37710" xr:uid="{00000000-0005-0000-0000-0000EC840000}"/>
    <cellStyle name="40% - Accent5 4 2 2 4 2 4" xfId="26409" xr:uid="{00000000-0005-0000-0000-0000ED840000}"/>
    <cellStyle name="40% - Accent5 4 2 2 4 3" xfId="5385" xr:uid="{00000000-0005-0000-0000-0000EE840000}"/>
    <cellStyle name="40% - Accent5 4 2 2 4 3 2" xfId="11035" xr:uid="{00000000-0005-0000-0000-0000EF840000}"/>
    <cellStyle name="40% - Accent5 4 2 2 4 3 2 2" xfId="22336" xr:uid="{00000000-0005-0000-0000-0000F0840000}"/>
    <cellStyle name="40% - Accent5 4 2 2 4 3 2 2 2" xfId="44938" xr:uid="{00000000-0005-0000-0000-0000F1840000}"/>
    <cellStyle name="40% - Accent5 4 2 2 4 3 2 3" xfId="33637" xr:uid="{00000000-0005-0000-0000-0000F2840000}"/>
    <cellStyle name="40% - Accent5 4 2 2 4 3 3" xfId="16686" xr:uid="{00000000-0005-0000-0000-0000F3840000}"/>
    <cellStyle name="40% - Accent5 4 2 2 4 3 3 2" xfId="39288" xr:uid="{00000000-0005-0000-0000-0000F4840000}"/>
    <cellStyle name="40% - Accent5 4 2 2 4 3 4" xfId="27987" xr:uid="{00000000-0005-0000-0000-0000F5840000}"/>
    <cellStyle name="40% - Accent5 4 2 2 4 4" xfId="7804" xr:uid="{00000000-0005-0000-0000-0000F6840000}"/>
    <cellStyle name="40% - Accent5 4 2 2 4 4 2" xfId="19105" xr:uid="{00000000-0005-0000-0000-0000F7840000}"/>
    <cellStyle name="40% - Accent5 4 2 2 4 4 2 2" xfId="41707" xr:uid="{00000000-0005-0000-0000-0000F8840000}"/>
    <cellStyle name="40% - Accent5 4 2 2 4 4 3" xfId="30406" xr:uid="{00000000-0005-0000-0000-0000F9840000}"/>
    <cellStyle name="40% - Accent5 4 2 2 4 5" xfId="13455" xr:uid="{00000000-0005-0000-0000-0000FA840000}"/>
    <cellStyle name="40% - Accent5 4 2 2 4 5 2" xfId="36057" xr:uid="{00000000-0005-0000-0000-0000FB840000}"/>
    <cellStyle name="40% - Accent5 4 2 2 4 6" xfId="24756" xr:uid="{00000000-0005-0000-0000-0000FC840000}"/>
    <cellStyle name="40% - Accent5 4 2 2 5" xfId="2366" xr:uid="{00000000-0005-0000-0000-0000FD840000}"/>
    <cellStyle name="40% - Accent5 4 2 2 5 2" xfId="8202" xr:uid="{00000000-0005-0000-0000-0000FE840000}"/>
    <cellStyle name="40% - Accent5 4 2 2 5 2 2" xfId="19503" xr:uid="{00000000-0005-0000-0000-0000FF840000}"/>
    <cellStyle name="40% - Accent5 4 2 2 5 2 2 2" xfId="42105" xr:uid="{00000000-0005-0000-0000-000000850000}"/>
    <cellStyle name="40% - Accent5 4 2 2 5 2 3" xfId="30804" xr:uid="{00000000-0005-0000-0000-000001850000}"/>
    <cellStyle name="40% - Accent5 4 2 2 5 3" xfId="13853" xr:uid="{00000000-0005-0000-0000-000002850000}"/>
    <cellStyle name="40% - Accent5 4 2 2 5 3 2" xfId="36455" xr:uid="{00000000-0005-0000-0000-000003850000}"/>
    <cellStyle name="40% - Accent5 4 2 2 5 4" xfId="25154" xr:uid="{00000000-0005-0000-0000-000004850000}"/>
    <cellStyle name="40% - Accent5 4 2 2 6" xfId="4151" xr:uid="{00000000-0005-0000-0000-000005850000}"/>
    <cellStyle name="40% - Accent5 4 2 2 6 2" xfId="9801" xr:uid="{00000000-0005-0000-0000-000006850000}"/>
    <cellStyle name="40% - Accent5 4 2 2 6 2 2" xfId="21102" xr:uid="{00000000-0005-0000-0000-000007850000}"/>
    <cellStyle name="40% - Accent5 4 2 2 6 2 2 2" xfId="43704" xr:uid="{00000000-0005-0000-0000-000008850000}"/>
    <cellStyle name="40% - Accent5 4 2 2 6 2 3" xfId="32403" xr:uid="{00000000-0005-0000-0000-000009850000}"/>
    <cellStyle name="40% - Accent5 4 2 2 6 3" xfId="15452" xr:uid="{00000000-0005-0000-0000-00000A850000}"/>
    <cellStyle name="40% - Accent5 4 2 2 6 3 2" xfId="38054" xr:uid="{00000000-0005-0000-0000-00000B850000}"/>
    <cellStyle name="40% - Accent5 4 2 2 6 4" xfId="26753" xr:uid="{00000000-0005-0000-0000-00000C850000}"/>
    <cellStyle name="40% - Accent5 4 2 2 7" xfId="6631" xr:uid="{00000000-0005-0000-0000-00000D850000}"/>
    <cellStyle name="40% - Accent5 4 2 2 7 2" xfId="17932" xr:uid="{00000000-0005-0000-0000-00000E850000}"/>
    <cellStyle name="40% - Accent5 4 2 2 7 2 2" xfId="40534" xr:uid="{00000000-0005-0000-0000-00000F850000}"/>
    <cellStyle name="40% - Accent5 4 2 2 7 3" xfId="29233" xr:uid="{00000000-0005-0000-0000-000010850000}"/>
    <cellStyle name="40% - Accent5 4 2 2 8" xfId="12282" xr:uid="{00000000-0005-0000-0000-000011850000}"/>
    <cellStyle name="40% - Accent5 4 2 2 8 2" xfId="34884" xr:uid="{00000000-0005-0000-0000-000012850000}"/>
    <cellStyle name="40% - Accent5 4 2 2 9" xfId="23583" xr:uid="{00000000-0005-0000-0000-000013850000}"/>
    <cellStyle name="40% - Accent5 4 2 3" xfId="1138" xr:uid="{00000000-0005-0000-0000-000014850000}"/>
    <cellStyle name="40% - Accent5 4 2 3 2" xfId="1950" xr:uid="{00000000-0005-0000-0000-000015850000}"/>
    <cellStyle name="40% - Accent5 4 2 3 2 2" xfId="3206" xr:uid="{00000000-0005-0000-0000-000016850000}"/>
    <cellStyle name="40% - Accent5 4 2 3 2 2 2" xfId="6178" xr:uid="{00000000-0005-0000-0000-000017850000}"/>
    <cellStyle name="40% - Accent5 4 2 3 2 2 2 2" xfId="11828" xr:uid="{00000000-0005-0000-0000-000018850000}"/>
    <cellStyle name="40% - Accent5 4 2 3 2 2 2 2 2" xfId="23129" xr:uid="{00000000-0005-0000-0000-000019850000}"/>
    <cellStyle name="40% - Accent5 4 2 3 2 2 2 2 2 2" xfId="45731" xr:uid="{00000000-0005-0000-0000-00001A850000}"/>
    <cellStyle name="40% - Accent5 4 2 3 2 2 2 2 3" xfId="34430" xr:uid="{00000000-0005-0000-0000-00001B850000}"/>
    <cellStyle name="40% - Accent5 4 2 3 2 2 2 3" xfId="17479" xr:uid="{00000000-0005-0000-0000-00001C850000}"/>
    <cellStyle name="40% - Accent5 4 2 3 2 2 2 3 2" xfId="40081" xr:uid="{00000000-0005-0000-0000-00001D850000}"/>
    <cellStyle name="40% - Accent5 4 2 3 2 2 2 4" xfId="28780" xr:uid="{00000000-0005-0000-0000-00001E850000}"/>
    <cellStyle name="40% - Accent5 4 2 3 2 2 3" xfId="8996" xr:uid="{00000000-0005-0000-0000-00001F850000}"/>
    <cellStyle name="40% - Accent5 4 2 3 2 2 3 2" xfId="20297" xr:uid="{00000000-0005-0000-0000-000020850000}"/>
    <cellStyle name="40% - Accent5 4 2 3 2 2 3 2 2" xfId="42899" xr:uid="{00000000-0005-0000-0000-000021850000}"/>
    <cellStyle name="40% - Accent5 4 2 3 2 2 3 3" xfId="31598" xr:uid="{00000000-0005-0000-0000-000022850000}"/>
    <cellStyle name="40% - Accent5 4 2 3 2 2 4" xfId="14647" xr:uid="{00000000-0005-0000-0000-000023850000}"/>
    <cellStyle name="40% - Accent5 4 2 3 2 2 4 2" xfId="37249" xr:uid="{00000000-0005-0000-0000-000024850000}"/>
    <cellStyle name="40% - Accent5 4 2 3 2 2 5" xfId="25948" xr:uid="{00000000-0005-0000-0000-000025850000}"/>
    <cellStyle name="40% - Accent5 4 2 3 2 3" xfId="4944" xr:uid="{00000000-0005-0000-0000-000026850000}"/>
    <cellStyle name="40% - Accent5 4 2 3 2 3 2" xfId="10594" xr:uid="{00000000-0005-0000-0000-000027850000}"/>
    <cellStyle name="40% - Accent5 4 2 3 2 3 2 2" xfId="21895" xr:uid="{00000000-0005-0000-0000-000028850000}"/>
    <cellStyle name="40% - Accent5 4 2 3 2 3 2 2 2" xfId="44497" xr:uid="{00000000-0005-0000-0000-000029850000}"/>
    <cellStyle name="40% - Accent5 4 2 3 2 3 2 3" xfId="33196" xr:uid="{00000000-0005-0000-0000-00002A850000}"/>
    <cellStyle name="40% - Accent5 4 2 3 2 3 3" xfId="16245" xr:uid="{00000000-0005-0000-0000-00002B850000}"/>
    <cellStyle name="40% - Accent5 4 2 3 2 3 3 2" xfId="38847" xr:uid="{00000000-0005-0000-0000-00002C850000}"/>
    <cellStyle name="40% - Accent5 4 2 3 2 3 4" xfId="27546" xr:uid="{00000000-0005-0000-0000-00002D850000}"/>
    <cellStyle name="40% - Accent5 4 2 3 2 4" xfId="7806" xr:uid="{00000000-0005-0000-0000-00002E850000}"/>
    <cellStyle name="40% - Accent5 4 2 3 2 4 2" xfId="19107" xr:uid="{00000000-0005-0000-0000-00002F850000}"/>
    <cellStyle name="40% - Accent5 4 2 3 2 4 2 2" xfId="41709" xr:uid="{00000000-0005-0000-0000-000030850000}"/>
    <cellStyle name="40% - Accent5 4 2 3 2 4 3" xfId="30408" xr:uid="{00000000-0005-0000-0000-000031850000}"/>
    <cellStyle name="40% - Accent5 4 2 3 2 5" xfId="13457" xr:uid="{00000000-0005-0000-0000-000032850000}"/>
    <cellStyle name="40% - Accent5 4 2 3 2 5 2" xfId="36059" xr:uid="{00000000-0005-0000-0000-000033850000}"/>
    <cellStyle name="40% - Accent5 4 2 3 2 6" xfId="24758" xr:uid="{00000000-0005-0000-0000-000034850000}"/>
    <cellStyle name="40% - Accent5 4 2 3 3" xfId="2535" xr:uid="{00000000-0005-0000-0000-000035850000}"/>
    <cellStyle name="40% - Accent5 4 2 3 3 2" xfId="5554" xr:uid="{00000000-0005-0000-0000-000036850000}"/>
    <cellStyle name="40% - Accent5 4 2 3 3 2 2" xfId="11204" xr:uid="{00000000-0005-0000-0000-000037850000}"/>
    <cellStyle name="40% - Accent5 4 2 3 3 2 2 2" xfId="22505" xr:uid="{00000000-0005-0000-0000-000038850000}"/>
    <cellStyle name="40% - Accent5 4 2 3 3 2 2 2 2" xfId="45107" xr:uid="{00000000-0005-0000-0000-000039850000}"/>
    <cellStyle name="40% - Accent5 4 2 3 3 2 2 3" xfId="33806" xr:uid="{00000000-0005-0000-0000-00003A850000}"/>
    <cellStyle name="40% - Accent5 4 2 3 3 2 3" xfId="16855" xr:uid="{00000000-0005-0000-0000-00003B850000}"/>
    <cellStyle name="40% - Accent5 4 2 3 3 2 3 2" xfId="39457" xr:uid="{00000000-0005-0000-0000-00003C850000}"/>
    <cellStyle name="40% - Accent5 4 2 3 3 2 4" xfId="28156" xr:uid="{00000000-0005-0000-0000-00003D850000}"/>
    <cellStyle name="40% - Accent5 4 2 3 3 3" xfId="8371" xr:uid="{00000000-0005-0000-0000-00003E850000}"/>
    <cellStyle name="40% - Accent5 4 2 3 3 3 2" xfId="19672" xr:uid="{00000000-0005-0000-0000-00003F850000}"/>
    <cellStyle name="40% - Accent5 4 2 3 3 3 2 2" xfId="42274" xr:uid="{00000000-0005-0000-0000-000040850000}"/>
    <cellStyle name="40% - Accent5 4 2 3 3 3 3" xfId="30973" xr:uid="{00000000-0005-0000-0000-000041850000}"/>
    <cellStyle name="40% - Accent5 4 2 3 3 4" xfId="14022" xr:uid="{00000000-0005-0000-0000-000042850000}"/>
    <cellStyle name="40% - Accent5 4 2 3 3 4 2" xfId="36624" xr:uid="{00000000-0005-0000-0000-000043850000}"/>
    <cellStyle name="40% - Accent5 4 2 3 3 5" xfId="25323" xr:uid="{00000000-0005-0000-0000-000044850000}"/>
    <cellStyle name="40% - Accent5 4 2 3 4" xfId="4320" xr:uid="{00000000-0005-0000-0000-000045850000}"/>
    <cellStyle name="40% - Accent5 4 2 3 4 2" xfId="9970" xr:uid="{00000000-0005-0000-0000-000046850000}"/>
    <cellStyle name="40% - Accent5 4 2 3 4 2 2" xfId="21271" xr:uid="{00000000-0005-0000-0000-000047850000}"/>
    <cellStyle name="40% - Accent5 4 2 3 4 2 2 2" xfId="43873" xr:uid="{00000000-0005-0000-0000-000048850000}"/>
    <cellStyle name="40% - Accent5 4 2 3 4 2 3" xfId="32572" xr:uid="{00000000-0005-0000-0000-000049850000}"/>
    <cellStyle name="40% - Accent5 4 2 3 4 3" xfId="15621" xr:uid="{00000000-0005-0000-0000-00004A850000}"/>
    <cellStyle name="40% - Accent5 4 2 3 4 3 2" xfId="38223" xr:uid="{00000000-0005-0000-0000-00004B850000}"/>
    <cellStyle name="40% - Accent5 4 2 3 4 4" xfId="26922" xr:uid="{00000000-0005-0000-0000-00004C850000}"/>
    <cellStyle name="40% - Accent5 4 2 3 5" xfId="7117" xr:uid="{00000000-0005-0000-0000-00004D850000}"/>
    <cellStyle name="40% - Accent5 4 2 3 5 2" xfId="18418" xr:uid="{00000000-0005-0000-0000-00004E850000}"/>
    <cellStyle name="40% - Accent5 4 2 3 5 2 2" xfId="41020" xr:uid="{00000000-0005-0000-0000-00004F850000}"/>
    <cellStyle name="40% - Accent5 4 2 3 5 3" xfId="29719" xr:uid="{00000000-0005-0000-0000-000050850000}"/>
    <cellStyle name="40% - Accent5 4 2 3 6" xfId="12768" xr:uid="{00000000-0005-0000-0000-000051850000}"/>
    <cellStyle name="40% - Accent5 4 2 3 6 2" xfId="35370" xr:uid="{00000000-0005-0000-0000-000052850000}"/>
    <cellStyle name="40% - Accent5 4 2 3 7" xfId="24069" xr:uid="{00000000-0005-0000-0000-000053850000}"/>
    <cellStyle name="40% - Accent5 4 2 4" xfId="828" xr:uid="{00000000-0005-0000-0000-000054850000}"/>
    <cellStyle name="40% - Accent5 4 2 4 2" xfId="2899" xr:uid="{00000000-0005-0000-0000-000055850000}"/>
    <cellStyle name="40% - Accent5 4 2 4 2 2" xfId="5871" xr:uid="{00000000-0005-0000-0000-000056850000}"/>
    <cellStyle name="40% - Accent5 4 2 4 2 2 2" xfId="11521" xr:uid="{00000000-0005-0000-0000-000057850000}"/>
    <cellStyle name="40% - Accent5 4 2 4 2 2 2 2" xfId="22822" xr:uid="{00000000-0005-0000-0000-000058850000}"/>
    <cellStyle name="40% - Accent5 4 2 4 2 2 2 2 2" xfId="45424" xr:uid="{00000000-0005-0000-0000-000059850000}"/>
    <cellStyle name="40% - Accent5 4 2 4 2 2 2 3" xfId="34123" xr:uid="{00000000-0005-0000-0000-00005A850000}"/>
    <cellStyle name="40% - Accent5 4 2 4 2 2 3" xfId="17172" xr:uid="{00000000-0005-0000-0000-00005B850000}"/>
    <cellStyle name="40% - Accent5 4 2 4 2 2 3 2" xfId="39774" xr:uid="{00000000-0005-0000-0000-00005C850000}"/>
    <cellStyle name="40% - Accent5 4 2 4 2 2 4" xfId="28473" xr:uid="{00000000-0005-0000-0000-00005D850000}"/>
    <cellStyle name="40% - Accent5 4 2 4 2 3" xfId="8689" xr:uid="{00000000-0005-0000-0000-00005E850000}"/>
    <cellStyle name="40% - Accent5 4 2 4 2 3 2" xfId="19990" xr:uid="{00000000-0005-0000-0000-00005F850000}"/>
    <cellStyle name="40% - Accent5 4 2 4 2 3 2 2" xfId="42592" xr:uid="{00000000-0005-0000-0000-000060850000}"/>
    <cellStyle name="40% - Accent5 4 2 4 2 3 3" xfId="31291" xr:uid="{00000000-0005-0000-0000-000061850000}"/>
    <cellStyle name="40% - Accent5 4 2 4 2 4" xfId="14340" xr:uid="{00000000-0005-0000-0000-000062850000}"/>
    <cellStyle name="40% - Accent5 4 2 4 2 4 2" xfId="36942" xr:uid="{00000000-0005-0000-0000-000063850000}"/>
    <cellStyle name="40% - Accent5 4 2 4 2 5" xfId="25641" xr:uid="{00000000-0005-0000-0000-000064850000}"/>
    <cellStyle name="40% - Accent5 4 2 4 3" xfId="4637" xr:uid="{00000000-0005-0000-0000-000065850000}"/>
    <cellStyle name="40% - Accent5 4 2 4 3 2" xfId="10287" xr:uid="{00000000-0005-0000-0000-000066850000}"/>
    <cellStyle name="40% - Accent5 4 2 4 3 2 2" xfId="21588" xr:uid="{00000000-0005-0000-0000-000067850000}"/>
    <cellStyle name="40% - Accent5 4 2 4 3 2 2 2" xfId="44190" xr:uid="{00000000-0005-0000-0000-000068850000}"/>
    <cellStyle name="40% - Accent5 4 2 4 3 2 3" xfId="32889" xr:uid="{00000000-0005-0000-0000-000069850000}"/>
    <cellStyle name="40% - Accent5 4 2 4 3 3" xfId="15938" xr:uid="{00000000-0005-0000-0000-00006A850000}"/>
    <cellStyle name="40% - Accent5 4 2 4 3 3 2" xfId="38540" xr:uid="{00000000-0005-0000-0000-00006B850000}"/>
    <cellStyle name="40% - Accent5 4 2 4 3 4" xfId="27239" xr:uid="{00000000-0005-0000-0000-00006C850000}"/>
    <cellStyle name="40% - Accent5 4 2 4 4" xfId="6824" xr:uid="{00000000-0005-0000-0000-00006D850000}"/>
    <cellStyle name="40% - Accent5 4 2 4 4 2" xfId="18125" xr:uid="{00000000-0005-0000-0000-00006E850000}"/>
    <cellStyle name="40% - Accent5 4 2 4 4 2 2" xfId="40727" xr:uid="{00000000-0005-0000-0000-00006F850000}"/>
    <cellStyle name="40% - Accent5 4 2 4 4 3" xfId="29426" xr:uid="{00000000-0005-0000-0000-000070850000}"/>
    <cellStyle name="40% - Accent5 4 2 4 5" xfId="12475" xr:uid="{00000000-0005-0000-0000-000071850000}"/>
    <cellStyle name="40% - Accent5 4 2 4 5 2" xfId="35077" xr:uid="{00000000-0005-0000-0000-000072850000}"/>
    <cellStyle name="40% - Accent5 4 2 4 6" xfId="23776" xr:uid="{00000000-0005-0000-0000-000073850000}"/>
    <cellStyle name="40% - Accent5 4 2 5" xfId="1947" xr:uid="{00000000-0005-0000-0000-000074850000}"/>
    <cellStyle name="40% - Accent5 4 2 5 2" xfId="3746" xr:uid="{00000000-0005-0000-0000-000075850000}"/>
    <cellStyle name="40% - Accent5 4 2 5 2 2" xfId="9456" xr:uid="{00000000-0005-0000-0000-000076850000}"/>
    <cellStyle name="40% - Accent5 4 2 5 2 2 2" xfId="20757" xr:uid="{00000000-0005-0000-0000-000077850000}"/>
    <cellStyle name="40% - Accent5 4 2 5 2 2 2 2" xfId="43359" xr:uid="{00000000-0005-0000-0000-000078850000}"/>
    <cellStyle name="40% - Accent5 4 2 5 2 2 3" xfId="32058" xr:uid="{00000000-0005-0000-0000-000079850000}"/>
    <cellStyle name="40% - Accent5 4 2 5 2 3" xfId="15107" xr:uid="{00000000-0005-0000-0000-00007A850000}"/>
    <cellStyle name="40% - Accent5 4 2 5 2 3 2" xfId="37709" xr:uid="{00000000-0005-0000-0000-00007B850000}"/>
    <cellStyle name="40% - Accent5 4 2 5 2 4" xfId="26408" xr:uid="{00000000-0005-0000-0000-00007C850000}"/>
    <cellStyle name="40% - Accent5 4 2 5 3" xfId="5247" xr:uid="{00000000-0005-0000-0000-00007D850000}"/>
    <cellStyle name="40% - Accent5 4 2 5 3 2" xfId="10897" xr:uid="{00000000-0005-0000-0000-00007E850000}"/>
    <cellStyle name="40% - Accent5 4 2 5 3 2 2" xfId="22198" xr:uid="{00000000-0005-0000-0000-00007F850000}"/>
    <cellStyle name="40% - Accent5 4 2 5 3 2 2 2" xfId="44800" xr:uid="{00000000-0005-0000-0000-000080850000}"/>
    <cellStyle name="40% - Accent5 4 2 5 3 2 3" xfId="33499" xr:uid="{00000000-0005-0000-0000-000081850000}"/>
    <cellStyle name="40% - Accent5 4 2 5 3 3" xfId="16548" xr:uid="{00000000-0005-0000-0000-000082850000}"/>
    <cellStyle name="40% - Accent5 4 2 5 3 3 2" xfId="39150" xr:uid="{00000000-0005-0000-0000-000083850000}"/>
    <cellStyle name="40% - Accent5 4 2 5 3 4" xfId="27849" xr:uid="{00000000-0005-0000-0000-000084850000}"/>
    <cellStyle name="40% - Accent5 4 2 5 4" xfId="7803" xr:uid="{00000000-0005-0000-0000-000085850000}"/>
    <cellStyle name="40% - Accent5 4 2 5 4 2" xfId="19104" xr:uid="{00000000-0005-0000-0000-000086850000}"/>
    <cellStyle name="40% - Accent5 4 2 5 4 2 2" xfId="41706" xr:uid="{00000000-0005-0000-0000-000087850000}"/>
    <cellStyle name="40% - Accent5 4 2 5 4 3" xfId="30405" xr:uid="{00000000-0005-0000-0000-000088850000}"/>
    <cellStyle name="40% - Accent5 4 2 5 5" xfId="13454" xr:uid="{00000000-0005-0000-0000-000089850000}"/>
    <cellStyle name="40% - Accent5 4 2 5 5 2" xfId="36056" xr:uid="{00000000-0005-0000-0000-00008A850000}"/>
    <cellStyle name="40% - Accent5 4 2 5 6" xfId="24755" xr:uid="{00000000-0005-0000-0000-00008B850000}"/>
    <cellStyle name="40% - Accent5 4 2 6" xfId="2226" xr:uid="{00000000-0005-0000-0000-00008C850000}"/>
    <cellStyle name="40% - Accent5 4 2 6 2" xfId="8062" xr:uid="{00000000-0005-0000-0000-00008D850000}"/>
    <cellStyle name="40% - Accent5 4 2 6 2 2" xfId="19363" xr:uid="{00000000-0005-0000-0000-00008E850000}"/>
    <cellStyle name="40% - Accent5 4 2 6 2 2 2" xfId="41965" xr:uid="{00000000-0005-0000-0000-00008F850000}"/>
    <cellStyle name="40% - Accent5 4 2 6 2 3" xfId="30664" xr:uid="{00000000-0005-0000-0000-000090850000}"/>
    <cellStyle name="40% - Accent5 4 2 6 3" xfId="13713" xr:uid="{00000000-0005-0000-0000-000091850000}"/>
    <cellStyle name="40% - Accent5 4 2 6 3 2" xfId="36315" xr:uid="{00000000-0005-0000-0000-000092850000}"/>
    <cellStyle name="40% - Accent5 4 2 6 4" xfId="25014" xr:uid="{00000000-0005-0000-0000-000093850000}"/>
    <cellStyle name="40% - Accent5 4 2 7" xfId="4013" xr:uid="{00000000-0005-0000-0000-000094850000}"/>
    <cellStyle name="40% - Accent5 4 2 7 2" xfId="9663" xr:uid="{00000000-0005-0000-0000-000095850000}"/>
    <cellStyle name="40% - Accent5 4 2 7 2 2" xfId="20964" xr:uid="{00000000-0005-0000-0000-000096850000}"/>
    <cellStyle name="40% - Accent5 4 2 7 2 2 2" xfId="43566" xr:uid="{00000000-0005-0000-0000-000097850000}"/>
    <cellStyle name="40% - Accent5 4 2 7 2 3" xfId="32265" xr:uid="{00000000-0005-0000-0000-000098850000}"/>
    <cellStyle name="40% - Accent5 4 2 7 3" xfId="15314" xr:uid="{00000000-0005-0000-0000-000099850000}"/>
    <cellStyle name="40% - Accent5 4 2 7 3 2" xfId="37916" xr:uid="{00000000-0005-0000-0000-00009A850000}"/>
    <cellStyle name="40% - Accent5 4 2 7 4" xfId="26615" xr:uid="{00000000-0005-0000-0000-00009B850000}"/>
    <cellStyle name="40% - Accent5 4 2 8" xfId="6464" xr:uid="{00000000-0005-0000-0000-00009C850000}"/>
    <cellStyle name="40% - Accent5 4 2 8 2" xfId="17765" xr:uid="{00000000-0005-0000-0000-00009D850000}"/>
    <cellStyle name="40% - Accent5 4 2 8 2 2" xfId="40367" xr:uid="{00000000-0005-0000-0000-00009E850000}"/>
    <cellStyle name="40% - Accent5 4 2 8 3" xfId="29066" xr:uid="{00000000-0005-0000-0000-00009F850000}"/>
    <cellStyle name="40% - Accent5 4 2 9" xfId="12115" xr:uid="{00000000-0005-0000-0000-0000A0850000}"/>
    <cellStyle name="40% - Accent5 4 2 9 2" xfId="34717" xr:uid="{00000000-0005-0000-0000-0000A1850000}"/>
    <cellStyle name="40% - Accent5 4 3" xfId="370" xr:uid="{00000000-0005-0000-0000-0000A2850000}"/>
    <cellStyle name="40% - Accent5 4 3 10" xfId="23465" xr:uid="{00000000-0005-0000-0000-0000A3850000}"/>
    <cellStyle name="40% - Accent5 4 3 2" xfId="615" xr:uid="{00000000-0005-0000-0000-0000A4850000}"/>
    <cellStyle name="40% - Accent5 4 3 2 2" xfId="1325" xr:uid="{00000000-0005-0000-0000-0000A5850000}"/>
    <cellStyle name="40% - Accent5 4 3 2 2 2" xfId="1953" xr:uid="{00000000-0005-0000-0000-0000A6850000}"/>
    <cellStyle name="40% - Accent5 4 3 2 2 2 2" xfId="3394" xr:uid="{00000000-0005-0000-0000-0000A7850000}"/>
    <cellStyle name="40% - Accent5 4 3 2 2 2 2 2" xfId="6366" xr:uid="{00000000-0005-0000-0000-0000A8850000}"/>
    <cellStyle name="40% - Accent5 4 3 2 2 2 2 2 2" xfId="12016" xr:uid="{00000000-0005-0000-0000-0000A9850000}"/>
    <cellStyle name="40% - Accent5 4 3 2 2 2 2 2 2 2" xfId="23317" xr:uid="{00000000-0005-0000-0000-0000AA850000}"/>
    <cellStyle name="40% - Accent5 4 3 2 2 2 2 2 2 2 2" xfId="45919" xr:uid="{00000000-0005-0000-0000-0000AB850000}"/>
    <cellStyle name="40% - Accent5 4 3 2 2 2 2 2 2 3" xfId="34618" xr:uid="{00000000-0005-0000-0000-0000AC850000}"/>
    <cellStyle name="40% - Accent5 4 3 2 2 2 2 2 3" xfId="17667" xr:uid="{00000000-0005-0000-0000-0000AD850000}"/>
    <cellStyle name="40% - Accent5 4 3 2 2 2 2 2 3 2" xfId="40269" xr:uid="{00000000-0005-0000-0000-0000AE850000}"/>
    <cellStyle name="40% - Accent5 4 3 2 2 2 2 2 4" xfId="28968" xr:uid="{00000000-0005-0000-0000-0000AF850000}"/>
    <cellStyle name="40% - Accent5 4 3 2 2 2 2 3" xfId="9184" xr:uid="{00000000-0005-0000-0000-0000B0850000}"/>
    <cellStyle name="40% - Accent5 4 3 2 2 2 2 3 2" xfId="20485" xr:uid="{00000000-0005-0000-0000-0000B1850000}"/>
    <cellStyle name="40% - Accent5 4 3 2 2 2 2 3 2 2" xfId="43087" xr:uid="{00000000-0005-0000-0000-0000B2850000}"/>
    <cellStyle name="40% - Accent5 4 3 2 2 2 2 3 3" xfId="31786" xr:uid="{00000000-0005-0000-0000-0000B3850000}"/>
    <cellStyle name="40% - Accent5 4 3 2 2 2 2 4" xfId="14835" xr:uid="{00000000-0005-0000-0000-0000B4850000}"/>
    <cellStyle name="40% - Accent5 4 3 2 2 2 2 4 2" xfId="37437" xr:uid="{00000000-0005-0000-0000-0000B5850000}"/>
    <cellStyle name="40% - Accent5 4 3 2 2 2 2 5" xfId="26136" xr:uid="{00000000-0005-0000-0000-0000B6850000}"/>
    <cellStyle name="40% - Accent5 4 3 2 2 2 3" xfId="5132" xr:uid="{00000000-0005-0000-0000-0000B7850000}"/>
    <cellStyle name="40% - Accent5 4 3 2 2 2 3 2" xfId="10782" xr:uid="{00000000-0005-0000-0000-0000B8850000}"/>
    <cellStyle name="40% - Accent5 4 3 2 2 2 3 2 2" xfId="22083" xr:uid="{00000000-0005-0000-0000-0000B9850000}"/>
    <cellStyle name="40% - Accent5 4 3 2 2 2 3 2 2 2" xfId="44685" xr:uid="{00000000-0005-0000-0000-0000BA850000}"/>
    <cellStyle name="40% - Accent5 4 3 2 2 2 3 2 3" xfId="33384" xr:uid="{00000000-0005-0000-0000-0000BB850000}"/>
    <cellStyle name="40% - Accent5 4 3 2 2 2 3 3" xfId="16433" xr:uid="{00000000-0005-0000-0000-0000BC850000}"/>
    <cellStyle name="40% - Accent5 4 3 2 2 2 3 3 2" xfId="39035" xr:uid="{00000000-0005-0000-0000-0000BD850000}"/>
    <cellStyle name="40% - Accent5 4 3 2 2 2 3 4" xfId="27734" xr:uid="{00000000-0005-0000-0000-0000BE850000}"/>
    <cellStyle name="40% - Accent5 4 3 2 2 2 4" xfId="7809" xr:uid="{00000000-0005-0000-0000-0000BF850000}"/>
    <cellStyle name="40% - Accent5 4 3 2 2 2 4 2" xfId="19110" xr:uid="{00000000-0005-0000-0000-0000C0850000}"/>
    <cellStyle name="40% - Accent5 4 3 2 2 2 4 2 2" xfId="41712" xr:uid="{00000000-0005-0000-0000-0000C1850000}"/>
    <cellStyle name="40% - Accent5 4 3 2 2 2 4 3" xfId="30411" xr:uid="{00000000-0005-0000-0000-0000C2850000}"/>
    <cellStyle name="40% - Accent5 4 3 2 2 2 5" xfId="13460" xr:uid="{00000000-0005-0000-0000-0000C3850000}"/>
    <cellStyle name="40% - Accent5 4 3 2 2 2 5 2" xfId="36062" xr:uid="{00000000-0005-0000-0000-0000C4850000}"/>
    <cellStyle name="40% - Accent5 4 3 2 2 2 6" xfId="24761" xr:uid="{00000000-0005-0000-0000-0000C5850000}"/>
    <cellStyle name="40% - Accent5 4 3 2 2 3" xfId="2723" xr:uid="{00000000-0005-0000-0000-0000C6850000}"/>
    <cellStyle name="40% - Accent5 4 3 2 2 3 2" xfId="5742" xr:uid="{00000000-0005-0000-0000-0000C7850000}"/>
    <cellStyle name="40% - Accent5 4 3 2 2 3 2 2" xfId="11392" xr:uid="{00000000-0005-0000-0000-0000C8850000}"/>
    <cellStyle name="40% - Accent5 4 3 2 2 3 2 2 2" xfId="22693" xr:uid="{00000000-0005-0000-0000-0000C9850000}"/>
    <cellStyle name="40% - Accent5 4 3 2 2 3 2 2 2 2" xfId="45295" xr:uid="{00000000-0005-0000-0000-0000CA850000}"/>
    <cellStyle name="40% - Accent5 4 3 2 2 3 2 2 3" xfId="33994" xr:uid="{00000000-0005-0000-0000-0000CB850000}"/>
    <cellStyle name="40% - Accent5 4 3 2 2 3 2 3" xfId="17043" xr:uid="{00000000-0005-0000-0000-0000CC850000}"/>
    <cellStyle name="40% - Accent5 4 3 2 2 3 2 3 2" xfId="39645" xr:uid="{00000000-0005-0000-0000-0000CD850000}"/>
    <cellStyle name="40% - Accent5 4 3 2 2 3 2 4" xfId="28344" xr:uid="{00000000-0005-0000-0000-0000CE850000}"/>
    <cellStyle name="40% - Accent5 4 3 2 2 3 3" xfId="8559" xr:uid="{00000000-0005-0000-0000-0000CF850000}"/>
    <cellStyle name="40% - Accent5 4 3 2 2 3 3 2" xfId="19860" xr:uid="{00000000-0005-0000-0000-0000D0850000}"/>
    <cellStyle name="40% - Accent5 4 3 2 2 3 3 2 2" xfId="42462" xr:uid="{00000000-0005-0000-0000-0000D1850000}"/>
    <cellStyle name="40% - Accent5 4 3 2 2 3 3 3" xfId="31161" xr:uid="{00000000-0005-0000-0000-0000D2850000}"/>
    <cellStyle name="40% - Accent5 4 3 2 2 3 4" xfId="14210" xr:uid="{00000000-0005-0000-0000-0000D3850000}"/>
    <cellStyle name="40% - Accent5 4 3 2 2 3 4 2" xfId="36812" xr:uid="{00000000-0005-0000-0000-0000D4850000}"/>
    <cellStyle name="40% - Accent5 4 3 2 2 3 5" xfId="25511" xr:uid="{00000000-0005-0000-0000-0000D5850000}"/>
    <cellStyle name="40% - Accent5 4 3 2 2 4" xfId="4508" xr:uid="{00000000-0005-0000-0000-0000D6850000}"/>
    <cellStyle name="40% - Accent5 4 3 2 2 4 2" xfId="10158" xr:uid="{00000000-0005-0000-0000-0000D7850000}"/>
    <cellStyle name="40% - Accent5 4 3 2 2 4 2 2" xfId="21459" xr:uid="{00000000-0005-0000-0000-0000D8850000}"/>
    <cellStyle name="40% - Accent5 4 3 2 2 4 2 2 2" xfId="44061" xr:uid="{00000000-0005-0000-0000-0000D9850000}"/>
    <cellStyle name="40% - Accent5 4 3 2 2 4 2 3" xfId="32760" xr:uid="{00000000-0005-0000-0000-0000DA850000}"/>
    <cellStyle name="40% - Accent5 4 3 2 2 4 3" xfId="15809" xr:uid="{00000000-0005-0000-0000-0000DB850000}"/>
    <cellStyle name="40% - Accent5 4 3 2 2 4 3 2" xfId="38411" xr:uid="{00000000-0005-0000-0000-0000DC850000}"/>
    <cellStyle name="40% - Accent5 4 3 2 2 4 4" xfId="27110" xr:uid="{00000000-0005-0000-0000-0000DD850000}"/>
    <cellStyle name="40% - Accent5 4 3 2 2 5" xfId="7304" xr:uid="{00000000-0005-0000-0000-0000DE850000}"/>
    <cellStyle name="40% - Accent5 4 3 2 2 5 2" xfId="18605" xr:uid="{00000000-0005-0000-0000-0000DF850000}"/>
    <cellStyle name="40% - Accent5 4 3 2 2 5 2 2" xfId="41207" xr:uid="{00000000-0005-0000-0000-0000E0850000}"/>
    <cellStyle name="40% - Accent5 4 3 2 2 5 3" xfId="29906" xr:uid="{00000000-0005-0000-0000-0000E1850000}"/>
    <cellStyle name="40% - Accent5 4 3 2 2 6" xfId="12955" xr:uid="{00000000-0005-0000-0000-0000E2850000}"/>
    <cellStyle name="40% - Accent5 4 3 2 2 6 2" xfId="35557" xr:uid="{00000000-0005-0000-0000-0000E3850000}"/>
    <cellStyle name="40% - Accent5 4 3 2 2 7" xfId="24256" xr:uid="{00000000-0005-0000-0000-0000E4850000}"/>
    <cellStyle name="40% - Accent5 4 3 2 3" xfId="1023" xr:uid="{00000000-0005-0000-0000-0000E5850000}"/>
    <cellStyle name="40% - Accent5 4 3 2 3 2" xfId="3086" xr:uid="{00000000-0005-0000-0000-0000E6850000}"/>
    <cellStyle name="40% - Accent5 4 3 2 3 2 2" xfId="6058" xr:uid="{00000000-0005-0000-0000-0000E7850000}"/>
    <cellStyle name="40% - Accent5 4 3 2 3 2 2 2" xfId="11708" xr:uid="{00000000-0005-0000-0000-0000E8850000}"/>
    <cellStyle name="40% - Accent5 4 3 2 3 2 2 2 2" xfId="23009" xr:uid="{00000000-0005-0000-0000-0000E9850000}"/>
    <cellStyle name="40% - Accent5 4 3 2 3 2 2 2 2 2" xfId="45611" xr:uid="{00000000-0005-0000-0000-0000EA850000}"/>
    <cellStyle name="40% - Accent5 4 3 2 3 2 2 2 3" xfId="34310" xr:uid="{00000000-0005-0000-0000-0000EB850000}"/>
    <cellStyle name="40% - Accent5 4 3 2 3 2 2 3" xfId="17359" xr:uid="{00000000-0005-0000-0000-0000EC850000}"/>
    <cellStyle name="40% - Accent5 4 3 2 3 2 2 3 2" xfId="39961" xr:uid="{00000000-0005-0000-0000-0000ED850000}"/>
    <cellStyle name="40% - Accent5 4 3 2 3 2 2 4" xfId="28660" xr:uid="{00000000-0005-0000-0000-0000EE850000}"/>
    <cellStyle name="40% - Accent5 4 3 2 3 2 3" xfId="8876" xr:uid="{00000000-0005-0000-0000-0000EF850000}"/>
    <cellStyle name="40% - Accent5 4 3 2 3 2 3 2" xfId="20177" xr:uid="{00000000-0005-0000-0000-0000F0850000}"/>
    <cellStyle name="40% - Accent5 4 3 2 3 2 3 2 2" xfId="42779" xr:uid="{00000000-0005-0000-0000-0000F1850000}"/>
    <cellStyle name="40% - Accent5 4 3 2 3 2 3 3" xfId="31478" xr:uid="{00000000-0005-0000-0000-0000F2850000}"/>
    <cellStyle name="40% - Accent5 4 3 2 3 2 4" xfId="14527" xr:uid="{00000000-0005-0000-0000-0000F3850000}"/>
    <cellStyle name="40% - Accent5 4 3 2 3 2 4 2" xfId="37129" xr:uid="{00000000-0005-0000-0000-0000F4850000}"/>
    <cellStyle name="40% - Accent5 4 3 2 3 2 5" xfId="25828" xr:uid="{00000000-0005-0000-0000-0000F5850000}"/>
    <cellStyle name="40% - Accent5 4 3 2 3 3" xfId="4824" xr:uid="{00000000-0005-0000-0000-0000F6850000}"/>
    <cellStyle name="40% - Accent5 4 3 2 3 3 2" xfId="10474" xr:uid="{00000000-0005-0000-0000-0000F7850000}"/>
    <cellStyle name="40% - Accent5 4 3 2 3 3 2 2" xfId="21775" xr:uid="{00000000-0005-0000-0000-0000F8850000}"/>
    <cellStyle name="40% - Accent5 4 3 2 3 3 2 2 2" xfId="44377" xr:uid="{00000000-0005-0000-0000-0000F9850000}"/>
    <cellStyle name="40% - Accent5 4 3 2 3 3 2 3" xfId="33076" xr:uid="{00000000-0005-0000-0000-0000FA850000}"/>
    <cellStyle name="40% - Accent5 4 3 2 3 3 3" xfId="16125" xr:uid="{00000000-0005-0000-0000-0000FB850000}"/>
    <cellStyle name="40% - Accent5 4 3 2 3 3 3 2" xfId="38727" xr:uid="{00000000-0005-0000-0000-0000FC850000}"/>
    <cellStyle name="40% - Accent5 4 3 2 3 3 4" xfId="27426" xr:uid="{00000000-0005-0000-0000-0000FD850000}"/>
    <cellStyle name="40% - Accent5 4 3 2 3 4" xfId="7011" xr:uid="{00000000-0005-0000-0000-0000FE850000}"/>
    <cellStyle name="40% - Accent5 4 3 2 3 4 2" xfId="18312" xr:uid="{00000000-0005-0000-0000-0000FF850000}"/>
    <cellStyle name="40% - Accent5 4 3 2 3 4 2 2" xfId="40914" xr:uid="{00000000-0005-0000-0000-000000860000}"/>
    <cellStyle name="40% - Accent5 4 3 2 3 4 3" xfId="29613" xr:uid="{00000000-0005-0000-0000-000001860000}"/>
    <cellStyle name="40% - Accent5 4 3 2 3 5" xfId="12662" xr:uid="{00000000-0005-0000-0000-000002860000}"/>
    <cellStyle name="40% - Accent5 4 3 2 3 5 2" xfId="35264" xr:uid="{00000000-0005-0000-0000-000003860000}"/>
    <cellStyle name="40% - Accent5 4 3 2 3 6" xfId="23963" xr:uid="{00000000-0005-0000-0000-000004860000}"/>
    <cellStyle name="40% - Accent5 4 3 2 4" xfId="1952" xr:uid="{00000000-0005-0000-0000-000005860000}"/>
    <cellStyle name="40% - Accent5 4 3 2 4 2" xfId="3749" xr:uid="{00000000-0005-0000-0000-000006860000}"/>
    <cellStyle name="40% - Accent5 4 3 2 4 2 2" xfId="9459" xr:uid="{00000000-0005-0000-0000-000007860000}"/>
    <cellStyle name="40% - Accent5 4 3 2 4 2 2 2" xfId="20760" xr:uid="{00000000-0005-0000-0000-000008860000}"/>
    <cellStyle name="40% - Accent5 4 3 2 4 2 2 2 2" xfId="43362" xr:uid="{00000000-0005-0000-0000-000009860000}"/>
    <cellStyle name="40% - Accent5 4 3 2 4 2 2 3" xfId="32061" xr:uid="{00000000-0005-0000-0000-00000A860000}"/>
    <cellStyle name="40% - Accent5 4 3 2 4 2 3" xfId="15110" xr:uid="{00000000-0005-0000-0000-00000B860000}"/>
    <cellStyle name="40% - Accent5 4 3 2 4 2 3 2" xfId="37712" xr:uid="{00000000-0005-0000-0000-00000C860000}"/>
    <cellStyle name="40% - Accent5 4 3 2 4 2 4" xfId="26411" xr:uid="{00000000-0005-0000-0000-00000D860000}"/>
    <cellStyle name="40% - Accent5 4 3 2 4 3" xfId="5434" xr:uid="{00000000-0005-0000-0000-00000E860000}"/>
    <cellStyle name="40% - Accent5 4 3 2 4 3 2" xfId="11084" xr:uid="{00000000-0005-0000-0000-00000F860000}"/>
    <cellStyle name="40% - Accent5 4 3 2 4 3 2 2" xfId="22385" xr:uid="{00000000-0005-0000-0000-000010860000}"/>
    <cellStyle name="40% - Accent5 4 3 2 4 3 2 2 2" xfId="44987" xr:uid="{00000000-0005-0000-0000-000011860000}"/>
    <cellStyle name="40% - Accent5 4 3 2 4 3 2 3" xfId="33686" xr:uid="{00000000-0005-0000-0000-000012860000}"/>
    <cellStyle name="40% - Accent5 4 3 2 4 3 3" xfId="16735" xr:uid="{00000000-0005-0000-0000-000013860000}"/>
    <cellStyle name="40% - Accent5 4 3 2 4 3 3 2" xfId="39337" xr:uid="{00000000-0005-0000-0000-000014860000}"/>
    <cellStyle name="40% - Accent5 4 3 2 4 3 4" xfId="28036" xr:uid="{00000000-0005-0000-0000-000015860000}"/>
    <cellStyle name="40% - Accent5 4 3 2 4 4" xfId="7808" xr:uid="{00000000-0005-0000-0000-000016860000}"/>
    <cellStyle name="40% - Accent5 4 3 2 4 4 2" xfId="19109" xr:uid="{00000000-0005-0000-0000-000017860000}"/>
    <cellStyle name="40% - Accent5 4 3 2 4 4 2 2" xfId="41711" xr:uid="{00000000-0005-0000-0000-000018860000}"/>
    <cellStyle name="40% - Accent5 4 3 2 4 4 3" xfId="30410" xr:uid="{00000000-0005-0000-0000-000019860000}"/>
    <cellStyle name="40% - Accent5 4 3 2 4 5" xfId="13459" xr:uid="{00000000-0005-0000-0000-00001A860000}"/>
    <cellStyle name="40% - Accent5 4 3 2 4 5 2" xfId="36061" xr:uid="{00000000-0005-0000-0000-00001B860000}"/>
    <cellStyle name="40% - Accent5 4 3 2 4 6" xfId="24760" xr:uid="{00000000-0005-0000-0000-00001C860000}"/>
    <cellStyle name="40% - Accent5 4 3 2 5" xfId="2415" xr:uid="{00000000-0005-0000-0000-00001D860000}"/>
    <cellStyle name="40% - Accent5 4 3 2 5 2" xfId="8251" xr:uid="{00000000-0005-0000-0000-00001E860000}"/>
    <cellStyle name="40% - Accent5 4 3 2 5 2 2" xfId="19552" xr:uid="{00000000-0005-0000-0000-00001F860000}"/>
    <cellStyle name="40% - Accent5 4 3 2 5 2 2 2" xfId="42154" xr:uid="{00000000-0005-0000-0000-000020860000}"/>
    <cellStyle name="40% - Accent5 4 3 2 5 2 3" xfId="30853" xr:uid="{00000000-0005-0000-0000-000021860000}"/>
    <cellStyle name="40% - Accent5 4 3 2 5 3" xfId="13902" xr:uid="{00000000-0005-0000-0000-000022860000}"/>
    <cellStyle name="40% - Accent5 4 3 2 5 3 2" xfId="36504" xr:uid="{00000000-0005-0000-0000-000023860000}"/>
    <cellStyle name="40% - Accent5 4 3 2 5 4" xfId="25203" xr:uid="{00000000-0005-0000-0000-000024860000}"/>
    <cellStyle name="40% - Accent5 4 3 2 6" xfId="4200" xr:uid="{00000000-0005-0000-0000-000025860000}"/>
    <cellStyle name="40% - Accent5 4 3 2 6 2" xfId="9850" xr:uid="{00000000-0005-0000-0000-000026860000}"/>
    <cellStyle name="40% - Accent5 4 3 2 6 2 2" xfId="21151" xr:uid="{00000000-0005-0000-0000-000027860000}"/>
    <cellStyle name="40% - Accent5 4 3 2 6 2 2 2" xfId="43753" xr:uid="{00000000-0005-0000-0000-000028860000}"/>
    <cellStyle name="40% - Accent5 4 3 2 6 2 3" xfId="32452" xr:uid="{00000000-0005-0000-0000-000029860000}"/>
    <cellStyle name="40% - Accent5 4 3 2 6 3" xfId="15501" xr:uid="{00000000-0005-0000-0000-00002A860000}"/>
    <cellStyle name="40% - Accent5 4 3 2 6 3 2" xfId="38103" xr:uid="{00000000-0005-0000-0000-00002B860000}"/>
    <cellStyle name="40% - Accent5 4 3 2 6 4" xfId="26802" xr:uid="{00000000-0005-0000-0000-00002C860000}"/>
    <cellStyle name="40% - Accent5 4 3 2 7" xfId="6680" xr:uid="{00000000-0005-0000-0000-00002D860000}"/>
    <cellStyle name="40% - Accent5 4 3 2 7 2" xfId="17981" xr:uid="{00000000-0005-0000-0000-00002E860000}"/>
    <cellStyle name="40% - Accent5 4 3 2 7 2 2" xfId="40583" xr:uid="{00000000-0005-0000-0000-00002F860000}"/>
    <cellStyle name="40% - Accent5 4 3 2 7 3" xfId="29282" xr:uid="{00000000-0005-0000-0000-000030860000}"/>
    <cellStyle name="40% - Accent5 4 3 2 8" xfId="12331" xr:uid="{00000000-0005-0000-0000-000031860000}"/>
    <cellStyle name="40% - Accent5 4 3 2 8 2" xfId="34933" xr:uid="{00000000-0005-0000-0000-000032860000}"/>
    <cellStyle name="40% - Accent5 4 3 2 9" xfId="23632" xr:uid="{00000000-0005-0000-0000-000033860000}"/>
    <cellStyle name="40% - Accent5 4 3 3" xfId="1187" xr:uid="{00000000-0005-0000-0000-000034860000}"/>
    <cellStyle name="40% - Accent5 4 3 3 2" xfId="1954" xr:uid="{00000000-0005-0000-0000-000035860000}"/>
    <cellStyle name="40% - Accent5 4 3 3 2 2" xfId="3255" xr:uid="{00000000-0005-0000-0000-000036860000}"/>
    <cellStyle name="40% - Accent5 4 3 3 2 2 2" xfId="6227" xr:uid="{00000000-0005-0000-0000-000037860000}"/>
    <cellStyle name="40% - Accent5 4 3 3 2 2 2 2" xfId="11877" xr:uid="{00000000-0005-0000-0000-000038860000}"/>
    <cellStyle name="40% - Accent5 4 3 3 2 2 2 2 2" xfId="23178" xr:uid="{00000000-0005-0000-0000-000039860000}"/>
    <cellStyle name="40% - Accent5 4 3 3 2 2 2 2 2 2" xfId="45780" xr:uid="{00000000-0005-0000-0000-00003A860000}"/>
    <cellStyle name="40% - Accent5 4 3 3 2 2 2 2 3" xfId="34479" xr:uid="{00000000-0005-0000-0000-00003B860000}"/>
    <cellStyle name="40% - Accent5 4 3 3 2 2 2 3" xfId="17528" xr:uid="{00000000-0005-0000-0000-00003C860000}"/>
    <cellStyle name="40% - Accent5 4 3 3 2 2 2 3 2" xfId="40130" xr:uid="{00000000-0005-0000-0000-00003D860000}"/>
    <cellStyle name="40% - Accent5 4 3 3 2 2 2 4" xfId="28829" xr:uid="{00000000-0005-0000-0000-00003E860000}"/>
    <cellStyle name="40% - Accent5 4 3 3 2 2 3" xfId="9045" xr:uid="{00000000-0005-0000-0000-00003F860000}"/>
    <cellStyle name="40% - Accent5 4 3 3 2 2 3 2" xfId="20346" xr:uid="{00000000-0005-0000-0000-000040860000}"/>
    <cellStyle name="40% - Accent5 4 3 3 2 2 3 2 2" xfId="42948" xr:uid="{00000000-0005-0000-0000-000041860000}"/>
    <cellStyle name="40% - Accent5 4 3 3 2 2 3 3" xfId="31647" xr:uid="{00000000-0005-0000-0000-000042860000}"/>
    <cellStyle name="40% - Accent5 4 3 3 2 2 4" xfId="14696" xr:uid="{00000000-0005-0000-0000-000043860000}"/>
    <cellStyle name="40% - Accent5 4 3 3 2 2 4 2" xfId="37298" xr:uid="{00000000-0005-0000-0000-000044860000}"/>
    <cellStyle name="40% - Accent5 4 3 3 2 2 5" xfId="25997" xr:uid="{00000000-0005-0000-0000-000045860000}"/>
    <cellStyle name="40% - Accent5 4 3 3 2 3" xfId="4993" xr:uid="{00000000-0005-0000-0000-000046860000}"/>
    <cellStyle name="40% - Accent5 4 3 3 2 3 2" xfId="10643" xr:uid="{00000000-0005-0000-0000-000047860000}"/>
    <cellStyle name="40% - Accent5 4 3 3 2 3 2 2" xfId="21944" xr:uid="{00000000-0005-0000-0000-000048860000}"/>
    <cellStyle name="40% - Accent5 4 3 3 2 3 2 2 2" xfId="44546" xr:uid="{00000000-0005-0000-0000-000049860000}"/>
    <cellStyle name="40% - Accent5 4 3 3 2 3 2 3" xfId="33245" xr:uid="{00000000-0005-0000-0000-00004A860000}"/>
    <cellStyle name="40% - Accent5 4 3 3 2 3 3" xfId="16294" xr:uid="{00000000-0005-0000-0000-00004B860000}"/>
    <cellStyle name="40% - Accent5 4 3 3 2 3 3 2" xfId="38896" xr:uid="{00000000-0005-0000-0000-00004C860000}"/>
    <cellStyle name="40% - Accent5 4 3 3 2 3 4" xfId="27595" xr:uid="{00000000-0005-0000-0000-00004D860000}"/>
    <cellStyle name="40% - Accent5 4 3 3 2 4" xfId="7810" xr:uid="{00000000-0005-0000-0000-00004E860000}"/>
    <cellStyle name="40% - Accent5 4 3 3 2 4 2" xfId="19111" xr:uid="{00000000-0005-0000-0000-00004F860000}"/>
    <cellStyle name="40% - Accent5 4 3 3 2 4 2 2" xfId="41713" xr:uid="{00000000-0005-0000-0000-000050860000}"/>
    <cellStyle name="40% - Accent5 4 3 3 2 4 3" xfId="30412" xr:uid="{00000000-0005-0000-0000-000051860000}"/>
    <cellStyle name="40% - Accent5 4 3 3 2 5" xfId="13461" xr:uid="{00000000-0005-0000-0000-000052860000}"/>
    <cellStyle name="40% - Accent5 4 3 3 2 5 2" xfId="36063" xr:uid="{00000000-0005-0000-0000-000053860000}"/>
    <cellStyle name="40% - Accent5 4 3 3 2 6" xfId="24762" xr:uid="{00000000-0005-0000-0000-000054860000}"/>
    <cellStyle name="40% - Accent5 4 3 3 3" xfId="2584" xr:uid="{00000000-0005-0000-0000-000055860000}"/>
    <cellStyle name="40% - Accent5 4 3 3 3 2" xfId="5603" xr:uid="{00000000-0005-0000-0000-000056860000}"/>
    <cellStyle name="40% - Accent5 4 3 3 3 2 2" xfId="11253" xr:uid="{00000000-0005-0000-0000-000057860000}"/>
    <cellStyle name="40% - Accent5 4 3 3 3 2 2 2" xfId="22554" xr:uid="{00000000-0005-0000-0000-000058860000}"/>
    <cellStyle name="40% - Accent5 4 3 3 3 2 2 2 2" xfId="45156" xr:uid="{00000000-0005-0000-0000-000059860000}"/>
    <cellStyle name="40% - Accent5 4 3 3 3 2 2 3" xfId="33855" xr:uid="{00000000-0005-0000-0000-00005A860000}"/>
    <cellStyle name="40% - Accent5 4 3 3 3 2 3" xfId="16904" xr:uid="{00000000-0005-0000-0000-00005B860000}"/>
    <cellStyle name="40% - Accent5 4 3 3 3 2 3 2" xfId="39506" xr:uid="{00000000-0005-0000-0000-00005C860000}"/>
    <cellStyle name="40% - Accent5 4 3 3 3 2 4" xfId="28205" xr:uid="{00000000-0005-0000-0000-00005D860000}"/>
    <cellStyle name="40% - Accent5 4 3 3 3 3" xfId="8420" xr:uid="{00000000-0005-0000-0000-00005E860000}"/>
    <cellStyle name="40% - Accent5 4 3 3 3 3 2" xfId="19721" xr:uid="{00000000-0005-0000-0000-00005F860000}"/>
    <cellStyle name="40% - Accent5 4 3 3 3 3 2 2" xfId="42323" xr:uid="{00000000-0005-0000-0000-000060860000}"/>
    <cellStyle name="40% - Accent5 4 3 3 3 3 3" xfId="31022" xr:uid="{00000000-0005-0000-0000-000061860000}"/>
    <cellStyle name="40% - Accent5 4 3 3 3 4" xfId="14071" xr:uid="{00000000-0005-0000-0000-000062860000}"/>
    <cellStyle name="40% - Accent5 4 3 3 3 4 2" xfId="36673" xr:uid="{00000000-0005-0000-0000-000063860000}"/>
    <cellStyle name="40% - Accent5 4 3 3 3 5" xfId="25372" xr:uid="{00000000-0005-0000-0000-000064860000}"/>
    <cellStyle name="40% - Accent5 4 3 3 4" xfId="4369" xr:uid="{00000000-0005-0000-0000-000065860000}"/>
    <cellStyle name="40% - Accent5 4 3 3 4 2" xfId="10019" xr:uid="{00000000-0005-0000-0000-000066860000}"/>
    <cellStyle name="40% - Accent5 4 3 3 4 2 2" xfId="21320" xr:uid="{00000000-0005-0000-0000-000067860000}"/>
    <cellStyle name="40% - Accent5 4 3 3 4 2 2 2" xfId="43922" xr:uid="{00000000-0005-0000-0000-000068860000}"/>
    <cellStyle name="40% - Accent5 4 3 3 4 2 3" xfId="32621" xr:uid="{00000000-0005-0000-0000-000069860000}"/>
    <cellStyle name="40% - Accent5 4 3 3 4 3" xfId="15670" xr:uid="{00000000-0005-0000-0000-00006A860000}"/>
    <cellStyle name="40% - Accent5 4 3 3 4 3 2" xfId="38272" xr:uid="{00000000-0005-0000-0000-00006B860000}"/>
    <cellStyle name="40% - Accent5 4 3 3 4 4" xfId="26971" xr:uid="{00000000-0005-0000-0000-00006C860000}"/>
    <cellStyle name="40% - Accent5 4 3 3 5" xfId="7166" xr:uid="{00000000-0005-0000-0000-00006D860000}"/>
    <cellStyle name="40% - Accent5 4 3 3 5 2" xfId="18467" xr:uid="{00000000-0005-0000-0000-00006E860000}"/>
    <cellStyle name="40% - Accent5 4 3 3 5 2 2" xfId="41069" xr:uid="{00000000-0005-0000-0000-00006F860000}"/>
    <cellStyle name="40% - Accent5 4 3 3 5 3" xfId="29768" xr:uid="{00000000-0005-0000-0000-000070860000}"/>
    <cellStyle name="40% - Accent5 4 3 3 6" xfId="12817" xr:uid="{00000000-0005-0000-0000-000071860000}"/>
    <cellStyle name="40% - Accent5 4 3 3 6 2" xfId="35419" xr:uid="{00000000-0005-0000-0000-000072860000}"/>
    <cellStyle name="40% - Accent5 4 3 3 7" xfId="24118" xr:uid="{00000000-0005-0000-0000-000073860000}"/>
    <cellStyle name="40% - Accent5 4 3 4" xfId="878" xr:uid="{00000000-0005-0000-0000-000074860000}"/>
    <cellStyle name="40% - Accent5 4 3 4 2" xfId="2948" xr:uid="{00000000-0005-0000-0000-000075860000}"/>
    <cellStyle name="40% - Accent5 4 3 4 2 2" xfId="5920" xr:uid="{00000000-0005-0000-0000-000076860000}"/>
    <cellStyle name="40% - Accent5 4 3 4 2 2 2" xfId="11570" xr:uid="{00000000-0005-0000-0000-000077860000}"/>
    <cellStyle name="40% - Accent5 4 3 4 2 2 2 2" xfId="22871" xr:uid="{00000000-0005-0000-0000-000078860000}"/>
    <cellStyle name="40% - Accent5 4 3 4 2 2 2 2 2" xfId="45473" xr:uid="{00000000-0005-0000-0000-000079860000}"/>
    <cellStyle name="40% - Accent5 4 3 4 2 2 2 3" xfId="34172" xr:uid="{00000000-0005-0000-0000-00007A860000}"/>
    <cellStyle name="40% - Accent5 4 3 4 2 2 3" xfId="17221" xr:uid="{00000000-0005-0000-0000-00007B860000}"/>
    <cellStyle name="40% - Accent5 4 3 4 2 2 3 2" xfId="39823" xr:uid="{00000000-0005-0000-0000-00007C860000}"/>
    <cellStyle name="40% - Accent5 4 3 4 2 2 4" xfId="28522" xr:uid="{00000000-0005-0000-0000-00007D860000}"/>
    <cellStyle name="40% - Accent5 4 3 4 2 3" xfId="8738" xr:uid="{00000000-0005-0000-0000-00007E860000}"/>
    <cellStyle name="40% - Accent5 4 3 4 2 3 2" xfId="20039" xr:uid="{00000000-0005-0000-0000-00007F860000}"/>
    <cellStyle name="40% - Accent5 4 3 4 2 3 2 2" xfId="42641" xr:uid="{00000000-0005-0000-0000-000080860000}"/>
    <cellStyle name="40% - Accent5 4 3 4 2 3 3" xfId="31340" xr:uid="{00000000-0005-0000-0000-000081860000}"/>
    <cellStyle name="40% - Accent5 4 3 4 2 4" xfId="14389" xr:uid="{00000000-0005-0000-0000-000082860000}"/>
    <cellStyle name="40% - Accent5 4 3 4 2 4 2" xfId="36991" xr:uid="{00000000-0005-0000-0000-000083860000}"/>
    <cellStyle name="40% - Accent5 4 3 4 2 5" xfId="25690" xr:uid="{00000000-0005-0000-0000-000084860000}"/>
    <cellStyle name="40% - Accent5 4 3 4 3" xfId="4686" xr:uid="{00000000-0005-0000-0000-000085860000}"/>
    <cellStyle name="40% - Accent5 4 3 4 3 2" xfId="10336" xr:uid="{00000000-0005-0000-0000-000086860000}"/>
    <cellStyle name="40% - Accent5 4 3 4 3 2 2" xfId="21637" xr:uid="{00000000-0005-0000-0000-000087860000}"/>
    <cellStyle name="40% - Accent5 4 3 4 3 2 2 2" xfId="44239" xr:uid="{00000000-0005-0000-0000-000088860000}"/>
    <cellStyle name="40% - Accent5 4 3 4 3 2 3" xfId="32938" xr:uid="{00000000-0005-0000-0000-000089860000}"/>
    <cellStyle name="40% - Accent5 4 3 4 3 3" xfId="15987" xr:uid="{00000000-0005-0000-0000-00008A860000}"/>
    <cellStyle name="40% - Accent5 4 3 4 3 3 2" xfId="38589" xr:uid="{00000000-0005-0000-0000-00008B860000}"/>
    <cellStyle name="40% - Accent5 4 3 4 3 4" xfId="27288" xr:uid="{00000000-0005-0000-0000-00008C860000}"/>
    <cellStyle name="40% - Accent5 4 3 4 4" xfId="6873" xr:uid="{00000000-0005-0000-0000-00008D860000}"/>
    <cellStyle name="40% - Accent5 4 3 4 4 2" xfId="18174" xr:uid="{00000000-0005-0000-0000-00008E860000}"/>
    <cellStyle name="40% - Accent5 4 3 4 4 2 2" xfId="40776" xr:uid="{00000000-0005-0000-0000-00008F860000}"/>
    <cellStyle name="40% - Accent5 4 3 4 4 3" xfId="29475" xr:uid="{00000000-0005-0000-0000-000090860000}"/>
    <cellStyle name="40% - Accent5 4 3 4 5" xfId="12524" xr:uid="{00000000-0005-0000-0000-000091860000}"/>
    <cellStyle name="40% - Accent5 4 3 4 5 2" xfId="35126" xr:uid="{00000000-0005-0000-0000-000092860000}"/>
    <cellStyle name="40% - Accent5 4 3 4 6" xfId="23825" xr:uid="{00000000-0005-0000-0000-000093860000}"/>
    <cellStyle name="40% - Accent5 4 3 5" xfId="1951" xr:uid="{00000000-0005-0000-0000-000094860000}"/>
    <cellStyle name="40% - Accent5 4 3 5 2" xfId="3748" xr:uid="{00000000-0005-0000-0000-000095860000}"/>
    <cellStyle name="40% - Accent5 4 3 5 2 2" xfId="9458" xr:uid="{00000000-0005-0000-0000-000096860000}"/>
    <cellStyle name="40% - Accent5 4 3 5 2 2 2" xfId="20759" xr:uid="{00000000-0005-0000-0000-000097860000}"/>
    <cellStyle name="40% - Accent5 4 3 5 2 2 2 2" xfId="43361" xr:uid="{00000000-0005-0000-0000-000098860000}"/>
    <cellStyle name="40% - Accent5 4 3 5 2 2 3" xfId="32060" xr:uid="{00000000-0005-0000-0000-000099860000}"/>
    <cellStyle name="40% - Accent5 4 3 5 2 3" xfId="15109" xr:uid="{00000000-0005-0000-0000-00009A860000}"/>
    <cellStyle name="40% - Accent5 4 3 5 2 3 2" xfId="37711" xr:uid="{00000000-0005-0000-0000-00009B860000}"/>
    <cellStyle name="40% - Accent5 4 3 5 2 4" xfId="26410" xr:uid="{00000000-0005-0000-0000-00009C860000}"/>
    <cellStyle name="40% - Accent5 4 3 5 3" xfId="5296" xr:uid="{00000000-0005-0000-0000-00009D860000}"/>
    <cellStyle name="40% - Accent5 4 3 5 3 2" xfId="10946" xr:uid="{00000000-0005-0000-0000-00009E860000}"/>
    <cellStyle name="40% - Accent5 4 3 5 3 2 2" xfId="22247" xr:uid="{00000000-0005-0000-0000-00009F860000}"/>
    <cellStyle name="40% - Accent5 4 3 5 3 2 2 2" xfId="44849" xr:uid="{00000000-0005-0000-0000-0000A0860000}"/>
    <cellStyle name="40% - Accent5 4 3 5 3 2 3" xfId="33548" xr:uid="{00000000-0005-0000-0000-0000A1860000}"/>
    <cellStyle name="40% - Accent5 4 3 5 3 3" xfId="16597" xr:uid="{00000000-0005-0000-0000-0000A2860000}"/>
    <cellStyle name="40% - Accent5 4 3 5 3 3 2" xfId="39199" xr:uid="{00000000-0005-0000-0000-0000A3860000}"/>
    <cellStyle name="40% - Accent5 4 3 5 3 4" xfId="27898" xr:uid="{00000000-0005-0000-0000-0000A4860000}"/>
    <cellStyle name="40% - Accent5 4 3 5 4" xfId="7807" xr:uid="{00000000-0005-0000-0000-0000A5860000}"/>
    <cellStyle name="40% - Accent5 4 3 5 4 2" xfId="19108" xr:uid="{00000000-0005-0000-0000-0000A6860000}"/>
    <cellStyle name="40% - Accent5 4 3 5 4 2 2" xfId="41710" xr:uid="{00000000-0005-0000-0000-0000A7860000}"/>
    <cellStyle name="40% - Accent5 4 3 5 4 3" xfId="30409" xr:uid="{00000000-0005-0000-0000-0000A8860000}"/>
    <cellStyle name="40% - Accent5 4 3 5 5" xfId="13458" xr:uid="{00000000-0005-0000-0000-0000A9860000}"/>
    <cellStyle name="40% - Accent5 4 3 5 5 2" xfId="36060" xr:uid="{00000000-0005-0000-0000-0000AA860000}"/>
    <cellStyle name="40% - Accent5 4 3 5 6" xfId="24759" xr:uid="{00000000-0005-0000-0000-0000AB860000}"/>
    <cellStyle name="40% - Accent5 4 3 6" xfId="2275" xr:uid="{00000000-0005-0000-0000-0000AC860000}"/>
    <cellStyle name="40% - Accent5 4 3 6 2" xfId="8111" xr:uid="{00000000-0005-0000-0000-0000AD860000}"/>
    <cellStyle name="40% - Accent5 4 3 6 2 2" xfId="19412" xr:uid="{00000000-0005-0000-0000-0000AE860000}"/>
    <cellStyle name="40% - Accent5 4 3 6 2 2 2" xfId="42014" xr:uid="{00000000-0005-0000-0000-0000AF860000}"/>
    <cellStyle name="40% - Accent5 4 3 6 2 3" xfId="30713" xr:uid="{00000000-0005-0000-0000-0000B0860000}"/>
    <cellStyle name="40% - Accent5 4 3 6 3" xfId="13762" xr:uid="{00000000-0005-0000-0000-0000B1860000}"/>
    <cellStyle name="40% - Accent5 4 3 6 3 2" xfId="36364" xr:uid="{00000000-0005-0000-0000-0000B2860000}"/>
    <cellStyle name="40% - Accent5 4 3 6 4" xfId="25063" xr:uid="{00000000-0005-0000-0000-0000B3860000}"/>
    <cellStyle name="40% - Accent5 4 3 7" xfId="4062" xr:uid="{00000000-0005-0000-0000-0000B4860000}"/>
    <cellStyle name="40% - Accent5 4 3 7 2" xfId="9712" xr:uid="{00000000-0005-0000-0000-0000B5860000}"/>
    <cellStyle name="40% - Accent5 4 3 7 2 2" xfId="21013" xr:uid="{00000000-0005-0000-0000-0000B6860000}"/>
    <cellStyle name="40% - Accent5 4 3 7 2 2 2" xfId="43615" xr:uid="{00000000-0005-0000-0000-0000B7860000}"/>
    <cellStyle name="40% - Accent5 4 3 7 2 3" xfId="32314" xr:uid="{00000000-0005-0000-0000-0000B8860000}"/>
    <cellStyle name="40% - Accent5 4 3 7 3" xfId="15363" xr:uid="{00000000-0005-0000-0000-0000B9860000}"/>
    <cellStyle name="40% - Accent5 4 3 7 3 2" xfId="37965" xr:uid="{00000000-0005-0000-0000-0000BA860000}"/>
    <cellStyle name="40% - Accent5 4 3 7 4" xfId="26664" xr:uid="{00000000-0005-0000-0000-0000BB860000}"/>
    <cellStyle name="40% - Accent5 4 3 8" xfId="6513" xr:uid="{00000000-0005-0000-0000-0000BC860000}"/>
    <cellStyle name="40% - Accent5 4 3 8 2" xfId="17814" xr:uid="{00000000-0005-0000-0000-0000BD860000}"/>
    <cellStyle name="40% - Accent5 4 3 8 2 2" xfId="40416" xr:uid="{00000000-0005-0000-0000-0000BE860000}"/>
    <cellStyle name="40% - Accent5 4 3 8 3" xfId="29115" xr:uid="{00000000-0005-0000-0000-0000BF860000}"/>
    <cellStyle name="40% - Accent5 4 3 9" xfId="12164" xr:uid="{00000000-0005-0000-0000-0000C0860000}"/>
    <cellStyle name="40% - Accent5 4 3 9 2" xfId="34766" xr:uid="{00000000-0005-0000-0000-0000C1860000}"/>
    <cellStyle name="40% - Accent5 4 4" xfId="517" xr:uid="{00000000-0005-0000-0000-0000C2860000}"/>
    <cellStyle name="40% - Accent5 4 4 2" xfId="1091" xr:uid="{00000000-0005-0000-0000-0000C3860000}"/>
    <cellStyle name="40% - Accent5 4 4 2 2" xfId="1956" xr:uid="{00000000-0005-0000-0000-0000C4860000}"/>
    <cellStyle name="40% - Accent5 4 4 2 2 2" xfId="3159" xr:uid="{00000000-0005-0000-0000-0000C5860000}"/>
    <cellStyle name="40% - Accent5 4 4 2 2 2 2" xfId="6131" xr:uid="{00000000-0005-0000-0000-0000C6860000}"/>
    <cellStyle name="40% - Accent5 4 4 2 2 2 2 2" xfId="11781" xr:uid="{00000000-0005-0000-0000-0000C7860000}"/>
    <cellStyle name="40% - Accent5 4 4 2 2 2 2 2 2" xfId="23082" xr:uid="{00000000-0005-0000-0000-0000C8860000}"/>
    <cellStyle name="40% - Accent5 4 4 2 2 2 2 2 2 2" xfId="45684" xr:uid="{00000000-0005-0000-0000-0000C9860000}"/>
    <cellStyle name="40% - Accent5 4 4 2 2 2 2 2 3" xfId="34383" xr:uid="{00000000-0005-0000-0000-0000CA860000}"/>
    <cellStyle name="40% - Accent5 4 4 2 2 2 2 3" xfId="17432" xr:uid="{00000000-0005-0000-0000-0000CB860000}"/>
    <cellStyle name="40% - Accent5 4 4 2 2 2 2 3 2" xfId="40034" xr:uid="{00000000-0005-0000-0000-0000CC860000}"/>
    <cellStyle name="40% - Accent5 4 4 2 2 2 2 4" xfId="28733" xr:uid="{00000000-0005-0000-0000-0000CD860000}"/>
    <cellStyle name="40% - Accent5 4 4 2 2 2 3" xfId="8949" xr:uid="{00000000-0005-0000-0000-0000CE860000}"/>
    <cellStyle name="40% - Accent5 4 4 2 2 2 3 2" xfId="20250" xr:uid="{00000000-0005-0000-0000-0000CF860000}"/>
    <cellStyle name="40% - Accent5 4 4 2 2 2 3 2 2" xfId="42852" xr:uid="{00000000-0005-0000-0000-0000D0860000}"/>
    <cellStyle name="40% - Accent5 4 4 2 2 2 3 3" xfId="31551" xr:uid="{00000000-0005-0000-0000-0000D1860000}"/>
    <cellStyle name="40% - Accent5 4 4 2 2 2 4" xfId="14600" xr:uid="{00000000-0005-0000-0000-0000D2860000}"/>
    <cellStyle name="40% - Accent5 4 4 2 2 2 4 2" xfId="37202" xr:uid="{00000000-0005-0000-0000-0000D3860000}"/>
    <cellStyle name="40% - Accent5 4 4 2 2 2 5" xfId="25901" xr:uid="{00000000-0005-0000-0000-0000D4860000}"/>
    <cellStyle name="40% - Accent5 4 4 2 2 3" xfId="4897" xr:uid="{00000000-0005-0000-0000-0000D5860000}"/>
    <cellStyle name="40% - Accent5 4 4 2 2 3 2" xfId="10547" xr:uid="{00000000-0005-0000-0000-0000D6860000}"/>
    <cellStyle name="40% - Accent5 4 4 2 2 3 2 2" xfId="21848" xr:uid="{00000000-0005-0000-0000-0000D7860000}"/>
    <cellStyle name="40% - Accent5 4 4 2 2 3 2 2 2" xfId="44450" xr:uid="{00000000-0005-0000-0000-0000D8860000}"/>
    <cellStyle name="40% - Accent5 4 4 2 2 3 2 3" xfId="33149" xr:uid="{00000000-0005-0000-0000-0000D9860000}"/>
    <cellStyle name="40% - Accent5 4 4 2 2 3 3" xfId="16198" xr:uid="{00000000-0005-0000-0000-0000DA860000}"/>
    <cellStyle name="40% - Accent5 4 4 2 2 3 3 2" xfId="38800" xr:uid="{00000000-0005-0000-0000-0000DB860000}"/>
    <cellStyle name="40% - Accent5 4 4 2 2 3 4" xfId="27499" xr:uid="{00000000-0005-0000-0000-0000DC860000}"/>
    <cellStyle name="40% - Accent5 4 4 2 2 4" xfId="7812" xr:uid="{00000000-0005-0000-0000-0000DD860000}"/>
    <cellStyle name="40% - Accent5 4 4 2 2 4 2" xfId="19113" xr:uid="{00000000-0005-0000-0000-0000DE860000}"/>
    <cellStyle name="40% - Accent5 4 4 2 2 4 2 2" xfId="41715" xr:uid="{00000000-0005-0000-0000-0000DF860000}"/>
    <cellStyle name="40% - Accent5 4 4 2 2 4 3" xfId="30414" xr:uid="{00000000-0005-0000-0000-0000E0860000}"/>
    <cellStyle name="40% - Accent5 4 4 2 2 5" xfId="13463" xr:uid="{00000000-0005-0000-0000-0000E1860000}"/>
    <cellStyle name="40% - Accent5 4 4 2 2 5 2" xfId="36065" xr:uid="{00000000-0005-0000-0000-0000E2860000}"/>
    <cellStyle name="40% - Accent5 4 4 2 2 6" xfId="24764" xr:uid="{00000000-0005-0000-0000-0000E3860000}"/>
    <cellStyle name="40% - Accent5 4 4 2 3" xfId="2488" xr:uid="{00000000-0005-0000-0000-0000E4860000}"/>
    <cellStyle name="40% - Accent5 4 4 2 3 2" xfId="5507" xr:uid="{00000000-0005-0000-0000-0000E5860000}"/>
    <cellStyle name="40% - Accent5 4 4 2 3 2 2" xfId="11157" xr:uid="{00000000-0005-0000-0000-0000E6860000}"/>
    <cellStyle name="40% - Accent5 4 4 2 3 2 2 2" xfId="22458" xr:uid="{00000000-0005-0000-0000-0000E7860000}"/>
    <cellStyle name="40% - Accent5 4 4 2 3 2 2 2 2" xfId="45060" xr:uid="{00000000-0005-0000-0000-0000E8860000}"/>
    <cellStyle name="40% - Accent5 4 4 2 3 2 2 3" xfId="33759" xr:uid="{00000000-0005-0000-0000-0000E9860000}"/>
    <cellStyle name="40% - Accent5 4 4 2 3 2 3" xfId="16808" xr:uid="{00000000-0005-0000-0000-0000EA860000}"/>
    <cellStyle name="40% - Accent5 4 4 2 3 2 3 2" xfId="39410" xr:uid="{00000000-0005-0000-0000-0000EB860000}"/>
    <cellStyle name="40% - Accent5 4 4 2 3 2 4" xfId="28109" xr:uid="{00000000-0005-0000-0000-0000EC860000}"/>
    <cellStyle name="40% - Accent5 4 4 2 3 3" xfId="8324" xr:uid="{00000000-0005-0000-0000-0000ED860000}"/>
    <cellStyle name="40% - Accent5 4 4 2 3 3 2" xfId="19625" xr:uid="{00000000-0005-0000-0000-0000EE860000}"/>
    <cellStyle name="40% - Accent5 4 4 2 3 3 2 2" xfId="42227" xr:uid="{00000000-0005-0000-0000-0000EF860000}"/>
    <cellStyle name="40% - Accent5 4 4 2 3 3 3" xfId="30926" xr:uid="{00000000-0005-0000-0000-0000F0860000}"/>
    <cellStyle name="40% - Accent5 4 4 2 3 4" xfId="13975" xr:uid="{00000000-0005-0000-0000-0000F1860000}"/>
    <cellStyle name="40% - Accent5 4 4 2 3 4 2" xfId="36577" xr:uid="{00000000-0005-0000-0000-0000F2860000}"/>
    <cellStyle name="40% - Accent5 4 4 2 3 5" xfId="25276" xr:uid="{00000000-0005-0000-0000-0000F3860000}"/>
    <cellStyle name="40% - Accent5 4 4 2 4" xfId="4273" xr:uid="{00000000-0005-0000-0000-0000F4860000}"/>
    <cellStyle name="40% - Accent5 4 4 2 4 2" xfId="9923" xr:uid="{00000000-0005-0000-0000-0000F5860000}"/>
    <cellStyle name="40% - Accent5 4 4 2 4 2 2" xfId="21224" xr:uid="{00000000-0005-0000-0000-0000F6860000}"/>
    <cellStyle name="40% - Accent5 4 4 2 4 2 2 2" xfId="43826" xr:uid="{00000000-0005-0000-0000-0000F7860000}"/>
    <cellStyle name="40% - Accent5 4 4 2 4 2 3" xfId="32525" xr:uid="{00000000-0005-0000-0000-0000F8860000}"/>
    <cellStyle name="40% - Accent5 4 4 2 4 3" xfId="15574" xr:uid="{00000000-0005-0000-0000-0000F9860000}"/>
    <cellStyle name="40% - Accent5 4 4 2 4 3 2" xfId="38176" xr:uid="{00000000-0005-0000-0000-0000FA860000}"/>
    <cellStyle name="40% - Accent5 4 4 2 4 4" xfId="26875" xr:uid="{00000000-0005-0000-0000-0000FB860000}"/>
    <cellStyle name="40% - Accent5 4 4 2 5" xfId="7070" xr:uid="{00000000-0005-0000-0000-0000FC860000}"/>
    <cellStyle name="40% - Accent5 4 4 2 5 2" xfId="18371" xr:uid="{00000000-0005-0000-0000-0000FD860000}"/>
    <cellStyle name="40% - Accent5 4 4 2 5 2 2" xfId="40973" xr:uid="{00000000-0005-0000-0000-0000FE860000}"/>
    <cellStyle name="40% - Accent5 4 4 2 5 3" xfId="29672" xr:uid="{00000000-0005-0000-0000-0000FF860000}"/>
    <cellStyle name="40% - Accent5 4 4 2 6" xfId="12721" xr:uid="{00000000-0005-0000-0000-000000870000}"/>
    <cellStyle name="40% - Accent5 4 4 2 6 2" xfId="35323" xr:uid="{00000000-0005-0000-0000-000001870000}"/>
    <cellStyle name="40% - Accent5 4 4 2 7" xfId="24022" xr:uid="{00000000-0005-0000-0000-000002870000}"/>
    <cellStyle name="40% - Accent5 4 4 3" xfId="765" xr:uid="{00000000-0005-0000-0000-000003870000}"/>
    <cellStyle name="40% - Accent5 4 4 3 2" xfId="2852" xr:uid="{00000000-0005-0000-0000-000004870000}"/>
    <cellStyle name="40% - Accent5 4 4 3 2 2" xfId="5824" xr:uid="{00000000-0005-0000-0000-000005870000}"/>
    <cellStyle name="40% - Accent5 4 4 3 2 2 2" xfId="11474" xr:uid="{00000000-0005-0000-0000-000006870000}"/>
    <cellStyle name="40% - Accent5 4 4 3 2 2 2 2" xfId="22775" xr:uid="{00000000-0005-0000-0000-000007870000}"/>
    <cellStyle name="40% - Accent5 4 4 3 2 2 2 2 2" xfId="45377" xr:uid="{00000000-0005-0000-0000-000008870000}"/>
    <cellStyle name="40% - Accent5 4 4 3 2 2 2 3" xfId="34076" xr:uid="{00000000-0005-0000-0000-000009870000}"/>
    <cellStyle name="40% - Accent5 4 4 3 2 2 3" xfId="17125" xr:uid="{00000000-0005-0000-0000-00000A870000}"/>
    <cellStyle name="40% - Accent5 4 4 3 2 2 3 2" xfId="39727" xr:uid="{00000000-0005-0000-0000-00000B870000}"/>
    <cellStyle name="40% - Accent5 4 4 3 2 2 4" xfId="28426" xr:uid="{00000000-0005-0000-0000-00000C870000}"/>
    <cellStyle name="40% - Accent5 4 4 3 2 3" xfId="8642" xr:uid="{00000000-0005-0000-0000-00000D870000}"/>
    <cellStyle name="40% - Accent5 4 4 3 2 3 2" xfId="19943" xr:uid="{00000000-0005-0000-0000-00000E870000}"/>
    <cellStyle name="40% - Accent5 4 4 3 2 3 2 2" xfId="42545" xr:uid="{00000000-0005-0000-0000-00000F870000}"/>
    <cellStyle name="40% - Accent5 4 4 3 2 3 3" xfId="31244" xr:uid="{00000000-0005-0000-0000-000010870000}"/>
    <cellStyle name="40% - Accent5 4 4 3 2 4" xfId="14293" xr:uid="{00000000-0005-0000-0000-000011870000}"/>
    <cellStyle name="40% - Accent5 4 4 3 2 4 2" xfId="36895" xr:uid="{00000000-0005-0000-0000-000012870000}"/>
    <cellStyle name="40% - Accent5 4 4 3 2 5" xfId="25594" xr:uid="{00000000-0005-0000-0000-000013870000}"/>
    <cellStyle name="40% - Accent5 4 4 3 3" xfId="4590" xr:uid="{00000000-0005-0000-0000-000014870000}"/>
    <cellStyle name="40% - Accent5 4 4 3 3 2" xfId="10240" xr:uid="{00000000-0005-0000-0000-000015870000}"/>
    <cellStyle name="40% - Accent5 4 4 3 3 2 2" xfId="21541" xr:uid="{00000000-0005-0000-0000-000016870000}"/>
    <cellStyle name="40% - Accent5 4 4 3 3 2 2 2" xfId="44143" xr:uid="{00000000-0005-0000-0000-000017870000}"/>
    <cellStyle name="40% - Accent5 4 4 3 3 2 3" xfId="32842" xr:uid="{00000000-0005-0000-0000-000018870000}"/>
    <cellStyle name="40% - Accent5 4 4 3 3 3" xfId="15891" xr:uid="{00000000-0005-0000-0000-000019870000}"/>
    <cellStyle name="40% - Accent5 4 4 3 3 3 2" xfId="38493" xr:uid="{00000000-0005-0000-0000-00001A870000}"/>
    <cellStyle name="40% - Accent5 4 4 3 3 4" xfId="27192" xr:uid="{00000000-0005-0000-0000-00001B870000}"/>
    <cellStyle name="40% - Accent5 4 4 3 4" xfId="6773" xr:uid="{00000000-0005-0000-0000-00001C870000}"/>
    <cellStyle name="40% - Accent5 4 4 3 4 2" xfId="18074" xr:uid="{00000000-0005-0000-0000-00001D870000}"/>
    <cellStyle name="40% - Accent5 4 4 3 4 2 2" xfId="40676" xr:uid="{00000000-0005-0000-0000-00001E870000}"/>
    <cellStyle name="40% - Accent5 4 4 3 4 3" xfId="29375" xr:uid="{00000000-0005-0000-0000-00001F870000}"/>
    <cellStyle name="40% - Accent5 4 4 3 5" xfId="12424" xr:uid="{00000000-0005-0000-0000-000020870000}"/>
    <cellStyle name="40% - Accent5 4 4 3 5 2" xfId="35026" xr:uid="{00000000-0005-0000-0000-000021870000}"/>
    <cellStyle name="40% - Accent5 4 4 3 6" xfId="23725" xr:uid="{00000000-0005-0000-0000-000022870000}"/>
    <cellStyle name="40% - Accent5 4 4 4" xfId="1955" xr:uid="{00000000-0005-0000-0000-000023870000}"/>
    <cellStyle name="40% - Accent5 4 4 4 2" xfId="3750" xr:uid="{00000000-0005-0000-0000-000024870000}"/>
    <cellStyle name="40% - Accent5 4 4 4 2 2" xfId="9460" xr:uid="{00000000-0005-0000-0000-000025870000}"/>
    <cellStyle name="40% - Accent5 4 4 4 2 2 2" xfId="20761" xr:uid="{00000000-0005-0000-0000-000026870000}"/>
    <cellStyle name="40% - Accent5 4 4 4 2 2 2 2" xfId="43363" xr:uid="{00000000-0005-0000-0000-000027870000}"/>
    <cellStyle name="40% - Accent5 4 4 4 2 2 3" xfId="32062" xr:uid="{00000000-0005-0000-0000-000028870000}"/>
    <cellStyle name="40% - Accent5 4 4 4 2 3" xfId="15111" xr:uid="{00000000-0005-0000-0000-000029870000}"/>
    <cellStyle name="40% - Accent5 4 4 4 2 3 2" xfId="37713" xr:uid="{00000000-0005-0000-0000-00002A870000}"/>
    <cellStyle name="40% - Accent5 4 4 4 2 4" xfId="26412" xr:uid="{00000000-0005-0000-0000-00002B870000}"/>
    <cellStyle name="40% - Accent5 4 4 4 3" xfId="5200" xr:uid="{00000000-0005-0000-0000-00002C870000}"/>
    <cellStyle name="40% - Accent5 4 4 4 3 2" xfId="10850" xr:uid="{00000000-0005-0000-0000-00002D870000}"/>
    <cellStyle name="40% - Accent5 4 4 4 3 2 2" xfId="22151" xr:uid="{00000000-0005-0000-0000-00002E870000}"/>
    <cellStyle name="40% - Accent5 4 4 4 3 2 2 2" xfId="44753" xr:uid="{00000000-0005-0000-0000-00002F870000}"/>
    <cellStyle name="40% - Accent5 4 4 4 3 2 3" xfId="33452" xr:uid="{00000000-0005-0000-0000-000030870000}"/>
    <cellStyle name="40% - Accent5 4 4 4 3 3" xfId="16501" xr:uid="{00000000-0005-0000-0000-000031870000}"/>
    <cellStyle name="40% - Accent5 4 4 4 3 3 2" xfId="39103" xr:uid="{00000000-0005-0000-0000-000032870000}"/>
    <cellStyle name="40% - Accent5 4 4 4 3 4" xfId="27802" xr:uid="{00000000-0005-0000-0000-000033870000}"/>
    <cellStyle name="40% - Accent5 4 4 4 4" xfId="7811" xr:uid="{00000000-0005-0000-0000-000034870000}"/>
    <cellStyle name="40% - Accent5 4 4 4 4 2" xfId="19112" xr:uid="{00000000-0005-0000-0000-000035870000}"/>
    <cellStyle name="40% - Accent5 4 4 4 4 2 2" xfId="41714" xr:uid="{00000000-0005-0000-0000-000036870000}"/>
    <cellStyle name="40% - Accent5 4 4 4 4 3" xfId="30413" xr:uid="{00000000-0005-0000-0000-000037870000}"/>
    <cellStyle name="40% - Accent5 4 4 4 5" xfId="13462" xr:uid="{00000000-0005-0000-0000-000038870000}"/>
    <cellStyle name="40% - Accent5 4 4 4 5 2" xfId="36064" xr:uid="{00000000-0005-0000-0000-000039870000}"/>
    <cellStyle name="40% - Accent5 4 4 4 6" xfId="24763" xr:uid="{00000000-0005-0000-0000-00003A870000}"/>
    <cellStyle name="40% - Accent5 4 4 5" xfId="2172" xr:uid="{00000000-0005-0000-0000-00003B870000}"/>
    <cellStyle name="40% - Accent5 4 4 5 2" xfId="8014" xr:uid="{00000000-0005-0000-0000-00003C870000}"/>
    <cellStyle name="40% - Accent5 4 4 5 2 2" xfId="19315" xr:uid="{00000000-0005-0000-0000-00003D870000}"/>
    <cellStyle name="40% - Accent5 4 4 5 2 2 2" xfId="41917" xr:uid="{00000000-0005-0000-0000-00003E870000}"/>
    <cellStyle name="40% - Accent5 4 4 5 2 3" xfId="30616" xr:uid="{00000000-0005-0000-0000-00003F870000}"/>
    <cellStyle name="40% - Accent5 4 4 5 3" xfId="13665" xr:uid="{00000000-0005-0000-0000-000040870000}"/>
    <cellStyle name="40% - Accent5 4 4 5 3 2" xfId="36267" xr:uid="{00000000-0005-0000-0000-000041870000}"/>
    <cellStyle name="40% - Accent5 4 4 5 4" xfId="24966" xr:uid="{00000000-0005-0000-0000-000042870000}"/>
    <cellStyle name="40% - Accent5 4 4 6" xfId="3966" xr:uid="{00000000-0005-0000-0000-000043870000}"/>
    <cellStyle name="40% - Accent5 4 4 6 2" xfId="9616" xr:uid="{00000000-0005-0000-0000-000044870000}"/>
    <cellStyle name="40% - Accent5 4 4 6 2 2" xfId="20917" xr:uid="{00000000-0005-0000-0000-000045870000}"/>
    <cellStyle name="40% - Accent5 4 4 6 2 2 2" xfId="43519" xr:uid="{00000000-0005-0000-0000-000046870000}"/>
    <cellStyle name="40% - Accent5 4 4 6 2 3" xfId="32218" xr:uid="{00000000-0005-0000-0000-000047870000}"/>
    <cellStyle name="40% - Accent5 4 4 6 3" xfId="15267" xr:uid="{00000000-0005-0000-0000-000048870000}"/>
    <cellStyle name="40% - Accent5 4 4 6 3 2" xfId="37869" xr:uid="{00000000-0005-0000-0000-000049870000}"/>
    <cellStyle name="40% - Accent5 4 4 6 4" xfId="26568" xr:uid="{00000000-0005-0000-0000-00004A870000}"/>
    <cellStyle name="40% - Accent5 4 4 7" xfId="6584" xr:uid="{00000000-0005-0000-0000-00004B870000}"/>
    <cellStyle name="40% - Accent5 4 4 7 2" xfId="17885" xr:uid="{00000000-0005-0000-0000-00004C870000}"/>
    <cellStyle name="40% - Accent5 4 4 7 2 2" xfId="40487" xr:uid="{00000000-0005-0000-0000-00004D870000}"/>
    <cellStyle name="40% - Accent5 4 4 7 3" xfId="29186" xr:uid="{00000000-0005-0000-0000-00004E870000}"/>
    <cellStyle name="40% - Accent5 4 4 8" xfId="12235" xr:uid="{00000000-0005-0000-0000-00004F870000}"/>
    <cellStyle name="40% - Accent5 4 4 8 2" xfId="34837" xr:uid="{00000000-0005-0000-0000-000050870000}"/>
    <cellStyle name="40% - Accent5 4 4 9" xfId="23536" xr:uid="{00000000-0005-0000-0000-000051870000}"/>
    <cellStyle name="40% - Accent5 4 5" xfId="461" xr:uid="{00000000-0005-0000-0000-000052870000}"/>
    <cellStyle name="40% - Accent5 4 5 2" xfId="1230" xr:uid="{00000000-0005-0000-0000-000053870000}"/>
    <cellStyle name="40% - Accent5 4 5 2 2" xfId="1958" xr:uid="{00000000-0005-0000-0000-000054870000}"/>
    <cellStyle name="40% - Accent5 4 5 2 2 2" xfId="3299" xr:uid="{00000000-0005-0000-0000-000055870000}"/>
    <cellStyle name="40% - Accent5 4 5 2 2 2 2" xfId="6271" xr:uid="{00000000-0005-0000-0000-000056870000}"/>
    <cellStyle name="40% - Accent5 4 5 2 2 2 2 2" xfId="11921" xr:uid="{00000000-0005-0000-0000-000057870000}"/>
    <cellStyle name="40% - Accent5 4 5 2 2 2 2 2 2" xfId="23222" xr:uid="{00000000-0005-0000-0000-000058870000}"/>
    <cellStyle name="40% - Accent5 4 5 2 2 2 2 2 2 2" xfId="45824" xr:uid="{00000000-0005-0000-0000-000059870000}"/>
    <cellStyle name="40% - Accent5 4 5 2 2 2 2 2 3" xfId="34523" xr:uid="{00000000-0005-0000-0000-00005A870000}"/>
    <cellStyle name="40% - Accent5 4 5 2 2 2 2 3" xfId="17572" xr:uid="{00000000-0005-0000-0000-00005B870000}"/>
    <cellStyle name="40% - Accent5 4 5 2 2 2 2 3 2" xfId="40174" xr:uid="{00000000-0005-0000-0000-00005C870000}"/>
    <cellStyle name="40% - Accent5 4 5 2 2 2 2 4" xfId="28873" xr:uid="{00000000-0005-0000-0000-00005D870000}"/>
    <cellStyle name="40% - Accent5 4 5 2 2 2 3" xfId="9089" xr:uid="{00000000-0005-0000-0000-00005E870000}"/>
    <cellStyle name="40% - Accent5 4 5 2 2 2 3 2" xfId="20390" xr:uid="{00000000-0005-0000-0000-00005F870000}"/>
    <cellStyle name="40% - Accent5 4 5 2 2 2 3 2 2" xfId="42992" xr:uid="{00000000-0005-0000-0000-000060870000}"/>
    <cellStyle name="40% - Accent5 4 5 2 2 2 3 3" xfId="31691" xr:uid="{00000000-0005-0000-0000-000061870000}"/>
    <cellStyle name="40% - Accent5 4 5 2 2 2 4" xfId="14740" xr:uid="{00000000-0005-0000-0000-000062870000}"/>
    <cellStyle name="40% - Accent5 4 5 2 2 2 4 2" xfId="37342" xr:uid="{00000000-0005-0000-0000-000063870000}"/>
    <cellStyle name="40% - Accent5 4 5 2 2 2 5" xfId="26041" xr:uid="{00000000-0005-0000-0000-000064870000}"/>
    <cellStyle name="40% - Accent5 4 5 2 2 3" xfId="5037" xr:uid="{00000000-0005-0000-0000-000065870000}"/>
    <cellStyle name="40% - Accent5 4 5 2 2 3 2" xfId="10687" xr:uid="{00000000-0005-0000-0000-000066870000}"/>
    <cellStyle name="40% - Accent5 4 5 2 2 3 2 2" xfId="21988" xr:uid="{00000000-0005-0000-0000-000067870000}"/>
    <cellStyle name="40% - Accent5 4 5 2 2 3 2 2 2" xfId="44590" xr:uid="{00000000-0005-0000-0000-000068870000}"/>
    <cellStyle name="40% - Accent5 4 5 2 2 3 2 3" xfId="33289" xr:uid="{00000000-0005-0000-0000-000069870000}"/>
    <cellStyle name="40% - Accent5 4 5 2 2 3 3" xfId="16338" xr:uid="{00000000-0005-0000-0000-00006A870000}"/>
    <cellStyle name="40% - Accent5 4 5 2 2 3 3 2" xfId="38940" xr:uid="{00000000-0005-0000-0000-00006B870000}"/>
    <cellStyle name="40% - Accent5 4 5 2 2 3 4" xfId="27639" xr:uid="{00000000-0005-0000-0000-00006C870000}"/>
    <cellStyle name="40% - Accent5 4 5 2 2 4" xfId="7814" xr:uid="{00000000-0005-0000-0000-00006D870000}"/>
    <cellStyle name="40% - Accent5 4 5 2 2 4 2" xfId="19115" xr:uid="{00000000-0005-0000-0000-00006E870000}"/>
    <cellStyle name="40% - Accent5 4 5 2 2 4 2 2" xfId="41717" xr:uid="{00000000-0005-0000-0000-00006F870000}"/>
    <cellStyle name="40% - Accent5 4 5 2 2 4 3" xfId="30416" xr:uid="{00000000-0005-0000-0000-000070870000}"/>
    <cellStyle name="40% - Accent5 4 5 2 2 5" xfId="13465" xr:uid="{00000000-0005-0000-0000-000071870000}"/>
    <cellStyle name="40% - Accent5 4 5 2 2 5 2" xfId="36067" xr:uid="{00000000-0005-0000-0000-000072870000}"/>
    <cellStyle name="40% - Accent5 4 5 2 2 6" xfId="24766" xr:uid="{00000000-0005-0000-0000-000073870000}"/>
    <cellStyle name="40% - Accent5 4 5 2 3" xfId="2628" xr:uid="{00000000-0005-0000-0000-000074870000}"/>
    <cellStyle name="40% - Accent5 4 5 2 3 2" xfId="5647" xr:uid="{00000000-0005-0000-0000-000075870000}"/>
    <cellStyle name="40% - Accent5 4 5 2 3 2 2" xfId="11297" xr:uid="{00000000-0005-0000-0000-000076870000}"/>
    <cellStyle name="40% - Accent5 4 5 2 3 2 2 2" xfId="22598" xr:uid="{00000000-0005-0000-0000-000077870000}"/>
    <cellStyle name="40% - Accent5 4 5 2 3 2 2 2 2" xfId="45200" xr:uid="{00000000-0005-0000-0000-000078870000}"/>
    <cellStyle name="40% - Accent5 4 5 2 3 2 2 3" xfId="33899" xr:uid="{00000000-0005-0000-0000-000079870000}"/>
    <cellStyle name="40% - Accent5 4 5 2 3 2 3" xfId="16948" xr:uid="{00000000-0005-0000-0000-00007A870000}"/>
    <cellStyle name="40% - Accent5 4 5 2 3 2 3 2" xfId="39550" xr:uid="{00000000-0005-0000-0000-00007B870000}"/>
    <cellStyle name="40% - Accent5 4 5 2 3 2 4" xfId="28249" xr:uid="{00000000-0005-0000-0000-00007C870000}"/>
    <cellStyle name="40% - Accent5 4 5 2 3 3" xfId="8464" xr:uid="{00000000-0005-0000-0000-00007D870000}"/>
    <cellStyle name="40% - Accent5 4 5 2 3 3 2" xfId="19765" xr:uid="{00000000-0005-0000-0000-00007E870000}"/>
    <cellStyle name="40% - Accent5 4 5 2 3 3 2 2" xfId="42367" xr:uid="{00000000-0005-0000-0000-00007F870000}"/>
    <cellStyle name="40% - Accent5 4 5 2 3 3 3" xfId="31066" xr:uid="{00000000-0005-0000-0000-000080870000}"/>
    <cellStyle name="40% - Accent5 4 5 2 3 4" xfId="14115" xr:uid="{00000000-0005-0000-0000-000081870000}"/>
    <cellStyle name="40% - Accent5 4 5 2 3 4 2" xfId="36717" xr:uid="{00000000-0005-0000-0000-000082870000}"/>
    <cellStyle name="40% - Accent5 4 5 2 3 5" xfId="25416" xr:uid="{00000000-0005-0000-0000-000083870000}"/>
    <cellStyle name="40% - Accent5 4 5 2 4" xfId="4413" xr:uid="{00000000-0005-0000-0000-000084870000}"/>
    <cellStyle name="40% - Accent5 4 5 2 4 2" xfId="10063" xr:uid="{00000000-0005-0000-0000-000085870000}"/>
    <cellStyle name="40% - Accent5 4 5 2 4 2 2" xfId="21364" xr:uid="{00000000-0005-0000-0000-000086870000}"/>
    <cellStyle name="40% - Accent5 4 5 2 4 2 2 2" xfId="43966" xr:uid="{00000000-0005-0000-0000-000087870000}"/>
    <cellStyle name="40% - Accent5 4 5 2 4 2 3" xfId="32665" xr:uid="{00000000-0005-0000-0000-000088870000}"/>
    <cellStyle name="40% - Accent5 4 5 2 4 3" xfId="15714" xr:uid="{00000000-0005-0000-0000-000089870000}"/>
    <cellStyle name="40% - Accent5 4 5 2 4 3 2" xfId="38316" xr:uid="{00000000-0005-0000-0000-00008A870000}"/>
    <cellStyle name="40% - Accent5 4 5 2 4 4" xfId="27015" xr:uid="{00000000-0005-0000-0000-00008B870000}"/>
    <cellStyle name="40% - Accent5 4 5 2 5" xfId="7209" xr:uid="{00000000-0005-0000-0000-00008C870000}"/>
    <cellStyle name="40% - Accent5 4 5 2 5 2" xfId="18510" xr:uid="{00000000-0005-0000-0000-00008D870000}"/>
    <cellStyle name="40% - Accent5 4 5 2 5 2 2" xfId="41112" xr:uid="{00000000-0005-0000-0000-00008E870000}"/>
    <cellStyle name="40% - Accent5 4 5 2 5 3" xfId="29811" xr:uid="{00000000-0005-0000-0000-00008F870000}"/>
    <cellStyle name="40% - Accent5 4 5 2 6" xfId="12860" xr:uid="{00000000-0005-0000-0000-000090870000}"/>
    <cellStyle name="40% - Accent5 4 5 2 6 2" xfId="35462" xr:uid="{00000000-0005-0000-0000-000091870000}"/>
    <cellStyle name="40% - Accent5 4 5 2 7" xfId="24161" xr:uid="{00000000-0005-0000-0000-000092870000}"/>
    <cellStyle name="40% - Accent5 4 5 3" xfId="928" xr:uid="{00000000-0005-0000-0000-000093870000}"/>
    <cellStyle name="40% - Accent5 4 5 3 2" xfId="2991" xr:uid="{00000000-0005-0000-0000-000094870000}"/>
    <cellStyle name="40% - Accent5 4 5 3 2 2" xfId="5963" xr:uid="{00000000-0005-0000-0000-000095870000}"/>
    <cellStyle name="40% - Accent5 4 5 3 2 2 2" xfId="11613" xr:uid="{00000000-0005-0000-0000-000096870000}"/>
    <cellStyle name="40% - Accent5 4 5 3 2 2 2 2" xfId="22914" xr:uid="{00000000-0005-0000-0000-000097870000}"/>
    <cellStyle name="40% - Accent5 4 5 3 2 2 2 2 2" xfId="45516" xr:uid="{00000000-0005-0000-0000-000098870000}"/>
    <cellStyle name="40% - Accent5 4 5 3 2 2 2 3" xfId="34215" xr:uid="{00000000-0005-0000-0000-000099870000}"/>
    <cellStyle name="40% - Accent5 4 5 3 2 2 3" xfId="17264" xr:uid="{00000000-0005-0000-0000-00009A870000}"/>
    <cellStyle name="40% - Accent5 4 5 3 2 2 3 2" xfId="39866" xr:uid="{00000000-0005-0000-0000-00009B870000}"/>
    <cellStyle name="40% - Accent5 4 5 3 2 2 4" xfId="28565" xr:uid="{00000000-0005-0000-0000-00009C870000}"/>
    <cellStyle name="40% - Accent5 4 5 3 2 3" xfId="8781" xr:uid="{00000000-0005-0000-0000-00009D870000}"/>
    <cellStyle name="40% - Accent5 4 5 3 2 3 2" xfId="20082" xr:uid="{00000000-0005-0000-0000-00009E870000}"/>
    <cellStyle name="40% - Accent5 4 5 3 2 3 2 2" xfId="42684" xr:uid="{00000000-0005-0000-0000-00009F870000}"/>
    <cellStyle name="40% - Accent5 4 5 3 2 3 3" xfId="31383" xr:uid="{00000000-0005-0000-0000-0000A0870000}"/>
    <cellStyle name="40% - Accent5 4 5 3 2 4" xfId="14432" xr:uid="{00000000-0005-0000-0000-0000A1870000}"/>
    <cellStyle name="40% - Accent5 4 5 3 2 4 2" xfId="37034" xr:uid="{00000000-0005-0000-0000-0000A2870000}"/>
    <cellStyle name="40% - Accent5 4 5 3 2 5" xfId="25733" xr:uid="{00000000-0005-0000-0000-0000A3870000}"/>
    <cellStyle name="40% - Accent5 4 5 3 3" xfId="4729" xr:uid="{00000000-0005-0000-0000-0000A4870000}"/>
    <cellStyle name="40% - Accent5 4 5 3 3 2" xfId="10379" xr:uid="{00000000-0005-0000-0000-0000A5870000}"/>
    <cellStyle name="40% - Accent5 4 5 3 3 2 2" xfId="21680" xr:uid="{00000000-0005-0000-0000-0000A6870000}"/>
    <cellStyle name="40% - Accent5 4 5 3 3 2 2 2" xfId="44282" xr:uid="{00000000-0005-0000-0000-0000A7870000}"/>
    <cellStyle name="40% - Accent5 4 5 3 3 2 3" xfId="32981" xr:uid="{00000000-0005-0000-0000-0000A8870000}"/>
    <cellStyle name="40% - Accent5 4 5 3 3 3" xfId="16030" xr:uid="{00000000-0005-0000-0000-0000A9870000}"/>
    <cellStyle name="40% - Accent5 4 5 3 3 3 2" xfId="38632" xr:uid="{00000000-0005-0000-0000-0000AA870000}"/>
    <cellStyle name="40% - Accent5 4 5 3 3 4" xfId="27331" xr:uid="{00000000-0005-0000-0000-0000AB870000}"/>
    <cellStyle name="40% - Accent5 4 5 3 4" xfId="6916" xr:uid="{00000000-0005-0000-0000-0000AC870000}"/>
    <cellStyle name="40% - Accent5 4 5 3 4 2" xfId="18217" xr:uid="{00000000-0005-0000-0000-0000AD870000}"/>
    <cellStyle name="40% - Accent5 4 5 3 4 2 2" xfId="40819" xr:uid="{00000000-0005-0000-0000-0000AE870000}"/>
    <cellStyle name="40% - Accent5 4 5 3 4 3" xfId="29518" xr:uid="{00000000-0005-0000-0000-0000AF870000}"/>
    <cellStyle name="40% - Accent5 4 5 3 5" xfId="12567" xr:uid="{00000000-0005-0000-0000-0000B0870000}"/>
    <cellStyle name="40% - Accent5 4 5 3 5 2" xfId="35169" xr:uid="{00000000-0005-0000-0000-0000B1870000}"/>
    <cellStyle name="40% - Accent5 4 5 3 6" xfId="23868" xr:uid="{00000000-0005-0000-0000-0000B2870000}"/>
    <cellStyle name="40% - Accent5 4 5 4" xfId="1957" xr:uid="{00000000-0005-0000-0000-0000B3870000}"/>
    <cellStyle name="40% - Accent5 4 5 4 2" xfId="3751" xr:uid="{00000000-0005-0000-0000-0000B4870000}"/>
    <cellStyle name="40% - Accent5 4 5 4 2 2" xfId="9461" xr:uid="{00000000-0005-0000-0000-0000B5870000}"/>
    <cellStyle name="40% - Accent5 4 5 4 2 2 2" xfId="20762" xr:uid="{00000000-0005-0000-0000-0000B6870000}"/>
    <cellStyle name="40% - Accent5 4 5 4 2 2 2 2" xfId="43364" xr:uid="{00000000-0005-0000-0000-0000B7870000}"/>
    <cellStyle name="40% - Accent5 4 5 4 2 2 3" xfId="32063" xr:uid="{00000000-0005-0000-0000-0000B8870000}"/>
    <cellStyle name="40% - Accent5 4 5 4 2 3" xfId="15112" xr:uid="{00000000-0005-0000-0000-0000B9870000}"/>
    <cellStyle name="40% - Accent5 4 5 4 2 3 2" xfId="37714" xr:uid="{00000000-0005-0000-0000-0000BA870000}"/>
    <cellStyle name="40% - Accent5 4 5 4 2 4" xfId="26413" xr:uid="{00000000-0005-0000-0000-0000BB870000}"/>
    <cellStyle name="40% - Accent5 4 5 4 3" xfId="5339" xr:uid="{00000000-0005-0000-0000-0000BC870000}"/>
    <cellStyle name="40% - Accent5 4 5 4 3 2" xfId="10989" xr:uid="{00000000-0005-0000-0000-0000BD870000}"/>
    <cellStyle name="40% - Accent5 4 5 4 3 2 2" xfId="22290" xr:uid="{00000000-0005-0000-0000-0000BE870000}"/>
    <cellStyle name="40% - Accent5 4 5 4 3 2 2 2" xfId="44892" xr:uid="{00000000-0005-0000-0000-0000BF870000}"/>
    <cellStyle name="40% - Accent5 4 5 4 3 2 3" xfId="33591" xr:uid="{00000000-0005-0000-0000-0000C0870000}"/>
    <cellStyle name="40% - Accent5 4 5 4 3 3" xfId="16640" xr:uid="{00000000-0005-0000-0000-0000C1870000}"/>
    <cellStyle name="40% - Accent5 4 5 4 3 3 2" xfId="39242" xr:uid="{00000000-0005-0000-0000-0000C2870000}"/>
    <cellStyle name="40% - Accent5 4 5 4 3 4" xfId="27941" xr:uid="{00000000-0005-0000-0000-0000C3870000}"/>
    <cellStyle name="40% - Accent5 4 5 4 4" xfId="7813" xr:uid="{00000000-0005-0000-0000-0000C4870000}"/>
    <cellStyle name="40% - Accent5 4 5 4 4 2" xfId="19114" xr:uid="{00000000-0005-0000-0000-0000C5870000}"/>
    <cellStyle name="40% - Accent5 4 5 4 4 2 2" xfId="41716" xr:uid="{00000000-0005-0000-0000-0000C6870000}"/>
    <cellStyle name="40% - Accent5 4 5 4 4 3" xfId="30415" xr:uid="{00000000-0005-0000-0000-0000C7870000}"/>
    <cellStyle name="40% - Accent5 4 5 4 5" xfId="13464" xr:uid="{00000000-0005-0000-0000-0000C8870000}"/>
    <cellStyle name="40% - Accent5 4 5 4 5 2" xfId="36066" xr:uid="{00000000-0005-0000-0000-0000C9870000}"/>
    <cellStyle name="40% - Accent5 4 5 4 6" xfId="24765" xr:uid="{00000000-0005-0000-0000-0000CA870000}"/>
    <cellStyle name="40% - Accent5 4 5 5" xfId="2320" xr:uid="{00000000-0005-0000-0000-0000CB870000}"/>
    <cellStyle name="40% - Accent5 4 5 5 2" xfId="8156" xr:uid="{00000000-0005-0000-0000-0000CC870000}"/>
    <cellStyle name="40% - Accent5 4 5 5 2 2" xfId="19457" xr:uid="{00000000-0005-0000-0000-0000CD870000}"/>
    <cellStyle name="40% - Accent5 4 5 5 2 2 2" xfId="42059" xr:uid="{00000000-0005-0000-0000-0000CE870000}"/>
    <cellStyle name="40% - Accent5 4 5 5 2 3" xfId="30758" xr:uid="{00000000-0005-0000-0000-0000CF870000}"/>
    <cellStyle name="40% - Accent5 4 5 5 3" xfId="13807" xr:uid="{00000000-0005-0000-0000-0000D0870000}"/>
    <cellStyle name="40% - Accent5 4 5 5 3 2" xfId="36409" xr:uid="{00000000-0005-0000-0000-0000D1870000}"/>
    <cellStyle name="40% - Accent5 4 5 5 4" xfId="25108" xr:uid="{00000000-0005-0000-0000-0000D2870000}"/>
    <cellStyle name="40% - Accent5 4 5 6" xfId="4105" xr:uid="{00000000-0005-0000-0000-0000D3870000}"/>
    <cellStyle name="40% - Accent5 4 5 6 2" xfId="9755" xr:uid="{00000000-0005-0000-0000-0000D4870000}"/>
    <cellStyle name="40% - Accent5 4 5 6 2 2" xfId="21056" xr:uid="{00000000-0005-0000-0000-0000D5870000}"/>
    <cellStyle name="40% - Accent5 4 5 6 2 2 2" xfId="43658" xr:uid="{00000000-0005-0000-0000-0000D6870000}"/>
    <cellStyle name="40% - Accent5 4 5 6 2 3" xfId="32357" xr:uid="{00000000-0005-0000-0000-0000D7870000}"/>
    <cellStyle name="40% - Accent5 4 5 6 3" xfId="15406" xr:uid="{00000000-0005-0000-0000-0000D8870000}"/>
    <cellStyle name="40% - Accent5 4 5 6 3 2" xfId="38008" xr:uid="{00000000-0005-0000-0000-0000D9870000}"/>
    <cellStyle name="40% - Accent5 4 5 6 4" xfId="26707" xr:uid="{00000000-0005-0000-0000-0000DA870000}"/>
    <cellStyle name="40% - Accent5 4 5 7" xfId="6556" xr:uid="{00000000-0005-0000-0000-0000DB870000}"/>
    <cellStyle name="40% - Accent5 4 5 7 2" xfId="17857" xr:uid="{00000000-0005-0000-0000-0000DC870000}"/>
    <cellStyle name="40% - Accent5 4 5 7 2 2" xfId="40459" xr:uid="{00000000-0005-0000-0000-0000DD870000}"/>
    <cellStyle name="40% - Accent5 4 5 7 3" xfId="29158" xr:uid="{00000000-0005-0000-0000-0000DE870000}"/>
    <cellStyle name="40% - Accent5 4 5 8" xfId="12207" xr:uid="{00000000-0005-0000-0000-0000DF870000}"/>
    <cellStyle name="40% - Accent5 4 5 8 2" xfId="34809" xr:uid="{00000000-0005-0000-0000-0000E0870000}"/>
    <cellStyle name="40% - Accent5 4 5 9" xfId="23508" xr:uid="{00000000-0005-0000-0000-0000E1870000}"/>
    <cellStyle name="40% - Accent5 4 6" xfId="1063" xr:uid="{00000000-0005-0000-0000-0000E2870000}"/>
    <cellStyle name="40% - Accent5 4 6 2" xfId="1959" xr:uid="{00000000-0005-0000-0000-0000E3870000}"/>
    <cellStyle name="40% - Accent5 4 6 2 2" xfId="3130" xr:uid="{00000000-0005-0000-0000-0000E4870000}"/>
    <cellStyle name="40% - Accent5 4 6 2 2 2" xfId="6102" xr:uid="{00000000-0005-0000-0000-0000E5870000}"/>
    <cellStyle name="40% - Accent5 4 6 2 2 2 2" xfId="11752" xr:uid="{00000000-0005-0000-0000-0000E6870000}"/>
    <cellStyle name="40% - Accent5 4 6 2 2 2 2 2" xfId="23053" xr:uid="{00000000-0005-0000-0000-0000E7870000}"/>
    <cellStyle name="40% - Accent5 4 6 2 2 2 2 2 2" xfId="45655" xr:uid="{00000000-0005-0000-0000-0000E8870000}"/>
    <cellStyle name="40% - Accent5 4 6 2 2 2 2 3" xfId="34354" xr:uid="{00000000-0005-0000-0000-0000E9870000}"/>
    <cellStyle name="40% - Accent5 4 6 2 2 2 3" xfId="17403" xr:uid="{00000000-0005-0000-0000-0000EA870000}"/>
    <cellStyle name="40% - Accent5 4 6 2 2 2 3 2" xfId="40005" xr:uid="{00000000-0005-0000-0000-0000EB870000}"/>
    <cellStyle name="40% - Accent5 4 6 2 2 2 4" xfId="28704" xr:uid="{00000000-0005-0000-0000-0000EC870000}"/>
    <cellStyle name="40% - Accent5 4 6 2 2 3" xfId="8920" xr:uid="{00000000-0005-0000-0000-0000ED870000}"/>
    <cellStyle name="40% - Accent5 4 6 2 2 3 2" xfId="20221" xr:uid="{00000000-0005-0000-0000-0000EE870000}"/>
    <cellStyle name="40% - Accent5 4 6 2 2 3 2 2" xfId="42823" xr:uid="{00000000-0005-0000-0000-0000EF870000}"/>
    <cellStyle name="40% - Accent5 4 6 2 2 3 3" xfId="31522" xr:uid="{00000000-0005-0000-0000-0000F0870000}"/>
    <cellStyle name="40% - Accent5 4 6 2 2 4" xfId="14571" xr:uid="{00000000-0005-0000-0000-0000F1870000}"/>
    <cellStyle name="40% - Accent5 4 6 2 2 4 2" xfId="37173" xr:uid="{00000000-0005-0000-0000-0000F2870000}"/>
    <cellStyle name="40% - Accent5 4 6 2 2 5" xfId="25872" xr:uid="{00000000-0005-0000-0000-0000F3870000}"/>
    <cellStyle name="40% - Accent5 4 6 2 3" xfId="4868" xr:uid="{00000000-0005-0000-0000-0000F4870000}"/>
    <cellStyle name="40% - Accent5 4 6 2 3 2" xfId="10518" xr:uid="{00000000-0005-0000-0000-0000F5870000}"/>
    <cellStyle name="40% - Accent5 4 6 2 3 2 2" xfId="21819" xr:uid="{00000000-0005-0000-0000-0000F6870000}"/>
    <cellStyle name="40% - Accent5 4 6 2 3 2 2 2" xfId="44421" xr:uid="{00000000-0005-0000-0000-0000F7870000}"/>
    <cellStyle name="40% - Accent5 4 6 2 3 2 3" xfId="33120" xr:uid="{00000000-0005-0000-0000-0000F8870000}"/>
    <cellStyle name="40% - Accent5 4 6 2 3 3" xfId="16169" xr:uid="{00000000-0005-0000-0000-0000F9870000}"/>
    <cellStyle name="40% - Accent5 4 6 2 3 3 2" xfId="38771" xr:uid="{00000000-0005-0000-0000-0000FA870000}"/>
    <cellStyle name="40% - Accent5 4 6 2 3 4" xfId="27470" xr:uid="{00000000-0005-0000-0000-0000FB870000}"/>
    <cellStyle name="40% - Accent5 4 6 2 4" xfId="7815" xr:uid="{00000000-0005-0000-0000-0000FC870000}"/>
    <cellStyle name="40% - Accent5 4 6 2 4 2" xfId="19116" xr:uid="{00000000-0005-0000-0000-0000FD870000}"/>
    <cellStyle name="40% - Accent5 4 6 2 4 2 2" xfId="41718" xr:uid="{00000000-0005-0000-0000-0000FE870000}"/>
    <cellStyle name="40% - Accent5 4 6 2 4 3" xfId="30417" xr:uid="{00000000-0005-0000-0000-0000FF870000}"/>
    <cellStyle name="40% - Accent5 4 6 2 5" xfId="13466" xr:uid="{00000000-0005-0000-0000-000000880000}"/>
    <cellStyle name="40% - Accent5 4 6 2 5 2" xfId="36068" xr:uid="{00000000-0005-0000-0000-000001880000}"/>
    <cellStyle name="40% - Accent5 4 6 2 6" xfId="24767" xr:uid="{00000000-0005-0000-0000-000002880000}"/>
    <cellStyle name="40% - Accent5 4 6 3" xfId="2459" xr:uid="{00000000-0005-0000-0000-000003880000}"/>
    <cellStyle name="40% - Accent5 4 6 3 2" xfId="5478" xr:uid="{00000000-0005-0000-0000-000004880000}"/>
    <cellStyle name="40% - Accent5 4 6 3 2 2" xfId="11128" xr:uid="{00000000-0005-0000-0000-000005880000}"/>
    <cellStyle name="40% - Accent5 4 6 3 2 2 2" xfId="22429" xr:uid="{00000000-0005-0000-0000-000006880000}"/>
    <cellStyle name="40% - Accent5 4 6 3 2 2 2 2" xfId="45031" xr:uid="{00000000-0005-0000-0000-000007880000}"/>
    <cellStyle name="40% - Accent5 4 6 3 2 2 3" xfId="33730" xr:uid="{00000000-0005-0000-0000-000008880000}"/>
    <cellStyle name="40% - Accent5 4 6 3 2 3" xfId="16779" xr:uid="{00000000-0005-0000-0000-000009880000}"/>
    <cellStyle name="40% - Accent5 4 6 3 2 3 2" xfId="39381" xr:uid="{00000000-0005-0000-0000-00000A880000}"/>
    <cellStyle name="40% - Accent5 4 6 3 2 4" xfId="28080" xr:uid="{00000000-0005-0000-0000-00000B880000}"/>
    <cellStyle name="40% - Accent5 4 6 3 3" xfId="8295" xr:uid="{00000000-0005-0000-0000-00000C880000}"/>
    <cellStyle name="40% - Accent5 4 6 3 3 2" xfId="19596" xr:uid="{00000000-0005-0000-0000-00000D880000}"/>
    <cellStyle name="40% - Accent5 4 6 3 3 2 2" xfId="42198" xr:uid="{00000000-0005-0000-0000-00000E880000}"/>
    <cellStyle name="40% - Accent5 4 6 3 3 3" xfId="30897" xr:uid="{00000000-0005-0000-0000-00000F880000}"/>
    <cellStyle name="40% - Accent5 4 6 3 4" xfId="13946" xr:uid="{00000000-0005-0000-0000-000010880000}"/>
    <cellStyle name="40% - Accent5 4 6 3 4 2" xfId="36548" xr:uid="{00000000-0005-0000-0000-000011880000}"/>
    <cellStyle name="40% - Accent5 4 6 3 5" xfId="25247" xr:uid="{00000000-0005-0000-0000-000012880000}"/>
    <cellStyle name="40% - Accent5 4 6 4" xfId="4244" xr:uid="{00000000-0005-0000-0000-000013880000}"/>
    <cellStyle name="40% - Accent5 4 6 4 2" xfId="9894" xr:uid="{00000000-0005-0000-0000-000014880000}"/>
    <cellStyle name="40% - Accent5 4 6 4 2 2" xfId="21195" xr:uid="{00000000-0005-0000-0000-000015880000}"/>
    <cellStyle name="40% - Accent5 4 6 4 2 2 2" xfId="43797" xr:uid="{00000000-0005-0000-0000-000016880000}"/>
    <cellStyle name="40% - Accent5 4 6 4 2 3" xfId="32496" xr:uid="{00000000-0005-0000-0000-000017880000}"/>
    <cellStyle name="40% - Accent5 4 6 4 3" xfId="15545" xr:uid="{00000000-0005-0000-0000-000018880000}"/>
    <cellStyle name="40% - Accent5 4 6 4 3 2" xfId="38147" xr:uid="{00000000-0005-0000-0000-000019880000}"/>
    <cellStyle name="40% - Accent5 4 6 4 4" xfId="26846" xr:uid="{00000000-0005-0000-0000-00001A880000}"/>
    <cellStyle name="40% - Accent5 4 6 5" xfId="7042" xr:uid="{00000000-0005-0000-0000-00001B880000}"/>
    <cellStyle name="40% - Accent5 4 6 5 2" xfId="18343" xr:uid="{00000000-0005-0000-0000-00001C880000}"/>
    <cellStyle name="40% - Accent5 4 6 5 2 2" xfId="40945" xr:uid="{00000000-0005-0000-0000-00001D880000}"/>
    <cellStyle name="40% - Accent5 4 6 5 3" xfId="29644" xr:uid="{00000000-0005-0000-0000-00001E880000}"/>
    <cellStyle name="40% - Accent5 4 6 6" xfId="12693" xr:uid="{00000000-0005-0000-0000-00001F880000}"/>
    <cellStyle name="40% - Accent5 4 6 6 2" xfId="35295" xr:uid="{00000000-0005-0000-0000-000020880000}"/>
    <cellStyle name="40% - Accent5 4 6 7" xfId="23994" xr:uid="{00000000-0005-0000-0000-000021880000}"/>
    <cellStyle name="40% - Accent5 4 7" xfId="727" xr:uid="{00000000-0005-0000-0000-000022880000}"/>
    <cellStyle name="40% - Accent5 4 7 2" xfId="2824" xr:uid="{00000000-0005-0000-0000-000023880000}"/>
    <cellStyle name="40% - Accent5 4 7 2 2" xfId="5796" xr:uid="{00000000-0005-0000-0000-000024880000}"/>
    <cellStyle name="40% - Accent5 4 7 2 2 2" xfId="11446" xr:uid="{00000000-0005-0000-0000-000025880000}"/>
    <cellStyle name="40% - Accent5 4 7 2 2 2 2" xfId="22747" xr:uid="{00000000-0005-0000-0000-000026880000}"/>
    <cellStyle name="40% - Accent5 4 7 2 2 2 2 2" xfId="45349" xr:uid="{00000000-0005-0000-0000-000027880000}"/>
    <cellStyle name="40% - Accent5 4 7 2 2 2 3" xfId="34048" xr:uid="{00000000-0005-0000-0000-000028880000}"/>
    <cellStyle name="40% - Accent5 4 7 2 2 3" xfId="17097" xr:uid="{00000000-0005-0000-0000-000029880000}"/>
    <cellStyle name="40% - Accent5 4 7 2 2 3 2" xfId="39699" xr:uid="{00000000-0005-0000-0000-00002A880000}"/>
    <cellStyle name="40% - Accent5 4 7 2 2 4" xfId="28398" xr:uid="{00000000-0005-0000-0000-00002B880000}"/>
    <cellStyle name="40% - Accent5 4 7 2 3" xfId="8614" xr:uid="{00000000-0005-0000-0000-00002C880000}"/>
    <cellStyle name="40% - Accent5 4 7 2 3 2" xfId="19915" xr:uid="{00000000-0005-0000-0000-00002D880000}"/>
    <cellStyle name="40% - Accent5 4 7 2 3 2 2" xfId="42517" xr:uid="{00000000-0005-0000-0000-00002E880000}"/>
    <cellStyle name="40% - Accent5 4 7 2 3 3" xfId="31216" xr:uid="{00000000-0005-0000-0000-00002F880000}"/>
    <cellStyle name="40% - Accent5 4 7 2 4" xfId="14265" xr:uid="{00000000-0005-0000-0000-000030880000}"/>
    <cellStyle name="40% - Accent5 4 7 2 4 2" xfId="36867" xr:uid="{00000000-0005-0000-0000-000031880000}"/>
    <cellStyle name="40% - Accent5 4 7 2 5" xfId="25566" xr:uid="{00000000-0005-0000-0000-000032880000}"/>
    <cellStyle name="40% - Accent5 4 7 3" xfId="4562" xr:uid="{00000000-0005-0000-0000-000033880000}"/>
    <cellStyle name="40% - Accent5 4 7 3 2" xfId="10212" xr:uid="{00000000-0005-0000-0000-000034880000}"/>
    <cellStyle name="40% - Accent5 4 7 3 2 2" xfId="21513" xr:uid="{00000000-0005-0000-0000-000035880000}"/>
    <cellStyle name="40% - Accent5 4 7 3 2 2 2" xfId="44115" xr:uid="{00000000-0005-0000-0000-000036880000}"/>
    <cellStyle name="40% - Accent5 4 7 3 2 3" xfId="32814" xr:uid="{00000000-0005-0000-0000-000037880000}"/>
    <cellStyle name="40% - Accent5 4 7 3 3" xfId="15863" xr:uid="{00000000-0005-0000-0000-000038880000}"/>
    <cellStyle name="40% - Accent5 4 7 3 3 2" xfId="38465" xr:uid="{00000000-0005-0000-0000-000039880000}"/>
    <cellStyle name="40% - Accent5 4 7 3 4" xfId="27164" xr:uid="{00000000-0005-0000-0000-00003A880000}"/>
    <cellStyle name="40% - Accent5 4 7 4" xfId="6744" xr:uid="{00000000-0005-0000-0000-00003B880000}"/>
    <cellStyle name="40% - Accent5 4 7 4 2" xfId="18045" xr:uid="{00000000-0005-0000-0000-00003C880000}"/>
    <cellStyle name="40% - Accent5 4 7 4 2 2" xfId="40647" xr:uid="{00000000-0005-0000-0000-00003D880000}"/>
    <cellStyle name="40% - Accent5 4 7 4 3" xfId="29346" xr:uid="{00000000-0005-0000-0000-00003E880000}"/>
    <cellStyle name="40% - Accent5 4 7 5" xfId="12395" xr:uid="{00000000-0005-0000-0000-00003F880000}"/>
    <cellStyle name="40% - Accent5 4 7 5 2" xfId="34997" xr:uid="{00000000-0005-0000-0000-000040880000}"/>
    <cellStyle name="40% - Accent5 4 7 6" xfId="23696" xr:uid="{00000000-0005-0000-0000-000041880000}"/>
    <cellStyle name="40% - Accent5 4 8" xfId="1946" xr:uid="{00000000-0005-0000-0000-000042880000}"/>
    <cellStyle name="40% - Accent5 4 8 2" xfId="3745" xr:uid="{00000000-0005-0000-0000-000043880000}"/>
    <cellStyle name="40% - Accent5 4 8 2 2" xfId="9455" xr:uid="{00000000-0005-0000-0000-000044880000}"/>
    <cellStyle name="40% - Accent5 4 8 2 2 2" xfId="20756" xr:uid="{00000000-0005-0000-0000-000045880000}"/>
    <cellStyle name="40% - Accent5 4 8 2 2 2 2" xfId="43358" xr:uid="{00000000-0005-0000-0000-000046880000}"/>
    <cellStyle name="40% - Accent5 4 8 2 2 3" xfId="32057" xr:uid="{00000000-0005-0000-0000-000047880000}"/>
    <cellStyle name="40% - Accent5 4 8 2 3" xfId="15106" xr:uid="{00000000-0005-0000-0000-000048880000}"/>
    <cellStyle name="40% - Accent5 4 8 2 3 2" xfId="37708" xr:uid="{00000000-0005-0000-0000-000049880000}"/>
    <cellStyle name="40% - Accent5 4 8 2 4" xfId="26407" xr:uid="{00000000-0005-0000-0000-00004A880000}"/>
    <cellStyle name="40% - Accent5 4 8 3" xfId="5172" xr:uid="{00000000-0005-0000-0000-00004B880000}"/>
    <cellStyle name="40% - Accent5 4 8 3 2" xfId="10822" xr:uid="{00000000-0005-0000-0000-00004C880000}"/>
    <cellStyle name="40% - Accent5 4 8 3 2 2" xfId="22123" xr:uid="{00000000-0005-0000-0000-00004D880000}"/>
    <cellStyle name="40% - Accent5 4 8 3 2 2 2" xfId="44725" xr:uid="{00000000-0005-0000-0000-00004E880000}"/>
    <cellStyle name="40% - Accent5 4 8 3 2 3" xfId="33424" xr:uid="{00000000-0005-0000-0000-00004F880000}"/>
    <cellStyle name="40% - Accent5 4 8 3 3" xfId="16473" xr:uid="{00000000-0005-0000-0000-000050880000}"/>
    <cellStyle name="40% - Accent5 4 8 3 3 2" xfId="39075" xr:uid="{00000000-0005-0000-0000-000051880000}"/>
    <cellStyle name="40% - Accent5 4 8 3 4" xfId="27774" xr:uid="{00000000-0005-0000-0000-000052880000}"/>
    <cellStyle name="40% - Accent5 4 8 4" xfId="7802" xr:uid="{00000000-0005-0000-0000-000053880000}"/>
    <cellStyle name="40% - Accent5 4 8 4 2" xfId="19103" xr:uid="{00000000-0005-0000-0000-000054880000}"/>
    <cellStyle name="40% - Accent5 4 8 4 2 2" xfId="41705" xr:uid="{00000000-0005-0000-0000-000055880000}"/>
    <cellStyle name="40% - Accent5 4 8 4 3" xfId="30404" xr:uid="{00000000-0005-0000-0000-000056880000}"/>
    <cellStyle name="40% - Accent5 4 8 5" xfId="13453" xr:uid="{00000000-0005-0000-0000-000057880000}"/>
    <cellStyle name="40% - Accent5 4 8 5 2" xfId="36055" xr:uid="{00000000-0005-0000-0000-000058880000}"/>
    <cellStyle name="40% - Accent5 4 8 6" xfId="24754" xr:uid="{00000000-0005-0000-0000-000059880000}"/>
    <cellStyle name="40% - Accent5 4 9" xfId="2143" xr:uid="{00000000-0005-0000-0000-00005A880000}"/>
    <cellStyle name="40% - Accent5 4 9 2" xfId="7986" xr:uid="{00000000-0005-0000-0000-00005B880000}"/>
    <cellStyle name="40% - Accent5 4 9 2 2" xfId="19287" xr:uid="{00000000-0005-0000-0000-00005C880000}"/>
    <cellStyle name="40% - Accent5 4 9 2 2 2" xfId="41889" xr:uid="{00000000-0005-0000-0000-00005D880000}"/>
    <cellStyle name="40% - Accent5 4 9 2 3" xfId="30588" xr:uid="{00000000-0005-0000-0000-00005E880000}"/>
    <cellStyle name="40% - Accent5 4 9 3" xfId="13637" xr:uid="{00000000-0005-0000-0000-00005F880000}"/>
    <cellStyle name="40% - Accent5 4 9 3 2" xfId="36239" xr:uid="{00000000-0005-0000-0000-000060880000}"/>
    <cellStyle name="40% - Accent5 4 9 4" xfId="24938" xr:uid="{00000000-0005-0000-0000-000061880000}"/>
    <cellStyle name="40% - Accent5 5" xfId="216" xr:uid="{00000000-0005-0000-0000-000062880000}"/>
    <cellStyle name="40% - Accent5 5 10" xfId="12081" xr:uid="{00000000-0005-0000-0000-000063880000}"/>
    <cellStyle name="40% - Accent5 5 10 2" xfId="34683" xr:uid="{00000000-0005-0000-0000-000064880000}"/>
    <cellStyle name="40% - Accent5 5 11" xfId="23382" xr:uid="{00000000-0005-0000-0000-000065880000}"/>
    <cellStyle name="40% - Accent5 5 2" xfId="382" xr:uid="{00000000-0005-0000-0000-000066880000}"/>
    <cellStyle name="40% - Accent5 5 2 10" xfId="23477" xr:uid="{00000000-0005-0000-0000-000067880000}"/>
    <cellStyle name="40% - Accent5 5 2 2" xfId="627" xr:uid="{00000000-0005-0000-0000-000068880000}"/>
    <cellStyle name="40% - Accent5 5 2 2 2" xfId="1337" xr:uid="{00000000-0005-0000-0000-000069880000}"/>
    <cellStyle name="40% - Accent5 5 2 2 2 2" xfId="1963" xr:uid="{00000000-0005-0000-0000-00006A880000}"/>
    <cellStyle name="40% - Accent5 5 2 2 2 2 2" xfId="3406" xr:uid="{00000000-0005-0000-0000-00006B880000}"/>
    <cellStyle name="40% - Accent5 5 2 2 2 2 2 2" xfId="6378" xr:uid="{00000000-0005-0000-0000-00006C880000}"/>
    <cellStyle name="40% - Accent5 5 2 2 2 2 2 2 2" xfId="12028" xr:uid="{00000000-0005-0000-0000-00006D880000}"/>
    <cellStyle name="40% - Accent5 5 2 2 2 2 2 2 2 2" xfId="23329" xr:uid="{00000000-0005-0000-0000-00006E880000}"/>
    <cellStyle name="40% - Accent5 5 2 2 2 2 2 2 2 2 2" xfId="45931" xr:uid="{00000000-0005-0000-0000-00006F880000}"/>
    <cellStyle name="40% - Accent5 5 2 2 2 2 2 2 2 3" xfId="34630" xr:uid="{00000000-0005-0000-0000-000070880000}"/>
    <cellStyle name="40% - Accent5 5 2 2 2 2 2 2 3" xfId="17679" xr:uid="{00000000-0005-0000-0000-000071880000}"/>
    <cellStyle name="40% - Accent5 5 2 2 2 2 2 2 3 2" xfId="40281" xr:uid="{00000000-0005-0000-0000-000072880000}"/>
    <cellStyle name="40% - Accent5 5 2 2 2 2 2 2 4" xfId="28980" xr:uid="{00000000-0005-0000-0000-000073880000}"/>
    <cellStyle name="40% - Accent5 5 2 2 2 2 2 3" xfId="9196" xr:uid="{00000000-0005-0000-0000-000074880000}"/>
    <cellStyle name="40% - Accent5 5 2 2 2 2 2 3 2" xfId="20497" xr:uid="{00000000-0005-0000-0000-000075880000}"/>
    <cellStyle name="40% - Accent5 5 2 2 2 2 2 3 2 2" xfId="43099" xr:uid="{00000000-0005-0000-0000-000076880000}"/>
    <cellStyle name="40% - Accent5 5 2 2 2 2 2 3 3" xfId="31798" xr:uid="{00000000-0005-0000-0000-000077880000}"/>
    <cellStyle name="40% - Accent5 5 2 2 2 2 2 4" xfId="14847" xr:uid="{00000000-0005-0000-0000-000078880000}"/>
    <cellStyle name="40% - Accent5 5 2 2 2 2 2 4 2" xfId="37449" xr:uid="{00000000-0005-0000-0000-000079880000}"/>
    <cellStyle name="40% - Accent5 5 2 2 2 2 2 5" xfId="26148" xr:uid="{00000000-0005-0000-0000-00007A880000}"/>
    <cellStyle name="40% - Accent5 5 2 2 2 2 3" xfId="5144" xr:uid="{00000000-0005-0000-0000-00007B880000}"/>
    <cellStyle name="40% - Accent5 5 2 2 2 2 3 2" xfId="10794" xr:uid="{00000000-0005-0000-0000-00007C880000}"/>
    <cellStyle name="40% - Accent5 5 2 2 2 2 3 2 2" xfId="22095" xr:uid="{00000000-0005-0000-0000-00007D880000}"/>
    <cellStyle name="40% - Accent5 5 2 2 2 2 3 2 2 2" xfId="44697" xr:uid="{00000000-0005-0000-0000-00007E880000}"/>
    <cellStyle name="40% - Accent5 5 2 2 2 2 3 2 3" xfId="33396" xr:uid="{00000000-0005-0000-0000-00007F880000}"/>
    <cellStyle name="40% - Accent5 5 2 2 2 2 3 3" xfId="16445" xr:uid="{00000000-0005-0000-0000-000080880000}"/>
    <cellStyle name="40% - Accent5 5 2 2 2 2 3 3 2" xfId="39047" xr:uid="{00000000-0005-0000-0000-000081880000}"/>
    <cellStyle name="40% - Accent5 5 2 2 2 2 3 4" xfId="27746" xr:uid="{00000000-0005-0000-0000-000082880000}"/>
    <cellStyle name="40% - Accent5 5 2 2 2 2 4" xfId="7819" xr:uid="{00000000-0005-0000-0000-000083880000}"/>
    <cellStyle name="40% - Accent5 5 2 2 2 2 4 2" xfId="19120" xr:uid="{00000000-0005-0000-0000-000084880000}"/>
    <cellStyle name="40% - Accent5 5 2 2 2 2 4 2 2" xfId="41722" xr:uid="{00000000-0005-0000-0000-000085880000}"/>
    <cellStyle name="40% - Accent5 5 2 2 2 2 4 3" xfId="30421" xr:uid="{00000000-0005-0000-0000-000086880000}"/>
    <cellStyle name="40% - Accent5 5 2 2 2 2 5" xfId="13470" xr:uid="{00000000-0005-0000-0000-000087880000}"/>
    <cellStyle name="40% - Accent5 5 2 2 2 2 5 2" xfId="36072" xr:uid="{00000000-0005-0000-0000-000088880000}"/>
    <cellStyle name="40% - Accent5 5 2 2 2 2 6" xfId="24771" xr:uid="{00000000-0005-0000-0000-000089880000}"/>
    <cellStyle name="40% - Accent5 5 2 2 2 3" xfId="2735" xr:uid="{00000000-0005-0000-0000-00008A880000}"/>
    <cellStyle name="40% - Accent5 5 2 2 2 3 2" xfId="5754" xr:uid="{00000000-0005-0000-0000-00008B880000}"/>
    <cellStyle name="40% - Accent5 5 2 2 2 3 2 2" xfId="11404" xr:uid="{00000000-0005-0000-0000-00008C880000}"/>
    <cellStyle name="40% - Accent5 5 2 2 2 3 2 2 2" xfId="22705" xr:uid="{00000000-0005-0000-0000-00008D880000}"/>
    <cellStyle name="40% - Accent5 5 2 2 2 3 2 2 2 2" xfId="45307" xr:uid="{00000000-0005-0000-0000-00008E880000}"/>
    <cellStyle name="40% - Accent5 5 2 2 2 3 2 2 3" xfId="34006" xr:uid="{00000000-0005-0000-0000-00008F880000}"/>
    <cellStyle name="40% - Accent5 5 2 2 2 3 2 3" xfId="17055" xr:uid="{00000000-0005-0000-0000-000090880000}"/>
    <cellStyle name="40% - Accent5 5 2 2 2 3 2 3 2" xfId="39657" xr:uid="{00000000-0005-0000-0000-000091880000}"/>
    <cellStyle name="40% - Accent5 5 2 2 2 3 2 4" xfId="28356" xr:uid="{00000000-0005-0000-0000-000092880000}"/>
    <cellStyle name="40% - Accent5 5 2 2 2 3 3" xfId="8571" xr:uid="{00000000-0005-0000-0000-000093880000}"/>
    <cellStyle name="40% - Accent5 5 2 2 2 3 3 2" xfId="19872" xr:uid="{00000000-0005-0000-0000-000094880000}"/>
    <cellStyle name="40% - Accent5 5 2 2 2 3 3 2 2" xfId="42474" xr:uid="{00000000-0005-0000-0000-000095880000}"/>
    <cellStyle name="40% - Accent5 5 2 2 2 3 3 3" xfId="31173" xr:uid="{00000000-0005-0000-0000-000096880000}"/>
    <cellStyle name="40% - Accent5 5 2 2 2 3 4" xfId="14222" xr:uid="{00000000-0005-0000-0000-000097880000}"/>
    <cellStyle name="40% - Accent5 5 2 2 2 3 4 2" xfId="36824" xr:uid="{00000000-0005-0000-0000-000098880000}"/>
    <cellStyle name="40% - Accent5 5 2 2 2 3 5" xfId="25523" xr:uid="{00000000-0005-0000-0000-000099880000}"/>
    <cellStyle name="40% - Accent5 5 2 2 2 4" xfId="4520" xr:uid="{00000000-0005-0000-0000-00009A880000}"/>
    <cellStyle name="40% - Accent5 5 2 2 2 4 2" xfId="10170" xr:uid="{00000000-0005-0000-0000-00009B880000}"/>
    <cellStyle name="40% - Accent5 5 2 2 2 4 2 2" xfId="21471" xr:uid="{00000000-0005-0000-0000-00009C880000}"/>
    <cellStyle name="40% - Accent5 5 2 2 2 4 2 2 2" xfId="44073" xr:uid="{00000000-0005-0000-0000-00009D880000}"/>
    <cellStyle name="40% - Accent5 5 2 2 2 4 2 3" xfId="32772" xr:uid="{00000000-0005-0000-0000-00009E880000}"/>
    <cellStyle name="40% - Accent5 5 2 2 2 4 3" xfId="15821" xr:uid="{00000000-0005-0000-0000-00009F880000}"/>
    <cellStyle name="40% - Accent5 5 2 2 2 4 3 2" xfId="38423" xr:uid="{00000000-0005-0000-0000-0000A0880000}"/>
    <cellStyle name="40% - Accent5 5 2 2 2 4 4" xfId="27122" xr:uid="{00000000-0005-0000-0000-0000A1880000}"/>
    <cellStyle name="40% - Accent5 5 2 2 2 5" xfId="7316" xr:uid="{00000000-0005-0000-0000-0000A2880000}"/>
    <cellStyle name="40% - Accent5 5 2 2 2 5 2" xfId="18617" xr:uid="{00000000-0005-0000-0000-0000A3880000}"/>
    <cellStyle name="40% - Accent5 5 2 2 2 5 2 2" xfId="41219" xr:uid="{00000000-0005-0000-0000-0000A4880000}"/>
    <cellStyle name="40% - Accent5 5 2 2 2 5 3" xfId="29918" xr:uid="{00000000-0005-0000-0000-0000A5880000}"/>
    <cellStyle name="40% - Accent5 5 2 2 2 6" xfId="12967" xr:uid="{00000000-0005-0000-0000-0000A6880000}"/>
    <cellStyle name="40% - Accent5 5 2 2 2 6 2" xfId="35569" xr:uid="{00000000-0005-0000-0000-0000A7880000}"/>
    <cellStyle name="40% - Accent5 5 2 2 2 7" xfId="24268" xr:uid="{00000000-0005-0000-0000-0000A8880000}"/>
    <cellStyle name="40% - Accent5 5 2 2 3" xfId="1035" xr:uid="{00000000-0005-0000-0000-0000A9880000}"/>
    <cellStyle name="40% - Accent5 5 2 2 3 2" xfId="3098" xr:uid="{00000000-0005-0000-0000-0000AA880000}"/>
    <cellStyle name="40% - Accent5 5 2 2 3 2 2" xfId="6070" xr:uid="{00000000-0005-0000-0000-0000AB880000}"/>
    <cellStyle name="40% - Accent5 5 2 2 3 2 2 2" xfId="11720" xr:uid="{00000000-0005-0000-0000-0000AC880000}"/>
    <cellStyle name="40% - Accent5 5 2 2 3 2 2 2 2" xfId="23021" xr:uid="{00000000-0005-0000-0000-0000AD880000}"/>
    <cellStyle name="40% - Accent5 5 2 2 3 2 2 2 2 2" xfId="45623" xr:uid="{00000000-0005-0000-0000-0000AE880000}"/>
    <cellStyle name="40% - Accent5 5 2 2 3 2 2 2 3" xfId="34322" xr:uid="{00000000-0005-0000-0000-0000AF880000}"/>
    <cellStyle name="40% - Accent5 5 2 2 3 2 2 3" xfId="17371" xr:uid="{00000000-0005-0000-0000-0000B0880000}"/>
    <cellStyle name="40% - Accent5 5 2 2 3 2 2 3 2" xfId="39973" xr:uid="{00000000-0005-0000-0000-0000B1880000}"/>
    <cellStyle name="40% - Accent5 5 2 2 3 2 2 4" xfId="28672" xr:uid="{00000000-0005-0000-0000-0000B2880000}"/>
    <cellStyle name="40% - Accent5 5 2 2 3 2 3" xfId="8888" xr:uid="{00000000-0005-0000-0000-0000B3880000}"/>
    <cellStyle name="40% - Accent5 5 2 2 3 2 3 2" xfId="20189" xr:uid="{00000000-0005-0000-0000-0000B4880000}"/>
    <cellStyle name="40% - Accent5 5 2 2 3 2 3 2 2" xfId="42791" xr:uid="{00000000-0005-0000-0000-0000B5880000}"/>
    <cellStyle name="40% - Accent5 5 2 2 3 2 3 3" xfId="31490" xr:uid="{00000000-0005-0000-0000-0000B6880000}"/>
    <cellStyle name="40% - Accent5 5 2 2 3 2 4" xfId="14539" xr:uid="{00000000-0005-0000-0000-0000B7880000}"/>
    <cellStyle name="40% - Accent5 5 2 2 3 2 4 2" xfId="37141" xr:uid="{00000000-0005-0000-0000-0000B8880000}"/>
    <cellStyle name="40% - Accent5 5 2 2 3 2 5" xfId="25840" xr:uid="{00000000-0005-0000-0000-0000B9880000}"/>
    <cellStyle name="40% - Accent5 5 2 2 3 3" xfId="4836" xr:uid="{00000000-0005-0000-0000-0000BA880000}"/>
    <cellStyle name="40% - Accent5 5 2 2 3 3 2" xfId="10486" xr:uid="{00000000-0005-0000-0000-0000BB880000}"/>
    <cellStyle name="40% - Accent5 5 2 2 3 3 2 2" xfId="21787" xr:uid="{00000000-0005-0000-0000-0000BC880000}"/>
    <cellStyle name="40% - Accent5 5 2 2 3 3 2 2 2" xfId="44389" xr:uid="{00000000-0005-0000-0000-0000BD880000}"/>
    <cellStyle name="40% - Accent5 5 2 2 3 3 2 3" xfId="33088" xr:uid="{00000000-0005-0000-0000-0000BE880000}"/>
    <cellStyle name="40% - Accent5 5 2 2 3 3 3" xfId="16137" xr:uid="{00000000-0005-0000-0000-0000BF880000}"/>
    <cellStyle name="40% - Accent5 5 2 2 3 3 3 2" xfId="38739" xr:uid="{00000000-0005-0000-0000-0000C0880000}"/>
    <cellStyle name="40% - Accent5 5 2 2 3 3 4" xfId="27438" xr:uid="{00000000-0005-0000-0000-0000C1880000}"/>
    <cellStyle name="40% - Accent5 5 2 2 3 4" xfId="7023" xr:uid="{00000000-0005-0000-0000-0000C2880000}"/>
    <cellStyle name="40% - Accent5 5 2 2 3 4 2" xfId="18324" xr:uid="{00000000-0005-0000-0000-0000C3880000}"/>
    <cellStyle name="40% - Accent5 5 2 2 3 4 2 2" xfId="40926" xr:uid="{00000000-0005-0000-0000-0000C4880000}"/>
    <cellStyle name="40% - Accent5 5 2 2 3 4 3" xfId="29625" xr:uid="{00000000-0005-0000-0000-0000C5880000}"/>
    <cellStyle name="40% - Accent5 5 2 2 3 5" xfId="12674" xr:uid="{00000000-0005-0000-0000-0000C6880000}"/>
    <cellStyle name="40% - Accent5 5 2 2 3 5 2" xfId="35276" xr:uid="{00000000-0005-0000-0000-0000C7880000}"/>
    <cellStyle name="40% - Accent5 5 2 2 3 6" xfId="23975" xr:uid="{00000000-0005-0000-0000-0000C8880000}"/>
    <cellStyle name="40% - Accent5 5 2 2 4" xfId="1962" xr:uid="{00000000-0005-0000-0000-0000C9880000}"/>
    <cellStyle name="40% - Accent5 5 2 2 4 2" xfId="3754" xr:uid="{00000000-0005-0000-0000-0000CA880000}"/>
    <cellStyle name="40% - Accent5 5 2 2 4 2 2" xfId="9464" xr:uid="{00000000-0005-0000-0000-0000CB880000}"/>
    <cellStyle name="40% - Accent5 5 2 2 4 2 2 2" xfId="20765" xr:uid="{00000000-0005-0000-0000-0000CC880000}"/>
    <cellStyle name="40% - Accent5 5 2 2 4 2 2 2 2" xfId="43367" xr:uid="{00000000-0005-0000-0000-0000CD880000}"/>
    <cellStyle name="40% - Accent5 5 2 2 4 2 2 3" xfId="32066" xr:uid="{00000000-0005-0000-0000-0000CE880000}"/>
    <cellStyle name="40% - Accent5 5 2 2 4 2 3" xfId="15115" xr:uid="{00000000-0005-0000-0000-0000CF880000}"/>
    <cellStyle name="40% - Accent5 5 2 2 4 2 3 2" xfId="37717" xr:uid="{00000000-0005-0000-0000-0000D0880000}"/>
    <cellStyle name="40% - Accent5 5 2 2 4 2 4" xfId="26416" xr:uid="{00000000-0005-0000-0000-0000D1880000}"/>
    <cellStyle name="40% - Accent5 5 2 2 4 3" xfId="5446" xr:uid="{00000000-0005-0000-0000-0000D2880000}"/>
    <cellStyle name="40% - Accent5 5 2 2 4 3 2" xfId="11096" xr:uid="{00000000-0005-0000-0000-0000D3880000}"/>
    <cellStyle name="40% - Accent5 5 2 2 4 3 2 2" xfId="22397" xr:uid="{00000000-0005-0000-0000-0000D4880000}"/>
    <cellStyle name="40% - Accent5 5 2 2 4 3 2 2 2" xfId="44999" xr:uid="{00000000-0005-0000-0000-0000D5880000}"/>
    <cellStyle name="40% - Accent5 5 2 2 4 3 2 3" xfId="33698" xr:uid="{00000000-0005-0000-0000-0000D6880000}"/>
    <cellStyle name="40% - Accent5 5 2 2 4 3 3" xfId="16747" xr:uid="{00000000-0005-0000-0000-0000D7880000}"/>
    <cellStyle name="40% - Accent5 5 2 2 4 3 3 2" xfId="39349" xr:uid="{00000000-0005-0000-0000-0000D8880000}"/>
    <cellStyle name="40% - Accent5 5 2 2 4 3 4" xfId="28048" xr:uid="{00000000-0005-0000-0000-0000D9880000}"/>
    <cellStyle name="40% - Accent5 5 2 2 4 4" xfId="7818" xr:uid="{00000000-0005-0000-0000-0000DA880000}"/>
    <cellStyle name="40% - Accent5 5 2 2 4 4 2" xfId="19119" xr:uid="{00000000-0005-0000-0000-0000DB880000}"/>
    <cellStyle name="40% - Accent5 5 2 2 4 4 2 2" xfId="41721" xr:uid="{00000000-0005-0000-0000-0000DC880000}"/>
    <cellStyle name="40% - Accent5 5 2 2 4 4 3" xfId="30420" xr:uid="{00000000-0005-0000-0000-0000DD880000}"/>
    <cellStyle name="40% - Accent5 5 2 2 4 5" xfId="13469" xr:uid="{00000000-0005-0000-0000-0000DE880000}"/>
    <cellStyle name="40% - Accent5 5 2 2 4 5 2" xfId="36071" xr:uid="{00000000-0005-0000-0000-0000DF880000}"/>
    <cellStyle name="40% - Accent5 5 2 2 4 6" xfId="24770" xr:uid="{00000000-0005-0000-0000-0000E0880000}"/>
    <cellStyle name="40% - Accent5 5 2 2 5" xfId="2427" xr:uid="{00000000-0005-0000-0000-0000E1880000}"/>
    <cellStyle name="40% - Accent5 5 2 2 5 2" xfId="8263" xr:uid="{00000000-0005-0000-0000-0000E2880000}"/>
    <cellStyle name="40% - Accent5 5 2 2 5 2 2" xfId="19564" xr:uid="{00000000-0005-0000-0000-0000E3880000}"/>
    <cellStyle name="40% - Accent5 5 2 2 5 2 2 2" xfId="42166" xr:uid="{00000000-0005-0000-0000-0000E4880000}"/>
    <cellStyle name="40% - Accent5 5 2 2 5 2 3" xfId="30865" xr:uid="{00000000-0005-0000-0000-0000E5880000}"/>
    <cellStyle name="40% - Accent5 5 2 2 5 3" xfId="13914" xr:uid="{00000000-0005-0000-0000-0000E6880000}"/>
    <cellStyle name="40% - Accent5 5 2 2 5 3 2" xfId="36516" xr:uid="{00000000-0005-0000-0000-0000E7880000}"/>
    <cellStyle name="40% - Accent5 5 2 2 5 4" xfId="25215" xr:uid="{00000000-0005-0000-0000-0000E8880000}"/>
    <cellStyle name="40% - Accent5 5 2 2 6" xfId="4212" xr:uid="{00000000-0005-0000-0000-0000E9880000}"/>
    <cellStyle name="40% - Accent5 5 2 2 6 2" xfId="9862" xr:uid="{00000000-0005-0000-0000-0000EA880000}"/>
    <cellStyle name="40% - Accent5 5 2 2 6 2 2" xfId="21163" xr:uid="{00000000-0005-0000-0000-0000EB880000}"/>
    <cellStyle name="40% - Accent5 5 2 2 6 2 2 2" xfId="43765" xr:uid="{00000000-0005-0000-0000-0000EC880000}"/>
    <cellStyle name="40% - Accent5 5 2 2 6 2 3" xfId="32464" xr:uid="{00000000-0005-0000-0000-0000ED880000}"/>
    <cellStyle name="40% - Accent5 5 2 2 6 3" xfId="15513" xr:uid="{00000000-0005-0000-0000-0000EE880000}"/>
    <cellStyle name="40% - Accent5 5 2 2 6 3 2" xfId="38115" xr:uid="{00000000-0005-0000-0000-0000EF880000}"/>
    <cellStyle name="40% - Accent5 5 2 2 6 4" xfId="26814" xr:uid="{00000000-0005-0000-0000-0000F0880000}"/>
    <cellStyle name="40% - Accent5 5 2 2 7" xfId="6692" xr:uid="{00000000-0005-0000-0000-0000F1880000}"/>
    <cellStyle name="40% - Accent5 5 2 2 7 2" xfId="17993" xr:uid="{00000000-0005-0000-0000-0000F2880000}"/>
    <cellStyle name="40% - Accent5 5 2 2 7 2 2" xfId="40595" xr:uid="{00000000-0005-0000-0000-0000F3880000}"/>
    <cellStyle name="40% - Accent5 5 2 2 7 3" xfId="29294" xr:uid="{00000000-0005-0000-0000-0000F4880000}"/>
    <cellStyle name="40% - Accent5 5 2 2 8" xfId="12343" xr:uid="{00000000-0005-0000-0000-0000F5880000}"/>
    <cellStyle name="40% - Accent5 5 2 2 8 2" xfId="34945" xr:uid="{00000000-0005-0000-0000-0000F6880000}"/>
    <cellStyle name="40% - Accent5 5 2 2 9" xfId="23644" xr:uid="{00000000-0005-0000-0000-0000F7880000}"/>
    <cellStyle name="40% - Accent5 5 2 3" xfId="1199" xr:uid="{00000000-0005-0000-0000-0000F8880000}"/>
    <cellStyle name="40% - Accent5 5 2 3 2" xfId="1964" xr:uid="{00000000-0005-0000-0000-0000F9880000}"/>
    <cellStyle name="40% - Accent5 5 2 3 2 2" xfId="3267" xr:uid="{00000000-0005-0000-0000-0000FA880000}"/>
    <cellStyle name="40% - Accent5 5 2 3 2 2 2" xfId="6239" xr:uid="{00000000-0005-0000-0000-0000FB880000}"/>
    <cellStyle name="40% - Accent5 5 2 3 2 2 2 2" xfId="11889" xr:uid="{00000000-0005-0000-0000-0000FC880000}"/>
    <cellStyle name="40% - Accent5 5 2 3 2 2 2 2 2" xfId="23190" xr:uid="{00000000-0005-0000-0000-0000FD880000}"/>
    <cellStyle name="40% - Accent5 5 2 3 2 2 2 2 2 2" xfId="45792" xr:uid="{00000000-0005-0000-0000-0000FE880000}"/>
    <cellStyle name="40% - Accent5 5 2 3 2 2 2 2 3" xfId="34491" xr:uid="{00000000-0005-0000-0000-0000FF880000}"/>
    <cellStyle name="40% - Accent5 5 2 3 2 2 2 3" xfId="17540" xr:uid="{00000000-0005-0000-0000-000000890000}"/>
    <cellStyle name="40% - Accent5 5 2 3 2 2 2 3 2" xfId="40142" xr:uid="{00000000-0005-0000-0000-000001890000}"/>
    <cellStyle name="40% - Accent5 5 2 3 2 2 2 4" xfId="28841" xr:uid="{00000000-0005-0000-0000-000002890000}"/>
    <cellStyle name="40% - Accent5 5 2 3 2 2 3" xfId="9057" xr:uid="{00000000-0005-0000-0000-000003890000}"/>
    <cellStyle name="40% - Accent5 5 2 3 2 2 3 2" xfId="20358" xr:uid="{00000000-0005-0000-0000-000004890000}"/>
    <cellStyle name="40% - Accent5 5 2 3 2 2 3 2 2" xfId="42960" xr:uid="{00000000-0005-0000-0000-000005890000}"/>
    <cellStyle name="40% - Accent5 5 2 3 2 2 3 3" xfId="31659" xr:uid="{00000000-0005-0000-0000-000006890000}"/>
    <cellStyle name="40% - Accent5 5 2 3 2 2 4" xfId="14708" xr:uid="{00000000-0005-0000-0000-000007890000}"/>
    <cellStyle name="40% - Accent5 5 2 3 2 2 4 2" xfId="37310" xr:uid="{00000000-0005-0000-0000-000008890000}"/>
    <cellStyle name="40% - Accent5 5 2 3 2 2 5" xfId="26009" xr:uid="{00000000-0005-0000-0000-000009890000}"/>
    <cellStyle name="40% - Accent5 5 2 3 2 3" xfId="5005" xr:uid="{00000000-0005-0000-0000-00000A890000}"/>
    <cellStyle name="40% - Accent5 5 2 3 2 3 2" xfId="10655" xr:uid="{00000000-0005-0000-0000-00000B890000}"/>
    <cellStyle name="40% - Accent5 5 2 3 2 3 2 2" xfId="21956" xr:uid="{00000000-0005-0000-0000-00000C890000}"/>
    <cellStyle name="40% - Accent5 5 2 3 2 3 2 2 2" xfId="44558" xr:uid="{00000000-0005-0000-0000-00000D890000}"/>
    <cellStyle name="40% - Accent5 5 2 3 2 3 2 3" xfId="33257" xr:uid="{00000000-0005-0000-0000-00000E890000}"/>
    <cellStyle name="40% - Accent5 5 2 3 2 3 3" xfId="16306" xr:uid="{00000000-0005-0000-0000-00000F890000}"/>
    <cellStyle name="40% - Accent5 5 2 3 2 3 3 2" xfId="38908" xr:uid="{00000000-0005-0000-0000-000010890000}"/>
    <cellStyle name="40% - Accent5 5 2 3 2 3 4" xfId="27607" xr:uid="{00000000-0005-0000-0000-000011890000}"/>
    <cellStyle name="40% - Accent5 5 2 3 2 4" xfId="7820" xr:uid="{00000000-0005-0000-0000-000012890000}"/>
    <cellStyle name="40% - Accent5 5 2 3 2 4 2" xfId="19121" xr:uid="{00000000-0005-0000-0000-000013890000}"/>
    <cellStyle name="40% - Accent5 5 2 3 2 4 2 2" xfId="41723" xr:uid="{00000000-0005-0000-0000-000014890000}"/>
    <cellStyle name="40% - Accent5 5 2 3 2 4 3" xfId="30422" xr:uid="{00000000-0005-0000-0000-000015890000}"/>
    <cellStyle name="40% - Accent5 5 2 3 2 5" xfId="13471" xr:uid="{00000000-0005-0000-0000-000016890000}"/>
    <cellStyle name="40% - Accent5 5 2 3 2 5 2" xfId="36073" xr:uid="{00000000-0005-0000-0000-000017890000}"/>
    <cellStyle name="40% - Accent5 5 2 3 2 6" xfId="24772" xr:uid="{00000000-0005-0000-0000-000018890000}"/>
    <cellStyle name="40% - Accent5 5 2 3 3" xfId="2596" xr:uid="{00000000-0005-0000-0000-000019890000}"/>
    <cellStyle name="40% - Accent5 5 2 3 3 2" xfId="5615" xr:uid="{00000000-0005-0000-0000-00001A890000}"/>
    <cellStyle name="40% - Accent5 5 2 3 3 2 2" xfId="11265" xr:uid="{00000000-0005-0000-0000-00001B890000}"/>
    <cellStyle name="40% - Accent5 5 2 3 3 2 2 2" xfId="22566" xr:uid="{00000000-0005-0000-0000-00001C890000}"/>
    <cellStyle name="40% - Accent5 5 2 3 3 2 2 2 2" xfId="45168" xr:uid="{00000000-0005-0000-0000-00001D890000}"/>
    <cellStyle name="40% - Accent5 5 2 3 3 2 2 3" xfId="33867" xr:uid="{00000000-0005-0000-0000-00001E890000}"/>
    <cellStyle name="40% - Accent5 5 2 3 3 2 3" xfId="16916" xr:uid="{00000000-0005-0000-0000-00001F890000}"/>
    <cellStyle name="40% - Accent5 5 2 3 3 2 3 2" xfId="39518" xr:uid="{00000000-0005-0000-0000-000020890000}"/>
    <cellStyle name="40% - Accent5 5 2 3 3 2 4" xfId="28217" xr:uid="{00000000-0005-0000-0000-000021890000}"/>
    <cellStyle name="40% - Accent5 5 2 3 3 3" xfId="8432" xr:uid="{00000000-0005-0000-0000-000022890000}"/>
    <cellStyle name="40% - Accent5 5 2 3 3 3 2" xfId="19733" xr:uid="{00000000-0005-0000-0000-000023890000}"/>
    <cellStyle name="40% - Accent5 5 2 3 3 3 2 2" xfId="42335" xr:uid="{00000000-0005-0000-0000-000024890000}"/>
    <cellStyle name="40% - Accent5 5 2 3 3 3 3" xfId="31034" xr:uid="{00000000-0005-0000-0000-000025890000}"/>
    <cellStyle name="40% - Accent5 5 2 3 3 4" xfId="14083" xr:uid="{00000000-0005-0000-0000-000026890000}"/>
    <cellStyle name="40% - Accent5 5 2 3 3 4 2" xfId="36685" xr:uid="{00000000-0005-0000-0000-000027890000}"/>
    <cellStyle name="40% - Accent5 5 2 3 3 5" xfId="25384" xr:uid="{00000000-0005-0000-0000-000028890000}"/>
    <cellStyle name="40% - Accent5 5 2 3 4" xfId="4381" xr:uid="{00000000-0005-0000-0000-000029890000}"/>
    <cellStyle name="40% - Accent5 5 2 3 4 2" xfId="10031" xr:uid="{00000000-0005-0000-0000-00002A890000}"/>
    <cellStyle name="40% - Accent5 5 2 3 4 2 2" xfId="21332" xr:uid="{00000000-0005-0000-0000-00002B890000}"/>
    <cellStyle name="40% - Accent5 5 2 3 4 2 2 2" xfId="43934" xr:uid="{00000000-0005-0000-0000-00002C890000}"/>
    <cellStyle name="40% - Accent5 5 2 3 4 2 3" xfId="32633" xr:uid="{00000000-0005-0000-0000-00002D890000}"/>
    <cellStyle name="40% - Accent5 5 2 3 4 3" xfId="15682" xr:uid="{00000000-0005-0000-0000-00002E890000}"/>
    <cellStyle name="40% - Accent5 5 2 3 4 3 2" xfId="38284" xr:uid="{00000000-0005-0000-0000-00002F890000}"/>
    <cellStyle name="40% - Accent5 5 2 3 4 4" xfId="26983" xr:uid="{00000000-0005-0000-0000-000030890000}"/>
    <cellStyle name="40% - Accent5 5 2 3 5" xfId="7178" xr:uid="{00000000-0005-0000-0000-000031890000}"/>
    <cellStyle name="40% - Accent5 5 2 3 5 2" xfId="18479" xr:uid="{00000000-0005-0000-0000-000032890000}"/>
    <cellStyle name="40% - Accent5 5 2 3 5 2 2" xfId="41081" xr:uid="{00000000-0005-0000-0000-000033890000}"/>
    <cellStyle name="40% - Accent5 5 2 3 5 3" xfId="29780" xr:uid="{00000000-0005-0000-0000-000034890000}"/>
    <cellStyle name="40% - Accent5 5 2 3 6" xfId="12829" xr:uid="{00000000-0005-0000-0000-000035890000}"/>
    <cellStyle name="40% - Accent5 5 2 3 6 2" xfId="35431" xr:uid="{00000000-0005-0000-0000-000036890000}"/>
    <cellStyle name="40% - Accent5 5 2 3 7" xfId="24130" xr:uid="{00000000-0005-0000-0000-000037890000}"/>
    <cellStyle name="40% - Accent5 5 2 4" xfId="890" xr:uid="{00000000-0005-0000-0000-000038890000}"/>
    <cellStyle name="40% - Accent5 5 2 4 2" xfId="2960" xr:uid="{00000000-0005-0000-0000-000039890000}"/>
    <cellStyle name="40% - Accent5 5 2 4 2 2" xfId="5932" xr:uid="{00000000-0005-0000-0000-00003A890000}"/>
    <cellStyle name="40% - Accent5 5 2 4 2 2 2" xfId="11582" xr:uid="{00000000-0005-0000-0000-00003B890000}"/>
    <cellStyle name="40% - Accent5 5 2 4 2 2 2 2" xfId="22883" xr:uid="{00000000-0005-0000-0000-00003C890000}"/>
    <cellStyle name="40% - Accent5 5 2 4 2 2 2 2 2" xfId="45485" xr:uid="{00000000-0005-0000-0000-00003D890000}"/>
    <cellStyle name="40% - Accent5 5 2 4 2 2 2 3" xfId="34184" xr:uid="{00000000-0005-0000-0000-00003E890000}"/>
    <cellStyle name="40% - Accent5 5 2 4 2 2 3" xfId="17233" xr:uid="{00000000-0005-0000-0000-00003F890000}"/>
    <cellStyle name="40% - Accent5 5 2 4 2 2 3 2" xfId="39835" xr:uid="{00000000-0005-0000-0000-000040890000}"/>
    <cellStyle name="40% - Accent5 5 2 4 2 2 4" xfId="28534" xr:uid="{00000000-0005-0000-0000-000041890000}"/>
    <cellStyle name="40% - Accent5 5 2 4 2 3" xfId="8750" xr:uid="{00000000-0005-0000-0000-000042890000}"/>
    <cellStyle name="40% - Accent5 5 2 4 2 3 2" xfId="20051" xr:uid="{00000000-0005-0000-0000-000043890000}"/>
    <cellStyle name="40% - Accent5 5 2 4 2 3 2 2" xfId="42653" xr:uid="{00000000-0005-0000-0000-000044890000}"/>
    <cellStyle name="40% - Accent5 5 2 4 2 3 3" xfId="31352" xr:uid="{00000000-0005-0000-0000-000045890000}"/>
    <cellStyle name="40% - Accent5 5 2 4 2 4" xfId="14401" xr:uid="{00000000-0005-0000-0000-000046890000}"/>
    <cellStyle name="40% - Accent5 5 2 4 2 4 2" xfId="37003" xr:uid="{00000000-0005-0000-0000-000047890000}"/>
    <cellStyle name="40% - Accent5 5 2 4 2 5" xfId="25702" xr:uid="{00000000-0005-0000-0000-000048890000}"/>
    <cellStyle name="40% - Accent5 5 2 4 3" xfId="4698" xr:uid="{00000000-0005-0000-0000-000049890000}"/>
    <cellStyle name="40% - Accent5 5 2 4 3 2" xfId="10348" xr:uid="{00000000-0005-0000-0000-00004A890000}"/>
    <cellStyle name="40% - Accent5 5 2 4 3 2 2" xfId="21649" xr:uid="{00000000-0005-0000-0000-00004B890000}"/>
    <cellStyle name="40% - Accent5 5 2 4 3 2 2 2" xfId="44251" xr:uid="{00000000-0005-0000-0000-00004C890000}"/>
    <cellStyle name="40% - Accent5 5 2 4 3 2 3" xfId="32950" xr:uid="{00000000-0005-0000-0000-00004D890000}"/>
    <cellStyle name="40% - Accent5 5 2 4 3 3" xfId="15999" xr:uid="{00000000-0005-0000-0000-00004E890000}"/>
    <cellStyle name="40% - Accent5 5 2 4 3 3 2" xfId="38601" xr:uid="{00000000-0005-0000-0000-00004F890000}"/>
    <cellStyle name="40% - Accent5 5 2 4 3 4" xfId="27300" xr:uid="{00000000-0005-0000-0000-000050890000}"/>
    <cellStyle name="40% - Accent5 5 2 4 4" xfId="6885" xr:uid="{00000000-0005-0000-0000-000051890000}"/>
    <cellStyle name="40% - Accent5 5 2 4 4 2" xfId="18186" xr:uid="{00000000-0005-0000-0000-000052890000}"/>
    <cellStyle name="40% - Accent5 5 2 4 4 2 2" xfId="40788" xr:uid="{00000000-0005-0000-0000-000053890000}"/>
    <cellStyle name="40% - Accent5 5 2 4 4 3" xfId="29487" xr:uid="{00000000-0005-0000-0000-000054890000}"/>
    <cellStyle name="40% - Accent5 5 2 4 5" xfId="12536" xr:uid="{00000000-0005-0000-0000-000055890000}"/>
    <cellStyle name="40% - Accent5 5 2 4 5 2" xfId="35138" xr:uid="{00000000-0005-0000-0000-000056890000}"/>
    <cellStyle name="40% - Accent5 5 2 4 6" xfId="23837" xr:uid="{00000000-0005-0000-0000-000057890000}"/>
    <cellStyle name="40% - Accent5 5 2 5" xfId="1961" xr:uid="{00000000-0005-0000-0000-000058890000}"/>
    <cellStyle name="40% - Accent5 5 2 5 2" xfId="3753" xr:uid="{00000000-0005-0000-0000-000059890000}"/>
    <cellStyle name="40% - Accent5 5 2 5 2 2" xfId="9463" xr:uid="{00000000-0005-0000-0000-00005A890000}"/>
    <cellStyle name="40% - Accent5 5 2 5 2 2 2" xfId="20764" xr:uid="{00000000-0005-0000-0000-00005B890000}"/>
    <cellStyle name="40% - Accent5 5 2 5 2 2 2 2" xfId="43366" xr:uid="{00000000-0005-0000-0000-00005C890000}"/>
    <cellStyle name="40% - Accent5 5 2 5 2 2 3" xfId="32065" xr:uid="{00000000-0005-0000-0000-00005D890000}"/>
    <cellStyle name="40% - Accent5 5 2 5 2 3" xfId="15114" xr:uid="{00000000-0005-0000-0000-00005E890000}"/>
    <cellStyle name="40% - Accent5 5 2 5 2 3 2" xfId="37716" xr:uid="{00000000-0005-0000-0000-00005F890000}"/>
    <cellStyle name="40% - Accent5 5 2 5 2 4" xfId="26415" xr:uid="{00000000-0005-0000-0000-000060890000}"/>
    <cellStyle name="40% - Accent5 5 2 5 3" xfId="5308" xr:uid="{00000000-0005-0000-0000-000061890000}"/>
    <cellStyle name="40% - Accent5 5 2 5 3 2" xfId="10958" xr:uid="{00000000-0005-0000-0000-000062890000}"/>
    <cellStyle name="40% - Accent5 5 2 5 3 2 2" xfId="22259" xr:uid="{00000000-0005-0000-0000-000063890000}"/>
    <cellStyle name="40% - Accent5 5 2 5 3 2 2 2" xfId="44861" xr:uid="{00000000-0005-0000-0000-000064890000}"/>
    <cellStyle name="40% - Accent5 5 2 5 3 2 3" xfId="33560" xr:uid="{00000000-0005-0000-0000-000065890000}"/>
    <cellStyle name="40% - Accent5 5 2 5 3 3" xfId="16609" xr:uid="{00000000-0005-0000-0000-000066890000}"/>
    <cellStyle name="40% - Accent5 5 2 5 3 3 2" xfId="39211" xr:uid="{00000000-0005-0000-0000-000067890000}"/>
    <cellStyle name="40% - Accent5 5 2 5 3 4" xfId="27910" xr:uid="{00000000-0005-0000-0000-000068890000}"/>
    <cellStyle name="40% - Accent5 5 2 5 4" xfId="7817" xr:uid="{00000000-0005-0000-0000-000069890000}"/>
    <cellStyle name="40% - Accent5 5 2 5 4 2" xfId="19118" xr:uid="{00000000-0005-0000-0000-00006A890000}"/>
    <cellStyle name="40% - Accent5 5 2 5 4 2 2" xfId="41720" xr:uid="{00000000-0005-0000-0000-00006B890000}"/>
    <cellStyle name="40% - Accent5 5 2 5 4 3" xfId="30419" xr:uid="{00000000-0005-0000-0000-00006C890000}"/>
    <cellStyle name="40% - Accent5 5 2 5 5" xfId="13468" xr:uid="{00000000-0005-0000-0000-00006D890000}"/>
    <cellStyle name="40% - Accent5 5 2 5 5 2" xfId="36070" xr:uid="{00000000-0005-0000-0000-00006E890000}"/>
    <cellStyle name="40% - Accent5 5 2 5 6" xfId="24769" xr:uid="{00000000-0005-0000-0000-00006F890000}"/>
    <cellStyle name="40% - Accent5 5 2 6" xfId="2287" xr:uid="{00000000-0005-0000-0000-000070890000}"/>
    <cellStyle name="40% - Accent5 5 2 6 2" xfId="8123" xr:uid="{00000000-0005-0000-0000-000071890000}"/>
    <cellStyle name="40% - Accent5 5 2 6 2 2" xfId="19424" xr:uid="{00000000-0005-0000-0000-000072890000}"/>
    <cellStyle name="40% - Accent5 5 2 6 2 2 2" xfId="42026" xr:uid="{00000000-0005-0000-0000-000073890000}"/>
    <cellStyle name="40% - Accent5 5 2 6 2 3" xfId="30725" xr:uid="{00000000-0005-0000-0000-000074890000}"/>
    <cellStyle name="40% - Accent5 5 2 6 3" xfId="13774" xr:uid="{00000000-0005-0000-0000-000075890000}"/>
    <cellStyle name="40% - Accent5 5 2 6 3 2" xfId="36376" xr:uid="{00000000-0005-0000-0000-000076890000}"/>
    <cellStyle name="40% - Accent5 5 2 6 4" xfId="25075" xr:uid="{00000000-0005-0000-0000-000077890000}"/>
    <cellStyle name="40% - Accent5 5 2 7" xfId="4074" xr:uid="{00000000-0005-0000-0000-000078890000}"/>
    <cellStyle name="40% - Accent5 5 2 7 2" xfId="9724" xr:uid="{00000000-0005-0000-0000-000079890000}"/>
    <cellStyle name="40% - Accent5 5 2 7 2 2" xfId="21025" xr:uid="{00000000-0005-0000-0000-00007A890000}"/>
    <cellStyle name="40% - Accent5 5 2 7 2 2 2" xfId="43627" xr:uid="{00000000-0005-0000-0000-00007B890000}"/>
    <cellStyle name="40% - Accent5 5 2 7 2 3" xfId="32326" xr:uid="{00000000-0005-0000-0000-00007C890000}"/>
    <cellStyle name="40% - Accent5 5 2 7 3" xfId="15375" xr:uid="{00000000-0005-0000-0000-00007D890000}"/>
    <cellStyle name="40% - Accent5 5 2 7 3 2" xfId="37977" xr:uid="{00000000-0005-0000-0000-00007E890000}"/>
    <cellStyle name="40% - Accent5 5 2 7 4" xfId="26676" xr:uid="{00000000-0005-0000-0000-00007F890000}"/>
    <cellStyle name="40% - Accent5 5 2 8" xfId="6525" xr:uid="{00000000-0005-0000-0000-000080890000}"/>
    <cellStyle name="40% - Accent5 5 2 8 2" xfId="17826" xr:uid="{00000000-0005-0000-0000-000081890000}"/>
    <cellStyle name="40% - Accent5 5 2 8 2 2" xfId="40428" xr:uid="{00000000-0005-0000-0000-000082890000}"/>
    <cellStyle name="40% - Accent5 5 2 8 3" xfId="29127" xr:uid="{00000000-0005-0000-0000-000083890000}"/>
    <cellStyle name="40% - Accent5 5 2 9" xfId="12176" xr:uid="{00000000-0005-0000-0000-000084890000}"/>
    <cellStyle name="40% - Accent5 5 2 9 2" xfId="34778" xr:uid="{00000000-0005-0000-0000-000085890000}"/>
    <cellStyle name="40% - Accent5 5 3" xfId="531" xr:uid="{00000000-0005-0000-0000-000086890000}"/>
    <cellStyle name="40% - Accent5 5 3 2" xfId="1244" xr:uid="{00000000-0005-0000-0000-000087890000}"/>
    <cellStyle name="40% - Accent5 5 3 2 2" xfId="1966" xr:uid="{00000000-0005-0000-0000-000088890000}"/>
    <cellStyle name="40% - Accent5 5 3 2 2 2" xfId="3313" xr:uid="{00000000-0005-0000-0000-000089890000}"/>
    <cellStyle name="40% - Accent5 5 3 2 2 2 2" xfId="6285" xr:uid="{00000000-0005-0000-0000-00008A890000}"/>
    <cellStyle name="40% - Accent5 5 3 2 2 2 2 2" xfId="11935" xr:uid="{00000000-0005-0000-0000-00008B890000}"/>
    <cellStyle name="40% - Accent5 5 3 2 2 2 2 2 2" xfId="23236" xr:uid="{00000000-0005-0000-0000-00008C890000}"/>
    <cellStyle name="40% - Accent5 5 3 2 2 2 2 2 2 2" xfId="45838" xr:uid="{00000000-0005-0000-0000-00008D890000}"/>
    <cellStyle name="40% - Accent5 5 3 2 2 2 2 2 3" xfId="34537" xr:uid="{00000000-0005-0000-0000-00008E890000}"/>
    <cellStyle name="40% - Accent5 5 3 2 2 2 2 3" xfId="17586" xr:uid="{00000000-0005-0000-0000-00008F890000}"/>
    <cellStyle name="40% - Accent5 5 3 2 2 2 2 3 2" xfId="40188" xr:uid="{00000000-0005-0000-0000-000090890000}"/>
    <cellStyle name="40% - Accent5 5 3 2 2 2 2 4" xfId="28887" xr:uid="{00000000-0005-0000-0000-000091890000}"/>
    <cellStyle name="40% - Accent5 5 3 2 2 2 3" xfId="9103" xr:uid="{00000000-0005-0000-0000-000092890000}"/>
    <cellStyle name="40% - Accent5 5 3 2 2 2 3 2" xfId="20404" xr:uid="{00000000-0005-0000-0000-000093890000}"/>
    <cellStyle name="40% - Accent5 5 3 2 2 2 3 2 2" xfId="43006" xr:uid="{00000000-0005-0000-0000-000094890000}"/>
    <cellStyle name="40% - Accent5 5 3 2 2 2 3 3" xfId="31705" xr:uid="{00000000-0005-0000-0000-000095890000}"/>
    <cellStyle name="40% - Accent5 5 3 2 2 2 4" xfId="14754" xr:uid="{00000000-0005-0000-0000-000096890000}"/>
    <cellStyle name="40% - Accent5 5 3 2 2 2 4 2" xfId="37356" xr:uid="{00000000-0005-0000-0000-000097890000}"/>
    <cellStyle name="40% - Accent5 5 3 2 2 2 5" xfId="26055" xr:uid="{00000000-0005-0000-0000-000098890000}"/>
    <cellStyle name="40% - Accent5 5 3 2 2 3" xfId="5051" xr:uid="{00000000-0005-0000-0000-000099890000}"/>
    <cellStyle name="40% - Accent5 5 3 2 2 3 2" xfId="10701" xr:uid="{00000000-0005-0000-0000-00009A890000}"/>
    <cellStyle name="40% - Accent5 5 3 2 2 3 2 2" xfId="22002" xr:uid="{00000000-0005-0000-0000-00009B890000}"/>
    <cellStyle name="40% - Accent5 5 3 2 2 3 2 2 2" xfId="44604" xr:uid="{00000000-0005-0000-0000-00009C890000}"/>
    <cellStyle name="40% - Accent5 5 3 2 2 3 2 3" xfId="33303" xr:uid="{00000000-0005-0000-0000-00009D890000}"/>
    <cellStyle name="40% - Accent5 5 3 2 2 3 3" xfId="16352" xr:uid="{00000000-0005-0000-0000-00009E890000}"/>
    <cellStyle name="40% - Accent5 5 3 2 2 3 3 2" xfId="38954" xr:uid="{00000000-0005-0000-0000-00009F890000}"/>
    <cellStyle name="40% - Accent5 5 3 2 2 3 4" xfId="27653" xr:uid="{00000000-0005-0000-0000-0000A0890000}"/>
    <cellStyle name="40% - Accent5 5 3 2 2 4" xfId="7822" xr:uid="{00000000-0005-0000-0000-0000A1890000}"/>
    <cellStyle name="40% - Accent5 5 3 2 2 4 2" xfId="19123" xr:uid="{00000000-0005-0000-0000-0000A2890000}"/>
    <cellStyle name="40% - Accent5 5 3 2 2 4 2 2" xfId="41725" xr:uid="{00000000-0005-0000-0000-0000A3890000}"/>
    <cellStyle name="40% - Accent5 5 3 2 2 4 3" xfId="30424" xr:uid="{00000000-0005-0000-0000-0000A4890000}"/>
    <cellStyle name="40% - Accent5 5 3 2 2 5" xfId="13473" xr:uid="{00000000-0005-0000-0000-0000A5890000}"/>
    <cellStyle name="40% - Accent5 5 3 2 2 5 2" xfId="36075" xr:uid="{00000000-0005-0000-0000-0000A6890000}"/>
    <cellStyle name="40% - Accent5 5 3 2 2 6" xfId="24774" xr:uid="{00000000-0005-0000-0000-0000A7890000}"/>
    <cellStyle name="40% - Accent5 5 3 2 3" xfId="2642" xr:uid="{00000000-0005-0000-0000-0000A8890000}"/>
    <cellStyle name="40% - Accent5 5 3 2 3 2" xfId="5661" xr:uid="{00000000-0005-0000-0000-0000A9890000}"/>
    <cellStyle name="40% - Accent5 5 3 2 3 2 2" xfId="11311" xr:uid="{00000000-0005-0000-0000-0000AA890000}"/>
    <cellStyle name="40% - Accent5 5 3 2 3 2 2 2" xfId="22612" xr:uid="{00000000-0005-0000-0000-0000AB890000}"/>
    <cellStyle name="40% - Accent5 5 3 2 3 2 2 2 2" xfId="45214" xr:uid="{00000000-0005-0000-0000-0000AC890000}"/>
    <cellStyle name="40% - Accent5 5 3 2 3 2 2 3" xfId="33913" xr:uid="{00000000-0005-0000-0000-0000AD890000}"/>
    <cellStyle name="40% - Accent5 5 3 2 3 2 3" xfId="16962" xr:uid="{00000000-0005-0000-0000-0000AE890000}"/>
    <cellStyle name="40% - Accent5 5 3 2 3 2 3 2" xfId="39564" xr:uid="{00000000-0005-0000-0000-0000AF890000}"/>
    <cellStyle name="40% - Accent5 5 3 2 3 2 4" xfId="28263" xr:uid="{00000000-0005-0000-0000-0000B0890000}"/>
    <cellStyle name="40% - Accent5 5 3 2 3 3" xfId="8478" xr:uid="{00000000-0005-0000-0000-0000B1890000}"/>
    <cellStyle name="40% - Accent5 5 3 2 3 3 2" xfId="19779" xr:uid="{00000000-0005-0000-0000-0000B2890000}"/>
    <cellStyle name="40% - Accent5 5 3 2 3 3 2 2" xfId="42381" xr:uid="{00000000-0005-0000-0000-0000B3890000}"/>
    <cellStyle name="40% - Accent5 5 3 2 3 3 3" xfId="31080" xr:uid="{00000000-0005-0000-0000-0000B4890000}"/>
    <cellStyle name="40% - Accent5 5 3 2 3 4" xfId="14129" xr:uid="{00000000-0005-0000-0000-0000B5890000}"/>
    <cellStyle name="40% - Accent5 5 3 2 3 4 2" xfId="36731" xr:uid="{00000000-0005-0000-0000-0000B6890000}"/>
    <cellStyle name="40% - Accent5 5 3 2 3 5" xfId="25430" xr:uid="{00000000-0005-0000-0000-0000B7890000}"/>
    <cellStyle name="40% - Accent5 5 3 2 4" xfId="4427" xr:uid="{00000000-0005-0000-0000-0000B8890000}"/>
    <cellStyle name="40% - Accent5 5 3 2 4 2" xfId="10077" xr:uid="{00000000-0005-0000-0000-0000B9890000}"/>
    <cellStyle name="40% - Accent5 5 3 2 4 2 2" xfId="21378" xr:uid="{00000000-0005-0000-0000-0000BA890000}"/>
    <cellStyle name="40% - Accent5 5 3 2 4 2 2 2" xfId="43980" xr:uid="{00000000-0005-0000-0000-0000BB890000}"/>
    <cellStyle name="40% - Accent5 5 3 2 4 2 3" xfId="32679" xr:uid="{00000000-0005-0000-0000-0000BC890000}"/>
    <cellStyle name="40% - Accent5 5 3 2 4 3" xfId="15728" xr:uid="{00000000-0005-0000-0000-0000BD890000}"/>
    <cellStyle name="40% - Accent5 5 3 2 4 3 2" xfId="38330" xr:uid="{00000000-0005-0000-0000-0000BE890000}"/>
    <cellStyle name="40% - Accent5 5 3 2 4 4" xfId="27029" xr:uid="{00000000-0005-0000-0000-0000BF890000}"/>
    <cellStyle name="40% - Accent5 5 3 2 5" xfId="7223" xr:uid="{00000000-0005-0000-0000-0000C0890000}"/>
    <cellStyle name="40% - Accent5 5 3 2 5 2" xfId="18524" xr:uid="{00000000-0005-0000-0000-0000C1890000}"/>
    <cellStyle name="40% - Accent5 5 3 2 5 2 2" xfId="41126" xr:uid="{00000000-0005-0000-0000-0000C2890000}"/>
    <cellStyle name="40% - Accent5 5 3 2 5 3" xfId="29825" xr:uid="{00000000-0005-0000-0000-0000C3890000}"/>
    <cellStyle name="40% - Accent5 5 3 2 6" xfId="12874" xr:uid="{00000000-0005-0000-0000-0000C4890000}"/>
    <cellStyle name="40% - Accent5 5 3 2 6 2" xfId="35476" xr:uid="{00000000-0005-0000-0000-0000C5890000}"/>
    <cellStyle name="40% - Accent5 5 3 2 7" xfId="24175" xr:uid="{00000000-0005-0000-0000-0000C6890000}"/>
    <cellStyle name="40% - Accent5 5 3 3" xfId="942" xr:uid="{00000000-0005-0000-0000-0000C7890000}"/>
    <cellStyle name="40% - Accent5 5 3 3 2" xfId="3005" xr:uid="{00000000-0005-0000-0000-0000C8890000}"/>
    <cellStyle name="40% - Accent5 5 3 3 2 2" xfId="5977" xr:uid="{00000000-0005-0000-0000-0000C9890000}"/>
    <cellStyle name="40% - Accent5 5 3 3 2 2 2" xfId="11627" xr:uid="{00000000-0005-0000-0000-0000CA890000}"/>
    <cellStyle name="40% - Accent5 5 3 3 2 2 2 2" xfId="22928" xr:uid="{00000000-0005-0000-0000-0000CB890000}"/>
    <cellStyle name="40% - Accent5 5 3 3 2 2 2 2 2" xfId="45530" xr:uid="{00000000-0005-0000-0000-0000CC890000}"/>
    <cellStyle name="40% - Accent5 5 3 3 2 2 2 3" xfId="34229" xr:uid="{00000000-0005-0000-0000-0000CD890000}"/>
    <cellStyle name="40% - Accent5 5 3 3 2 2 3" xfId="17278" xr:uid="{00000000-0005-0000-0000-0000CE890000}"/>
    <cellStyle name="40% - Accent5 5 3 3 2 2 3 2" xfId="39880" xr:uid="{00000000-0005-0000-0000-0000CF890000}"/>
    <cellStyle name="40% - Accent5 5 3 3 2 2 4" xfId="28579" xr:uid="{00000000-0005-0000-0000-0000D0890000}"/>
    <cellStyle name="40% - Accent5 5 3 3 2 3" xfId="8795" xr:uid="{00000000-0005-0000-0000-0000D1890000}"/>
    <cellStyle name="40% - Accent5 5 3 3 2 3 2" xfId="20096" xr:uid="{00000000-0005-0000-0000-0000D2890000}"/>
    <cellStyle name="40% - Accent5 5 3 3 2 3 2 2" xfId="42698" xr:uid="{00000000-0005-0000-0000-0000D3890000}"/>
    <cellStyle name="40% - Accent5 5 3 3 2 3 3" xfId="31397" xr:uid="{00000000-0005-0000-0000-0000D4890000}"/>
    <cellStyle name="40% - Accent5 5 3 3 2 4" xfId="14446" xr:uid="{00000000-0005-0000-0000-0000D5890000}"/>
    <cellStyle name="40% - Accent5 5 3 3 2 4 2" xfId="37048" xr:uid="{00000000-0005-0000-0000-0000D6890000}"/>
    <cellStyle name="40% - Accent5 5 3 3 2 5" xfId="25747" xr:uid="{00000000-0005-0000-0000-0000D7890000}"/>
    <cellStyle name="40% - Accent5 5 3 3 3" xfId="4743" xr:uid="{00000000-0005-0000-0000-0000D8890000}"/>
    <cellStyle name="40% - Accent5 5 3 3 3 2" xfId="10393" xr:uid="{00000000-0005-0000-0000-0000D9890000}"/>
    <cellStyle name="40% - Accent5 5 3 3 3 2 2" xfId="21694" xr:uid="{00000000-0005-0000-0000-0000DA890000}"/>
    <cellStyle name="40% - Accent5 5 3 3 3 2 2 2" xfId="44296" xr:uid="{00000000-0005-0000-0000-0000DB890000}"/>
    <cellStyle name="40% - Accent5 5 3 3 3 2 3" xfId="32995" xr:uid="{00000000-0005-0000-0000-0000DC890000}"/>
    <cellStyle name="40% - Accent5 5 3 3 3 3" xfId="16044" xr:uid="{00000000-0005-0000-0000-0000DD890000}"/>
    <cellStyle name="40% - Accent5 5 3 3 3 3 2" xfId="38646" xr:uid="{00000000-0005-0000-0000-0000DE890000}"/>
    <cellStyle name="40% - Accent5 5 3 3 3 4" xfId="27345" xr:uid="{00000000-0005-0000-0000-0000DF890000}"/>
    <cellStyle name="40% - Accent5 5 3 3 4" xfId="6930" xr:uid="{00000000-0005-0000-0000-0000E0890000}"/>
    <cellStyle name="40% - Accent5 5 3 3 4 2" xfId="18231" xr:uid="{00000000-0005-0000-0000-0000E1890000}"/>
    <cellStyle name="40% - Accent5 5 3 3 4 2 2" xfId="40833" xr:uid="{00000000-0005-0000-0000-0000E2890000}"/>
    <cellStyle name="40% - Accent5 5 3 3 4 3" xfId="29532" xr:uid="{00000000-0005-0000-0000-0000E3890000}"/>
    <cellStyle name="40% - Accent5 5 3 3 5" xfId="12581" xr:uid="{00000000-0005-0000-0000-0000E4890000}"/>
    <cellStyle name="40% - Accent5 5 3 3 5 2" xfId="35183" xr:uid="{00000000-0005-0000-0000-0000E5890000}"/>
    <cellStyle name="40% - Accent5 5 3 3 6" xfId="23882" xr:uid="{00000000-0005-0000-0000-0000E6890000}"/>
    <cellStyle name="40% - Accent5 5 3 4" xfId="1965" xr:uid="{00000000-0005-0000-0000-0000E7890000}"/>
    <cellStyle name="40% - Accent5 5 3 4 2" xfId="3756" xr:uid="{00000000-0005-0000-0000-0000E8890000}"/>
    <cellStyle name="40% - Accent5 5 3 4 2 2" xfId="9466" xr:uid="{00000000-0005-0000-0000-0000E9890000}"/>
    <cellStyle name="40% - Accent5 5 3 4 2 2 2" xfId="20767" xr:uid="{00000000-0005-0000-0000-0000EA890000}"/>
    <cellStyle name="40% - Accent5 5 3 4 2 2 2 2" xfId="43369" xr:uid="{00000000-0005-0000-0000-0000EB890000}"/>
    <cellStyle name="40% - Accent5 5 3 4 2 2 3" xfId="32068" xr:uid="{00000000-0005-0000-0000-0000EC890000}"/>
    <cellStyle name="40% - Accent5 5 3 4 2 3" xfId="15117" xr:uid="{00000000-0005-0000-0000-0000ED890000}"/>
    <cellStyle name="40% - Accent5 5 3 4 2 3 2" xfId="37719" xr:uid="{00000000-0005-0000-0000-0000EE890000}"/>
    <cellStyle name="40% - Accent5 5 3 4 2 4" xfId="26418" xr:uid="{00000000-0005-0000-0000-0000EF890000}"/>
    <cellStyle name="40% - Accent5 5 3 4 3" xfId="5353" xr:uid="{00000000-0005-0000-0000-0000F0890000}"/>
    <cellStyle name="40% - Accent5 5 3 4 3 2" xfId="11003" xr:uid="{00000000-0005-0000-0000-0000F1890000}"/>
    <cellStyle name="40% - Accent5 5 3 4 3 2 2" xfId="22304" xr:uid="{00000000-0005-0000-0000-0000F2890000}"/>
    <cellStyle name="40% - Accent5 5 3 4 3 2 2 2" xfId="44906" xr:uid="{00000000-0005-0000-0000-0000F3890000}"/>
    <cellStyle name="40% - Accent5 5 3 4 3 2 3" xfId="33605" xr:uid="{00000000-0005-0000-0000-0000F4890000}"/>
    <cellStyle name="40% - Accent5 5 3 4 3 3" xfId="16654" xr:uid="{00000000-0005-0000-0000-0000F5890000}"/>
    <cellStyle name="40% - Accent5 5 3 4 3 3 2" xfId="39256" xr:uid="{00000000-0005-0000-0000-0000F6890000}"/>
    <cellStyle name="40% - Accent5 5 3 4 3 4" xfId="27955" xr:uid="{00000000-0005-0000-0000-0000F7890000}"/>
    <cellStyle name="40% - Accent5 5 3 4 4" xfId="7821" xr:uid="{00000000-0005-0000-0000-0000F8890000}"/>
    <cellStyle name="40% - Accent5 5 3 4 4 2" xfId="19122" xr:uid="{00000000-0005-0000-0000-0000F9890000}"/>
    <cellStyle name="40% - Accent5 5 3 4 4 2 2" xfId="41724" xr:uid="{00000000-0005-0000-0000-0000FA890000}"/>
    <cellStyle name="40% - Accent5 5 3 4 4 3" xfId="30423" xr:uid="{00000000-0005-0000-0000-0000FB890000}"/>
    <cellStyle name="40% - Accent5 5 3 4 5" xfId="13472" xr:uid="{00000000-0005-0000-0000-0000FC890000}"/>
    <cellStyle name="40% - Accent5 5 3 4 5 2" xfId="36074" xr:uid="{00000000-0005-0000-0000-0000FD890000}"/>
    <cellStyle name="40% - Accent5 5 3 4 6" xfId="24773" xr:uid="{00000000-0005-0000-0000-0000FE890000}"/>
    <cellStyle name="40% - Accent5 5 3 5" xfId="2334" xr:uid="{00000000-0005-0000-0000-0000FF890000}"/>
    <cellStyle name="40% - Accent5 5 3 5 2" xfId="8170" xr:uid="{00000000-0005-0000-0000-0000008A0000}"/>
    <cellStyle name="40% - Accent5 5 3 5 2 2" xfId="19471" xr:uid="{00000000-0005-0000-0000-0000018A0000}"/>
    <cellStyle name="40% - Accent5 5 3 5 2 2 2" xfId="42073" xr:uid="{00000000-0005-0000-0000-0000028A0000}"/>
    <cellStyle name="40% - Accent5 5 3 5 2 3" xfId="30772" xr:uid="{00000000-0005-0000-0000-0000038A0000}"/>
    <cellStyle name="40% - Accent5 5 3 5 3" xfId="13821" xr:uid="{00000000-0005-0000-0000-0000048A0000}"/>
    <cellStyle name="40% - Accent5 5 3 5 3 2" xfId="36423" xr:uid="{00000000-0005-0000-0000-0000058A0000}"/>
    <cellStyle name="40% - Accent5 5 3 5 4" xfId="25122" xr:uid="{00000000-0005-0000-0000-0000068A0000}"/>
    <cellStyle name="40% - Accent5 5 3 6" xfId="4119" xr:uid="{00000000-0005-0000-0000-0000078A0000}"/>
    <cellStyle name="40% - Accent5 5 3 6 2" xfId="9769" xr:uid="{00000000-0005-0000-0000-0000088A0000}"/>
    <cellStyle name="40% - Accent5 5 3 6 2 2" xfId="21070" xr:uid="{00000000-0005-0000-0000-0000098A0000}"/>
    <cellStyle name="40% - Accent5 5 3 6 2 2 2" xfId="43672" xr:uid="{00000000-0005-0000-0000-00000A8A0000}"/>
    <cellStyle name="40% - Accent5 5 3 6 2 3" xfId="32371" xr:uid="{00000000-0005-0000-0000-00000B8A0000}"/>
    <cellStyle name="40% - Accent5 5 3 6 3" xfId="15420" xr:uid="{00000000-0005-0000-0000-00000C8A0000}"/>
    <cellStyle name="40% - Accent5 5 3 6 3 2" xfId="38022" xr:uid="{00000000-0005-0000-0000-00000D8A0000}"/>
    <cellStyle name="40% - Accent5 5 3 6 4" xfId="26721" xr:uid="{00000000-0005-0000-0000-00000E8A0000}"/>
    <cellStyle name="40% - Accent5 5 3 7" xfId="6597" xr:uid="{00000000-0005-0000-0000-00000F8A0000}"/>
    <cellStyle name="40% - Accent5 5 3 7 2" xfId="17898" xr:uid="{00000000-0005-0000-0000-0000108A0000}"/>
    <cellStyle name="40% - Accent5 5 3 7 2 2" xfId="40500" xr:uid="{00000000-0005-0000-0000-0000118A0000}"/>
    <cellStyle name="40% - Accent5 5 3 7 3" xfId="29199" xr:uid="{00000000-0005-0000-0000-0000128A0000}"/>
    <cellStyle name="40% - Accent5 5 3 8" xfId="12248" xr:uid="{00000000-0005-0000-0000-0000138A0000}"/>
    <cellStyle name="40% - Accent5 5 3 8 2" xfId="34850" xr:uid="{00000000-0005-0000-0000-0000148A0000}"/>
    <cellStyle name="40% - Accent5 5 3 9" xfId="23549" xr:uid="{00000000-0005-0000-0000-0000158A0000}"/>
    <cellStyle name="40% - Accent5 5 4" xfId="1104" xr:uid="{00000000-0005-0000-0000-0000168A0000}"/>
    <cellStyle name="40% - Accent5 5 4 2" xfId="1967" xr:uid="{00000000-0005-0000-0000-0000178A0000}"/>
    <cellStyle name="40% - Accent5 5 4 2 2" xfId="3172" xr:uid="{00000000-0005-0000-0000-0000188A0000}"/>
    <cellStyle name="40% - Accent5 5 4 2 2 2" xfId="6144" xr:uid="{00000000-0005-0000-0000-0000198A0000}"/>
    <cellStyle name="40% - Accent5 5 4 2 2 2 2" xfId="11794" xr:uid="{00000000-0005-0000-0000-00001A8A0000}"/>
    <cellStyle name="40% - Accent5 5 4 2 2 2 2 2" xfId="23095" xr:uid="{00000000-0005-0000-0000-00001B8A0000}"/>
    <cellStyle name="40% - Accent5 5 4 2 2 2 2 2 2" xfId="45697" xr:uid="{00000000-0005-0000-0000-00001C8A0000}"/>
    <cellStyle name="40% - Accent5 5 4 2 2 2 2 3" xfId="34396" xr:uid="{00000000-0005-0000-0000-00001D8A0000}"/>
    <cellStyle name="40% - Accent5 5 4 2 2 2 3" xfId="17445" xr:uid="{00000000-0005-0000-0000-00001E8A0000}"/>
    <cellStyle name="40% - Accent5 5 4 2 2 2 3 2" xfId="40047" xr:uid="{00000000-0005-0000-0000-00001F8A0000}"/>
    <cellStyle name="40% - Accent5 5 4 2 2 2 4" xfId="28746" xr:uid="{00000000-0005-0000-0000-0000208A0000}"/>
    <cellStyle name="40% - Accent5 5 4 2 2 3" xfId="8962" xr:uid="{00000000-0005-0000-0000-0000218A0000}"/>
    <cellStyle name="40% - Accent5 5 4 2 2 3 2" xfId="20263" xr:uid="{00000000-0005-0000-0000-0000228A0000}"/>
    <cellStyle name="40% - Accent5 5 4 2 2 3 2 2" xfId="42865" xr:uid="{00000000-0005-0000-0000-0000238A0000}"/>
    <cellStyle name="40% - Accent5 5 4 2 2 3 3" xfId="31564" xr:uid="{00000000-0005-0000-0000-0000248A0000}"/>
    <cellStyle name="40% - Accent5 5 4 2 2 4" xfId="14613" xr:uid="{00000000-0005-0000-0000-0000258A0000}"/>
    <cellStyle name="40% - Accent5 5 4 2 2 4 2" xfId="37215" xr:uid="{00000000-0005-0000-0000-0000268A0000}"/>
    <cellStyle name="40% - Accent5 5 4 2 2 5" xfId="25914" xr:uid="{00000000-0005-0000-0000-0000278A0000}"/>
    <cellStyle name="40% - Accent5 5 4 2 3" xfId="4910" xr:uid="{00000000-0005-0000-0000-0000288A0000}"/>
    <cellStyle name="40% - Accent5 5 4 2 3 2" xfId="10560" xr:uid="{00000000-0005-0000-0000-0000298A0000}"/>
    <cellStyle name="40% - Accent5 5 4 2 3 2 2" xfId="21861" xr:uid="{00000000-0005-0000-0000-00002A8A0000}"/>
    <cellStyle name="40% - Accent5 5 4 2 3 2 2 2" xfId="44463" xr:uid="{00000000-0005-0000-0000-00002B8A0000}"/>
    <cellStyle name="40% - Accent5 5 4 2 3 2 3" xfId="33162" xr:uid="{00000000-0005-0000-0000-00002C8A0000}"/>
    <cellStyle name="40% - Accent5 5 4 2 3 3" xfId="16211" xr:uid="{00000000-0005-0000-0000-00002D8A0000}"/>
    <cellStyle name="40% - Accent5 5 4 2 3 3 2" xfId="38813" xr:uid="{00000000-0005-0000-0000-00002E8A0000}"/>
    <cellStyle name="40% - Accent5 5 4 2 3 4" xfId="27512" xr:uid="{00000000-0005-0000-0000-00002F8A0000}"/>
    <cellStyle name="40% - Accent5 5 4 2 4" xfId="7823" xr:uid="{00000000-0005-0000-0000-0000308A0000}"/>
    <cellStyle name="40% - Accent5 5 4 2 4 2" xfId="19124" xr:uid="{00000000-0005-0000-0000-0000318A0000}"/>
    <cellStyle name="40% - Accent5 5 4 2 4 2 2" xfId="41726" xr:uid="{00000000-0005-0000-0000-0000328A0000}"/>
    <cellStyle name="40% - Accent5 5 4 2 4 3" xfId="30425" xr:uid="{00000000-0005-0000-0000-0000338A0000}"/>
    <cellStyle name="40% - Accent5 5 4 2 5" xfId="13474" xr:uid="{00000000-0005-0000-0000-0000348A0000}"/>
    <cellStyle name="40% - Accent5 5 4 2 5 2" xfId="36076" xr:uid="{00000000-0005-0000-0000-0000358A0000}"/>
    <cellStyle name="40% - Accent5 5 4 2 6" xfId="24775" xr:uid="{00000000-0005-0000-0000-0000368A0000}"/>
    <cellStyle name="40% - Accent5 5 4 3" xfId="2501" xr:uid="{00000000-0005-0000-0000-0000378A0000}"/>
    <cellStyle name="40% - Accent5 5 4 3 2" xfId="5520" xr:uid="{00000000-0005-0000-0000-0000388A0000}"/>
    <cellStyle name="40% - Accent5 5 4 3 2 2" xfId="11170" xr:uid="{00000000-0005-0000-0000-0000398A0000}"/>
    <cellStyle name="40% - Accent5 5 4 3 2 2 2" xfId="22471" xr:uid="{00000000-0005-0000-0000-00003A8A0000}"/>
    <cellStyle name="40% - Accent5 5 4 3 2 2 2 2" xfId="45073" xr:uid="{00000000-0005-0000-0000-00003B8A0000}"/>
    <cellStyle name="40% - Accent5 5 4 3 2 2 3" xfId="33772" xr:uid="{00000000-0005-0000-0000-00003C8A0000}"/>
    <cellStyle name="40% - Accent5 5 4 3 2 3" xfId="16821" xr:uid="{00000000-0005-0000-0000-00003D8A0000}"/>
    <cellStyle name="40% - Accent5 5 4 3 2 3 2" xfId="39423" xr:uid="{00000000-0005-0000-0000-00003E8A0000}"/>
    <cellStyle name="40% - Accent5 5 4 3 2 4" xfId="28122" xr:uid="{00000000-0005-0000-0000-00003F8A0000}"/>
    <cellStyle name="40% - Accent5 5 4 3 3" xfId="8337" xr:uid="{00000000-0005-0000-0000-0000408A0000}"/>
    <cellStyle name="40% - Accent5 5 4 3 3 2" xfId="19638" xr:uid="{00000000-0005-0000-0000-0000418A0000}"/>
    <cellStyle name="40% - Accent5 5 4 3 3 2 2" xfId="42240" xr:uid="{00000000-0005-0000-0000-0000428A0000}"/>
    <cellStyle name="40% - Accent5 5 4 3 3 3" xfId="30939" xr:uid="{00000000-0005-0000-0000-0000438A0000}"/>
    <cellStyle name="40% - Accent5 5 4 3 4" xfId="13988" xr:uid="{00000000-0005-0000-0000-0000448A0000}"/>
    <cellStyle name="40% - Accent5 5 4 3 4 2" xfId="36590" xr:uid="{00000000-0005-0000-0000-0000458A0000}"/>
    <cellStyle name="40% - Accent5 5 4 3 5" xfId="25289" xr:uid="{00000000-0005-0000-0000-0000468A0000}"/>
    <cellStyle name="40% - Accent5 5 4 4" xfId="4286" xr:uid="{00000000-0005-0000-0000-0000478A0000}"/>
    <cellStyle name="40% - Accent5 5 4 4 2" xfId="9936" xr:uid="{00000000-0005-0000-0000-0000488A0000}"/>
    <cellStyle name="40% - Accent5 5 4 4 2 2" xfId="21237" xr:uid="{00000000-0005-0000-0000-0000498A0000}"/>
    <cellStyle name="40% - Accent5 5 4 4 2 2 2" xfId="43839" xr:uid="{00000000-0005-0000-0000-00004A8A0000}"/>
    <cellStyle name="40% - Accent5 5 4 4 2 3" xfId="32538" xr:uid="{00000000-0005-0000-0000-00004B8A0000}"/>
    <cellStyle name="40% - Accent5 5 4 4 3" xfId="15587" xr:uid="{00000000-0005-0000-0000-00004C8A0000}"/>
    <cellStyle name="40% - Accent5 5 4 4 3 2" xfId="38189" xr:uid="{00000000-0005-0000-0000-00004D8A0000}"/>
    <cellStyle name="40% - Accent5 5 4 4 4" xfId="26888" xr:uid="{00000000-0005-0000-0000-00004E8A0000}"/>
    <cellStyle name="40% - Accent5 5 4 5" xfId="7083" xr:uid="{00000000-0005-0000-0000-00004F8A0000}"/>
    <cellStyle name="40% - Accent5 5 4 5 2" xfId="18384" xr:uid="{00000000-0005-0000-0000-0000508A0000}"/>
    <cellStyle name="40% - Accent5 5 4 5 2 2" xfId="40986" xr:uid="{00000000-0005-0000-0000-0000518A0000}"/>
    <cellStyle name="40% - Accent5 5 4 5 3" xfId="29685" xr:uid="{00000000-0005-0000-0000-0000528A0000}"/>
    <cellStyle name="40% - Accent5 5 4 6" xfId="12734" xr:uid="{00000000-0005-0000-0000-0000538A0000}"/>
    <cellStyle name="40% - Accent5 5 4 6 2" xfId="35336" xr:uid="{00000000-0005-0000-0000-0000548A0000}"/>
    <cellStyle name="40% - Accent5 5 4 7" xfId="24035" xr:uid="{00000000-0005-0000-0000-0000558A0000}"/>
    <cellStyle name="40% - Accent5 5 5" xfId="784" xr:uid="{00000000-0005-0000-0000-0000568A0000}"/>
    <cellStyle name="40% - Accent5 5 5 2" xfId="2865" xr:uid="{00000000-0005-0000-0000-0000578A0000}"/>
    <cellStyle name="40% - Accent5 5 5 2 2" xfId="5837" xr:uid="{00000000-0005-0000-0000-0000588A0000}"/>
    <cellStyle name="40% - Accent5 5 5 2 2 2" xfId="11487" xr:uid="{00000000-0005-0000-0000-0000598A0000}"/>
    <cellStyle name="40% - Accent5 5 5 2 2 2 2" xfId="22788" xr:uid="{00000000-0005-0000-0000-00005A8A0000}"/>
    <cellStyle name="40% - Accent5 5 5 2 2 2 2 2" xfId="45390" xr:uid="{00000000-0005-0000-0000-00005B8A0000}"/>
    <cellStyle name="40% - Accent5 5 5 2 2 2 3" xfId="34089" xr:uid="{00000000-0005-0000-0000-00005C8A0000}"/>
    <cellStyle name="40% - Accent5 5 5 2 2 3" xfId="17138" xr:uid="{00000000-0005-0000-0000-00005D8A0000}"/>
    <cellStyle name="40% - Accent5 5 5 2 2 3 2" xfId="39740" xr:uid="{00000000-0005-0000-0000-00005E8A0000}"/>
    <cellStyle name="40% - Accent5 5 5 2 2 4" xfId="28439" xr:uid="{00000000-0005-0000-0000-00005F8A0000}"/>
    <cellStyle name="40% - Accent5 5 5 2 3" xfId="8655" xr:uid="{00000000-0005-0000-0000-0000608A0000}"/>
    <cellStyle name="40% - Accent5 5 5 2 3 2" xfId="19956" xr:uid="{00000000-0005-0000-0000-0000618A0000}"/>
    <cellStyle name="40% - Accent5 5 5 2 3 2 2" xfId="42558" xr:uid="{00000000-0005-0000-0000-0000628A0000}"/>
    <cellStyle name="40% - Accent5 5 5 2 3 3" xfId="31257" xr:uid="{00000000-0005-0000-0000-0000638A0000}"/>
    <cellStyle name="40% - Accent5 5 5 2 4" xfId="14306" xr:uid="{00000000-0005-0000-0000-0000648A0000}"/>
    <cellStyle name="40% - Accent5 5 5 2 4 2" xfId="36908" xr:uid="{00000000-0005-0000-0000-0000658A0000}"/>
    <cellStyle name="40% - Accent5 5 5 2 5" xfId="25607" xr:uid="{00000000-0005-0000-0000-0000668A0000}"/>
    <cellStyle name="40% - Accent5 5 5 3" xfId="4603" xr:uid="{00000000-0005-0000-0000-0000678A0000}"/>
    <cellStyle name="40% - Accent5 5 5 3 2" xfId="10253" xr:uid="{00000000-0005-0000-0000-0000688A0000}"/>
    <cellStyle name="40% - Accent5 5 5 3 2 2" xfId="21554" xr:uid="{00000000-0005-0000-0000-0000698A0000}"/>
    <cellStyle name="40% - Accent5 5 5 3 2 2 2" xfId="44156" xr:uid="{00000000-0005-0000-0000-00006A8A0000}"/>
    <cellStyle name="40% - Accent5 5 5 3 2 3" xfId="32855" xr:uid="{00000000-0005-0000-0000-00006B8A0000}"/>
    <cellStyle name="40% - Accent5 5 5 3 3" xfId="15904" xr:uid="{00000000-0005-0000-0000-00006C8A0000}"/>
    <cellStyle name="40% - Accent5 5 5 3 3 2" xfId="38506" xr:uid="{00000000-0005-0000-0000-00006D8A0000}"/>
    <cellStyle name="40% - Accent5 5 5 3 4" xfId="27205" xr:uid="{00000000-0005-0000-0000-00006E8A0000}"/>
    <cellStyle name="40% - Accent5 5 5 4" xfId="6789" xr:uid="{00000000-0005-0000-0000-00006F8A0000}"/>
    <cellStyle name="40% - Accent5 5 5 4 2" xfId="18090" xr:uid="{00000000-0005-0000-0000-0000708A0000}"/>
    <cellStyle name="40% - Accent5 5 5 4 2 2" xfId="40692" xr:uid="{00000000-0005-0000-0000-0000718A0000}"/>
    <cellStyle name="40% - Accent5 5 5 4 3" xfId="29391" xr:uid="{00000000-0005-0000-0000-0000728A0000}"/>
    <cellStyle name="40% - Accent5 5 5 5" xfId="12440" xr:uid="{00000000-0005-0000-0000-0000738A0000}"/>
    <cellStyle name="40% - Accent5 5 5 5 2" xfId="35042" xr:uid="{00000000-0005-0000-0000-0000748A0000}"/>
    <cellStyle name="40% - Accent5 5 5 6" xfId="23741" xr:uid="{00000000-0005-0000-0000-0000758A0000}"/>
    <cellStyle name="40% - Accent5 5 6" xfId="1960" xr:uid="{00000000-0005-0000-0000-0000768A0000}"/>
    <cellStyle name="40% - Accent5 5 6 2" xfId="3752" xr:uid="{00000000-0005-0000-0000-0000778A0000}"/>
    <cellStyle name="40% - Accent5 5 6 2 2" xfId="9462" xr:uid="{00000000-0005-0000-0000-0000788A0000}"/>
    <cellStyle name="40% - Accent5 5 6 2 2 2" xfId="20763" xr:uid="{00000000-0005-0000-0000-0000798A0000}"/>
    <cellStyle name="40% - Accent5 5 6 2 2 2 2" xfId="43365" xr:uid="{00000000-0005-0000-0000-00007A8A0000}"/>
    <cellStyle name="40% - Accent5 5 6 2 2 3" xfId="32064" xr:uid="{00000000-0005-0000-0000-00007B8A0000}"/>
    <cellStyle name="40% - Accent5 5 6 2 3" xfId="15113" xr:uid="{00000000-0005-0000-0000-00007C8A0000}"/>
    <cellStyle name="40% - Accent5 5 6 2 3 2" xfId="37715" xr:uid="{00000000-0005-0000-0000-00007D8A0000}"/>
    <cellStyle name="40% - Accent5 5 6 2 4" xfId="26414" xr:uid="{00000000-0005-0000-0000-00007E8A0000}"/>
    <cellStyle name="40% - Accent5 5 6 3" xfId="5213" xr:uid="{00000000-0005-0000-0000-00007F8A0000}"/>
    <cellStyle name="40% - Accent5 5 6 3 2" xfId="10863" xr:uid="{00000000-0005-0000-0000-0000808A0000}"/>
    <cellStyle name="40% - Accent5 5 6 3 2 2" xfId="22164" xr:uid="{00000000-0005-0000-0000-0000818A0000}"/>
    <cellStyle name="40% - Accent5 5 6 3 2 2 2" xfId="44766" xr:uid="{00000000-0005-0000-0000-0000828A0000}"/>
    <cellStyle name="40% - Accent5 5 6 3 2 3" xfId="33465" xr:uid="{00000000-0005-0000-0000-0000838A0000}"/>
    <cellStyle name="40% - Accent5 5 6 3 3" xfId="16514" xr:uid="{00000000-0005-0000-0000-0000848A0000}"/>
    <cellStyle name="40% - Accent5 5 6 3 3 2" xfId="39116" xr:uid="{00000000-0005-0000-0000-0000858A0000}"/>
    <cellStyle name="40% - Accent5 5 6 3 4" xfId="27815" xr:uid="{00000000-0005-0000-0000-0000868A0000}"/>
    <cellStyle name="40% - Accent5 5 6 4" xfId="7816" xr:uid="{00000000-0005-0000-0000-0000878A0000}"/>
    <cellStyle name="40% - Accent5 5 6 4 2" xfId="19117" xr:uid="{00000000-0005-0000-0000-0000888A0000}"/>
    <cellStyle name="40% - Accent5 5 6 4 2 2" xfId="41719" xr:uid="{00000000-0005-0000-0000-0000898A0000}"/>
    <cellStyle name="40% - Accent5 5 6 4 3" xfId="30418" xr:uid="{00000000-0005-0000-0000-00008A8A0000}"/>
    <cellStyle name="40% - Accent5 5 6 5" xfId="13467" xr:uid="{00000000-0005-0000-0000-00008B8A0000}"/>
    <cellStyle name="40% - Accent5 5 6 5 2" xfId="36069" xr:uid="{00000000-0005-0000-0000-00008C8A0000}"/>
    <cellStyle name="40% - Accent5 5 6 6" xfId="24768" xr:uid="{00000000-0005-0000-0000-00008D8A0000}"/>
    <cellStyle name="40% - Accent5 5 7" xfId="2186" xr:uid="{00000000-0005-0000-0000-00008E8A0000}"/>
    <cellStyle name="40% - Accent5 5 7 2" xfId="8027" xr:uid="{00000000-0005-0000-0000-00008F8A0000}"/>
    <cellStyle name="40% - Accent5 5 7 2 2" xfId="19328" xr:uid="{00000000-0005-0000-0000-0000908A0000}"/>
    <cellStyle name="40% - Accent5 5 7 2 2 2" xfId="41930" xr:uid="{00000000-0005-0000-0000-0000918A0000}"/>
    <cellStyle name="40% - Accent5 5 7 2 3" xfId="30629" xr:uid="{00000000-0005-0000-0000-0000928A0000}"/>
    <cellStyle name="40% - Accent5 5 7 3" xfId="13678" xr:uid="{00000000-0005-0000-0000-0000938A0000}"/>
    <cellStyle name="40% - Accent5 5 7 3 2" xfId="36280" xr:uid="{00000000-0005-0000-0000-0000948A0000}"/>
    <cellStyle name="40% - Accent5 5 7 4" xfId="24979" xr:uid="{00000000-0005-0000-0000-0000958A0000}"/>
    <cellStyle name="40% - Accent5 5 8" xfId="3979" xr:uid="{00000000-0005-0000-0000-0000968A0000}"/>
    <cellStyle name="40% - Accent5 5 8 2" xfId="9629" xr:uid="{00000000-0005-0000-0000-0000978A0000}"/>
    <cellStyle name="40% - Accent5 5 8 2 2" xfId="20930" xr:uid="{00000000-0005-0000-0000-0000988A0000}"/>
    <cellStyle name="40% - Accent5 5 8 2 2 2" xfId="43532" xr:uid="{00000000-0005-0000-0000-0000998A0000}"/>
    <cellStyle name="40% - Accent5 5 8 2 3" xfId="32231" xr:uid="{00000000-0005-0000-0000-00009A8A0000}"/>
    <cellStyle name="40% - Accent5 5 8 3" xfId="15280" xr:uid="{00000000-0005-0000-0000-00009B8A0000}"/>
    <cellStyle name="40% - Accent5 5 8 3 2" xfId="37882" xr:uid="{00000000-0005-0000-0000-00009C8A0000}"/>
    <cellStyle name="40% - Accent5 5 8 4" xfId="26581" xr:uid="{00000000-0005-0000-0000-00009D8A0000}"/>
    <cellStyle name="40% - Accent5 5 9" xfId="6430" xr:uid="{00000000-0005-0000-0000-00009E8A0000}"/>
    <cellStyle name="40% - Accent5 5 9 2" xfId="17731" xr:uid="{00000000-0005-0000-0000-00009F8A0000}"/>
    <cellStyle name="40% - Accent5 5 9 2 2" xfId="40333" xr:uid="{00000000-0005-0000-0000-0000A08A0000}"/>
    <cellStyle name="40% - Accent5 5 9 3" xfId="29032" xr:uid="{00000000-0005-0000-0000-0000A18A0000}"/>
    <cellStyle name="40% - Accent5 6" xfId="238" xr:uid="{00000000-0005-0000-0000-0000A28A0000}"/>
    <cellStyle name="40% - Accent5 7" xfId="340" xr:uid="{00000000-0005-0000-0000-0000A38A0000}"/>
    <cellStyle name="40% - Accent5 7 10" xfId="23435" xr:uid="{00000000-0005-0000-0000-0000A48A0000}"/>
    <cellStyle name="40% - Accent5 7 2" xfId="585" xr:uid="{00000000-0005-0000-0000-0000A58A0000}"/>
    <cellStyle name="40% - Accent5 7 2 2" xfId="1295" xr:uid="{00000000-0005-0000-0000-0000A68A0000}"/>
    <cellStyle name="40% - Accent5 7 2 2 2" xfId="1970" xr:uid="{00000000-0005-0000-0000-0000A78A0000}"/>
    <cellStyle name="40% - Accent5 7 2 2 2 2" xfId="3364" xr:uid="{00000000-0005-0000-0000-0000A88A0000}"/>
    <cellStyle name="40% - Accent5 7 2 2 2 2 2" xfId="6336" xr:uid="{00000000-0005-0000-0000-0000A98A0000}"/>
    <cellStyle name="40% - Accent5 7 2 2 2 2 2 2" xfId="11986" xr:uid="{00000000-0005-0000-0000-0000AA8A0000}"/>
    <cellStyle name="40% - Accent5 7 2 2 2 2 2 2 2" xfId="23287" xr:uid="{00000000-0005-0000-0000-0000AB8A0000}"/>
    <cellStyle name="40% - Accent5 7 2 2 2 2 2 2 2 2" xfId="45889" xr:uid="{00000000-0005-0000-0000-0000AC8A0000}"/>
    <cellStyle name="40% - Accent5 7 2 2 2 2 2 2 3" xfId="34588" xr:uid="{00000000-0005-0000-0000-0000AD8A0000}"/>
    <cellStyle name="40% - Accent5 7 2 2 2 2 2 3" xfId="17637" xr:uid="{00000000-0005-0000-0000-0000AE8A0000}"/>
    <cellStyle name="40% - Accent5 7 2 2 2 2 2 3 2" xfId="40239" xr:uid="{00000000-0005-0000-0000-0000AF8A0000}"/>
    <cellStyle name="40% - Accent5 7 2 2 2 2 2 4" xfId="28938" xr:uid="{00000000-0005-0000-0000-0000B08A0000}"/>
    <cellStyle name="40% - Accent5 7 2 2 2 2 3" xfId="9154" xr:uid="{00000000-0005-0000-0000-0000B18A0000}"/>
    <cellStyle name="40% - Accent5 7 2 2 2 2 3 2" xfId="20455" xr:uid="{00000000-0005-0000-0000-0000B28A0000}"/>
    <cellStyle name="40% - Accent5 7 2 2 2 2 3 2 2" xfId="43057" xr:uid="{00000000-0005-0000-0000-0000B38A0000}"/>
    <cellStyle name="40% - Accent5 7 2 2 2 2 3 3" xfId="31756" xr:uid="{00000000-0005-0000-0000-0000B48A0000}"/>
    <cellStyle name="40% - Accent5 7 2 2 2 2 4" xfId="14805" xr:uid="{00000000-0005-0000-0000-0000B58A0000}"/>
    <cellStyle name="40% - Accent5 7 2 2 2 2 4 2" xfId="37407" xr:uid="{00000000-0005-0000-0000-0000B68A0000}"/>
    <cellStyle name="40% - Accent5 7 2 2 2 2 5" xfId="26106" xr:uid="{00000000-0005-0000-0000-0000B78A0000}"/>
    <cellStyle name="40% - Accent5 7 2 2 2 3" xfId="5102" xr:uid="{00000000-0005-0000-0000-0000B88A0000}"/>
    <cellStyle name="40% - Accent5 7 2 2 2 3 2" xfId="10752" xr:uid="{00000000-0005-0000-0000-0000B98A0000}"/>
    <cellStyle name="40% - Accent5 7 2 2 2 3 2 2" xfId="22053" xr:uid="{00000000-0005-0000-0000-0000BA8A0000}"/>
    <cellStyle name="40% - Accent5 7 2 2 2 3 2 2 2" xfId="44655" xr:uid="{00000000-0005-0000-0000-0000BB8A0000}"/>
    <cellStyle name="40% - Accent5 7 2 2 2 3 2 3" xfId="33354" xr:uid="{00000000-0005-0000-0000-0000BC8A0000}"/>
    <cellStyle name="40% - Accent5 7 2 2 2 3 3" xfId="16403" xr:uid="{00000000-0005-0000-0000-0000BD8A0000}"/>
    <cellStyle name="40% - Accent5 7 2 2 2 3 3 2" xfId="39005" xr:uid="{00000000-0005-0000-0000-0000BE8A0000}"/>
    <cellStyle name="40% - Accent5 7 2 2 2 3 4" xfId="27704" xr:uid="{00000000-0005-0000-0000-0000BF8A0000}"/>
    <cellStyle name="40% - Accent5 7 2 2 2 4" xfId="7826" xr:uid="{00000000-0005-0000-0000-0000C08A0000}"/>
    <cellStyle name="40% - Accent5 7 2 2 2 4 2" xfId="19127" xr:uid="{00000000-0005-0000-0000-0000C18A0000}"/>
    <cellStyle name="40% - Accent5 7 2 2 2 4 2 2" xfId="41729" xr:uid="{00000000-0005-0000-0000-0000C28A0000}"/>
    <cellStyle name="40% - Accent5 7 2 2 2 4 3" xfId="30428" xr:uid="{00000000-0005-0000-0000-0000C38A0000}"/>
    <cellStyle name="40% - Accent5 7 2 2 2 5" xfId="13477" xr:uid="{00000000-0005-0000-0000-0000C48A0000}"/>
    <cellStyle name="40% - Accent5 7 2 2 2 5 2" xfId="36079" xr:uid="{00000000-0005-0000-0000-0000C58A0000}"/>
    <cellStyle name="40% - Accent5 7 2 2 2 6" xfId="24778" xr:uid="{00000000-0005-0000-0000-0000C68A0000}"/>
    <cellStyle name="40% - Accent5 7 2 2 3" xfId="2693" xr:uid="{00000000-0005-0000-0000-0000C78A0000}"/>
    <cellStyle name="40% - Accent5 7 2 2 3 2" xfId="5712" xr:uid="{00000000-0005-0000-0000-0000C88A0000}"/>
    <cellStyle name="40% - Accent5 7 2 2 3 2 2" xfId="11362" xr:uid="{00000000-0005-0000-0000-0000C98A0000}"/>
    <cellStyle name="40% - Accent5 7 2 2 3 2 2 2" xfId="22663" xr:uid="{00000000-0005-0000-0000-0000CA8A0000}"/>
    <cellStyle name="40% - Accent5 7 2 2 3 2 2 2 2" xfId="45265" xr:uid="{00000000-0005-0000-0000-0000CB8A0000}"/>
    <cellStyle name="40% - Accent5 7 2 2 3 2 2 3" xfId="33964" xr:uid="{00000000-0005-0000-0000-0000CC8A0000}"/>
    <cellStyle name="40% - Accent5 7 2 2 3 2 3" xfId="17013" xr:uid="{00000000-0005-0000-0000-0000CD8A0000}"/>
    <cellStyle name="40% - Accent5 7 2 2 3 2 3 2" xfId="39615" xr:uid="{00000000-0005-0000-0000-0000CE8A0000}"/>
    <cellStyle name="40% - Accent5 7 2 2 3 2 4" xfId="28314" xr:uid="{00000000-0005-0000-0000-0000CF8A0000}"/>
    <cellStyle name="40% - Accent5 7 2 2 3 3" xfId="8529" xr:uid="{00000000-0005-0000-0000-0000D08A0000}"/>
    <cellStyle name="40% - Accent5 7 2 2 3 3 2" xfId="19830" xr:uid="{00000000-0005-0000-0000-0000D18A0000}"/>
    <cellStyle name="40% - Accent5 7 2 2 3 3 2 2" xfId="42432" xr:uid="{00000000-0005-0000-0000-0000D28A0000}"/>
    <cellStyle name="40% - Accent5 7 2 2 3 3 3" xfId="31131" xr:uid="{00000000-0005-0000-0000-0000D38A0000}"/>
    <cellStyle name="40% - Accent5 7 2 2 3 4" xfId="14180" xr:uid="{00000000-0005-0000-0000-0000D48A0000}"/>
    <cellStyle name="40% - Accent5 7 2 2 3 4 2" xfId="36782" xr:uid="{00000000-0005-0000-0000-0000D58A0000}"/>
    <cellStyle name="40% - Accent5 7 2 2 3 5" xfId="25481" xr:uid="{00000000-0005-0000-0000-0000D68A0000}"/>
    <cellStyle name="40% - Accent5 7 2 2 4" xfId="4478" xr:uid="{00000000-0005-0000-0000-0000D78A0000}"/>
    <cellStyle name="40% - Accent5 7 2 2 4 2" xfId="10128" xr:uid="{00000000-0005-0000-0000-0000D88A0000}"/>
    <cellStyle name="40% - Accent5 7 2 2 4 2 2" xfId="21429" xr:uid="{00000000-0005-0000-0000-0000D98A0000}"/>
    <cellStyle name="40% - Accent5 7 2 2 4 2 2 2" xfId="44031" xr:uid="{00000000-0005-0000-0000-0000DA8A0000}"/>
    <cellStyle name="40% - Accent5 7 2 2 4 2 3" xfId="32730" xr:uid="{00000000-0005-0000-0000-0000DB8A0000}"/>
    <cellStyle name="40% - Accent5 7 2 2 4 3" xfId="15779" xr:uid="{00000000-0005-0000-0000-0000DC8A0000}"/>
    <cellStyle name="40% - Accent5 7 2 2 4 3 2" xfId="38381" xr:uid="{00000000-0005-0000-0000-0000DD8A0000}"/>
    <cellStyle name="40% - Accent5 7 2 2 4 4" xfId="27080" xr:uid="{00000000-0005-0000-0000-0000DE8A0000}"/>
    <cellStyle name="40% - Accent5 7 2 2 5" xfId="7274" xr:uid="{00000000-0005-0000-0000-0000DF8A0000}"/>
    <cellStyle name="40% - Accent5 7 2 2 5 2" xfId="18575" xr:uid="{00000000-0005-0000-0000-0000E08A0000}"/>
    <cellStyle name="40% - Accent5 7 2 2 5 2 2" xfId="41177" xr:uid="{00000000-0005-0000-0000-0000E18A0000}"/>
    <cellStyle name="40% - Accent5 7 2 2 5 3" xfId="29876" xr:uid="{00000000-0005-0000-0000-0000E28A0000}"/>
    <cellStyle name="40% - Accent5 7 2 2 6" xfId="12925" xr:uid="{00000000-0005-0000-0000-0000E38A0000}"/>
    <cellStyle name="40% - Accent5 7 2 2 6 2" xfId="35527" xr:uid="{00000000-0005-0000-0000-0000E48A0000}"/>
    <cellStyle name="40% - Accent5 7 2 2 7" xfId="24226" xr:uid="{00000000-0005-0000-0000-0000E58A0000}"/>
    <cellStyle name="40% - Accent5 7 2 3" xfId="993" xr:uid="{00000000-0005-0000-0000-0000E68A0000}"/>
    <cellStyle name="40% - Accent5 7 2 3 2" xfId="3056" xr:uid="{00000000-0005-0000-0000-0000E78A0000}"/>
    <cellStyle name="40% - Accent5 7 2 3 2 2" xfId="6028" xr:uid="{00000000-0005-0000-0000-0000E88A0000}"/>
    <cellStyle name="40% - Accent5 7 2 3 2 2 2" xfId="11678" xr:uid="{00000000-0005-0000-0000-0000E98A0000}"/>
    <cellStyle name="40% - Accent5 7 2 3 2 2 2 2" xfId="22979" xr:uid="{00000000-0005-0000-0000-0000EA8A0000}"/>
    <cellStyle name="40% - Accent5 7 2 3 2 2 2 2 2" xfId="45581" xr:uid="{00000000-0005-0000-0000-0000EB8A0000}"/>
    <cellStyle name="40% - Accent5 7 2 3 2 2 2 3" xfId="34280" xr:uid="{00000000-0005-0000-0000-0000EC8A0000}"/>
    <cellStyle name="40% - Accent5 7 2 3 2 2 3" xfId="17329" xr:uid="{00000000-0005-0000-0000-0000ED8A0000}"/>
    <cellStyle name="40% - Accent5 7 2 3 2 2 3 2" xfId="39931" xr:uid="{00000000-0005-0000-0000-0000EE8A0000}"/>
    <cellStyle name="40% - Accent5 7 2 3 2 2 4" xfId="28630" xr:uid="{00000000-0005-0000-0000-0000EF8A0000}"/>
    <cellStyle name="40% - Accent5 7 2 3 2 3" xfId="8846" xr:uid="{00000000-0005-0000-0000-0000F08A0000}"/>
    <cellStyle name="40% - Accent5 7 2 3 2 3 2" xfId="20147" xr:uid="{00000000-0005-0000-0000-0000F18A0000}"/>
    <cellStyle name="40% - Accent5 7 2 3 2 3 2 2" xfId="42749" xr:uid="{00000000-0005-0000-0000-0000F28A0000}"/>
    <cellStyle name="40% - Accent5 7 2 3 2 3 3" xfId="31448" xr:uid="{00000000-0005-0000-0000-0000F38A0000}"/>
    <cellStyle name="40% - Accent5 7 2 3 2 4" xfId="14497" xr:uid="{00000000-0005-0000-0000-0000F48A0000}"/>
    <cellStyle name="40% - Accent5 7 2 3 2 4 2" xfId="37099" xr:uid="{00000000-0005-0000-0000-0000F58A0000}"/>
    <cellStyle name="40% - Accent5 7 2 3 2 5" xfId="25798" xr:uid="{00000000-0005-0000-0000-0000F68A0000}"/>
    <cellStyle name="40% - Accent5 7 2 3 3" xfId="4794" xr:uid="{00000000-0005-0000-0000-0000F78A0000}"/>
    <cellStyle name="40% - Accent5 7 2 3 3 2" xfId="10444" xr:uid="{00000000-0005-0000-0000-0000F88A0000}"/>
    <cellStyle name="40% - Accent5 7 2 3 3 2 2" xfId="21745" xr:uid="{00000000-0005-0000-0000-0000F98A0000}"/>
    <cellStyle name="40% - Accent5 7 2 3 3 2 2 2" xfId="44347" xr:uid="{00000000-0005-0000-0000-0000FA8A0000}"/>
    <cellStyle name="40% - Accent5 7 2 3 3 2 3" xfId="33046" xr:uid="{00000000-0005-0000-0000-0000FB8A0000}"/>
    <cellStyle name="40% - Accent5 7 2 3 3 3" xfId="16095" xr:uid="{00000000-0005-0000-0000-0000FC8A0000}"/>
    <cellStyle name="40% - Accent5 7 2 3 3 3 2" xfId="38697" xr:uid="{00000000-0005-0000-0000-0000FD8A0000}"/>
    <cellStyle name="40% - Accent5 7 2 3 3 4" xfId="27396" xr:uid="{00000000-0005-0000-0000-0000FE8A0000}"/>
    <cellStyle name="40% - Accent5 7 2 3 4" xfId="6981" xr:uid="{00000000-0005-0000-0000-0000FF8A0000}"/>
    <cellStyle name="40% - Accent5 7 2 3 4 2" xfId="18282" xr:uid="{00000000-0005-0000-0000-0000008B0000}"/>
    <cellStyle name="40% - Accent5 7 2 3 4 2 2" xfId="40884" xr:uid="{00000000-0005-0000-0000-0000018B0000}"/>
    <cellStyle name="40% - Accent5 7 2 3 4 3" xfId="29583" xr:uid="{00000000-0005-0000-0000-0000028B0000}"/>
    <cellStyle name="40% - Accent5 7 2 3 5" xfId="12632" xr:uid="{00000000-0005-0000-0000-0000038B0000}"/>
    <cellStyle name="40% - Accent5 7 2 3 5 2" xfId="35234" xr:uid="{00000000-0005-0000-0000-0000048B0000}"/>
    <cellStyle name="40% - Accent5 7 2 3 6" xfId="23933" xr:uid="{00000000-0005-0000-0000-0000058B0000}"/>
    <cellStyle name="40% - Accent5 7 2 4" xfId="1969" xr:uid="{00000000-0005-0000-0000-0000068B0000}"/>
    <cellStyle name="40% - Accent5 7 2 4 2" xfId="3758" xr:uid="{00000000-0005-0000-0000-0000078B0000}"/>
    <cellStyle name="40% - Accent5 7 2 4 2 2" xfId="9468" xr:uid="{00000000-0005-0000-0000-0000088B0000}"/>
    <cellStyle name="40% - Accent5 7 2 4 2 2 2" xfId="20769" xr:uid="{00000000-0005-0000-0000-0000098B0000}"/>
    <cellStyle name="40% - Accent5 7 2 4 2 2 2 2" xfId="43371" xr:uid="{00000000-0005-0000-0000-00000A8B0000}"/>
    <cellStyle name="40% - Accent5 7 2 4 2 2 3" xfId="32070" xr:uid="{00000000-0005-0000-0000-00000B8B0000}"/>
    <cellStyle name="40% - Accent5 7 2 4 2 3" xfId="15119" xr:uid="{00000000-0005-0000-0000-00000C8B0000}"/>
    <cellStyle name="40% - Accent5 7 2 4 2 3 2" xfId="37721" xr:uid="{00000000-0005-0000-0000-00000D8B0000}"/>
    <cellStyle name="40% - Accent5 7 2 4 2 4" xfId="26420" xr:uid="{00000000-0005-0000-0000-00000E8B0000}"/>
    <cellStyle name="40% - Accent5 7 2 4 3" xfId="5404" xr:uid="{00000000-0005-0000-0000-00000F8B0000}"/>
    <cellStyle name="40% - Accent5 7 2 4 3 2" xfId="11054" xr:uid="{00000000-0005-0000-0000-0000108B0000}"/>
    <cellStyle name="40% - Accent5 7 2 4 3 2 2" xfId="22355" xr:uid="{00000000-0005-0000-0000-0000118B0000}"/>
    <cellStyle name="40% - Accent5 7 2 4 3 2 2 2" xfId="44957" xr:uid="{00000000-0005-0000-0000-0000128B0000}"/>
    <cellStyle name="40% - Accent5 7 2 4 3 2 3" xfId="33656" xr:uid="{00000000-0005-0000-0000-0000138B0000}"/>
    <cellStyle name="40% - Accent5 7 2 4 3 3" xfId="16705" xr:uid="{00000000-0005-0000-0000-0000148B0000}"/>
    <cellStyle name="40% - Accent5 7 2 4 3 3 2" xfId="39307" xr:uid="{00000000-0005-0000-0000-0000158B0000}"/>
    <cellStyle name="40% - Accent5 7 2 4 3 4" xfId="28006" xr:uid="{00000000-0005-0000-0000-0000168B0000}"/>
    <cellStyle name="40% - Accent5 7 2 4 4" xfId="7825" xr:uid="{00000000-0005-0000-0000-0000178B0000}"/>
    <cellStyle name="40% - Accent5 7 2 4 4 2" xfId="19126" xr:uid="{00000000-0005-0000-0000-0000188B0000}"/>
    <cellStyle name="40% - Accent5 7 2 4 4 2 2" xfId="41728" xr:uid="{00000000-0005-0000-0000-0000198B0000}"/>
    <cellStyle name="40% - Accent5 7 2 4 4 3" xfId="30427" xr:uid="{00000000-0005-0000-0000-00001A8B0000}"/>
    <cellStyle name="40% - Accent5 7 2 4 5" xfId="13476" xr:uid="{00000000-0005-0000-0000-00001B8B0000}"/>
    <cellStyle name="40% - Accent5 7 2 4 5 2" xfId="36078" xr:uid="{00000000-0005-0000-0000-00001C8B0000}"/>
    <cellStyle name="40% - Accent5 7 2 4 6" xfId="24777" xr:uid="{00000000-0005-0000-0000-00001D8B0000}"/>
    <cellStyle name="40% - Accent5 7 2 5" xfId="2385" xr:uid="{00000000-0005-0000-0000-00001E8B0000}"/>
    <cellStyle name="40% - Accent5 7 2 5 2" xfId="8221" xr:uid="{00000000-0005-0000-0000-00001F8B0000}"/>
    <cellStyle name="40% - Accent5 7 2 5 2 2" xfId="19522" xr:uid="{00000000-0005-0000-0000-0000208B0000}"/>
    <cellStyle name="40% - Accent5 7 2 5 2 2 2" xfId="42124" xr:uid="{00000000-0005-0000-0000-0000218B0000}"/>
    <cellStyle name="40% - Accent5 7 2 5 2 3" xfId="30823" xr:uid="{00000000-0005-0000-0000-0000228B0000}"/>
    <cellStyle name="40% - Accent5 7 2 5 3" xfId="13872" xr:uid="{00000000-0005-0000-0000-0000238B0000}"/>
    <cellStyle name="40% - Accent5 7 2 5 3 2" xfId="36474" xr:uid="{00000000-0005-0000-0000-0000248B0000}"/>
    <cellStyle name="40% - Accent5 7 2 5 4" xfId="25173" xr:uid="{00000000-0005-0000-0000-0000258B0000}"/>
    <cellStyle name="40% - Accent5 7 2 6" xfId="4170" xr:uid="{00000000-0005-0000-0000-0000268B0000}"/>
    <cellStyle name="40% - Accent5 7 2 6 2" xfId="9820" xr:uid="{00000000-0005-0000-0000-0000278B0000}"/>
    <cellStyle name="40% - Accent5 7 2 6 2 2" xfId="21121" xr:uid="{00000000-0005-0000-0000-0000288B0000}"/>
    <cellStyle name="40% - Accent5 7 2 6 2 2 2" xfId="43723" xr:uid="{00000000-0005-0000-0000-0000298B0000}"/>
    <cellStyle name="40% - Accent5 7 2 6 2 3" xfId="32422" xr:uid="{00000000-0005-0000-0000-00002A8B0000}"/>
    <cellStyle name="40% - Accent5 7 2 6 3" xfId="15471" xr:uid="{00000000-0005-0000-0000-00002B8B0000}"/>
    <cellStyle name="40% - Accent5 7 2 6 3 2" xfId="38073" xr:uid="{00000000-0005-0000-0000-00002C8B0000}"/>
    <cellStyle name="40% - Accent5 7 2 6 4" xfId="26772" xr:uid="{00000000-0005-0000-0000-00002D8B0000}"/>
    <cellStyle name="40% - Accent5 7 2 7" xfId="6650" xr:uid="{00000000-0005-0000-0000-00002E8B0000}"/>
    <cellStyle name="40% - Accent5 7 2 7 2" xfId="17951" xr:uid="{00000000-0005-0000-0000-00002F8B0000}"/>
    <cellStyle name="40% - Accent5 7 2 7 2 2" xfId="40553" xr:uid="{00000000-0005-0000-0000-0000308B0000}"/>
    <cellStyle name="40% - Accent5 7 2 7 3" xfId="29252" xr:uid="{00000000-0005-0000-0000-0000318B0000}"/>
    <cellStyle name="40% - Accent5 7 2 8" xfId="12301" xr:uid="{00000000-0005-0000-0000-0000328B0000}"/>
    <cellStyle name="40% - Accent5 7 2 8 2" xfId="34903" xr:uid="{00000000-0005-0000-0000-0000338B0000}"/>
    <cellStyle name="40% - Accent5 7 2 9" xfId="23602" xr:uid="{00000000-0005-0000-0000-0000348B0000}"/>
    <cellStyle name="40% - Accent5 7 3" xfId="1157" xr:uid="{00000000-0005-0000-0000-0000358B0000}"/>
    <cellStyle name="40% - Accent5 7 3 2" xfId="1971" xr:uid="{00000000-0005-0000-0000-0000368B0000}"/>
    <cellStyle name="40% - Accent5 7 3 2 2" xfId="3225" xr:uid="{00000000-0005-0000-0000-0000378B0000}"/>
    <cellStyle name="40% - Accent5 7 3 2 2 2" xfId="6197" xr:uid="{00000000-0005-0000-0000-0000388B0000}"/>
    <cellStyle name="40% - Accent5 7 3 2 2 2 2" xfId="11847" xr:uid="{00000000-0005-0000-0000-0000398B0000}"/>
    <cellStyle name="40% - Accent5 7 3 2 2 2 2 2" xfId="23148" xr:uid="{00000000-0005-0000-0000-00003A8B0000}"/>
    <cellStyle name="40% - Accent5 7 3 2 2 2 2 2 2" xfId="45750" xr:uid="{00000000-0005-0000-0000-00003B8B0000}"/>
    <cellStyle name="40% - Accent5 7 3 2 2 2 2 3" xfId="34449" xr:uid="{00000000-0005-0000-0000-00003C8B0000}"/>
    <cellStyle name="40% - Accent5 7 3 2 2 2 3" xfId="17498" xr:uid="{00000000-0005-0000-0000-00003D8B0000}"/>
    <cellStyle name="40% - Accent5 7 3 2 2 2 3 2" xfId="40100" xr:uid="{00000000-0005-0000-0000-00003E8B0000}"/>
    <cellStyle name="40% - Accent5 7 3 2 2 2 4" xfId="28799" xr:uid="{00000000-0005-0000-0000-00003F8B0000}"/>
    <cellStyle name="40% - Accent5 7 3 2 2 3" xfId="9015" xr:uid="{00000000-0005-0000-0000-0000408B0000}"/>
    <cellStyle name="40% - Accent5 7 3 2 2 3 2" xfId="20316" xr:uid="{00000000-0005-0000-0000-0000418B0000}"/>
    <cellStyle name="40% - Accent5 7 3 2 2 3 2 2" xfId="42918" xr:uid="{00000000-0005-0000-0000-0000428B0000}"/>
    <cellStyle name="40% - Accent5 7 3 2 2 3 3" xfId="31617" xr:uid="{00000000-0005-0000-0000-0000438B0000}"/>
    <cellStyle name="40% - Accent5 7 3 2 2 4" xfId="14666" xr:uid="{00000000-0005-0000-0000-0000448B0000}"/>
    <cellStyle name="40% - Accent5 7 3 2 2 4 2" xfId="37268" xr:uid="{00000000-0005-0000-0000-0000458B0000}"/>
    <cellStyle name="40% - Accent5 7 3 2 2 5" xfId="25967" xr:uid="{00000000-0005-0000-0000-0000468B0000}"/>
    <cellStyle name="40% - Accent5 7 3 2 3" xfId="4963" xr:uid="{00000000-0005-0000-0000-0000478B0000}"/>
    <cellStyle name="40% - Accent5 7 3 2 3 2" xfId="10613" xr:uid="{00000000-0005-0000-0000-0000488B0000}"/>
    <cellStyle name="40% - Accent5 7 3 2 3 2 2" xfId="21914" xr:uid="{00000000-0005-0000-0000-0000498B0000}"/>
    <cellStyle name="40% - Accent5 7 3 2 3 2 2 2" xfId="44516" xr:uid="{00000000-0005-0000-0000-00004A8B0000}"/>
    <cellStyle name="40% - Accent5 7 3 2 3 2 3" xfId="33215" xr:uid="{00000000-0005-0000-0000-00004B8B0000}"/>
    <cellStyle name="40% - Accent5 7 3 2 3 3" xfId="16264" xr:uid="{00000000-0005-0000-0000-00004C8B0000}"/>
    <cellStyle name="40% - Accent5 7 3 2 3 3 2" xfId="38866" xr:uid="{00000000-0005-0000-0000-00004D8B0000}"/>
    <cellStyle name="40% - Accent5 7 3 2 3 4" xfId="27565" xr:uid="{00000000-0005-0000-0000-00004E8B0000}"/>
    <cellStyle name="40% - Accent5 7 3 2 4" xfId="7827" xr:uid="{00000000-0005-0000-0000-00004F8B0000}"/>
    <cellStyle name="40% - Accent5 7 3 2 4 2" xfId="19128" xr:uid="{00000000-0005-0000-0000-0000508B0000}"/>
    <cellStyle name="40% - Accent5 7 3 2 4 2 2" xfId="41730" xr:uid="{00000000-0005-0000-0000-0000518B0000}"/>
    <cellStyle name="40% - Accent5 7 3 2 4 3" xfId="30429" xr:uid="{00000000-0005-0000-0000-0000528B0000}"/>
    <cellStyle name="40% - Accent5 7 3 2 5" xfId="13478" xr:uid="{00000000-0005-0000-0000-0000538B0000}"/>
    <cellStyle name="40% - Accent5 7 3 2 5 2" xfId="36080" xr:uid="{00000000-0005-0000-0000-0000548B0000}"/>
    <cellStyle name="40% - Accent5 7 3 2 6" xfId="24779" xr:uid="{00000000-0005-0000-0000-0000558B0000}"/>
    <cellStyle name="40% - Accent5 7 3 3" xfId="2554" xr:uid="{00000000-0005-0000-0000-0000568B0000}"/>
    <cellStyle name="40% - Accent5 7 3 3 2" xfId="5573" xr:uid="{00000000-0005-0000-0000-0000578B0000}"/>
    <cellStyle name="40% - Accent5 7 3 3 2 2" xfId="11223" xr:uid="{00000000-0005-0000-0000-0000588B0000}"/>
    <cellStyle name="40% - Accent5 7 3 3 2 2 2" xfId="22524" xr:uid="{00000000-0005-0000-0000-0000598B0000}"/>
    <cellStyle name="40% - Accent5 7 3 3 2 2 2 2" xfId="45126" xr:uid="{00000000-0005-0000-0000-00005A8B0000}"/>
    <cellStyle name="40% - Accent5 7 3 3 2 2 3" xfId="33825" xr:uid="{00000000-0005-0000-0000-00005B8B0000}"/>
    <cellStyle name="40% - Accent5 7 3 3 2 3" xfId="16874" xr:uid="{00000000-0005-0000-0000-00005C8B0000}"/>
    <cellStyle name="40% - Accent5 7 3 3 2 3 2" xfId="39476" xr:uid="{00000000-0005-0000-0000-00005D8B0000}"/>
    <cellStyle name="40% - Accent5 7 3 3 2 4" xfId="28175" xr:uid="{00000000-0005-0000-0000-00005E8B0000}"/>
    <cellStyle name="40% - Accent5 7 3 3 3" xfId="8390" xr:uid="{00000000-0005-0000-0000-00005F8B0000}"/>
    <cellStyle name="40% - Accent5 7 3 3 3 2" xfId="19691" xr:uid="{00000000-0005-0000-0000-0000608B0000}"/>
    <cellStyle name="40% - Accent5 7 3 3 3 2 2" xfId="42293" xr:uid="{00000000-0005-0000-0000-0000618B0000}"/>
    <cellStyle name="40% - Accent5 7 3 3 3 3" xfId="30992" xr:uid="{00000000-0005-0000-0000-0000628B0000}"/>
    <cellStyle name="40% - Accent5 7 3 3 4" xfId="14041" xr:uid="{00000000-0005-0000-0000-0000638B0000}"/>
    <cellStyle name="40% - Accent5 7 3 3 4 2" xfId="36643" xr:uid="{00000000-0005-0000-0000-0000648B0000}"/>
    <cellStyle name="40% - Accent5 7 3 3 5" xfId="25342" xr:uid="{00000000-0005-0000-0000-0000658B0000}"/>
    <cellStyle name="40% - Accent5 7 3 4" xfId="4339" xr:uid="{00000000-0005-0000-0000-0000668B0000}"/>
    <cellStyle name="40% - Accent5 7 3 4 2" xfId="9989" xr:uid="{00000000-0005-0000-0000-0000678B0000}"/>
    <cellStyle name="40% - Accent5 7 3 4 2 2" xfId="21290" xr:uid="{00000000-0005-0000-0000-0000688B0000}"/>
    <cellStyle name="40% - Accent5 7 3 4 2 2 2" xfId="43892" xr:uid="{00000000-0005-0000-0000-0000698B0000}"/>
    <cellStyle name="40% - Accent5 7 3 4 2 3" xfId="32591" xr:uid="{00000000-0005-0000-0000-00006A8B0000}"/>
    <cellStyle name="40% - Accent5 7 3 4 3" xfId="15640" xr:uid="{00000000-0005-0000-0000-00006B8B0000}"/>
    <cellStyle name="40% - Accent5 7 3 4 3 2" xfId="38242" xr:uid="{00000000-0005-0000-0000-00006C8B0000}"/>
    <cellStyle name="40% - Accent5 7 3 4 4" xfId="26941" xr:uid="{00000000-0005-0000-0000-00006D8B0000}"/>
    <cellStyle name="40% - Accent5 7 3 5" xfId="7136" xr:uid="{00000000-0005-0000-0000-00006E8B0000}"/>
    <cellStyle name="40% - Accent5 7 3 5 2" xfId="18437" xr:uid="{00000000-0005-0000-0000-00006F8B0000}"/>
    <cellStyle name="40% - Accent5 7 3 5 2 2" xfId="41039" xr:uid="{00000000-0005-0000-0000-0000708B0000}"/>
    <cellStyle name="40% - Accent5 7 3 5 3" xfId="29738" xr:uid="{00000000-0005-0000-0000-0000718B0000}"/>
    <cellStyle name="40% - Accent5 7 3 6" xfId="12787" xr:uid="{00000000-0005-0000-0000-0000728B0000}"/>
    <cellStyle name="40% - Accent5 7 3 6 2" xfId="35389" xr:uid="{00000000-0005-0000-0000-0000738B0000}"/>
    <cellStyle name="40% - Accent5 7 3 7" xfId="24088" xr:uid="{00000000-0005-0000-0000-0000748B0000}"/>
    <cellStyle name="40% - Accent5 7 4" xfId="848" xr:uid="{00000000-0005-0000-0000-0000758B0000}"/>
    <cellStyle name="40% - Accent5 7 4 2" xfId="2918" xr:uid="{00000000-0005-0000-0000-0000768B0000}"/>
    <cellStyle name="40% - Accent5 7 4 2 2" xfId="5890" xr:uid="{00000000-0005-0000-0000-0000778B0000}"/>
    <cellStyle name="40% - Accent5 7 4 2 2 2" xfId="11540" xr:uid="{00000000-0005-0000-0000-0000788B0000}"/>
    <cellStyle name="40% - Accent5 7 4 2 2 2 2" xfId="22841" xr:uid="{00000000-0005-0000-0000-0000798B0000}"/>
    <cellStyle name="40% - Accent5 7 4 2 2 2 2 2" xfId="45443" xr:uid="{00000000-0005-0000-0000-00007A8B0000}"/>
    <cellStyle name="40% - Accent5 7 4 2 2 2 3" xfId="34142" xr:uid="{00000000-0005-0000-0000-00007B8B0000}"/>
    <cellStyle name="40% - Accent5 7 4 2 2 3" xfId="17191" xr:uid="{00000000-0005-0000-0000-00007C8B0000}"/>
    <cellStyle name="40% - Accent5 7 4 2 2 3 2" xfId="39793" xr:uid="{00000000-0005-0000-0000-00007D8B0000}"/>
    <cellStyle name="40% - Accent5 7 4 2 2 4" xfId="28492" xr:uid="{00000000-0005-0000-0000-00007E8B0000}"/>
    <cellStyle name="40% - Accent5 7 4 2 3" xfId="8708" xr:uid="{00000000-0005-0000-0000-00007F8B0000}"/>
    <cellStyle name="40% - Accent5 7 4 2 3 2" xfId="20009" xr:uid="{00000000-0005-0000-0000-0000808B0000}"/>
    <cellStyle name="40% - Accent5 7 4 2 3 2 2" xfId="42611" xr:uid="{00000000-0005-0000-0000-0000818B0000}"/>
    <cellStyle name="40% - Accent5 7 4 2 3 3" xfId="31310" xr:uid="{00000000-0005-0000-0000-0000828B0000}"/>
    <cellStyle name="40% - Accent5 7 4 2 4" xfId="14359" xr:uid="{00000000-0005-0000-0000-0000838B0000}"/>
    <cellStyle name="40% - Accent5 7 4 2 4 2" xfId="36961" xr:uid="{00000000-0005-0000-0000-0000848B0000}"/>
    <cellStyle name="40% - Accent5 7 4 2 5" xfId="25660" xr:uid="{00000000-0005-0000-0000-0000858B0000}"/>
    <cellStyle name="40% - Accent5 7 4 3" xfId="4656" xr:uid="{00000000-0005-0000-0000-0000868B0000}"/>
    <cellStyle name="40% - Accent5 7 4 3 2" xfId="10306" xr:uid="{00000000-0005-0000-0000-0000878B0000}"/>
    <cellStyle name="40% - Accent5 7 4 3 2 2" xfId="21607" xr:uid="{00000000-0005-0000-0000-0000888B0000}"/>
    <cellStyle name="40% - Accent5 7 4 3 2 2 2" xfId="44209" xr:uid="{00000000-0005-0000-0000-0000898B0000}"/>
    <cellStyle name="40% - Accent5 7 4 3 2 3" xfId="32908" xr:uid="{00000000-0005-0000-0000-00008A8B0000}"/>
    <cellStyle name="40% - Accent5 7 4 3 3" xfId="15957" xr:uid="{00000000-0005-0000-0000-00008B8B0000}"/>
    <cellStyle name="40% - Accent5 7 4 3 3 2" xfId="38559" xr:uid="{00000000-0005-0000-0000-00008C8B0000}"/>
    <cellStyle name="40% - Accent5 7 4 3 4" xfId="27258" xr:uid="{00000000-0005-0000-0000-00008D8B0000}"/>
    <cellStyle name="40% - Accent5 7 4 4" xfId="6843" xr:uid="{00000000-0005-0000-0000-00008E8B0000}"/>
    <cellStyle name="40% - Accent5 7 4 4 2" xfId="18144" xr:uid="{00000000-0005-0000-0000-00008F8B0000}"/>
    <cellStyle name="40% - Accent5 7 4 4 2 2" xfId="40746" xr:uid="{00000000-0005-0000-0000-0000908B0000}"/>
    <cellStyle name="40% - Accent5 7 4 4 3" xfId="29445" xr:uid="{00000000-0005-0000-0000-0000918B0000}"/>
    <cellStyle name="40% - Accent5 7 4 5" xfId="12494" xr:uid="{00000000-0005-0000-0000-0000928B0000}"/>
    <cellStyle name="40% - Accent5 7 4 5 2" xfId="35096" xr:uid="{00000000-0005-0000-0000-0000938B0000}"/>
    <cellStyle name="40% - Accent5 7 4 6" xfId="23795" xr:uid="{00000000-0005-0000-0000-0000948B0000}"/>
    <cellStyle name="40% - Accent5 7 5" xfId="1968" xr:uid="{00000000-0005-0000-0000-0000958B0000}"/>
    <cellStyle name="40% - Accent5 7 5 2" xfId="3757" xr:uid="{00000000-0005-0000-0000-0000968B0000}"/>
    <cellStyle name="40% - Accent5 7 5 2 2" xfId="9467" xr:uid="{00000000-0005-0000-0000-0000978B0000}"/>
    <cellStyle name="40% - Accent5 7 5 2 2 2" xfId="20768" xr:uid="{00000000-0005-0000-0000-0000988B0000}"/>
    <cellStyle name="40% - Accent5 7 5 2 2 2 2" xfId="43370" xr:uid="{00000000-0005-0000-0000-0000998B0000}"/>
    <cellStyle name="40% - Accent5 7 5 2 2 3" xfId="32069" xr:uid="{00000000-0005-0000-0000-00009A8B0000}"/>
    <cellStyle name="40% - Accent5 7 5 2 3" xfId="15118" xr:uid="{00000000-0005-0000-0000-00009B8B0000}"/>
    <cellStyle name="40% - Accent5 7 5 2 3 2" xfId="37720" xr:uid="{00000000-0005-0000-0000-00009C8B0000}"/>
    <cellStyle name="40% - Accent5 7 5 2 4" xfId="26419" xr:uid="{00000000-0005-0000-0000-00009D8B0000}"/>
    <cellStyle name="40% - Accent5 7 5 3" xfId="5266" xr:uid="{00000000-0005-0000-0000-00009E8B0000}"/>
    <cellStyle name="40% - Accent5 7 5 3 2" xfId="10916" xr:uid="{00000000-0005-0000-0000-00009F8B0000}"/>
    <cellStyle name="40% - Accent5 7 5 3 2 2" xfId="22217" xr:uid="{00000000-0005-0000-0000-0000A08B0000}"/>
    <cellStyle name="40% - Accent5 7 5 3 2 2 2" xfId="44819" xr:uid="{00000000-0005-0000-0000-0000A18B0000}"/>
    <cellStyle name="40% - Accent5 7 5 3 2 3" xfId="33518" xr:uid="{00000000-0005-0000-0000-0000A28B0000}"/>
    <cellStyle name="40% - Accent5 7 5 3 3" xfId="16567" xr:uid="{00000000-0005-0000-0000-0000A38B0000}"/>
    <cellStyle name="40% - Accent5 7 5 3 3 2" xfId="39169" xr:uid="{00000000-0005-0000-0000-0000A48B0000}"/>
    <cellStyle name="40% - Accent5 7 5 3 4" xfId="27868" xr:uid="{00000000-0005-0000-0000-0000A58B0000}"/>
    <cellStyle name="40% - Accent5 7 5 4" xfId="7824" xr:uid="{00000000-0005-0000-0000-0000A68B0000}"/>
    <cellStyle name="40% - Accent5 7 5 4 2" xfId="19125" xr:uid="{00000000-0005-0000-0000-0000A78B0000}"/>
    <cellStyle name="40% - Accent5 7 5 4 2 2" xfId="41727" xr:uid="{00000000-0005-0000-0000-0000A88B0000}"/>
    <cellStyle name="40% - Accent5 7 5 4 3" xfId="30426" xr:uid="{00000000-0005-0000-0000-0000A98B0000}"/>
    <cellStyle name="40% - Accent5 7 5 5" xfId="13475" xr:uid="{00000000-0005-0000-0000-0000AA8B0000}"/>
    <cellStyle name="40% - Accent5 7 5 5 2" xfId="36077" xr:uid="{00000000-0005-0000-0000-0000AB8B0000}"/>
    <cellStyle name="40% - Accent5 7 5 6" xfId="24776" xr:uid="{00000000-0005-0000-0000-0000AC8B0000}"/>
    <cellStyle name="40% - Accent5 7 6" xfId="2245" xr:uid="{00000000-0005-0000-0000-0000AD8B0000}"/>
    <cellStyle name="40% - Accent5 7 6 2" xfId="8081" xr:uid="{00000000-0005-0000-0000-0000AE8B0000}"/>
    <cellStyle name="40% - Accent5 7 6 2 2" xfId="19382" xr:uid="{00000000-0005-0000-0000-0000AF8B0000}"/>
    <cellStyle name="40% - Accent5 7 6 2 2 2" xfId="41984" xr:uid="{00000000-0005-0000-0000-0000B08B0000}"/>
    <cellStyle name="40% - Accent5 7 6 2 3" xfId="30683" xr:uid="{00000000-0005-0000-0000-0000B18B0000}"/>
    <cellStyle name="40% - Accent5 7 6 3" xfId="13732" xr:uid="{00000000-0005-0000-0000-0000B28B0000}"/>
    <cellStyle name="40% - Accent5 7 6 3 2" xfId="36334" xr:uid="{00000000-0005-0000-0000-0000B38B0000}"/>
    <cellStyle name="40% - Accent5 7 6 4" xfId="25033" xr:uid="{00000000-0005-0000-0000-0000B48B0000}"/>
    <cellStyle name="40% - Accent5 7 7" xfId="4032" xr:uid="{00000000-0005-0000-0000-0000B58B0000}"/>
    <cellStyle name="40% - Accent5 7 7 2" xfId="9682" xr:uid="{00000000-0005-0000-0000-0000B68B0000}"/>
    <cellStyle name="40% - Accent5 7 7 2 2" xfId="20983" xr:uid="{00000000-0005-0000-0000-0000B78B0000}"/>
    <cellStyle name="40% - Accent5 7 7 2 2 2" xfId="43585" xr:uid="{00000000-0005-0000-0000-0000B88B0000}"/>
    <cellStyle name="40% - Accent5 7 7 2 3" xfId="32284" xr:uid="{00000000-0005-0000-0000-0000B98B0000}"/>
    <cellStyle name="40% - Accent5 7 7 3" xfId="15333" xr:uid="{00000000-0005-0000-0000-0000BA8B0000}"/>
    <cellStyle name="40% - Accent5 7 7 3 2" xfId="37935" xr:uid="{00000000-0005-0000-0000-0000BB8B0000}"/>
    <cellStyle name="40% - Accent5 7 7 4" xfId="26634" xr:uid="{00000000-0005-0000-0000-0000BC8B0000}"/>
    <cellStyle name="40% - Accent5 7 8" xfId="6483" xr:uid="{00000000-0005-0000-0000-0000BD8B0000}"/>
    <cellStyle name="40% - Accent5 7 8 2" xfId="17784" xr:uid="{00000000-0005-0000-0000-0000BE8B0000}"/>
    <cellStyle name="40% - Accent5 7 8 2 2" xfId="40386" xr:uid="{00000000-0005-0000-0000-0000BF8B0000}"/>
    <cellStyle name="40% - Accent5 7 8 3" xfId="29085" xr:uid="{00000000-0005-0000-0000-0000C08B0000}"/>
    <cellStyle name="40% - Accent5 7 9" xfId="12134" xr:uid="{00000000-0005-0000-0000-0000C18B0000}"/>
    <cellStyle name="40% - Accent5 7 9 2" xfId="34736" xr:uid="{00000000-0005-0000-0000-0000C28B0000}"/>
    <cellStyle name="40% - Accent5 8" xfId="443" xr:uid="{00000000-0005-0000-0000-0000C38B0000}"/>
    <cellStyle name="40% - Accent5 8 2" xfId="1214" xr:uid="{00000000-0005-0000-0000-0000C48B0000}"/>
    <cellStyle name="40% - Accent5 8 2 2" xfId="1973" xr:uid="{00000000-0005-0000-0000-0000C58B0000}"/>
    <cellStyle name="40% - Accent5 8 2 2 2" xfId="3283" xr:uid="{00000000-0005-0000-0000-0000C68B0000}"/>
    <cellStyle name="40% - Accent5 8 2 2 2 2" xfId="6255" xr:uid="{00000000-0005-0000-0000-0000C78B0000}"/>
    <cellStyle name="40% - Accent5 8 2 2 2 2 2" xfId="11905" xr:uid="{00000000-0005-0000-0000-0000C88B0000}"/>
    <cellStyle name="40% - Accent5 8 2 2 2 2 2 2" xfId="23206" xr:uid="{00000000-0005-0000-0000-0000C98B0000}"/>
    <cellStyle name="40% - Accent5 8 2 2 2 2 2 2 2" xfId="45808" xr:uid="{00000000-0005-0000-0000-0000CA8B0000}"/>
    <cellStyle name="40% - Accent5 8 2 2 2 2 2 3" xfId="34507" xr:uid="{00000000-0005-0000-0000-0000CB8B0000}"/>
    <cellStyle name="40% - Accent5 8 2 2 2 2 3" xfId="17556" xr:uid="{00000000-0005-0000-0000-0000CC8B0000}"/>
    <cellStyle name="40% - Accent5 8 2 2 2 2 3 2" xfId="40158" xr:uid="{00000000-0005-0000-0000-0000CD8B0000}"/>
    <cellStyle name="40% - Accent5 8 2 2 2 2 4" xfId="28857" xr:uid="{00000000-0005-0000-0000-0000CE8B0000}"/>
    <cellStyle name="40% - Accent5 8 2 2 2 3" xfId="9073" xr:uid="{00000000-0005-0000-0000-0000CF8B0000}"/>
    <cellStyle name="40% - Accent5 8 2 2 2 3 2" xfId="20374" xr:uid="{00000000-0005-0000-0000-0000D08B0000}"/>
    <cellStyle name="40% - Accent5 8 2 2 2 3 2 2" xfId="42976" xr:uid="{00000000-0005-0000-0000-0000D18B0000}"/>
    <cellStyle name="40% - Accent5 8 2 2 2 3 3" xfId="31675" xr:uid="{00000000-0005-0000-0000-0000D28B0000}"/>
    <cellStyle name="40% - Accent5 8 2 2 2 4" xfId="14724" xr:uid="{00000000-0005-0000-0000-0000D38B0000}"/>
    <cellStyle name="40% - Accent5 8 2 2 2 4 2" xfId="37326" xr:uid="{00000000-0005-0000-0000-0000D48B0000}"/>
    <cellStyle name="40% - Accent5 8 2 2 2 5" xfId="26025" xr:uid="{00000000-0005-0000-0000-0000D58B0000}"/>
    <cellStyle name="40% - Accent5 8 2 2 3" xfId="5021" xr:uid="{00000000-0005-0000-0000-0000D68B0000}"/>
    <cellStyle name="40% - Accent5 8 2 2 3 2" xfId="10671" xr:uid="{00000000-0005-0000-0000-0000D78B0000}"/>
    <cellStyle name="40% - Accent5 8 2 2 3 2 2" xfId="21972" xr:uid="{00000000-0005-0000-0000-0000D88B0000}"/>
    <cellStyle name="40% - Accent5 8 2 2 3 2 2 2" xfId="44574" xr:uid="{00000000-0005-0000-0000-0000D98B0000}"/>
    <cellStyle name="40% - Accent5 8 2 2 3 2 3" xfId="33273" xr:uid="{00000000-0005-0000-0000-0000DA8B0000}"/>
    <cellStyle name="40% - Accent5 8 2 2 3 3" xfId="16322" xr:uid="{00000000-0005-0000-0000-0000DB8B0000}"/>
    <cellStyle name="40% - Accent5 8 2 2 3 3 2" xfId="38924" xr:uid="{00000000-0005-0000-0000-0000DC8B0000}"/>
    <cellStyle name="40% - Accent5 8 2 2 3 4" xfId="27623" xr:uid="{00000000-0005-0000-0000-0000DD8B0000}"/>
    <cellStyle name="40% - Accent5 8 2 2 4" xfId="7829" xr:uid="{00000000-0005-0000-0000-0000DE8B0000}"/>
    <cellStyle name="40% - Accent5 8 2 2 4 2" xfId="19130" xr:uid="{00000000-0005-0000-0000-0000DF8B0000}"/>
    <cellStyle name="40% - Accent5 8 2 2 4 2 2" xfId="41732" xr:uid="{00000000-0005-0000-0000-0000E08B0000}"/>
    <cellStyle name="40% - Accent5 8 2 2 4 3" xfId="30431" xr:uid="{00000000-0005-0000-0000-0000E18B0000}"/>
    <cellStyle name="40% - Accent5 8 2 2 5" xfId="13480" xr:uid="{00000000-0005-0000-0000-0000E28B0000}"/>
    <cellStyle name="40% - Accent5 8 2 2 5 2" xfId="36082" xr:uid="{00000000-0005-0000-0000-0000E38B0000}"/>
    <cellStyle name="40% - Accent5 8 2 2 6" xfId="24781" xr:uid="{00000000-0005-0000-0000-0000E48B0000}"/>
    <cellStyle name="40% - Accent5 8 2 3" xfId="2612" xr:uid="{00000000-0005-0000-0000-0000E58B0000}"/>
    <cellStyle name="40% - Accent5 8 2 3 2" xfId="5631" xr:uid="{00000000-0005-0000-0000-0000E68B0000}"/>
    <cellStyle name="40% - Accent5 8 2 3 2 2" xfId="11281" xr:uid="{00000000-0005-0000-0000-0000E78B0000}"/>
    <cellStyle name="40% - Accent5 8 2 3 2 2 2" xfId="22582" xr:uid="{00000000-0005-0000-0000-0000E88B0000}"/>
    <cellStyle name="40% - Accent5 8 2 3 2 2 2 2" xfId="45184" xr:uid="{00000000-0005-0000-0000-0000E98B0000}"/>
    <cellStyle name="40% - Accent5 8 2 3 2 2 3" xfId="33883" xr:uid="{00000000-0005-0000-0000-0000EA8B0000}"/>
    <cellStyle name="40% - Accent5 8 2 3 2 3" xfId="16932" xr:uid="{00000000-0005-0000-0000-0000EB8B0000}"/>
    <cellStyle name="40% - Accent5 8 2 3 2 3 2" xfId="39534" xr:uid="{00000000-0005-0000-0000-0000EC8B0000}"/>
    <cellStyle name="40% - Accent5 8 2 3 2 4" xfId="28233" xr:uid="{00000000-0005-0000-0000-0000ED8B0000}"/>
    <cellStyle name="40% - Accent5 8 2 3 3" xfId="8448" xr:uid="{00000000-0005-0000-0000-0000EE8B0000}"/>
    <cellStyle name="40% - Accent5 8 2 3 3 2" xfId="19749" xr:uid="{00000000-0005-0000-0000-0000EF8B0000}"/>
    <cellStyle name="40% - Accent5 8 2 3 3 2 2" xfId="42351" xr:uid="{00000000-0005-0000-0000-0000F08B0000}"/>
    <cellStyle name="40% - Accent5 8 2 3 3 3" xfId="31050" xr:uid="{00000000-0005-0000-0000-0000F18B0000}"/>
    <cellStyle name="40% - Accent5 8 2 3 4" xfId="14099" xr:uid="{00000000-0005-0000-0000-0000F28B0000}"/>
    <cellStyle name="40% - Accent5 8 2 3 4 2" xfId="36701" xr:uid="{00000000-0005-0000-0000-0000F38B0000}"/>
    <cellStyle name="40% - Accent5 8 2 3 5" xfId="25400" xr:uid="{00000000-0005-0000-0000-0000F48B0000}"/>
    <cellStyle name="40% - Accent5 8 2 4" xfId="4397" xr:uid="{00000000-0005-0000-0000-0000F58B0000}"/>
    <cellStyle name="40% - Accent5 8 2 4 2" xfId="10047" xr:uid="{00000000-0005-0000-0000-0000F68B0000}"/>
    <cellStyle name="40% - Accent5 8 2 4 2 2" xfId="21348" xr:uid="{00000000-0005-0000-0000-0000F78B0000}"/>
    <cellStyle name="40% - Accent5 8 2 4 2 2 2" xfId="43950" xr:uid="{00000000-0005-0000-0000-0000F88B0000}"/>
    <cellStyle name="40% - Accent5 8 2 4 2 3" xfId="32649" xr:uid="{00000000-0005-0000-0000-0000F98B0000}"/>
    <cellStyle name="40% - Accent5 8 2 4 3" xfId="15698" xr:uid="{00000000-0005-0000-0000-0000FA8B0000}"/>
    <cellStyle name="40% - Accent5 8 2 4 3 2" xfId="38300" xr:uid="{00000000-0005-0000-0000-0000FB8B0000}"/>
    <cellStyle name="40% - Accent5 8 2 4 4" xfId="26999" xr:uid="{00000000-0005-0000-0000-0000FC8B0000}"/>
    <cellStyle name="40% - Accent5 8 2 5" xfId="7193" xr:uid="{00000000-0005-0000-0000-0000FD8B0000}"/>
    <cellStyle name="40% - Accent5 8 2 5 2" xfId="18494" xr:uid="{00000000-0005-0000-0000-0000FE8B0000}"/>
    <cellStyle name="40% - Accent5 8 2 5 2 2" xfId="41096" xr:uid="{00000000-0005-0000-0000-0000FF8B0000}"/>
    <cellStyle name="40% - Accent5 8 2 5 3" xfId="29795" xr:uid="{00000000-0005-0000-0000-0000008C0000}"/>
    <cellStyle name="40% - Accent5 8 2 6" xfId="12844" xr:uid="{00000000-0005-0000-0000-0000018C0000}"/>
    <cellStyle name="40% - Accent5 8 2 6 2" xfId="35446" xr:uid="{00000000-0005-0000-0000-0000028C0000}"/>
    <cellStyle name="40% - Accent5 8 2 7" xfId="24145" xr:uid="{00000000-0005-0000-0000-0000038C0000}"/>
    <cellStyle name="40% - Accent5 8 3" xfId="911" xr:uid="{00000000-0005-0000-0000-0000048C0000}"/>
    <cellStyle name="40% - Accent5 8 3 2" xfId="2975" xr:uid="{00000000-0005-0000-0000-0000058C0000}"/>
    <cellStyle name="40% - Accent5 8 3 2 2" xfId="5947" xr:uid="{00000000-0005-0000-0000-0000068C0000}"/>
    <cellStyle name="40% - Accent5 8 3 2 2 2" xfId="11597" xr:uid="{00000000-0005-0000-0000-0000078C0000}"/>
    <cellStyle name="40% - Accent5 8 3 2 2 2 2" xfId="22898" xr:uid="{00000000-0005-0000-0000-0000088C0000}"/>
    <cellStyle name="40% - Accent5 8 3 2 2 2 2 2" xfId="45500" xr:uid="{00000000-0005-0000-0000-0000098C0000}"/>
    <cellStyle name="40% - Accent5 8 3 2 2 2 3" xfId="34199" xr:uid="{00000000-0005-0000-0000-00000A8C0000}"/>
    <cellStyle name="40% - Accent5 8 3 2 2 3" xfId="17248" xr:uid="{00000000-0005-0000-0000-00000B8C0000}"/>
    <cellStyle name="40% - Accent5 8 3 2 2 3 2" xfId="39850" xr:uid="{00000000-0005-0000-0000-00000C8C0000}"/>
    <cellStyle name="40% - Accent5 8 3 2 2 4" xfId="28549" xr:uid="{00000000-0005-0000-0000-00000D8C0000}"/>
    <cellStyle name="40% - Accent5 8 3 2 3" xfId="8765" xr:uid="{00000000-0005-0000-0000-00000E8C0000}"/>
    <cellStyle name="40% - Accent5 8 3 2 3 2" xfId="20066" xr:uid="{00000000-0005-0000-0000-00000F8C0000}"/>
    <cellStyle name="40% - Accent5 8 3 2 3 2 2" xfId="42668" xr:uid="{00000000-0005-0000-0000-0000108C0000}"/>
    <cellStyle name="40% - Accent5 8 3 2 3 3" xfId="31367" xr:uid="{00000000-0005-0000-0000-0000118C0000}"/>
    <cellStyle name="40% - Accent5 8 3 2 4" xfId="14416" xr:uid="{00000000-0005-0000-0000-0000128C0000}"/>
    <cellStyle name="40% - Accent5 8 3 2 4 2" xfId="37018" xr:uid="{00000000-0005-0000-0000-0000138C0000}"/>
    <cellStyle name="40% - Accent5 8 3 2 5" xfId="25717" xr:uid="{00000000-0005-0000-0000-0000148C0000}"/>
    <cellStyle name="40% - Accent5 8 3 3" xfId="4713" xr:uid="{00000000-0005-0000-0000-0000158C0000}"/>
    <cellStyle name="40% - Accent5 8 3 3 2" xfId="10363" xr:uid="{00000000-0005-0000-0000-0000168C0000}"/>
    <cellStyle name="40% - Accent5 8 3 3 2 2" xfId="21664" xr:uid="{00000000-0005-0000-0000-0000178C0000}"/>
    <cellStyle name="40% - Accent5 8 3 3 2 2 2" xfId="44266" xr:uid="{00000000-0005-0000-0000-0000188C0000}"/>
    <cellStyle name="40% - Accent5 8 3 3 2 3" xfId="32965" xr:uid="{00000000-0005-0000-0000-0000198C0000}"/>
    <cellStyle name="40% - Accent5 8 3 3 3" xfId="16014" xr:uid="{00000000-0005-0000-0000-00001A8C0000}"/>
    <cellStyle name="40% - Accent5 8 3 3 3 2" xfId="38616" xr:uid="{00000000-0005-0000-0000-00001B8C0000}"/>
    <cellStyle name="40% - Accent5 8 3 3 4" xfId="27315" xr:uid="{00000000-0005-0000-0000-00001C8C0000}"/>
    <cellStyle name="40% - Accent5 8 3 4" xfId="6900" xr:uid="{00000000-0005-0000-0000-00001D8C0000}"/>
    <cellStyle name="40% - Accent5 8 3 4 2" xfId="18201" xr:uid="{00000000-0005-0000-0000-00001E8C0000}"/>
    <cellStyle name="40% - Accent5 8 3 4 2 2" xfId="40803" xr:uid="{00000000-0005-0000-0000-00001F8C0000}"/>
    <cellStyle name="40% - Accent5 8 3 4 3" xfId="29502" xr:uid="{00000000-0005-0000-0000-0000208C0000}"/>
    <cellStyle name="40% - Accent5 8 3 5" xfId="12551" xr:uid="{00000000-0005-0000-0000-0000218C0000}"/>
    <cellStyle name="40% - Accent5 8 3 5 2" xfId="35153" xr:uid="{00000000-0005-0000-0000-0000228C0000}"/>
    <cellStyle name="40% - Accent5 8 3 6" xfId="23852" xr:uid="{00000000-0005-0000-0000-0000238C0000}"/>
    <cellStyle name="40% - Accent5 8 4" xfId="1972" xr:uid="{00000000-0005-0000-0000-0000248C0000}"/>
    <cellStyle name="40% - Accent5 8 4 2" xfId="3759" xr:uid="{00000000-0005-0000-0000-0000258C0000}"/>
    <cellStyle name="40% - Accent5 8 4 2 2" xfId="9469" xr:uid="{00000000-0005-0000-0000-0000268C0000}"/>
    <cellStyle name="40% - Accent5 8 4 2 2 2" xfId="20770" xr:uid="{00000000-0005-0000-0000-0000278C0000}"/>
    <cellStyle name="40% - Accent5 8 4 2 2 2 2" xfId="43372" xr:uid="{00000000-0005-0000-0000-0000288C0000}"/>
    <cellStyle name="40% - Accent5 8 4 2 2 3" xfId="32071" xr:uid="{00000000-0005-0000-0000-0000298C0000}"/>
    <cellStyle name="40% - Accent5 8 4 2 3" xfId="15120" xr:uid="{00000000-0005-0000-0000-00002A8C0000}"/>
    <cellStyle name="40% - Accent5 8 4 2 3 2" xfId="37722" xr:uid="{00000000-0005-0000-0000-00002B8C0000}"/>
    <cellStyle name="40% - Accent5 8 4 2 4" xfId="26421" xr:uid="{00000000-0005-0000-0000-00002C8C0000}"/>
    <cellStyle name="40% - Accent5 8 4 3" xfId="5323" xr:uid="{00000000-0005-0000-0000-00002D8C0000}"/>
    <cellStyle name="40% - Accent5 8 4 3 2" xfId="10973" xr:uid="{00000000-0005-0000-0000-00002E8C0000}"/>
    <cellStyle name="40% - Accent5 8 4 3 2 2" xfId="22274" xr:uid="{00000000-0005-0000-0000-00002F8C0000}"/>
    <cellStyle name="40% - Accent5 8 4 3 2 2 2" xfId="44876" xr:uid="{00000000-0005-0000-0000-0000308C0000}"/>
    <cellStyle name="40% - Accent5 8 4 3 2 3" xfId="33575" xr:uid="{00000000-0005-0000-0000-0000318C0000}"/>
    <cellStyle name="40% - Accent5 8 4 3 3" xfId="16624" xr:uid="{00000000-0005-0000-0000-0000328C0000}"/>
    <cellStyle name="40% - Accent5 8 4 3 3 2" xfId="39226" xr:uid="{00000000-0005-0000-0000-0000338C0000}"/>
    <cellStyle name="40% - Accent5 8 4 3 4" xfId="27925" xr:uid="{00000000-0005-0000-0000-0000348C0000}"/>
    <cellStyle name="40% - Accent5 8 4 4" xfId="7828" xr:uid="{00000000-0005-0000-0000-0000358C0000}"/>
    <cellStyle name="40% - Accent5 8 4 4 2" xfId="19129" xr:uid="{00000000-0005-0000-0000-0000368C0000}"/>
    <cellStyle name="40% - Accent5 8 4 4 2 2" xfId="41731" xr:uid="{00000000-0005-0000-0000-0000378C0000}"/>
    <cellStyle name="40% - Accent5 8 4 4 3" xfId="30430" xr:uid="{00000000-0005-0000-0000-0000388C0000}"/>
    <cellStyle name="40% - Accent5 8 4 5" xfId="13479" xr:uid="{00000000-0005-0000-0000-0000398C0000}"/>
    <cellStyle name="40% - Accent5 8 4 5 2" xfId="36081" xr:uid="{00000000-0005-0000-0000-00003A8C0000}"/>
    <cellStyle name="40% - Accent5 8 4 6" xfId="24780" xr:uid="{00000000-0005-0000-0000-00003B8C0000}"/>
    <cellStyle name="40% - Accent5 8 5" xfId="2304" xr:uid="{00000000-0005-0000-0000-00003C8C0000}"/>
    <cellStyle name="40% - Accent5 8 5 2" xfId="8140" xr:uid="{00000000-0005-0000-0000-00003D8C0000}"/>
    <cellStyle name="40% - Accent5 8 5 2 2" xfId="19441" xr:uid="{00000000-0005-0000-0000-00003E8C0000}"/>
    <cellStyle name="40% - Accent5 8 5 2 2 2" xfId="42043" xr:uid="{00000000-0005-0000-0000-00003F8C0000}"/>
    <cellStyle name="40% - Accent5 8 5 2 3" xfId="30742" xr:uid="{00000000-0005-0000-0000-0000408C0000}"/>
    <cellStyle name="40% - Accent5 8 5 3" xfId="13791" xr:uid="{00000000-0005-0000-0000-0000418C0000}"/>
    <cellStyle name="40% - Accent5 8 5 3 2" xfId="36393" xr:uid="{00000000-0005-0000-0000-0000428C0000}"/>
    <cellStyle name="40% - Accent5 8 5 4" xfId="25092" xr:uid="{00000000-0005-0000-0000-0000438C0000}"/>
    <cellStyle name="40% - Accent5 8 6" xfId="4089" xr:uid="{00000000-0005-0000-0000-0000448C0000}"/>
    <cellStyle name="40% - Accent5 8 6 2" xfId="9739" xr:uid="{00000000-0005-0000-0000-0000458C0000}"/>
    <cellStyle name="40% - Accent5 8 6 2 2" xfId="21040" xr:uid="{00000000-0005-0000-0000-0000468C0000}"/>
    <cellStyle name="40% - Accent5 8 6 2 2 2" xfId="43642" xr:uid="{00000000-0005-0000-0000-0000478C0000}"/>
    <cellStyle name="40% - Accent5 8 6 2 3" xfId="32341" xr:uid="{00000000-0005-0000-0000-0000488C0000}"/>
    <cellStyle name="40% - Accent5 8 6 3" xfId="15390" xr:uid="{00000000-0005-0000-0000-0000498C0000}"/>
    <cellStyle name="40% - Accent5 8 6 3 2" xfId="37992" xr:uid="{00000000-0005-0000-0000-00004A8C0000}"/>
    <cellStyle name="40% - Accent5 8 6 4" xfId="26691" xr:uid="{00000000-0005-0000-0000-00004B8C0000}"/>
    <cellStyle name="40% - Accent5 8 7" xfId="6540" xr:uid="{00000000-0005-0000-0000-00004C8C0000}"/>
    <cellStyle name="40% - Accent5 8 7 2" xfId="17841" xr:uid="{00000000-0005-0000-0000-00004D8C0000}"/>
    <cellStyle name="40% - Accent5 8 7 2 2" xfId="40443" xr:uid="{00000000-0005-0000-0000-00004E8C0000}"/>
    <cellStyle name="40% - Accent5 8 7 3" xfId="29142" xr:uid="{00000000-0005-0000-0000-00004F8C0000}"/>
    <cellStyle name="40% - Accent5 8 8" xfId="12191" xr:uid="{00000000-0005-0000-0000-0000508C0000}"/>
    <cellStyle name="40% - Accent5 8 8 2" xfId="34793" xr:uid="{00000000-0005-0000-0000-0000518C0000}"/>
    <cellStyle name="40% - Accent5 8 9" xfId="23492" xr:uid="{00000000-0005-0000-0000-0000528C0000}"/>
    <cellStyle name="40% - Accent5 9" xfId="645" xr:uid="{00000000-0005-0000-0000-0000538C0000}"/>
    <cellStyle name="40% - Accent5 9 2" xfId="708" xr:uid="{00000000-0005-0000-0000-0000548C0000}"/>
    <cellStyle name="40% - Accent5 9 2 2" xfId="3115" xr:uid="{00000000-0005-0000-0000-0000558C0000}"/>
    <cellStyle name="40% - Accent5 9 2 2 2" xfId="6087" xr:uid="{00000000-0005-0000-0000-0000568C0000}"/>
    <cellStyle name="40% - Accent5 9 2 2 2 2" xfId="11737" xr:uid="{00000000-0005-0000-0000-0000578C0000}"/>
    <cellStyle name="40% - Accent5 9 2 2 2 2 2" xfId="23038" xr:uid="{00000000-0005-0000-0000-0000588C0000}"/>
    <cellStyle name="40% - Accent5 9 2 2 2 2 2 2" xfId="45640" xr:uid="{00000000-0005-0000-0000-0000598C0000}"/>
    <cellStyle name="40% - Accent5 9 2 2 2 2 3" xfId="34339" xr:uid="{00000000-0005-0000-0000-00005A8C0000}"/>
    <cellStyle name="40% - Accent5 9 2 2 2 3" xfId="17388" xr:uid="{00000000-0005-0000-0000-00005B8C0000}"/>
    <cellStyle name="40% - Accent5 9 2 2 2 3 2" xfId="39990" xr:uid="{00000000-0005-0000-0000-00005C8C0000}"/>
    <cellStyle name="40% - Accent5 9 2 2 2 4" xfId="28689" xr:uid="{00000000-0005-0000-0000-00005D8C0000}"/>
    <cellStyle name="40% - Accent5 9 2 2 3" xfId="8905" xr:uid="{00000000-0005-0000-0000-00005E8C0000}"/>
    <cellStyle name="40% - Accent5 9 2 2 3 2" xfId="20206" xr:uid="{00000000-0005-0000-0000-00005F8C0000}"/>
    <cellStyle name="40% - Accent5 9 2 2 3 2 2" xfId="42808" xr:uid="{00000000-0005-0000-0000-0000608C0000}"/>
    <cellStyle name="40% - Accent5 9 2 2 3 3" xfId="31507" xr:uid="{00000000-0005-0000-0000-0000618C0000}"/>
    <cellStyle name="40% - Accent5 9 2 2 4" xfId="14556" xr:uid="{00000000-0005-0000-0000-0000628C0000}"/>
    <cellStyle name="40% - Accent5 9 2 2 4 2" xfId="37158" xr:uid="{00000000-0005-0000-0000-0000638C0000}"/>
    <cellStyle name="40% - Accent5 9 2 2 5" xfId="25857" xr:uid="{00000000-0005-0000-0000-0000648C0000}"/>
    <cellStyle name="40% - Accent5 9 2 3" xfId="4853" xr:uid="{00000000-0005-0000-0000-0000658C0000}"/>
    <cellStyle name="40% - Accent5 9 2 3 2" xfId="10503" xr:uid="{00000000-0005-0000-0000-0000668C0000}"/>
    <cellStyle name="40% - Accent5 9 2 3 2 2" xfId="21804" xr:uid="{00000000-0005-0000-0000-0000678C0000}"/>
    <cellStyle name="40% - Accent5 9 2 3 2 2 2" xfId="44406" xr:uid="{00000000-0005-0000-0000-0000688C0000}"/>
    <cellStyle name="40% - Accent5 9 2 3 2 3" xfId="33105" xr:uid="{00000000-0005-0000-0000-0000698C0000}"/>
    <cellStyle name="40% - Accent5 9 2 3 3" xfId="16154" xr:uid="{00000000-0005-0000-0000-00006A8C0000}"/>
    <cellStyle name="40% - Accent5 9 2 3 3 2" xfId="38756" xr:uid="{00000000-0005-0000-0000-00006B8C0000}"/>
    <cellStyle name="40% - Accent5 9 2 3 4" xfId="27455" xr:uid="{00000000-0005-0000-0000-00006C8C0000}"/>
    <cellStyle name="40% - Accent5 9 2 4" xfId="6729" xr:uid="{00000000-0005-0000-0000-00006D8C0000}"/>
    <cellStyle name="40% - Accent5 9 2 4 2" xfId="18030" xr:uid="{00000000-0005-0000-0000-00006E8C0000}"/>
    <cellStyle name="40% - Accent5 9 2 4 2 2" xfId="40632" xr:uid="{00000000-0005-0000-0000-00006F8C0000}"/>
    <cellStyle name="40% - Accent5 9 2 4 3" xfId="29331" xr:uid="{00000000-0005-0000-0000-0000708C0000}"/>
    <cellStyle name="40% - Accent5 9 2 5" xfId="12380" xr:uid="{00000000-0005-0000-0000-0000718C0000}"/>
    <cellStyle name="40% - Accent5 9 2 5 2" xfId="34982" xr:uid="{00000000-0005-0000-0000-0000728C0000}"/>
    <cellStyle name="40% - Accent5 9 2 6" xfId="23681" xr:uid="{00000000-0005-0000-0000-0000738C0000}"/>
    <cellStyle name="40% - Accent5 9 3" xfId="1974" xr:uid="{00000000-0005-0000-0000-0000748C0000}"/>
    <cellStyle name="40% - Accent5 9 3 2" xfId="3760" xr:uid="{00000000-0005-0000-0000-0000758C0000}"/>
    <cellStyle name="40% - Accent5 9 3 2 2" xfId="9470" xr:uid="{00000000-0005-0000-0000-0000768C0000}"/>
    <cellStyle name="40% - Accent5 9 3 2 2 2" xfId="20771" xr:uid="{00000000-0005-0000-0000-0000778C0000}"/>
    <cellStyle name="40% - Accent5 9 3 2 2 2 2" xfId="43373" xr:uid="{00000000-0005-0000-0000-0000788C0000}"/>
    <cellStyle name="40% - Accent5 9 3 2 2 3" xfId="32072" xr:uid="{00000000-0005-0000-0000-0000798C0000}"/>
    <cellStyle name="40% - Accent5 9 3 2 3" xfId="15121" xr:uid="{00000000-0005-0000-0000-00007A8C0000}"/>
    <cellStyle name="40% - Accent5 9 3 2 3 2" xfId="37723" xr:uid="{00000000-0005-0000-0000-00007B8C0000}"/>
    <cellStyle name="40% - Accent5 9 3 2 4" xfId="26422" xr:uid="{00000000-0005-0000-0000-00007C8C0000}"/>
    <cellStyle name="40% - Accent5 9 3 3" xfId="5463" xr:uid="{00000000-0005-0000-0000-00007D8C0000}"/>
    <cellStyle name="40% - Accent5 9 3 3 2" xfId="11113" xr:uid="{00000000-0005-0000-0000-00007E8C0000}"/>
    <cellStyle name="40% - Accent5 9 3 3 2 2" xfId="22414" xr:uid="{00000000-0005-0000-0000-00007F8C0000}"/>
    <cellStyle name="40% - Accent5 9 3 3 2 2 2" xfId="45016" xr:uid="{00000000-0005-0000-0000-0000808C0000}"/>
    <cellStyle name="40% - Accent5 9 3 3 2 3" xfId="33715" xr:uid="{00000000-0005-0000-0000-0000818C0000}"/>
    <cellStyle name="40% - Accent5 9 3 3 3" xfId="16764" xr:uid="{00000000-0005-0000-0000-0000828C0000}"/>
    <cellStyle name="40% - Accent5 9 3 3 3 2" xfId="39366" xr:uid="{00000000-0005-0000-0000-0000838C0000}"/>
    <cellStyle name="40% - Accent5 9 3 3 4" xfId="28065" xr:uid="{00000000-0005-0000-0000-0000848C0000}"/>
    <cellStyle name="40% - Accent5 9 3 4" xfId="7830" xr:uid="{00000000-0005-0000-0000-0000858C0000}"/>
    <cellStyle name="40% - Accent5 9 3 4 2" xfId="19131" xr:uid="{00000000-0005-0000-0000-0000868C0000}"/>
    <cellStyle name="40% - Accent5 9 3 4 2 2" xfId="41733" xr:uid="{00000000-0005-0000-0000-0000878C0000}"/>
    <cellStyle name="40% - Accent5 9 3 4 3" xfId="30432" xr:uid="{00000000-0005-0000-0000-0000888C0000}"/>
    <cellStyle name="40% - Accent5 9 3 5" xfId="13481" xr:uid="{00000000-0005-0000-0000-0000898C0000}"/>
    <cellStyle name="40% - Accent5 9 3 5 2" xfId="36083" xr:uid="{00000000-0005-0000-0000-00008A8C0000}"/>
    <cellStyle name="40% - Accent5 9 3 6" xfId="24782" xr:uid="{00000000-0005-0000-0000-00008B8C0000}"/>
    <cellStyle name="40% - Accent5 9 4" xfId="2444" xr:uid="{00000000-0005-0000-0000-00008C8C0000}"/>
    <cellStyle name="40% - Accent5 9 4 2" xfId="8280" xr:uid="{00000000-0005-0000-0000-00008D8C0000}"/>
    <cellStyle name="40% - Accent5 9 4 2 2" xfId="19581" xr:uid="{00000000-0005-0000-0000-00008E8C0000}"/>
    <cellStyle name="40% - Accent5 9 4 2 2 2" xfId="42183" xr:uid="{00000000-0005-0000-0000-00008F8C0000}"/>
    <cellStyle name="40% - Accent5 9 4 2 3" xfId="30882" xr:uid="{00000000-0005-0000-0000-0000908C0000}"/>
    <cellStyle name="40% - Accent5 9 4 3" xfId="13931" xr:uid="{00000000-0005-0000-0000-0000918C0000}"/>
    <cellStyle name="40% - Accent5 9 4 3 2" xfId="36533" xr:uid="{00000000-0005-0000-0000-0000928C0000}"/>
    <cellStyle name="40% - Accent5 9 4 4" xfId="25232" xr:uid="{00000000-0005-0000-0000-0000938C0000}"/>
    <cellStyle name="40% - Accent5 9 5" xfId="4229" xr:uid="{00000000-0005-0000-0000-0000948C0000}"/>
    <cellStyle name="40% - Accent5 9 5 2" xfId="9879" xr:uid="{00000000-0005-0000-0000-0000958C0000}"/>
    <cellStyle name="40% - Accent5 9 5 2 2" xfId="21180" xr:uid="{00000000-0005-0000-0000-0000968C0000}"/>
    <cellStyle name="40% - Accent5 9 5 2 2 2" xfId="43782" xr:uid="{00000000-0005-0000-0000-0000978C0000}"/>
    <cellStyle name="40% - Accent5 9 5 2 3" xfId="32481" xr:uid="{00000000-0005-0000-0000-0000988C0000}"/>
    <cellStyle name="40% - Accent5 9 5 3" xfId="15530" xr:uid="{00000000-0005-0000-0000-0000998C0000}"/>
    <cellStyle name="40% - Accent5 9 5 3 2" xfId="38132" xr:uid="{00000000-0005-0000-0000-00009A8C0000}"/>
    <cellStyle name="40% - Accent5 9 5 4" xfId="26831" xr:uid="{00000000-0005-0000-0000-00009B8C0000}"/>
    <cellStyle name="40% - Accent5 9 6" xfId="6708" xr:uid="{00000000-0005-0000-0000-00009C8C0000}"/>
    <cellStyle name="40% - Accent5 9 6 2" xfId="18009" xr:uid="{00000000-0005-0000-0000-00009D8C0000}"/>
    <cellStyle name="40% - Accent5 9 6 2 2" xfId="40611" xr:uid="{00000000-0005-0000-0000-00009E8C0000}"/>
    <cellStyle name="40% - Accent5 9 6 3" xfId="29310" xr:uid="{00000000-0005-0000-0000-00009F8C0000}"/>
    <cellStyle name="40% - Accent5 9 7" xfId="12359" xr:uid="{00000000-0005-0000-0000-0000A08C0000}"/>
    <cellStyle name="40% - Accent5 9 7 2" xfId="34961" xr:uid="{00000000-0005-0000-0000-0000A18C0000}"/>
    <cellStyle name="40% - Accent5 9 8" xfId="23660" xr:uid="{00000000-0005-0000-0000-0000A28C0000}"/>
    <cellStyle name="40% - Accent6 10" xfId="1448" xr:uid="{00000000-0005-0000-0000-0000A38C0000}"/>
    <cellStyle name="40% - Accent6 10 2" xfId="1975" xr:uid="{00000000-0005-0000-0000-0000A48C0000}"/>
    <cellStyle name="40% - Accent6 10 2 2" xfId="3412" xr:uid="{00000000-0005-0000-0000-0000A58C0000}"/>
    <cellStyle name="40% - Accent6 10 2 2 2" xfId="6384" xr:uid="{00000000-0005-0000-0000-0000A68C0000}"/>
    <cellStyle name="40% - Accent6 10 2 2 2 2" xfId="12034" xr:uid="{00000000-0005-0000-0000-0000A78C0000}"/>
    <cellStyle name="40% - Accent6 10 2 2 2 2 2" xfId="23335" xr:uid="{00000000-0005-0000-0000-0000A88C0000}"/>
    <cellStyle name="40% - Accent6 10 2 2 2 2 2 2" xfId="45937" xr:uid="{00000000-0005-0000-0000-0000A98C0000}"/>
    <cellStyle name="40% - Accent6 10 2 2 2 2 3" xfId="34636" xr:uid="{00000000-0005-0000-0000-0000AA8C0000}"/>
    <cellStyle name="40% - Accent6 10 2 2 2 3" xfId="17685" xr:uid="{00000000-0005-0000-0000-0000AB8C0000}"/>
    <cellStyle name="40% - Accent6 10 2 2 2 3 2" xfId="40287" xr:uid="{00000000-0005-0000-0000-0000AC8C0000}"/>
    <cellStyle name="40% - Accent6 10 2 2 2 4" xfId="28986" xr:uid="{00000000-0005-0000-0000-0000AD8C0000}"/>
    <cellStyle name="40% - Accent6 10 2 2 3" xfId="9202" xr:uid="{00000000-0005-0000-0000-0000AE8C0000}"/>
    <cellStyle name="40% - Accent6 10 2 2 3 2" xfId="20503" xr:uid="{00000000-0005-0000-0000-0000AF8C0000}"/>
    <cellStyle name="40% - Accent6 10 2 2 3 2 2" xfId="43105" xr:uid="{00000000-0005-0000-0000-0000B08C0000}"/>
    <cellStyle name="40% - Accent6 10 2 2 3 3" xfId="31804" xr:uid="{00000000-0005-0000-0000-0000B18C0000}"/>
    <cellStyle name="40% - Accent6 10 2 2 4" xfId="14853" xr:uid="{00000000-0005-0000-0000-0000B28C0000}"/>
    <cellStyle name="40% - Accent6 10 2 2 4 2" xfId="37455" xr:uid="{00000000-0005-0000-0000-0000B38C0000}"/>
    <cellStyle name="40% - Accent6 10 2 2 5" xfId="26154" xr:uid="{00000000-0005-0000-0000-0000B48C0000}"/>
    <cellStyle name="40% - Accent6 10 2 3" xfId="5150" xr:uid="{00000000-0005-0000-0000-0000B58C0000}"/>
    <cellStyle name="40% - Accent6 10 2 3 2" xfId="10800" xr:uid="{00000000-0005-0000-0000-0000B68C0000}"/>
    <cellStyle name="40% - Accent6 10 2 3 2 2" xfId="22101" xr:uid="{00000000-0005-0000-0000-0000B78C0000}"/>
    <cellStyle name="40% - Accent6 10 2 3 2 2 2" xfId="44703" xr:uid="{00000000-0005-0000-0000-0000B88C0000}"/>
    <cellStyle name="40% - Accent6 10 2 3 2 3" xfId="33402" xr:uid="{00000000-0005-0000-0000-0000B98C0000}"/>
    <cellStyle name="40% - Accent6 10 2 3 3" xfId="16451" xr:uid="{00000000-0005-0000-0000-0000BA8C0000}"/>
    <cellStyle name="40% - Accent6 10 2 3 3 2" xfId="39053" xr:uid="{00000000-0005-0000-0000-0000BB8C0000}"/>
    <cellStyle name="40% - Accent6 10 2 3 4" xfId="27752" xr:uid="{00000000-0005-0000-0000-0000BC8C0000}"/>
    <cellStyle name="40% - Accent6 10 2 4" xfId="7831" xr:uid="{00000000-0005-0000-0000-0000BD8C0000}"/>
    <cellStyle name="40% - Accent6 10 2 4 2" xfId="19132" xr:uid="{00000000-0005-0000-0000-0000BE8C0000}"/>
    <cellStyle name="40% - Accent6 10 2 4 2 2" xfId="41734" xr:uid="{00000000-0005-0000-0000-0000BF8C0000}"/>
    <cellStyle name="40% - Accent6 10 2 4 3" xfId="30433" xr:uid="{00000000-0005-0000-0000-0000C08C0000}"/>
    <cellStyle name="40% - Accent6 10 2 5" xfId="13482" xr:uid="{00000000-0005-0000-0000-0000C18C0000}"/>
    <cellStyle name="40% - Accent6 10 2 5 2" xfId="36084" xr:uid="{00000000-0005-0000-0000-0000C28C0000}"/>
    <cellStyle name="40% - Accent6 10 2 6" xfId="24783" xr:uid="{00000000-0005-0000-0000-0000C38C0000}"/>
    <cellStyle name="40% - Accent6 10 3" xfId="2743" xr:uid="{00000000-0005-0000-0000-0000C48C0000}"/>
    <cellStyle name="40% - Accent6 10 3 2" xfId="5760" xr:uid="{00000000-0005-0000-0000-0000C58C0000}"/>
    <cellStyle name="40% - Accent6 10 3 2 2" xfId="11410" xr:uid="{00000000-0005-0000-0000-0000C68C0000}"/>
    <cellStyle name="40% - Accent6 10 3 2 2 2" xfId="22711" xr:uid="{00000000-0005-0000-0000-0000C78C0000}"/>
    <cellStyle name="40% - Accent6 10 3 2 2 2 2" xfId="45313" xr:uid="{00000000-0005-0000-0000-0000C88C0000}"/>
    <cellStyle name="40% - Accent6 10 3 2 2 3" xfId="34012" xr:uid="{00000000-0005-0000-0000-0000C98C0000}"/>
    <cellStyle name="40% - Accent6 10 3 2 3" xfId="17061" xr:uid="{00000000-0005-0000-0000-0000CA8C0000}"/>
    <cellStyle name="40% - Accent6 10 3 2 3 2" xfId="39663" xr:uid="{00000000-0005-0000-0000-0000CB8C0000}"/>
    <cellStyle name="40% - Accent6 10 3 2 4" xfId="28362" xr:uid="{00000000-0005-0000-0000-0000CC8C0000}"/>
    <cellStyle name="40% - Accent6 10 3 3" xfId="8577" xr:uid="{00000000-0005-0000-0000-0000CD8C0000}"/>
    <cellStyle name="40% - Accent6 10 3 3 2" xfId="19878" xr:uid="{00000000-0005-0000-0000-0000CE8C0000}"/>
    <cellStyle name="40% - Accent6 10 3 3 2 2" xfId="42480" xr:uid="{00000000-0005-0000-0000-0000CF8C0000}"/>
    <cellStyle name="40% - Accent6 10 3 3 3" xfId="31179" xr:uid="{00000000-0005-0000-0000-0000D08C0000}"/>
    <cellStyle name="40% - Accent6 10 3 4" xfId="14228" xr:uid="{00000000-0005-0000-0000-0000D18C0000}"/>
    <cellStyle name="40% - Accent6 10 3 4 2" xfId="36830" xr:uid="{00000000-0005-0000-0000-0000D28C0000}"/>
    <cellStyle name="40% - Accent6 10 3 5" xfId="25529" xr:uid="{00000000-0005-0000-0000-0000D38C0000}"/>
    <cellStyle name="40% - Accent6 10 4" xfId="4526" xr:uid="{00000000-0005-0000-0000-0000D48C0000}"/>
    <cellStyle name="40% - Accent6 10 4 2" xfId="10176" xr:uid="{00000000-0005-0000-0000-0000D58C0000}"/>
    <cellStyle name="40% - Accent6 10 4 2 2" xfId="21477" xr:uid="{00000000-0005-0000-0000-0000D68C0000}"/>
    <cellStyle name="40% - Accent6 10 4 2 2 2" xfId="44079" xr:uid="{00000000-0005-0000-0000-0000D78C0000}"/>
    <cellStyle name="40% - Accent6 10 4 2 3" xfId="32778" xr:uid="{00000000-0005-0000-0000-0000D88C0000}"/>
    <cellStyle name="40% - Accent6 10 4 3" xfId="15827" xr:uid="{00000000-0005-0000-0000-0000D98C0000}"/>
    <cellStyle name="40% - Accent6 10 4 3 2" xfId="38429" xr:uid="{00000000-0005-0000-0000-0000DA8C0000}"/>
    <cellStyle name="40% - Accent6 10 4 4" xfId="27128" xr:uid="{00000000-0005-0000-0000-0000DB8C0000}"/>
    <cellStyle name="40% - Accent6 10 5" xfId="7335" xr:uid="{00000000-0005-0000-0000-0000DC8C0000}"/>
    <cellStyle name="40% - Accent6 10 5 2" xfId="18636" xr:uid="{00000000-0005-0000-0000-0000DD8C0000}"/>
    <cellStyle name="40% - Accent6 10 5 2 2" xfId="41238" xr:uid="{00000000-0005-0000-0000-0000DE8C0000}"/>
    <cellStyle name="40% - Accent6 10 5 3" xfId="29937" xr:uid="{00000000-0005-0000-0000-0000DF8C0000}"/>
    <cellStyle name="40% - Accent6 10 6" xfId="12986" xr:uid="{00000000-0005-0000-0000-0000E08C0000}"/>
    <cellStyle name="40% - Accent6 10 6 2" xfId="35588" xr:uid="{00000000-0005-0000-0000-0000E18C0000}"/>
    <cellStyle name="40% - Accent6 10 7" xfId="24287" xr:uid="{00000000-0005-0000-0000-0000E28C0000}"/>
    <cellStyle name="40% - Accent6 11" xfId="1429" xr:uid="{00000000-0005-0000-0000-0000E38C0000}"/>
    <cellStyle name="40% - Accent6 11 2" xfId="1976" xr:uid="{00000000-0005-0000-0000-0000E48C0000}"/>
    <cellStyle name="40% - Accent6 11 2 2" xfId="3761" xr:uid="{00000000-0005-0000-0000-0000E58C0000}"/>
    <cellStyle name="40% - Accent6 11 2 2 2" xfId="9471" xr:uid="{00000000-0005-0000-0000-0000E68C0000}"/>
    <cellStyle name="40% - Accent6 11 2 2 2 2" xfId="20772" xr:uid="{00000000-0005-0000-0000-0000E78C0000}"/>
    <cellStyle name="40% - Accent6 11 2 2 2 2 2" xfId="43374" xr:uid="{00000000-0005-0000-0000-0000E88C0000}"/>
    <cellStyle name="40% - Accent6 11 2 2 2 3" xfId="32073" xr:uid="{00000000-0005-0000-0000-0000E98C0000}"/>
    <cellStyle name="40% - Accent6 11 2 2 3" xfId="15122" xr:uid="{00000000-0005-0000-0000-0000EA8C0000}"/>
    <cellStyle name="40% - Accent6 11 2 2 3 2" xfId="37724" xr:uid="{00000000-0005-0000-0000-0000EB8C0000}"/>
    <cellStyle name="40% - Accent6 11 2 2 4" xfId="26423" xr:uid="{00000000-0005-0000-0000-0000EC8C0000}"/>
    <cellStyle name="40% - Accent6 11 2 3" xfId="7832" xr:uid="{00000000-0005-0000-0000-0000ED8C0000}"/>
    <cellStyle name="40% - Accent6 11 2 3 2" xfId="19133" xr:uid="{00000000-0005-0000-0000-0000EE8C0000}"/>
    <cellStyle name="40% - Accent6 11 2 3 2 2" xfId="41735" xr:uid="{00000000-0005-0000-0000-0000EF8C0000}"/>
    <cellStyle name="40% - Accent6 11 2 3 3" xfId="30434" xr:uid="{00000000-0005-0000-0000-0000F08C0000}"/>
    <cellStyle name="40% - Accent6 11 2 4" xfId="13483" xr:uid="{00000000-0005-0000-0000-0000F18C0000}"/>
    <cellStyle name="40% - Accent6 11 2 4 2" xfId="36085" xr:uid="{00000000-0005-0000-0000-0000F28C0000}"/>
    <cellStyle name="40% - Accent6 11 2 5" xfId="24784" xr:uid="{00000000-0005-0000-0000-0000F38C0000}"/>
    <cellStyle name="40% - Accent6 11 3" xfId="2128" xr:uid="{00000000-0005-0000-0000-0000F48C0000}"/>
    <cellStyle name="40% - Accent6 11 3 2" xfId="7972" xr:uid="{00000000-0005-0000-0000-0000F58C0000}"/>
    <cellStyle name="40% - Accent6 11 3 2 2" xfId="19273" xr:uid="{00000000-0005-0000-0000-0000F68C0000}"/>
    <cellStyle name="40% - Accent6 11 3 2 2 2" xfId="41875" xr:uid="{00000000-0005-0000-0000-0000F78C0000}"/>
    <cellStyle name="40% - Accent6 11 3 2 3" xfId="30574" xr:uid="{00000000-0005-0000-0000-0000F88C0000}"/>
    <cellStyle name="40% - Accent6 11 3 3" xfId="13623" xr:uid="{00000000-0005-0000-0000-0000F98C0000}"/>
    <cellStyle name="40% - Accent6 11 3 3 2" xfId="36225" xr:uid="{00000000-0005-0000-0000-0000FA8C0000}"/>
    <cellStyle name="40% - Accent6 11 3 4" xfId="24924" xr:uid="{00000000-0005-0000-0000-0000FB8C0000}"/>
    <cellStyle name="40% - Accent6 11 4" xfId="3924" xr:uid="{00000000-0005-0000-0000-0000FC8C0000}"/>
    <cellStyle name="40% - Accent6 11 4 2" xfId="9574" xr:uid="{00000000-0005-0000-0000-0000FD8C0000}"/>
    <cellStyle name="40% - Accent6 11 4 2 2" xfId="20875" xr:uid="{00000000-0005-0000-0000-0000FE8C0000}"/>
    <cellStyle name="40% - Accent6 11 4 2 2 2" xfId="43477" xr:uid="{00000000-0005-0000-0000-0000FF8C0000}"/>
    <cellStyle name="40% - Accent6 11 4 2 3" xfId="32176" xr:uid="{00000000-0005-0000-0000-0000008D0000}"/>
    <cellStyle name="40% - Accent6 11 4 3" xfId="15225" xr:uid="{00000000-0005-0000-0000-0000018D0000}"/>
    <cellStyle name="40% - Accent6 11 4 3 2" xfId="37827" xr:uid="{00000000-0005-0000-0000-0000028D0000}"/>
    <cellStyle name="40% - Accent6 11 4 4" xfId="26526" xr:uid="{00000000-0005-0000-0000-0000038D0000}"/>
    <cellStyle name="40% - Accent6 11 5" xfId="7331" xr:uid="{00000000-0005-0000-0000-0000048D0000}"/>
    <cellStyle name="40% - Accent6 11 5 2" xfId="18632" xr:uid="{00000000-0005-0000-0000-0000058D0000}"/>
    <cellStyle name="40% - Accent6 11 5 2 2" xfId="41234" xr:uid="{00000000-0005-0000-0000-0000068D0000}"/>
    <cellStyle name="40% - Accent6 11 5 3" xfId="29933" xr:uid="{00000000-0005-0000-0000-0000078D0000}"/>
    <cellStyle name="40% - Accent6 11 6" xfId="12982" xr:uid="{00000000-0005-0000-0000-0000088D0000}"/>
    <cellStyle name="40% - Accent6 11 6 2" xfId="35584" xr:uid="{00000000-0005-0000-0000-0000098D0000}"/>
    <cellStyle name="40% - Accent6 11 7" xfId="24283" xr:uid="{00000000-0005-0000-0000-00000A8D0000}"/>
    <cellStyle name="40% - Accent6 12" xfId="1473" xr:uid="{00000000-0005-0000-0000-00000B8D0000}"/>
    <cellStyle name="40% - Accent6 12 2" xfId="3897" xr:uid="{00000000-0005-0000-0000-00000C8D0000}"/>
    <cellStyle name="40% - Accent6 12 2 2" xfId="9559" xr:uid="{00000000-0005-0000-0000-00000D8D0000}"/>
    <cellStyle name="40% - Accent6 12 2 2 2" xfId="20860" xr:uid="{00000000-0005-0000-0000-00000E8D0000}"/>
    <cellStyle name="40% - Accent6 12 2 2 2 2" xfId="43462" xr:uid="{00000000-0005-0000-0000-00000F8D0000}"/>
    <cellStyle name="40% - Accent6 12 2 2 3" xfId="32161" xr:uid="{00000000-0005-0000-0000-0000108D0000}"/>
    <cellStyle name="40% - Accent6 12 2 3" xfId="15210" xr:uid="{00000000-0005-0000-0000-0000118D0000}"/>
    <cellStyle name="40% - Accent6 12 2 3 2" xfId="37812" xr:uid="{00000000-0005-0000-0000-0000128D0000}"/>
    <cellStyle name="40% - Accent6 12 2 4" xfId="26511" xr:uid="{00000000-0005-0000-0000-0000138D0000}"/>
    <cellStyle name="40% - Accent6 13" xfId="3432" xr:uid="{00000000-0005-0000-0000-0000148D0000}"/>
    <cellStyle name="40% - Accent6 14" xfId="57" xr:uid="{00000000-0005-0000-0000-0000158D0000}"/>
    <cellStyle name="40% - Accent6 2" xfId="91" xr:uid="{00000000-0005-0000-0000-0000168D0000}"/>
    <cellStyle name="40% - Accent6 2 2" xfId="223" xr:uid="{00000000-0005-0000-0000-0000178D0000}"/>
    <cellStyle name="40% - Accent6 2 2 10" xfId="23387" xr:uid="{00000000-0005-0000-0000-0000188D0000}"/>
    <cellStyle name="40% - Accent6 2 2 2" xfId="536" xr:uid="{00000000-0005-0000-0000-0000198D0000}"/>
    <cellStyle name="40% - Accent6 2 2 2 2" xfId="1247" xr:uid="{00000000-0005-0000-0000-00001A8D0000}"/>
    <cellStyle name="40% - Accent6 2 2 2 2 2" xfId="1979" xr:uid="{00000000-0005-0000-0000-00001B8D0000}"/>
    <cellStyle name="40% - Accent6 2 2 2 2 2 2" xfId="3316" xr:uid="{00000000-0005-0000-0000-00001C8D0000}"/>
    <cellStyle name="40% - Accent6 2 2 2 2 2 2 2" xfId="6288" xr:uid="{00000000-0005-0000-0000-00001D8D0000}"/>
    <cellStyle name="40% - Accent6 2 2 2 2 2 2 2 2" xfId="11938" xr:uid="{00000000-0005-0000-0000-00001E8D0000}"/>
    <cellStyle name="40% - Accent6 2 2 2 2 2 2 2 2 2" xfId="23239" xr:uid="{00000000-0005-0000-0000-00001F8D0000}"/>
    <cellStyle name="40% - Accent6 2 2 2 2 2 2 2 2 2 2" xfId="45841" xr:uid="{00000000-0005-0000-0000-0000208D0000}"/>
    <cellStyle name="40% - Accent6 2 2 2 2 2 2 2 2 3" xfId="34540" xr:uid="{00000000-0005-0000-0000-0000218D0000}"/>
    <cellStyle name="40% - Accent6 2 2 2 2 2 2 2 3" xfId="17589" xr:uid="{00000000-0005-0000-0000-0000228D0000}"/>
    <cellStyle name="40% - Accent6 2 2 2 2 2 2 2 3 2" xfId="40191" xr:uid="{00000000-0005-0000-0000-0000238D0000}"/>
    <cellStyle name="40% - Accent6 2 2 2 2 2 2 2 4" xfId="28890" xr:uid="{00000000-0005-0000-0000-0000248D0000}"/>
    <cellStyle name="40% - Accent6 2 2 2 2 2 2 3" xfId="9106" xr:uid="{00000000-0005-0000-0000-0000258D0000}"/>
    <cellStyle name="40% - Accent6 2 2 2 2 2 2 3 2" xfId="20407" xr:uid="{00000000-0005-0000-0000-0000268D0000}"/>
    <cellStyle name="40% - Accent6 2 2 2 2 2 2 3 2 2" xfId="43009" xr:uid="{00000000-0005-0000-0000-0000278D0000}"/>
    <cellStyle name="40% - Accent6 2 2 2 2 2 2 3 3" xfId="31708" xr:uid="{00000000-0005-0000-0000-0000288D0000}"/>
    <cellStyle name="40% - Accent6 2 2 2 2 2 2 4" xfId="14757" xr:uid="{00000000-0005-0000-0000-0000298D0000}"/>
    <cellStyle name="40% - Accent6 2 2 2 2 2 2 4 2" xfId="37359" xr:uid="{00000000-0005-0000-0000-00002A8D0000}"/>
    <cellStyle name="40% - Accent6 2 2 2 2 2 2 5" xfId="26058" xr:uid="{00000000-0005-0000-0000-00002B8D0000}"/>
    <cellStyle name="40% - Accent6 2 2 2 2 2 3" xfId="5054" xr:uid="{00000000-0005-0000-0000-00002C8D0000}"/>
    <cellStyle name="40% - Accent6 2 2 2 2 2 3 2" xfId="10704" xr:uid="{00000000-0005-0000-0000-00002D8D0000}"/>
    <cellStyle name="40% - Accent6 2 2 2 2 2 3 2 2" xfId="22005" xr:uid="{00000000-0005-0000-0000-00002E8D0000}"/>
    <cellStyle name="40% - Accent6 2 2 2 2 2 3 2 2 2" xfId="44607" xr:uid="{00000000-0005-0000-0000-00002F8D0000}"/>
    <cellStyle name="40% - Accent6 2 2 2 2 2 3 2 3" xfId="33306" xr:uid="{00000000-0005-0000-0000-0000308D0000}"/>
    <cellStyle name="40% - Accent6 2 2 2 2 2 3 3" xfId="16355" xr:uid="{00000000-0005-0000-0000-0000318D0000}"/>
    <cellStyle name="40% - Accent6 2 2 2 2 2 3 3 2" xfId="38957" xr:uid="{00000000-0005-0000-0000-0000328D0000}"/>
    <cellStyle name="40% - Accent6 2 2 2 2 2 3 4" xfId="27656" xr:uid="{00000000-0005-0000-0000-0000338D0000}"/>
    <cellStyle name="40% - Accent6 2 2 2 2 2 4" xfId="7835" xr:uid="{00000000-0005-0000-0000-0000348D0000}"/>
    <cellStyle name="40% - Accent6 2 2 2 2 2 4 2" xfId="19136" xr:uid="{00000000-0005-0000-0000-0000358D0000}"/>
    <cellStyle name="40% - Accent6 2 2 2 2 2 4 2 2" xfId="41738" xr:uid="{00000000-0005-0000-0000-0000368D0000}"/>
    <cellStyle name="40% - Accent6 2 2 2 2 2 4 3" xfId="30437" xr:uid="{00000000-0005-0000-0000-0000378D0000}"/>
    <cellStyle name="40% - Accent6 2 2 2 2 2 5" xfId="13486" xr:uid="{00000000-0005-0000-0000-0000388D0000}"/>
    <cellStyle name="40% - Accent6 2 2 2 2 2 5 2" xfId="36088" xr:uid="{00000000-0005-0000-0000-0000398D0000}"/>
    <cellStyle name="40% - Accent6 2 2 2 2 2 6" xfId="24787" xr:uid="{00000000-0005-0000-0000-00003A8D0000}"/>
    <cellStyle name="40% - Accent6 2 2 2 2 3" xfId="2645" xr:uid="{00000000-0005-0000-0000-00003B8D0000}"/>
    <cellStyle name="40% - Accent6 2 2 2 2 3 2" xfId="5664" xr:uid="{00000000-0005-0000-0000-00003C8D0000}"/>
    <cellStyle name="40% - Accent6 2 2 2 2 3 2 2" xfId="11314" xr:uid="{00000000-0005-0000-0000-00003D8D0000}"/>
    <cellStyle name="40% - Accent6 2 2 2 2 3 2 2 2" xfId="22615" xr:uid="{00000000-0005-0000-0000-00003E8D0000}"/>
    <cellStyle name="40% - Accent6 2 2 2 2 3 2 2 2 2" xfId="45217" xr:uid="{00000000-0005-0000-0000-00003F8D0000}"/>
    <cellStyle name="40% - Accent6 2 2 2 2 3 2 2 3" xfId="33916" xr:uid="{00000000-0005-0000-0000-0000408D0000}"/>
    <cellStyle name="40% - Accent6 2 2 2 2 3 2 3" xfId="16965" xr:uid="{00000000-0005-0000-0000-0000418D0000}"/>
    <cellStyle name="40% - Accent6 2 2 2 2 3 2 3 2" xfId="39567" xr:uid="{00000000-0005-0000-0000-0000428D0000}"/>
    <cellStyle name="40% - Accent6 2 2 2 2 3 2 4" xfId="28266" xr:uid="{00000000-0005-0000-0000-0000438D0000}"/>
    <cellStyle name="40% - Accent6 2 2 2 2 3 3" xfId="8481" xr:uid="{00000000-0005-0000-0000-0000448D0000}"/>
    <cellStyle name="40% - Accent6 2 2 2 2 3 3 2" xfId="19782" xr:uid="{00000000-0005-0000-0000-0000458D0000}"/>
    <cellStyle name="40% - Accent6 2 2 2 2 3 3 2 2" xfId="42384" xr:uid="{00000000-0005-0000-0000-0000468D0000}"/>
    <cellStyle name="40% - Accent6 2 2 2 2 3 3 3" xfId="31083" xr:uid="{00000000-0005-0000-0000-0000478D0000}"/>
    <cellStyle name="40% - Accent6 2 2 2 2 3 4" xfId="14132" xr:uid="{00000000-0005-0000-0000-0000488D0000}"/>
    <cellStyle name="40% - Accent6 2 2 2 2 3 4 2" xfId="36734" xr:uid="{00000000-0005-0000-0000-0000498D0000}"/>
    <cellStyle name="40% - Accent6 2 2 2 2 3 5" xfId="25433" xr:uid="{00000000-0005-0000-0000-00004A8D0000}"/>
    <cellStyle name="40% - Accent6 2 2 2 2 4" xfId="4430" xr:uid="{00000000-0005-0000-0000-00004B8D0000}"/>
    <cellStyle name="40% - Accent6 2 2 2 2 4 2" xfId="10080" xr:uid="{00000000-0005-0000-0000-00004C8D0000}"/>
    <cellStyle name="40% - Accent6 2 2 2 2 4 2 2" xfId="21381" xr:uid="{00000000-0005-0000-0000-00004D8D0000}"/>
    <cellStyle name="40% - Accent6 2 2 2 2 4 2 2 2" xfId="43983" xr:uid="{00000000-0005-0000-0000-00004E8D0000}"/>
    <cellStyle name="40% - Accent6 2 2 2 2 4 2 3" xfId="32682" xr:uid="{00000000-0005-0000-0000-00004F8D0000}"/>
    <cellStyle name="40% - Accent6 2 2 2 2 4 3" xfId="15731" xr:uid="{00000000-0005-0000-0000-0000508D0000}"/>
    <cellStyle name="40% - Accent6 2 2 2 2 4 3 2" xfId="38333" xr:uid="{00000000-0005-0000-0000-0000518D0000}"/>
    <cellStyle name="40% - Accent6 2 2 2 2 4 4" xfId="27032" xr:uid="{00000000-0005-0000-0000-0000528D0000}"/>
    <cellStyle name="40% - Accent6 2 2 2 2 5" xfId="7226" xr:uid="{00000000-0005-0000-0000-0000538D0000}"/>
    <cellStyle name="40% - Accent6 2 2 2 2 5 2" xfId="18527" xr:uid="{00000000-0005-0000-0000-0000548D0000}"/>
    <cellStyle name="40% - Accent6 2 2 2 2 5 2 2" xfId="41129" xr:uid="{00000000-0005-0000-0000-0000558D0000}"/>
    <cellStyle name="40% - Accent6 2 2 2 2 5 3" xfId="29828" xr:uid="{00000000-0005-0000-0000-0000568D0000}"/>
    <cellStyle name="40% - Accent6 2 2 2 2 6" xfId="12877" xr:uid="{00000000-0005-0000-0000-0000578D0000}"/>
    <cellStyle name="40% - Accent6 2 2 2 2 6 2" xfId="35479" xr:uid="{00000000-0005-0000-0000-0000588D0000}"/>
    <cellStyle name="40% - Accent6 2 2 2 2 7" xfId="24178" xr:uid="{00000000-0005-0000-0000-0000598D0000}"/>
    <cellStyle name="40% - Accent6 2 2 2 3" xfId="945" xr:uid="{00000000-0005-0000-0000-00005A8D0000}"/>
    <cellStyle name="40% - Accent6 2 2 2 3 2" xfId="3008" xr:uid="{00000000-0005-0000-0000-00005B8D0000}"/>
    <cellStyle name="40% - Accent6 2 2 2 3 2 2" xfId="5980" xr:uid="{00000000-0005-0000-0000-00005C8D0000}"/>
    <cellStyle name="40% - Accent6 2 2 2 3 2 2 2" xfId="11630" xr:uid="{00000000-0005-0000-0000-00005D8D0000}"/>
    <cellStyle name="40% - Accent6 2 2 2 3 2 2 2 2" xfId="22931" xr:uid="{00000000-0005-0000-0000-00005E8D0000}"/>
    <cellStyle name="40% - Accent6 2 2 2 3 2 2 2 2 2" xfId="45533" xr:uid="{00000000-0005-0000-0000-00005F8D0000}"/>
    <cellStyle name="40% - Accent6 2 2 2 3 2 2 2 3" xfId="34232" xr:uid="{00000000-0005-0000-0000-0000608D0000}"/>
    <cellStyle name="40% - Accent6 2 2 2 3 2 2 3" xfId="17281" xr:uid="{00000000-0005-0000-0000-0000618D0000}"/>
    <cellStyle name="40% - Accent6 2 2 2 3 2 2 3 2" xfId="39883" xr:uid="{00000000-0005-0000-0000-0000628D0000}"/>
    <cellStyle name="40% - Accent6 2 2 2 3 2 2 4" xfId="28582" xr:uid="{00000000-0005-0000-0000-0000638D0000}"/>
    <cellStyle name="40% - Accent6 2 2 2 3 2 3" xfId="8798" xr:uid="{00000000-0005-0000-0000-0000648D0000}"/>
    <cellStyle name="40% - Accent6 2 2 2 3 2 3 2" xfId="20099" xr:uid="{00000000-0005-0000-0000-0000658D0000}"/>
    <cellStyle name="40% - Accent6 2 2 2 3 2 3 2 2" xfId="42701" xr:uid="{00000000-0005-0000-0000-0000668D0000}"/>
    <cellStyle name="40% - Accent6 2 2 2 3 2 3 3" xfId="31400" xr:uid="{00000000-0005-0000-0000-0000678D0000}"/>
    <cellStyle name="40% - Accent6 2 2 2 3 2 4" xfId="14449" xr:uid="{00000000-0005-0000-0000-0000688D0000}"/>
    <cellStyle name="40% - Accent6 2 2 2 3 2 4 2" xfId="37051" xr:uid="{00000000-0005-0000-0000-0000698D0000}"/>
    <cellStyle name="40% - Accent6 2 2 2 3 2 5" xfId="25750" xr:uid="{00000000-0005-0000-0000-00006A8D0000}"/>
    <cellStyle name="40% - Accent6 2 2 2 3 3" xfId="4746" xr:uid="{00000000-0005-0000-0000-00006B8D0000}"/>
    <cellStyle name="40% - Accent6 2 2 2 3 3 2" xfId="10396" xr:uid="{00000000-0005-0000-0000-00006C8D0000}"/>
    <cellStyle name="40% - Accent6 2 2 2 3 3 2 2" xfId="21697" xr:uid="{00000000-0005-0000-0000-00006D8D0000}"/>
    <cellStyle name="40% - Accent6 2 2 2 3 3 2 2 2" xfId="44299" xr:uid="{00000000-0005-0000-0000-00006E8D0000}"/>
    <cellStyle name="40% - Accent6 2 2 2 3 3 2 3" xfId="32998" xr:uid="{00000000-0005-0000-0000-00006F8D0000}"/>
    <cellStyle name="40% - Accent6 2 2 2 3 3 3" xfId="16047" xr:uid="{00000000-0005-0000-0000-0000708D0000}"/>
    <cellStyle name="40% - Accent6 2 2 2 3 3 3 2" xfId="38649" xr:uid="{00000000-0005-0000-0000-0000718D0000}"/>
    <cellStyle name="40% - Accent6 2 2 2 3 3 4" xfId="27348" xr:uid="{00000000-0005-0000-0000-0000728D0000}"/>
    <cellStyle name="40% - Accent6 2 2 2 3 4" xfId="6933" xr:uid="{00000000-0005-0000-0000-0000738D0000}"/>
    <cellStyle name="40% - Accent6 2 2 2 3 4 2" xfId="18234" xr:uid="{00000000-0005-0000-0000-0000748D0000}"/>
    <cellStyle name="40% - Accent6 2 2 2 3 4 2 2" xfId="40836" xr:uid="{00000000-0005-0000-0000-0000758D0000}"/>
    <cellStyle name="40% - Accent6 2 2 2 3 4 3" xfId="29535" xr:uid="{00000000-0005-0000-0000-0000768D0000}"/>
    <cellStyle name="40% - Accent6 2 2 2 3 5" xfId="12584" xr:uid="{00000000-0005-0000-0000-0000778D0000}"/>
    <cellStyle name="40% - Accent6 2 2 2 3 5 2" xfId="35186" xr:uid="{00000000-0005-0000-0000-0000788D0000}"/>
    <cellStyle name="40% - Accent6 2 2 2 3 6" xfId="23885" xr:uid="{00000000-0005-0000-0000-0000798D0000}"/>
    <cellStyle name="40% - Accent6 2 2 2 4" xfId="1978" xr:uid="{00000000-0005-0000-0000-00007A8D0000}"/>
    <cellStyle name="40% - Accent6 2 2 2 4 2" xfId="3763" xr:uid="{00000000-0005-0000-0000-00007B8D0000}"/>
    <cellStyle name="40% - Accent6 2 2 2 4 2 2" xfId="9473" xr:uid="{00000000-0005-0000-0000-00007C8D0000}"/>
    <cellStyle name="40% - Accent6 2 2 2 4 2 2 2" xfId="20774" xr:uid="{00000000-0005-0000-0000-00007D8D0000}"/>
    <cellStyle name="40% - Accent6 2 2 2 4 2 2 2 2" xfId="43376" xr:uid="{00000000-0005-0000-0000-00007E8D0000}"/>
    <cellStyle name="40% - Accent6 2 2 2 4 2 2 3" xfId="32075" xr:uid="{00000000-0005-0000-0000-00007F8D0000}"/>
    <cellStyle name="40% - Accent6 2 2 2 4 2 3" xfId="15124" xr:uid="{00000000-0005-0000-0000-0000808D0000}"/>
    <cellStyle name="40% - Accent6 2 2 2 4 2 3 2" xfId="37726" xr:uid="{00000000-0005-0000-0000-0000818D0000}"/>
    <cellStyle name="40% - Accent6 2 2 2 4 2 4" xfId="26425" xr:uid="{00000000-0005-0000-0000-0000828D0000}"/>
    <cellStyle name="40% - Accent6 2 2 2 4 3" xfId="5356" xr:uid="{00000000-0005-0000-0000-0000838D0000}"/>
    <cellStyle name="40% - Accent6 2 2 2 4 3 2" xfId="11006" xr:uid="{00000000-0005-0000-0000-0000848D0000}"/>
    <cellStyle name="40% - Accent6 2 2 2 4 3 2 2" xfId="22307" xr:uid="{00000000-0005-0000-0000-0000858D0000}"/>
    <cellStyle name="40% - Accent6 2 2 2 4 3 2 2 2" xfId="44909" xr:uid="{00000000-0005-0000-0000-0000868D0000}"/>
    <cellStyle name="40% - Accent6 2 2 2 4 3 2 3" xfId="33608" xr:uid="{00000000-0005-0000-0000-0000878D0000}"/>
    <cellStyle name="40% - Accent6 2 2 2 4 3 3" xfId="16657" xr:uid="{00000000-0005-0000-0000-0000888D0000}"/>
    <cellStyle name="40% - Accent6 2 2 2 4 3 3 2" xfId="39259" xr:uid="{00000000-0005-0000-0000-0000898D0000}"/>
    <cellStyle name="40% - Accent6 2 2 2 4 3 4" xfId="27958" xr:uid="{00000000-0005-0000-0000-00008A8D0000}"/>
    <cellStyle name="40% - Accent6 2 2 2 4 4" xfId="7834" xr:uid="{00000000-0005-0000-0000-00008B8D0000}"/>
    <cellStyle name="40% - Accent6 2 2 2 4 4 2" xfId="19135" xr:uid="{00000000-0005-0000-0000-00008C8D0000}"/>
    <cellStyle name="40% - Accent6 2 2 2 4 4 2 2" xfId="41737" xr:uid="{00000000-0005-0000-0000-00008D8D0000}"/>
    <cellStyle name="40% - Accent6 2 2 2 4 4 3" xfId="30436" xr:uid="{00000000-0005-0000-0000-00008E8D0000}"/>
    <cellStyle name="40% - Accent6 2 2 2 4 5" xfId="13485" xr:uid="{00000000-0005-0000-0000-00008F8D0000}"/>
    <cellStyle name="40% - Accent6 2 2 2 4 5 2" xfId="36087" xr:uid="{00000000-0005-0000-0000-0000908D0000}"/>
    <cellStyle name="40% - Accent6 2 2 2 4 6" xfId="24786" xr:uid="{00000000-0005-0000-0000-0000918D0000}"/>
    <cellStyle name="40% - Accent6 2 2 2 5" xfId="2337" xr:uid="{00000000-0005-0000-0000-0000928D0000}"/>
    <cellStyle name="40% - Accent6 2 2 2 5 2" xfId="8173" xr:uid="{00000000-0005-0000-0000-0000938D0000}"/>
    <cellStyle name="40% - Accent6 2 2 2 5 2 2" xfId="19474" xr:uid="{00000000-0005-0000-0000-0000948D0000}"/>
    <cellStyle name="40% - Accent6 2 2 2 5 2 2 2" xfId="42076" xr:uid="{00000000-0005-0000-0000-0000958D0000}"/>
    <cellStyle name="40% - Accent6 2 2 2 5 2 3" xfId="30775" xr:uid="{00000000-0005-0000-0000-0000968D0000}"/>
    <cellStyle name="40% - Accent6 2 2 2 5 3" xfId="13824" xr:uid="{00000000-0005-0000-0000-0000978D0000}"/>
    <cellStyle name="40% - Accent6 2 2 2 5 3 2" xfId="36426" xr:uid="{00000000-0005-0000-0000-0000988D0000}"/>
    <cellStyle name="40% - Accent6 2 2 2 5 4" xfId="25125" xr:uid="{00000000-0005-0000-0000-0000998D0000}"/>
    <cellStyle name="40% - Accent6 2 2 2 6" xfId="4122" xr:uid="{00000000-0005-0000-0000-00009A8D0000}"/>
    <cellStyle name="40% - Accent6 2 2 2 6 2" xfId="9772" xr:uid="{00000000-0005-0000-0000-00009B8D0000}"/>
    <cellStyle name="40% - Accent6 2 2 2 6 2 2" xfId="21073" xr:uid="{00000000-0005-0000-0000-00009C8D0000}"/>
    <cellStyle name="40% - Accent6 2 2 2 6 2 2 2" xfId="43675" xr:uid="{00000000-0005-0000-0000-00009D8D0000}"/>
    <cellStyle name="40% - Accent6 2 2 2 6 2 3" xfId="32374" xr:uid="{00000000-0005-0000-0000-00009E8D0000}"/>
    <cellStyle name="40% - Accent6 2 2 2 6 3" xfId="15423" xr:uid="{00000000-0005-0000-0000-00009F8D0000}"/>
    <cellStyle name="40% - Accent6 2 2 2 6 3 2" xfId="38025" xr:uid="{00000000-0005-0000-0000-0000A08D0000}"/>
    <cellStyle name="40% - Accent6 2 2 2 6 4" xfId="26724" xr:uid="{00000000-0005-0000-0000-0000A18D0000}"/>
    <cellStyle name="40% - Accent6 2 2 2 7" xfId="6602" xr:uid="{00000000-0005-0000-0000-0000A28D0000}"/>
    <cellStyle name="40% - Accent6 2 2 2 7 2" xfId="17903" xr:uid="{00000000-0005-0000-0000-0000A38D0000}"/>
    <cellStyle name="40% - Accent6 2 2 2 7 2 2" xfId="40505" xr:uid="{00000000-0005-0000-0000-0000A48D0000}"/>
    <cellStyle name="40% - Accent6 2 2 2 7 3" xfId="29204" xr:uid="{00000000-0005-0000-0000-0000A58D0000}"/>
    <cellStyle name="40% - Accent6 2 2 2 8" xfId="12253" xr:uid="{00000000-0005-0000-0000-0000A68D0000}"/>
    <cellStyle name="40% - Accent6 2 2 2 8 2" xfId="34855" xr:uid="{00000000-0005-0000-0000-0000A78D0000}"/>
    <cellStyle name="40% - Accent6 2 2 2 9" xfId="23554" xr:uid="{00000000-0005-0000-0000-0000A88D0000}"/>
    <cellStyle name="40% - Accent6 2 2 3" xfId="1109" xr:uid="{00000000-0005-0000-0000-0000A98D0000}"/>
    <cellStyle name="40% - Accent6 2 2 3 2" xfId="1980" xr:uid="{00000000-0005-0000-0000-0000AA8D0000}"/>
    <cellStyle name="40% - Accent6 2 2 3 2 2" xfId="3177" xr:uid="{00000000-0005-0000-0000-0000AB8D0000}"/>
    <cellStyle name="40% - Accent6 2 2 3 2 2 2" xfId="6149" xr:uid="{00000000-0005-0000-0000-0000AC8D0000}"/>
    <cellStyle name="40% - Accent6 2 2 3 2 2 2 2" xfId="11799" xr:uid="{00000000-0005-0000-0000-0000AD8D0000}"/>
    <cellStyle name="40% - Accent6 2 2 3 2 2 2 2 2" xfId="23100" xr:uid="{00000000-0005-0000-0000-0000AE8D0000}"/>
    <cellStyle name="40% - Accent6 2 2 3 2 2 2 2 2 2" xfId="45702" xr:uid="{00000000-0005-0000-0000-0000AF8D0000}"/>
    <cellStyle name="40% - Accent6 2 2 3 2 2 2 2 3" xfId="34401" xr:uid="{00000000-0005-0000-0000-0000B08D0000}"/>
    <cellStyle name="40% - Accent6 2 2 3 2 2 2 3" xfId="17450" xr:uid="{00000000-0005-0000-0000-0000B18D0000}"/>
    <cellStyle name="40% - Accent6 2 2 3 2 2 2 3 2" xfId="40052" xr:uid="{00000000-0005-0000-0000-0000B28D0000}"/>
    <cellStyle name="40% - Accent6 2 2 3 2 2 2 4" xfId="28751" xr:uid="{00000000-0005-0000-0000-0000B38D0000}"/>
    <cellStyle name="40% - Accent6 2 2 3 2 2 3" xfId="8967" xr:uid="{00000000-0005-0000-0000-0000B48D0000}"/>
    <cellStyle name="40% - Accent6 2 2 3 2 2 3 2" xfId="20268" xr:uid="{00000000-0005-0000-0000-0000B58D0000}"/>
    <cellStyle name="40% - Accent6 2 2 3 2 2 3 2 2" xfId="42870" xr:uid="{00000000-0005-0000-0000-0000B68D0000}"/>
    <cellStyle name="40% - Accent6 2 2 3 2 2 3 3" xfId="31569" xr:uid="{00000000-0005-0000-0000-0000B78D0000}"/>
    <cellStyle name="40% - Accent6 2 2 3 2 2 4" xfId="14618" xr:uid="{00000000-0005-0000-0000-0000B88D0000}"/>
    <cellStyle name="40% - Accent6 2 2 3 2 2 4 2" xfId="37220" xr:uid="{00000000-0005-0000-0000-0000B98D0000}"/>
    <cellStyle name="40% - Accent6 2 2 3 2 2 5" xfId="25919" xr:uid="{00000000-0005-0000-0000-0000BA8D0000}"/>
    <cellStyle name="40% - Accent6 2 2 3 2 3" xfId="4915" xr:uid="{00000000-0005-0000-0000-0000BB8D0000}"/>
    <cellStyle name="40% - Accent6 2 2 3 2 3 2" xfId="10565" xr:uid="{00000000-0005-0000-0000-0000BC8D0000}"/>
    <cellStyle name="40% - Accent6 2 2 3 2 3 2 2" xfId="21866" xr:uid="{00000000-0005-0000-0000-0000BD8D0000}"/>
    <cellStyle name="40% - Accent6 2 2 3 2 3 2 2 2" xfId="44468" xr:uid="{00000000-0005-0000-0000-0000BE8D0000}"/>
    <cellStyle name="40% - Accent6 2 2 3 2 3 2 3" xfId="33167" xr:uid="{00000000-0005-0000-0000-0000BF8D0000}"/>
    <cellStyle name="40% - Accent6 2 2 3 2 3 3" xfId="16216" xr:uid="{00000000-0005-0000-0000-0000C08D0000}"/>
    <cellStyle name="40% - Accent6 2 2 3 2 3 3 2" xfId="38818" xr:uid="{00000000-0005-0000-0000-0000C18D0000}"/>
    <cellStyle name="40% - Accent6 2 2 3 2 3 4" xfId="27517" xr:uid="{00000000-0005-0000-0000-0000C28D0000}"/>
    <cellStyle name="40% - Accent6 2 2 3 2 4" xfId="7836" xr:uid="{00000000-0005-0000-0000-0000C38D0000}"/>
    <cellStyle name="40% - Accent6 2 2 3 2 4 2" xfId="19137" xr:uid="{00000000-0005-0000-0000-0000C48D0000}"/>
    <cellStyle name="40% - Accent6 2 2 3 2 4 2 2" xfId="41739" xr:uid="{00000000-0005-0000-0000-0000C58D0000}"/>
    <cellStyle name="40% - Accent6 2 2 3 2 4 3" xfId="30438" xr:uid="{00000000-0005-0000-0000-0000C68D0000}"/>
    <cellStyle name="40% - Accent6 2 2 3 2 5" xfId="13487" xr:uid="{00000000-0005-0000-0000-0000C78D0000}"/>
    <cellStyle name="40% - Accent6 2 2 3 2 5 2" xfId="36089" xr:uid="{00000000-0005-0000-0000-0000C88D0000}"/>
    <cellStyle name="40% - Accent6 2 2 3 2 6" xfId="24788" xr:uid="{00000000-0005-0000-0000-0000C98D0000}"/>
    <cellStyle name="40% - Accent6 2 2 3 3" xfId="2506" xr:uid="{00000000-0005-0000-0000-0000CA8D0000}"/>
    <cellStyle name="40% - Accent6 2 2 3 3 2" xfId="5525" xr:uid="{00000000-0005-0000-0000-0000CB8D0000}"/>
    <cellStyle name="40% - Accent6 2 2 3 3 2 2" xfId="11175" xr:uid="{00000000-0005-0000-0000-0000CC8D0000}"/>
    <cellStyle name="40% - Accent6 2 2 3 3 2 2 2" xfId="22476" xr:uid="{00000000-0005-0000-0000-0000CD8D0000}"/>
    <cellStyle name="40% - Accent6 2 2 3 3 2 2 2 2" xfId="45078" xr:uid="{00000000-0005-0000-0000-0000CE8D0000}"/>
    <cellStyle name="40% - Accent6 2 2 3 3 2 2 3" xfId="33777" xr:uid="{00000000-0005-0000-0000-0000CF8D0000}"/>
    <cellStyle name="40% - Accent6 2 2 3 3 2 3" xfId="16826" xr:uid="{00000000-0005-0000-0000-0000D08D0000}"/>
    <cellStyle name="40% - Accent6 2 2 3 3 2 3 2" xfId="39428" xr:uid="{00000000-0005-0000-0000-0000D18D0000}"/>
    <cellStyle name="40% - Accent6 2 2 3 3 2 4" xfId="28127" xr:uid="{00000000-0005-0000-0000-0000D28D0000}"/>
    <cellStyle name="40% - Accent6 2 2 3 3 3" xfId="8342" xr:uid="{00000000-0005-0000-0000-0000D38D0000}"/>
    <cellStyle name="40% - Accent6 2 2 3 3 3 2" xfId="19643" xr:uid="{00000000-0005-0000-0000-0000D48D0000}"/>
    <cellStyle name="40% - Accent6 2 2 3 3 3 2 2" xfId="42245" xr:uid="{00000000-0005-0000-0000-0000D58D0000}"/>
    <cellStyle name="40% - Accent6 2 2 3 3 3 3" xfId="30944" xr:uid="{00000000-0005-0000-0000-0000D68D0000}"/>
    <cellStyle name="40% - Accent6 2 2 3 3 4" xfId="13993" xr:uid="{00000000-0005-0000-0000-0000D78D0000}"/>
    <cellStyle name="40% - Accent6 2 2 3 3 4 2" xfId="36595" xr:uid="{00000000-0005-0000-0000-0000D88D0000}"/>
    <cellStyle name="40% - Accent6 2 2 3 3 5" xfId="25294" xr:uid="{00000000-0005-0000-0000-0000D98D0000}"/>
    <cellStyle name="40% - Accent6 2 2 3 4" xfId="4291" xr:uid="{00000000-0005-0000-0000-0000DA8D0000}"/>
    <cellStyle name="40% - Accent6 2 2 3 4 2" xfId="9941" xr:uid="{00000000-0005-0000-0000-0000DB8D0000}"/>
    <cellStyle name="40% - Accent6 2 2 3 4 2 2" xfId="21242" xr:uid="{00000000-0005-0000-0000-0000DC8D0000}"/>
    <cellStyle name="40% - Accent6 2 2 3 4 2 2 2" xfId="43844" xr:uid="{00000000-0005-0000-0000-0000DD8D0000}"/>
    <cellStyle name="40% - Accent6 2 2 3 4 2 3" xfId="32543" xr:uid="{00000000-0005-0000-0000-0000DE8D0000}"/>
    <cellStyle name="40% - Accent6 2 2 3 4 3" xfId="15592" xr:uid="{00000000-0005-0000-0000-0000DF8D0000}"/>
    <cellStyle name="40% - Accent6 2 2 3 4 3 2" xfId="38194" xr:uid="{00000000-0005-0000-0000-0000E08D0000}"/>
    <cellStyle name="40% - Accent6 2 2 3 4 4" xfId="26893" xr:uid="{00000000-0005-0000-0000-0000E18D0000}"/>
    <cellStyle name="40% - Accent6 2 2 3 5" xfId="7088" xr:uid="{00000000-0005-0000-0000-0000E28D0000}"/>
    <cellStyle name="40% - Accent6 2 2 3 5 2" xfId="18389" xr:uid="{00000000-0005-0000-0000-0000E38D0000}"/>
    <cellStyle name="40% - Accent6 2 2 3 5 2 2" xfId="40991" xr:uid="{00000000-0005-0000-0000-0000E48D0000}"/>
    <cellStyle name="40% - Accent6 2 2 3 5 3" xfId="29690" xr:uid="{00000000-0005-0000-0000-0000E58D0000}"/>
    <cellStyle name="40% - Accent6 2 2 3 6" xfId="12739" xr:uid="{00000000-0005-0000-0000-0000E68D0000}"/>
    <cellStyle name="40% - Accent6 2 2 3 6 2" xfId="35341" xr:uid="{00000000-0005-0000-0000-0000E78D0000}"/>
    <cellStyle name="40% - Accent6 2 2 3 7" xfId="24040" xr:uid="{00000000-0005-0000-0000-0000E88D0000}"/>
    <cellStyle name="40% - Accent6 2 2 4" xfId="789" xr:uid="{00000000-0005-0000-0000-0000E98D0000}"/>
    <cellStyle name="40% - Accent6 2 2 4 2" xfId="2870" xr:uid="{00000000-0005-0000-0000-0000EA8D0000}"/>
    <cellStyle name="40% - Accent6 2 2 4 2 2" xfId="5842" xr:uid="{00000000-0005-0000-0000-0000EB8D0000}"/>
    <cellStyle name="40% - Accent6 2 2 4 2 2 2" xfId="11492" xr:uid="{00000000-0005-0000-0000-0000EC8D0000}"/>
    <cellStyle name="40% - Accent6 2 2 4 2 2 2 2" xfId="22793" xr:uid="{00000000-0005-0000-0000-0000ED8D0000}"/>
    <cellStyle name="40% - Accent6 2 2 4 2 2 2 2 2" xfId="45395" xr:uid="{00000000-0005-0000-0000-0000EE8D0000}"/>
    <cellStyle name="40% - Accent6 2 2 4 2 2 2 3" xfId="34094" xr:uid="{00000000-0005-0000-0000-0000EF8D0000}"/>
    <cellStyle name="40% - Accent6 2 2 4 2 2 3" xfId="17143" xr:uid="{00000000-0005-0000-0000-0000F08D0000}"/>
    <cellStyle name="40% - Accent6 2 2 4 2 2 3 2" xfId="39745" xr:uid="{00000000-0005-0000-0000-0000F18D0000}"/>
    <cellStyle name="40% - Accent6 2 2 4 2 2 4" xfId="28444" xr:uid="{00000000-0005-0000-0000-0000F28D0000}"/>
    <cellStyle name="40% - Accent6 2 2 4 2 3" xfId="8660" xr:uid="{00000000-0005-0000-0000-0000F38D0000}"/>
    <cellStyle name="40% - Accent6 2 2 4 2 3 2" xfId="19961" xr:uid="{00000000-0005-0000-0000-0000F48D0000}"/>
    <cellStyle name="40% - Accent6 2 2 4 2 3 2 2" xfId="42563" xr:uid="{00000000-0005-0000-0000-0000F58D0000}"/>
    <cellStyle name="40% - Accent6 2 2 4 2 3 3" xfId="31262" xr:uid="{00000000-0005-0000-0000-0000F68D0000}"/>
    <cellStyle name="40% - Accent6 2 2 4 2 4" xfId="14311" xr:uid="{00000000-0005-0000-0000-0000F78D0000}"/>
    <cellStyle name="40% - Accent6 2 2 4 2 4 2" xfId="36913" xr:uid="{00000000-0005-0000-0000-0000F88D0000}"/>
    <cellStyle name="40% - Accent6 2 2 4 2 5" xfId="25612" xr:uid="{00000000-0005-0000-0000-0000F98D0000}"/>
    <cellStyle name="40% - Accent6 2 2 4 3" xfId="4608" xr:uid="{00000000-0005-0000-0000-0000FA8D0000}"/>
    <cellStyle name="40% - Accent6 2 2 4 3 2" xfId="10258" xr:uid="{00000000-0005-0000-0000-0000FB8D0000}"/>
    <cellStyle name="40% - Accent6 2 2 4 3 2 2" xfId="21559" xr:uid="{00000000-0005-0000-0000-0000FC8D0000}"/>
    <cellStyle name="40% - Accent6 2 2 4 3 2 2 2" xfId="44161" xr:uid="{00000000-0005-0000-0000-0000FD8D0000}"/>
    <cellStyle name="40% - Accent6 2 2 4 3 2 3" xfId="32860" xr:uid="{00000000-0005-0000-0000-0000FE8D0000}"/>
    <cellStyle name="40% - Accent6 2 2 4 3 3" xfId="15909" xr:uid="{00000000-0005-0000-0000-0000FF8D0000}"/>
    <cellStyle name="40% - Accent6 2 2 4 3 3 2" xfId="38511" xr:uid="{00000000-0005-0000-0000-0000008E0000}"/>
    <cellStyle name="40% - Accent6 2 2 4 3 4" xfId="27210" xr:uid="{00000000-0005-0000-0000-0000018E0000}"/>
    <cellStyle name="40% - Accent6 2 2 4 4" xfId="6794" xr:uid="{00000000-0005-0000-0000-0000028E0000}"/>
    <cellStyle name="40% - Accent6 2 2 4 4 2" xfId="18095" xr:uid="{00000000-0005-0000-0000-0000038E0000}"/>
    <cellStyle name="40% - Accent6 2 2 4 4 2 2" xfId="40697" xr:uid="{00000000-0005-0000-0000-0000048E0000}"/>
    <cellStyle name="40% - Accent6 2 2 4 4 3" xfId="29396" xr:uid="{00000000-0005-0000-0000-0000058E0000}"/>
    <cellStyle name="40% - Accent6 2 2 4 5" xfId="12445" xr:uid="{00000000-0005-0000-0000-0000068E0000}"/>
    <cellStyle name="40% - Accent6 2 2 4 5 2" xfId="35047" xr:uid="{00000000-0005-0000-0000-0000078E0000}"/>
    <cellStyle name="40% - Accent6 2 2 4 6" xfId="23746" xr:uid="{00000000-0005-0000-0000-0000088E0000}"/>
    <cellStyle name="40% - Accent6 2 2 5" xfId="1977" xr:uid="{00000000-0005-0000-0000-0000098E0000}"/>
    <cellStyle name="40% - Accent6 2 2 5 2" xfId="3762" xr:uid="{00000000-0005-0000-0000-00000A8E0000}"/>
    <cellStyle name="40% - Accent6 2 2 5 2 2" xfId="9472" xr:uid="{00000000-0005-0000-0000-00000B8E0000}"/>
    <cellStyle name="40% - Accent6 2 2 5 2 2 2" xfId="20773" xr:uid="{00000000-0005-0000-0000-00000C8E0000}"/>
    <cellStyle name="40% - Accent6 2 2 5 2 2 2 2" xfId="43375" xr:uid="{00000000-0005-0000-0000-00000D8E0000}"/>
    <cellStyle name="40% - Accent6 2 2 5 2 2 3" xfId="32074" xr:uid="{00000000-0005-0000-0000-00000E8E0000}"/>
    <cellStyle name="40% - Accent6 2 2 5 2 3" xfId="15123" xr:uid="{00000000-0005-0000-0000-00000F8E0000}"/>
    <cellStyle name="40% - Accent6 2 2 5 2 3 2" xfId="37725" xr:uid="{00000000-0005-0000-0000-0000108E0000}"/>
    <cellStyle name="40% - Accent6 2 2 5 2 4" xfId="26424" xr:uid="{00000000-0005-0000-0000-0000118E0000}"/>
    <cellStyle name="40% - Accent6 2 2 5 3" xfId="5218" xr:uid="{00000000-0005-0000-0000-0000128E0000}"/>
    <cellStyle name="40% - Accent6 2 2 5 3 2" xfId="10868" xr:uid="{00000000-0005-0000-0000-0000138E0000}"/>
    <cellStyle name="40% - Accent6 2 2 5 3 2 2" xfId="22169" xr:uid="{00000000-0005-0000-0000-0000148E0000}"/>
    <cellStyle name="40% - Accent6 2 2 5 3 2 2 2" xfId="44771" xr:uid="{00000000-0005-0000-0000-0000158E0000}"/>
    <cellStyle name="40% - Accent6 2 2 5 3 2 3" xfId="33470" xr:uid="{00000000-0005-0000-0000-0000168E0000}"/>
    <cellStyle name="40% - Accent6 2 2 5 3 3" xfId="16519" xr:uid="{00000000-0005-0000-0000-0000178E0000}"/>
    <cellStyle name="40% - Accent6 2 2 5 3 3 2" xfId="39121" xr:uid="{00000000-0005-0000-0000-0000188E0000}"/>
    <cellStyle name="40% - Accent6 2 2 5 3 4" xfId="27820" xr:uid="{00000000-0005-0000-0000-0000198E0000}"/>
    <cellStyle name="40% - Accent6 2 2 5 4" xfId="7833" xr:uid="{00000000-0005-0000-0000-00001A8E0000}"/>
    <cellStyle name="40% - Accent6 2 2 5 4 2" xfId="19134" xr:uid="{00000000-0005-0000-0000-00001B8E0000}"/>
    <cellStyle name="40% - Accent6 2 2 5 4 2 2" xfId="41736" xr:uid="{00000000-0005-0000-0000-00001C8E0000}"/>
    <cellStyle name="40% - Accent6 2 2 5 4 3" xfId="30435" xr:uid="{00000000-0005-0000-0000-00001D8E0000}"/>
    <cellStyle name="40% - Accent6 2 2 5 5" xfId="13484" xr:uid="{00000000-0005-0000-0000-00001E8E0000}"/>
    <cellStyle name="40% - Accent6 2 2 5 5 2" xfId="36086" xr:uid="{00000000-0005-0000-0000-00001F8E0000}"/>
    <cellStyle name="40% - Accent6 2 2 5 6" xfId="24785" xr:uid="{00000000-0005-0000-0000-0000208E0000}"/>
    <cellStyle name="40% - Accent6 2 2 6" xfId="2191" xr:uid="{00000000-0005-0000-0000-0000218E0000}"/>
    <cellStyle name="40% - Accent6 2 2 6 2" xfId="8032" xr:uid="{00000000-0005-0000-0000-0000228E0000}"/>
    <cellStyle name="40% - Accent6 2 2 6 2 2" xfId="19333" xr:uid="{00000000-0005-0000-0000-0000238E0000}"/>
    <cellStyle name="40% - Accent6 2 2 6 2 2 2" xfId="41935" xr:uid="{00000000-0005-0000-0000-0000248E0000}"/>
    <cellStyle name="40% - Accent6 2 2 6 2 3" xfId="30634" xr:uid="{00000000-0005-0000-0000-0000258E0000}"/>
    <cellStyle name="40% - Accent6 2 2 6 3" xfId="13683" xr:uid="{00000000-0005-0000-0000-0000268E0000}"/>
    <cellStyle name="40% - Accent6 2 2 6 3 2" xfId="36285" xr:uid="{00000000-0005-0000-0000-0000278E0000}"/>
    <cellStyle name="40% - Accent6 2 2 6 4" xfId="24984" xr:uid="{00000000-0005-0000-0000-0000288E0000}"/>
    <cellStyle name="40% - Accent6 2 2 7" xfId="3984" xr:uid="{00000000-0005-0000-0000-0000298E0000}"/>
    <cellStyle name="40% - Accent6 2 2 7 2" xfId="9634" xr:uid="{00000000-0005-0000-0000-00002A8E0000}"/>
    <cellStyle name="40% - Accent6 2 2 7 2 2" xfId="20935" xr:uid="{00000000-0005-0000-0000-00002B8E0000}"/>
    <cellStyle name="40% - Accent6 2 2 7 2 2 2" xfId="43537" xr:uid="{00000000-0005-0000-0000-00002C8E0000}"/>
    <cellStyle name="40% - Accent6 2 2 7 2 3" xfId="32236" xr:uid="{00000000-0005-0000-0000-00002D8E0000}"/>
    <cellStyle name="40% - Accent6 2 2 7 3" xfId="15285" xr:uid="{00000000-0005-0000-0000-00002E8E0000}"/>
    <cellStyle name="40% - Accent6 2 2 7 3 2" xfId="37887" xr:uid="{00000000-0005-0000-0000-00002F8E0000}"/>
    <cellStyle name="40% - Accent6 2 2 7 4" xfId="26586" xr:uid="{00000000-0005-0000-0000-0000308E0000}"/>
    <cellStyle name="40% - Accent6 2 2 8" xfId="6435" xr:uid="{00000000-0005-0000-0000-0000318E0000}"/>
    <cellStyle name="40% - Accent6 2 2 8 2" xfId="17736" xr:uid="{00000000-0005-0000-0000-0000328E0000}"/>
    <cellStyle name="40% - Accent6 2 2 8 2 2" xfId="40338" xr:uid="{00000000-0005-0000-0000-0000338E0000}"/>
    <cellStyle name="40% - Accent6 2 2 8 3" xfId="29037" xr:uid="{00000000-0005-0000-0000-0000348E0000}"/>
    <cellStyle name="40% - Accent6 2 2 9" xfId="12086" xr:uid="{00000000-0005-0000-0000-0000358E0000}"/>
    <cellStyle name="40% - Accent6 2 2 9 2" xfId="34688" xr:uid="{00000000-0005-0000-0000-0000368E0000}"/>
    <cellStyle name="40% - Accent6 2 3" xfId="2764" xr:uid="{00000000-0005-0000-0000-0000378E0000}"/>
    <cellStyle name="40% - Accent6 2 3 2" xfId="3834" xr:uid="{00000000-0005-0000-0000-0000388E0000}"/>
    <cellStyle name="40% - Accent6 2 3 2 2" xfId="5779" xr:uid="{00000000-0005-0000-0000-0000398E0000}"/>
    <cellStyle name="40% - Accent6 2 3 2 2 2" xfId="11429" xr:uid="{00000000-0005-0000-0000-00003A8E0000}"/>
    <cellStyle name="40% - Accent6 2 3 2 2 2 2" xfId="22730" xr:uid="{00000000-0005-0000-0000-00003B8E0000}"/>
    <cellStyle name="40% - Accent6 2 3 2 2 2 2 2" xfId="45332" xr:uid="{00000000-0005-0000-0000-00003C8E0000}"/>
    <cellStyle name="40% - Accent6 2 3 2 2 2 3" xfId="34031" xr:uid="{00000000-0005-0000-0000-00003D8E0000}"/>
    <cellStyle name="40% - Accent6 2 3 2 2 3" xfId="17080" xr:uid="{00000000-0005-0000-0000-00003E8E0000}"/>
    <cellStyle name="40% - Accent6 2 3 2 2 3 2" xfId="39682" xr:uid="{00000000-0005-0000-0000-00003F8E0000}"/>
    <cellStyle name="40% - Accent6 2 3 2 2 4" xfId="28381" xr:uid="{00000000-0005-0000-0000-0000408E0000}"/>
    <cellStyle name="40% - Accent6 2 3 2 3" xfId="9538" xr:uid="{00000000-0005-0000-0000-0000418E0000}"/>
    <cellStyle name="40% - Accent6 2 3 2 3 2" xfId="20839" xr:uid="{00000000-0005-0000-0000-0000428E0000}"/>
    <cellStyle name="40% - Accent6 2 3 2 3 2 2" xfId="43441" xr:uid="{00000000-0005-0000-0000-0000438E0000}"/>
    <cellStyle name="40% - Accent6 2 3 2 3 3" xfId="32140" xr:uid="{00000000-0005-0000-0000-0000448E0000}"/>
    <cellStyle name="40% - Accent6 2 3 2 4" xfId="15189" xr:uid="{00000000-0005-0000-0000-0000458E0000}"/>
    <cellStyle name="40% - Accent6 2 3 2 4 2" xfId="37791" xr:uid="{00000000-0005-0000-0000-0000468E0000}"/>
    <cellStyle name="40% - Accent6 2 3 2 5" xfId="26490" xr:uid="{00000000-0005-0000-0000-0000478E0000}"/>
    <cellStyle name="40% - Accent6 2 3 3" xfId="4545" xr:uid="{00000000-0005-0000-0000-0000488E0000}"/>
    <cellStyle name="40% - Accent6 2 3 3 2" xfId="10195" xr:uid="{00000000-0005-0000-0000-0000498E0000}"/>
    <cellStyle name="40% - Accent6 2 3 3 2 2" xfId="21496" xr:uid="{00000000-0005-0000-0000-00004A8E0000}"/>
    <cellStyle name="40% - Accent6 2 3 3 2 2 2" xfId="44098" xr:uid="{00000000-0005-0000-0000-00004B8E0000}"/>
    <cellStyle name="40% - Accent6 2 3 3 2 3" xfId="32797" xr:uid="{00000000-0005-0000-0000-00004C8E0000}"/>
    <cellStyle name="40% - Accent6 2 3 3 3" xfId="15846" xr:uid="{00000000-0005-0000-0000-00004D8E0000}"/>
    <cellStyle name="40% - Accent6 2 3 3 3 2" xfId="38448" xr:uid="{00000000-0005-0000-0000-00004E8E0000}"/>
    <cellStyle name="40% - Accent6 2 3 3 4" xfId="27147" xr:uid="{00000000-0005-0000-0000-00004F8E0000}"/>
    <cellStyle name="40% - Accent6 2 3 4" xfId="8597" xr:uid="{00000000-0005-0000-0000-0000508E0000}"/>
    <cellStyle name="40% - Accent6 2 3 4 2" xfId="19898" xr:uid="{00000000-0005-0000-0000-0000518E0000}"/>
    <cellStyle name="40% - Accent6 2 3 4 2 2" xfId="42500" xr:uid="{00000000-0005-0000-0000-0000528E0000}"/>
    <cellStyle name="40% - Accent6 2 3 4 3" xfId="31199" xr:uid="{00000000-0005-0000-0000-0000538E0000}"/>
    <cellStyle name="40% - Accent6 2 3 5" xfId="14248" xr:uid="{00000000-0005-0000-0000-0000548E0000}"/>
    <cellStyle name="40% - Accent6 2 3 5 2" xfId="36850" xr:uid="{00000000-0005-0000-0000-0000558E0000}"/>
    <cellStyle name="40% - Accent6 2 3 6" xfId="25549" xr:uid="{00000000-0005-0000-0000-0000568E0000}"/>
    <cellStyle name="40% - Accent6 2 4" xfId="2771" xr:uid="{00000000-0005-0000-0000-0000578E0000}"/>
    <cellStyle name="40% - Accent6 2 5" xfId="3885" xr:uid="{00000000-0005-0000-0000-0000588E0000}"/>
    <cellStyle name="40% - Accent6 2 5 2" xfId="9556" xr:uid="{00000000-0005-0000-0000-0000598E0000}"/>
    <cellStyle name="40% - Accent6 2 5 2 2" xfId="20857" xr:uid="{00000000-0005-0000-0000-00005A8E0000}"/>
    <cellStyle name="40% - Accent6 2 5 2 2 2" xfId="43459" xr:uid="{00000000-0005-0000-0000-00005B8E0000}"/>
    <cellStyle name="40% - Accent6 2 5 2 3" xfId="32158" xr:uid="{00000000-0005-0000-0000-00005C8E0000}"/>
    <cellStyle name="40% - Accent6 2 5 3" xfId="15207" xr:uid="{00000000-0005-0000-0000-00005D8E0000}"/>
    <cellStyle name="40% - Accent6 2 5 3 2" xfId="37809" xr:uid="{00000000-0005-0000-0000-00005E8E0000}"/>
    <cellStyle name="40% - Accent6 2 5 4" xfId="26508" xr:uid="{00000000-0005-0000-0000-00005F8E0000}"/>
    <cellStyle name="40% - Accent6 2 6" xfId="3489" xr:uid="{00000000-0005-0000-0000-0000608E0000}"/>
    <cellStyle name="40% - Accent6 3" xfId="171" xr:uid="{00000000-0005-0000-0000-0000618E0000}"/>
    <cellStyle name="40% - Accent6 3 2" xfId="295" xr:uid="{00000000-0005-0000-0000-0000628E0000}"/>
    <cellStyle name="40% - Accent6 3 2 10" xfId="23404" xr:uid="{00000000-0005-0000-0000-0000638E0000}"/>
    <cellStyle name="40% - Accent6 3 2 2" xfId="554" xr:uid="{00000000-0005-0000-0000-0000648E0000}"/>
    <cellStyle name="40% - Accent6 3 2 2 2" xfId="1264" xr:uid="{00000000-0005-0000-0000-0000658E0000}"/>
    <cellStyle name="40% - Accent6 3 2 2 2 2" xfId="1983" xr:uid="{00000000-0005-0000-0000-0000668E0000}"/>
    <cellStyle name="40% - Accent6 3 2 2 2 2 2" xfId="3333" xr:uid="{00000000-0005-0000-0000-0000678E0000}"/>
    <cellStyle name="40% - Accent6 3 2 2 2 2 2 2" xfId="6305" xr:uid="{00000000-0005-0000-0000-0000688E0000}"/>
    <cellStyle name="40% - Accent6 3 2 2 2 2 2 2 2" xfId="11955" xr:uid="{00000000-0005-0000-0000-0000698E0000}"/>
    <cellStyle name="40% - Accent6 3 2 2 2 2 2 2 2 2" xfId="23256" xr:uid="{00000000-0005-0000-0000-00006A8E0000}"/>
    <cellStyle name="40% - Accent6 3 2 2 2 2 2 2 2 2 2" xfId="45858" xr:uid="{00000000-0005-0000-0000-00006B8E0000}"/>
    <cellStyle name="40% - Accent6 3 2 2 2 2 2 2 2 3" xfId="34557" xr:uid="{00000000-0005-0000-0000-00006C8E0000}"/>
    <cellStyle name="40% - Accent6 3 2 2 2 2 2 2 3" xfId="17606" xr:uid="{00000000-0005-0000-0000-00006D8E0000}"/>
    <cellStyle name="40% - Accent6 3 2 2 2 2 2 2 3 2" xfId="40208" xr:uid="{00000000-0005-0000-0000-00006E8E0000}"/>
    <cellStyle name="40% - Accent6 3 2 2 2 2 2 2 4" xfId="28907" xr:uid="{00000000-0005-0000-0000-00006F8E0000}"/>
    <cellStyle name="40% - Accent6 3 2 2 2 2 2 3" xfId="9123" xr:uid="{00000000-0005-0000-0000-0000708E0000}"/>
    <cellStyle name="40% - Accent6 3 2 2 2 2 2 3 2" xfId="20424" xr:uid="{00000000-0005-0000-0000-0000718E0000}"/>
    <cellStyle name="40% - Accent6 3 2 2 2 2 2 3 2 2" xfId="43026" xr:uid="{00000000-0005-0000-0000-0000728E0000}"/>
    <cellStyle name="40% - Accent6 3 2 2 2 2 2 3 3" xfId="31725" xr:uid="{00000000-0005-0000-0000-0000738E0000}"/>
    <cellStyle name="40% - Accent6 3 2 2 2 2 2 4" xfId="14774" xr:uid="{00000000-0005-0000-0000-0000748E0000}"/>
    <cellStyle name="40% - Accent6 3 2 2 2 2 2 4 2" xfId="37376" xr:uid="{00000000-0005-0000-0000-0000758E0000}"/>
    <cellStyle name="40% - Accent6 3 2 2 2 2 2 5" xfId="26075" xr:uid="{00000000-0005-0000-0000-0000768E0000}"/>
    <cellStyle name="40% - Accent6 3 2 2 2 2 3" xfId="5071" xr:uid="{00000000-0005-0000-0000-0000778E0000}"/>
    <cellStyle name="40% - Accent6 3 2 2 2 2 3 2" xfId="10721" xr:uid="{00000000-0005-0000-0000-0000788E0000}"/>
    <cellStyle name="40% - Accent6 3 2 2 2 2 3 2 2" xfId="22022" xr:uid="{00000000-0005-0000-0000-0000798E0000}"/>
    <cellStyle name="40% - Accent6 3 2 2 2 2 3 2 2 2" xfId="44624" xr:uid="{00000000-0005-0000-0000-00007A8E0000}"/>
    <cellStyle name="40% - Accent6 3 2 2 2 2 3 2 3" xfId="33323" xr:uid="{00000000-0005-0000-0000-00007B8E0000}"/>
    <cellStyle name="40% - Accent6 3 2 2 2 2 3 3" xfId="16372" xr:uid="{00000000-0005-0000-0000-00007C8E0000}"/>
    <cellStyle name="40% - Accent6 3 2 2 2 2 3 3 2" xfId="38974" xr:uid="{00000000-0005-0000-0000-00007D8E0000}"/>
    <cellStyle name="40% - Accent6 3 2 2 2 2 3 4" xfId="27673" xr:uid="{00000000-0005-0000-0000-00007E8E0000}"/>
    <cellStyle name="40% - Accent6 3 2 2 2 2 4" xfId="7839" xr:uid="{00000000-0005-0000-0000-00007F8E0000}"/>
    <cellStyle name="40% - Accent6 3 2 2 2 2 4 2" xfId="19140" xr:uid="{00000000-0005-0000-0000-0000808E0000}"/>
    <cellStyle name="40% - Accent6 3 2 2 2 2 4 2 2" xfId="41742" xr:uid="{00000000-0005-0000-0000-0000818E0000}"/>
    <cellStyle name="40% - Accent6 3 2 2 2 2 4 3" xfId="30441" xr:uid="{00000000-0005-0000-0000-0000828E0000}"/>
    <cellStyle name="40% - Accent6 3 2 2 2 2 5" xfId="13490" xr:uid="{00000000-0005-0000-0000-0000838E0000}"/>
    <cellStyle name="40% - Accent6 3 2 2 2 2 5 2" xfId="36092" xr:uid="{00000000-0005-0000-0000-0000848E0000}"/>
    <cellStyle name="40% - Accent6 3 2 2 2 2 6" xfId="24791" xr:uid="{00000000-0005-0000-0000-0000858E0000}"/>
    <cellStyle name="40% - Accent6 3 2 2 2 3" xfId="2662" xr:uid="{00000000-0005-0000-0000-0000868E0000}"/>
    <cellStyle name="40% - Accent6 3 2 2 2 3 2" xfId="5681" xr:uid="{00000000-0005-0000-0000-0000878E0000}"/>
    <cellStyle name="40% - Accent6 3 2 2 2 3 2 2" xfId="11331" xr:uid="{00000000-0005-0000-0000-0000888E0000}"/>
    <cellStyle name="40% - Accent6 3 2 2 2 3 2 2 2" xfId="22632" xr:uid="{00000000-0005-0000-0000-0000898E0000}"/>
    <cellStyle name="40% - Accent6 3 2 2 2 3 2 2 2 2" xfId="45234" xr:uid="{00000000-0005-0000-0000-00008A8E0000}"/>
    <cellStyle name="40% - Accent6 3 2 2 2 3 2 2 3" xfId="33933" xr:uid="{00000000-0005-0000-0000-00008B8E0000}"/>
    <cellStyle name="40% - Accent6 3 2 2 2 3 2 3" xfId="16982" xr:uid="{00000000-0005-0000-0000-00008C8E0000}"/>
    <cellStyle name="40% - Accent6 3 2 2 2 3 2 3 2" xfId="39584" xr:uid="{00000000-0005-0000-0000-00008D8E0000}"/>
    <cellStyle name="40% - Accent6 3 2 2 2 3 2 4" xfId="28283" xr:uid="{00000000-0005-0000-0000-00008E8E0000}"/>
    <cellStyle name="40% - Accent6 3 2 2 2 3 3" xfId="8498" xr:uid="{00000000-0005-0000-0000-00008F8E0000}"/>
    <cellStyle name="40% - Accent6 3 2 2 2 3 3 2" xfId="19799" xr:uid="{00000000-0005-0000-0000-0000908E0000}"/>
    <cellStyle name="40% - Accent6 3 2 2 2 3 3 2 2" xfId="42401" xr:uid="{00000000-0005-0000-0000-0000918E0000}"/>
    <cellStyle name="40% - Accent6 3 2 2 2 3 3 3" xfId="31100" xr:uid="{00000000-0005-0000-0000-0000928E0000}"/>
    <cellStyle name="40% - Accent6 3 2 2 2 3 4" xfId="14149" xr:uid="{00000000-0005-0000-0000-0000938E0000}"/>
    <cellStyle name="40% - Accent6 3 2 2 2 3 4 2" xfId="36751" xr:uid="{00000000-0005-0000-0000-0000948E0000}"/>
    <cellStyle name="40% - Accent6 3 2 2 2 3 5" xfId="25450" xr:uid="{00000000-0005-0000-0000-0000958E0000}"/>
    <cellStyle name="40% - Accent6 3 2 2 2 4" xfId="4447" xr:uid="{00000000-0005-0000-0000-0000968E0000}"/>
    <cellStyle name="40% - Accent6 3 2 2 2 4 2" xfId="10097" xr:uid="{00000000-0005-0000-0000-0000978E0000}"/>
    <cellStyle name="40% - Accent6 3 2 2 2 4 2 2" xfId="21398" xr:uid="{00000000-0005-0000-0000-0000988E0000}"/>
    <cellStyle name="40% - Accent6 3 2 2 2 4 2 2 2" xfId="44000" xr:uid="{00000000-0005-0000-0000-0000998E0000}"/>
    <cellStyle name="40% - Accent6 3 2 2 2 4 2 3" xfId="32699" xr:uid="{00000000-0005-0000-0000-00009A8E0000}"/>
    <cellStyle name="40% - Accent6 3 2 2 2 4 3" xfId="15748" xr:uid="{00000000-0005-0000-0000-00009B8E0000}"/>
    <cellStyle name="40% - Accent6 3 2 2 2 4 3 2" xfId="38350" xr:uid="{00000000-0005-0000-0000-00009C8E0000}"/>
    <cellStyle name="40% - Accent6 3 2 2 2 4 4" xfId="27049" xr:uid="{00000000-0005-0000-0000-00009D8E0000}"/>
    <cellStyle name="40% - Accent6 3 2 2 2 5" xfId="7243" xr:uid="{00000000-0005-0000-0000-00009E8E0000}"/>
    <cellStyle name="40% - Accent6 3 2 2 2 5 2" xfId="18544" xr:uid="{00000000-0005-0000-0000-00009F8E0000}"/>
    <cellStyle name="40% - Accent6 3 2 2 2 5 2 2" xfId="41146" xr:uid="{00000000-0005-0000-0000-0000A08E0000}"/>
    <cellStyle name="40% - Accent6 3 2 2 2 5 3" xfId="29845" xr:uid="{00000000-0005-0000-0000-0000A18E0000}"/>
    <cellStyle name="40% - Accent6 3 2 2 2 6" xfId="12894" xr:uid="{00000000-0005-0000-0000-0000A28E0000}"/>
    <cellStyle name="40% - Accent6 3 2 2 2 6 2" xfId="35496" xr:uid="{00000000-0005-0000-0000-0000A38E0000}"/>
    <cellStyle name="40% - Accent6 3 2 2 2 7" xfId="24195" xr:uid="{00000000-0005-0000-0000-0000A48E0000}"/>
    <cellStyle name="40% - Accent6 3 2 2 3" xfId="962" xr:uid="{00000000-0005-0000-0000-0000A58E0000}"/>
    <cellStyle name="40% - Accent6 3 2 2 3 2" xfId="3025" xr:uid="{00000000-0005-0000-0000-0000A68E0000}"/>
    <cellStyle name="40% - Accent6 3 2 2 3 2 2" xfId="5997" xr:uid="{00000000-0005-0000-0000-0000A78E0000}"/>
    <cellStyle name="40% - Accent6 3 2 2 3 2 2 2" xfId="11647" xr:uid="{00000000-0005-0000-0000-0000A88E0000}"/>
    <cellStyle name="40% - Accent6 3 2 2 3 2 2 2 2" xfId="22948" xr:uid="{00000000-0005-0000-0000-0000A98E0000}"/>
    <cellStyle name="40% - Accent6 3 2 2 3 2 2 2 2 2" xfId="45550" xr:uid="{00000000-0005-0000-0000-0000AA8E0000}"/>
    <cellStyle name="40% - Accent6 3 2 2 3 2 2 2 3" xfId="34249" xr:uid="{00000000-0005-0000-0000-0000AB8E0000}"/>
    <cellStyle name="40% - Accent6 3 2 2 3 2 2 3" xfId="17298" xr:uid="{00000000-0005-0000-0000-0000AC8E0000}"/>
    <cellStyle name="40% - Accent6 3 2 2 3 2 2 3 2" xfId="39900" xr:uid="{00000000-0005-0000-0000-0000AD8E0000}"/>
    <cellStyle name="40% - Accent6 3 2 2 3 2 2 4" xfId="28599" xr:uid="{00000000-0005-0000-0000-0000AE8E0000}"/>
    <cellStyle name="40% - Accent6 3 2 2 3 2 3" xfId="8815" xr:uid="{00000000-0005-0000-0000-0000AF8E0000}"/>
    <cellStyle name="40% - Accent6 3 2 2 3 2 3 2" xfId="20116" xr:uid="{00000000-0005-0000-0000-0000B08E0000}"/>
    <cellStyle name="40% - Accent6 3 2 2 3 2 3 2 2" xfId="42718" xr:uid="{00000000-0005-0000-0000-0000B18E0000}"/>
    <cellStyle name="40% - Accent6 3 2 2 3 2 3 3" xfId="31417" xr:uid="{00000000-0005-0000-0000-0000B28E0000}"/>
    <cellStyle name="40% - Accent6 3 2 2 3 2 4" xfId="14466" xr:uid="{00000000-0005-0000-0000-0000B38E0000}"/>
    <cellStyle name="40% - Accent6 3 2 2 3 2 4 2" xfId="37068" xr:uid="{00000000-0005-0000-0000-0000B48E0000}"/>
    <cellStyle name="40% - Accent6 3 2 2 3 2 5" xfId="25767" xr:uid="{00000000-0005-0000-0000-0000B58E0000}"/>
    <cellStyle name="40% - Accent6 3 2 2 3 3" xfId="4763" xr:uid="{00000000-0005-0000-0000-0000B68E0000}"/>
    <cellStyle name="40% - Accent6 3 2 2 3 3 2" xfId="10413" xr:uid="{00000000-0005-0000-0000-0000B78E0000}"/>
    <cellStyle name="40% - Accent6 3 2 2 3 3 2 2" xfId="21714" xr:uid="{00000000-0005-0000-0000-0000B88E0000}"/>
    <cellStyle name="40% - Accent6 3 2 2 3 3 2 2 2" xfId="44316" xr:uid="{00000000-0005-0000-0000-0000B98E0000}"/>
    <cellStyle name="40% - Accent6 3 2 2 3 3 2 3" xfId="33015" xr:uid="{00000000-0005-0000-0000-0000BA8E0000}"/>
    <cellStyle name="40% - Accent6 3 2 2 3 3 3" xfId="16064" xr:uid="{00000000-0005-0000-0000-0000BB8E0000}"/>
    <cellStyle name="40% - Accent6 3 2 2 3 3 3 2" xfId="38666" xr:uid="{00000000-0005-0000-0000-0000BC8E0000}"/>
    <cellStyle name="40% - Accent6 3 2 2 3 3 4" xfId="27365" xr:uid="{00000000-0005-0000-0000-0000BD8E0000}"/>
    <cellStyle name="40% - Accent6 3 2 2 3 4" xfId="6950" xr:uid="{00000000-0005-0000-0000-0000BE8E0000}"/>
    <cellStyle name="40% - Accent6 3 2 2 3 4 2" xfId="18251" xr:uid="{00000000-0005-0000-0000-0000BF8E0000}"/>
    <cellStyle name="40% - Accent6 3 2 2 3 4 2 2" xfId="40853" xr:uid="{00000000-0005-0000-0000-0000C08E0000}"/>
    <cellStyle name="40% - Accent6 3 2 2 3 4 3" xfId="29552" xr:uid="{00000000-0005-0000-0000-0000C18E0000}"/>
    <cellStyle name="40% - Accent6 3 2 2 3 5" xfId="12601" xr:uid="{00000000-0005-0000-0000-0000C28E0000}"/>
    <cellStyle name="40% - Accent6 3 2 2 3 5 2" xfId="35203" xr:uid="{00000000-0005-0000-0000-0000C38E0000}"/>
    <cellStyle name="40% - Accent6 3 2 2 3 6" xfId="23902" xr:uid="{00000000-0005-0000-0000-0000C48E0000}"/>
    <cellStyle name="40% - Accent6 3 2 2 4" xfId="1982" xr:uid="{00000000-0005-0000-0000-0000C58E0000}"/>
    <cellStyle name="40% - Accent6 3 2 2 4 2" xfId="3766" xr:uid="{00000000-0005-0000-0000-0000C68E0000}"/>
    <cellStyle name="40% - Accent6 3 2 2 4 2 2" xfId="9475" xr:uid="{00000000-0005-0000-0000-0000C78E0000}"/>
    <cellStyle name="40% - Accent6 3 2 2 4 2 2 2" xfId="20776" xr:uid="{00000000-0005-0000-0000-0000C88E0000}"/>
    <cellStyle name="40% - Accent6 3 2 2 4 2 2 2 2" xfId="43378" xr:uid="{00000000-0005-0000-0000-0000C98E0000}"/>
    <cellStyle name="40% - Accent6 3 2 2 4 2 2 3" xfId="32077" xr:uid="{00000000-0005-0000-0000-0000CA8E0000}"/>
    <cellStyle name="40% - Accent6 3 2 2 4 2 3" xfId="15126" xr:uid="{00000000-0005-0000-0000-0000CB8E0000}"/>
    <cellStyle name="40% - Accent6 3 2 2 4 2 3 2" xfId="37728" xr:uid="{00000000-0005-0000-0000-0000CC8E0000}"/>
    <cellStyle name="40% - Accent6 3 2 2 4 2 4" xfId="26427" xr:uid="{00000000-0005-0000-0000-0000CD8E0000}"/>
    <cellStyle name="40% - Accent6 3 2 2 4 3" xfId="5373" xr:uid="{00000000-0005-0000-0000-0000CE8E0000}"/>
    <cellStyle name="40% - Accent6 3 2 2 4 3 2" xfId="11023" xr:uid="{00000000-0005-0000-0000-0000CF8E0000}"/>
    <cellStyle name="40% - Accent6 3 2 2 4 3 2 2" xfId="22324" xr:uid="{00000000-0005-0000-0000-0000D08E0000}"/>
    <cellStyle name="40% - Accent6 3 2 2 4 3 2 2 2" xfId="44926" xr:uid="{00000000-0005-0000-0000-0000D18E0000}"/>
    <cellStyle name="40% - Accent6 3 2 2 4 3 2 3" xfId="33625" xr:uid="{00000000-0005-0000-0000-0000D28E0000}"/>
    <cellStyle name="40% - Accent6 3 2 2 4 3 3" xfId="16674" xr:uid="{00000000-0005-0000-0000-0000D38E0000}"/>
    <cellStyle name="40% - Accent6 3 2 2 4 3 3 2" xfId="39276" xr:uid="{00000000-0005-0000-0000-0000D48E0000}"/>
    <cellStyle name="40% - Accent6 3 2 2 4 3 4" xfId="27975" xr:uid="{00000000-0005-0000-0000-0000D58E0000}"/>
    <cellStyle name="40% - Accent6 3 2 2 4 4" xfId="7838" xr:uid="{00000000-0005-0000-0000-0000D68E0000}"/>
    <cellStyle name="40% - Accent6 3 2 2 4 4 2" xfId="19139" xr:uid="{00000000-0005-0000-0000-0000D78E0000}"/>
    <cellStyle name="40% - Accent6 3 2 2 4 4 2 2" xfId="41741" xr:uid="{00000000-0005-0000-0000-0000D88E0000}"/>
    <cellStyle name="40% - Accent6 3 2 2 4 4 3" xfId="30440" xr:uid="{00000000-0005-0000-0000-0000D98E0000}"/>
    <cellStyle name="40% - Accent6 3 2 2 4 5" xfId="13489" xr:uid="{00000000-0005-0000-0000-0000DA8E0000}"/>
    <cellStyle name="40% - Accent6 3 2 2 4 5 2" xfId="36091" xr:uid="{00000000-0005-0000-0000-0000DB8E0000}"/>
    <cellStyle name="40% - Accent6 3 2 2 4 6" xfId="24790" xr:uid="{00000000-0005-0000-0000-0000DC8E0000}"/>
    <cellStyle name="40% - Accent6 3 2 2 5" xfId="2354" xr:uid="{00000000-0005-0000-0000-0000DD8E0000}"/>
    <cellStyle name="40% - Accent6 3 2 2 5 2" xfId="8190" xr:uid="{00000000-0005-0000-0000-0000DE8E0000}"/>
    <cellStyle name="40% - Accent6 3 2 2 5 2 2" xfId="19491" xr:uid="{00000000-0005-0000-0000-0000DF8E0000}"/>
    <cellStyle name="40% - Accent6 3 2 2 5 2 2 2" xfId="42093" xr:uid="{00000000-0005-0000-0000-0000E08E0000}"/>
    <cellStyle name="40% - Accent6 3 2 2 5 2 3" xfId="30792" xr:uid="{00000000-0005-0000-0000-0000E18E0000}"/>
    <cellStyle name="40% - Accent6 3 2 2 5 3" xfId="13841" xr:uid="{00000000-0005-0000-0000-0000E28E0000}"/>
    <cellStyle name="40% - Accent6 3 2 2 5 3 2" xfId="36443" xr:uid="{00000000-0005-0000-0000-0000E38E0000}"/>
    <cellStyle name="40% - Accent6 3 2 2 5 4" xfId="25142" xr:uid="{00000000-0005-0000-0000-0000E48E0000}"/>
    <cellStyle name="40% - Accent6 3 2 2 6" xfId="4139" xr:uid="{00000000-0005-0000-0000-0000E58E0000}"/>
    <cellStyle name="40% - Accent6 3 2 2 6 2" xfId="9789" xr:uid="{00000000-0005-0000-0000-0000E68E0000}"/>
    <cellStyle name="40% - Accent6 3 2 2 6 2 2" xfId="21090" xr:uid="{00000000-0005-0000-0000-0000E78E0000}"/>
    <cellStyle name="40% - Accent6 3 2 2 6 2 2 2" xfId="43692" xr:uid="{00000000-0005-0000-0000-0000E88E0000}"/>
    <cellStyle name="40% - Accent6 3 2 2 6 2 3" xfId="32391" xr:uid="{00000000-0005-0000-0000-0000E98E0000}"/>
    <cellStyle name="40% - Accent6 3 2 2 6 3" xfId="15440" xr:uid="{00000000-0005-0000-0000-0000EA8E0000}"/>
    <cellStyle name="40% - Accent6 3 2 2 6 3 2" xfId="38042" xr:uid="{00000000-0005-0000-0000-0000EB8E0000}"/>
    <cellStyle name="40% - Accent6 3 2 2 6 4" xfId="26741" xr:uid="{00000000-0005-0000-0000-0000EC8E0000}"/>
    <cellStyle name="40% - Accent6 3 2 2 7" xfId="6619" xr:uid="{00000000-0005-0000-0000-0000ED8E0000}"/>
    <cellStyle name="40% - Accent6 3 2 2 7 2" xfId="17920" xr:uid="{00000000-0005-0000-0000-0000EE8E0000}"/>
    <cellStyle name="40% - Accent6 3 2 2 7 2 2" xfId="40522" xr:uid="{00000000-0005-0000-0000-0000EF8E0000}"/>
    <cellStyle name="40% - Accent6 3 2 2 7 3" xfId="29221" xr:uid="{00000000-0005-0000-0000-0000F08E0000}"/>
    <cellStyle name="40% - Accent6 3 2 2 8" xfId="12270" xr:uid="{00000000-0005-0000-0000-0000F18E0000}"/>
    <cellStyle name="40% - Accent6 3 2 2 8 2" xfId="34872" xr:uid="{00000000-0005-0000-0000-0000F28E0000}"/>
    <cellStyle name="40% - Accent6 3 2 2 9" xfId="23571" xr:uid="{00000000-0005-0000-0000-0000F38E0000}"/>
    <cellStyle name="40% - Accent6 3 2 3" xfId="1126" xr:uid="{00000000-0005-0000-0000-0000F48E0000}"/>
    <cellStyle name="40% - Accent6 3 2 3 2" xfId="1984" xr:uid="{00000000-0005-0000-0000-0000F58E0000}"/>
    <cellStyle name="40% - Accent6 3 2 3 2 2" xfId="3194" xr:uid="{00000000-0005-0000-0000-0000F68E0000}"/>
    <cellStyle name="40% - Accent6 3 2 3 2 2 2" xfId="6166" xr:uid="{00000000-0005-0000-0000-0000F78E0000}"/>
    <cellStyle name="40% - Accent6 3 2 3 2 2 2 2" xfId="11816" xr:uid="{00000000-0005-0000-0000-0000F88E0000}"/>
    <cellStyle name="40% - Accent6 3 2 3 2 2 2 2 2" xfId="23117" xr:uid="{00000000-0005-0000-0000-0000F98E0000}"/>
    <cellStyle name="40% - Accent6 3 2 3 2 2 2 2 2 2" xfId="45719" xr:uid="{00000000-0005-0000-0000-0000FA8E0000}"/>
    <cellStyle name="40% - Accent6 3 2 3 2 2 2 2 3" xfId="34418" xr:uid="{00000000-0005-0000-0000-0000FB8E0000}"/>
    <cellStyle name="40% - Accent6 3 2 3 2 2 2 3" xfId="17467" xr:uid="{00000000-0005-0000-0000-0000FC8E0000}"/>
    <cellStyle name="40% - Accent6 3 2 3 2 2 2 3 2" xfId="40069" xr:uid="{00000000-0005-0000-0000-0000FD8E0000}"/>
    <cellStyle name="40% - Accent6 3 2 3 2 2 2 4" xfId="28768" xr:uid="{00000000-0005-0000-0000-0000FE8E0000}"/>
    <cellStyle name="40% - Accent6 3 2 3 2 2 3" xfId="8984" xr:uid="{00000000-0005-0000-0000-0000FF8E0000}"/>
    <cellStyle name="40% - Accent6 3 2 3 2 2 3 2" xfId="20285" xr:uid="{00000000-0005-0000-0000-0000008F0000}"/>
    <cellStyle name="40% - Accent6 3 2 3 2 2 3 2 2" xfId="42887" xr:uid="{00000000-0005-0000-0000-0000018F0000}"/>
    <cellStyle name="40% - Accent6 3 2 3 2 2 3 3" xfId="31586" xr:uid="{00000000-0005-0000-0000-0000028F0000}"/>
    <cellStyle name="40% - Accent6 3 2 3 2 2 4" xfId="14635" xr:uid="{00000000-0005-0000-0000-0000038F0000}"/>
    <cellStyle name="40% - Accent6 3 2 3 2 2 4 2" xfId="37237" xr:uid="{00000000-0005-0000-0000-0000048F0000}"/>
    <cellStyle name="40% - Accent6 3 2 3 2 2 5" xfId="25936" xr:uid="{00000000-0005-0000-0000-0000058F0000}"/>
    <cellStyle name="40% - Accent6 3 2 3 2 3" xfId="4932" xr:uid="{00000000-0005-0000-0000-0000068F0000}"/>
    <cellStyle name="40% - Accent6 3 2 3 2 3 2" xfId="10582" xr:uid="{00000000-0005-0000-0000-0000078F0000}"/>
    <cellStyle name="40% - Accent6 3 2 3 2 3 2 2" xfId="21883" xr:uid="{00000000-0005-0000-0000-0000088F0000}"/>
    <cellStyle name="40% - Accent6 3 2 3 2 3 2 2 2" xfId="44485" xr:uid="{00000000-0005-0000-0000-0000098F0000}"/>
    <cellStyle name="40% - Accent6 3 2 3 2 3 2 3" xfId="33184" xr:uid="{00000000-0005-0000-0000-00000A8F0000}"/>
    <cellStyle name="40% - Accent6 3 2 3 2 3 3" xfId="16233" xr:uid="{00000000-0005-0000-0000-00000B8F0000}"/>
    <cellStyle name="40% - Accent6 3 2 3 2 3 3 2" xfId="38835" xr:uid="{00000000-0005-0000-0000-00000C8F0000}"/>
    <cellStyle name="40% - Accent6 3 2 3 2 3 4" xfId="27534" xr:uid="{00000000-0005-0000-0000-00000D8F0000}"/>
    <cellStyle name="40% - Accent6 3 2 3 2 4" xfId="7840" xr:uid="{00000000-0005-0000-0000-00000E8F0000}"/>
    <cellStyle name="40% - Accent6 3 2 3 2 4 2" xfId="19141" xr:uid="{00000000-0005-0000-0000-00000F8F0000}"/>
    <cellStyle name="40% - Accent6 3 2 3 2 4 2 2" xfId="41743" xr:uid="{00000000-0005-0000-0000-0000108F0000}"/>
    <cellStyle name="40% - Accent6 3 2 3 2 4 3" xfId="30442" xr:uid="{00000000-0005-0000-0000-0000118F0000}"/>
    <cellStyle name="40% - Accent6 3 2 3 2 5" xfId="13491" xr:uid="{00000000-0005-0000-0000-0000128F0000}"/>
    <cellStyle name="40% - Accent6 3 2 3 2 5 2" xfId="36093" xr:uid="{00000000-0005-0000-0000-0000138F0000}"/>
    <cellStyle name="40% - Accent6 3 2 3 2 6" xfId="24792" xr:uid="{00000000-0005-0000-0000-0000148F0000}"/>
    <cellStyle name="40% - Accent6 3 2 3 3" xfId="2523" xr:uid="{00000000-0005-0000-0000-0000158F0000}"/>
    <cellStyle name="40% - Accent6 3 2 3 3 2" xfId="5542" xr:uid="{00000000-0005-0000-0000-0000168F0000}"/>
    <cellStyle name="40% - Accent6 3 2 3 3 2 2" xfId="11192" xr:uid="{00000000-0005-0000-0000-0000178F0000}"/>
    <cellStyle name="40% - Accent6 3 2 3 3 2 2 2" xfId="22493" xr:uid="{00000000-0005-0000-0000-0000188F0000}"/>
    <cellStyle name="40% - Accent6 3 2 3 3 2 2 2 2" xfId="45095" xr:uid="{00000000-0005-0000-0000-0000198F0000}"/>
    <cellStyle name="40% - Accent6 3 2 3 3 2 2 3" xfId="33794" xr:uid="{00000000-0005-0000-0000-00001A8F0000}"/>
    <cellStyle name="40% - Accent6 3 2 3 3 2 3" xfId="16843" xr:uid="{00000000-0005-0000-0000-00001B8F0000}"/>
    <cellStyle name="40% - Accent6 3 2 3 3 2 3 2" xfId="39445" xr:uid="{00000000-0005-0000-0000-00001C8F0000}"/>
    <cellStyle name="40% - Accent6 3 2 3 3 2 4" xfId="28144" xr:uid="{00000000-0005-0000-0000-00001D8F0000}"/>
    <cellStyle name="40% - Accent6 3 2 3 3 3" xfId="8359" xr:uid="{00000000-0005-0000-0000-00001E8F0000}"/>
    <cellStyle name="40% - Accent6 3 2 3 3 3 2" xfId="19660" xr:uid="{00000000-0005-0000-0000-00001F8F0000}"/>
    <cellStyle name="40% - Accent6 3 2 3 3 3 2 2" xfId="42262" xr:uid="{00000000-0005-0000-0000-0000208F0000}"/>
    <cellStyle name="40% - Accent6 3 2 3 3 3 3" xfId="30961" xr:uid="{00000000-0005-0000-0000-0000218F0000}"/>
    <cellStyle name="40% - Accent6 3 2 3 3 4" xfId="14010" xr:uid="{00000000-0005-0000-0000-0000228F0000}"/>
    <cellStyle name="40% - Accent6 3 2 3 3 4 2" xfId="36612" xr:uid="{00000000-0005-0000-0000-0000238F0000}"/>
    <cellStyle name="40% - Accent6 3 2 3 3 5" xfId="25311" xr:uid="{00000000-0005-0000-0000-0000248F0000}"/>
    <cellStyle name="40% - Accent6 3 2 3 4" xfId="4308" xr:uid="{00000000-0005-0000-0000-0000258F0000}"/>
    <cellStyle name="40% - Accent6 3 2 3 4 2" xfId="9958" xr:uid="{00000000-0005-0000-0000-0000268F0000}"/>
    <cellStyle name="40% - Accent6 3 2 3 4 2 2" xfId="21259" xr:uid="{00000000-0005-0000-0000-0000278F0000}"/>
    <cellStyle name="40% - Accent6 3 2 3 4 2 2 2" xfId="43861" xr:uid="{00000000-0005-0000-0000-0000288F0000}"/>
    <cellStyle name="40% - Accent6 3 2 3 4 2 3" xfId="32560" xr:uid="{00000000-0005-0000-0000-0000298F0000}"/>
    <cellStyle name="40% - Accent6 3 2 3 4 3" xfId="15609" xr:uid="{00000000-0005-0000-0000-00002A8F0000}"/>
    <cellStyle name="40% - Accent6 3 2 3 4 3 2" xfId="38211" xr:uid="{00000000-0005-0000-0000-00002B8F0000}"/>
    <cellStyle name="40% - Accent6 3 2 3 4 4" xfId="26910" xr:uid="{00000000-0005-0000-0000-00002C8F0000}"/>
    <cellStyle name="40% - Accent6 3 2 3 5" xfId="7105" xr:uid="{00000000-0005-0000-0000-00002D8F0000}"/>
    <cellStyle name="40% - Accent6 3 2 3 5 2" xfId="18406" xr:uid="{00000000-0005-0000-0000-00002E8F0000}"/>
    <cellStyle name="40% - Accent6 3 2 3 5 2 2" xfId="41008" xr:uid="{00000000-0005-0000-0000-00002F8F0000}"/>
    <cellStyle name="40% - Accent6 3 2 3 5 3" xfId="29707" xr:uid="{00000000-0005-0000-0000-0000308F0000}"/>
    <cellStyle name="40% - Accent6 3 2 3 6" xfId="12756" xr:uid="{00000000-0005-0000-0000-0000318F0000}"/>
    <cellStyle name="40% - Accent6 3 2 3 6 2" xfId="35358" xr:uid="{00000000-0005-0000-0000-0000328F0000}"/>
    <cellStyle name="40% - Accent6 3 2 3 7" xfId="24057" xr:uid="{00000000-0005-0000-0000-0000338F0000}"/>
    <cellStyle name="40% - Accent6 3 2 4" xfId="815" xr:uid="{00000000-0005-0000-0000-0000348F0000}"/>
    <cellStyle name="40% - Accent6 3 2 4 2" xfId="2887" xr:uid="{00000000-0005-0000-0000-0000358F0000}"/>
    <cellStyle name="40% - Accent6 3 2 4 2 2" xfId="5859" xr:uid="{00000000-0005-0000-0000-0000368F0000}"/>
    <cellStyle name="40% - Accent6 3 2 4 2 2 2" xfId="11509" xr:uid="{00000000-0005-0000-0000-0000378F0000}"/>
    <cellStyle name="40% - Accent6 3 2 4 2 2 2 2" xfId="22810" xr:uid="{00000000-0005-0000-0000-0000388F0000}"/>
    <cellStyle name="40% - Accent6 3 2 4 2 2 2 2 2" xfId="45412" xr:uid="{00000000-0005-0000-0000-0000398F0000}"/>
    <cellStyle name="40% - Accent6 3 2 4 2 2 2 3" xfId="34111" xr:uid="{00000000-0005-0000-0000-00003A8F0000}"/>
    <cellStyle name="40% - Accent6 3 2 4 2 2 3" xfId="17160" xr:uid="{00000000-0005-0000-0000-00003B8F0000}"/>
    <cellStyle name="40% - Accent6 3 2 4 2 2 3 2" xfId="39762" xr:uid="{00000000-0005-0000-0000-00003C8F0000}"/>
    <cellStyle name="40% - Accent6 3 2 4 2 2 4" xfId="28461" xr:uid="{00000000-0005-0000-0000-00003D8F0000}"/>
    <cellStyle name="40% - Accent6 3 2 4 2 3" xfId="8677" xr:uid="{00000000-0005-0000-0000-00003E8F0000}"/>
    <cellStyle name="40% - Accent6 3 2 4 2 3 2" xfId="19978" xr:uid="{00000000-0005-0000-0000-00003F8F0000}"/>
    <cellStyle name="40% - Accent6 3 2 4 2 3 2 2" xfId="42580" xr:uid="{00000000-0005-0000-0000-0000408F0000}"/>
    <cellStyle name="40% - Accent6 3 2 4 2 3 3" xfId="31279" xr:uid="{00000000-0005-0000-0000-0000418F0000}"/>
    <cellStyle name="40% - Accent6 3 2 4 2 4" xfId="14328" xr:uid="{00000000-0005-0000-0000-0000428F0000}"/>
    <cellStyle name="40% - Accent6 3 2 4 2 4 2" xfId="36930" xr:uid="{00000000-0005-0000-0000-0000438F0000}"/>
    <cellStyle name="40% - Accent6 3 2 4 2 5" xfId="25629" xr:uid="{00000000-0005-0000-0000-0000448F0000}"/>
    <cellStyle name="40% - Accent6 3 2 4 3" xfId="4625" xr:uid="{00000000-0005-0000-0000-0000458F0000}"/>
    <cellStyle name="40% - Accent6 3 2 4 3 2" xfId="10275" xr:uid="{00000000-0005-0000-0000-0000468F0000}"/>
    <cellStyle name="40% - Accent6 3 2 4 3 2 2" xfId="21576" xr:uid="{00000000-0005-0000-0000-0000478F0000}"/>
    <cellStyle name="40% - Accent6 3 2 4 3 2 2 2" xfId="44178" xr:uid="{00000000-0005-0000-0000-0000488F0000}"/>
    <cellStyle name="40% - Accent6 3 2 4 3 2 3" xfId="32877" xr:uid="{00000000-0005-0000-0000-0000498F0000}"/>
    <cellStyle name="40% - Accent6 3 2 4 3 3" xfId="15926" xr:uid="{00000000-0005-0000-0000-00004A8F0000}"/>
    <cellStyle name="40% - Accent6 3 2 4 3 3 2" xfId="38528" xr:uid="{00000000-0005-0000-0000-00004B8F0000}"/>
    <cellStyle name="40% - Accent6 3 2 4 3 4" xfId="27227" xr:uid="{00000000-0005-0000-0000-00004C8F0000}"/>
    <cellStyle name="40% - Accent6 3 2 4 4" xfId="6812" xr:uid="{00000000-0005-0000-0000-00004D8F0000}"/>
    <cellStyle name="40% - Accent6 3 2 4 4 2" xfId="18113" xr:uid="{00000000-0005-0000-0000-00004E8F0000}"/>
    <cellStyle name="40% - Accent6 3 2 4 4 2 2" xfId="40715" xr:uid="{00000000-0005-0000-0000-00004F8F0000}"/>
    <cellStyle name="40% - Accent6 3 2 4 4 3" xfId="29414" xr:uid="{00000000-0005-0000-0000-0000508F0000}"/>
    <cellStyle name="40% - Accent6 3 2 4 5" xfId="12463" xr:uid="{00000000-0005-0000-0000-0000518F0000}"/>
    <cellStyle name="40% - Accent6 3 2 4 5 2" xfId="35065" xr:uid="{00000000-0005-0000-0000-0000528F0000}"/>
    <cellStyle name="40% - Accent6 3 2 4 6" xfId="23764" xr:uid="{00000000-0005-0000-0000-0000538F0000}"/>
    <cellStyle name="40% - Accent6 3 2 5" xfId="1981" xr:uid="{00000000-0005-0000-0000-0000548F0000}"/>
    <cellStyle name="40% - Accent6 3 2 5 2" xfId="3765" xr:uid="{00000000-0005-0000-0000-0000558F0000}"/>
    <cellStyle name="40% - Accent6 3 2 5 2 2" xfId="9474" xr:uid="{00000000-0005-0000-0000-0000568F0000}"/>
    <cellStyle name="40% - Accent6 3 2 5 2 2 2" xfId="20775" xr:uid="{00000000-0005-0000-0000-0000578F0000}"/>
    <cellStyle name="40% - Accent6 3 2 5 2 2 2 2" xfId="43377" xr:uid="{00000000-0005-0000-0000-0000588F0000}"/>
    <cellStyle name="40% - Accent6 3 2 5 2 2 3" xfId="32076" xr:uid="{00000000-0005-0000-0000-0000598F0000}"/>
    <cellStyle name="40% - Accent6 3 2 5 2 3" xfId="15125" xr:uid="{00000000-0005-0000-0000-00005A8F0000}"/>
    <cellStyle name="40% - Accent6 3 2 5 2 3 2" xfId="37727" xr:uid="{00000000-0005-0000-0000-00005B8F0000}"/>
    <cellStyle name="40% - Accent6 3 2 5 2 4" xfId="26426" xr:uid="{00000000-0005-0000-0000-00005C8F0000}"/>
    <cellStyle name="40% - Accent6 3 2 5 3" xfId="5235" xr:uid="{00000000-0005-0000-0000-00005D8F0000}"/>
    <cellStyle name="40% - Accent6 3 2 5 3 2" xfId="10885" xr:uid="{00000000-0005-0000-0000-00005E8F0000}"/>
    <cellStyle name="40% - Accent6 3 2 5 3 2 2" xfId="22186" xr:uid="{00000000-0005-0000-0000-00005F8F0000}"/>
    <cellStyle name="40% - Accent6 3 2 5 3 2 2 2" xfId="44788" xr:uid="{00000000-0005-0000-0000-0000608F0000}"/>
    <cellStyle name="40% - Accent6 3 2 5 3 2 3" xfId="33487" xr:uid="{00000000-0005-0000-0000-0000618F0000}"/>
    <cellStyle name="40% - Accent6 3 2 5 3 3" xfId="16536" xr:uid="{00000000-0005-0000-0000-0000628F0000}"/>
    <cellStyle name="40% - Accent6 3 2 5 3 3 2" xfId="39138" xr:uid="{00000000-0005-0000-0000-0000638F0000}"/>
    <cellStyle name="40% - Accent6 3 2 5 3 4" xfId="27837" xr:uid="{00000000-0005-0000-0000-0000648F0000}"/>
    <cellStyle name="40% - Accent6 3 2 5 4" xfId="7837" xr:uid="{00000000-0005-0000-0000-0000658F0000}"/>
    <cellStyle name="40% - Accent6 3 2 5 4 2" xfId="19138" xr:uid="{00000000-0005-0000-0000-0000668F0000}"/>
    <cellStyle name="40% - Accent6 3 2 5 4 2 2" xfId="41740" xr:uid="{00000000-0005-0000-0000-0000678F0000}"/>
    <cellStyle name="40% - Accent6 3 2 5 4 3" xfId="30439" xr:uid="{00000000-0005-0000-0000-0000688F0000}"/>
    <cellStyle name="40% - Accent6 3 2 5 5" xfId="13488" xr:uid="{00000000-0005-0000-0000-0000698F0000}"/>
    <cellStyle name="40% - Accent6 3 2 5 5 2" xfId="36090" xr:uid="{00000000-0005-0000-0000-00006A8F0000}"/>
    <cellStyle name="40% - Accent6 3 2 5 6" xfId="24789" xr:uid="{00000000-0005-0000-0000-00006B8F0000}"/>
    <cellStyle name="40% - Accent6 3 2 6" xfId="2214" xr:uid="{00000000-0005-0000-0000-00006C8F0000}"/>
    <cellStyle name="40% - Accent6 3 2 6 2" xfId="8050" xr:uid="{00000000-0005-0000-0000-00006D8F0000}"/>
    <cellStyle name="40% - Accent6 3 2 6 2 2" xfId="19351" xr:uid="{00000000-0005-0000-0000-00006E8F0000}"/>
    <cellStyle name="40% - Accent6 3 2 6 2 2 2" xfId="41953" xr:uid="{00000000-0005-0000-0000-00006F8F0000}"/>
    <cellStyle name="40% - Accent6 3 2 6 2 3" xfId="30652" xr:uid="{00000000-0005-0000-0000-0000708F0000}"/>
    <cellStyle name="40% - Accent6 3 2 6 3" xfId="13701" xr:uid="{00000000-0005-0000-0000-0000718F0000}"/>
    <cellStyle name="40% - Accent6 3 2 6 3 2" xfId="36303" xr:uid="{00000000-0005-0000-0000-0000728F0000}"/>
    <cellStyle name="40% - Accent6 3 2 6 4" xfId="25002" xr:uid="{00000000-0005-0000-0000-0000738F0000}"/>
    <cellStyle name="40% - Accent6 3 2 7" xfId="4001" xr:uid="{00000000-0005-0000-0000-0000748F0000}"/>
    <cellStyle name="40% - Accent6 3 2 7 2" xfId="9651" xr:uid="{00000000-0005-0000-0000-0000758F0000}"/>
    <cellStyle name="40% - Accent6 3 2 7 2 2" xfId="20952" xr:uid="{00000000-0005-0000-0000-0000768F0000}"/>
    <cellStyle name="40% - Accent6 3 2 7 2 2 2" xfId="43554" xr:uid="{00000000-0005-0000-0000-0000778F0000}"/>
    <cellStyle name="40% - Accent6 3 2 7 2 3" xfId="32253" xr:uid="{00000000-0005-0000-0000-0000788F0000}"/>
    <cellStyle name="40% - Accent6 3 2 7 3" xfId="15302" xr:uid="{00000000-0005-0000-0000-0000798F0000}"/>
    <cellStyle name="40% - Accent6 3 2 7 3 2" xfId="37904" xr:uid="{00000000-0005-0000-0000-00007A8F0000}"/>
    <cellStyle name="40% - Accent6 3 2 7 4" xfId="26603" xr:uid="{00000000-0005-0000-0000-00007B8F0000}"/>
    <cellStyle name="40% - Accent6 3 2 8" xfId="6452" xr:uid="{00000000-0005-0000-0000-00007C8F0000}"/>
    <cellStyle name="40% - Accent6 3 2 8 2" xfId="17753" xr:uid="{00000000-0005-0000-0000-00007D8F0000}"/>
    <cellStyle name="40% - Accent6 3 2 8 2 2" xfId="40355" xr:uid="{00000000-0005-0000-0000-00007E8F0000}"/>
    <cellStyle name="40% - Accent6 3 2 8 3" xfId="29054" xr:uid="{00000000-0005-0000-0000-00007F8F0000}"/>
    <cellStyle name="40% - Accent6 3 2 9" xfId="12103" xr:uid="{00000000-0005-0000-0000-0000808F0000}"/>
    <cellStyle name="40% - Accent6 3 2 9 2" xfId="34705" xr:uid="{00000000-0005-0000-0000-0000818F0000}"/>
    <cellStyle name="40% - Accent6 3 3" xfId="358" xr:uid="{00000000-0005-0000-0000-0000828F0000}"/>
    <cellStyle name="40% - Accent6 3 3 10" xfId="23453" xr:uid="{00000000-0005-0000-0000-0000838F0000}"/>
    <cellStyle name="40% - Accent6 3 3 2" xfId="603" xr:uid="{00000000-0005-0000-0000-0000848F0000}"/>
    <cellStyle name="40% - Accent6 3 3 2 2" xfId="1313" xr:uid="{00000000-0005-0000-0000-0000858F0000}"/>
    <cellStyle name="40% - Accent6 3 3 2 2 2" xfId="1987" xr:uid="{00000000-0005-0000-0000-0000868F0000}"/>
    <cellStyle name="40% - Accent6 3 3 2 2 2 2" xfId="3382" xr:uid="{00000000-0005-0000-0000-0000878F0000}"/>
    <cellStyle name="40% - Accent6 3 3 2 2 2 2 2" xfId="6354" xr:uid="{00000000-0005-0000-0000-0000888F0000}"/>
    <cellStyle name="40% - Accent6 3 3 2 2 2 2 2 2" xfId="12004" xr:uid="{00000000-0005-0000-0000-0000898F0000}"/>
    <cellStyle name="40% - Accent6 3 3 2 2 2 2 2 2 2" xfId="23305" xr:uid="{00000000-0005-0000-0000-00008A8F0000}"/>
    <cellStyle name="40% - Accent6 3 3 2 2 2 2 2 2 2 2" xfId="45907" xr:uid="{00000000-0005-0000-0000-00008B8F0000}"/>
    <cellStyle name="40% - Accent6 3 3 2 2 2 2 2 2 3" xfId="34606" xr:uid="{00000000-0005-0000-0000-00008C8F0000}"/>
    <cellStyle name="40% - Accent6 3 3 2 2 2 2 2 3" xfId="17655" xr:uid="{00000000-0005-0000-0000-00008D8F0000}"/>
    <cellStyle name="40% - Accent6 3 3 2 2 2 2 2 3 2" xfId="40257" xr:uid="{00000000-0005-0000-0000-00008E8F0000}"/>
    <cellStyle name="40% - Accent6 3 3 2 2 2 2 2 4" xfId="28956" xr:uid="{00000000-0005-0000-0000-00008F8F0000}"/>
    <cellStyle name="40% - Accent6 3 3 2 2 2 2 3" xfId="9172" xr:uid="{00000000-0005-0000-0000-0000908F0000}"/>
    <cellStyle name="40% - Accent6 3 3 2 2 2 2 3 2" xfId="20473" xr:uid="{00000000-0005-0000-0000-0000918F0000}"/>
    <cellStyle name="40% - Accent6 3 3 2 2 2 2 3 2 2" xfId="43075" xr:uid="{00000000-0005-0000-0000-0000928F0000}"/>
    <cellStyle name="40% - Accent6 3 3 2 2 2 2 3 3" xfId="31774" xr:uid="{00000000-0005-0000-0000-0000938F0000}"/>
    <cellStyle name="40% - Accent6 3 3 2 2 2 2 4" xfId="14823" xr:uid="{00000000-0005-0000-0000-0000948F0000}"/>
    <cellStyle name="40% - Accent6 3 3 2 2 2 2 4 2" xfId="37425" xr:uid="{00000000-0005-0000-0000-0000958F0000}"/>
    <cellStyle name="40% - Accent6 3 3 2 2 2 2 5" xfId="26124" xr:uid="{00000000-0005-0000-0000-0000968F0000}"/>
    <cellStyle name="40% - Accent6 3 3 2 2 2 3" xfId="5120" xr:uid="{00000000-0005-0000-0000-0000978F0000}"/>
    <cellStyle name="40% - Accent6 3 3 2 2 2 3 2" xfId="10770" xr:uid="{00000000-0005-0000-0000-0000988F0000}"/>
    <cellStyle name="40% - Accent6 3 3 2 2 2 3 2 2" xfId="22071" xr:uid="{00000000-0005-0000-0000-0000998F0000}"/>
    <cellStyle name="40% - Accent6 3 3 2 2 2 3 2 2 2" xfId="44673" xr:uid="{00000000-0005-0000-0000-00009A8F0000}"/>
    <cellStyle name="40% - Accent6 3 3 2 2 2 3 2 3" xfId="33372" xr:uid="{00000000-0005-0000-0000-00009B8F0000}"/>
    <cellStyle name="40% - Accent6 3 3 2 2 2 3 3" xfId="16421" xr:uid="{00000000-0005-0000-0000-00009C8F0000}"/>
    <cellStyle name="40% - Accent6 3 3 2 2 2 3 3 2" xfId="39023" xr:uid="{00000000-0005-0000-0000-00009D8F0000}"/>
    <cellStyle name="40% - Accent6 3 3 2 2 2 3 4" xfId="27722" xr:uid="{00000000-0005-0000-0000-00009E8F0000}"/>
    <cellStyle name="40% - Accent6 3 3 2 2 2 4" xfId="7843" xr:uid="{00000000-0005-0000-0000-00009F8F0000}"/>
    <cellStyle name="40% - Accent6 3 3 2 2 2 4 2" xfId="19144" xr:uid="{00000000-0005-0000-0000-0000A08F0000}"/>
    <cellStyle name="40% - Accent6 3 3 2 2 2 4 2 2" xfId="41746" xr:uid="{00000000-0005-0000-0000-0000A18F0000}"/>
    <cellStyle name="40% - Accent6 3 3 2 2 2 4 3" xfId="30445" xr:uid="{00000000-0005-0000-0000-0000A28F0000}"/>
    <cellStyle name="40% - Accent6 3 3 2 2 2 5" xfId="13494" xr:uid="{00000000-0005-0000-0000-0000A38F0000}"/>
    <cellStyle name="40% - Accent6 3 3 2 2 2 5 2" xfId="36096" xr:uid="{00000000-0005-0000-0000-0000A48F0000}"/>
    <cellStyle name="40% - Accent6 3 3 2 2 2 6" xfId="24795" xr:uid="{00000000-0005-0000-0000-0000A58F0000}"/>
    <cellStyle name="40% - Accent6 3 3 2 2 3" xfId="2711" xr:uid="{00000000-0005-0000-0000-0000A68F0000}"/>
    <cellStyle name="40% - Accent6 3 3 2 2 3 2" xfId="5730" xr:uid="{00000000-0005-0000-0000-0000A78F0000}"/>
    <cellStyle name="40% - Accent6 3 3 2 2 3 2 2" xfId="11380" xr:uid="{00000000-0005-0000-0000-0000A88F0000}"/>
    <cellStyle name="40% - Accent6 3 3 2 2 3 2 2 2" xfId="22681" xr:uid="{00000000-0005-0000-0000-0000A98F0000}"/>
    <cellStyle name="40% - Accent6 3 3 2 2 3 2 2 2 2" xfId="45283" xr:uid="{00000000-0005-0000-0000-0000AA8F0000}"/>
    <cellStyle name="40% - Accent6 3 3 2 2 3 2 2 3" xfId="33982" xr:uid="{00000000-0005-0000-0000-0000AB8F0000}"/>
    <cellStyle name="40% - Accent6 3 3 2 2 3 2 3" xfId="17031" xr:uid="{00000000-0005-0000-0000-0000AC8F0000}"/>
    <cellStyle name="40% - Accent6 3 3 2 2 3 2 3 2" xfId="39633" xr:uid="{00000000-0005-0000-0000-0000AD8F0000}"/>
    <cellStyle name="40% - Accent6 3 3 2 2 3 2 4" xfId="28332" xr:uid="{00000000-0005-0000-0000-0000AE8F0000}"/>
    <cellStyle name="40% - Accent6 3 3 2 2 3 3" xfId="8547" xr:uid="{00000000-0005-0000-0000-0000AF8F0000}"/>
    <cellStyle name="40% - Accent6 3 3 2 2 3 3 2" xfId="19848" xr:uid="{00000000-0005-0000-0000-0000B08F0000}"/>
    <cellStyle name="40% - Accent6 3 3 2 2 3 3 2 2" xfId="42450" xr:uid="{00000000-0005-0000-0000-0000B18F0000}"/>
    <cellStyle name="40% - Accent6 3 3 2 2 3 3 3" xfId="31149" xr:uid="{00000000-0005-0000-0000-0000B28F0000}"/>
    <cellStyle name="40% - Accent6 3 3 2 2 3 4" xfId="14198" xr:uid="{00000000-0005-0000-0000-0000B38F0000}"/>
    <cellStyle name="40% - Accent6 3 3 2 2 3 4 2" xfId="36800" xr:uid="{00000000-0005-0000-0000-0000B48F0000}"/>
    <cellStyle name="40% - Accent6 3 3 2 2 3 5" xfId="25499" xr:uid="{00000000-0005-0000-0000-0000B58F0000}"/>
    <cellStyle name="40% - Accent6 3 3 2 2 4" xfId="4496" xr:uid="{00000000-0005-0000-0000-0000B68F0000}"/>
    <cellStyle name="40% - Accent6 3 3 2 2 4 2" xfId="10146" xr:uid="{00000000-0005-0000-0000-0000B78F0000}"/>
    <cellStyle name="40% - Accent6 3 3 2 2 4 2 2" xfId="21447" xr:uid="{00000000-0005-0000-0000-0000B88F0000}"/>
    <cellStyle name="40% - Accent6 3 3 2 2 4 2 2 2" xfId="44049" xr:uid="{00000000-0005-0000-0000-0000B98F0000}"/>
    <cellStyle name="40% - Accent6 3 3 2 2 4 2 3" xfId="32748" xr:uid="{00000000-0005-0000-0000-0000BA8F0000}"/>
    <cellStyle name="40% - Accent6 3 3 2 2 4 3" xfId="15797" xr:uid="{00000000-0005-0000-0000-0000BB8F0000}"/>
    <cellStyle name="40% - Accent6 3 3 2 2 4 3 2" xfId="38399" xr:uid="{00000000-0005-0000-0000-0000BC8F0000}"/>
    <cellStyle name="40% - Accent6 3 3 2 2 4 4" xfId="27098" xr:uid="{00000000-0005-0000-0000-0000BD8F0000}"/>
    <cellStyle name="40% - Accent6 3 3 2 2 5" xfId="7292" xr:uid="{00000000-0005-0000-0000-0000BE8F0000}"/>
    <cellStyle name="40% - Accent6 3 3 2 2 5 2" xfId="18593" xr:uid="{00000000-0005-0000-0000-0000BF8F0000}"/>
    <cellStyle name="40% - Accent6 3 3 2 2 5 2 2" xfId="41195" xr:uid="{00000000-0005-0000-0000-0000C08F0000}"/>
    <cellStyle name="40% - Accent6 3 3 2 2 5 3" xfId="29894" xr:uid="{00000000-0005-0000-0000-0000C18F0000}"/>
    <cellStyle name="40% - Accent6 3 3 2 2 6" xfId="12943" xr:uid="{00000000-0005-0000-0000-0000C28F0000}"/>
    <cellStyle name="40% - Accent6 3 3 2 2 6 2" xfId="35545" xr:uid="{00000000-0005-0000-0000-0000C38F0000}"/>
    <cellStyle name="40% - Accent6 3 3 2 2 7" xfId="24244" xr:uid="{00000000-0005-0000-0000-0000C48F0000}"/>
    <cellStyle name="40% - Accent6 3 3 2 3" xfId="1011" xr:uid="{00000000-0005-0000-0000-0000C58F0000}"/>
    <cellStyle name="40% - Accent6 3 3 2 3 2" xfId="3074" xr:uid="{00000000-0005-0000-0000-0000C68F0000}"/>
    <cellStyle name="40% - Accent6 3 3 2 3 2 2" xfId="6046" xr:uid="{00000000-0005-0000-0000-0000C78F0000}"/>
    <cellStyle name="40% - Accent6 3 3 2 3 2 2 2" xfId="11696" xr:uid="{00000000-0005-0000-0000-0000C88F0000}"/>
    <cellStyle name="40% - Accent6 3 3 2 3 2 2 2 2" xfId="22997" xr:uid="{00000000-0005-0000-0000-0000C98F0000}"/>
    <cellStyle name="40% - Accent6 3 3 2 3 2 2 2 2 2" xfId="45599" xr:uid="{00000000-0005-0000-0000-0000CA8F0000}"/>
    <cellStyle name="40% - Accent6 3 3 2 3 2 2 2 3" xfId="34298" xr:uid="{00000000-0005-0000-0000-0000CB8F0000}"/>
    <cellStyle name="40% - Accent6 3 3 2 3 2 2 3" xfId="17347" xr:uid="{00000000-0005-0000-0000-0000CC8F0000}"/>
    <cellStyle name="40% - Accent6 3 3 2 3 2 2 3 2" xfId="39949" xr:uid="{00000000-0005-0000-0000-0000CD8F0000}"/>
    <cellStyle name="40% - Accent6 3 3 2 3 2 2 4" xfId="28648" xr:uid="{00000000-0005-0000-0000-0000CE8F0000}"/>
    <cellStyle name="40% - Accent6 3 3 2 3 2 3" xfId="8864" xr:uid="{00000000-0005-0000-0000-0000CF8F0000}"/>
    <cellStyle name="40% - Accent6 3 3 2 3 2 3 2" xfId="20165" xr:uid="{00000000-0005-0000-0000-0000D08F0000}"/>
    <cellStyle name="40% - Accent6 3 3 2 3 2 3 2 2" xfId="42767" xr:uid="{00000000-0005-0000-0000-0000D18F0000}"/>
    <cellStyle name="40% - Accent6 3 3 2 3 2 3 3" xfId="31466" xr:uid="{00000000-0005-0000-0000-0000D28F0000}"/>
    <cellStyle name="40% - Accent6 3 3 2 3 2 4" xfId="14515" xr:uid="{00000000-0005-0000-0000-0000D38F0000}"/>
    <cellStyle name="40% - Accent6 3 3 2 3 2 4 2" xfId="37117" xr:uid="{00000000-0005-0000-0000-0000D48F0000}"/>
    <cellStyle name="40% - Accent6 3 3 2 3 2 5" xfId="25816" xr:uid="{00000000-0005-0000-0000-0000D58F0000}"/>
    <cellStyle name="40% - Accent6 3 3 2 3 3" xfId="4812" xr:uid="{00000000-0005-0000-0000-0000D68F0000}"/>
    <cellStyle name="40% - Accent6 3 3 2 3 3 2" xfId="10462" xr:uid="{00000000-0005-0000-0000-0000D78F0000}"/>
    <cellStyle name="40% - Accent6 3 3 2 3 3 2 2" xfId="21763" xr:uid="{00000000-0005-0000-0000-0000D88F0000}"/>
    <cellStyle name="40% - Accent6 3 3 2 3 3 2 2 2" xfId="44365" xr:uid="{00000000-0005-0000-0000-0000D98F0000}"/>
    <cellStyle name="40% - Accent6 3 3 2 3 3 2 3" xfId="33064" xr:uid="{00000000-0005-0000-0000-0000DA8F0000}"/>
    <cellStyle name="40% - Accent6 3 3 2 3 3 3" xfId="16113" xr:uid="{00000000-0005-0000-0000-0000DB8F0000}"/>
    <cellStyle name="40% - Accent6 3 3 2 3 3 3 2" xfId="38715" xr:uid="{00000000-0005-0000-0000-0000DC8F0000}"/>
    <cellStyle name="40% - Accent6 3 3 2 3 3 4" xfId="27414" xr:uid="{00000000-0005-0000-0000-0000DD8F0000}"/>
    <cellStyle name="40% - Accent6 3 3 2 3 4" xfId="6999" xr:uid="{00000000-0005-0000-0000-0000DE8F0000}"/>
    <cellStyle name="40% - Accent6 3 3 2 3 4 2" xfId="18300" xr:uid="{00000000-0005-0000-0000-0000DF8F0000}"/>
    <cellStyle name="40% - Accent6 3 3 2 3 4 2 2" xfId="40902" xr:uid="{00000000-0005-0000-0000-0000E08F0000}"/>
    <cellStyle name="40% - Accent6 3 3 2 3 4 3" xfId="29601" xr:uid="{00000000-0005-0000-0000-0000E18F0000}"/>
    <cellStyle name="40% - Accent6 3 3 2 3 5" xfId="12650" xr:uid="{00000000-0005-0000-0000-0000E28F0000}"/>
    <cellStyle name="40% - Accent6 3 3 2 3 5 2" xfId="35252" xr:uid="{00000000-0005-0000-0000-0000E38F0000}"/>
    <cellStyle name="40% - Accent6 3 3 2 3 6" xfId="23951" xr:uid="{00000000-0005-0000-0000-0000E48F0000}"/>
    <cellStyle name="40% - Accent6 3 3 2 4" xfId="1986" xr:uid="{00000000-0005-0000-0000-0000E58F0000}"/>
    <cellStyle name="40% - Accent6 3 3 2 4 2" xfId="3768" xr:uid="{00000000-0005-0000-0000-0000E68F0000}"/>
    <cellStyle name="40% - Accent6 3 3 2 4 2 2" xfId="9477" xr:uid="{00000000-0005-0000-0000-0000E78F0000}"/>
    <cellStyle name="40% - Accent6 3 3 2 4 2 2 2" xfId="20778" xr:uid="{00000000-0005-0000-0000-0000E88F0000}"/>
    <cellStyle name="40% - Accent6 3 3 2 4 2 2 2 2" xfId="43380" xr:uid="{00000000-0005-0000-0000-0000E98F0000}"/>
    <cellStyle name="40% - Accent6 3 3 2 4 2 2 3" xfId="32079" xr:uid="{00000000-0005-0000-0000-0000EA8F0000}"/>
    <cellStyle name="40% - Accent6 3 3 2 4 2 3" xfId="15128" xr:uid="{00000000-0005-0000-0000-0000EB8F0000}"/>
    <cellStyle name="40% - Accent6 3 3 2 4 2 3 2" xfId="37730" xr:uid="{00000000-0005-0000-0000-0000EC8F0000}"/>
    <cellStyle name="40% - Accent6 3 3 2 4 2 4" xfId="26429" xr:uid="{00000000-0005-0000-0000-0000ED8F0000}"/>
    <cellStyle name="40% - Accent6 3 3 2 4 3" xfId="5422" xr:uid="{00000000-0005-0000-0000-0000EE8F0000}"/>
    <cellStyle name="40% - Accent6 3 3 2 4 3 2" xfId="11072" xr:uid="{00000000-0005-0000-0000-0000EF8F0000}"/>
    <cellStyle name="40% - Accent6 3 3 2 4 3 2 2" xfId="22373" xr:uid="{00000000-0005-0000-0000-0000F08F0000}"/>
    <cellStyle name="40% - Accent6 3 3 2 4 3 2 2 2" xfId="44975" xr:uid="{00000000-0005-0000-0000-0000F18F0000}"/>
    <cellStyle name="40% - Accent6 3 3 2 4 3 2 3" xfId="33674" xr:uid="{00000000-0005-0000-0000-0000F28F0000}"/>
    <cellStyle name="40% - Accent6 3 3 2 4 3 3" xfId="16723" xr:uid="{00000000-0005-0000-0000-0000F38F0000}"/>
    <cellStyle name="40% - Accent6 3 3 2 4 3 3 2" xfId="39325" xr:uid="{00000000-0005-0000-0000-0000F48F0000}"/>
    <cellStyle name="40% - Accent6 3 3 2 4 3 4" xfId="28024" xr:uid="{00000000-0005-0000-0000-0000F58F0000}"/>
    <cellStyle name="40% - Accent6 3 3 2 4 4" xfId="7842" xr:uid="{00000000-0005-0000-0000-0000F68F0000}"/>
    <cellStyle name="40% - Accent6 3 3 2 4 4 2" xfId="19143" xr:uid="{00000000-0005-0000-0000-0000F78F0000}"/>
    <cellStyle name="40% - Accent6 3 3 2 4 4 2 2" xfId="41745" xr:uid="{00000000-0005-0000-0000-0000F88F0000}"/>
    <cellStyle name="40% - Accent6 3 3 2 4 4 3" xfId="30444" xr:uid="{00000000-0005-0000-0000-0000F98F0000}"/>
    <cellStyle name="40% - Accent6 3 3 2 4 5" xfId="13493" xr:uid="{00000000-0005-0000-0000-0000FA8F0000}"/>
    <cellStyle name="40% - Accent6 3 3 2 4 5 2" xfId="36095" xr:uid="{00000000-0005-0000-0000-0000FB8F0000}"/>
    <cellStyle name="40% - Accent6 3 3 2 4 6" xfId="24794" xr:uid="{00000000-0005-0000-0000-0000FC8F0000}"/>
    <cellStyle name="40% - Accent6 3 3 2 5" xfId="2403" xr:uid="{00000000-0005-0000-0000-0000FD8F0000}"/>
    <cellStyle name="40% - Accent6 3 3 2 5 2" xfId="8239" xr:uid="{00000000-0005-0000-0000-0000FE8F0000}"/>
    <cellStyle name="40% - Accent6 3 3 2 5 2 2" xfId="19540" xr:uid="{00000000-0005-0000-0000-0000FF8F0000}"/>
    <cellStyle name="40% - Accent6 3 3 2 5 2 2 2" xfId="42142" xr:uid="{00000000-0005-0000-0000-000000900000}"/>
    <cellStyle name="40% - Accent6 3 3 2 5 2 3" xfId="30841" xr:uid="{00000000-0005-0000-0000-000001900000}"/>
    <cellStyle name="40% - Accent6 3 3 2 5 3" xfId="13890" xr:uid="{00000000-0005-0000-0000-000002900000}"/>
    <cellStyle name="40% - Accent6 3 3 2 5 3 2" xfId="36492" xr:uid="{00000000-0005-0000-0000-000003900000}"/>
    <cellStyle name="40% - Accent6 3 3 2 5 4" xfId="25191" xr:uid="{00000000-0005-0000-0000-000004900000}"/>
    <cellStyle name="40% - Accent6 3 3 2 6" xfId="4188" xr:uid="{00000000-0005-0000-0000-000005900000}"/>
    <cellStyle name="40% - Accent6 3 3 2 6 2" xfId="9838" xr:uid="{00000000-0005-0000-0000-000006900000}"/>
    <cellStyle name="40% - Accent6 3 3 2 6 2 2" xfId="21139" xr:uid="{00000000-0005-0000-0000-000007900000}"/>
    <cellStyle name="40% - Accent6 3 3 2 6 2 2 2" xfId="43741" xr:uid="{00000000-0005-0000-0000-000008900000}"/>
    <cellStyle name="40% - Accent6 3 3 2 6 2 3" xfId="32440" xr:uid="{00000000-0005-0000-0000-000009900000}"/>
    <cellStyle name="40% - Accent6 3 3 2 6 3" xfId="15489" xr:uid="{00000000-0005-0000-0000-00000A900000}"/>
    <cellStyle name="40% - Accent6 3 3 2 6 3 2" xfId="38091" xr:uid="{00000000-0005-0000-0000-00000B900000}"/>
    <cellStyle name="40% - Accent6 3 3 2 6 4" xfId="26790" xr:uid="{00000000-0005-0000-0000-00000C900000}"/>
    <cellStyle name="40% - Accent6 3 3 2 7" xfId="6668" xr:uid="{00000000-0005-0000-0000-00000D900000}"/>
    <cellStyle name="40% - Accent6 3 3 2 7 2" xfId="17969" xr:uid="{00000000-0005-0000-0000-00000E900000}"/>
    <cellStyle name="40% - Accent6 3 3 2 7 2 2" xfId="40571" xr:uid="{00000000-0005-0000-0000-00000F900000}"/>
    <cellStyle name="40% - Accent6 3 3 2 7 3" xfId="29270" xr:uid="{00000000-0005-0000-0000-000010900000}"/>
    <cellStyle name="40% - Accent6 3 3 2 8" xfId="12319" xr:uid="{00000000-0005-0000-0000-000011900000}"/>
    <cellStyle name="40% - Accent6 3 3 2 8 2" xfId="34921" xr:uid="{00000000-0005-0000-0000-000012900000}"/>
    <cellStyle name="40% - Accent6 3 3 2 9" xfId="23620" xr:uid="{00000000-0005-0000-0000-000013900000}"/>
    <cellStyle name="40% - Accent6 3 3 3" xfId="1175" xr:uid="{00000000-0005-0000-0000-000014900000}"/>
    <cellStyle name="40% - Accent6 3 3 3 2" xfId="1988" xr:uid="{00000000-0005-0000-0000-000015900000}"/>
    <cellStyle name="40% - Accent6 3 3 3 2 2" xfId="3243" xr:uid="{00000000-0005-0000-0000-000016900000}"/>
    <cellStyle name="40% - Accent6 3 3 3 2 2 2" xfId="6215" xr:uid="{00000000-0005-0000-0000-000017900000}"/>
    <cellStyle name="40% - Accent6 3 3 3 2 2 2 2" xfId="11865" xr:uid="{00000000-0005-0000-0000-000018900000}"/>
    <cellStyle name="40% - Accent6 3 3 3 2 2 2 2 2" xfId="23166" xr:uid="{00000000-0005-0000-0000-000019900000}"/>
    <cellStyle name="40% - Accent6 3 3 3 2 2 2 2 2 2" xfId="45768" xr:uid="{00000000-0005-0000-0000-00001A900000}"/>
    <cellStyle name="40% - Accent6 3 3 3 2 2 2 2 3" xfId="34467" xr:uid="{00000000-0005-0000-0000-00001B900000}"/>
    <cellStyle name="40% - Accent6 3 3 3 2 2 2 3" xfId="17516" xr:uid="{00000000-0005-0000-0000-00001C900000}"/>
    <cellStyle name="40% - Accent6 3 3 3 2 2 2 3 2" xfId="40118" xr:uid="{00000000-0005-0000-0000-00001D900000}"/>
    <cellStyle name="40% - Accent6 3 3 3 2 2 2 4" xfId="28817" xr:uid="{00000000-0005-0000-0000-00001E900000}"/>
    <cellStyle name="40% - Accent6 3 3 3 2 2 3" xfId="9033" xr:uid="{00000000-0005-0000-0000-00001F900000}"/>
    <cellStyle name="40% - Accent6 3 3 3 2 2 3 2" xfId="20334" xr:uid="{00000000-0005-0000-0000-000020900000}"/>
    <cellStyle name="40% - Accent6 3 3 3 2 2 3 2 2" xfId="42936" xr:uid="{00000000-0005-0000-0000-000021900000}"/>
    <cellStyle name="40% - Accent6 3 3 3 2 2 3 3" xfId="31635" xr:uid="{00000000-0005-0000-0000-000022900000}"/>
    <cellStyle name="40% - Accent6 3 3 3 2 2 4" xfId="14684" xr:uid="{00000000-0005-0000-0000-000023900000}"/>
    <cellStyle name="40% - Accent6 3 3 3 2 2 4 2" xfId="37286" xr:uid="{00000000-0005-0000-0000-000024900000}"/>
    <cellStyle name="40% - Accent6 3 3 3 2 2 5" xfId="25985" xr:uid="{00000000-0005-0000-0000-000025900000}"/>
    <cellStyle name="40% - Accent6 3 3 3 2 3" xfId="4981" xr:uid="{00000000-0005-0000-0000-000026900000}"/>
    <cellStyle name="40% - Accent6 3 3 3 2 3 2" xfId="10631" xr:uid="{00000000-0005-0000-0000-000027900000}"/>
    <cellStyle name="40% - Accent6 3 3 3 2 3 2 2" xfId="21932" xr:uid="{00000000-0005-0000-0000-000028900000}"/>
    <cellStyle name="40% - Accent6 3 3 3 2 3 2 2 2" xfId="44534" xr:uid="{00000000-0005-0000-0000-000029900000}"/>
    <cellStyle name="40% - Accent6 3 3 3 2 3 2 3" xfId="33233" xr:uid="{00000000-0005-0000-0000-00002A900000}"/>
    <cellStyle name="40% - Accent6 3 3 3 2 3 3" xfId="16282" xr:uid="{00000000-0005-0000-0000-00002B900000}"/>
    <cellStyle name="40% - Accent6 3 3 3 2 3 3 2" xfId="38884" xr:uid="{00000000-0005-0000-0000-00002C900000}"/>
    <cellStyle name="40% - Accent6 3 3 3 2 3 4" xfId="27583" xr:uid="{00000000-0005-0000-0000-00002D900000}"/>
    <cellStyle name="40% - Accent6 3 3 3 2 4" xfId="7844" xr:uid="{00000000-0005-0000-0000-00002E900000}"/>
    <cellStyle name="40% - Accent6 3 3 3 2 4 2" xfId="19145" xr:uid="{00000000-0005-0000-0000-00002F900000}"/>
    <cellStyle name="40% - Accent6 3 3 3 2 4 2 2" xfId="41747" xr:uid="{00000000-0005-0000-0000-000030900000}"/>
    <cellStyle name="40% - Accent6 3 3 3 2 4 3" xfId="30446" xr:uid="{00000000-0005-0000-0000-000031900000}"/>
    <cellStyle name="40% - Accent6 3 3 3 2 5" xfId="13495" xr:uid="{00000000-0005-0000-0000-000032900000}"/>
    <cellStyle name="40% - Accent6 3 3 3 2 5 2" xfId="36097" xr:uid="{00000000-0005-0000-0000-000033900000}"/>
    <cellStyle name="40% - Accent6 3 3 3 2 6" xfId="24796" xr:uid="{00000000-0005-0000-0000-000034900000}"/>
    <cellStyle name="40% - Accent6 3 3 3 3" xfId="2572" xr:uid="{00000000-0005-0000-0000-000035900000}"/>
    <cellStyle name="40% - Accent6 3 3 3 3 2" xfId="5591" xr:uid="{00000000-0005-0000-0000-000036900000}"/>
    <cellStyle name="40% - Accent6 3 3 3 3 2 2" xfId="11241" xr:uid="{00000000-0005-0000-0000-000037900000}"/>
    <cellStyle name="40% - Accent6 3 3 3 3 2 2 2" xfId="22542" xr:uid="{00000000-0005-0000-0000-000038900000}"/>
    <cellStyle name="40% - Accent6 3 3 3 3 2 2 2 2" xfId="45144" xr:uid="{00000000-0005-0000-0000-000039900000}"/>
    <cellStyle name="40% - Accent6 3 3 3 3 2 2 3" xfId="33843" xr:uid="{00000000-0005-0000-0000-00003A900000}"/>
    <cellStyle name="40% - Accent6 3 3 3 3 2 3" xfId="16892" xr:uid="{00000000-0005-0000-0000-00003B900000}"/>
    <cellStyle name="40% - Accent6 3 3 3 3 2 3 2" xfId="39494" xr:uid="{00000000-0005-0000-0000-00003C900000}"/>
    <cellStyle name="40% - Accent6 3 3 3 3 2 4" xfId="28193" xr:uid="{00000000-0005-0000-0000-00003D900000}"/>
    <cellStyle name="40% - Accent6 3 3 3 3 3" xfId="8408" xr:uid="{00000000-0005-0000-0000-00003E900000}"/>
    <cellStyle name="40% - Accent6 3 3 3 3 3 2" xfId="19709" xr:uid="{00000000-0005-0000-0000-00003F900000}"/>
    <cellStyle name="40% - Accent6 3 3 3 3 3 2 2" xfId="42311" xr:uid="{00000000-0005-0000-0000-000040900000}"/>
    <cellStyle name="40% - Accent6 3 3 3 3 3 3" xfId="31010" xr:uid="{00000000-0005-0000-0000-000041900000}"/>
    <cellStyle name="40% - Accent6 3 3 3 3 4" xfId="14059" xr:uid="{00000000-0005-0000-0000-000042900000}"/>
    <cellStyle name="40% - Accent6 3 3 3 3 4 2" xfId="36661" xr:uid="{00000000-0005-0000-0000-000043900000}"/>
    <cellStyle name="40% - Accent6 3 3 3 3 5" xfId="25360" xr:uid="{00000000-0005-0000-0000-000044900000}"/>
    <cellStyle name="40% - Accent6 3 3 3 4" xfId="4357" xr:uid="{00000000-0005-0000-0000-000045900000}"/>
    <cellStyle name="40% - Accent6 3 3 3 4 2" xfId="10007" xr:uid="{00000000-0005-0000-0000-000046900000}"/>
    <cellStyle name="40% - Accent6 3 3 3 4 2 2" xfId="21308" xr:uid="{00000000-0005-0000-0000-000047900000}"/>
    <cellStyle name="40% - Accent6 3 3 3 4 2 2 2" xfId="43910" xr:uid="{00000000-0005-0000-0000-000048900000}"/>
    <cellStyle name="40% - Accent6 3 3 3 4 2 3" xfId="32609" xr:uid="{00000000-0005-0000-0000-000049900000}"/>
    <cellStyle name="40% - Accent6 3 3 3 4 3" xfId="15658" xr:uid="{00000000-0005-0000-0000-00004A900000}"/>
    <cellStyle name="40% - Accent6 3 3 3 4 3 2" xfId="38260" xr:uid="{00000000-0005-0000-0000-00004B900000}"/>
    <cellStyle name="40% - Accent6 3 3 3 4 4" xfId="26959" xr:uid="{00000000-0005-0000-0000-00004C900000}"/>
    <cellStyle name="40% - Accent6 3 3 3 5" xfId="7154" xr:uid="{00000000-0005-0000-0000-00004D900000}"/>
    <cellStyle name="40% - Accent6 3 3 3 5 2" xfId="18455" xr:uid="{00000000-0005-0000-0000-00004E900000}"/>
    <cellStyle name="40% - Accent6 3 3 3 5 2 2" xfId="41057" xr:uid="{00000000-0005-0000-0000-00004F900000}"/>
    <cellStyle name="40% - Accent6 3 3 3 5 3" xfId="29756" xr:uid="{00000000-0005-0000-0000-000050900000}"/>
    <cellStyle name="40% - Accent6 3 3 3 6" xfId="12805" xr:uid="{00000000-0005-0000-0000-000051900000}"/>
    <cellStyle name="40% - Accent6 3 3 3 6 2" xfId="35407" xr:uid="{00000000-0005-0000-0000-000052900000}"/>
    <cellStyle name="40% - Accent6 3 3 3 7" xfId="24106" xr:uid="{00000000-0005-0000-0000-000053900000}"/>
    <cellStyle name="40% - Accent6 3 3 4" xfId="866" xr:uid="{00000000-0005-0000-0000-000054900000}"/>
    <cellStyle name="40% - Accent6 3 3 4 2" xfId="2936" xr:uid="{00000000-0005-0000-0000-000055900000}"/>
    <cellStyle name="40% - Accent6 3 3 4 2 2" xfId="5908" xr:uid="{00000000-0005-0000-0000-000056900000}"/>
    <cellStyle name="40% - Accent6 3 3 4 2 2 2" xfId="11558" xr:uid="{00000000-0005-0000-0000-000057900000}"/>
    <cellStyle name="40% - Accent6 3 3 4 2 2 2 2" xfId="22859" xr:uid="{00000000-0005-0000-0000-000058900000}"/>
    <cellStyle name="40% - Accent6 3 3 4 2 2 2 2 2" xfId="45461" xr:uid="{00000000-0005-0000-0000-000059900000}"/>
    <cellStyle name="40% - Accent6 3 3 4 2 2 2 3" xfId="34160" xr:uid="{00000000-0005-0000-0000-00005A900000}"/>
    <cellStyle name="40% - Accent6 3 3 4 2 2 3" xfId="17209" xr:uid="{00000000-0005-0000-0000-00005B900000}"/>
    <cellStyle name="40% - Accent6 3 3 4 2 2 3 2" xfId="39811" xr:uid="{00000000-0005-0000-0000-00005C900000}"/>
    <cellStyle name="40% - Accent6 3 3 4 2 2 4" xfId="28510" xr:uid="{00000000-0005-0000-0000-00005D900000}"/>
    <cellStyle name="40% - Accent6 3 3 4 2 3" xfId="8726" xr:uid="{00000000-0005-0000-0000-00005E900000}"/>
    <cellStyle name="40% - Accent6 3 3 4 2 3 2" xfId="20027" xr:uid="{00000000-0005-0000-0000-00005F900000}"/>
    <cellStyle name="40% - Accent6 3 3 4 2 3 2 2" xfId="42629" xr:uid="{00000000-0005-0000-0000-000060900000}"/>
    <cellStyle name="40% - Accent6 3 3 4 2 3 3" xfId="31328" xr:uid="{00000000-0005-0000-0000-000061900000}"/>
    <cellStyle name="40% - Accent6 3 3 4 2 4" xfId="14377" xr:uid="{00000000-0005-0000-0000-000062900000}"/>
    <cellStyle name="40% - Accent6 3 3 4 2 4 2" xfId="36979" xr:uid="{00000000-0005-0000-0000-000063900000}"/>
    <cellStyle name="40% - Accent6 3 3 4 2 5" xfId="25678" xr:uid="{00000000-0005-0000-0000-000064900000}"/>
    <cellStyle name="40% - Accent6 3 3 4 3" xfId="4674" xr:uid="{00000000-0005-0000-0000-000065900000}"/>
    <cellStyle name="40% - Accent6 3 3 4 3 2" xfId="10324" xr:uid="{00000000-0005-0000-0000-000066900000}"/>
    <cellStyle name="40% - Accent6 3 3 4 3 2 2" xfId="21625" xr:uid="{00000000-0005-0000-0000-000067900000}"/>
    <cellStyle name="40% - Accent6 3 3 4 3 2 2 2" xfId="44227" xr:uid="{00000000-0005-0000-0000-000068900000}"/>
    <cellStyle name="40% - Accent6 3 3 4 3 2 3" xfId="32926" xr:uid="{00000000-0005-0000-0000-000069900000}"/>
    <cellStyle name="40% - Accent6 3 3 4 3 3" xfId="15975" xr:uid="{00000000-0005-0000-0000-00006A900000}"/>
    <cellStyle name="40% - Accent6 3 3 4 3 3 2" xfId="38577" xr:uid="{00000000-0005-0000-0000-00006B900000}"/>
    <cellStyle name="40% - Accent6 3 3 4 3 4" xfId="27276" xr:uid="{00000000-0005-0000-0000-00006C900000}"/>
    <cellStyle name="40% - Accent6 3 3 4 4" xfId="6861" xr:uid="{00000000-0005-0000-0000-00006D900000}"/>
    <cellStyle name="40% - Accent6 3 3 4 4 2" xfId="18162" xr:uid="{00000000-0005-0000-0000-00006E900000}"/>
    <cellStyle name="40% - Accent6 3 3 4 4 2 2" xfId="40764" xr:uid="{00000000-0005-0000-0000-00006F900000}"/>
    <cellStyle name="40% - Accent6 3 3 4 4 3" xfId="29463" xr:uid="{00000000-0005-0000-0000-000070900000}"/>
    <cellStyle name="40% - Accent6 3 3 4 5" xfId="12512" xr:uid="{00000000-0005-0000-0000-000071900000}"/>
    <cellStyle name="40% - Accent6 3 3 4 5 2" xfId="35114" xr:uid="{00000000-0005-0000-0000-000072900000}"/>
    <cellStyle name="40% - Accent6 3 3 4 6" xfId="23813" xr:uid="{00000000-0005-0000-0000-000073900000}"/>
    <cellStyle name="40% - Accent6 3 3 5" xfId="1985" xr:uid="{00000000-0005-0000-0000-000074900000}"/>
    <cellStyle name="40% - Accent6 3 3 5 2" xfId="3767" xr:uid="{00000000-0005-0000-0000-000075900000}"/>
    <cellStyle name="40% - Accent6 3 3 5 2 2" xfId="9476" xr:uid="{00000000-0005-0000-0000-000076900000}"/>
    <cellStyle name="40% - Accent6 3 3 5 2 2 2" xfId="20777" xr:uid="{00000000-0005-0000-0000-000077900000}"/>
    <cellStyle name="40% - Accent6 3 3 5 2 2 2 2" xfId="43379" xr:uid="{00000000-0005-0000-0000-000078900000}"/>
    <cellStyle name="40% - Accent6 3 3 5 2 2 3" xfId="32078" xr:uid="{00000000-0005-0000-0000-000079900000}"/>
    <cellStyle name="40% - Accent6 3 3 5 2 3" xfId="15127" xr:uid="{00000000-0005-0000-0000-00007A900000}"/>
    <cellStyle name="40% - Accent6 3 3 5 2 3 2" xfId="37729" xr:uid="{00000000-0005-0000-0000-00007B900000}"/>
    <cellStyle name="40% - Accent6 3 3 5 2 4" xfId="26428" xr:uid="{00000000-0005-0000-0000-00007C900000}"/>
    <cellStyle name="40% - Accent6 3 3 5 3" xfId="5284" xr:uid="{00000000-0005-0000-0000-00007D900000}"/>
    <cellStyle name="40% - Accent6 3 3 5 3 2" xfId="10934" xr:uid="{00000000-0005-0000-0000-00007E900000}"/>
    <cellStyle name="40% - Accent6 3 3 5 3 2 2" xfId="22235" xr:uid="{00000000-0005-0000-0000-00007F900000}"/>
    <cellStyle name="40% - Accent6 3 3 5 3 2 2 2" xfId="44837" xr:uid="{00000000-0005-0000-0000-000080900000}"/>
    <cellStyle name="40% - Accent6 3 3 5 3 2 3" xfId="33536" xr:uid="{00000000-0005-0000-0000-000081900000}"/>
    <cellStyle name="40% - Accent6 3 3 5 3 3" xfId="16585" xr:uid="{00000000-0005-0000-0000-000082900000}"/>
    <cellStyle name="40% - Accent6 3 3 5 3 3 2" xfId="39187" xr:uid="{00000000-0005-0000-0000-000083900000}"/>
    <cellStyle name="40% - Accent6 3 3 5 3 4" xfId="27886" xr:uid="{00000000-0005-0000-0000-000084900000}"/>
    <cellStyle name="40% - Accent6 3 3 5 4" xfId="7841" xr:uid="{00000000-0005-0000-0000-000085900000}"/>
    <cellStyle name="40% - Accent6 3 3 5 4 2" xfId="19142" xr:uid="{00000000-0005-0000-0000-000086900000}"/>
    <cellStyle name="40% - Accent6 3 3 5 4 2 2" xfId="41744" xr:uid="{00000000-0005-0000-0000-000087900000}"/>
    <cellStyle name="40% - Accent6 3 3 5 4 3" xfId="30443" xr:uid="{00000000-0005-0000-0000-000088900000}"/>
    <cellStyle name="40% - Accent6 3 3 5 5" xfId="13492" xr:uid="{00000000-0005-0000-0000-000089900000}"/>
    <cellStyle name="40% - Accent6 3 3 5 5 2" xfId="36094" xr:uid="{00000000-0005-0000-0000-00008A900000}"/>
    <cellStyle name="40% - Accent6 3 3 5 6" xfId="24793" xr:uid="{00000000-0005-0000-0000-00008B900000}"/>
    <cellStyle name="40% - Accent6 3 3 6" xfId="2263" xr:uid="{00000000-0005-0000-0000-00008C900000}"/>
    <cellStyle name="40% - Accent6 3 3 6 2" xfId="8099" xr:uid="{00000000-0005-0000-0000-00008D900000}"/>
    <cellStyle name="40% - Accent6 3 3 6 2 2" xfId="19400" xr:uid="{00000000-0005-0000-0000-00008E900000}"/>
    <cellStyle name="40% - Accent6 3 3 6 2 2 2" xfId="42002" xr:uid="{00000000-0005-0000-0000-00008F900000}"/>
    <cellStyle name="40% - Accent6 3 3 6 2 3" xfId="30701" xr:uid="{00000000-0005-0000-0000-000090900000}"/>
    <cellStyle name="40% - Accent6 3 3 6 3" xfId="13750" xr:uid="{00000000-0005-0000-0000-000091900000}"/>
    <cellStyle name="40% - Accent6 3 3 6 3 2" xfId="36352" xr:uid="{00000000-0005-0000-0000-000092900000}"/>
    <cellStyle name="40% - Accent6 3 3 6 4" xfId="25051" xr:uid="{00000000-0005-0000-0000-000093900000}"/>
    <cellStyle name="40% - Accent6 3 3 7" xfId="4050" xr:uid="{00000000-0005-0000-0000-000094900000}"/>
    <cellStyle name="40% - Accent6 3 3 7 2" xfId="9700" xr:uid="{00000000-0005-0000-0000-000095900000}"/>
    <cellStyle name="40% - Accent6 3 3 7 2 2" xfId="21001" xr:uid="{00000000-0005-0000-0000-000096900000}"/>
    <cellStyle name="40% - Accent6 3 3 7 2 2 2" xfId="43603" xr:uid="{00000000-0005-0000-0000-000097900000}"/>
    <cellStyle name="40% - Accent6 3 3 7 2 3" xfId="32302" xr:uid="{00000000-0005-0000-0000-000098900000}"/>
    <cellStyle name="40% - Accent6 3 3 7 3" xfId="15351" xr:uid="{00000000-0005-0000-0000-000099900000}"/>
    <cellStyle name="40% - Accent6 3 3 7 3 2" xfId="37953" xr:uid="{00000000-0005-0000-0000-00009A900000}"/>
    <cellStyle name="40% - Accent6 3 3 7 4" xfId="26652" xr:uid="{00000000-0005-0000-0000-00009B900000}"/>
    <cellStyle name="40% - Accent6 3 3 8" xfId="6501" xr:uid="{00000000-0005-0000-0000-00009C900000}"/>
    <cellStyle name="40% - Accent6 3 3 8 2" xfId="17802" xr:uid="{00000000-0005-0000-0000-00009D900000}"/>
    <cellStyle name="40% - Accent6 3 3 8 2 2" xfId="40404" xr:uid="{00000000-0005-0000-0000-00009E900000}"/>
    <cellStyle name="40% - Accent6 3 3 8 3" xfId="29103" xr:uid="{00000000-0005-0000-0000-00009F900000}"/>
    <cellStyle name="40% - Accent6 3 3 9" xfId="12152" xr:uid="{00000000-0005-0000-0000-0000A0900000}"/>
    <cellStyle name="40% - Accent6 3 3 9 2" xfId="34754" xr:uid="{00000000-0005-0000-0000-0000A1900000}"/>
    <cellStyle name="40% - Accent6 3 4" xfId="504" xr:uid="{00000000-0005-0000-0000-0000A2900000}"/>
    <cellStyle name="40% - Accent6 3 4 2" xfId="1079" xr:uid="{00000000-0005-0000-0000-0000A3900000}"/>
    <cellStyle name="40% - Accent6 3 4 2 2" xfId="1990" xr:uid="{00000000-0005-0000-0000-0000A4900000}"/>
    <cellStyle name="40% - Accent6 3 4 2 2 2" xfId="3147" xr:uid="{00000000-0005-0000-0000-0000A5900000}"/>
    <cellStyle name="40% - Accent6 3 4 2 2 2 2" xfId="6119" xr:uid="{00000000-0005-0000-0000-0000A6900000}"/>
    <cellStyle name="40% - Accent6 3 4 2 2 2 2 2" xfId="11769" xr:uid="{00000000-0005-0000-0000-0000A7900000}"/>
    <cellStyle name="40% - Accent6 3 4 2 2 2 2 2 2" xfId="23070" xr:uid="{00000000-0005-0000-0000-0000A8900000}"/>
    <cellStyle name="40% - Accent6 3 4 2 2 2 2 2 2 2" xfId="45672" xr:uid="{00000000-0005-0000-0000-0000A9900000}"/>
    <cellStyle name="40% - Accent6 3 4 2 2 2 2 2 3" xfId="34371" xr:uid="{00000000-0005-0000-0000-0000AA900000}"/>
    <cellStyle name="40% - Accent6 3 4 2 2 2 2 3" xfId="17420" xr:uid="{00000000-0005-0000-0000-0000AB900000}"/>
    <cellStyle name="40% - Accent6 3 4 2 2 2 2 3 2" xfId="40022" xr:uid="{00000000-0005-0000-0000-0000AC900000}"/>
    <cellStyle name="40% - Accent6 3 4 2 2 2 2 4" xfId="28721" xr:uid="{00000000-0005-0000-0000-0000AD900000}"/>
    <cellStyle name="40% - Accent6 3 4 2 2 2 3" xfId="8937" xr:uid="{00000000-0005-0000-0000-0000AE900000}"/>
    <cellStyle name="40% - Accent6 3 4 2 2 2 3 2" xfId="20238" xr:uid="{00000000-0005-0000-0000-0000AF900000}"/>
    <cellStyle name="40% - Accent6 3 4 2 2 2 3 2 2" xfId="42840" xr:uid="{00000000-0005-0000-0000-0000B0900000}"/>
    <cellStyle name="40% - Accent6 3 4 2 2 2 3 3" xfId="31539" xr:uid="{00000000-0005-0000-0000-0000B1900000}"/>
    <cellStyle name="40% - Accent6 3 4 2 2 2 4" xfId="14588" xr:uid="{00000000-0005-0000-0000-0000B2900000}"/>
    <cellStyle name="40% - Accent6 3 4 2 2 2 4 2" xfId="37190" xr:uid="{00000000-0005-0000-0000-0000B3900000}"/>
    <cellStyle name="40% - Accent6 3 4 2 2 2 5" xfId="25889" xr:uid="{00000000-0005-0000-0000-0000B4900000}"/>
    <cellStyle name="40% - Accent6 3 4 2 2 3" xfId="4885" xr:uid="{00000000-0005-0000-0000-0000B5900000}"/>
    <cellStyle name="40% - Accent6 3 4 2 2 3 2" xfId="10535" xr:uid="{00000000-0005-0000-0000-0000B6900000}"/>
    <cellStyle name="40% - Accent6 3 4 2 2 3 2 2" xfId="21836" xr:uid="{00000000-0005-0000-0000-0000B7900000}"/>
    <cellStyle name="40% - Accent6 3 4 2 2 3 2 2 2" xfId="44438" xr:uid="{00000000-0005-0000-0000-0000B8900000}"/>
    <cellStyle name="40% - Accent6 3 4 2 2 3 2 3" xfId="33137" xr:uid="{00000000-0005-0000-0000-0000B9900000}"/>
    <cellStyle name="40% - Accent6 3 4 2 2 3 3" xfId="16186" xr:uid="{00000000-0005-0000-0000-0000BA900000}"/>
    <cellStyle name="40% - Accent6 3 4 2 2 3 3 2" xfId="38788" xr:uid="{00000000-0005-0000-0000-0000BB900000}"/>
    <cellStyle name="40% - Accent6 3 4 2 2 3 4" xfId="27487" xr:uid="{00000000-0005-0000-0000-0000BC900000}"/>
    <cellStyle name="40% - Accent6 3 4 2 2 4" xfId="7846" xr:uid="{00000000-0005-0000-0000-0000BD900000}"/>
    <cellStyle name="40% - Accent6 3 4 2 2 4 2" xfId="19147" xr:uid="{00000000-0005-0000-0000-0000BE900000}"/>
    <cellStyle name="40% - Accent6 3 4 2 2 4 2 2" xfId="41749" xr:uid="{00000000-0005-0000-0000-0000BF900000}"/>
    <cellStyle name="40% - Accent6 3 4 2 2 4 3" xfId="30448" xr:uid="{00000000-0005-0000-0000-0000C0900000}"/>
    <cellStyle name="40% - Accent6 3 4 2 2 5" xfId="13497" xr:uid="{00000000-0005-0000-0000-0000C1900000}"/>
    <cellStyle name="40% - Accent6 3 4 2 2 5 2" xfId="36099" xr:uid="{00000000-0005-0000-0000-0000C2900000}"/>
    <cellStyle name="40% - Accent6 3 4 2 2 6" xfId="24798" xr:uid="{00000000-0005-0000-0000-0000C3900000}"/>
    <cellStyle name="40% - Accent6 3 4 2 3" xfId="2476" xr:uid="{00000000-0005-0000-0000-0000C4900000}"/>
    <cellStyle name="40% - Accent6 3 4 2 3 2" xfId="5495" xr:uid="{00000000-0005-0000-0000-0000C5900000}"/>
    <cellStyle name="40% - Accent6 3 4 2 3 2 2" xfId="11145" xr:uid="{00000000-0005-0000-0000-0000C6900000}"/>
    <cellStyle name="40% - Accent6 3 4 2 3 2 2 2" xfId="22446" xr:uid="{00000000-0005-0000-0000-0000C7900000}"/>
    <cellStyle name="40% - Accent6 3 4 2 3 2 2 2 2" xfId="45048" xr:uid="{00000000-0005-0000-0000-0000C8900000}"/>
    <cellStyle name="40% - Accent6 3 4 2 3 2 2 3" xfId="33747" xr:uid="{00000000-0005-0000-0000-0000C9900000}"/>
    <cellStyle name="40% - Accent6 3 4 2 3 2 3" xfId="16796" xr:uid="{00000000-0005-0000-0000-0000CA900000}"/>
    <cellStyle name="40% - Accent6 3 4 2 3 2 3 2" xfId="39398" xr:uid="{00000000-0005-0000-0000-0000CB900000}"/>
    <cellStyle name="40% - Accent6 3 4 2 3 2 4" xfId="28097" xr:uid="{00000000-0005-0000-0000-0000CC900000}"/>
    <cellStyle name="40% - Accent6 3 4 2 3 3" xfId="8312" xr:uid="{00000000-0005-0000-0000-0000CD900000}"/>
    <cellStyle name="40% - Accent6 3 4 2 3 3 2" xfId="19613" xr:uid="{00000000-0005-0000-0000-0000CE900000}"/>
    <cellStyle name="40% - Accent6 3 4 2 3 3 2 2" xfId="42215" xr:uid="{00000000-0005-0000-0000-0000CF900000}"/>
    <cellStyle name="40% - Accent6 3 4 2 3 3 3" xfId="30914" xr:uid="{00000000-0005-0000-0000-0000D0900000}"/>
    <cellStyle name="40% - Accent6 3 4 2 3 4" xfId="13963" xr:uid="{00000000-0005-0000-0000-0000D1900000}"/>
    <cellStyle name="40% - Accent6 3 4 2 3 4 2" xfId="36565" xr:uid="{00000000-0005-0000-0000-0000D2900000}"/>
    <cellStyle name="40% - Accent6 3 4 2 3 5" xfId="25264" xr:uid="{00000000-0005-0000-0000-0000D3900000}"/>
    <cellStyle name="40% - Accent6 3 4 2 4" xfId="4261" xr:uid="{00000000-0005-0000-0000-0000D4900000}"/>
    <cellStyle name="40% - Accent6 3 4 2 4 2" xfId="9911" xr:uid="{00000000-0005-0000-0000-0000D5900000}"/>
    <cellStyle name="40% - Accent6 3 4 2 4 2 2" xfId="21212" xr:uid="{00000000-0005-0000-0000-0000D6900000}"/>
    <cellStyle name="40% - Accent6 3 4 2 4 2 2 2" xfId="43814" xr:uid="{00000000-0005-0000-0000-0000D7900000}"/>
    <cellStyle name="40% - Accent6 3 4 2 4 2 3" xfId="32513" xr:uid="{00000000-0005-0000-0000-0000D8900000}"/>
    <cellStyle name="40% - Accent6 3 4 2 4 3" xfId="15562" xr:uid="{00000000-0005-0000-0000-0000D9900000}"/>
    <cellStyle name="40% - Accent6 3 4 2 4 3 2" xfId="38164" xr:uid="{00000000-0005-0000-0000-0000DA900000}"/>
    <cellStyle name="40% - Accent6 3 4 2 4 4" xfId="26863" xr:uid="{00000000-0005-0000-0000-0000DB900000}"/>
    <cellStyle name="40% - Accent6 3 4 2 5" xfId="7058" xr:uid="{00000000-0005-0000-0000-0000DC900000}"/>
    <cellStyle name="40% - Accent6 3 4 2 5 2" xfId="18359" xr:uid="{00000000-0005-0000-0000-0000DD900000}"/>
    <cellStyle name="40% - Accent6 3 4 2 5 2 2" xfId="40961" xr:uid="{00000000-0005-0000-0000-0000DE900000}"/>
    <cellStyle name="40% - Accent6 3 4 2 5 3" xfId="29660" xr:uid="{00000000-0005-0000-0000-0000DF900000}"/>
    <cellStyle name="40% - Accent6 3 4 2 6" xfId="12709" xr:uid="{00000000-0005-0000-0000-0000E0900000}"/>
    <cellStyle name="40% - Accent6 3 4 2 6 2" xfId="35311" xr:uid="{00000000-0005-0000-0000-0000E1900000}"/>
    <cellStyle name="40% - Accent6 3 4 2 7" xfId="24010" xr:uid="{00000000-0005-0000-0000-0000E2900000}"/>
    <cellStyle name="40% - Accent6 3 4 3" xfId="753" xr:uid="{00000000-0005-0000-0000-0000E3900000}"/>
    <cellStyle name="40% - Accent6 3 4 3 2" xfId="2840" xr:uid="{00000000-0005-0000-0000-0000E4900000}"/>
    <cellStyle name="40% - Accent6 3 4 3 2 2" xfId="5812" xr:uid="{00000000-0005-0000-0000-0000E5900000}"/>
    <cellStyle name="40% - Accent6 3 4 3 2 2 2" xfId="11462" xr:uid="{00000000-0005-0000-0000-0000E6900000}"/>
    <cellStyle name="40% - Accent6 3 4 3 2 2 2 2" xfId="22763" xr:uid="{00000000-0005-0000-0000-0000E7900000}"/>
    <cellStyle name="40% - Accent6 3 4 3 2 2 2 2 2" xfId="45365" xr:uid="{00000000-0005-0000-0000-0000E8900000}"/>
    <cellStyle name="40% - Accent6 3 4 3 2 2 2 3" xfId="34064" xr:uid="{00000000-0005-0000-0000-0000E9900000}"/>
    <cellStyle name="40% - Accent6 3 4 3 2 2 3" xfId="17113" xr:uid="{00000000-0005-0000-0000-0000EA900000}"/>
    <cellStyle name="40% - Accent6 3 4 3 2 2 3 2" xfId="39715" xr:uid="{00000000-0005-0000-0000-0000EB900000}"/>
    <cellStyle name="40% - Accent6 3 4 3 2 2 4" xfId="28414" xr:uid="{00000000-0005-0000-0000-0000EC900000}"/>
    <cellStyle name="40% - Accent6 3 4 3 2 3" xfId="8630" xr:uid="{00000000-0005-0000-0000-0000ED900000}"/>
    <cellStyle name="40% - Accent6 3 4 3 2 3 2" xfId="19931" xr:uid="{00000000-0005-0000-0000-0000EE900000}"/>
    <cellStyle name="40% - Accent6 3 4 3 2 3 2 2" xfId="42533" xr:uid="{00000000-0005-0000-0000-0000EF900000}"/>
    <cellStyle name="40% - Accent6 3 4 3 2 3 3" xfId="31232" xr:uid="{00000000-0005-0000-0000-0000F0900000}"/>
    <cellStyle name="40% - Accent6 3 4 3 2 4" xfId="14281" xr:uid="{00000000-0005-0000-0000-0000F1900000}"/>
    <cellStyle name="40% - Accent6 3 4 3 2 4 2" xfId="36883" xr:uid="{00000000-0005-0000-0000-0000F2900000}"/>
    <cellStyle name="40% - Accent6 3 4 3 2 5" xfId="25582" xr:uid="{00000000-0005-0000-0000-0000F3900000}"/>
    <cellStyle name="40% - Accent6 3 4 3 3" xfId="4578" xr:uid="{00000000-0005-0000-0000-0000F4900000}"/>
    <cellStyle name="40% - Accent6 3 4 3 3 2" xfId="10228" xr:uid="{00000000-0005-0000-0000-0000F5900000}"/>
    <cellStyle name="40% - Accent6 3 4 3 3 2 2" xfId="21529" xr:uid="{00000000-0005-0000-0000-0000F6900000}"/>
    <cellStyle name="40% - Accent6 3 4 3 3 2 2 2" xfId="44131" xr:uid="{00000000-0005-0000-0000-0000F7900000}"/>
    <cellStyle name="40% - Accent6 3 4 3 3 2 3" xfId="32830" xr:uid="{00000000-0005-0000-0000-0000F8900000}"/>
    <cellStyle name="40% - Accent6 3 4 3 3 3" xfId="15879" xr:uid="{00000000-0005-0000-0000-0000F9900000}"/>
    <cellStyle name="40% - Accent6 3 4 3 3 3 2" xfId="38481" xr:uid="{00000000-0005-0000-0000-0000FA900000}"/>
    <cellStyle name="40% - Accent6 3 4 3 3 4" xfId="27180" xr:uid="{00000000-0005-0000-0000-0000FB900000}"/>
    <cellStyle name="40% - Accent6 3 4 3 4" xfId="6761" xr:uid="{00000000-0005-0000-0000-0000FC900000}"/>
    <cellStyle name="40% - Accent6 3 4 3 4 2" xfId="18062" xr:uid="{00000000-0005-0000-0000-0000FD900000}"/>
    <cellStyle name="40% - Accent6 3 4 3 4 2 2" xfId="40664" xr:uid="{00000000-0005-0000-0000-0000FE900000}"/>
    <cellStyle name="40% - Accent6 3 4 3 4 3" xfId="29363" xr:uid="{00000000-0005-0000-0000-0000FF900000}"/>
    <cellStyle name="40% - Accent6 3 4 3 5" xfId="12412" xr:uid="{00000000-0005-0000-0000-000000910000}"/>
    <cellStyle name="40% - Accent6 3 4 3 5 2" xfId="35014" xr:uid="{00000000-0005-0000-0000-000001910000}"/>
    <cellStyle name="40% - Accent6 3 4 3 6" xfId="23713" xr:uid="{00000000-0005-0000-0000-000002910000}"/>
    <cellStyle name="40% - Accent6 3 4 4" xfId="1989" xr:uid="{00000000-0005-0000-0000-000003910000}"/>
    <cellStyle name="40% - Accent6 3 4 4 2" xfId="3769" xr:uid="{00000000-0005-0000-0000-000004910000}"/>
    <cellStyle name="40% - Accent6 3 4 4 2 2" xfId="9478" xr:uid="{00000000-0005-0000-0000-000005910000}"/>
    <cellStyle name="40% - Accent6 3 4 4 2 2 2" xfId="20779" xr:uid="{00000000-0005-0000-0000-000006910000}"/>
    <cellStyle name="40% - Accent6 3 4 4 2 2 2 2" xfId="43381" xr:uid="{00000000-0005-0000-0000-000007910000}"/>
    <cellStyle name="40% - Accent6 3 4 4 2 2 3" xfId="32080" xr:uid="{00000000-0005-0000-0000-000008910000}"/>
    <cellStyle name="40% - Accent6 3 4 4 2 3" xfId="15129" xr:uid="{00000000-0005-0000-0000-000009910000}"/>
    <cellStyle name="40% - Accent6 3 4 4 2 3 2" xfId="37731" xr:uid="{00000000-0005-0000-0000-00000A910000}"/>
    <cellStyle name="40% - Accent6 3 4 4 2 4" xfId="26430" xr:uid="{00000000-0005-0000-0000-00000B910000}"/>
    <cellStyle name="40% - Accent6 3 4 4 3" xfId="5188" xr:uid="{00000000-0005-0000-0000-00000C910000}"/>
    <cellStyle name="40% - Accent6 3 4 4 3 2" xfId="10838" xr:uid="{00000000-0005-0000-0000-00000D910000}"/>
    <cellStyle name="40% - Accent6 3 4 4 3 2 2" xfId="22139" xr:uid="{00000000-0005-0000-0000-00000E910000}"/>
    <cellStyle name="40% - Accent6 3 4 4 3 2 2 2" xfId="44741" xr:uid="{00000000-0005-0000-0000-00000F910000}"/>
    <cellStyle name="40% - Accent6 3 4 4 3 2 3" xfId="33440" xr:uid="{00000000-0005-0000-0000-000010910000}"/>
    <cellStyle name="40% - Accent6 3 4 4 3 3" xfId="16489" xr:uid="{00000000-0005-0000-0000-000011910000}"/>
    <cellStyle name="40% - Accent6 3 4 4 3 3 2" xfId="39091" xr:uid="{00000000-0005-0000-0000-000012910000}"/>
    <cellStyle name="40% - Accent6 3 4 4 3 4" xfId="27790" xr:uid="{00000000-0005-0000-0000-000013910000}"/>
    <cellStyle name="40% - Accent6 3 4 4 4" xfId="7845" xr:uid="{00000000-0005-0000-0000-000014910000}"/>
    <cellStyle name="40% - Accent6 3 4 4 4 2" xfId="19146" xr:uid="{00000000-0005-0000-0000-000015910000}"/>
    <cellStyle name="40% - Accent6 3 4 4 4 2 2" xfId="41748" xr:uid="{00000000-0005-0000-0000-000016910000}"/>
    <cellStyle name="40% - Accent6 3 4 4 4 3" xfId="30447" xr:uid="{00000000-0005-0000-0000-000017910000}"/>
    <cellStyle name="40% - Accent6 3 4 4 5" xfId="13496" xr:uid="{00000000-0005-0000-0000-000018910000}"/>
    <cellStyle name="40% - Accent6 3 4 4 5 2" xfId="36098" xr:uid="{00000000-0005-0000-0000-000019910000}"/>
    <cellStyle name="40% - Accent6 3 4 4 6" xfId="24797" xr:uid="{00000000-0005-0000-0000-00001A910000}"/>
    <cellStyle name="40% - Accent6 3 4 5" xfId="2160" xr:uid="{00000000-0005-0000-0000-00001B910000}"/>
    <cellStyle name="40% - Accent6 3 4 5 2" xfId="8002" xr:uid="{00000000-0005-0000-0000-00001C910000}"/>
    <cellStyle name="40% - Accent6 3 4 5 2 2" xfId="19303" xr:uid="{00000000-0005-0000-0000-00001D910000}"/>
    <cellStyle name="40% - Accent6 3 4 5 2 2 2" xfId="41905" xr:uid="{00000000-0005-0000-0000-00001E910000}"/>
    <cellStyle name="40% - Accent6 3 4 5 2 3" xfId="30604" xr:uid="{00000000-0005-0000-0000-00001F910000}"/>
    <cellStyle name="40% - Accent6 3 4 5 3" xfId="13653" xr:uid="{00000000-0005-0000-0000-000020910000}"/>
    <cellStyle name="40% - Accent6 3 4 5 3 2" xfId="36255" xr:uid="{00000000-0005-0000-0000-000021910000}"/>
    <cellStyle name="40% - Accent6 3 4 5 4" xfId="24954" xr:uid="{00000000-0005-0000-0000-000022910000}"/>
    <cellStyle name="40% - Accent6 3 4 6" xfId="3954" xr:uid="{00000000-0005-0000-0000-000023910000}"/>
    <cellStyle name="40% - Accent6 3 4 6 2" xfId="9604" xr:uid="{00000000-0005-0000-0000-000024910000}"/>
    <cellStyle name="40% - Accent6 3 4 6 2 2" xfId="20905" xr:uid="{00000000-0005-0000-0000-000025910000}"/>
    <cellStyle name="40% - Accent6 3 4 6 2 2 2" xfId="43507" xr:uid="{00000000-0005-0000-0000-000026910000}"/>
    <cellStyle name="40% - Accent6 3 4 6 2 3" xfId="32206" xr:uid="{00000000-0005-0000-0000-000027910000}"/>
    <cellStyle name="40% - Accent6 3 4 6 3" xfId="15255" xr:uid="{00000000-0005-0000-0000-000028910000}"/>
    <cellStyle name="40% - Accent6 3 4 6 3 2" xfId="37857" xr:uid="{00000000-0005-0000-0000-000029910000}"/>
    <cellStyle name="40% - Accent6 3 4 6 4" xfId="26556" xr:uid="{00000000-0005-0000-0000-00002A910000}"/>
    <cellStyle name="40% - Accent6 3 4 7" xfId="6572" xr:uid="{00000000-0005-0000-0000-00002B910000}"/>
    <cellStyle name="40% - Accent6 3 4 7 2" xfId="17873" xr:uid="{00000000-0005-0000-0000-00002C910000}"/>
    <cellStyle name="40% - Accent6 3 4 7 2 2" xfId="40475" xr:uid="{00000000-0005-0000-0000-00002D910000}"/>
    <cellStyle name="40% - Accent6 3 4 7 3" xfId="29174" xr:uid="{00000000-0005-0000-0000-00002E910000}"/>
    <cellStyle name="40% - Accent6 3 4 8" xfId="12223" xr:uid="{00000000-0005-0000-0000-00002F910000}"/>
    <cellStyle name="40% - Accent6 3 4 8 2" xfId="34825" xr:uid="{00000000-0005-0000-0000-000030910000}"/>
    <cellStyle name="40% - Accent6 3 4 9" xfId="23524" xr:uid="{00000000-0005-0000-0000-000031910000}"/>
    <cellStyle name="40% - Accent6 3 5" xfId="400" xr:uid="{00000000-0005-0000-0000-000032910000}"/>
    <cellStyle name="40% - Accent6 3 6" xfId="1382" xr:uid="{00000000-0005-0000-0000-000033910000}"/>
    <cellStyle name="40% - Accent6 3 7" xfId="6405" xr:uid="{00000000-0005-0000-0000-000034910000}"/>
    <cellStyle name="40% - Accent6 3 7 2" xfId="17706" xr:uid="{00000000-0005-0000-0000-000035910000}"/>
    <cellStyle name="40% - Accent6 3 7 2 2" xfId="40308" xr:uid="{00000000-0005-0000-0000-000036910000}"/>
    <cellStyle name="40% - Accent6 3 7 3" xfId="29007" xr:uid="{00000000-0005-0000-0000-000037910000}"/>
    <cellStyle name="40% - Accent6 3 8" xfId="12056" xr:uid="{00000000-0005-0000-0000-000038910000}"/>
    <cellStyle name="40% - Accent6 3 8 2" xfId="34658" xr:uid="{00000000-0005-0000-0000-000039910000}"/>
    <cellStyle name="40% - Accent6 3 9" xfId="23357" xr:uid="{00000000-0005-0000-0000-00003A910000}"/>
    <cellStyle name="40% - Accent6 4" xfId="187" xr:uid="{00000000-0005-0000-0000-00003B910000}"/>
    <cellStyle name="40% - Accent6 4 10" xfId="3940" xr:uid="{00000000-0005-0000-0000-00003C910000}"/>
    <cellStyle name="40% - Accent6 4 10 2" xfId="9590" xr:uid="{00000000-0005-0000-0000-00003D910000}"/>
    <cellStyle name="40% - Accent6 4 10 2 2" xfId="20891" xr:uid="{00000000-0005-0000-0000-00003E910000}"/>
    <cellStyle name="40% - Accent6 4 10 2 2 2" xfId="43493" xr:uid="{00000000-0005-0000-0000-00003F910000}"/>
    <cellStyle name="40% - Accent6 4 10 2 3" xfId="32192" xr:uid="{00000000-0005-0000-0000-000040910000}"/>
    <cellStyle name="40% - Accent6 4 10 3" xfId="15241" xr:uid="{00000000-0005-0000-0000-000041910000}"/>
    <cellStyle name="40% - Accent6 4 10 3 2" xfId="37843" xr:uid="{00000000-0005-0000-0000-000042910000}"/>
    <cellStyle name="40% - Accent6 4 10 4" xfId="26542" xr:uid="{00000000-0005-0000-0000-000043910000}"/>
    <cellStyle name="40% - Accent6 4 11" xfId="6419" xr:uid="{00000000-0005-0000-0000-000044910000}"/>
    <cellStyle name="40% - Accent6 4 11 2" xfId="17720" xr:uid="{00000000-0005-0000-0000-000045910000}"/>
    <cellStyle name="40% - Accent6 4 11 2 2" xfId="40322" xr:uid="{00000000-0005-0000-0000-000046910000}"/>
    <cellStyle name="40% - Accent6 4 11 3" xfId="29021" xr:uid="{00000000-0005-0000-0000-000047910000}"/>
    <cellStyle name="40% - Accent6 4 12" xfId="12070" xr:uid="{00000000-0005-0000-0000-000048910000}"/>
    <cellStyle name="40% - Accent6 4 12 2" xfId="34672" xr:uid="{00000000-0005-0000-0000-000049910000}"/>
    <cellStyle name="40% - Accent6 4 13" xfId="23371" xr:uid="{00000000-0005-0000-0000-00004A910000}"/>
    <cellStyle name="40% - Accent6 4 2" xfId="310" xr:uid="{00000000-0005-0000-0000-00004B910000}"/>
    <cellStyle name="40% - Accent6 4 2 10" xfId="23418" xr:uid="{00000000-0005-0000-0000-00004C910000}"/>
    <cellStyle name="40% - Accent6 4 2 2" xfId="568" xr:uid="{00000000-0005-0000-0000-00004D910000}"/>
    <cellStyle name="40% - Accent6 4 2 2 2" xfId="1278" xr:uid="{00000000-0005-0000-0000-00004E910000}"/>
    <cellStyle name="40% - Accent6 4 2 2 2 2" xfId="1994" xr:uid="{00000000-0005-0000-0000-00004F910000}"/>
    <cellStyle name="40% - Accent6 4 2 2 2 2 2" xfId="3347" xr:uid="{00000000-0005-0000-0000-000050910000}"/>
    <cellStyle name="40% - Accent6 4 2 2 2 2 2 2" xfId="6319" xr:uid="{00000000-0005-0000-0000-000051910000}"/>
    <cellStyle name="40% - Accent6 4 2 2 2 2 2 2 2" xfId="11969" xr:uid="{00000000-0005-0000-0000-000052910000}"/>
    <cellStyle name="40% - Accent6 4 2 2 2 2 2 2 2 2" xfId="23270" xr:uid="{00000000-0005-0000-0000-000053910000}"/>
    <cellStyle name="40% - Accent6 4 2 2 2 2 2 2 2 2 2" xfId="45872" xr:uid="{00000000-0005-0000-0000-000054910000}"/>
    <cellStyle name="40% - Accent6 4 2 2 2 2 2 2 2 3" xfId="34571" xr:uid="{00000000-0005-0000-0000-000055910000}"/>
    <cellStyle name="40% - Accent6 4 2 2 2 2 2 2 3" xfId="17620" xr:uid="{00000000-0005-0000-0000-000056910000}"/>
    <cellStyle name="40% - Accent6 4 2 2 2 2 2 2 3 2" xfId="40222" xr:uid="{00000000-0005-0000-0000-000057910000}"/>
    <cellStyle name="40% - Accent6 4 2 2 2 2 2 2 4" xfId="28921" xr:uid="{00000000-0005-0000-0000-000058910000}"/>
    <cellStyle name="40% - Accent6 4 2 2 2 2 2 3" xfId="9137" xr:uid="{00000000-0005-0000-0000-000059910000}"/>
    <cellStyle name="40% - Accent6 4 2 2 2 2 2 3 2" xfId="20438" xr:uid="{00000000-0005-0000-0000-00005A910000}"/>
    <cellStyle name="40% - Accent6 4 2 2 2 2 2 3 2 2" xfId="43040" xr:uid="{00000000-0005-0000-0000-00005B910000}"/>
    <cellStyle name="40% - Accent6 4 2 2 2 2 2 3 3" xfId="31739" xr:uid="{00000000-0005-0000-0000-00005C910000}"/>
    <cellStyle name="40% - Accent6 4 2 2 2 2 2 4" xfId="14788" xr:uid="{00000000-0005-0000-0000-00005D910000}"/>
    <cellStyle name="40% - Accent6 4 2 2 2 2 2 4 2" xfId="37390" xr:uid="{00000000-0005-0000-0000-00005E910000}"/>
    <cellStyle name="40% - Accent6 4 2 2 2 2 2 5" xfId="26089" xr:uid="{00000000-0005-0000-0000-00005F910000}"/>
    <cellStyle name="40% - Accent6 4 2 2 2 2 3" xfId="5085" xr:uid="{00000000-0005-0000-0000-000060910000}"/>
    <cellStyle name="40% - Accent6 4 2 2 2 2 3 2" xfId="10735" xr:uid="{00000000-0005-0000-0000-000061910000}"/>
    <cellStyle name="40% - Accent6 4 2 2 2 2 3 2 2" xfId="22036" xr:uid="{00000000-0005-0000-0000-000062910000}"/>
    <cellStyle name="40% - Accent6 4 2 2 2 2 3 2 2 2" xfId="44638" xr:uid="{00000000-0005-0000-0000-000063910000}"/>
    <cellStyle name="40% - Accent6 4 2 2 2 2 3 2 3" xfId="33337" xr:uid="{00000000-0005-0000-0000-000064910000}"/>
    <cellStyle name="40% - Accent6 4 2 2 2 2 3 3" xfId="16386" xr:uid="{00000000-0005-0000-0000-000065910000}"/>
    <cellStyle name="40% - Accent6 4 2 2 2 2 3 3 2" xfId="38988" xr:uid="{00000000-0005-0000-0000-000066910000}"/>
    <cellStyle name="40% - Accent6 4 2 2 2 2 3 4" xfId="27687" xr:uid="{00000000-0005-0000-0000-000067910000}"/>
    <cellStyle name="40% - Accent6 4 2 2 2 2 4" xfId="7850" xr:uid="{00000000-0005-0000-0000-000068910000}"/>
    <cellStyle name="40% - Accent6 4 2 2 2 2 4 2" xfId="19151" xr:uid="{00000000-0005-0000-0000-000069910000}"/>
    <cellStyle name="40% - Accent6 4 2 2 2 2 4 2 2" xfId="41753" xr:uid="{00000000-0005-0000-0000-00006A910000}"/>
    <cellStyle name="40% - Accent6 4 2 2 2 2 4 3" xfId="30452" xr:uid="{00000000-0005-0000-0000-00006B910000}"/>
    <cellStyle name="40% - Accent6 4 2 2 2 2 5" xfId="13501" xr:uid="{00000000-0005-0000-0000-00006C910000}"/>
    <cellStyle name="40% - Accent6 4 2 2 2 2 5 2" xfId="36103" xr:uid="{00000000-0005-0000-0000-00006D910000}"/>
    <cellStyle name="40% - Accent6 4 2 2 2 2 6" xfId="24802" xr:uid="{00000000-0005-0000-0000-00006E910000}"/>
    <cellStyle name="40% - Accent6 4 2 2 2 3" xfId="2676" xr:uid="{00000000-0005-0000-0000-00006F910000}"/>
    <cellStyle name="40% - Accent6 4 2 2 2 3 2" xfId="5695" xr:uid="{00000000-0005-0000-0000-000070910000}"/>
    <cellStyle name="40% - Accent6 4 2 2 2 3 2 2" xfId="11345" xr:uid="{00000000-0005-0000-0000-000071910000}"/>
    <cellStyle name="40% - Accent6 4 2 2 2 3 2 2 2" xfId="22646" xr:uid="{00000000-0005-0000-0000-000072910000}"/>
    <cellStyle name="40% - Accent6 4 2 2 2 3 2 2 2 2" xfId="45248" xr:uid="{00000000-0005-0000-0000-000073910000}"/>
    <cellStyle name="40% - Accent6 4 2 2 2 3 2 2 3" xfId="33947" xr:uid="{00000000-0005-0000-0000-000074910000}"/>
    <cellStyle name="40% - Accent6 4 2 2 2 3 2 3" xfId="16996" xr:uid="{00000000-0005-0000-0000-000075910000}"/>
    <cellStyle name="40% - Accent6 4 2 2 2 3 2 3 2" xfId="39598" xr:uid="{00000000-0005-0000-0000-000076910000}"/>
    <cellStyle name="40% - Accent6 4 2 2 2 3 2 4" xfId="28297" xr:uid="{00000000-0005-0000-0000-000077910000}"/>
    <cellStyle name="40% - Accent6 4 2 2 2 3 3" xfId="8512" xr:uid="{00000000-0005-0000-0000-000078910000}"/>
    <cellStyle name="40% - Accent6 4 2 2 2 3 3 2" xfId="19813" xr:uid="{00000000-0005-0000-0000-000079910000}"/>
    <cellStyle name="40% - Accent6 4 2 2 2 3 3 2 2" xfId="42415" xr:uid="{00000000-0005-0000-0000-00007A910000}"/>
    <cellStyle name="40% - Accent6 4 2 2 2 3 3 3" xfId="31114" xr:uid="{00000000-0005-0000-0000-00007B910000}"/>
    <cellStyle name="40% - Accent6 4 2 2 2 3 4" xfId="14163" xr:uid="{00000000-0005-0000-0000-00007C910000}"/>
    <cellStyle name="40% - Accent6 4 2 2 2 3 4 2" xfId="36765" xr:uid="{00000000-0005-0000-0000-00007D910000}"/>
    <cellStyle name="40% - Accent6 4 2 2 2 3 5" xfId="25464" xr:uid="{00000000-0005-0000-0000-00007E910000}"/>
    <cellStyle name="40% - Accent6 4 2 2 2 4" xfId="4461" xr:uid="{00000000-0005-0000-0000-00007F910000}"/>
    <cellStyle name="40% - Accent6 4 2 2 2 4 2" xfId="10111" xr:uid="{00000000-0005-0000-0000-000080910000}"/>
    <cellStyle name="40% - Accent6 4 2 2 2 4 2 2" xfId="21412" xr:uid="{00000000-0005-0000-0000-000081910000}"/>
    <cellStyle name="40% - Accent6 4 2 2 2 4 2 2 2" xfId="44014" xr:uid="{00000000-0005-0000-0000-000082910000}"/>
    <cellStyle name="40% - Accent6 4 2 2 2 4 2 3" xfId="32713" xr:uid="{00000000-0005-0000-0000-000083910000}"/>
    <cellStyle name="40% - Accent6 4 2 2 2 4 3" xfId="15762" xr:uid="{00000000-0005-0000-0000-000084910000}"/>
    <cellStyle name="40% - Accent6 4 2 2 2 4 3 2" xfId="38364" xr:uid="{00000000-0005-0000-0000-000085910000}"/>
    <cellStyle name="40% - Accent6 4 2 2 2 4 4" xfId="27063" xr:uid="{00000000-0005-0000-0000-000086910000}"/>
    <cellStyle name="40% - Accent6 4 2 2 2 5" xfId="7257" xr:uid="{00000000-0005-0000-0000-000087910000}"/>
    <cellStyle name="40% - Accent6 4 2 2 2 5 2" xfId="18558" xr:uid="{00000000-0005-0000-0000-000088910000}"/>
    <cellStyle name="40% - Accent6 4 2 2 2 5 2 2" xfId="41160" xr:uid="{00000000-0005-0000-0000-000089910000}"/>
    <cellStyle name="40% - Accent6 4 2 2 2 5 3" xfId="29859" xr:uid="{00000000-0005-0000-0000-00008A910000}"/>
    <cellStyle name="40% - Accent6 4 2 2 2 6" xfId="12908" xr:uid="{00000000-0005-0000-0000-00008B910000}"/>
    <cellStyle name="40% - Accent6 4 2 2 2 6 2" xfId="35510" xr:uid="{00000000-0005-0000-0000-00008C910000}"/>
    <cellStyle name="40% - Accent6 4 2 2 2 7" xfId="24209" xr:uid="{00000000-0005-0000-0000-00008D910000}"/>
    <cellStyle name="40% - Accent6 4 2 2 3" xfId="976" xr:uid="{00000000-0005-0000-0000-00008E910000}"/>
    <cellStyle name="40% - Accent6 4 2 2 3 2" xfId="3039" xr:uid="{00000000-0005-0000-0000-00008F910000}"/>
    <cellStyle name="40% - Accent6 4 2 2 3 2 2" xfId="6011" xr:uid="{00000000-0005-0000-0000-000090910000}"/>
    <cellStyle name="40% - Accent6 4 2 2 3 2 2 2" xfId="11661" xr:uid="{00000000-0005-0000-0000-000091910000}"/>
    <cellStyle name="40% - Accent6 4 2 2 3 2 2 2 2" xfId="22962" xr:uid="{00000000-0005-0000-0000-000092910000}"/>
    <cellStyle name="40% - Accent6 4 2 2 3 2 2 2 2 2" xfId="45564" xr:uid="{00000000-0005-0000-0000-000093910000}"/>
    <cellStyle name="40% - Accent6 4 2 2 3 2 2 2 3" xfId="34263" xr:uid="{00000000-0005-0000-0000-000094910000}"/>
    <cellStyle name="40% - Accent6 4 2 2 3 2 2 3" xfId="17312" xr:uid="{00000000-0005-0000-0000-000095910000}"/>
    <cellStyle name="40% - Accent6 4 2 2 3 2 2 3 2" xfId="39914" xr:uid="{00000000-0005-0000-0000-000096910000}"/>
    <cellStyle name="40% - Accent6 4 2 2 3 2 2 4" xfId="28613" xr:uid="{00000000-0005-0000-0000-000097910000}"/>
    <cellStyle name="40% - Accent6 4 2 2 3 2 3" xfId="8829" xr:uid="{00000000-0005-0000-0000-000098910000}"/>
    <cellStyle name="40% - Accent6 4 2 2 3 2 3 2" xfId="20130" xr:uid="{00000000-0005-0000-0000-000099910000}"/>
    <cellStyle name="40% - Accent6 4 2 2 3 2 3 2 2" xfId="42732" xr:uid="{00000000-0005-0000-0000-00009A910000}"/>
    <cellStyle name="40% - Accent6 4 2 2 3 2 3 3" xfId="31431" xr:uid="{00000000-0005-0000-0000-00009B910000}"/>
    <cellStyle name="40% - Accent6 4 2 2 3 2 4" xfId="14480" xr:uid="{00000000-0005-0000-0000-00009C910000}"/>
    <cellStyle name="40% - Accent6 4 2 2 3 2 4 2" xfId="37082" xr:uid="{00000000-0005-0000-0000-00009D910000}"/>
    <cellStyle name="40% - Accent6 4 2 2 3 2 5" xfId="25781" xr:uid="{00000000-0005-0000-0000-00009E910000}"/>
    <cellStyle name="40% - Accent6 4 2 2 3 3" xfId="4777" xr:uid="{00000000-0005-0000-0000-00009F910000}"/>
    <cellStyle name="40% - Accent6 4 2 2 3 3 2" xfId="10427" xr:uid="{00000000-0005-0000-0000-0000A0910000}"/>
    <cellStyle name="40% - Accent6 4 2 2 3 3 2 2" xfId="21728" xr:uid="{00000000-0005-0000-0000-0000A1910000}"/>
    <cellStyle name="40% - Accent6 4 2 2 3 3 2 2 2" xfId="44330" xr:uid="{00000000-0005-0000-0000-0000A2910000}"/>
    <cellStyle name="40% - Accent6 4 2 2 3 3 2 3" xfId="33029" xr:uid="{00000000-0005-0000-0000-0000A3910000}"/>
    <cellStyle name="40% - Accent6 4 2 2 3 3 3" xfId="16078" xr:uid="{00000000-0005-0000-0000-0000A4910000}"/>
    <cellStyle name="40% - Accent6 4 2 2 3 3 3 2" xfId="38680" xr:uid="{00000000-0005-0000-0000-0000A5910000}"/>
    <cellStyle name="40% - Accent6 4 2 2 3 3 4" xfId="27379" xr:uid="{00000000-0005-0000-0000-0000A6910000}"/>
    <cellStyle name="40% - Accent6 4 2 2 3 4" xfId="6964" xr:uid="{00000000-0005-0000-0000-0000A7910000}"/>
    <cellStyle name="40% - Accent6 4 2 2 3 4 2" xfId="18265" xr:uid="{00000000-0005-0000-0000-0000A8910000}"/>
    <cellStyle name="40% - Accent6 4 2 2 3 4 2 2" xfId="40867" xr:uid="{00000000-0005-0000-0000-0000A9910000}"/>
    <cellStyle name="40% - Accent6 4 2 2 3 4 3" xfId="29566" xr:uid="{00000000-0005-0000-0000-0000AA910000}"/>
    <cellStyle name="40% - Accent6 4 2 2 3 5" xfId="12615" xr:uid="{00000000-0005-0000-0000-0000AB910000}"/>
    <cellStyle name="40% - Accent6 4 2 2 3 5 2" xfId="35217" xr:uid="{00000000-0005-0000-0000-0000AC910000}"/>
    <cellStyle name="40% - Accent6 4 2 2 3 6" xfId="23916" xr:uid="{00000000-0005-0000-0000-0000AD910000}"/>
    <cellStyle name="40% - Accent6 4 2 2 4" xfId="1993" xr:uid="{00000000-0005-0000-0000-0000AE910000}"/>
    <cellStyle name="40% - Accent6 4 2 2 4 2" xfId="3772" xr:uid="{00000000-0005-0000-0000-0000AF910000}"/>
    <cellStyle name="40% - Accent6 4 2 2 4 2 2" xfId="9481" xr:uid="{00000000-0005-0000-0000-0000B0910000}"/>
    <cellStyle name="40% - Accent6 4 2 2 4 2 2 2" xfId="20782" xr:uid="{00000000-0005-0000-0000-0000B1910000}"/>
    <cellStyle name="40% - Accent6 4 2 2 4 2 2 2 2" xfId="43384" xr:uid="{00000000-0005-0000-0000-0000B2910000}"/>
    <cellStyle name="40% - Accent6 4 2 2 4 2 2 3" xfId="32083" xr:uid="{00000000-0005-0000-0000-0000B3910000}"/>
    <cellStyle name="40% - Accent6 4 2 2 4 2 3" xfId="15132" xr:uid="{00000000-0005-0000-0000-0000B4910000}"/>
    <cellStyle name="40% - Accent6 4 2 2 4 2 3 2" xfId="37734" xr:uid="{00000000-0005-0000-0000-0000B5910000}"/>
    <cellStyle name="40% - Accent6 4 2 2 4 2 4" xfId="26433" xr:uid="{00000000-0005-0000-0000-0000B6910000}"/>
    <cellStyle name="40% - Accent6 4 2 2 4 3" xfId="5387" xr:uid="{00000000-0005-0000-0000-0000B7910000}"/>
    <cellStyle name="40% - Accent6 4 2 2 4 3 2" xfId="11037" xr:uid="{00000000-0005-0000-0000-0000B8910000}"/>
    <cellStyle name="40% - Accent6 4 2 2 4 3 2 2" xfId="22338" xr:uid="{00000000-0005-0000-0000-0000B9910000}"/>
    <cellStyle name="40% - Accent6 4 2 2 4 3 2 2 2" xfId="44940" xr:uid="{00000000-0005-0000-0000-0000BA910000}"/>
    <cellStyle name="40% - Accent6 4 2 2 4 3 2 3" xfId="33639" xr:uid="{00000000-0005-0000-0000-0000BB910000}"/>
    <cellStyle name="40% - Accent6 4 2 2 4 3 3" xfId="16688" xr:uid="{00000000-0005-0000-0000-0000BC910000}"/>
    <cellStyle name="40% - Accent6 4 2 2 4 3 3 2" xfId="39290" xr:uid="{00000000-0005-0000-0000-0000BD910000}"/>
    <cellStyle name="40% - Accent6 4 2 2 4 3 4" xfId="27989" xr:uid="{00000000-0005-0000-0000-0000BE910000}"/>
    <cellStyle name="40% - Accent6 4 2 2 4 4" xfId="7849" xr:uid="{00000000-0005-0000-0000-0000BF910000}"/>
    <cellStyle name="40% - Accent6 4 2 2 4 4 2" xfId="19150" xr:uid="{00000000-0005-0000-0000-0000C0910000}"/>
    <cellStyle name="40% - Accent6 4 2 2 4 4 2 2" xfId="41752" xr:uid="{00000000-0005-0000-0000-0000C1910000}"/>
    <cellStyle name="40% - Accent6 4 2 2 4 4 3" xfId="30451" xr:uid="{00000000-0005-0000-0000-0000C2910000}"/>
    <cellStyle name="40% - Accent6 4 2 2 4 5" xfId="13500" xr:uid="{00000000-0005-0000-0000-0000C3910000}"/>
    <cellStyle name="40% - Accent6 4 2 2 4 5 2" xfId="36102" xr:uid="{00000000-0005-0000-0000-0000C4910000}"/>
    <cellStyle name="40% - Accent6 4 2 2 4 6" xfId="24801" xr:uid="{00000000-0005-0000-0000-0000C5910000}"/>
    <cellStyle name="40% - Accent6 4 2 2 5" xfId="2368" xr:uid="{00000000-0005-0000-0000-0000C6910000}"/>
    <cellStyle name="40% - Accent6 4 2 2 5 2" xfId="8204" xr:uid="{00000000-0005-0000-0000-0000C7910000}"/>
    <cellStyle name="40% - Accent6 4 2 2 5 2 2" xfId="19505" xr:uid="{00000000-0005-0000-0000-0000C8910000}"/>
    <cellStyle name="40% - Accent6 4 2 2 5 2 2 2" xfId="42107" xr:uid="{00000000-0005-0000-0000-0000C9910000}"/>
    <cellStyle name="40% - Accent6 4 2 2 5 2 3" xfId="30806" xr:uid="{00000000-0005-0000-0000-0000CA910000}"/>
    <cellStyle name="40% - Accent6 4 2 2 5 3" xfId="13855" xr:uid="{00000000-0005-0000-0000-0000CB910000}"/>
    <cellStyle name="40% - Accent6 4 2 2 5 3 2" xfId="36457" xr:uid="{00000000-0005-0000-0000-0000CC910000}"/>
    <cellStyle name="40% - Accent6 4 2 2 5 4" xfId="25156" xr:uid="{00000000-0005-0000-0000-0000CD910000}"/>
    <cellStyle name="40% - Accent6 4 2 2 6" xfId="4153" xr:uid="{00000000-0005-0000-0000-0000CE910000}"/>
    <cellStyle name="40% - Accent6 4 2 2 6 2" xfId="9803" xr:uid="{00000000-0005-0000-0000-0000CF910000}"/>
    <cellStyle name="40% - Accent6 4 2 2 6 2 2" xfId="21104" xr:uid="{00000000-0005-0000-0000-0000D0910000}"/>
    <cellStyle name="40% - Accent6 4 2 2 6 2 2 2" xfId="43706" xr:uid="{00000000-0005-0000-0000-0000D1910000}"/>
    <cellStyle name="40% - Accent6 4 2 2 6 2 3" xfId="32405" xr:uid="{00000000-0005-0000-0000-0000D2910000}"/>
    <cellStyle name="40% - Accent6 4 2 2 6 3" xfId="15454" xr:uid="{00000000-0005-0000-0000-0000D3910000}"/>
    <cellStyle name="40% - Accent6 4 2 2 6 3 2" xfId="38056" xr:uid="{00000000-0005-0000-0000-0000D4910000}"/>
    <cellStyle name="40% - Accent6 4 2 2 6 4" xfId="26755" xr:uid="{00000000-0005-0000-0000-0000D5910000}"/>
    <cellStyle name="40% - Accent6 4 2 2 7" xfId="6633" xr:uid="{00000000-0005-0000-0000-0000D6910000}"/>
    <cellStyle name="40% - Accent6 4 2 2 7 2" xfId="17934" xr:uid="{00000000-0005-0000-0000-0000D7910000}"/>
    <cellStyle name="40% - Accent6 4 2 2 7 2 2" xfId="40536" xr:uid="{00000000-0005-0000-0000-0000D8910000}"/>
    <cellStyle name="40% - Accent6 4 2 2 7 3" xfId="29235" xr:uid="{00000000-0005-0000-0000-0000D9910000}"/>
    <cellStyle name="40% - Accent6 4 2 2 8" xfId="12284" xr:uid="{00000000-0005-0000-0000-0000DA910000}"/>
    <cellStyle name="40% - Accent6 4 2 2 8 2" xfId="34886" xr:uid="{00000000-0005-0000-0000-0000DB910000}"/>
    <cellStyle name="40% - Accent6 4 2 2 9" xfId="23585" xr:uid="{00000000-0005-0000-0000-0000DC910000}"/>
    <cellStyle name="40% - Accent6 4 2 3" xfId="1140" xr:uid="{00000000-0005-0000-0000-0000DD910000}"/>
    <cellStyle name="40% - Accent6 4 2 3 2" xfId="1995" xr:uid="{00000000-0005-0000-0000-0000DE910000}"/>
    <cellStyle name="40% - Accent6 4 2 3 2 2" xfId="3208" xr:uid="{00000000-0005-0000-0000-0000DF910000}"/>
    <cellStyle name="40% - Accent6 4 2 3 2 2 2" xfId="6180" xr:uid="{00000000-0005-0000-0000-0000E0910000}"/>
    <cellStyle name="40% - Accent6 4 2 3 2 2 2 2" xfId="11830" xr:uid="{00000000-0005-0000-0000-0000E1910000}"/>
    <cellStyle name="40% - Accent6 4 2 3 2 2 2 2 2" xfId="23131" xr:uid="{00000000-0005-0000-0000-0000E2910000}"/>
    <cellStyle name="40% - Accent6 4 2 3 2 2 2 2 2 2" xfId="45733" xr:uid="{00000000-0005-0000-0000-0000E3910000}"/>
    <cellStyle name="40% - Accent6 4 2 3 2 2 2 2 3" xfId="34432" xr:uid="{00000000-0005-0000-0000-0000E4910000}"/>
    <cellStyle name="40% - Accent6 4 2 3 2 2 2 3" xfId="17481" xr:uid="{00000000-0005-0000-0000-0000E5910000}"/>
    <cellStyle name="40% - Accent6 4 2 3 2 2 2 3 2" xfId="40083" xr:uid="{00000000-0005-0000-0000-0000E6910000}"/>
    <cellStyle name="40% - Accent6 4 2 3 2 2 2 4" xfId="28782" xr:uid="{00000000-0005-0000-0000-0000E7910000}"/>
    <cellStyle name="40% - Accent6 4 2 3 2 2 3" xfId="8998" xr:uid="{00000000-0005-0000-0000-0000E8910000}"/>
    <cellStyle name="40% - Accent6 4 2 3 2 2 3 2" xfId="20299" xr:uid="{00000000-0005-0000-0000-0000E9910000}"/>
    <cellStyle name="40% - Accent6 4 2 3 2 2 3 2 2" xfId="42901" xr:uid="{00000000-0005-0000-0000-0000EA910000}"/>
    <cellStyle name="40% - Accent6 4 2 3 2 2 3 3" xfId="31600" xr:uid="{00000000-0005-0000-0000-0000EB910000}"/>
    <cellStyle name="40% - Accent6 4 2 3 2 2 4" xfId="14649" xr:uid="{00000000-0005-0000-0000-0000EC910000}"/>
    <cellStyle name="40% - Accent6 4 2 3 2 2 4 2" xfId="37251" xr:uid="{00000000-0005-0000-0000-0000ED910000}"/>
    <cellStyle name="40% - Accent6 4 2 3 2 2 5" xfId="25950" xr:uid="{00000000-0005-0000-0000-0000EE910000}"/>
    <cellStyle name="40% - Accent6 4 2 3 2 3" xfId="4946" xr:uid="{00000000-0005-0000-0000-0000EF910000}"/>
    <cellStyle name="40% - Accent6 4 2 3 2 3 2" xfId="10596" xr:uid="{00000000-0005-0000-0000-0000F0910000}"/>
    <cellStyle name="40% - Accent6 4 2 3 2 3 2 2" xfId="21897" xr:uid="{00000000-0005-0000-0000-0000F1910000}"/>
    <cellStyle name="40% - Accent6 4 2 3 2 3 2 2 2" xfId="44499" xr:uid="{00000000-0005-0000-0000-0000F2910000}"/>
    <cellStyle name="40% - Accent6 4 2 3 2 3 2 3" xfId="33198" xr:uid="{00000000-0005-0000-0000-0000F3910000}"/>
    <cellStyle name="40% - Accent6 4 2 3 2 3 3" xfId="16247" xr:uid="{00000000-0005-0000-0000-0000F4910000}"/>
    <cellStyle name="40% - Accent6 4 2 3 2 3 3 2" xfId="38849" xr:uid="{00000000-0005-0000-0000-0000F5910000}"/>
    <cellStyle name="40% - Accent6 4 2 3 2 3 4" xfId="27548" xr:uid="{00000000-0005-0000-0000-0000F6910000}"/>
    <cellStyle name="40% - Accent6 4 2 3 2 4" xfId="7851" xr:uid="{00000000-0005-0000-0000-0000F7910000}"/>
    <cellStyle name="40% - Accent6 4 2 3 2 4 2" xfId="19152" xr:uid="{00000000-0005-0000-0000-0000F8910000}"/>
    <cellStyle name="40% - Accent6 4 2 3 2 4 2 2" xfId="41754" xr:uid="{00000000-0005-0000-0000-0000F9910000}"/>
    <cellStyle name="40% - Accent6 4 2 3 2 4 3" xfId="30453" xr:uid="{00000000-0005-0000-0000-0000FA910000}"/>
    <cellStyle name="40% - Accent6 4 2 3 2 5" xfId="13502" xr:uid="{00000000-0005-0000-0000-0000FB910000}"/>
    <cellStyle name="40% - Accent6 4 2 3 2 5 2" xfId="36104" xr:uid="{00000000-0005-0000-0000-0000FC910000}"/>
    <cellStyle name="40% - Accent6 4 2 3 2 6" xfId="24803" xr:uid="{00000000-0005-0000-0000-0000FD910000}"/>
    <cellStyle name="40% - Accent6 4 2 3 3" xfId="2537" xr:uid="{00000000-0005-0000-0000-0000FE910000}"/>
    <cellStyle name="40% - Accent6 4 2 3 3 2" xfId="5556" xr:uid="{00000000-0005-0000-0000-0000FF910000}"/>
    <cellStyle name="40% - Accent6 4 2 3 3 2 2" xfId="11206" xr:uid="{00000000-0005-0000-0000-000000920000}"/>
    <cellStyle name="40% - Accent6 4 2 3 3 2 2 2" xfId="22507" xr:uid="{00000000-0005-0000-0000-000001920000}"/>
    <cellStyle name="40% - Accent6 4 2 3 3 2 2 2 2" xfId="45109" xr:uid="{00000000-0005-0000-0000-000002920000}"/>
    <cellStyle name="40% - Accent6 4 2 3 3 2 2 3" xfId="33808" xr:uid="{00000000-0005-0000-0000-000003920000}"/>
    <cellStyle name="40% - Accent6 4 2 3 3 2 3" xfId="16857" xr:uid="{00000000-0005-0000-0000-000004920000}"/>
    <cellStyle name="40% - Accent6 4 2 3 3 2 3 2" xfId="39459" xr:uid="{00000000-0005-0000-0000-000005920000}"/>
    <cellStyle name="40% - Accent6 4 2 3 3 2 4" xfId="28158" xr:uid="{00000000-0005-0000-0000-000006920000}"/>
    <cellStyle name="40% - Accent6 4 2 3 3 3" xfId="8373" xr:uid="{00000000-0005-0000-0000-000007920000}"/>
    <cellStyle name="40% - Accent6 4 2 3 3 3 2" xfId="19674" xr:uid="{00000000-0005-0000-0000-000008920000}"/>
    <cellStyle name="40% - Accent6 4 2 3 3 3 2 2" xfId="42276" xr:uid="{00000000-0005-0000-0000-000009920000}"/>
    <cellStyle name="40% - Accent6 4 2 3 3 3 3" xfId="30975" xr:uid="{00000000-0005-0000-0000-00000A920000}"/>
    <cellStyle name="40% - Accent6 4 2 3 3 4" xfId="14024" xr:uid="{00000000-0005-0000-0000-00000B920000}"/>
    <cellStyle name="40% - Accent6 4 2 3 3 4 2" xfId="36626" xr:uid="{00000000-0005-0000-0000-00000C920000}"/>
    <cellStyle name="40% - Accent6 4 2 3 3 5" xfId="25325" xr:uid="{00000000-0005-0000-0000-00000D920000}"/>
    <cellStyle name="40% - Accent6 4 2 3 4" xfId="4322" xr:uid="{00000000-0005-0000-0000-00000E920000}"/>
    <cellStyle name="40% - Accent6 4 2 3 4 2" xfId="9972" xr:uid="{00000000-0005-0000-0000-00000F920000}"/>
    <cellStyle name="40% - Accent6 4 2 3 4 2 2" xfId="21273" xr:uid="{00000000-0005-0000-0000-000010920000}"/>
    <cellStyle name="40% - Accent6 4 2 3 4 2 2 2" xfId="43875" xr:uid="{00000000-0005-0000-0000-000011920000}"/>
    <cellStyle name="40% - Accent6 4 2 3 4 2 3" xfId="32574" xr:uid="{00000000-0005-0000-0000-000012920000}"/>
    <cellStyle name="40% - Accent6 4 2 3 4 3" xfId="15623" xr:uid="{00000000-0005-0000-0000-000013920000}"/>
    <cellStyle name="40% - Accent6 4 2 3 4 3 2" xfId="38225" xr:uid="{00000000-0005-0000-0000-000014920000}"/>
    <cellStyle name="40% - Accent6 4 2 3 4 4" xfId="26924" xr:uid="{00000000-0005-0000-0000-000015920000}"/>
    <cellStyle name="40% - Accent6 4 2 3 5" xfId="7119" xr:uid="{00000000-0005-0000-0000-000016920000}"/>
    <cellStyle name="40% - Accent6 4 2 3 5 2" xfId="18420" xr:uid="{00000000-0005-0000-0000-000017920000}"/>
    <cellStyle name="40% - Accent6 4 2 3 5 2 2" xfId="41022" xr:uid="{00000000-0005-0000-0000-000018920000}"/>
    <cellStyle name="40% - Accent6 4 2 3 5 3" xfId="29721" xr:uid="{00000000-0005-0000-0000-000019920000}"/>
    <cellStyle name="40% - Accent6 4 2 3 6" xfId="12770" xr:uid="{00000000-0005-0000-0000-00001A920000}"/>
    <cellStyle name="40% - Accent6 4 2 3 6 2" xfId="35372" xr:uid="{00000000-0005-0000-0000-00001B920000}"/>
    <cellStyle name="40% - Accent6 4 2 3 7" xfId="24071" xr:uid="{00000000-0005-0000-0000-00001C920000}"/>
    <cellStyle name="40% - Accent6 4 2 4" xfId="830" xr:uid="{00000000-0005-0000-0000-00001D920000}"/>
    <cellStyle name="40% - Accent6 4 2 4 2" xfId="2901" xr:uid="{00000000-0005-0000-0000-00001E920000}"/>
    <cellStyle name="40% - Accent6 4 2 4 2 2" xfId="5873" xr:uid="{00000000-0005-0000-0000-00001F920000}"/>
    <cellStyle name="40% - Accent6 4 2 4 2 2 2" xfId="11523" xr:uid="{00000000-0005-0000-0000-000020920000}"/>
    <cellStyle name="40% - Accent6 4 2 4 2 2 2 2" xfId="22824" xr:uid="{00000000-0005-0000-0000-000021920000}"/>
    <cellStyle name="40% - Accent6 4 2 4 2 2 2 2 2" xfId="45426" xr:uid="{00000000-0005-0000-0000-000022920000}"/>
    <cellStyle name="40% - Accent6 4 2 4 2 2 2 3" xfId="34125" xr:uid="{00000000-0005-0000-0000-000023920000}"/>
    <cellStyle name="40% - Accent6 4 2 4 2 2 3" xfId="17174" xr:uid="{00000000-0005-0000-0000-000024920000}"/>
    <cellStyle name="40% - Accent6 4 2 4 2 2 3 2" xfId="39776" xr:uid="{00000000-0005-0000-0000-000025920000}"/>
    <cellStyle name="40% - Accent6 4 2 4 2 2 4" xfId="28475" xr:uid="{00000000-0005-0000-0000-000026920000}"/>
    <cellStyle name="40% - Accent6 4 2 4 2 3" xfId="8691" xr:uid="{00000000-0005-0000-0000-000027920000}"/>
    <cellStyle name="40% - Accent6 4 2 4 2 3 2" xfId="19992" xr:uid="{00000000-0005-0000-0000-000028920000}"/>
    <cellStyle name="40% - Accent6 4 2 4 2 3 2 2" xfId="42594" xr:uid="{00000000-0005-0000-0000-000029920000}"/>
    <cellStyle name="40% - Accent6 4 2 4 2 3 3" xfId="31293" xr:uid="{00000000-0005-0000-0000-00002A920000}"/>
    <cellStyle name="40% - Accent6 4 2 4 2 4" xfId="14342" xr:uid="{00000000-0005-0000-0000-00002B920000}"/>
    <cellStyle name="40% - Accent6 4 2 4 2 4 2" xfId="36944" xr:uid="{00000000-0005-0000-0000-00002C920000}"/>
    <cellStyle name="40% - Accent6 4 2 4 2 5" xfId="25643" xr:uid="{00000000-0005-0000-0000-00002D920000}"/>
    <cellStyle name="40% - Accent6 4 2 4 3" xfId="4639" xr:uid="{00000000-0005-0000-0000-00002E920000}"/>
    <cellStyle name="40% - Accent6 4 2 4 3 2" xfId="10289" xr:uid="{00000000-0005-0000-0000-00002F920000}"/>
    <cellStyle name="40% - Accent6 4 2 4 3 2 2" xfId="21590" xr:uid="{00000000-0005-0000-0000-000030920000}"/>
    <cellStyle name="40% - Accent6 4 2 4 3 2 2 2" xfId="44192" xr:uid="{00000000-0005-0000-0000-000031920000}"/>
    <cellStyle name="40% - Accent6 4 2 4 3 2 3" xfId="32891" xr:uid="{00000000-0005-0000-0000-000032920000}"/>
    <cellStyle name="40% - Accent6 4 2 4 3 3" xfId="15940" xr:uid="{00000000-0005-0000-0000-000033920000}"/>
    <cellStyle name="40% - Accent6 4 2 4 3 3 2" xfId="38542" xr:uid="{00000000-0005-0000-0000-000034920000}"/>
    <cellStyle name="40% - Accent6 4 2 4 3 4" xfId="27241" xr:uid="{00000000-0005-0000-0000-000035920000}"/>
    <cellStyle name="40% - Accent6 4 2 4 4" xfId="6826" xr:uid="{00000000-0005-0000-0000-000036920000}"/>
    <cellStyle name="40% - Accent6 4 2 4 4 2" xfId="18127" xr:uid="{00000000-0005-0000-0000-000037920000}"/>
    <cellStyle name="40% - Accent6 4 2 4 4 2 2" xfId="40729" xr:uid="{00000000-0005-0000-0000-000038920000}"/>
    <cellStyle name="40% - Accent6 4 2 4 4 3" xfId="29428" xr:uid="{00000000-0005-0000-0000-000039920000}"/>
    <cellStyle name="40% - Accent6 4 2 4 5" xfId="12477" xr:uid="{00000000-0005-0000-0000-00003A920000}"/>
    <cellStyle name="40% - Accent6 4 2 4 5 2" xfId="35079" xr:uid="{00000000-0005-0000-0000-00003B920000}"/>
    <cellStyle name="40% - Accent6 4 2 4 6" xfId="23778" xr:uid="{00000000-0005-0000-0000-00003C920000}"/>
    <cellStyle name="40% - Accent6 4 2 5" xfId="1992" xr:uid="{00000000-0005-0000-0000-00003D920000}"/>
    <cellStyle name="40% - Accent6 4 2 5 2" xfId="3771" xr:uid="{00000000-0005-0000-0000-00003E920000}"/>
    <cellStyle name="40% - Accent6 4 2 5 2 2" xfId="9480" xr:uid="{00000000-0005-0000-0000-00003F920000}"/>
    <cellStyle name="40% - Accent6 4 2 5 2 2 2" xfId="20781" xr:uid="{00000000-0005-0000-0000-000040920000}"/>
    <cellStyle name="40% - Accent6 4 2 5 2 2 2 2" xfId="43383" xr:uid="{00000000-0005-0000-0000-000041920000}"/>
    <cellStyle name="40% - Accent6 4 2 5 2 2 3" xfId="32082" xr:uid="{00000000-0005-0000-0000-000042920000}"/>
    <cellStyle name="40% - Accent6 4 2 5 2 3" xfId="15131" xr:uid="{00000000-0005-0000-0000-000043920000}"/>
    <cellStyle name="40% - Accent6 4 2 5 2 3 2" xfId="37733" xr:uid="{00000000-0005-0000-0000-000044920000}"/>
    <cellStyle name="40% - Accent6 4 2 5 2 4" xfId="26432" xr:uid="{00000000-0005-0000-0000-000045920000}"/>
    <cellStyle name="40% - Accent6 4 2 5 3" xfId="5249" xr:uid="{00000000-0005-0000-0000-000046920000}"/>
    <cellStyle name="40% - Accent6 4 2 5 3 2" xfId="10899" xr:uid="{00000000-0005-0000-0000-000047920000}"/>
    <cellStyle name="40% - Accent6 4 2 5 3 2 2" xfId="22200" xr:uid="{00000000-0005-0000-0000-000048920000}"/>
    <cellStyle name="40% - Accent6 4 2 5 3 2 2 2" xfId="44802" xr:uid="{00000000-0005-0000-0000-000049920000}"/>
    <cellStyle name="40% - Accent6 4 2 5 3 2 3" xfId="33501" xr:uid="{00000000-0005-0000-0000-00004A920000}"/>
    <cellStyle name="40% - Accent6 4 2 5 3 3" xfId="16550" xr:uid="{00000000-0005-0000-0000-00004B920000}"/>
    <cellStyle name="40% - Accent6 4 2 5 3 3 2" xfId="39152" xr:uid="{00000000-0005-0000-0000-00004C920000}"/>
    <cellStyle name="40% - Accent6 4 2 5 3 4" xfId="27851" xr:uid="{00000000-0005-0000-0000-00004D920000}"/>
    <cellStyle name="40% - Accent6 4 2 5 4" xfId="7848" xr:uid="{00000000-0005-0000-0000-00004E920000}"/>
    <cellStyle name="40% - Accent6 4 2 5 4 2" xfId="19149" xr:uid="{00000000-0005-0000-0000-00004F920000}"/>
    <cellStyle name="40% - Accent6 4 2 5 4 2 2" xfId="41751" xr:uid="{00000000-0005-0000-0000-000050920000}"/>
    <cellStyle name="40% - Accent6 4 2 5 4 3" xfId="30450" xr:uid="{00000000-0005-0000-0000-000051920000}"/>
    <cellStyle name="40% - Accent6 4 2 5 5" xfId="13499" xr:uid="{00000000-0005-0000-0000-000052920000}"/>
    <cellStyle name="40% - Accent6 4 2 5 5 2" xfId="36101" xr:uid="{00000000-0005-0000-0000-000053920000}"/>
    <cellStyle name="40% - Accent6 4 2 5 6" xfId="24800" xr:uid="{00000000-0005-0000-0000-000054920000}"/>
    <cellStyle name="40% - Accent6 4 2 6" xfId="2228" xr:uid="{00000000-0005-0000-0000-000055920000}"/>
    <cellStyle name="40% - Accent6 4 2 6 2" xfId="8064" xr:uid="{00000000-0005-0000-0000-000056920000}"/>
    <cellStyle name="40% - Accent6 4 2 6 2 2" xfId="19365" xr:uid="{00000000-0005-0000-0000-000057920000}"/>
    <cellStyle name="40% - Accent6 4 2 6 2 2 2" xfId="41967" xr:uid="{00000000-0005-0000-0000-000058920000}"/>
    <cellStyle name="40% - Accent6 4 2 6 2 3" xfId="30666" xr:uid="{00000000-0005-0000-0000-000059920000}"/>
    <cellStyle name="40% - Accent6 4 2 6 3" xfId="13715" xr:uid="{00000000-0005-0000-0000-00005A920000}"/>
    <cellStyle name="40% - Accent6 4 2 6 3 2" xfId="36317" xr:uid="{00000000-0005-0000-0000-00005B920000}"/>
    <cellStyle name="40% - Accent6 4 2 6 4" xfId="25016" xr:uid="{00000000-0005-0000-0000-00005C920000}"/>
    <cellStyle name="40% - Accent6 4 2 7" xfId="4015" xr:uid="{00000000-0005-0000-0000-00005D920000}"/>
    <cellStyle name="40% - Accent6 4 2 7 2" xfId="9665" xr:uid="{00000000-0005-0000-0000-00005E920000}"/>
    <cellStyle name="40% - Accent6 4 2 7 2 2" xfId="20966" xr:uid="{00000000-0005-0000-0000-00005F920000}"/>
    <cellStyle name="40% - Accent6 4 2 7 2 2 2" xfId="43568" xr:uid="{00000000-0005-0000-0000-000060920000}"/>
    <cellStyle name="40% - Accent6 4 2 7 2 3" xfId="32267" xr:uid="{00000000-0005-0000-0000-000061920000}"/>
    <cellStyle name="40% - Accent6 4 2 7 3" xfId="15316" xr:uid="{00000000-0005-0000-0000-000062920000}"/>
    <cellStyle name="40% - Accent6 4 2 7 3 2" xfId="37918" xr:uid="{00000000-0005-0000-0000-000063920000}"/>
    <cellStyle name="40% - Accent6 4 2 7 4" xfId="26617" xr:uid="{00000000-0005-0000-0000-000064920000}"/>
    <cellStyle name="40% - Accent6 4 2 8" xfId="6466" xr:uid="{00000000-0005-0000-0000-000065920000}"/>
    <cellStyle name="40% - Accent6 4 2 8 2" xfId="17767" xr:uid="{00000000-0005-0000-0000-000066920000}"/>
    <cellStyle name="40% - Accent6 4 2 8 2 2" xfId="40369" xr:uid="{00000000-0005-0000-0000-000067920000}"/>
    <cellStyle name="40% - Accent6 4 2 8 3" xfId="29068" xr:uid="{00000000-0005-0000-0000-000068920000}"/>
    <cellStyle name="40% - Accent6 4 2 9" xfId="12117" xr:uid="{00000000-0005-0000-0000-000069920000}"/>
    <cellStyle name="40% - Accent6 4 2 9 2" xfId="34719" xr:uid="{00000000-0005-0000-0000-00006A920000}"/>
    <cellStyle name="40% - Accent6 4 3" xfId="372" xr:uid="{00000000-0005-0000-0000-00006B920000}"/>
    <cellStyle name="40% - Accent6 4 3 10" xfId="23467" xr:uid="{00000000-0005-0000-0000-00006C920000}"/>
    <cellStyle name="40% - Accent6 4 3 2" xfId="617" xr:uid="{00000000-0005-0000-0000-00006D920000}"/>
    <cellStyle name="40% - Accent6 4 3 2 2" xfId="1327" xr:uid="{00000000-0005-0000-0000-00006E920000}"/>
    <cellStyle name="40% - Accent6 4 3 2 2 2" xfId="1998" xr:uid="{00000000-0005-0000-0000-00006F920000}"/>
    <cellStyle name="40% - Accent6 4 3 2 2 2 2" xfId="3396" xr:uid="{00000000-0005-0000-0000-000070920000}"/>
    <cellStyle name="40% - Accent6 4 3 2 2 2 2 2" xfId="6368" xr:uid="{00000000-0005-0000-0000-000071920000}"/>
    <cellStyle name="40% - Accent6 4 3 2 2 2 2 2 2" xfId="12018" xr:uid="{00000000-0005-0000-0000-000072920000}"/>
    <cellStyle name="40% - Accent6 4 3 2 2 2 2 2 2 2" xfId="23319" xr:uid="{00000000-0005-0000-0000-000073920000}"/>
    <cellStyle name="40% - Accent6 4 3 2 2 2 2 2 2 2 2" xfId="45921" xr:uid="{00000000-0005-0000-0000-000074920000}"/>
    <cellStyle name="40% - Accent6 4 3 2 2 2 2 2 2 3" xfId="34620" xr:uid="{00000000-0005-0000-0000-000075920000}"/>
    <cellStyle name="40% - Accent6 4 3 2 2 2 2 2 3" xfId="17669" xr:uid="{00000000-0005-0000-0000-000076920000}"/>
    <cellStyle name="40% - Accent6 4 3 2 2 2 2 2 3 2" xfId="40271" xr:uid="{00000000-0005-0000-0000-000077920000}"/>
    <cellStyle name="40% - Accent6 4 3 2 2 2 2 2 4" xfId="28970" xr:uid="{00000000-0005-0000-0000-000078920000}"/>
    <cellStyle name="40% - Accent6 4 3 2 2 2 2 3" xfId="9186" xr:uid="{00000000-0005-0000-0000-000079920000}"/>
    <cellStyle name="40% - Accent6 4 3 2 2 2 2 3 2" xfId="20487" xr:uid="{00000000-0005-0000-0000-00007A920000}"/>
    <cellStyle name="40% - Accent6 4 3 2 2 2 2 3 2 2" xfId="43089" xr:uid="{00000000-0005-0000-0000-00007B920000}"/>
    <cellStyle name="40% - Accent6 4 3 2 2 2 2 3 3" xfId="31788" xr:uid="{00000000-0005-0000-0000-00007C920000}"/>
    <cellStyle name="40% - Accent6 4 3 2 2 2 2 4" xfId="14837" xr:uid="{00000000-0005-0000-0000-00007D920000}"/>
    <cellStyle name="40% - Accent6 4 3 2 2 2 2 4 2" xfId="37439" xr:uid="{00000000-0005-0000-0000-00007E920000}"/>
    <cellStyle name="40% - Accent6 4 3 2 2 2 2 5" xfId="26138" xr:uid="{00000000-0005-0000-0000-00007F920000}"/>
    <cellStyle name="40% - Accent6 4 3 2 2 2 3" xfId="5134" xr:uid="{00000000-0005-0000-0000-000080920000}"/>
    <cellStyle name="40% - Accent6 4 3 2 2 2 3 2" xfId="10784" xr:uid="{00000000-0005-0000-0000-000081920000}"/>
    <cellStyle name="40% - Accent6 4 3 2 2 2 3 2 2" xfId="22085" xr:uid="{00000000-0005-0000-0000-000082920000}"/>
    <cellStyle name="40% - Accent6 4 3 2 2 2 3 2 2 2" xfId="44687" xr:uid="{00000000-0005-0000-0000-000083920000}"/>
    <cellStyle name="40% - Accent6 4 3 2 2 2 3 2 3" xfId="33386" xr:uid="{00000000-0005-0000-0000-000084920000}"/>
    <cellStyle name="40% - Accent6 4 3 2 2 2 3 3" xfId="16435" xr:uid="{00000000-0005-0000-0000-000085920000}"/>
    <cellStyle name="40% - Accent6 4 3 2 2 2 3 3 2" xfId="39037" xr:uid="{00000000-0005-0000-0000-000086920000}"/>
    <cellStyle name="40% - Accent6 4 3 2 2 2 3 4" xfId="27736" xr:uid="{00000000-0005-0000-0000-000087920000}"/>
    <cellStyle name="40% - Accent6 4 3 2 2 2 4" xfId="7854" xr:uid="{00000000-0005-0000-0000-000088920000}"/>
    <cellStyle name="40% - Accent6 4 3 2 2 2 4 2" xfId="19155" xr:uid="{00000000-0005-0000-0000-000089920000}"/>
    <cellStyle name="40% - Accent6 4 3 2 2 2 4 2 2" xfId="41757" xr:uid="{00000000-0005-0000-0000-00008A920000}"/>
    <cellStyle name="40% - Accent6 4 3 2 2 2 4 3" xfId="30456" xr:uid="{00000000-0005-0000-0000-00008B920000}"/>
    <cellStyle name="40% - Accent6 4 3 2 2 2 5" xfId="13505" xr:uid="{00000000-0005-0000-0000-00008C920000}"/>
    <cellStyle name="40% - Accent6 4 3 2 2 2 5 2" xfId="36107" xr:uid="{00000000-0005-0000-0000-00008D920000}"/>
    <cellStyle name="40% - Accent6 4 3 2 2 2 6" xfId="24806" xr:uid="{00000000-0005-0000-0000-00008E920000}"/>
    <cellStyle name="40% - Accent6 4 3 2 2 3" xfId="2725" xr:uid="{00000000-0005-0000-0000-00008F920000}"/>
    <cellStyle name="40% - Accent6 4 3 2 2 3 2" xfId="5744" xr:uid="{00000000-0005-0000-0000-000090920000}"/>
    <cellStyle name="40% - Accent6 4 3 2 2 3 2 2" xfId="11394" xr:uid="{00000000-0005-0000-0000-000091920000}"/>
    <cellStyle name="40% - Accent6 4 3 2 2 3 2 2 2" xfId="22695" xr:uid="{00000000-0005-0000-0000-000092920000}"/>
    <cellStyle name="40% - Accent6 4 3 2 2 3 2 2 2 2" xfId="45297" xr:uid="{00000000-0005-0000-0000-000093920000}"/>
    <cellStyle name="40% - Accent6 4 3 2 2 3 2 2 3" xfId="33996" xr:uid="{00000000-0005-0000-0000-000094920000}"/>
    <cellStyle name="40% - Accent6 4 3 2 2 3 2 3" xfId="17045" xr:uid="{00000000-0005-0000-0000-000095920000}"/>
    <cellStyle name="40% - Accent6 4 3 2 2 3 2 3 2" xfId="39647" xr:uid="{00000000-0005-0000-0000-000096920000}"/>
    <cellStyle name="40% - Accent6 4 3 2 2 3 2 4" xfId="28346" xr:uid="{00000000-0005-0000-0000-000097920000}"/>
    <cellStyle name="40% - Accent6 4 3 2 2 3 3" xfId="8561" xr:uid="{00000000-0005-0000-0000-000098920000}"/>
    <cellStyle name="40% - Accent6 4 3 2 2 3 3 2" xfId="19862" xr:uid="{00000000-0005-0000-0000-000099920000}"/>
    <cellStyle name="40% - Accent6 4 3 2 2 3 3 2 2" xfId="42464" xr:uid="{00000000-0005-0000-0000-00009A920000}"/>
    <cellStyle name="40% - Accent6 4 3 2 2 3 3 3" xfId="31163" xr:uid="{00000000-0005-0000-0000-00009B920000}"/>
    <cellStyle name="40% - Accent6 4 3 2 2 3 4" xfId="14212" xr:uid="{00000000-0005-0000-0000-00009C920000}"/>
    <cellStyle name="40% - Accent6 4 3 2 2 3 4 2" xfId="36814" xr:uid="{00000000-0005-0000-0000-00009D920000}"/>
    <cellStyle name="40% - Accent6 4 3 2 2 3 5" xfId="25513" xr:uid="{00000000-0005-0000-0000-00009E920000}"/>
    <cellStyle name="40% - Accent6 4 3 2 2 4" xfId="4510" xr:uid="{00000000-0005-0000-0000-00009F920000}"/>
    <cellStyle name="40% - Accent6 4 3 2 2 4 2" xfId="10160" xr:uid="{00000000-0005-0000-0000-0000A0920000}"/>
    <cellStyle name="40% - Accent6 4 3 2 2 4 2 2" xfId="21461" xr:uid="{00000000-0005-0000-0000-0000A1920000}"/>
    <cellStyle name="40% - Accent6 4 3 2 2 4 2 2 2" xfId="44063" xr:uid="{00000000-0005-0000-0000-0000A2920000}"/>
    <cellStyle name="40% - Accent6 4 3 2 2 4 2 3" xfId="32762" xr:uid="{00000000-0005-0000-0000-0000A3920000}"/>
    <cellStyle name="40% - Accent6 4 3 2 2 4 3" xfId="15811" xr:uid="{00000000-0005-0000-0000-0000A4920000}"/>
    <cellStyle name="40% - Accent6 4 3 2 2 4 3 2" xfId="38413" xr:uid="{00000000-0005-0000-0000-0000A5920000}"/>
    <cellStyle name="40% - Accent6 4 3 2 2 4 4" xfId="27112" xr:uid="{00000000-0005-0000-0000-0000A6920000}"/>
    <cellStyle name="40% - Accent6 4 3 2 2 5" xfId="7306" xr:uid="{00000000-0005-0000-0000-0000A7920000}"/>
    <cellStyle name="40% - Accent6 4 3 2 2 5 2" xfId="18607" xr:uid="{00000000-0005-0000-0000-0000A8920000}"/>
    <cellStyle name="40% - Accent6 4 3 2 2 5 2 2" xfId="41209" xr:uid="{00000000-0005-0000-0000-0000A9920000}"/>
    <cellStyle name="40% - Accent6 4 3 2 2 5 3" xfId="29908" xr:uid="{00000000-0005-0000-0000-0000AA920000}"/>
    <cellStyle name="40% - Accent6 4 3 2 2 6" xfId="12957" xr:uid="{00000000-0005-0000-0000-0000AB920000}"/>
    <cellStyle name="40% - Accent6 4 3 2 2 6 2" xfId="35559" xr:uid="{00000000-0005-0000-0000-0000AC920000}"/>
    <cellStyle name="40% - Accent6 4 3 2 2 7" xfId="24258" xr:uid="{00000000-0005-0000-0000-0000AD920000}"/>
    <cellStyle name="40% - Accent6 4 3 2 3" xfId="1025" xr:uid="{00000000-0005-0000-0000-0000AE920000}"/>
    <cellStyle name="40% - Accent6 4 3 2 3 2" xfId="3088" xr:uid="{00000000-0005-0000-0000-0000AF920000}"/>
    <cellStyle name="40% - Accent6 4 3 2 3 2 2" xfId="6060" xr:uid="{00000000-0005-0000-0000-0000B0920000}"/>
    <cellStyle name="40% - Accent6 4 3 2 3 2 2 2" xfId="11710" xr:uid="{00000000-0005-0000-0000-0000B1920000}"/>
    <cellStyle name="40% - Accent6 4 3 2 3 2 2 2 2" xfId="23011" xr:uid="{00000000-0005-0000-0000-0000B2920000}"/>
    <cellStyle name="40% - Accent6 4 3 2 3 2 2 2 2 2" xfId="45613" xr:uid="{00000000-0005-0000-0000-0000B3920000}"/>
    <cellStyle name="40% - Accent6 4 3 2 3 2 2 2 3" xfId="34312" xr:uid="{00000000-0005-0000-0000-0000B4920000}"/>
    <cellStyle name="40% - Accent6 4 3 2 3 2 2 3" xfId="17361" xr:uid="{00000000-0005-0000-0000-0000B5920000}"/>
    <cellStyle name="40% - Accent6 4 3 2 3 2 2 3 2" xfId="39963" xr:uid="{00000000-0005-0000-0000-0000B6920000}"/>
    <cellStyle name="40% - Accent6 4 3 2 3 2 2 4" xfId="28662" xr:uid="{00000000-0005-0000-0000-0000B7920000}"/>
    <cellStyle name="40% - Accent6 4 3 2 3 2 3" xfId="8878" xr:uid="{00000000-0005-0000-0000-0000B8920000}"/>
    <cellStyle name="40% - Accent6 4 3 2 3 2 3 2" xfId="20179" xr:uid="{00000000-0005-0000-0000-0000B9920000}"/>
    <cellStyle name="40% - Accent6 4 3 2 3 2 3 2 2" xfId="42781" xr:uid="{00000000-0005-0000-0000-0000BA920000}"/>
    <cellStyle name="40% - Accent6 4 3 2 3 2 3 3" xfId="31480" xr:uid="{00000000-0005-0000-0000-0000BB920000}"/>
    <cellStyle name="40% - Accent6 4 3 2 3 2 4" xfId="14529" xr:uid="{00000000-0005-0000-0000-0000BC920000}"/>
    <cellStyle name="40% - Accent6 4 3 2 3 2 4 2" xfId="37131" xr:uid="{00000000-0005-0000-0000-0000BD920000}"/>
    <cellStyle name="40% - Accent6 4 3 2 3 2 5" xfId="25830" xr:uid="{00000000-0005-0000-0000-0000BE920000}"/>
    <cellStyle name="40% - Accent6 4 3 2 3 3" xfId="4826" xr:uid="{00000000-0005-0000-0000-0000BF920000}"/>
    <cellStyle name="40% - Accent6 4 3 2 3 3 2" xfId="10476" xr:uid="{00000000-0005-0000-0000-0000C0920000}"/>
    <cellStyle name="40% - Accent6 4 3 2 3 3 2 2" xfId="21777" xr:uid="{00000000-0005-0000-0000-0000C1920000}"/>
    <cellStyle name="40% - Accent6 4 3 2 3 3 2 2 2" xfId="44379" xr:uid="{00000000-0005-0000-0000-0000C2920000}"/>
    <cellStyle name="40% - Accent6 4 3 2 3 3 2 3" xfId="33078" xr:uid="{00000000-0005-0000-0000-0000C3920000}"/>
    <cellStyle name="40% - Accent6 4 3 2 3 3 3" xfId="16127" xr:uid="{00000000-0005-0000-0000-0000C4920000}"/>
    <cellStyle name="40% - Accent6 4 3 2 3 3 3 2" xfId="38729" xr:uid="{00000000-0005-0000-0000-0000C5920000}"/>
    <cellStyle name="40% - Accent6 4 3 2 3 3 4" xfId="27428" xr:uid="{00000000-0005-0000-0000-0000C6920000}"/>
    <cellStyle name="40% - Accent6 4 3 2 3 4" xfId="7013" xr:uid="{00000000-0005-0000-0000-0000C7920000}"/>
    <cellStyle name="40% - Accent6 4 3 2 3 4 2" xfId="18314" xr:uid="{00000000-0005-0000-0000-0000C8920000}"/>
    <cellStyle name="40% - Accent6 4 3 2 3 4 2 2" xfId="40916" xr:uid="{00000000-0005-0000-0000-0000C9920000}"/>
    <cellStyle name="40% - Accent6 4 3 2 3 4 3" xfId="29615" xr:uid="{00000000-0005-0000-0000-0000CA920000}"/>
    <cellStyle name="40% - Accent6 4 3 2 3 5" xfId="12664" xr:uid="{00000000-0005-0000-0000-0000CB920000}"/>
    <cellStyle name="40% - Accent6 4 3 2 3 5 2" xfId="35266" xr:uid="{00000000-0005-0000-0000-0000CC920000}"/>
    <cellStyle name="40% - Accent6 4 3 2 3 6" xfId="23965" xr:uid="{00000000-0005-0000-0000-0000CD920000}"/>
    <cellStyle name="40% - Accent6 4 3 2 4" xfId="1997" xr:uid="{00000000-0005-0000-0000-0000CE920000}"/>
    <cellStyle name="40% - Accent6 4 3 2 4 2" xfId="3775" xr:uid="{00000000-0005-0000-0000-0000CF920000}"/>
    <cellStyle name="40% - Accent6 4 3 2 4 2 2" xfId="9483" xr:uid="{00000000-0005-0000-0000-0000D0920000}"/>
    <cellStyle name="40% - Accent6 4 3 2 4 2 2 2" xfId="20784" xr:uid="{00000000-0005-0000-0000-0000D1920000}"/>
    <cellStyle name="40% - Accent6 4 3 2 4 2 2 2 2" xfId="43386" xr:uid="{00000000-0005-0000-0000-0000D2920000}"/>
    <cellStyle name="40% - Accent6 4 3 2 4 2 2 3" xfId="32085" xr:uid="{00000000-0005-0000-0000-0000D3920000}"/>
    <cellStyle name="40% - Accent6 4 3 2 4 2 3" xfId="15134" xr:uid="{00000000-0005-0000-0000-0000D4920000}"/>
    <cellStyle name="40% - Accent6 4 3 2 4 2 3 2" xfId="37736" xr:uid="{00000000-0005-0000-0000-0000D5920000}"/>
    <cellStyle name="40% - Accent6 4 3 2 4 2 4" xfId="26435" xr:uid="{00000000-0005-0000-0000-0000D6920000}"/>
    <cellStyle name="40% - Accent6 4 3 2 4 3" xfId="5436" xr:uid="{00000000-0005-0000-0000-0000D7920000}"/>
    <cellStyle name="40% - Accent6 4 3 2 4 3 2" xfId="11086" xr:uid="{00000000-0005-0000-0000-0000D8920000}"/>
    <cellStyle name="40% - Accent6 4 3 2 4 3 2 2" xfId="22387" xr:uid="{00000000-0005-0000-0000-0000D9920000}"/>
    <cellStyle name="40% - Accent6 4 3 2 4 3 2 2 2" xfId="44989" xr:uid="{00000000-0005-0000-0000-0000DA920000}"/>
    <cellStyle name="40% - Accent6 4 3 2 4 3 2 3" xfId="33688" xr:uid="{00000000-0005-0000-0000-0000DB920000}"/>
    <cellStyle name="40% - Accent6 4 3 2 4 3 3" xfId="16737" xr:uid="{00000000-0005-0000-0000-0000DC920000}"/>
    <cellStyle name="40% - Accent6 4 3 2 4 3 3 2" xfId="39339" xr:uid="{00000000-0005-0000-0000-0000DD920000}"/>
    <cellStyle name="40% - Accent6 4 3 2 4 3 4" xfId="28038" xr:uid="{00000000-0005-0000-0000-0000DE920000}"/>
    <cellStyle name="40% - Accent6 4 3 2 4 4" xfId="7853" xr:uid="{00000000-0005-0000-0000-0000DF920000}"/>
    <cellStyle name="40% - Accent6 4 3 2 4 4 2" xfId="19154" xr:uid="{00000000-0005-0000-0000-0000E0920000}"/>
    <cellStyle name="40% - Accent6 4 3 2 4 4 2 2" xfId="41756" xr:uid="{00000000-0005-0000-0000-0000E1920000}"/>
    <cellStyle name="40% - Accent6 4 3 2 4 4 3" xfId="30455" xr:uid="{00000000-0005-0000-0000-0000E2920000}"/>
    <cellStyle name="40% - Accent6 4 3 2 4 5" xfId="13504" xr:uid="{00000000-0005-0000-0000-0000E3920000}"/>
    <cellStyle name="40% - Accent6 4 3 2 4 5 2" xfId="36106" xr:uid="{00000000-0005-0000-0000-0000E4920000}"/>
    <cellStyle name="40% - Accent6 4 3 2 4 6" xfId="24805" xr:uid="{00000000-0005-0000-0000-0000E5920000}"/>
    <cellStyle name="40% - Accent6 4 3 2 5" xfId="2417" xr:uid="{00000000-0005-0000-0000-0000E6920000}"/>
    <cellStyle name="40% - Accent6 4 3 2 5 2" xfId="8253" xr:uid="{00000000-0005-0000-0000-0000E7920000}"/>
    <cellStyle name="40% - Accent6 4 3 2 5 2 2" xfId="19554" xr:uid="{00000000-0005-0000-0000-0000E8920000}"/>
    <cellStyle name="40% - Accent6 4 3 2 5 2 2 2" xfId="42156" xr:uid="{00000000-0005-0000-0000-0000E9920000}"/>
    <cellStyle name="40% - Accent6 4 3 2 5 2 3" xfId="30855" xr:uid="{00000000-0005-0000-0000-0000EA920000}"/>
    <cellStyle name="40% - Accent6 4 3 2 5 3" xfId="13904" xr:uid="{00000000-0005-0000-0000-0000EB920000}"/>
    <cellStyle name="40% - Accent6 4 3 2 5 3 2" xfId="36506" xr:uid="{00000000-0005-0000-0000-0000EC920000}"/>
    <cellStyle name="40% - Accent6 4 3 2 5 4" xfId="25205" xr:uid="{00000000-0005-0000-0000-0000ED920000}"/>
    <cellStyle name="40% - Accent6 4 3 2 6" xfId="4202" xr:uid="{00000000-0005-0000-0000-0000EE920000}"/>
    <cellStyle name="40% - Accent6 4 3 2 6 2" xfId="9852" xr:uid="{00000000-0005-0000-0000-0000EF920000}"/>
    <cellStyle name="40% - Accent6 4 3 2 6 2 2" xfId="21153" xr:uid="{00000000-0005-0000-0000-0000F0920000}"/>
    <cellStyle name="40% - Accent6 4 3 2 6 2 2 2" xfId="43755" xr:uid="{00000000-0005-0000-0000-0000F1920000}"/>
    <cellStyle name="40% - Accent6 4 3 2 6 2 3" xfId="32454" xr:uid="{00000000-0005-0000-0000-0000F2920000}"/>
    <cellStyle name="40% - Accent6 4 3 2 6 3" xfId="15503" xr:uid="{00000000-0005-0000-0000-0000F3920000}"/>
    <cellStyle name="40% - Accent6 4 3 2 6 3 2" xfId="38105" xr:uid="{00000000-0005-0000-0000-0000F4920000}"/>
    <cellStyle name="40% - Accent6 4 3 2 6 4" xfId="26804" xr:uid="{00000000-0005-0000-0000-0000F5920000}"/>
    <cellStyle name="40% - Accent6 4 3 2 7" xfId="6682" xr:uid="{00000000-0005-0000-0000-0000F6920000}"/>
    <cellStyle name="40% - Accent6 4 3 2 7 2" xfId="17983" xr:uid="{00000000-0005-0000-0000-0000F7920000}"/>
    <cellStyle name="40% - Accent6 4 3 2 7 2 2" xfId="40585" xr:uid="{00000000-0005-0000-0000-0000F8920000}"/>
    <cellStyle name="40% - Accent6 4 3 2 7 3" xfId="29284" xr:uid="{00000000-0005-0000-0000-0000F9920000}"/>
    <cellStyle name="40% - Accent6 4 3 2 8" xfId="12333" xr:uid="{00000000-0005-0000-0000-0000FA920000}"/>
    <cellStyle name="40% - Accent6 4 3 2 8 2" xfId="34935" xr:uid="{00000000-0005-0000-0000-0000FB920000}"/>
    <cellStyle name="40% - Accent6 4 3 2 9" xfId="23634" xr:uid="{00000000-0005-0000-0000-0000FC920000}"/>
    <cellStyle name="40% - Accent6 4 3 3" xfId="1189" xr:uid="{00000000-0005-0000-0000-0000FD920000}"/>
    <cellStyle name="40% - Accent6 4 3 3 2" xfId="1999" xr:uid="{00000000-0005-0000-0000-0000FE920000}"/>
    <cellStyle name="40% - Accent6 4 3 3 2 2" xfId="3257" xr:uid="{00000000-0005-0000-0000-0000FF920000}"/>
    <cellStyle name="40% - Accent6 4 3 3 2 2 2" xfId="6229" xr:uid="{00000000-0005-0000-0000-000000930000}"/>
    <cellStyle name="40% - Accent6 4 3 3 2 2 2 2" xfId="11879" xr:uid="{00000000-0005-0000-0000-000001930000}"/>
    <cellStyle name="40% - Accent6 4 3 3 2 2 2 2 2" xfId="23180" xr:uid="{00000000-0005-0000-0000-000002930000}"/>
    <cellStyle name="40% - Accent6 4 3 3 2 2 2 2 2 2" xfId="45782" xr:uid="{00000000-0005-0000-0000-000003930000}"/>
    <cellStyle name="40% - Accent6 4 3 3 2 2 2 2 3" xfId="34481" xr:uid="{00000000-0005-0000-0000-000004930000}"/>
    <cellStyle name="40% - Accent6 4 3 3 2 2 2 3" xfId="17530" xr:uid="{00000000-0005-0000-0000-000005930000}"/>
    <cellStyle name="40% - Accent6 4 3 3 2 2 2 3 2" xfId="40132" xr:uid="{00000000-0005-0000-0000-000006930000}"/>
    <cellStyle name="40% - Accent6 4 3 3 2 2 2 4" xfId="28831" xr:uid="{00000000-0005-0000-0000-000007930000}"/>
    <cellStyle name="40% - Accent6 4 3 3 2 2 3" xfId="9047" xr:uid="{00000000-0005-0000-0000-000008930000}"/>
    <cellStyle name="40% - Accent6 4 3 3 2 2 3 2" xfId="20348" xr:uid="{00000000-0005-0000-0000-000009930000}"/>
    <cellStyle name="40% - Accent6 4 3 3 2 2 3 2 2" xfId="42950" xr:uid="{00000000-0005-0000-0000-00000A930000}"/>
    <cellStyle name="40% - Accent6 4 3 3 2 2 3 3" xfId="31649" xr:uid="{00000000-0005-0000-0000-00000B930000}"/>
    <cellStyle name="40% - Accent6 4 3 3 2 2 4" xfId="14698" xr:uid="{00000000-0005-0000-0000-00000C930000}"/>
    <cellStyle name="40% - Accent6 4 3 3 2 2 4 2" xfId="37300" xr:uid="{00000000-0005-0000-0000-00000D930000}"/>
    <cellStyle name="40% - Accent6 4 3 3 2 2 5" xfId="25999" xr:uid="{00000000-0005-0000-0000-00000E930000}"/>
    <cellStyle name="40% - Accent6 4 3 3 2 3" xfId="4995" xr:uid="{00000000-0005-0000-0000-00000F930000}"/>
    <cellStyle name="40% - Accent6 4 3 3 2 3 2" xfId="10645" xr:uid="{00000000-0005-0000-0000-000010930000}"/>
    <cellStyle name="40% - Accent6 4 3 3 2 3 2 2" xfId="21946" xr:uid="{00000000-0005-0000-0000-000011930000}"/>
    <cellStyle name="40% - Accent6 4 3 3 2 3 2 2 2" xfId="44548" xr:uid="{00000000-0005-0000-0000-000012930000}"/>
    <cellStyle name="40% - Accent6 4 3 3 2 3 2 3" xfId="33247" xr:uid="{00000000-0005-0000-0000-000013930000}"/>
    <cellStyle name="40% - Accent6 4 3 3 2 3 3" xfId="16296" xr:uid="{00000000-0005-0000-0000-000014930000}"/>
    <cellStyle name="40% - Accent6 4 3 3 2 3 3 2" xfId="38898" xr:uid="{00000000-0005-0000-0000-000015930000}"/>
    <cellStyle name="40% - Accent6 4 3 3 2 3 4" xfId="27597" xr:uid="{00000000-0005-0000-0000-000016930000}"/>
    <cellStyle name="40% - Accent6 4 3 3 2 4" xfId="7855" xr:uid="{00000000-0005-0000-0000-000017930000}"/>
    <cellStyle name="40% - Accent6 4 3 3 2 4 2" xfId="19156" xr:uid="{00000000-0005-0000-0000-000018930000}"/>
    <cellStyle name="40% - Accent6 4 3 3 2 4 2 2" xfId="41758" xr:uid="{00000000-0005-0000-0000-000019930000}"/>
    <cellStyle name="40% - Accent6 4 3 3 2 4 3" xfId="30457" xr:uid="{00000000-0005-0000-0000-00001A930000}"/>
    <cellStyle name="40% - Accent6 4 3 3 2 5" xfId="13506" xr:uid="{00000000-0005-0000-0000-00001B930000}"/>
    <cellStyle name="40% - Accent6 4 3 3 2 5 2" xfId="36108" xr:uid="{00000000-0005-0000-0000-00001C930000}"/>
    <cellStyle name="40% - Accent6 4 3 3 2 6" xfId="24807" xr:uid="{00000000-0005-0000-0000-00001D930000}"/>
    <cellStyle name="40% - Accent6 4 3 3 3" xfId="2586" xr:uid="{00000000-0005-0000-0000-00001E930000}"/>
    <cellStyle name="40% - Accent6 4 3 3 3 2" xfId="5605" xr:uid="{00000000-0005-0000-0000-00001F930000}"/>
    <cellStyle name="40% - Accent6 4 3 3 3 2 2" xfId="11255" xr:uid="{00000000-0005-0000-0000-000020930000}"/>
    <cellStyle name="40% - Accent6 4 3 3 3 2 2 2" xfId="22556" xr:uid="{00000000-0005-0000-0000-000021930000}"/>
    <cellStyle name="40% - Accent6 4 3 3 3 2 2 2 2" xfId="45158" xr:uid="{00000000-0005-0000-0000-000022930000}"/>
    <cellStyle name="40% - Accent6 4 3 3 3 2 2 3" xfId="33857" xr:uid="{00000000-0005-0000-0000-000023930000}"/>
    <cellStyle name="40% - Accent6 4 3 3 3 2 3" xfId="16906" xr:uid="{00000000-0005-0000-0000-000024930000}"/>
    <cellStyle name="40% - Accent6 4 3 3 3 2 3 2" xfId="39508" xr:uid="{00000000-0005-0000-0000-000025930000}"/>
    <cellStyle name="40% - Accent6 4 3 3 3 2 4" xfId="28207" xr:uid="{00000000-0005-0000-0000-000026930000}"/>
    <cellStyle name="40% - Accent6 4 3 3 3 3" xfId="8422" xr:uid="{00000000-0005-0000-0000-000027930000}"/>
    <cellStyle name="40% - Accent6 4 3 3 3 3 2" xfId="19723" xr:uid="{00000000-0005-0000-0000-000028930000}"/>
    <cellStyle name="40% - Accent6 4 3 3 3 3 2 2" xfId="42325" xr:uid="{00000000-0005-0000-0000-000029930000}"/>
    <cellStyle name="40% - Accent6 4 3 3 3 3 3" xfId="31024" xr:uid="{00000000-0005-0000-0000-00002A930000}"/>
    <cellStyle name="40% - Accent6 4 3 3 3 4" xfId="14073" xr:uid="{00000000-0005-0000-0000-00002B930000}"/>
    <cellStyle name="40% - Accent6 4 3 3 3 4 2" xfId="36675" xr:uid="{00000000-0005-0000-0000-00002C930000}"/>
    <cellStyle name="40% - Accent6 4 3 3 3 5" xfId="25374" xr:uid="{00000000-0005-0000-0000-00002D930000}"/>
    <cellStyle name="40% - Accent6 4 3 3 4" xfId="4371" xr:uid="{00000000-0005-0000-0000-00002E930000}"/>
    <cellStyle name="40% - Accent6 4 3 3 4 2" xfId="10021" xr:uid="{00000000-0005-0000-0000-00002F930000}"/>
    <cellStyle name="40% - Accent6 4 3 3 4 2 2" xfId="21322" xr:uid="{00000000-0005-0000-0000-000030930000}"/>
    <cellStyle name="40% - Accent6 4 3 3 4 2 2 2" xfId="43924" xr:uid="{00000000-0005-0000-0000-000031930000}"/>
    <cellStyle name="40% - Accent6 4 3 3 4 2 3" xfId="32623" xr:uid="{00000000-0005-0000-0000-000032930000}"/>
    <cellStyle name="40% - Accent6 4 3 3 4 3" xfId="15672" xr:uid="{00000000-0005-0000-0000-000033930000}"/>
    <cellStyle name="40% - Accent6 4 3 3 4 3 2" xfId="38274" xr:uid="{00000000-0005-0000-0000-000034930000}"/>
    <cellStyle name="40% - Accent6 4 3 3 4 4" xfId="26973" xr:uid="{00000000-0005-0000-0000-000035930000}"/>
    <cellStyle name="40% - Accent6 4 3 3 5" xfId="7168" xr:uid="{00000000-0005-0000-0000-000036930000}"/>
    <cellStyle name="40% - Accent6 4 3 3 5 2" xfId="18469" xr:uid="{00000000-0005-0000-0000-000037930000}"/>
    <cellStyle name="40% - Accent6 4 3 3 5 2 2" xfId="41071" xr:uid="{00000000-0005-0000-0000-000038930000}"/>
    <cellStyle name="40% - Accent6 4 3 3 5 3" xfId="29770" xr:uid="{00000000-0005-0000-0000-000039930000}"/>
    <cellStyle name="40% - Accent6 4 3 3 6" xfId="12819" xr:uid="{00000000-0005-0000-0000-00003A930000}"/>
    <cellStyle name="40% - Accent6 4 3 3 6 2" xfId="35421" xr:uid="{00000000-0005-0000-0000-00003B930000}"/>
    <cellStyle name="40% - Accent6 4 3 3 7" xfId="24120" xr:uid="{00000000-0005-0000-0000-00003C930000}"/>
    <cellStyle name="40% - Accent6 4 3 4" xfId="880" xr:uid="{00000000-0005-0000-0000-00003D930000}"/>
    <cellStyle name="40% - Accent6 4 3 4 2" xfId="2950" xr:uid="{00000000-0005-0000-0000-00003E930000}"/>
    <cellStyle name="40% - Accent6 4 3 4 2 2" xfId="5922" xr:uid="{00000000-0005-0000-0000-00003F930000}"/>
    <cellStyle name="40% - Accent6 4 3 4 2 2 2" xfId="11572" xr:uid="{00000000-0005-0000-0000-000040930000}"/>
    <cellStyle name="40% - Accent6 4 3 4 2 2 2 2" xfId="22873" xr:uid="{00000000-0005-0000-0000-000041930000}"/>
    <cellStyle name="40% - Accent6 4 3 4 2 2 2 2 2" xfId="45475" xr:uid="{00000000-0005-0000-0000-000042930000}"/>
    <cellStyle name="40% - Accent6 4 3 4 2 2 2 3" xfId="34174" xr:uid="{00000000-0005-0000-0000-000043930000}"/>
    <cellStyle name="40% - Accent6 4 3 4 2 2 3" xfId="17223" xr:uid="{00000000-0005-0000-0000-000044930000}"/>
    <cellStyle name="40% - Accent6 4 3 4 2 2 3 2" xfId="39825" xr:uid="{00000000-0005-0000-0000-000045930000}"/>
    <cellStyle name="40% - Accent6 4 3 4 2 2 4" xfId="28524" xr:uid="{00000000-0005-0000-0000-000046930000}"/>
    <cellStyle name="40% - Accent6 4 3 4 2 3" xfId="8740" xr:uid="{00000000-0005-0000-0000-000047930000}"/>
    <cellStyle name="40% - Accent6 4 3 4 2 3 2" xfId="20041" xr:uid="{00000000-0005-0000-0000-000048930000}"/>
    <cellStyle name="40% - Accent6 4 3 4 2 3 2 2" xfId="42643" xr:uid="{00000000-0005-0000-0000-000049930000}"/>
    <cellStyle name="40% - Accent6 4 3 4 2 3 3" xfId="31342" xr:uid="{00000000-0005-0000-0000-00004A930000}"/>
    <cellStyle name="40% - Accent6 4 3 4 2 4" xfId="14391" xr:uid="{00000000-0005-0000-0000-00004B930000}"/>
    <cellStyle name="40% - Accent6 4 3 4 2 4 2" xfId="36993" xr:uid="{00000000-0005-0000-0000-00004C930000}"/>
    <cellStyle name="40% - Accent6 4 3 4 2 5" xfId="25692" xr:uid="{00000000-0005-0000-0000-00004D930000}"/>
    <cellStyle name="40% - Accent6 4 3 4 3" xfId="4688" xr:uid="{00000000-0005-0000-0000-00004E930000}"/>
    <cellStyle name="40% - Accent6 4 3 4 3 2" xfId="10338" xr:uid="{00000000-0005-0000-0000-00004F930000}"/>
    <cellStyle name="40% - Accent6 4 3 4 3 2 2" xfId="21639" xr:uid="{00000000-0005-0000-0000-000050930000}"/>
    <cellStyle name="40% - Accent6 4 3 4 3 2 2 2" xfId="44241" xr:uid="{00000000-0005-0000-0000-000051930000}"/>
    <cellStyle name="40% - Accent6 4 3 4 3 2 3" xfId="32940" xr:uid="{00000000-0005-0000-0000-000052930000}"/>
    <cellStyle name="40% - Accent6 4 3 4 3 3" xfId="15989" xr:uid="{00000000-0005-0000-0000-000053930000}"/>
    <cellStyle name="40% - Accent6 4 3 4 3 3 2" xfId="38591" xr:uid="{00000000-0005-0000-0000-000054930000}"/>
    <cellStyle name="40% - Accent6 4 3 4 3 4" xfId="27290" xr:uid="{00000000-0005-0000-0000-000055930000}"/>
    <cellStyle name="40% - Accent6 4 3 4 4" xfId="6875" xr:uid="{00000000-0005-0000-0000-000056930000}"/>
    <cellStyle name="40% - Accent6 4 3 4 4 2" xfId="18176" xr:uid="{00000000-0005-0000-0000-000057930000}"/>
    <cellStyle name="40% - Accent6 4 3 4 4 2 2" xfId="40778" xr:uid="{00000000-0005-0000-0000-000058930000}"/>
    <cellStyle name="40% - Accent6 4 3 4 4 3" xfId="29477" xr:uid="{00000000-0005-0000-0000-000059930000}"/>
    <cellStyle name="40% - Accent6 4 3 4 5" xfId="12526" xr:uid="{00000000-0005-0000-0000-00005A930000}"/>
    <cellStyle name="40% - Accent6 4 3 4 5 2" xfId="35128" xr:uid="{00000000-0005-0000-0000-00005B930000}"/>
    <cellStyle name="40% - Accent6 4 3 4 6" xfId="23827" xr:uid="{00000000-0005-0000-0000-00005C930000}"/>
    <cellStyle name="40% - Accent6 4 3 5" xfId="1996" xr:uid="{00000000-0005-0000-0000-00005D930000}"/>
    <cellStyle name="40% - Accent6 4 3 5 2" xfId="3774" xr:uid="{00000000-0005-0000-0000-00005E930000}"/>
    <cellStyle name="40% - Accent6 4 3 5 2 2" xfId="9482" xr:uid="{00000000-0005-0000-0000-00005F930000}"/>
    <cellStyle name="40% - Accent6 4 3 5 2 2 2" xfId="20783" xr:uid="{00000000-0005-0000-0000-000060930000}"/>
    <cellStyle name="40% - Accent6 4 3 5 2 2 2 2" xfId="43385" xr:uid="{00000000-0005-0000-0000-000061930000}"/>
    <cellStyle name="40% - Accent6 4 3 5 2 2 3" xfId="32084" xr:uid="{00000000-0005-0000-0000-000062930000}"/>
    <cellStyle name="40% - Accent6 4 3 5 2 3" xfId="15133" xr:uid="{00000000-0005-0000-0000-000063930000}"/>
    <cellStyle name="40% - Accent6 4 3 5 2 3 2" xfId="37735" xr:uid="{00000000-0005-0000-0000-000064930000}"/>
    <cellStyle name="40% - Accent6 4 3 5 2 4" xfId="26434" xr:uid="{00000000-0005-0000-0000-000065930000}"/>
    <cellStyle name="40% - Accent6 4 3 5 3" xfId="5298" xr:uid="{00000000-0005-0000-0000-000066930000}"/>
    <cellStyle name="40% - Accent6 4 3 5 3 2" xfId="10948" xr:uid="{00000000-0005-0000-0000-000067930000}"/>
    <cellStyle name="40% - Accent6 4 3 5 3 2 2" xfId="22249" xr:uid="{00000000-0005-0000-0000-000068930000}"/>
    <cellStyle name="40% - Accent6 4 3 5 3 2 2 2" xfId="44851" xr:uid="{00000000-0005-0000-0000-000069930000}"/>
    <cellStyle name="40% - Accent6 4 3 5 3 2 3" xfId="33550" xr:uid="{00000000-0005-0000-0000-00006A930000}"/>
    <cellStyle name="40% - Accent6 4 3 5 3 3" xfId="16599" xr:uid="{00000000-0005-0000-0000-00006B930000}"/>
    <cellStyle name="40% - Accent6 4 3 5 3 3 2" xfId="39201" xr:uid="{00000000-0005-0000-0000-00006C930000}"/>
    <cellStyle name="40% - Accent6 4 3 5 3 4" xfId="27900" xr:uid="{00000000-0005-0000-0000-00006D930000}"/>
    <cellStyle name="40% - Accent6 4 3 5 4" xfId="7852" xr:uid="{00000000-0005-0000-0000-00006E930000}"/>
    <cellStyle name="40% - Accent6 4 3 5 4 2" xfId="19153" xr:uid="{00000000-0005-0000-0000-00006F930000}"/>
    <cellStyle name="40% - Accent6 4 3 5 4 2 2" xfId="41755" xr:uid="{00000000-0005-0000-0000-000070930000}"/>
    <cellStyle name="40% - Accent6 4 3 5 4 3" xfId="30454" xr:uid="{00000000-0005-0000-0000-000071930000}"/>
    <cellStyle name="40% - Accent6 4 3 5 5" xfId="13503" xr:uid="{00000000-0005-0000-0000-000072930000}"/>
    <cellStyle name="40% - Accent6 4 3 5 5 2" xfId="36105" xr:uid="{00000000-0005-0000-0000-000073930000}"/>
    <cellStyle name="40% - Accent6 4 3 5 6" xfId="24804" xr:uid="{00000000-0005-0000-0000-000074930000}"/>
    <cellStyle name="40% - Accent6 4 3 6" xfId="2277" xr:uid="{00000000-0005-0000-0000-000075930000}"/>
    <cellStyle name="40% - Accent6 4 3 6 2" xfId="8113" xr:uid="{00000000-0005-0000-0000-000076930000}"/>
    <cellStyle name="40% - Accent6 4 3 6 2 2" xfId="19414" xr:uid="{00000000-0005-0000-0000-000077930000}"/>
    <cellStyle name="40% - Accent6 4 3 6 2 2 2" xfId="42016" xr:uid="{00000000-0005-0000-0000-000078930000}"/>
    <cellStyle name="40% - Accent6 4 3 6 2 3" xfId="30715" xr:uid="{00000000-0005-0000-0000-000079930000}"/>
    <cellStyle name="40% - Accent6 4 3 6 3" xfId="13764" xr:uid="{00000000-0005-0000-0000-00007A930000}"/>
    <cellStyle name="40% - Accent6 4 3 6 3 2" xfId="36366" xr:uid="{00000000-0005-0000-0000-00007B930000}"/>
    <cellStyle name="40% - Accent6 4 3 6 4" xfId="25065" xr:uid="{00000000-0005-0000-0000-00007C930000}"/>
    <cellStyle name="40% - Accent6 4 3 7" xfId="4064" xr:uid="{00000000-0005-0000-0000-00007D930000}"/>
    <cellStyle name="40% - Accent6 4 3 7 2" xfId="9714" xr:uid="{00000000-0005-0000-0000-00007E930000}"/>
    <cellStyle name="40% - Accent6 4 3 7 2 2" xfId="21015" xr:uid="{00000000-0005-0000-0000-00007F930000}"/>
    <cellStyle name="40% - Accent6 4 3 7 2 2 2" xfId="43617" xr:uid="{00000000-0005-0000-0000-000080930000}"/>
    <cellStyle name="40% - Accent6 4 3 7 2 3" xfId="32316" xr:uid="{00000000-0005-0000-0000-000081930000}"/>
    <cellStyle name="40% - Accent6 4 3 7 3" xfId="15365" xr:uid="{00000000-0005-0000-0000-000082930000}"/>
    <cellStyle name="40% - Accent6 4 3 7 3 2" xfId="37967" xr:uid="{00000000-0005-0000-0000-000083930000}"/>
    <cellStyle name="40% - Accent6 4 3 7 4" xfId="26666" xr:uid="{00000000-0005-0000-0000-000084930000}"/>
    <cellStyle name="40% - Accent6 4 3 8" xfId="6515" xr:uid="{00000000-0005-0000-0000-000085930000}"/>
    <cellStyle name="40% - Accent6 4 3 8 2" xfId="17816" xr:uid="{00000000-0005-0000-0000-000086930000}"/>
    <cellStyle name="40% - Accent6 4 3 8 2 2" xfId="40418" xr:uid="{00000000-0005-0000-0000-000087930000}"/>
    <cellStyle name="40% - Accent6 4 3 8 3" xfId="29117" xr:uid="{00000000-0005-0000-0000-000088930000}"/>
    <cellStyle name="40% - Accent6 4 3 9" xfId="12166" xr:uid="{00000000-0005-0000-0000-000089930000}"/>
    <cellStyle name="40% - Accent6 4 3 9 2" xfId="34768" xr:uid="{00000000-0005-0000-0000-00008A930000}"/>
    <cellStyle name="40% - Accent6 4 4" xfId="519" xr:uid="{00000000-0005-0000-0000-00008B930000}"/>
    <cellStyle name="40% - Accent6 4 4 2" xfId="1093" xr:uid="{00000000-0005-0000-0000-00008C930000}"/>
    <cellStyle name="40% - Accent6 4 4 2 2" xfId="2001" xr:uid="{00000000-0005-0000-0000-00008D930000}"/>
    <cellStyle name="40% - Accent6 4 4 2 2 2" xfId="3161" xr:uid="{00000000-0005-0000-0000-00008E930000}"/>
    <cellStyle name="40% - Accent6 4 4 2 2 2 2" xfId="6133" xr:uid="{00000000-0005-0000-0000-00008F930000}"/>
    <cellStyle name="40% - Accent6 4 4 2 2 2 2 2" xfId="11783" xr:uid="{00000000-0005-0000-0000-000090930000}"/>
    <cellStyle name="40% - Accent6 4 4 2 2 2 2 2 2" xfId="23084" xr:uid="{00000000-0005-0000-0000-000091930000}"/>
    <cellStyle name="40% - Accent6 4 4 2 2 2 2 2 2 2" xfId="45686" xr:uid="{00000000-0005-0000-0000-000092930000}"/>
    <cellStyle name="40% - Accent6 4 4 2 2 2 2 2 3" xfId="34385" xr:uid="{00000000-0005-0000-0000-000093930000}"/>
    <cellStyle name="40% - Accent6 4 4 2 2 2 2 3" xfId="17434" xr:uid="{00000000-0005-0000-0000-000094930000}"/>
    <cellStyle name="40% - Accent6 4 4 2 2 2 2 3 2" xfId="40036" xr:uid="{00000000-0005-0000-0000-000095930000}"/>
    <cellStyle name="40% - Accent6 4 4 2 2 2 2 4" xfId="28735" xr:uid="{00000000-0005-0000-0000-000096930000}"/>
    <cellStyle name="40% - Accent6 4 4 2 2 2 3" xfId="8951" xr:uid="{00000000-0005-0000-0000-000097930000}"/>
    <cellStyle name="40% - Accent6 4 4 2 2 2 3 2" xfId="20252" xr:uid="{00000000-0005-0000-0000-000098930000}"/>
    <cellStyle name="40% - Accent6 4 4 2 2 2 3 2 2" xfId="42854" xr:uid="{00000000-0005-0000-0000-000099930000}"/>
    <cellStyle name="40% - Accent6 4 4 2 2 2 3 3" xfId="31553" xr:uid="{00000000-0005-0000-0000-00009A930000}"/>
    <cellStyle name="40% - Accent6 4 4 2 2 2 4" xfId="14602" xr:uid="{00000000-0005-0000-0000-00009B930000}"/>
    <cellStyle name="40% - Accent6 4 4 2 2 2 4 2" xfId="37204" xr:uid="{00000000-0005-0000-0000-00009C930000}"/>
    <cellStyle name="40% - Accent6 4 4 2 2 2 5" xfId="25903" xr:uid="{00000000-0005-0000-0000-00009D930000}"/>
    <cellStyle name="40% - Accent6 4 4 2 2 3" xfId="4899" xr:uid="{00000000-0005-0000-0000-00009E930000}"/>
    <cellStyle name="40% - Accent6 4 4 2 2 3 2" xfId="10549" xr:uid="{00000000-0005-0000-0000-00009F930000}"/>
    <cellStyle name="40% - Accent6 4 4 2 2 3 2 2" xfId="21850" xr:uid="{00000000-0005-0000-0000-0000A0930000}"/>
    <cellStyle name="40% - Accent6 4 4 2 2 3 2 2 2" xfId="44452" xr:uid="{00000000-0005-0000-0000-0000A1930000}"/>
    <cellStyle name="40% - Accent6 4 4 2 2 3 2 3" xfId="33151" xr:uid="{00000000-0005-0000-0000-0000A2930000}"/>
    <cellStyle name="40% - Accent6 4 4 2 2 3 3" xfId="16200" xr:uid="{00000000-0005-0000-0000-0000A3930000}"/>
    <cellStyle name="40% - Accent6 4 4 2 2 3 3 2" xfId="38802" xr:uid="{00000000-0005-0000-0000-0000A4930000}"/>
    <cellStyle name="40% - Accent6 4 4 2 2 3 4" xfId="27501" xr:uid="{00000000-0005-0000-0000-0000A5930000}"/>
    <cellStyle name="40% - Accent6 4 4 2 2 4" xfId="7857" xr:uid="{00000000-0005-0000-0000-0000A6930000}"/>
    <cellStyle name="40% - Accent6 4 4 2 2 4 2" xfId="19158" xr:uid="{00000000-0005-0000-0000-0000A7930000}"/>
    <cellStyle name="40% - Accent6 4 4 2 2 4 2 2" xfId="41760" xr:uid="{00000000-0005-0000-0000-0000A8930000}"/>
    <cellStyle name="40% - Accent6 4 4 2 2 4 3" xfId="30459" xr:uid="{00000000-0005-0000-0000-0000A9930000}"/>
    <cellStyle name="40% - Accent6 4 4 2 2 5" xfId="13508" xr:uid="{00000000-0005-0000-0000-0000AA930000}"/>
    <cellStyle name="40% - Accent6 4 4 2 2 5 2" xfId="36110" xr:uid="{00000000-0005-0000-0000-0000AB930000}"/>
    <cellStyle name="40% - Accent6 4 4 2 2 6" xfId="24809" xr:uid="{00000000-0005-0000-0000-0000AC930000}"/>
    <cellStyle name="40% - Accent6 4 4 2 3" xfId="2490" xr:uid="{00000000-0005-0000-0000-0000AD930000}"/>
    <cellStyle name="40% - Accent6 4 4 2 3 2" xfId="5509" xr:uid="{00000000-0005-0000-0000-0000AE930000}"/>
    <cellStyle name="40% - Accent6 4 4 2 3 2 2" xfId="11159" xr:uid="{00000000-0005-0000-0000-0000AF930000}"/>
    <cellStyle name="40% - Accent6 4 4 2 3 2 2 2" xfId="22460" xr:uid="{00000000-0005-0000-0000-0000B0930000}"/>
    <cellStyle name="40% - Accent6 4 4 2 3 2 2 2 2" xfId="45062" xr:uid="{00000000-0005-0000-0000-0000B1930000}"/>
    <cellStyle name="40% - Accent6 4 4 2 3 2 2 3" xfId="33761" xr:uid="{00000000-0005-0000-0000-0000B2930000}"/>
    <cellStyle name="40% - Accent6 4 4 2 3 2 3" xfId="16810" xr:uid="{00000000-0005-0000-0000-0000B3930000}"/>
    <cellStyle name="40% - Accent6 4 4 2 3 2 3 2" xfId="39412" xr:uid="{00000000-0005-0000-0000-0000B4930000}"/>
    <cellStyle name="40% - Accent6 4 4 2 3 2 4" xfId="28111" xr:uid="{00000000-0005-0000-0000-0000B5930000}"/>
    <cellStyle name="40% - Accent6 4 4 2 3 3" xfId="8326" xr:uid="{00000000-0005-0000-0000-0000B6930000}"/>
    <cellStyle name="40% - Accent6 4 4 2 3 3 2" xfId="19627" xr:uid="{00000000-0005-0000-0000-0000B7930000}"/>
    <cellStyle name="40% - Accent6 4 4 2 3 3 2 2" xfId="42229" xr:uid="{00000000-0005-0000-0000-0000B8930000}"/>
    <cellStyle name="40% - Accent6 4 4 2 3 3 3" xfId="30928" xr:uid="{00000000-0005-0000-0000-0000B9930000}"/>
    <cellStyle name="40% - Accent6 4 4 2 3 4" xfId="13977" xr:uid="{00000000-0005-0000-0000-0000BA930000}"/>
    <cellStyle name="40% - Accent6 4 4 2 3 4 2" xfId="36579" xr:uid="{00000000-0005-0000-0000-0000BB930000}"/>
    <cellStyle name="40% - Accent6 4 4 2 3 5" xfId="25278" xr:uid="{00000000-0005-0000-0000-0000BC930000}"/>
    <cellStyle name="40% - Accent6 4 4 2 4" xfId="4275" xr:uid="{00000000-0005-0000-0000-0000BD930000}"/>
    <cellStyle name="40% - Accent6 4 4 2 4 2" xfId="9925" xr:uid="{00000000-0005-0000-0000-0000BE930000}"/>
    <cellStyle name="40% - Accent6 4 4 2 4 2 2" xfId="21226" xr:uid="{00000000-0005-0000-0000-0000BF930000}"/>
    <cellStyle name="40% - Accent6 4 4 2 4 2 2 2" xfId="43828" xr:uid="{00000000-0005-0000-0000-0000C0930000}"/>
    <cellStyle name="40% - Accent6 4 4 2 4 2 3" xfId="32527" xr:uid="{00000000-0005-0000-0000-0000C1930000}"/>
    <cellStyle name="40% - Accent6 4 4 2 4 3" xfId="15576" xr:uid="{00000000-0005-0000-0000-0000C2930000}"/>
    <cellStyle name="40% - Accent6 4 4 2 4 3 2" xfId="38178" xr:uid="{00000000-0005-0000-0000-0000C3930000}"/>
    <cellStyle name="40% - Accent6 4 4 2 4 4" xfId="26877" xr:uid="{00000000-0005-0000-0000-0000C4930000}"/>
    <cellStyle name="40% - Accent6 4 4 2 5" xfId="7072" xr:uid="{00000000-0005-0000-0000-0000C5930000}"/>
    <cellStyle name="40% - Accent6 4 4 2 5 2" xfId="18373" xr:uid="{00000000-0005-0000-0000-0000C6930000}"/>
    <cellStyle name="40% - Accent6 4 4 2 5 2 2" xfId="40975" xr:uid="{00000000-0005-0000-0000-0000C7930000}"/>
    <cellStyle name="40% - Accent6 4 4 2 5 3" xfId="29674" xr:uid="{00000000-0005-0000-0000-0000C8930000}"/>
    <cellStyle name="40% - Accent6 4 4 2 6" xfId="12723" xr:uid="{00000000-0005-0000-0000-0000C9930000}"/>
    <cellStyle name="40% - Accent6 4 4 2 6 2" xfId="35325" xr:uid="{00000000-0005-0000-0000-0000CA930000}"/>
    <cellStyle name="40% - Accent6 4 4 2 7" xfId="24024" xr:uid="{00000000-0005-0000-0000-0000CB930000}"/>
    <cellStyle name="40% - Accent6 4 4 3" xfId="767" xr:uid="{00000000-0005-0000-0000-0000CC930000}"/>
    <cellStyle name="40% - Accent6 4 4 3 2" xfId="2854" xr:uid="{00000000-0005-0000-0000-0000CD930000}"/>
    <cellStyle name="40% - Accent6 4 4 3 2 2" xfId="5826" xr:uid="{00000000-0005-0000-0000-0000CE930000}"/>
    <cellStyle name="40% - Accent6 4 4 3 2 2 2" xfId="11476" xr:uid="{00000000-0005-0000-0000-0000CF930000}"/>
    <cellStyle name="40% - Accent6 4 4 3 2 2 2 2" xfId="22777" xr:uid="{00000000-0005-0000-0000-0000D0930000}"/>
    <cellStyle name="40% - Accent6 4 4 3 2 2 2 2 2" xfId="45379" xr:uid="{00000000-0005-0000-0000-0000D1930000}"/>
    <cellStyle name="40% - Accent6 4 4 3 2 2 2 3" xfId="34078" xr:uid="{00000000-0005-0000-0000-0000D2930000}"/>
    <cellStyle name="40% - Accent6 4 4 3 2 2 3" xfId="17127" xr:uid="{00000000-0005-0000-0000-0000D3930000}"/>
    <cellStyle name="40% - Accent6 4 4 3 2 2 3 2" xfId="39729" xr:uid="{00000000-0005-0000-0000-0000D4930000}"/>
    <cellStyle name="40% - Accent6 4 4 3 2 2 4" xfId="28428" xr:uid="{00000000-0005-0000-0000-0000D5930000}"/>
    <cellStyle name="40% - Accent6 4 4 3 2 3" xfId="8644" xr:uid="{00000000-0005-0000-0000-0000D6930000}"/>
    <cellStyle name="40% - Accent6 4 4 3 2 3 2" xfId="19945" xr:uid="{00000000-0005-0000-0000-0000D7930000}"/>
    <cellStyle name="40% - Accent6 4 4 3 2 3 2 2" xfId="42547" xr:uid="{00000000-0005-0000-0000-0000D8930000}"/>
    <cellStyle name="40% - Accent6 4 4 3 2 3 3" xfId="31246" xr:uid="{00000000-0005-0000-0000-0000D9930000}"/>
    <cellStyle name="40% - Accent6 4 4 3 2 4" xfId="14295" xr:uid="{00000000-0005-0000-0000-0000DA930000}"/>
    <cellStyle name="40% - Accent6 4 4 3 2 4 2" xfId="36897" xr:uid="{00000000-0005-0000-0000-0000DB930000}"/>
    <cellStyle name="40% - Accent6 4 4 3 2 5" xfId="25596" xr:uid="{00000000-0005-0000-0000-0000DC930000}"/>
    <cellStyle name="40% - Accent6 4 4 3 3" xfId="4592" xr:uid="{00000000-0005-0000-0000-0000DD930000}"/>
    <cellStyle name="40% - Accent6 4 4 3 3 2" xfId="10242" xr:uid="{00000000-0005-0000-0000-0000DE930000}"/>
    <cellStyle name="40% - Accent6 4 4 3 3 2 2" xfId="21543" xr:uid="{00000000-0005-0000-0000-0000DF930000}"/>
    <cellStyle name="40% - Accent6 4 4 3 3 2 2 2" xfId="44145" xr:uid="{00000000-0005-0000-0000-0000E0930000}"/>
    <cellStyle name="40% - Accent6 4 4 3 3 2 3" xfId="32844" xr:uid="{00000000-0005-0000-0000-0000E1930000}"/>
    <cellStyle name="40% - Accent6 4 4 3 3 3" xfId="15893" xr:uid="{00000000-0005-0000-0000-0000E2930000}"/>
    <cellStyle name="40% - Accent6 4 4 3 3 3 2" xfId="38495" xr:uid="{00000000-0005-0000-0000-0000E3930000}"/>
    <cellStyle name="40% - Accent6 4 4 3 3 4" xfId="27194" xr:uid="{00000000-0005-0000-0000-0000E4930000}"/>
    <cellStyle name="40% - Accent6 4 4 3 4" xfId="6775" xr:uid="{00000000-0005-0000-0000-0000E5930000}"/>
    <cellStyle name="40% - Accent6 4 4 3 4 2" xfId="18076" xr:uid="{00000000-0005-0000-0000-0000E6930000}"/>
    <cellStyle name="40% - Accent6 4 4 3 4 2 2" xfId="40678" xr:uid="{00000000-0005-0000-0000-0000E7930000}"/>
    <cellStyle name="40% - Accent6 4 4 3 4 3" xfId="29377" xr:uid="{00000000-0005-0000-0000-0000E8930000}"/>
    <cellStyle name="40% - Accent6 4 4 3 5" xfId="12426" xr:uid="{00000000-0005-0000-0000-0000E9930000}"/>
    <cellStyle name="40% - Accent6 4 4 3 5 2" xfId="35028" xr:uid="{00000000-0005-0000-0000-0000EA930000}"/>
    <cellStyle name="40% - Accent6 4 4 3 6" xfId="23727" xr:uid="{00000000-0005-0000-0000-0000EB930000}"/>
    <cellStyle name="40% - Accent6 4 4 4" xfId="2000" xr:uid="{00000000-0005-0000-0000-0000EC930000}"/>
    <cellStyle name="40% - Accent6 4 4 4 2" xfId="3776" xr:uid="{00000000-0005-0000-0000-0000ED930000}"/>
    <cellStyle name="40% - Accent6 4 4 4 2 2" xfId="9484" xr:uid="{00000000-0005-0000-0000-0000EE930000}"/>
    <cellStyle name="40% - Accent6 4 4 4 2 2 2" xfId="20785" xr:uid="{00000000-0005-0000-0000-0000EF930000}"/>
    <cellStyle name="40% - Accent6 4 4 4 2 2 2 2" xfId="43387" xr:uid="{00000000-0005-0000-0000-0000F0930000}"/>
    <cellStyle name="40% - Accent6 4 4 4 2 2 3" xfId="32086" xr:uid="{00000000-0005-0000-0000-0000F1930000}"/>
    <cellStyle name="40% - Accent6 4 4 4 2 3" xfId="15135" xr:uid="{00000000-0005-0000-0000-0000F2930000}"/>
    <cellStyle name="40% - Accent6 4 4 4 2 3 2" xfId="37737" xr:uid="{00000000-0005-0000-0000-0000F3930000}"/>
    <cellStyle name="40% - Accent6 4 4 4 2 4" xfId="26436" xr:uid="{00000000-0005-0000-0000-0000F4930000}"/>
    <cellStyle name="40% - Accent6 4 4 4 3" xfId="5202" xr:uid="{00000000-0005-0000-0000-0000F5930000}"/>
    <cellStyle name="40% - Accent6 4 4 4 3 2" xfId="10852" xr:uid="{00000000-0005-0000-0000-0000F6930000}"/>
    <cellStyle name="40% - Accent6 4 4 4 3 2 2" xfId="22153" xr:uid="{00000000-0005-0000-0000-0000F7930000}"/>
    <cellStyle name="40% - Accent6 4 4 4 3 2 2 2" xfId="44755" xr:uid="{00000000-0005-0000-0000-0000F8930000}"/>
    <cellStyle name="40% - Accent6 4 4 4 3 2 3" xfId="33454" xr:uid="{00000000-0005-0000-0000-0000F9930000}"/>
    <cellStyle name="40% - Accent6 4 4 4 3 3" xfId="16503" xr:uid="{00000000-0005-0000-0000-0000FA930000}"/>
    <cellStyle name="40% - Accent6 4 4 4 3 3 2" xfId="39105" xr:uid="{00000000-0005-0000-0000-0000FB930000}"/>
    <cellStyle name="40% - Accent6 4 4 4 3 4" xfId="27804" xr:uid="{00000000-0005-0000-0000-0000FC930000}"/>
    <cellStyle name="40% - Accent6 4 4 4 4" xfId="7856" xr:uid="{00000000-0005-0000-0000-0000FD930000}"/>
    <cellStyle name="40% - Accent6 4 4 4 4 2" xfId="19157" xr:uid="{00000000-0005-0000-0000-0000FE930000}"/>
    <cellStyle name="40% - Accent6 4 4 4 4 2 2" xfId="41759" xr:uid="{00000000-0005-0000-0000-0000FF930000}"/>
    <cellStyle name="40% - Accent6 4 4 4 4 3" xfId="30458" xr:uid="{00000000-0005-0000-0000-000000940000}"/>
    <cellStyle name="40% - Accent6 4 4 4 5" xfId="13507" xr:uid="{00000000-0005-0000-0000-000001940000}"/>
    <cellStyle name="40% - Accent6 4 4 4 5 2" xfId="36109" xr:uid="{00000000-0005-0000-0000-000002940000}"/>
    <cellStyle name="40% - Accent6 4 4 4 6" xfId="24808" xr:uid="{00000000-0005-0000-0000-000003940000}"/>
    <cellStyle name="40% - Accent6 4 4 5" xfId="2174" xr:uid="{00000000-0005-0000-0000-000004940000}"/>
    <cellStyle name="40% - Accent6 4 4 5 2" xfId="8016" xr:uid="{00000000-0005-0000-0000-000005940000}"/>
    <cellStyle name="40% - Accent6 4 4 5 2 2" xfId="19317" xr:uid="{00000000-0005-0000-0000-000006940000}"/>
    <cellStyle name="40% - Accent6 4 4 5 2 2 2" xfId="41919" xr:uid="{00000000-0005-0000-0000-000007940000}"/>
    <cellStyle name="40% - Accent6 4 4 5 2 3" xfId="30618" xr:uid="{00000000-0005-0000-0000-000008940000}"/>
    <cellStyle name="40% - Accent6 4 4 5 3" xfId="13667" xr:uid="{00000000-0005-0000-0000-000009940000}"/>
    <cellStyle name="40% - Accent6 4 4 5 3 2" xfId="36269" xr:uid="{00000000-0005-0000-0000-00000A940000}"/>
    <cellStyle name="40% - Accent6 4 4 5 4" xfId="24968" xr:uid="{00000000-0005-0000-0000-00000B940000}"/>
    <cellStyle name="40% - Accent6 4 4 6" xfId="3968" xr:uid="{00000000-0005-0000-0000-00000C940000}"/>
    <cellStyle name="40% - Accent6 4 4 6 2" xfId="9618" xr:uid="{00000000-0005-0000-0000-00000D940000}"/>
    <cellStyle name="40% - Accent6 4 4 6 2 2" xfId="20919" xr:uid="{00000000-0005-0000-0000-00000E940000}"/>
    <cellStyle name="40% - Accent6 4 4 6 2 2 2" xfId="43521" xr:uid="{00000000-0005-0000-0000-00000F940000}"/>
    <cellStyle name="40% - Accent6 4 4 6 2 3" xfId="32220" xr:uid="{00000000-0005-0000-0000-000010940000}"/>
    <cellStyle name="40% - Accent6 4 4 6 3" xfId="15269" xr:uid="{00000000-0005-0000-0000-000011940000}"/>
    <cellStyle name="40% - Accent6 4 4 6 3 2" xfId="37871" xr:uid="{00000000-0005-0000-0000-000012940000}"/>
    <cellStyle name="40% - Accent6 4 4 6 4" xfId="26570" xr:uid="{00000000-0005-0000-0000-000013940000}"/>
    <cellStyle name="40% - Accent6 4 4 7" xfId="6586" xr:uid="{00000000-0005-0000-0000-000014940000}"/>
    <cellStyle name="40% - Accent6 4 4 7 2" xfId="17887" xr:uid="{00000000-0005-0000-0000-000015940000}"/>
    <cellStyle name="40% - Accent6 4 4 7 2 2" xfId="40489" xr:uid="{00000000-0005-0000-0000-000016940000}"/>
    <cellStyle name="40% - Accent6 4 4 7 3" xfId="29188" xr:uid="{00000000-0005-0000-0000-000017940000}"/>
    <cellStyle name="40% - Accent6 4 4 8" xfId="12237" xr:uid="{00000000-0005-0000-0000-000018940000}"/>
    <cellStyle name="40% - Accent6 4 4 8 2" xfId="34839" xr:uid="{00000000-0005-0000-0000-000019940000}"/>
    <cellStyle name="40% - Accent6 4 4 9" xfId="23538" xr:uid="{00000000-0005-0000-0000-00001A940000}"/>
    <cellStyle name="40% - Accent6 4 5" xfId="463" xr:uid="{00000000-0005-0000-0000-00001B940000}"/>
    <cellStyle name="40% - Accent6 4 5 2" xfId="1232" xr:uid="{00000000-0005-0000-0000-00001C940000}"/>
    <cellStyle name="40% - Accent6 4 5 2 2" xfId="2003" xr:uid="{00000000-0005-0000-0000-00001D940000}"/>
    <cellStyle name="40% - Accent6 4 5 2 2 2" xfId="3301" xr:uid="{00000000-0005-0000-0000-00001E940000}"/>
    <cellStyle name="40% - Accent6 4 5 2 2 2 2" xfId="6273" xr:uid="{00000000-0005-0000-0000-00001F940000}"/>
    <cellStyle name="40% - Accent6 4 5 2 2 2 2 2" xfId="11923" xr:uid="{00000000-0005-0000-0000-000020940000}"/>
    <cellStyle name="40% - Accent6 4 5 2 2 2 2 2 2" xfId="23224" xr:uid="{00000000-0005-0000-0000-000021940000}"/>
    <cellStyle name="40% - Accent6 4 5 2 2 2 2 2 2 2" xfId="45826" xr:uid="{00000000-0005-0000-0000-000022940000}"/>
    <cellStyle name="40% - Accent6 4 5 2 2 2 2 2 3" xfId="34525" xr:uid="{00000000-0005-0000-0000-000023940000}"/>
    <cellStyle name="40% - Accent6 4 5 2 2 2 2 3" xfId="17574" xr:uid="{00000000-0005-0000-0000-000024940000}"/>
    <cellStyle name="40% - Accent6 4 5 2 2 2 2 3 2" xfId="40176" xr:uid="{00000000-0005-0000-0000-000025940000}"/>
    <cellStyle name="40% - Accent6 4 5 2 2 2 2 4" xfId="28875" xr:uid="{00000000-0005-0000-0000-000026940000}"/>
    <cellStyle name="40% - Accent6 4 5 2 2 2 3" xfId="9091" xr:uid="{00000000-0005-0000-0000-000027940000}"/>
    <cellStyle name="40% - Accent6 4 5 2 2 2 3 2" xfId="20392" xr:uid="{00000000-0005-0000-0000-000028940000}"/>
    <cellStyle name="40% - Accent6 4 5 2 2 2 3 2 2" xfId="42994" xr:uid="{00000000-0005-0000-0000-000029940000}"/>
    <cellStyle name="40% - Accent6 4 5 2 2 2 3 3" xfId="31693" xr:uid="{00000000-0005-0000-0000-00002A940000}"/>
    <cellStyle name="40% - Accent6 4 5 2 2 2 4" xfId="14742" xr:uid="{00000000-0005-0000-0000-00002B940000}"/>
    <cellStyle name="40% - Accent6 4 5 2 2 2 4 2" xfId="37344" xr:uid="{00000000-0005-0000-0000-00002C940000}"/>
    <cellStyle name="40% - Accent6 4 5 2 2 2 5" xfId="26043" xr:uid="{00000000-0005-0000-0000-00002D940000}"/>
    <cellStyle name="40% - Accent6 4 5 2 2 3" xfId="5039" xr:uid="{00000000-0005-0000-0000-00002E940000}"/>
    <cellStyle name="40% - Accent6 4 5 2 2 3 2" xfId="10689" xr:uid="{00000000-0005-0000-0000-00002F940000}"/>
    <cellStyle name="40% - Accent6 4 5 2 2 3 2 2" xfId="21990" xr:uid="{00000000-0005-0000-0000-000030940000}"/>
    <cellStyle name="40% - Accent6 4 5 2 2 3 2 2 2" xfId="44592" xr:uid="{00000000-0005-0000-0000-000031940000}"/>
    <cellStyle name="40% - Accent6 4 5 2 2 3 2 3" xfId="33291" xr:uid="{00000000-0005-0000-0000-000032940000}"/>
    <cellStyle name="40% - Accent6 4 5 2 2 3 3" xfId="16340" xr:uid="{00000000-0005-0000-0000-000033940000}"/>
    <cellStyle name="40% - Accent6 4 5 2 2 3 3 2" xfId="38942" xr:uid="{00000000-0005-0000-0000-000034940000}"/>
    <cellStyle name="40% - Accent6 4 5 2 2 3 4" xfId="27641" xr:uid="{00000000-0005-0000-0000-000035940000}"/>
    <cellStyle name="40% - Accent6 4 5 2 2 4" xfId="7859" xr:uid="{00000000-0005-0000-0000-000036940000}"/>
    <cellStyle name="40% - Accent6 4 5 2 2 4 2" xfId="19160" xr:uid="{00000000-0005-0000-0000-000037940000}"/>
    <cellStyle name="40% - Accent6 4 5 2 2 4 2 2" xfId="41762" xr:uid="{00000000-0005-0000-0000-000038940000}"/>
    <cellStyle name="40% - Accent6 4 5 2 2 4 3" xfId="30461" xr:uid="{00000000-0005-0000-0000-000039940000}"/>
    <cellStyle name="40% - Accent6 4 5 2 2 5" xfId="13510" xr:uid="{00000000-0005-0000-0000-00003A940000}"/>
    <cellStyle name="40% - Accent6 4 5 2 2 5 2" xfId="36112" xr:uid="{00000000-0005-0000-0000-00003B940000}"/>
    <cellStyle name="40% - Accent6 4 5 2 2 6" xfId="24811" xr:uid="{00000000-0005-0000-0000-00003C940000}"/>
    <cellStyle name="40% - Accent6 4 5 2 3" xfId="2630" xr:uid="{00000000-0005-0000-0000-00003D940000}"/>
    <cellStyle name="40% - Accent6 4 5 2 3 2" xfId="5649" xr:uid="{00000000-0005-0000-0000-00003E940000}"/>
    <cellStyle name="40% - Accent6 4 5 2 3 2 2" xfId="11299" xr:uid="{00000000-0005-0000-0000-00003F940000}"/>
    <cellStyle name="40% - Accent6 4 5 2 3 2 2 2" xfId="22600" xr:uid="{00000000-0005-0000-0000-000040940000}"/>
    <cellStyle name="40% - Accent6 4 5 2 3 2 2 2 2" xfId="45202" xr:uid="{00000000-0005-0000-0000-000041940000}"/>
    <cellStyle name="40% - Accent6 4 5 2 3 2 2 3" xfId="33901" xr:uid="{00000000-0005-0000-0000-000042940000}"/>
    <cellStyle name="40% - Accent6 4 5 2 3 2 3" xfId="16950" xr:uid="{00000000-0005-0000-0000-000043940000}"/>
    <cellStyle name="40% - Accent6 4 5 2 3 2 3 2" xfId="39552" xr:uid="{00000000-0005-0000-0000-000044940000}"/>
    <cellStyle name="40% - Accent6 4 5 2 3 2 4" xfId="28251" xr:uid="{00000000-0005-0000-0000-000045940000}"/>
    <cellStyle name="40% - Accent6 4 5 2 3 3" xfId="8466" xr:uid="{00000000-0005-0000-0000-000046940000}"/>
    <cellStyle name="40% - Accent6 4 5 2 3 3 2" xfId="19767" xr:uid="{00000000-0005-0000-0000-000047940000}"/>
    <cellStyle name="40% - Accent6 4 5 2 3 3 2 2" xfId="42369" xr:uid="{00000000-0005-0000-0000-000048940000}"/>
    <cellStyle name="40% - Accent6 4 5 2 3 3 3" xfId="31068" xr:uid="{00000000-0005-0000-0000-000049940000}"/>
    <cellStyle name="40% - Accent6 4 5 2 3 4" xfId="14117" xr:uid="{00000000-0005-0000-0000-00004A940000}"/>
    <cellStyle name="40% - Accent6 4 5 2 3 4 2" xfId="36719" xr:uid="{00000000-0005-0000-0000-00004B940000}"/>
    <cellStyle name="40% - Accent6 4 5 2 3 5" xfId="25418" xr:uid="{00000000-0005-0000-0000-00004C940000}"/>
    <cellStyle name="40% - Accent6 4 5 2 4" xfId="4415" xr:uid="{00000000-0005-0000-0000-00004D940000}"/>
    <cellStyle name="40% - Accent6 4 5 2 4 2" xfId="10065" xr:uid="{00000000-0005-0000-0000-00004E940000}"/>
    <cellStyle name="40% - Accent6 4 5 2 4 2 2" xfId="21366" xr:uid="{00000000-0005-0000-0000-00004F940000}"/>
    <cellStyle name="40% - Accent6 4 5 2 4 2 2 2" xfId="43968" xr:uid="{00000000-0005-0000-0000-000050940000}"/>
    <cellStyle name="40% - Accent6 4 5 2 4 2 3" xfId="32667" xr:uid="{00000000-0005-0000-0000-000051940000}"/>
    <cellStyle name="40% - Accent6 4 5 2 4 3" xfId="15716" xr:uid="{00000000-0005-0000-0000-000052940000}"/>
    <cellStyle name="40% - Accent6 4 5 2 4 3 2" xfId="38318" xr:uid="{00000000-0005-0000-0000-000053940000}"/>
    <cellStyle name="40% - Accent6 4 5 2 4 4" xfId="27017" xr:uid="{00000000-0005-0000-0000-000054940000}"/>
    <cellStyle name="40% - Accent6 4 5 2 5" xfId="7211" xr:uid="{00000000-0005-0000-0000-000055940000}"/>
    <cellStyle name="40% - Accent6 4 5 2 5 2" xfId="18512" xr:uid="{00000000-0005-0000-0000-000056940000}"/>
    <cellStyle name="40% - Accent6 4 5 2 5 2 2" xfId="41114" xr:uid="{00000000-0005-0000-0000-000057940000}"/>
    <cellStyle name="40% - Accent6 4 5 2 5 3" xfId="29813" xr:uid="{00000000-0005-0000-0000-000058940000}"/>
    <cellStyle name="40% - Accent6 4 5 2 6" xfId="12862" xr:uid="{00000000-0005-0000-0000-000059940000}"/>
    <cellStyle name="40% - Accent6 4 5 2 6 2" xfId="35464" xr:uid="{00000000-0005-0000-0000-00005A940000}"/>
    <cellStyle name="40% - Accent6 4 5 2 7" xfId="24163" xr:uid="{00000000-0005-0000-0000-00005B940000}"/>
    <cellStyle name="40% - Accent6 4 5 3" xfId="930" xr:uid="{00000000-0005-0000-0000-00005C940000}"/>
    <cellStyle name="40% - Accent6 4 5 3 2" xfId="2993" xr:uid="{00000000-0005-0000-0000-00005D940000}"/>
    <cellStyle name="40% - Accent6 4 5 3 2 2" xfId="5965" xr:uid="{00000000-0005-0000-0000-00005E940000}"/>
    <cellStyle name="40% - Accent6 4 5 3 2 2 2" xfId="11615" xr:uid="{00000000-0005-0000-0000-00005F940000}"/>
    <cellStyle name="40% - Accent6 4 5 3 2 2 2 2" xfId="22916" xr:uid="{00000000-0005-0000-0000-000060940000}"/>
    <cellStyle name="40% - Accent6 4 5 3 2 2 2 2 2" xfId="45518" xr:uid="{00000000-0005-0000-0000-000061940000}"/>
    <cellStyle name="40% - Accent6 4 5 3 2 2 2 3" xfId="34217" xr:uid="{00000000-0005-0000-0000-000062940000}"/>
    <cellStyle name="40% - Accent6 4 5 3 2 2 3" xfId="17266" xr:uid="{00000000-0005-0000-0000-000063940000}"/>
    <cellStyle name="40% - Accent6 4 5 3 2 2 3 2" xfId="39868" xr:uid="{00000000-0005-0000-0000-000064940000}"/>
    <cellStyle name="40% - Accent6 4 5 3 2 2 4" xfId="28567" xr:uid="{00000000-0005-0000-0000-000065940000}"/>
    <cellStyle name="40% - Accent6 4 5 3 2 3" xfId="8783" xr:uid="{00000000-0005-0000-0000-000066940000}"/>
    <cellStyle name="40% - Accent6 4 5 3 2 3 2" xfId="20084" xr:uid="{00000000-0005-0000-0000-000067940000}"/>
    <cellStyle name="40% - Accent6 4 5 3 2 3 2 2" xfId="42686" xr:uid="{00000000-0005-0000-0000-000068940000}"/>
    <cellStyle name="40% - Accent6 4 5 3 2 3 3" xfId="31385" xr:uid="{00000000-0005-0000-0000-000069940000}"/>
    <cellStyle name="40% - Accent6 4 5 3 2 4" xfId="14434" xr:uid="{00000000-0005-0000-0000-00006A940000}"/>
    <cellStyle name="40% - Accent6 4 5 3 2 4 2" xfId="37036" xr:uid="{00000000-0005-0000-0000-00006B940000}"/>
    <cellStyle name="40% - Accent6 4 5 3 2 5" xfId="25735" xr:uid="{00000000-0005-0000-0000-00006C940000}"/>
    <cellStyle name="40% - Accent6 4 5 3 3" xfId="4731" xr:uid="{00000000-0005-0000-0000-00006D940000}"/>
    <cellStyle name="40% - Accent6 4 5 3 3 2" xfId="10381" xr:uid="{00000000-0005-0000-0000-00006E940000}"/>
    <cellStyle name="40% - Accent6 4 5 3 3 2 2" xfId="21682" xr:uid="{00000000-0005-0000-0000-00006F940000}"/>
    <cellStyle name="40% - Accent6 4 5 3 3 2 2 2" xfId="44284" xr:uid="{00000000-0005-0000-0000-000070940000}"/>
    <cellStyle name="40% - Accent6 4 5 3 3 2 3" xfId="32983" xr:uid="{00000000-0005-0000-0000-000071940000}"/>
    <cellStyle name="40% - Accent6 4 5 3 3 3" xfId="16032" xr:uid="{00000000-0005-0000-0000-000072940000}"/>
    <cellStyle name="40% - Accent6 4 5 3 3 3 2" xfId="38634" xr:uid="{00000000-0005-0000-0000-000073940000}"/>
    <cellStyle name="40% - Accent6 4 5 3 3 4" xfId="27333" xr:uid="{00000000-0005-0000-0000-000074940000}"/>
    <cellStyle name="40% - Accent6 4 5 3 4" xfId="6918" xr:uid="{00000000-0005-0000-0000-000075940000}"/>
    <cellStyle name="40% - Accent6 4 5 3 4 2" xfId="18219" xr:uid="{00000000-0005-0000-0000-000076940000}"/>
    <cellStyle name="40% - Accent6 4 5 3 4 2 2" xfId="40821" xr:uid="{00000000-0005-0000-0000-000077940000}"/>
    <cellStyle name="40% - Accent6 4 5 3 4 3" xfId="29520" xr:uid="{00000000-0005-0000-0000-000078940000}"/>
    <cellStyle name="40% - Accent6 4 5 3 5" xfId="12569" xr:uid="{00000000-0005-0000-0000-000079940000}"/>
    <cellStyle name="40% - Accent6 4 5 3 5 2" xfId="35171" xr:uid="{00000000-0005-0000-0000-00007A940000}"/>
    <cellStyle name="40% - Accent6 4 5 3 6" xfId="23870" xr:uid="{00000000-0005-0000-0000-00007B940000}"/>
    <cellStyle name="40% - Accent6 4 5 4" xfId="2002" xr:uid="{00000000-0005-0000-0000-00007C940000}"/>
    <cellStyle name="40% - Accent6 4 5 4 2" xfId="3777" xr:uid="{00000000-0005-0000-0000-00007D940000}"/>
    <cellStyle name="40% - Accent6 4 5 4 2 2" xfId="9485" xr:uid="{00000000-0005-0000-0000-00007E940000}"/>
    <cellStyle name="40% - Accent6 4 5 4 2 2 2" xfId="20786" xr:uid="{00000000-0005-0000-0000-00007F940000}"/>
    <cellStyle name="40% - Accent6 4 5 4 2 2 2 2" xfId="43388" xr:uid="{00000000-0005-0000-0000-000080940000}"/>
    <cellStyle name="40% - Accent6 4 5 4 2 2 3" xfId="32087" xr:uid="{00000000-0005-0000-0000-000081940000}"/>
    <cellStyle name="40% - Accent6 4 5 4 2 3" xfId="15136" xr:uid="{00000000-0005-0000-0000-000082940000}"/>
    <cellStyle name="40% - Accent6 4 5 4 2 3 2" xfId="37738" xr:uid="{00000000-0005-0000-0000-000083940000}"/>
    <cellStyle name="40% - Accent6 4 5 4 2 4" xfId="26437" xr:uid="{00000000-0005-0000-0000-000084940000}"/>
    <cellStyle name="40% - Accent6 4 5 4 3" xfId="5341" xr:uid="{00000000-0005-0000-0000-000085940000}"/>
    <cellStyle name="40% - Accent6 4 5 4 3 2" xfId="10991" xr:uid="{00000000-0005-0000-0000-000086940000}"/>
    <cellStyle name="40% - Accent6 4 5 4 3 2 2" xfId="22292" xr:uid="{00000000-0005-0000-0000-000087940000}"/>
    <cellStyle name="40% - Accent6 4 5 4 3 2 2 2" xfId="44894" xr:uid="{00000000-0005-0000-0000-000088940000}"/>
    <cellStyle name="40% - Accent6 4 5 4 3 2 3" xfId="33593" xr:uid="{00000000-0005-0000-0000-000089940000}"/>
    <cellStyle name="40% - Accent6 4 5 4 3 3" xfId="16642" xr:uid="{00000000-0005-0000-0000-00008A940000}"/>
    <cellStyle name="40% - Accent6 4 5 4 3 3 2" xfId="39244" xr:uid="{00000000-0005-0000-0000-00008B940000}"/>
    <cellStyle name="40% - Accent6 4 5 4 3 4" xfId="27943" xr:uid="{00000000-0005-0000-0000-00008C940000}"/>
    <cellStyle name="40% - Accent6 4 5 4 4" xfId="7858" xr:uid="{00000000-0005-0000-0000-00008D940000}"/>
    <cellStyle name="40% - Accent6 4 5 4 4 2" xfId="19159" xr:uid="{00000000-0005-0000-0000-00008E940000}"/>
    <cellStyle name="40% - Accent6 4 5 4 4 2 2" xfId="41761" xr:uid="{00000000-0005-0000-0000-00008F940000}"/>
    <cellStyle name="40% - Accent6 4 5 4 4 3" xfId="30460" xr:uid="{00000000-0005-0000-0000-000090940000}"/>
    <cellStyle name="40% - Accent6 4 5 4 5" xfId="13509" xr:uid="{00000000-0005-0000-0000-000091940000}"/>
    <cellStyle name="40% - Accent6 4 5 4 5 2" xfId="36111" xr:uid="{00000000-0005-0000-0000-000092940000}"/>
    <cellStyle name="40% - Accent6 4 5 4 6" xfId="24810" xr:uid="{00000000-0005-0000-0000-000093940000}"/>
    <cellStyle name="40% - Accent6 4 5 5" xfId="2322" xr:uid="{00000000-0005-0000-0000-000094940000}"/>
    <cellStyle name="40% - Accent6 4 5 5 2" xfId="8158" xr:uid="{00000000-0005-0000-0000-000095940000}"/>
    <cellStyle name="40% - Accent6 4 5 5 2 2" xfId="19459" xr:uid="{00000000-0005-0000-0000-000096940000}"/>
    <cellStyle name="40% - Accent6 4 5 5 2 2 2" xfId="42061" xr:uid="{00000000-0005-0000-0000-000097940000}"/>
    <cellStyle name="40% - Accent6 4 5 5 2 3" xfId="30760" xr:uid="{00000000-0005-0000-0000-000098940000}"/>
    <cellStyle name="40% - Accent6 4 5 5 3" xfId="13809" xr:uid="{00000000-0005-0000-0000-000099940000}"/>
    <cellStyle name="40% - Accent6 4 5 5 3 2" xfId="36411" xr:uid="{00000000-0005-0000-0000-00009A940000}"/>
    <cellStyle name="40% - Accent6 4 5 5 4" xfId="25110" xr:uid="{00000000-0005-0000-0000-00009B940000}"/>
    <cellStyle name="40% - Accent6 4 5 6" xfId="4107" xr:uid="{00000000-0005-0000-0000-00009C940000}"/>
    <cellStyle name="40% - Accent6 4 5 6 2" xfId="9757" xr:uid="{00000000-0005-0000-0000-00009D940000}"/>
    <cellStyle name="40% - Accent6 4 5 6 2 2" xfId="21058" xr:uid="{00000000-0005-0000-0000-00009E940000}"/>
    <cellStyle name="40% - Accent6 4 5 6 2 2 2" xfId="43660" xr:uid="{00000000-0005-0000-0000-00009F940000}"/>
    <cellStyle name="40% - Accent6 4 5 6 2 3" xfId="32359" xr:uid="{00000000-0005-0000-0000-0000A0940000}"/>
    <cellStyle name="40% - Accent6 4 5 6 3" xfId="15408" xr:uid="{00000000-0005-0000-0000-0000A1940000}"/>
    <cellStyle name="40% - Accent6 4 5 6 3 2" xfId="38010" xr:uid="{00000000-0005-0000-0000-0000A2940000}"/>
    <cellStyle name="40% - Accent6 4 5 6 4" xfId="26709" xr:uid="{00000000-0005-0000-0000-0000A3940000}"/>
    <cellStyle name="40% - Accent6 4 5 7" xfId="6558" xr:uid="{00000000-0005-0000-0000-0000A4940000}"/>
    <cellStyle name="40% - Accent6 4 5 7 2" xfId="17859" xr:uid="{00000000-0005-0000-0000-0000A5940000}"/>
    <cellStyle name="40% - Accent6 4 5 7 2 2" xfId="40461" xr:uid="{00000000-0005-0000-0000-0000A6940000}"/>
    <cellStyle name="40% - Accent6 4 5 7 3" xfId="29160" xr:uid="{00000000-0005-0000-0000-0000A7940000}"/>
    <cellStyle name="40% - Accent6 4 5 8" xfId="12209" xr:uid="{00000000-0005-0000-0000-0000A8940000}"/>
    <cellStyle name="40% - Accent6 4 5 8 2" xfId="34811" xr:uid="{00000000-0005-0000-0000-0000A9940000}"/>
    <cellStyle name="40% - Accent6 4 5 9" xfId="23510" xr:uid="{00000000-0005-0000-0000-0000AA940000}"/>
    <cellStyle name="40% - Accent6 4 6" xfId="1065" xr:uid="{00000000-0005-0000-0000-0000AB940000}"/>
    <cellStyle name="40% - Accent6 4 6 2" xfId="2004" xr:uid="{00000000-0005-0000-0000-0000AC940000}"/>
    <cellStyle name="40% - Accent6 4 6 2 2" xfId="3132" xr:uid="{00000000-0005-0000-0000-0000AD940000}"/>
    <cellStyle name="40% - Accent6 4 6 2 2 2" xfId="6104" xr:uid="{00000000-0005-0000-0000-0000AE940000}"/>
    <cellStyle name="40% - Accent6 4 6 2 2 2 2" xfId="11754" xr:uid="{00000000-0005-0000-0000-0000AF940000}"/>
    <cellStyle name="40% - Accent6 4 6 2 2 2 2 2" xfId="23055" xr:uid="{00000000-0005-0000-0000-0000B0940000}"/>
    <cellStyle name="40% - Accent6 4 6 2 2 2 2 2 2" xfId="45657" xr:uid="{00000000-0005-0000-0000-0000B1940000}"/>
    <cellStyle name="40% - Accent6 4 6 2 2 2 2 3" xfId="34356" xr:uid="{00000000-0005-0000-0000-0000B2940000}"/>
    <cellStyle name="40% - Accent6 4 6 2 2 2 3" xfId="17405" xr:uid="{00000000-0005-0000-0000-0000B3940000}"/>
    <cellStyle name="40% - Accent6 4 6 2 2 2 3 2" xfId="40007" xr:uid="{00000000-0005-0000-0000-0000B4940000}"/>
    <cellStyle name="40% - Accent6 4 6 2 2 2 4" xfId="28706" xr:uid="{00000000-0005-0000-0000-0000B5940000}"/>
    <cellStyle name="40% - Accent6 4 6 2 2 3" xfId="8922" xr:uid="{00000000-0005-0000-0000-0000B6940000}"/>
    <cellStyle name="40% - Accent6 4 6 2 2 3 2" xfId="20223" xr:uid="{00000000-0005-0000-0000-0000B7940000}"/>
    <cellStyle name="40% - Accent6 4 6 2 2 3 2 2" xfId="42825" xr:uid="{00000000-0005-0000-0000-0000B8940000}"/>
    <cellStyle name="40% - Accent6 4 6 2 2 3 3" xfId="31524" xr:uid="{00000000-0005-0000-0000-0000B9940000}"/>
    <cellStyle name="40% - Accent6 4 6 2 2 4" xfId="14573" xr:uid="{00000000-0005-0000-0000-0000BA940000}"/>
    <cellStyle name="40% - Accent6 4 6 2 2 4 2" xfId="37175" xr:uid="{00000000-0005-0000-0000-0000BB940000}"/>
    <cellStyle name="40% - Accent6 4 6 2 2 5" xfId="25874" xr:uid="{00000000-0005-0000-0000-0000BC940000}"/>
    <cellStyle name="40% - Accent6 4 6 2 3" xfId="4870" xr:uid="{00000000-0005-0000-0000-0000BD940000}"/>
    <cellStyle name="40% - Accent6 4 6 2 3 2" xfId="10520" xr:uid="{00000000-0005-0000-0000-0000BE940000}"/>
    <cellStyle name="40% - Accent6 4 6 2 3 2 2" xfId="21821" xr:uid="{00000000-0005-0000-0000-0000BF940000}"/>
    <cellStyle name="40% - Accent6 4 6 2 3 2 2 2" xfId="44423" xr:uid="{00000000-0005-0000-0000-0000C0940000}"/>
    <cellStyle name="40% - Accent6 4 6 2 3 2 3" xfId="33122" xr:uid="{00000000-0005-0000-0000-0000C1940000}"/>
    <cellStyle name="40% - Accent6 4 6 2 3 3" xfId="16171" xr:uid="{00000000-0005-0000-0000-0000C2940000}"/>
    <cellStyle name="40% - Accent6 4 6 2 3 3 2" xfId="38773" xr:uid="{00000000-0005-0000-0000-0000C3940000}"/>
    <cellStyle name="40% - Accent6 4 6 2 3 4" xfId="27472" xr:uid="{00000000-0005-0000-0000-0000C4940000}"/>
    <cellStyle name="40% - Accent6 4 6 2 4" xfId="7860" xr:uid="{00000000-0005-0000-0000-0000C5940000}"/>
    <cellStyle name="40% - Accent6 4 6 2 4 2" xfId="19161" xr:uid="{00000000-0005-0000-0000-0000C6940000}"/>
    <cellStyle name="40% - Accent6 4 6 2 4 2 2" xfId="41763" xr:uid="{00000000-0005-0000-0000-0000C7940000}"/>
    <cellStyle name="40% - Accent6 4 6 2 4 3" xfId="30462" xr:uid="{00000000-0005-0000-0000-0000C8940000}"/>
    <cellStyle name="40% - Accent6 4 6 2 5" xfId="13511" xr:uid="{00000000-0005-0000-0000-0000C9940000}"/>
    <cellStyle name="40% - Accent6 4 6 2 5 2" xfId="36113" xr:uid="{00000000-0005-0000-0000-0000CA940000}"/>
    <cellStyle name="40% - Accent6 4 6 2 6" xfId="24812" xr:uid="{00000000-0005-0000-0000-0000CB940000}"/>
    <cellStyle name="40% - Accent6 4 6 3" xfId="2461" xr:uid="{00000000-0005-0000-0000-0000CC940000}"/>
    <cellStyle name="40% - Accent6 4 6 3 2" xfId="5480" xr:uid="{00000000-0005-0000-0000-0000CD940000}"/>
    <cellStyle name="40% - Accent6 4 6 3 2 2" xfId="11130" xr:uid="{00000000-0005-0000-0000-0000CE940000}"/>
    <cellStyle name="40% - Accent6 4 6 3 2 2 2" xfId="22431" xr:uid="{00000000-0005-0000-0000-0000CF940000}"/>
    <cellStyle name="40% - Accent6 4 6 3 2 2 2 2" xfId="45033" xr:uid="{00000000-0005-0000-0000-0000D0940000}"/>
    <cellStyle name="40% - Accent6 4 6 3 2 2 3" xfId="33732" xr:uid="{00000000-0005-0000-0000-0000D1940000}"/>
    <cellStyle name="40% - Accent6 4 6 3 2 3" xfId="16781" xr:uid="{00000000-0005-0000-0000-0000D2940000}"/>
    <cellStyle name="40% - Accent6 4 6 3 2 3 2" xfId="39383" xr:uid="{00000000-0005-0000-0000-0000D3940000}"/>
    <cellStyle name="40% - Accent6 4 6 3 2 4" xfId="28082" xr:uid="{00000000-0005-0000-0000-0000D4940000}"/>
    <cellStyle name="40% - Accent6 4 6 3 3" xfId="8297" xr:uid="{00000000-0005-0000-0000-0000D5940000}"/>
    <cellStyle name="40% - Accent6 4 6 3 3 2" xfId="19598" xr:uid="{00000000-0005-0000-0000-0000D6940000}"/>
    <cellStyle name="40% - Accent6 4 6 3 3 2 2" xfId="42200" xr:uid="{00000000-0005-0000-0000-0000D7940000}"/>
    <cellStyle name="40% - Accent6 4 6 3 3 3" xfId="30899" xr:uid="{00000000-0005-0000-0000-0000D8940000}"/>
    <cellStyle name="40% - Accent6 4 6 3 4" xfId="13948" xr:uid="{00000000-0005-0000-0000-0000D9940000}"/>
    <cellStyle name="40% - Accent6 4 6 3 4 2" xfId="36550" xr:uid="{00000000-0005-0000-0000-0000DA940000}"/>
    <cellStyle name="40% - Accent6 4 6 3 5" xfId="25249" xr:uid="{00000000-0005-0000-0000-0000DB940000}"/>
    <cellStyle name="40% - Accent6 4 6 4" xfId="4246" xr:uid="{00000000-0005-0000-0000-0000DC940000}"/>
    <cellStyle name="40% - Accent6 4 6 4 2" xfId="9896" xr:uid="{00000000-0005-0000-0000-0000DD940000}"/>
    <cellStyle name="40% - Accent6 4 6 4 2 2" xfId="21197" xr:uid="{00000000-0005-0000-0000-0000DE940000}"/>
    <cellStyle name="40% - Accent6 4 6 4 2 2 2" xfId="43799" xr:uid="{00000000-0005-0000-0000-0000DF940000}"/>
    <cellStyle name="40% - Accent6 4 6 4 2 3" xfId="32498" xr:uid="{00000000-0005-0000-0000-0000E0940000}"/>
    <cellStyle name="40% - Accent6 4 6 4 3" xfId="15547" xr:uid="{00000000-0005-0000-0000-0000E1940000}"/>
    <cellStyle name="40% - Accent6 4 6 4 3 2" xfId="38149" xr:uid="{00000000-0005-0000-0000-0000E2940000}"/>
    <cellStyle name="40% - Accent6 4 6 4 4" xfId="26848" xr:uid="{00000000-0005-0000-0000-0000E3940000}"/>
    <cellStyle name="40% - Accent6 4 6 5" xfId="7044" xr:uid="{00000000-0005-0000-0000-0000E4940000}"/>
    <cellStyle name="40% - Accent6 4 6 5 2" xfId="18345" xr:uid="{00000000-0005-0000-0000-0000E5940000}"/>
    <cellStyle name="40% - Accent6 4 6 5 2 2" xfId="40947" xr:uid="{00000000-0005-0000-0000-0000E6940000}"/>
    <cellStyle name="40% - Accent6 4 6 5 3" xfId="29646" xr:uid="{00000000-0005-0000-0000-0000E7940000}"/>
    <cellStyle name="40% - Accent6 4 6 6" xfId="12695" xr:uid="{00000000-0005-0000-0000-0000E8940000}"/>
    <cellStyle name="40% - Accent6 4 6 6 2" xfId="35297" xr:uid="{00000000-0005-0000-0000-0000E9940000}"/>
    <cellStyle name="40% - Accent6 4 6 7" xfId="23996" xr:uid="{00000000-0005-0000-0000-0000EA940000}"/>
    <cellStyle name="40% - Accent6 4 7" xfId="729" xr:uid="{00000000-0005-0000-0000-0000EB940000}"/>
    <cellStyle name="40% - Accent6 4 7 2" xfId="2826" xr:uid="{00000000-0005-0000-0000-0000EC940000}"/>
    <cellStyle name="40% - Accent6 4 7 2 2" xfId="5798" xr:uid="{00000000-0005-0000-0000-0000ED940000}"/>
    <cellStyle name="40% - Accent6 4 7 2 2 2" xfId="11448" xr:uid="{00000000-0005-0000-0000-0000EE940000}"/>
    <cellStyle name="40% - Accent6 4 7 2 2 2 2" xfId="22749" xr:uid="{00000000-0005-0000-0000-0000EF940000}"/>
    <cellStyle name="40% - Accent6 4 7 2 2 2 2 2" xfId="45351" xr:uid="{00000000-0005-0000-0000-0000F0940000}"/>
    <cellStyle name="40% - Accent6 4 7 2 2 2 3" xfId="34050" xr:uid="{00000000-0005-0000-0000-0000F1940000}"/>
    <cellStyle name="40% - Accent6 4 7 2 2 3" xfId="17099" xr:uid="{00000000-0005-0000-0000-0000F2940000}"/>
    <cellStyle name="40% - Accent6 4 7 2 2 3 2" xfId="39701" xr:uid="{00000000-0005-0000-0000-0000F3940000}"/>
    <cellStyle name="40% - Accent6 4 7 2 2 4" xfId="28400" xr:uid="{00000000-0005-0000-0000-0000F4940000}"/>
    <cellStyle name="40% - Accent6 4 7 2 3" xfId="8616" xr:uid="{00000000-0005-0000-0000-0000F5940000}"/>
    <cellStyle name="40% - Accent6 4 7 2 3 2" xfId="19917" xr:uid="{00000000-0005-0000-0000-0000F6940000}"/>
    <cellStyle name="40% - Accent6 4 7 2 3 2 2" xfId="42519" xr:uid="{00000000-0005-0000-0000-0000F7940000}"/>
    <cellStyle name="40% - Accent6 4 7 2 3 3" xfId="31218" xr:uid="{00000000-0005-0000-0000-0000F8940000}"/>
    <cellStyle name="40% - Accent6 4 7 2 4" xfId="14267" xr:uid="{00000000-0005-0000-0000-0000F9940000}"/>
    <cellStyle name="40% - Accent6 4 7 2 4 2" xfId="36869" xr:uid="{00000000-0005-0000-0000-0000FA940000}"/>
    <cellStyle name="40% - Accent6 4 7 2 5" xfId="25568" xr:uid="{00000000-0005-0000-0000-0000FB940000}"/>
    <cellStyle name="40% - Accent6 4 7 3" xfId="4564" xr:uid="{00000000-0005-0000-0000-0000FC940000}"/>
    <cellStyle name="40% - Accent6 4 7 3 2" xfId="10214" xr:uid="{00000000-0005-0000-0000-0000FD940000}"/>
    <cellStyle name="40% - Accent6 4 7 3 2 2" xfId="21515" xr:uid="{00000000-0005-0000-0000-0000FE940000}"/>
    <cellStyle name="40% - Accent6 4 7 3 2 2 2" xfId="44117" xr:uid="{00000000-0005-0000-0000-0000FF940000}"/>
    <cellStyle name="40% - Accent6 4 7 3 2 3" xfId="32816" xr:uid="{00000000-0005-0000-0000-000000950000}"/>
    <cellStyle name="40% - Accent6 4 7 3 3" xfId="15865" xr:uid="{00000000-0005-0000-0000-000001950000}"/>
    <cellStyle name="40% - Accent6 4 7 3 3 2" xfId="38467" xr:uid="{00000000-0005-0000-0000-000002950000}"/>
    <cellStyle name="40% - Accent6 4 7 3 4" xfId="27166" xr:uid="{00000000-0005-0000-0000-000003950000}"/>
    <cellStyle name="40% - Accent6 4 7 4" xfId="6746" xr:uid="{00000000-0005-0000-0000-000004950000}"/>
    <cellStyle name="40% - Accent6 4 7 4 2" xfId="18047" xr:uid="{00000000-0005-0000-0000-000005950000}"/>
    <cellStyle name="40% - Accent6 4 7 4 2 2" xfId="40649" xr:uid="{00000000-0005-0000-0000-000006950000}"/>
    <cellStyle name="40% - Accent6 4 7 4 3" xfId="29348" xr:uid="{00000000-0005-0000-0000-000007950000}"/>
    <cellStyle name="40% - Accent6 4 7 5" xfId="12397" xr:uid="{00000000-0005-0000-0000-000008950000}"/>
    <cellStyle name="40% - Accent6 4 7 5 2" xfId="34999" xr:uid="{00000000-0005-0000-0000-000009950000}"/>
    <cellStyle name="40% - Accent6 4 7 6" xfId="23698" xr:uid="{00000000-0005-0000-0000-00000A950000}"/>
    <cellStyle name="40% - Accent6 4 8" xfId="1991" xr:uid="{00000000-0005-0000-0000-00000B950000}"/>
    <cellStyle name="40% - Accent6 4 8 2" xfId="3770" xr:uid="{00000000-0005-0000-0000-00000C950000}"/>
    <cellStyle name="40% - Accent6 4 8 2 2" xfId="9479" xr:uid="{00000000-0005-0000-0000-00000D950000}"/>
    <cellStyle name="40% - Accent6 4 8 2 2 2" xfId="20780" xr:uid="{00000000-0005-0000-0000-00000E950000}"/>
    <cellStyle name="40% - Accent6 4 8 2 2 2 2" xfId="43382" xr:uid="{00000000-0005-0000-0000-00000F950000}"/>
    <cellStyle name="40% - Accent6 4 8 2 2 3" xfId="32081" xr:uid="{00000000-0005-0000-0000-000010950000}"/>
    <cellStyle name="40% - Accent6 4 8 2 3" xfId="15130" xr:uid="{00000000-0005-0000-0000-000011950000}"/>
    <cellStyle name="40% - Accent6 4 8 2 3 2" xfId="37732" xr:uid="{00000000-0005-0000-0000-000012950000}"/>
    <cellStyle name="40% - Accent6 4 8 2 4" xfId="26431" xr:uid="{00000000-0005-0000-0000-000013950000}"/>
    <cellStyle name="40% - Accent6 4 8 3" xfId="5174" xr:uid="{00000000-0005-0000-0000-000014950000}"/>
    <cellStyle name="40% - Accent6 4 8 3 2" xfId="10824" xr:uid="{00000000-0005-0000-0000-000015950000}"/>
    <cellStyle name="40% - Accent6 4 8 3 2 2" xfId="22125" xr:uid="{00000000-0005-0000-0000-000016950000}"/>
    <cellStyle name="40% - Accent6 4 8 3 2 2 2" xfId="44727" xr:uid="{00000000-0005-0000-0000-000017950000}"/>
    <cellStyle name="40% - Accent6 4 8 3 2 3" xfId="33426" xr:uid="{00000000-0005-0000-0000-000018950000}"/>
    <cellStyle name="40% - Accent6 4 8 3 3" xfId="16475" xr:uid="{00000000-0005-0000-0000-000019950000}"/>
    <cellStyle name="40% - Accent6 4 8 3 3 2" xfId="39077" xr:uid="{00000000-0005-0000-0000-00001A950000}"/>
    <cellStyle name="40% - Accent6 4 8 3 4" xfId="27776" xr:uid="{00000000-0005-0000-0000-00001B950000}"/>
    <cellStyle name="40% - Accent6 4 8 4" xfId="7847" xr:uid="{00000000-0005-0000-0000-00001C950000}"/>
    <cellStyle name="40% - Accent6 4 8 4 2" xfId="19148" xr:uid="{00000000-0005-0000-0000-00001D950000}"/>
    <cellStyle name="40% - Accent6 4 8 4 2 2" xfId="41750" xr:uid="{00000000-0005-0000-0000-00001E950000}"/>
    <cellStyle name="40% - Accent6 4 8 4 3" xfId="30449" xr:uid="{00000000-0005-0000-0000-00001F950000}"/>
    <cellStyle name="40% - Accent6 4 8 5" xfId="13498" xr:uid="{00000000-0005-0000-0000-000020950000}"/>
    <cellStyle name="40% - Accent6 4 8 5 2" xfId="36100" xr:uid="{00000000-0005-0000-0000-000021950000}"/>
    <cellStyle name="40% - Accent6 4 8 6" xfId="24799" xr:uid="{00000000-0005-0000-0000-000022950000}"/>
    <cellStyle name="40% - Accent6 4 9" xfId="2145" xr:uid="{00000000-0005-0000-0000-000023950000}"/>
    <cellStyle name="40% - Accent6 4 9 2" xfId="7988" xr:uid="{00000000-0005-0000-0000-000024950000}"/>
    <cellStyle name="40% - Accent6 4 9 2 2" xfId="19289" xr:uid="{00000000-0005-0000-0000-000025950000}"/>
    <cellStyle name="40% - Accent6 4 9 2 2 2" xfId="41891" xr:uid="{00000000-0005-0000-0000-000026950000}"/>
    <cellStyle name="40% - Accent6 4 9 2 3" xfId="30590" xr:uid="{00000000-0005-0000-0000-000027950000}"/>
    <cellStyle name="40% - Accent6 4 9 3" xfId="13639" xr:uid="{00000000-0005-0000-0000-000028950000}"/>
    <cellStyle name="40% - Accent6 4 9 3 2" xfId="36241" xr:uid="{00000000-0005-0000-0000-000029950000}"/>
    <cellStyle name="40% - Accent6 4 9 4" xfId="24940" xr:uid="{00000000-0005-0000-0000-00002A950000}"/>
    <cellStyle name="40% - Accent6 5" xfId="218" xr:uid="{00000000-0005-0000-0000-00002B950000}"/>
    <cellStyle name="40% - Accent6 5 10" xfId="12083" xr:uid="{00000000-0005-0000-0000-00002C950000}"/>
    <cellStyle name="40% - Accent6 5 10 2" xfId="34685" xr:uid="{00000000-0005-0000-0000-00002D950000}"/>
    <cellStyle name="40% - Accent6 5 11" xfId="23384" xr:uid="{00000000-0005-0000-0000-00002E950000}"/>
    <cellStyle name="40% - Accent6 5 2" xfId="384" xr:uid="{00000000-0005-0000-0000-00002F950000}"/>
    <cellStyle name="40% - Accent6 5 2 10" xfId="23479" xr:uid="{00000000-0005-0000-0000-000030950000}"/>
    <cellStyle name="40% - Accent6 5 2 2" xfId="629" xr:uid="{00000000-0005-0000-0000-000031950000}"/>
    <cellStyle name="40% - Accent6 5 2 2 2" xfId="1339" xr:uid="{00000000-0005-0000-0000-000032950000}"/>
    <cellStyle name="40% - Accent6 5 2 2 2 2" xfId="2008" xr:uid="{00000000-0005-0000-0000-000033950000}"/>
    <cellStyle name="40% - Accent6 5 2 2 2 2 2" xfId="3408" xr:uid="{00000000-0005-0000-0000-000034950000}"/>
    <cellStyle name="40% - Accent6 5 2 2 2 2 2 2" xfId="6380" xr:uid="{00000000-0005-0000-0000-000035950000}"/>
    <cellStyle name="40% - Accent6 5 2 2 2 2 2 2 2" xfId="12030" xr:uid="{00000000-0005-0000-0000-000036950000}"/>
    <cellStyle name="40% - Accent6 5 2 2 2 2 2 2 2 2" xfId="23331" xr:uid="{00000000-0005-0000-0000-000037950000}"/>
    <cellStyle name="40% - Accent6 5 2 2 2 2 2 2 2 2 2" xfId="45933" xr:uid="{00000000-0005-0000-0000-000038950000}"/>
    <cellStyle name="40% - Accent6 5 2 2 2 2 2 2 2 3" xfId="34632" xr:uid="{00000000-0005-0000-0000-000039950000}"/>
    <cellStyle name="40% - Accent6 5 2 2 2 2 2 2 3" xfId="17681" xr:uid="{00000000-0005-0000-0000-00003A950000}"/>
    <cellStyle name="40% - Accent6 5 2 2 2 2 2 2 3 2" xfId="40283" xr:uid="{00000000-0005-0000-0000-00003B950000}"/>
    <cellStyle name="40% - Accent6 5 2 2 2 2 2 2 4" xfId="28982" xr:uid="{00000000-0005-0000-0000-00003C950000}"/>
    <cellStyle name="40% - Accent6 5 2 2 2 2 2 3" xfId="9198" xr:uid="{00000000-0005-0000-0000-00003D950000}"/>
    <cellStyle name="40% - Accent6 5 2 2 2 2 2 3 2" xfId="20499" xr:uid="{00000000-0005-0000-0000-00003E950000}"/>
    <cellStyle name="40% - Accent6 5 2 2 2 2 2 3 2 2" xfId="43101" xr:uid="{00000000-0005-0000-0000-00003F950000}"/>
    <cellStyle name="40% - Accent6 5 2 2 2 2 2 3 3" xfId="31800" xr:uid="{00000000-0005-0000-0000-000040950000}"/>
    <cellStyle name="40% - Accent6 5 2 2 2 2 2 4" xfId="14849" xr:uid="{00000000-0005-0000-0000-000041950000}"/>
    <cellStyle name="40% - Accent6 5 2 2 2 2 2 4 2" xfId="37451" xr:uid="{00000000-0005-0000-0000-000042950000}"/>
    <cellStyle name="40% - Accent6 5 2 2 2 2 2 5" xfId="26150" xr:uid="{00000000-0005-0000-0000-000043950000}"/>
    <cellStyle name="40% - Accent6 5 2 2 2 2 3" xfId="5146" xr:uid="{00000000-0005-0000-0000-000044950000}"/>
    <cellStyle name="40% - Accent6 5 2 2 2 2 3 2" xfId="10796" xr:uid="{00000000-0005-0000-0000-000045950000}"/>
    <cellStyle name="40% - Accent6 5 2 2 2 2 3 2 2" xfId="22097" xr:uid="{00000000-0005-0000-0000-000046950000}"/>
    <cellStyle name="40% - Accent6 5 2 2 2 2 3 2 2 2" xfId="44699" xr:uid="{00000000-0005-0000-0000-000047950000}"/>
    <cellStyle name="40% - Accent6 5 2 2 2 2 3 2 3" xfId="33398" xr:uid="{00000000-0005-0000-0000-000048950000}"/>
    <cellStyle name="40% - Accent6 5 2 2 2 2 3 3" xfId="16447" xr:uid="{00000000-0005-0000-0000-000049950000}"/>
    <cellStyle name="40% - Accent6 5 2 2 2 2 3 3 2" xfId="39049" xr:uid="{00000000-0005-0000-0000-00004A950000}"/>
    <cellStyle name="40% - Accent6 5 2 2 2 2 3 4" xfId="27748" xr:uid="{00000000-0005-0000-0000-00004B950000}"/>
    <cellStyle name="40% - Accent6 5 2 2 2 2 4" xfId="7864" xr:uid="{00000000-0005-0000-0000-00004C950000}"/>
    <cellStyle name="40% - Accent6 5 2 2 2 2 4 2" xfId="19165" xr:uid="{00000000-0005-0000-0000-00004D950000}"/>
    <cellStyle name="40% - Accent6 5 2 2 2 2 4 2 2" xfId="41767" xr:uid="{00000000-0005-0000-0000-00004E950000}"/>
    <cellStyle name="40% - Accent6 5 2 2 2 2 4 3" xfId="30466" xr:uid="{00000000-0005-0000-0000-00004F950000}"/>
    <cellStyle name="40% - Accent6 5 2 2 2 2 5" xfId="13515" xr:uid="{00000000-0005-0000-0000-000050950000}"/>
    <cellStyle name="40% - Accent6 5 2 2 2 2 5 2" xfId="36117" xr:uid="{00000000-0005-0000-0000-000051950000}"/>
    <cellStyle name="40% - Accent6 5 2 2 2 2 6" xfId="24816" xr:uid="{00000000-0005-0000-0000-000052950000}"/>
    <cellStyle name="40% - Accent6 5 2 2 2 3" xfId="2737" xr:uid="{00000000-0005-0000-0000-000053950000}"/>
    <cellStyle name="40% - Accent6 5 2 2 2 3 2" xfId="5756" xr:uid="{00000000-0005-0000-0000-000054950000}"/>
    <cellStyle name="40% - Accent6 5 2 2 2 3 2 2" xfId="11406" xr:uid="{00000000-0005-0000-0000-000055950000}"/>
    <cellStyle name="40% - Accent6 5 2 2 2 3 2 2 2" xfId="22707" xr:uid="{00000000-0005-0000-0000-000056950000}"/>
    <cellStyle name="40% - Accent6 5 2 2 2 3 2 2 2 2" xfId="45309" xr:uid="{00000000-0005-0000-0000-000057950000}"/>
    <cellStyle name="40% - Accent6 5 2 2 2 3 2 2 3" xfId="34008" xr:uid="{00000000-0005-0000-0000-000058950000}"/>
    <cellStyle name="40% - Accent6 5 2 2 2 3 2 3" xfId="17057" xr:uid="{00000000-0005-0000-0000-000059950000}"/>
    <cellStyle name="40% - Accent6 5 2 2 2 3 2 3 2" xfId="39659" xr:uid="{00000000-0005-0000-0000-00005A950000}"/>
    <cellStyle name="40% - Accent6 5 2 2 2 3 2 4" xfId="28358" xr:uid="{00000000-0005-0000-0000-00005B950000}"/>
    <cellStyle name="40% - Accent6 5 2 2 2 3 3" xfId="8573" xr:uid="{00000000-0005-0000-0000-00005C950000}"/>
    <cellStyle name="40% - Accent6 5 2 2 2 3 3 2" xfId="19874" xr:uid="{00000000-0005-0000-0000-00005D950000}"/>
    <cellStyle name="40% - Accent6 5 2 2 2 3 3 2 2" xfId="42476" xr:uid="{00000000-0005-0000-0000-00005E950000}"/>
    <cellStyle name="40% - Accent6 5 2 2 2 3 3 3" xfId="31175" xr:uid="{00000000-0005-0000-0000-00005F950000}"/>
    <cellStyle name="40% - Accent6 5 2 2 2 3 4" xfId="14224" xr:uid="{00000000-0005-0000-0000-000060950000}"/>
    <cellStyle name="40% - Accent6 5 2 2 2 3 4 2" xfId="36826" xr:uid="{00000000-0005-0000-0000-000061950000}"/>
    <cellStyle name="40% - Accent6 5 2 2 2 3 5" xfId="25525" xr:uid="{00000000-0005-0000-0000-000062950000}"/>
    <cellStyle name="40% - Accent6 5 2 2 2 4" xfId="4522" xr:uid="{00000000-0005-0000-0000-000063950000}"/>
    <cellStyle name="40% - Accent6 5 2 2 2 4 2" xfId="10172" xr:uid="{00000000-0005-0000-0000-000064950000}"/>
    <cellStyle name="40% - Accent6 5 2 2 2 4 2 2" xfId="21473" xr:uid="{00000000-0005-0000-0000-000065950000}"/>
    <cellStyle name="40% - Accent6 5 2 2 2 4 2 2 2" xfId="44075" xr:uid="{00000000-0005-0000-0000-000066950000}"/>
    <cellStyle name="40% - Accent6 5 2 2 2 4 2 3" xfId="32774" xr:uid="{00000000-0005-0000-0000-000067950000}"/>
    <cellStyle name="40% - Accent6 5 2 2 2 4 3" xfId="15823" xr:uid="{00000000-0005-0000-0000-000068950000}"/>
    <cellStyle name="40% - Accent6 5 2 2 2 4 3 2" xfId="38425" xr:uid="{00000000-0005-0000-0000-000069950000}"/>
    <cellStyle name="40% - Accent6 5 2 2 2 4 4" xfId="27124" xr:uid="{00000000-0005-0000-0000-00006A950000}"/>
    <cellStyle name="40% - Accent6 5 2 2 2 5" xfId="7318" xr:uid="{00000000-0005-0000-0000-00006B950000}"/>
    <cellStyle name="40% - Accent6 5 2 2 2 5 2" xfId="18619" xr:uid="{00000000-0005-0000-0000-00006C950000}"/>
    <cellStyle name="40% - Accent6 5 2 2 2 5 2 2" xfId="41221" xr:uid="{00000000-0005-0000-0000-00006D950000}"/>
    <cellStyle name="40% - Accent6 5 2 2 2 5 3" xfId="29920" xr:uid="{00000000-0005-0000-0000-00006E950000}"/>
    <cellStyle name="40% - Accent6 5 2 2 2 6" xfId="12969" xr:uid="{00000000-0005-0000-0000-00006F950000}"/>
    <cellStyle name="40% - Accent6 5 2 2 2 6 2" xfId="35571" xr:uid="{00000000-0005-0000-0000-000070950000}"/>
    <cellStyle name="40% - Accent6 5 2 2 2 7" xfId="24270" xr:uid="{00000000-0005-0000-0000-000071950000}"/>
    <cellStyle name="40% - Accent6 5 2 2 3" xfId="1037" xr:uid="{00000000-0005-0000-0000-000072950000}"/>
    <cellStyle name="40% - Accent6 5 2 2 3 2" xfId="3100" xr:uid="{00000000-0005-0000-0000-000073950000}"/>
    <cellStyle name="40% - Accent6 5 2 2 3 2 2" xfId="6072" xr:uid="{00000000-0005-0000-0000-000074950000}"/>
    <cellStyle name="40% - Accent6 5 2 2 3 2 2 2" xfId="11722" xr:uid="{00000000-0005-0000-0000-000075950000}"/>
    <cellStyle name="40% - Accent6 5 2 2 3 2 2 2 2" xfId="23023" xr:uid="{00000000-0005-0000-0000-000076950000}"/>
    <cellStyle name="40% - Accent6 5 2 2 3 2 2 2 2 2" xfId="45625" xr:uid="{00000000-0005-0000-0000-000077950000}"/>
    <cellStyle name="40% - Accent6 5 2 2 3 2 2 2 3" xfId="34324" xr:uid="{00000000-0005-0000-0000-000078950000}"/>
    <cellStyle name="40% - Accent6 5 2 2 3 2 2 3" xfId="17373" xr:uid="{00000000-0005-0000-0000-000079950000}"/>
    <cellStyle name="40% - Accent6 5 2 2 3 2 2 3 2" xfId="39975" xr:uid="{00000000-0005-0000-0000-00007A950000}"/>
    <cellStyle name="40% - Accent6 5 2 2 3 2 2 4" xfId="28674" xr:uid="{00000000-0005-0000-0000-00007B950000}"/>
    <cellStyle name="40% - Accent6 5 2 2 3 2 3" xfId="8890" xr:uid="{00000000-0005-0000-0000-00007C950000}"/>
    <cellStyle name="40% - Accent6 5 2 2 3 2 3 2" xfId="20191" xr:uid="{00000000-0005-0000-0000-00007D950000}"/>
    <cellStyle name="40% - Accent6 5 2 2 3 2 3 2 2" xfId="42793" xr:uid="{00000000-0005-0000-0000-00007E950000}"/>
    <cellStyle name="40% - Accent6 5 2 2 3 2 3 3" xfId="31492" xr:uid="{00000000-0005-0000-0000-00007F950000}"/>
    <cellStyle name="40% - Accent6 5 2 2 3 2 4" xfId="14541" xr:uid="{00000000-0005-0000-0000-000080950000}"/>
    <cellStyle name="40% - Accent6 5 2 2 3 2 4 2" xfId="37143" xr:uid="{00000000-0005-0000-0000-000081950000}"/>
    <cellStyle name="40% - Accent6 5 2 2 3 2 5" xfId="25842" xr:uid="{00000000-0005-0000-0000-000082950000}"/>
    <cellStyle name="40% - Accent6 5 2 2 3 3" xfId="4838" xr:uid="{00000000-0005-0000-0000-000083950000}"/>
    <cellStyle name="40% - Accent6 5 2 2 3 3 2" xfId="10488" xr:uid="{00000000-0005-0000-0000-000084950000}"/>
    <cellStyle name="40% - Accent6 5 2 2 3 3 2 2" xfId="21789" xr:uid="{00000000-0005-0000-0000-000085950000}"/>
    <cellStyle name="40% - Accent6 5 2 2 3 3 2 2 2" xfId="44391" xr:uid="{00000000-0005-0000-0000-000086950000}"/>
    <cellStyle name="40% - Accent6 5 2 2 3 3 2 3" xfId="33090" xr:uid="{00000000-0005-0000-0000-000087950000}"/>
    <cellStyle name="40% - Accent6 5 2 2 3 3 3" xfId="16139" xr:uid="{00000000-0005-0000-0000-000088950000}"/>
    <cellStyle name="40% - Accent6 5 2 2 3 3 3 2" xfId="38741" xr:uid="{00000000-0005-0000-0000-000089950000}"/>
    <cellStyle name="40% - Accent6 5 2 2 3 3 4" xfId="27440" xr:uid="{00000000-0005-0000-0000-00008A950000}"/>
    <cellStyle name="40% - Accent6 5 2 2 3 4" xfId="7025" xr:uid="{00000000-0005-0000-0000-00008B950000}"/>
    <cellStyle name="40% - Accent6 5 2 2 3 4 2" xfId="18326" xr:uid="{00000000-0005-0000-0000-00008C950000}"/>
    <cellStyle name="40% - Accent6 5 2 2 3 4 2 2" xfId="40928" xr:uid="{00000000-0005-0000-0000-00008D950000}"/>
    <cellStyle name="40% - Accent6 5 2 2 3 4 3" xfId="29627" xr:uid="{00000000-0005-0000-0000-00008E950000}"/>
    <cellStyle name="40% - Accent6 5 2 2 3 5" xfId="12676" xr:uid="{00000000-0005-0000-0000-00008F950000}"/>
    <cellStyle name="40% - Accent6 5 2 2 3 5 2" xfId="35278" xr:uid="{00000000-0005-0000-0000-000090950000}"/>
    <cellStyle name="40% - Accent6 5 2 2 3 6" xfId="23977" xr:uid="{00000000-0005-0000-0000-000091950000}"/>
    <cellStyle name="40% - Accent6 5 2 2 4" xfId="2007" xr:uid="{00000000-0005-0000-0000-000092950000}"/>
    <cellStyle name="40% - Accent6 5 2 2 4 2" xfId="3780" xr:uid="{00000000-0005-0000-0000-000093950000}"/>
    <cellStyle name="40% - Accent6 5 2 2 4 2 2" xfId="9488" xr:uid="{00000000-0005-0000-0000-000094950000}"/>
    <cellStyle name="40% - Accent6 5 2 2 4 2 2 2" xfId="20789" xr:uid="{00000000-0005-0000-0000-000095950000}"/>
    <cellStyle name="40% - Accent6 5 2 2 4 2 2 2 2" xfId="43391" xr:uid="{00000000-0005-0000-0000-000096950000}"/>
    <cellStyle name="40% - Accent6 5 2 2 4 2 2 3" xfId="32090" xr:uid="{00000000-0005-0000-0000-000097950000}"/>
    <cellStyle name="40% - Accent6 5 2 2 4 2 3" xfId="15139" xr:uid="{00000000-0005-0000-0000-000098950000}"/>
    <cellStyle name="40% - Accent6 5 2 2 4 2 3 2" xfId="37741" xr:uid="{00000000-0005-0000-0000-000099950000}"/>
    <cellStyle name="40% - Accent6 5 2 2 4 2 4" xfId="26440" xr:uid="{00000000-0005-0000-0000-00009A950000}"/>
    <cellStyle name="40% - Accent6 5 2 2 4 3" xfId="5448" xr:uid="{00000000-0005-0000-0000-00009B950000}"/>
    <cellStyle name="40% - Accent6 5 2 2 4 3 2" xfId="11098" xr:uid="{00000000-0005-0000-0000-00009C950000}"/>
    <cellStyle name="40% - Accent6 5 2 2 4 3 2 2" xfId="22399" xr:uid="{00000000-0005-0000-0000-00009D950000}"/>
    <cellStyle name="40% - Accent6 5 2 2 4 3 2 2 2" xfId="45001" xr:uid="{00000000-0005-0000-0000-00009E950000}"/>
    <cellStyle name="40% - Accent6 5 2 2 4 3 2 3" xfId="33700" xr:uid="{00000000-0005-0000-0000-00009F950000}"/>
    <cellStyle name="40% - Accent6 5 2 2 4 3 3" xfId="16749" xr:uid="{00000000-0005-0000-0000-0000A0950000}"/>
    <cellStyle name="40% - Accent6 5 2 2 4 3 3 2" xfId="39351" xr:uid="{00000000-0005-0000-0000-0000A1950000}"/>
    <cellStyle name="40% - Accent6 5 2 2 4 3 4" xfId="28050" xr:uid="{00000000-0005-0000-0000-0000A2950000}"/>
    <cellStyle name="40% - Accent6 5 2 2 4 4" xfId="7863" xr:uid="{00000000-0005-0000-0000-0000A3950000}"/>
    <cellStyle name="40% - Accent6 5 2 2 4 4 2" xfId="19164" xr:uid="{00000000-0005-0000-0000-0000A4950000}"/>
    <cellStyle name="40% - Accent6 5 2 2 4 4 2 2" xfId="41766" xr:uid="{00000000-0005-0000-0000-0000A5950000}"/>
    <cellStyle name="40% - Accent6 5 2 2 4 4 3" xfId="30465" xr:uid="{00000000-0005-0000-0000-0000A6950000}"/>
    <cellStyle name="40% - Accent6 5 2 2 4 5" xfId="13514" xr:uid="{00000000-0005-0000-0000-0000A7950000}"/>
    <cellStyle name="40% - Accent6 5 2 2 4 5 2" xfId="36116" xr:uid="{00000000-0005-0000-0000-0000A8950000}"/>
    <cellStyle name="40% - Accent6 5 2 2 4 6" xfId="24815" xr:uid="{00000000-0005-0000-0000-0000A9950000}"/>
    <cellStyle name="40% - Accent6 5 2 2 5" xfId="2429" xr:uid="{00000000-0005-0000-0000-0000AA950000}"/>
    <cellStyle name="40% - Accent6 5 2 2 5 2" xfId="8265" xr:uid="{00000000-0005-0000-0000-0000AB950000}"/>
    <cellStyle name="40% - Accent6 5 2 2 5 2 2" xfId="19566" xr:uid="{00000000-0005-0000-0000-0000AC950000}"/>
    <cellStyle name="40% - Accent6 5 2 2 5 2 2 2" xfId="42168" xr:uid="{00000000-0005-0000-0000-0000AD950000}"/>
    <cellStyle name="40% - Accent6 5 2 2 5 2 3" xfId="30867" xr:uid="{00000000-0005-0000-0000-0000AE950000}"/>
    <cellStyle name="40% - Accent6 5 2 2 5 3" xfId="13916" xr:uid="{00000000-0005-0000-0000-0000AF950000}"/>
    <cellStyle name="40% - Accent6 5 2 2 5 3 2" xfId="36518" xr:uid="{00000000-0005-0000-0000-0000B0950000}"/>
    <cellStyle name="40% - Accent6 5 2 2 5 4" xfId="25217" xr:uid="{00000000-0005-0000-0000-0000B1950000}"/>
    <cellStyle name="40% - Accent6 5 2 2 6" xfId="4214" xr:uid="{00000000-0005-0000-0000-0000B2950000}"/>
    <cellStyle name="40% - Accent6 5 2 2 6 2" xfId="9864" xr:uid="{00000000-0005-0000-0000-0000B3950000}"/>
    <cellStyle name="40% - Accent6 5 2 2 6 2 2" xfId="21165" xr:uid="{00000000-0005-0000-0000-0000B4950000}"/>
    <cellStyle name="40% - Accent6 5 2 2 6 2 2 2" xfId="43767" xr:uid="{00000000-0005-0000-0000-0000B5950000}"/>
    <cellStyle name="40% - Accent6 5 2 2 6 2 3" xfId="32466" xr:uid="{00000000-0005-0000-0000-0000B6950000}"/>
    <cellStyle name="40% - Accent6 5 2 2 6 3" xfId="15515" xr:uid="{00000000-0005-0000-0000-0000B7950000}"/>
    <cellStyle name="40% - Accent6 5 2 2 6 3 2" xfId="38117" xr:uid="{00000000-0005-0000-0000-0000B8950000}"/>
    <cellStyle name="40% - Accent6 5 2 2 6 4" xfId="26816" xr:uid="{00000000-0005-0000-0000-0000B9950000}"/>
    <cellStyle name="40% - Accent6 5 2 2 7" xfId="6694" xr:uid="{00000000-0005-0000-0000-0000BA950000}"/>
    <cellStyle name="40% - Accent6 5 2 2 7 2" xfId="17995" xr:uid="{00000000-0005-0000-0000-0000BB950000}"/>
    <cellStyle name="40% - Accent6 5 2 2 7 2 2" xfId="40597" xr:uid="{00000000-0005-0000-0000-0000BC950000}"/>
    <cellStyle name="40% - Accent6 5 2 2 7 3" xfId="29296" xr:uid="{00000000-0005-0000-0000-0000BD950000}"/>
    <cellStyle name="40% - Accent6 5 2 2 8" xfId="12345" xr:uid="{00000000-0005-0000-0000-0000BE950000}"/>
    <cellStyle name="40% - Accent6 5 2 2 8 2" xfId="34947" xr:uid="{00000000-0005-0000-0000-0000BF950000}"/>
    <cellStyle name="40% - Accent6 5 2 2 9" xfId="23646" xr:uid="{00000000-0005-0000-0000-0000C0950000}"/>
    <cellStyle name="40% - Accent6 5 2 3" xfId="1201" xr:uid="{00000000-0005-0000-0000-0000C1950000}"/>
    <cellStyle name="40% - Accent6 5 2 3 2" xfId="2009" xr:uid="{00000000-0005-0000-0000-0000C2950000}"/>
    <cellStyle name="40% - Accent6 5 2 3 2 2" xfId="3269" xr:uid="{00000000-0005-0000-0000-0000C3950000}"/>
    <cellStyle name="40% - Accent6 5 2 3 2 2 2" xfId="6241" xr:uid="{00000000-0005-0000-0000-0000C4950000}"/>
    <cellStyle name="40% - Accent6 5 2 3 2 2 2 2" xfId="11891" xr:uid="{00000000-0005-0000-0000-0000C5950000}"/>
    <cellStyle name="40% - Accent6 5 2 3 2 2 2 2 2" xfId="23192" xr:uid="{00000000-0005-0000-0000-0000C6950000}"/>
    <cellStyle name="40% - Accent6 5 2 3 2 2 2 2 2 2" xfId="45794" xr:uid="{00000000-0005-0000-0000-0000C7950000}"/>
    <cellStyle name="40% - Accent6 5 2 3 2 2 2 2 3" xfId="34493" xr:uid="{00000000-0005-0000-0000-0000C8950000}"/>
    <cellStyle name="40% - Accent6 5 2 3 2 2 2 3" xfId="17542" xr:uid="{00000000-0005-0000-0000-0000C9950000}"/>
    <cellStyle name="40% - Accent6 5 2 3 2 2 2 3 2" xfId="40144" xr:uid="{00000000-0005-0000-0000-0000CA950000}"/>
    <cellStyle name="40% - Accent6 5 2 3 2 2 2 4" xfId="28843" xr:uid="{00000000-0005-0000-0000-0000CB950000}"/>
    <cellStyle name="40% - Accent6 5 2 3 2 2 3" xfId="9059" xr:uid="{00000000-0005-0000-0000-0000CC950000}"/>
    <cellStyle name="40% - Accent6 5 2 3 2 2 3 2" xfId="20360" xr:uid="{00000000-0005-0000-0000-0000CD950000}"/>
    <cellStyle name="40% - Accent6 5 2 3 2 2 3 2 2" xfId="42962" xr:uid="{00000000-0005-0000-0000-0000CE950000}"/>
    <cellStyle name="40% - Accent6 5 2 3 2 2 3 3" xfId="31661" xr:uid="{00000000-0005-0000-0000-0000CF950000}"/>
    <cellStyle name="40% - Accent6 5 2 3 2 2 4" xfId="14710" xr:uid="{00000000-0005-0000-0000-0000D0950000}"/>
    <cellStyle name="40% - Accent6 5 2 3 2 2 4 2" xfId="37312" xr:uid="{00000000-0005-0000-0000-0000D1950000}"/>
    <cellStyle name="40% - Accent6 5 2 3 2 2 5" xfId="26011" xr:uid="{00000000-0005-0000-0000-0000D2950000}"/>
    <cellStyle name="40% - Accent6 5 2 3 2 3" xfId="5007" xr:uid="{00000000-0005-0000-0000-0000D3950000}"/>
    <cellStyle name="40% - Accent6 5 2 3 2 3 2" xfId="10657" xr:uid="{00000000-0005-0000-0000-0000D4950000}"/>
    <cellStyle name="40% - Accent6 5 2 3 2 3 2 2" xfId="21958" xr:uid="{00000000-0005-0000-0000-0000D5950000}"/>
    <cellStyle name="40% - Accent6 5 2 3 2 3 2 2 2" xfId="44560" xr:uid="{00000000-0005-0000-0000-0000D6950000}"/>
    <cellStyle name="40% - Accent6 5 2 3 2 3 2 3" xfId="33259" xr:uid="{00000000-0005-0000-0000-0000D7950000}"/>
    <cellStyle name="40% - Accent6 5 2 3 2 3 3" xfId="16308" xr:uid="{00000000-0005-0000-0000-0000D8950000}"/>
    <cellStyle name="40% - Accent6 5 2 3 2 3 3 2" xfId="38910" xr:uid="{00000000-0005-0000-0000-0000D9950000}"/>
    <cellStyle name="40% - Accent6 5 2 3 2 3 4" xfId="27609" xr:uid="{00000000-0005-0000-0000-0000DA950000}"/>
    <cellStyle name="40% - Accent6 5 2 3 2 4" xfId="7865" xr:uid="{00000000-0005-0000-0000-0000DB950000}"/>
    <cellStyle name="40% - Accent6 5 2 3 2 4 2" xfId="19166" xr:uid="{00000000-0005-0000-0000-0000DC950000}"/>
    <cellStyle name="40% - Accent6 5 2 3 2 4 2 2" xfId="41768" xr:uid="{00000000-0005-0000-0000-0000DD950000}"/>
    <cellStyle name="40% - Accent6 5 2 3 2 4 3" xfId="30467" xr:uid="{00000000-0005-0000-0000-0000DE950000}"/>
    <cellStyle name="40% - Accent6 5 2 3 2 5" xfId="13516" xr:uid="{00000000-0005-0000-0000-0000DF950000}"/>
    <cellStyle name="40% - Accent6 5 2 3 2 5 2" xfId="36118" xr:uid="{00000000-0005-0000-0000-0000E0950000}"/>
    <cellStyle name="40% - Accent6 5 2 3 2 6" xfId="24817" xr:uid="{00000000-0005-0000-0000-0000E1950000}"/>
    <cellStyle name="40% - Accent6 5 2 3 3" xfId="2598" xr:uid="{00000000-0005-0000-0000-0000E2950000}"/>
    <cellStyle name="40% - Accent6 5 2 3 3 2" xfId="5617" xr:uid="{00000000-0005-0000-0000-0000E3950000}"/>
    <cellStyle name="40% - Accent6 5 2 3 3 2 2" xfId="11267" xr:uid="{00000000-0005-0000-0000-0000E4950000}"/>
    <cellStyle name="40% - Accent6 5 2 3 3 2 2 2" xfId="22568" xr:uid="{00000000-0005-0000-0000-0000E5950000}"/>
    <cellStyle name="40% - Accent6 5 2 3 3 2 2 2 2" xfId="45170" xr:uid="{00000000-0005-0000-0000-0000E6950000}"/>
    <cellStyle name="40% - Accent6 5 2 3 3 2 2 3" xfId="33869" xr:uid="{00000000-0005-0000-0000-0000E7950000}"/>
    <cellStyle name="40% - Accent6 5 2 3 3 2 3" xfId="16918" xr:uid="{00000000-0005-0000-0000-0000E8950000}"/>
    <cellStyle name="40% - Accent6 5 2 3 3 2 3 2" xfId="39520" xr:uid="{00000000-0005-0000-0000-0000E9950000}"/>
    <cellStyle name="40% - Accent6 5 2 3 3 2 4" xfId="28219" xr:uid="{00000000-0005-0000-0000-0000EA950000}"/>
    <cellStyle name="40% - Accent6 5 2 3 3 3" xfId="8434" xr:uid="{00000000-0005-0000-0000-0000EB950000}"/>
    <cellStyle name="40% - Accent6 5 2 3 3 3 2" xfId="19735" xr:uid="{00000000-0005-0000-0000-0000EC950000}"/>
    <cellStyle name="40% - Accent6 5 2 3 3 3 2 2" xfId="42337" xr:uid="{00000000-0005-0000-0000-0000ED950000}"/>
    <cellStyle name="40% - Accent6 5 2 3 3 3 3" xfId="31036" xr:uid="{00000000-0005-0000-0000-0000EE950000}"/>
    <cellStyle name="40% - Accent6 5 2 3 3 4" xfId="14085" xr:uid="{00000000-0005-0000-0000-0000EF950000}"/>
    <cellStyle name="40% - Accent6 5 2 3 3 4 2" xfId="36687" xr:uid="{00000000-0005-0000-0000-0000F0950000}"/>
    <cellStyle name="40% - Accent6 5 2 3 3 5" xfId="25386" xr:uid="{00000000-0005-0000-0000-0000F1950000}"/>
    <cellStyle name="40% - Accent6 5 2 3 4" xfId="4383" xr:uid="{00000000-0005-0000-0000-0000F2950000}"/>
    <cellStyle name="40% - Accent6 5 2 3 4 2" xfId="10033" xr:uid="{00000000-0005-0000-0000-0000F3950000}"/>
    <cellStyle name="40% - Accent6 5 2 3 4 2 2" xfId="21334" xr:uid="{00000000-0005-0000-0000-0000F4950000}"/>
    <cellStyle name="40% - Accent6 5 2 3 4 2 2 2" xfId="43936" xr:uid="{00000000-0005-0000-0000-0000F5950000}"/>
    <cellStyle name="40% - Accent6 5 2 3 4 2 3" xfId="32635" xr:uid="{00000000-0005-0000-0000-0000F6950000}"/>
    <cellStyle name="40% - Accent6 5 2 3 4 3" xfId="15684" xr:uid="{00000000-0005-0000-0000-0000F7950000}"/>
    <cellStyle name="40% - Accent6 5 2 3 4 3 2" xfId="38286" xr:uid="{00000000-0005-0000-0000-0000F8950000}"/>
    <cellStyle name="40% - Accent6 5 2 3 4 4" xfId="26985" xr:uid="{00000000-0005-0000-0000-0000F9950000}"/>
    <cellStyle name="40% - Accent6 5 2 3 5" xfId="7180" xr:uid="{00000000-0005-0000-0000-0000FA950000}"/>
    <cellStyle name="40% - Accent6 5 2 3 5 2" xfId="18481" xr:uid="{00000000-0005-0000-0000-0000FB950000}"/>
    <cellStyle name="40% - Accent6 5 2 3 5 2 2" xfId="41083" xr:uid="{00000000-0005-0000-0000-0000FC950000}"/>
    <cellStyle name="40% - Accent6 5 2 3 5 3" xfId="29782" xr:uid="{00000000-0005-0000-0000-0000FD950000}"/>
    <cellStyle name="40% - Accent6 5 2 3 6" xfId="12831" xr:uid="{00000000-0005-0000-0000-0000FE950000}"/>
    <cellStyle name="40% - Accent6 5 2 3 6 2" xfId="35433" xr:uid="{00000000-0005-0000-0000-0000FF950000}"/>
    <cellStyle name="40% - Accent6 5 2 3 7" xfId="24132" xr:uid="{00000000-0005-0000-0000-000000960000}"/>
    <cellStyle name="40% - Accent6 5 2 4" xfId="892" xr:uid="{00000000-0005-0000-0000-000001960000}"/>
    <cellStyle name="40% - Accent6 5 2 4 2" xfId="2962" xr:uid="{00000000-0005-0000-0000-000002960000}"/>
    <cellStyle name="40% - Accent6 5 2 4 2 2" xfId="5934" xr:uid="{00000000-0005-0000-0000-000003960000}"/>
    <cellStyle name="40% - Accent6 5 2 4 2 2 2" xfId="11584" xr:uid="{00000000-0005-0000-0000-000004960000}"/>
    <cellStyle name="40% - Accent6 5 2 4 2 2 2 2" xfId="22885" xr:uid="{00000000-0005-0000-0000-000005960000}"/>
    <cellStyle name="40% - Accent6 5 2 4 2 2 2 2 2" xfId="45487" xr:uid="{00000000-0005-0000-0000-000006960000}"/>
    <cellStyle name="40% - Accent6 5 2 4 2 2 2 3" xfId="34186" xr:uid="{00000000-0005-0000-0000-000007960000}"/>
    <cellStyle name="40% - Accent6 5 2 4 2 2 3" xfId="17235" xr:uid="{00000000-0005-0000-0000-000008960000}"/>
    <cellStyle name="40% - Accent6 5 2 4 2 2 3 2" xfId="39837" xr:uid="{00000000-0005-0000-0000-000009960000}"/>
    <cellStyle name="40% - Accent6 5 2 4 2 2 4" xfId="28536" xr:uid="{00000000-0005-0000-0000-00000A960000}"/>
    <cellStyle name="40% - Accent6 5 2 4 2 3" xfId="8752" xr:uid="{00000000-0005-0000-0000-00000B960000}"/>
    <cellStyle name="40% - Accent6 5 2 4 2 3 2" xfId="20053" xr:uid="{00000000-0005-0000-0000-00000C960000}"/>
    <cellStyle name="40% - Accent6 5 2 4 2 3 2 2" xfId="42655" xr:uid="{00000000-0005-0000-0000-00000D960000}"/>
    <cellStyle name="40% - Accent6 5 2 4 2 3 3" xfId="31354" xr:uid="{00000000-0005-0000-0000-00000E960000}"/>
    <cellStyle name="40% - Accent6 5 2 4 2 4" xfId="14403" xr:uid="{00000000-0005-0000-0000-00000F960000}"/>
    <cellStyle name="40% - Accent6 5 2 4 2 4 2" xfId="37005" xr:uid="{00000000-0005-0000-0000-000010960000}"/>
    <cellStyle name="40% - Accent6 5 2 4 2 5" xfId="25704" xr:uid="{00000000-0005-0000-0000-000011960000}"/>
    <cellStyle name="40% - Accent6 5 2 4 3" xfId="4700" xr:uid="{00000000-0005-0000-0000-000012960000}"/>
    <cellStyle name="40% - Accent6 5 2 4 3 2" xfId="10350" xr:uid="{00000000-0005-0000-0000-000013960000}"/>
    <cellStyle name="40% - Accent6 5 2 4 3 2 2" xfId="21651" xr:uid="{00000000-0005-0000-0000-000014960000}"/>
    <cellStyle name="40% - Accent6 5 2 4 3 2 2 2" xfId="44253" xr:uid="{00000000-0005-0000-0000-000015960000}"/>
    <cellStyle name="40% - Accent6 5 2 4 3 2 3" xfId="32952" xr:uid="{00000000-0005-0000-0000-000016960000}"/>
    <cellStyle name="40% - Accent6 5 2 4 3 3" xfId="16001" xr:uid="{00000000-0005-0000-0000-000017960000}"/>
    <cellStyle name="40% - Accent6 5 2 4 3 3 2" xfId="38603" xr:uid="{00000000-0005-0000-0000-000018960000}"/>
    <cellStyle name="40% - Accent6 5 2 4 3 4" xfId="27302" xr:uid="{00000000-0005-0000-0000-000019960000}"/>
    <cellStyle name="40% - Accent6 5 2 4 4" xfId="6887" xr:uid="{00000000-0005-0000-0000-00001A960000}"/>
    <cellStyle name="40% - Accent6 5 2 4 4 2" xfId="18188" xr:uid="{00000000-0005-0000-0000-00001B960000}"/>
    <cellStyle name="40% - Accent6 5 2 4 4 2 2" xfId="40790" xr:uid="{00000000-0005-0000-0000-00001C960000}"/>
    <cellStyle name="40% - Accent6 5 2 4 4 3" xfId="29489" xr:uid="{00000000-0005-0000-0000-00001D960000}"/>
    <cellStyle name="40% - Accent6 5 2 4 5" xfId="12538" xr:uid="{00000000-0005-0000-0000-00001E960000}"/>
    <cellStyle name="40% - Accent6 5 2 4 5 2" xfId="35140" xr:uid="{00000000-0005-0000-0000-00001F960000}"/>
    <cellStyle name="40% - Accent6 5 2 4 6" xfId="23839" xr:uid="{00000000-0005-0000-0000-000020960000}"/>
    <cellStyle name="40% - Accent6 5 2 5" xfId="2006" xr:uid="{00000000-0005-0000-0000-000021960000}"/>
    <cellStyle name="40% - Accent6 5 2 5 2" xfId="3779" xr:uid="{00000000-0005-0000-0000-000022960000}"/>
    <cellStyle name="40% - Accent6 5 2 5 2 2" xfId="9487" xr:uid="{00000000-0005-0000-0000-000023960000}"/>
    <cellStyle name="40% - Accent6 5 2 5 2 2 2" xfId="20788" xr:uid="{00000000-0005-0000-0000-000024960000}"/>
    <cellStyle name="40% - Accent6 5 2 5 2 2 2 2" xfId="43390" xr:uid="{00000000-0005-0000-0000-000025960000}"/>
    <cellStyle name="40% - Accent6 5 2 5 2 2 3" xfId="32089" xr:uid="{00000000-0005-0000-0000-000026960000}"/>
    <cellStyle name="40% - Accent6 5 2 5 2 3" xfId="15138" xr:uid="{00000000-0005-0000-0000-000027960000}"/>
    <cellStyle name="40% - Accent6 5 2 5 2 3 2" xfId="37740" xr:uid="{00000000-0005-0000-0000-000028960000}"/>
    <cellStyle name="40% - Accent6 5 2 5 2 4" xfId="26439" xr:uid="{00000000-0005-0000-0000-000029960000}"/>
    <cellStyle name="40% - Accent6 5 2 5 3" xfId="5310" xr:uid="{00000000-0005-0000-0000-00002A960000}"/>
    <cellStyle name="40% - Accent6 5 2 5 3 2" xfId="10960" xr:uid="{00000000-0005-0000-0000-00002B960000}"/>
    <cellStyle name="40% - Accent6 5 2 5 3 2 2" xfId="22261" xr:uid="{00000000-0005-0000-0000-00002C960000}"/>
    <cellStyle name="40% - Accent6 5 2 5 3 2 2 2" xfId="44863" xr:uid="{00000000-0005-0000-0000-00002D960000}"/>
    <cellStyle name="40% - Accent6 5 2 5 3 2 3" xfId="33562" xr:uid="{00000000-0005-0000-0000-00002E960000}"/>
    <cellStyle name="40% - Accent6 5 2 5 3 3" xfId="16611" xr:uid="{00000000-0005-0000-0000-00002F960000}"/>
    <cellStyle name="40% - Accent6 5 2 5 3 3 2" xfId="39213" xr:uid="{00000000-0005-0000-0000-000030960000}"/>
    <cellStyle name="40% - Accent6 5 2 5 3 4" xfId="27912" xr:uid="{00000000-0005-0000-0000-000031960000}"/>
    <cellStyle name="40% - Accent6 5 2 5 4" xfId="7862" xr:uid="{00000000-0005-0000-0000-000032960000}"/>
    <cellStyle name="40% - Accent6 5 2 5 4 2" xfId="19163" xr:uid="{00000000-0005-0000-0000-000033960000}"/>
    <cellStyle name="40% - Accent6 5 2 5 4 2 2" xfId="41765" xr:uid="{00000000-0005-0000-0000-000034960000}"/>
    <cellStyle name="40% - Accent6 5 2 5 4 3" xfId="30464" xr:uid="{00000000-0005-0000-0000-000035960000}"/>
    <cellStyle name="40% - Accent6 5 2 5 5" xfId="13513" xr:uid="{00000000-0005-0000-0000-000036960000}"/>
    <cellStyle name="40% - Accent6 5 2 5 5 2" xfId="36115" xr:uid="{00000000-0005-0000-0000-000037960000}"/>
    <cellStyle name="40% - Accent6 5 2 5 6" xfId="24814" xr:uid="{00000000-0005-0000-0000-000038960000}"/>
    <cellStyle name="40% - Accent6 5 2 6" xfId="2289" xr:uid="{00000000-0005-0000-0000-000039960000}"/>
    <cellStyle name="40% - Accent6 5 2 6 2" xfId="8125" xr:uid="{00000000-0005-0000-0000-00003A960000}"/>
    <cellStyle name="40% - Accent6 5 2 6 2 2" xfId="19426" xr:uid="{00000000-0005-0000-0000-00003B960000}"/>
    <cellStyle name="40% - Accent6 5 2 6 2 2 2" xfId="42028" xr:uid="{00000000-0005-0000-0000-00003C960000}"/>
    <cellStyle name="40% - Accent6 5 2 6 2 3" xfId="30727" xr:uid="{00000000-0005-0000-0000-00003D960000}"/>
    <cellStyle name="40% - Accent6 5 2 6 3" xfId="13776" xr:uid="{00000000-0005-0000-0000-00003E960000}"/>
    <cellStyle name="40% - Accent6 5 2 6 3 2" xfId="36378" xr:uid="{00000000-0005-0000-0000-00003F960000}"/>
    <cellStyle name="40% - Accent6 5 2 6 4" xfId="25077" xr:uid="{00000000-0005-0000-0000-000040960000}"/>
    <cellStyle name="40% - Accent6 5 2 7" xfId="4076" xr:uid="{00000000-0005-0000-0000-000041960000}"/>
    <cellStyle name="40% - Accent6 5 2 7 2" xfId="9726" xr:uid="{00000000-0005-0000-0000-000042960000}"/>
    <cellStyle name="40% - Accent6 5 2 7 2 2" xfId="21027" xr:uid="{00000000-0005-0000-0000-000043960000}"/>
    <cellStyle name="40% - Accent6 5 2 7 2 2 2" xfId="43629" xr:uid="{00000000-0005-0000-0000-000044960000}"/>
    <cellStyle name="40% - Accent6 5 2 7 2 3" xfId="32328" xr:uid="{00000000-0005-0000-0000-000045960000}"/>
    <cellStyle name="40% - Accent6 5 2 7 3" xfId="15377" xr:uid="{00000000-0005-0000-0000-000046960000}"/>
    <cellStyle name="40% - Accent6 5 2 7 3 2" xfId="37979" xr:uid="{00000000-0005-0000-0000-000047960000}"/>
    <cellStyle name="40% - Accent6 5 2 7 4" xfId="26678" xr:uid="{00000000-0005-0000-0000-000048960000}"/>
    <cellStyle name="40% - Accent6 5 2 8" xfId="6527" xr:uid="{00000000-0005-0000-0000-000049960000}"/>
    <cellStyle name="40% - Accent6 5 2 8 2" xfId="17828" xr:uid="{00000000-0005-0000-0000-00004A960000}"/>
    <cellStyle name="40% - Accent6 5 2 8 2 2" xfId="40430" xr:uid="{00000000-0005-0000-0000-00004B960000}"/>
    <cellStyle name="40% - Accent6 5 2 8 3" xfId="29129" xr:uid="{00000000-0005-0000-0000-00004C960000}"/>
    <cellStyle name="40% - Accent6 5 2 9" xfId="12178" xr:uid="{00000000-0005-0000-0000-00004D960000}"/>
    <cellStyle name="40% - Accent6 5 2 9 2" xfId="34780" xr:uid="{00000000-0005-0000-0000-00004E960000}"/>
    <cellStyle name="40% - Accent6 5 3" xfId="533" xr:uid="{00000000-0005-0000-0000-00004F960000}"/>
    <cellStyle name="40% - Accent6 5 3 2" xfId="1246" xr:uid="{00000000-0005-0000-0000-000050960000}"/>
    <cellStyle name="40% - Accent6 5 3 2 2" xfId="2011" xr:uid="{00000000-0005-0000-0000-000051960000}"/>
    <cellStyle name="40% - Accent6 5 3 2 2 2" xfId="3315" xr:uid="{00000000-0005-0000-0000-000052960000}"/>
    <cellStyle name="40% - Accent6 5 3 2 2 2 2" xfId="6287" xr:uid="{00000000-0005-0000-0000-000053960000}"/>
    <cellStyle name="40% - Accent6 5 3 2 2 2 2 2" xfId="11937" xr:uid="{00000000-0005-0000-0000-000054960000}"/>
    <cellStyle name="40% - Accent6 5 3 2 2 2 2 2 2" xfId="23238" xr:uid="{00000000-0005-0000-0000-000055960000}"/>
    <cellStyle name="40% - Accent6 5 3 2 2 2 2 2 2 2" xfId="45840" xr:uid="{00000000-0005-0000-0000-000056960000}"/>
    <cellStyle name="40% - Accent6 5 3 2 2 2 2 2 3" xfId="34539" xr:uid="{00000000-0005-0000-0000-000057960000}"/>
    <cellStyle name="40% - Accent6 5 3 2 2 2 2 3" xfId="17588" xr:uid="{00000000-0005-0000-0000-000058960000}"/>
    <cellStyle name="40% - Accent6 5 3 2 2 2 2 3 2" xfId="40190" xr:uid="{00000000-0005-0000-0000-000059960000}"/>
    <cellStyle name="40% - Accent6 5 3 2 2 2 2 4" xfId="28889" xr:uid="{00000000-0005-0000-0000-00005A960000}"/>
    <cellStyle name="40% - Accent6 5 3 2 2 2 3" xfId="9105" xr:uid="{00000000-0005-0000-0000-00005B960000}"/>
    <cellStyle name="40% - Accent6 5 3 2 2 2 3 2" xfId="20406" xr:uid="{00000000-0005-0000-0000-00005C960000}"/>
    <cellStyle name="40% - Accent6 5 3 2 2 2 3 2 2" xfId="43008" xr:uid="{00000000-0005-0000-0000-00005D960000}"/>
    <cellStyle name="40% - Accent6 5 3 2 2 2 3 3" xfId="31707" xr:uid="{00000000-0005-0000-0000-00005E960000}"/>
    <cellStyle name="40% - Accent6 5 3 2 2 2 4" xfId="14756" xr:uid="{00000000-0005-0000-0000-00005F960000}"/>
    <cellStyle name="40% - Accent6 5 3 2 2 2 4 2" xfId="37358" xr:uid="{00000000-0005-0000-0000-000060960000}"/>
    <cellStyle name="40% - Accent6 5 3 2 2 2 5" xfId="26057" xr:uid="{00000000-0005-0000-0000-000061960000}"/>
    <cellStyle name="40% - Accent6 5 3 2 2 3" xfId="5053" xr:uid="{00000000-0005-0000-0000-000062960000}"/>
    <cellStyle name="40% - Accent6 5 3 2 2 3 2" xfId="10703" xr:uid="{00000000-0005-0000-0000-000063960000}"/>
    <cellStyle name="40% - Accent6 5 3 2 2 3 2 2" xfId="22004" xr:uid="{00000000-0005-0000-0000-000064960000}"/>
    <cellStyle name="40% - Accent6 5 3 2 2 3 2 2 2" xfId="44606" xr:uid="{00000000-0005-0000-0000-000065960000}"/>
    <cellStyle name="40% - Accent6 5 3 2 2 3 2 3" xfId="33305" xr:uid="{00000000-0005-0000-0000-000066960000}"/>
    <cellStyle name="40% - Accent6 5 3 2 2 3 3" xfId="16354" xr:uid="{00000000-0005-0000-0000-000067960000}"/>
    <cellStyle name="40% - Accent6 5 3 2 2 3 3 2" xfId="38956" xr:uid="{00000000-0005-0000-0000-000068960000}"/>
    <cellStyle name="40% - Accent6 5 3 2 2 3 4" xfId="27655" xr:uid="{00000000-0005-0000-0000-000069960000}"/>
    <cellStyle name="40% - Accent6 5 3 2 2 4" xfId="7867" xr:uid="{00000000-0005-0000-0000-00006A960000}"/>
    <cellStyle name="40% - Accent6 5 3 2 2 4 2" xfId="19168" xr:uid="{00000000-0005-0000-0000-00006B960000}"/>
    <cellStyle name="40% - Accent6 5 3 2 2 4 2 2" xfId="41770" xr:uid="{00000000-0005-0000-0000-00006C960000}"/>
    <cellStyle name="40% - Accent6 5 3 2 2 4 3" xfId="30469" xr:uid="{00000000-0005-0000-0000-00006D960000}"/>
    <cellStyle name="40% - Accent6 5 3 2 2 5" xfId="13518" xr:uid="{00000000-0005-0000-0000-00006E960000}"/>
    <cellStyle name="40% - Accent6 5 3 2 2 5 2" xfId="36120" xr:uid="{00000000-0005-0000-0000-00006F960000}"/>
    <cellStyle name="40% - Accent6 5 3 2 2 6" xfId="24819" xr:uid="{00000000-0005-0000-0000-000070960000}"/>
    <cellStyle name="40% - Accent6 5 3 2 3" xfId="2644" xr:uid="{00000000-0005-0000-0000-000071960000}"/>
    <cellStyle name="40% - Accent6 5 3 2 3 2" xfId="5663" xr:uid="{00000000-0005-0000-0000-000072960000}"/>
    <cellStyle name="40% - Accent6 5 3 2 3 2 2" xfId="11313" xr:uid="{00000000-0005-0000-0000-000073960000}"/>
    <cellStyle name="40% - Accent6 5 3 2 3 2 2 2" xfId="22614" xr:uid="{00000000-0005-0000-0000-000074960000}"/>
    <cellStyle name="40% - Accent6 5 3 2 3 2 2 2 2" xfId="45216" xr:uid="{00000000-0005-0000-0000-000075960000}"/>
    <cellStyle name="40% - Accent6 5 3 2 3 2 2 3" xfId="33915" xr:uid="{00000000-0005-0000-0000-000076960000}"/>
    <cellStyle name="40% - Accent6 5 3 2 3 2 3" xfId="16964" xr:uid="{00000000-0005-0000-0000-000077960000}"/>
    <cellStyle name="40% - Accent6 5 3 2 3 2 3 2" xfId="39566" xr:uid="{00000000-0005-0000-0000-000078960000}"/>
    <cellStyle name="40% - Accent6 5 3 2 3 2 4" xfId="28265" xr:uid="{00000000-0005-0000-0000-000079960000}"/>
    <cellStyle name="40% - Accent6 5 3 2 3 3" xfId="8480" xr:uid="{00000000-0005-0000-0000-00007A960000}"/>
    <cellStyle name="40% - Accent6 5 3 2 3 3 2" xfId="19781" xr:uid="{00000000-0005-0000-0000-00007B960000}"/>
    <cellStyle name="40% - Accent6 5 3 2 3 3 2 2" xfId="42383" xr:uid="{00000000-0005-0000-0000-00007C960000}"/>
    <cellStyle name="40% - Accent6 5 3 2 3 3 3" xfId="31082" xr:uid="{00000000-0005-0000-0000-00007D960000}"/>
    <cellStyle name="40% - Accent6 5 3 2 3 4" xfId="14131" xr:uid="{00000000-0005-0000-0000-00007E960000}"/>
    <cellStyle name="40% - Accent6 5 3 2 3 4 2" xfId="36733" xr:uid="{00000000-0005-0000-0000-00007F960000}"/>
    <cellStyle name="40% - Accent6 5 3 2 3 5" xfId="25432" xr:uid="{00000000-0005-0000-0000-000080960000}"/>
    <cellStyle name="40% - Accent6 5 3 2 4" xfId="4429" xr:uid="{00000000-0005-0000-0000-000081960000}"/>
    <cellStyle name="40% - Accent6 5 3 2 4 2" xfId="10079" xr:uid="{00000000-0005-0000-0000-000082960000}"/>
    <cellStyle name="40% - Accent6 5 3 2 4 2 2" xfId="21380" xr:uid="{00000000-0005-0000-0000-000083960000}"/>
    <cellStyle name="40% - Accent6 5 3 2 4 2 2 2" xfId="43982" xr:uid="{00000000-0005-0000-0000-000084960000}"/>
    <cellStyle name="40% - Accent6 5 3 2 4 2 3" xfId="32681" xr:uid="{00000000-0005-0000-0000-000085960000}"/>
    <cellStyle name="40% - Accent6 5 3 2 4 3" xfId="15730" xr:uid="{00000000-0005-0000-0000-000086960000}"/>
    <cellStyle name="40% - Accent6 5 3 2 4 3 2" xfId="38332" xr:uid="{00000000-0005-0000-0000-000087960000}"/>
    <cellStyle name="40% - Accent6 5 3 2 4 4" xfId="27031" xr:uid="{00000000-0005-0000-0000-000088960000}"/>
    <cellStyle name="40% - Accent6 5 3 2 5" xfId="7225" xr:uid="{00000000-0005-0000-0000-000089960000}"/>
    <cellStyle name="40% - Accent6 5 3 2 5 2" xfId="18526" xr:uid="{00000000-0005-0000-0000-00008A960000}"/>
    <cellStyle name="40% - Accent6 5 3 2 5 2 2" xfId="41128" xr:uid="{00000000-0005-0000-0000-00008B960000}"/>
    <cellStyle name="40% - Accent6 5 3 2 5 3" xfId="29827" xr:uid="{00000000-0005-0000-0000-00008C960000}"/>
    <cellStyle name="40% - Accent6 5 3 2 6" xfId="12876" xr:uid="{00000000-0005-0000-0000-00008D960000}"/>
    <cellStyle name="40% - Accent6 5 3 2 6 2" xfId="35478" xr:uid="{00000000-0005-0000-0000-00008E960000}"/>
    <cellStyle name="40% - Accent6 5 3 2 7" xfId="24177" xr:uid="{00000000-0005-0000-0000-00008F960000}"/>
    <cellStyle name="40% - Accent6 5 3 3" xfId="944" xr:uid="{00000000-0005-0000-0000-000090960000}"/>
    <cellStyle name="40% - Accent6 5 3 3 2" xfId="3007" xr:uid="{00000000-0005-0000-0000-000091960000}"/>
    <cellStyle name="40% - Accent6 5 3 3 2 2" xfId="5979" xr:uid="{00000000-0005-0000-0000-000092960000}"/>
    <cellStyle name="40% - Accent6 5 3 3 2 2 2" xfId="11629" xr:uid="{00000000-0005-0000-0000-000093960000}"/>
    <cellStyle name="40% - Accent6 5 3 3 2 2 2 2" xfId="22930" xr:uid="{00000000-0005-0000-0000-000094960000}"/>
    <cellStyle name="40% - Accent6 5 3 3 2 2 2 2 2" xfId="45532" xr:uid="{00000000-0005-0000-0000-000095960000}"/>
    <cellStyle name="40% - Accent6 5 3 3 2 2 2 3" xfId="34231" xr:uid="{00000000-0005-0000-0000-000096960000}"/>
    <cellStyle name="40% - Accent6 5 3 3 2 2 3" xfId="17280" xr:uid="{00000000-0005-0000-0000-000097960000}"/>
    <cellStyle name="40% - Accent6 5 3 3 2 2 3 2" xfId="39882" xr:uid="{00000000-0005-0000-0000-000098960000}"/>
    <cellStyle name="40% - Accent6 5 3 3 2 2 4" xfId="28581" xr:uid="{00000000-0005-0000-0000-000099960000}"/>
    <cellStyle name="40% - Accent6 5 3 3 2 3" xfId="8797" xr:uid="{00000000-0005-0000-0000-00009A960000}"/>
    <cellStyle name="40% - Accent6 5 3 3 2 3 2" xfId="20098" xr:uid="{00000000-0005-0000-0000-00009B960000}"/>
    <cellStyle name="40% - Accent6 5 3 3 2 3 2 2" xfId="42700" xr:uid="{00000000-0005-0000-0000-00009C960000}"/>
    <cellStyle name="40% - Accent6 5 3 3 2 3 3" xfId="31399" xr:uid="{00000000-0005-0000-0000-00009D960000}"/>
    <cellStyle name="40% - Accent6 5 3 3 2 4" xfId="14448" xr:uid="{00000000-0005-0000-0000-00009E960000}"/>
    <cellStyle name="40% - Accent6 5 3 3 2 4 2" xfId="37050" xr:uid="{00000000-0005-0000-0000-00009F960000}"/>
    <cellStyle name="40% - Accent6 5 3 3 2 5" xfId="25749" xr:uid="{00000000-0005-0000-0000-0000A0960000}"/>
    <cellStyle name="40% - Accent6 5 3 3 3" xfId="4745" xr:uid="{00000000-0005-0000-0000-0000A1960000}"/>
    <cellStyle name="40% - Accent6 5 3 3 3 2" xfId="10395" xr:uid="{00000000-0005-0000-0000-0000A2960000}"/>
    <cellStyle name="40% - Accent6 5 3 3 3 2 2" xfId="21696" xr:uid="{00000000-0005-0000-0000-0000A3960000}"/>
    <cellStyle name="40% - Accent6 5 3 3 3 2 2 2" xfId="44298" xr:uid="{00000000-0005-0000-0000-0000A4960000}"/>
    <cellStyle name="40% - Accent6 5 3 3 3 2 3" xfId="32997" xr:uid="{00000000-0005-0000-0000-0000A5960000}"/>
    <cellStyle name="40% - Accent6 5 3 3 3 3" xfId="16046" xr:uid="{00000000-0005-0000-0000-0000A6960000}"/>
    <cellStyle name="40% - Accent6 5 3 3 3 3 2" xfId="38648" xr:uid="{00000000-0005-0000-0000-0000A7960000}"/>
    <cellStyle name="40% - Accent6 5 3 3 3 4" xfId="27347" xr:uid="{00000000-0005-0000-0000-0000A8960000}"/>
    <cellStyle name="40% - Accent6 5 3 3 4" xfId="6932" xr:uid="{00000000-0005-0000-0000-0000A9960000}"/>
    <cellStyle name="40% - Accent6 5 3 3 4 2" xfId="18233" xr:uid="{00000000-0005-0000-0000-0000AA960000}"/>
    <cellStyle name="40% - Accent6 5 3 3 4 2 2" xfId="40835" xr:uid="{00000000-0005-0000-0000-0000AB960000}"/>
    <cellStyle name="40% - Accent6 5 3 3 4 3" xfId="29534" xr:uid="{00000000-0005-0000-0000-0000AC960000}"/>
    <cellStyle name="40% - Accent6 5 3 3 5" xfId="12583" xr:uid="{00000000-0005-0000-0000-0000AD960000}"/>
    <cellStyle name="40% - Accent6 5 3 3 5 2" xfId="35185" xr:uid="{00000000-0005-0000-0000-0000AE960000}"/>
    <cellStyle name="40% - Accent6 5 3 3 6" xfId="23884" xr:uid="{00000000-0005-0000-0000-0000AF960000}"/>
    <cellStyle name="40% - Accent6 5 3 4" xfId="2010" xr:uid="{00000000-0005-0000-0000-0000B0960000}"/>
    <cellStyle name="40% - Accent6 5 3 4 2" xfId="3781" xr:uid="{00000000-0005-0000-0000-0000B1960000}"/>
    <cellStyle name="40% - Accent6 5 3 4 2 2" xfId="9489" xr:uid="{00000000-0005-0000-0000-0000B2960000}"/>
    <cellStyle name="40% - Accent6 5 3 4 2 2 2" xfId="20790" xr:uid="{00000000-0005-0000-0000-0000B3960000}"/>
    <cellStyle name="40% - Accent6 5 3 4 2 2 2 2" xfId="43392" xr:uid="{00000000-0005-0000-0000-0000B4960000}"/>
    <cellStyle name="40% - Accent6 5 3 4 2 2 3" xfId="32091" xr:uid="{00000000-0005-0000-0000-0000B5960000}"/>
    <cellStyle name="40% - Accent6 5 3 4 2 3" xfId="15140" xr:uid="{00000000-0005-0000-0000-0000B6960000}"/>
    <cellStyle name="40% - Accent6 5 3 4 2 3 2" xfId="37742" xr:uid="{00000000-0005-0000-0000-0000B7960000}"/>
    <cellStyle name="40% - Accent6 5 3 4 2 4" xfId="26441" xr:uid="{00000000-0005-0000-0000-0000B8960000}"/>
    <cellStyle name="40% - Accent6 5 3 4 3" xfId="5355" xr:uid="{00000000-0005-0000-0000-0000B9960000}"/>
    <cellStyle name="40% - Accent6 5 3 4 3 2" xfId="11005" xr:uid="{00000000-0005-0000-0000-0000BA960000}"/>
    <cellStyle name="40% - Accent6 5 3 4 3 2 2" xfId="22306" xr:uid="{00000000-0005-0000-0000-0000BB960000}"/>
    <cellStyle name="40% - Accent6 5 3 4 3 2 2 2" xfId="44908" xr:uid="{00000000-0005-0000-0000-0000BC960000}"/>
    <cellStyle name="40% - Accent6 5 3 4 3 2 3" xfId="33607" xr:uid="{00000000-0005-0000-0000-0000BD960000}"/>
    <cellStyle name="40% - Accent6 5 3 4 3 3" xfId="16656" xr:uid="{00000000-0005-0000-0000-0000BE960000}"/>
    <cellStyle name="40% - Accent6 5 3 4 3 3 2" xfId="39258" xr:uid="{00000000-0005-0000-0000-0000BF960000}"/>
    <cellStyle name="40% - Accent6 5 3 4 3 4" xfId="27957" xr:uid="{00000000-0005-0000-0000-0000C0960000}"/>
    <cellStyle name="40% - Accent6 5 3 4 4" xfId="7866" xr:uid="{00000000-0005-0000-0000-0000C1960000}"/>
    <cellStyle name="40% - Accent6 5 3 4 4 2" xfId="19167" xr:uid="{00000000-0005-0000-0000-0000C2960000}"/>
    <cellStyle name="40% - Accent6 5 3 4 4 2 2" xfId="41769" xr:uid="{00000000-0005-0000-0000-0000C3960000}"/>
    <cellStyle name="40% - Accent6 5 3 4 4 3" xfId="30468" xr:uid="{00000000-0005-0000-0000-0000C4960000}"/>
    <cellStyle name="40% - Accent6 5 3 4 5" xfId="13517" xr:uid="{00000000-0005-0000-0000-0000C5960000}"/>
    <cellStyle name="40% - Accent6 5 3 4 5 2" xfId="36119" xr:uid="{00000000-0005-0000-0000-0000C6960000}"/>
    <cellStyle name="40% - Accent6 5 3 4 6" xfId="24818" xr:uid="{00000000-0005-0000-0000-0000C7960000}"/>
    <cellStyle name="40% - Accent6 5 3 5" xfId="2336" xr:uid="{00000000-0005-0000-0000-0000C8960000}"/>
    <cellStyle name="40% - Accent6 5 3 5 2" xfId="8172" xr:uid="{00000000-0005-0000-0000-0000C9960000}"/>
    <cellStyle name="40% - Accent6 5 3 5 2 2" xfId="19473" xr:uid="{00000000-0005-0000-0000-0000CA960000}"/>
    <cellStyle name="40% - Accent6 5 3 5 2 2 2" xfId="42075" xr:uid="{00000000-0005-0000-0000-0000CB960000}"/>
    <cellStyle name="40% - Accent6 5 3 5 2 3" xfId="30774" xr:uid="{00000000-0005-0000-0000-0000CC960000}"/>
    <cellStyle name="40% - Accent6 5 3 5 3" xfId="13823" xr:uid="{00000000-0005-0000-0000-0000CD960000}"/>
    <cellStyle name="40% - Accent6 5 3 5 3 2" xfId="36425" xr:uid="{00000000-0005-0000-0000-0000CE960000}"/>
    <cellStyle name="40% - Accent6 5 3 5 4" xfId="25124" xr:uid="{00000000-0005-0000-0000-0000CF960000}"/>
    <cellStyle name="40% - Accent6 5 3 6" xfId="4121" xr:uid="{00000000-0005-0000-0000-0000D0960000}"/>
    <cellStyle name="40% - Accent6 5 3 6 2" xfId="9771" xr:uid="{00000000-0005-0000-0000-0000D1960000}"/>
    <cellStyle name="40% - Accent6 5 3 6 2 2" xfId="21072" xr:uid="{00000000-0005-0000-0000-0000D2960000}"/>
    <cellStyle name="40% - Accent6 5 3 6 2 2 2" xfId="43674" xr:uid="{00000000-0005-0000-0000-0000D3960000}"/>
    <cellStyle name="40% - Accent6 5 3 6 2 3" xfId="32373" xr:uid="{00000000-0005-0000-0000-0000D4960000}"/>
    <cellStyle name="40% - Accent6 5 3 6 3" xfId="15422" xr:uid="{00000000-0005-0000-0000-0000D5960000}"/>
    <cellStyle name="40% - Accent6 5 3 6 3 2" xfId="38024" xr:uid="{00000000-0005-0000-0000-0000D6960000}"/>
    <cellStyle name="40% - Accent6 5 3 6 4" xfId="26723" xr:uid="{00000000-0005-0000-0000-0000D7960000}"/>
    <cellStyle name="40% - Accent6 5 3 7" xfId="6599" xr:uid="{00000000-0005-0000-0000-0000D8960000}"/>
    <cellStyle name="40% - Accent6 5 3 7 2" xfId="17900" xr:uid="{00000000-0005-0000-0000-0000D9960000}"/>
    <cellStyle name="40% - Accent6 5 3 7 2 2" xfId="40502" xr:uid="{00000000-0005-0000-0000-0000DA960000}"/>
    <cellStyle name="40% - Accent6 5 3 7 3" xfId="29201" xr:uid="{00000000-0005-0000-0000-0000DB960000}"/>
    <cellStyle name="40% - Accent6 5 3 8" xfId="12250" xr:uid="{00000000-0005-0000-0000-0000DC960000}"/>
    <cellStyle name="40% - Accent6 5 3 8 2" xfId="34852" xr:uid="{00000000-0005-0000-0000-0000DD960000}"/>
    <cellStyle name="40% - Accent6 5 3 9" xfId="23551" xr:uid="{00000000-0005-0000-0000-0000DE960000}"/>
    <cellStyle name="40% - Accent6 5 4" xfId="1106" xr:uid="{00000000-0005-0000-0000-0000DF960000}"/>
    <cellStyle name="40% - Accent6 5 4 2" xfId="2012" xr:uid="{00000000-0005-0000-0000-0000E0960000}"/>
    <cellStyle name="40% - Accent6 5 4 2 2" xfId="3174" xr:uid="{00000000-0005-0000-0000-0000E1960000}"/>
    <cellStyle name="40% - Accent6 5 4 2 2 2" xfId="6146" xr:uid="{00000000-0005-0000-0000-0000E2960000}"/>
    <cellStyle name="40% - Accent6 5 4 2 2 2 2" xfId="11796" xr:uid="{00000000-0005-0000-0000-0000E3960000}"/>
    <cellStyle name="40% - Accent6 5 4 2 2 2 2 2" xfId="23097" xr:uid="{00000000-0005-0000-0000-0000E4960000}"/>
    <cellStyle name="40% - Accent6 5 4 2 2 2 2 2 2" xfId="45699" xr:uid="{00000000-0005-0000-0000-0000E5960000}"/>
    <cellStyle name="40% - Accent6 5 4 2 2 2 2 3" xfId="34398" xr:uid="{00000000-0005-0000-0000-0000E6960000}"/>
    <cellStyle name="40% - Accent6 5 4 2 2 2 3" xfId="17447" xr:uid="{00000000-0005-0000-0000-0000E7960000}"/>
    <cellStyle name="40% - Accent6 5 4 2 2 2 3 2" xfId="40049" xr:uid="{00000000-0005-0000-0000-0000E8960000}"/>
    <cellStyle name="40% - Accent6 5 4 2 2 2 4" xfId="28748" xr:uid="{00000000-0005-0000-0000-0000E9960000}"/>
    <cellStyle name="40% - Accent6 5 4 2 2 3" xfId="8964" xr:uid="{00000000-0005-0000-0000-0000EA960000}"/>
    <cellStyle name="40% - Accent6 5 4 2 2 3 2" xfId="20265" xr:uid="{00000000-0005-0000-0000-0000EB960000}"/>
    <cellStyle name="40% - Accent6 5 4 2 2 3 2 2" xfId="42867" xr:uid="{00000000-0005-0000-0000-0000EC960000}"/>
    <cellStyle name="40% - Accent6 5 4 2 2 3 3" xfId="31566" xr:uid="{00000000-0005-0000-0000-0000ED960000}"/>
    <cellStyle name="40% - Accent6 5 4 2 2 4" xfId="14615" xr:uid="{00000000-0005-0000-0000-0000EE960000}"/>
    <cellStyle name="40% - Accent6 5 4 2 2 4 2" xfId="37217" xr:uid="{00000000-0005-0000-0000-0000EF960000}"/>
    <cellStyle name="40% - Accent6 5 4 2 2 5" xfId="25916" xr:uid="{00000000-0005-0000-0000-0000F0960000}"/>
    <cellStyle name="40% - Accent6 5 4 2 3" xfId="4912" xr:uid="{00000000-0005-0000-0000-0000F1960000}"/>
    <cellStyle name="40% - Accent6 5 4 2 3 2" xfId="10562" xr:uid="{00000000-0005-0000-0000-0000F2960000}"/>
    <cellStyle name="40% - Accent6 5 4 2 3 2 2" xfId="21863" xr:uid="{00000000-0005-0000-0000-0000F3960000}"/>
    <cellStyle name="40% - Accent6 5 4 2 3 2 2 2" xfId="44465" xr:uid="{00000000-0005-0000-0000-0000F4960000}"/>
    <cellStyle name="40% - Accent6 5 4 2 3 2 3" xfId="33164" xr:uid="{00000000-0005-0000-0000-0000F5960000}"/>
    <cellStyle name="40% - Accent6 5 4 2 3 3" xfId="16213" xr:uid="{00000000-0005-0000-0000-0000F6960000}"/>
    <cellStyle name="40% - Accent6 5 4 2 3 3 2" xfId="38815" xr:uid="{00000000-0005-0000-0000-0000F7960000}"/>
    <cellStyle name="40% - Accent6 5 4 2 3 4" xfId="27514" xr:uid="{00000000-0005-0000-0000-0000F8960000}"/>
    <cellStyle name="40% - Accent6 5 4 2 4" xfId="7868" xr:uid="{00000000-0005-0000-0000-0000F9960000}"/>
    <cellStyle name="40% - Accent6 5 4 2 4 2" xfId="19169" xr:uid="{00000000-0005-0000-0000-0000FA960000}"/>
    <cellStyle name="40% - Accent6 5 4 2 4 2 2" xfId="41771" xr:uid="{00000000-0005-0000-0000-0000FB960000}"/>
    <cellStyle name="40% - Accent6 5 4 2 4 3" xfId="30470" xr:uid="{00000000-0005-0000-0000-0000FC960000}"/>
    <cellStyle name="40% - Accent6 5 4 2 5" xfId="13519" xr:uid="{00000000-0005-0000-0000-0000FD960000}"/>
    <cellStyle name="40% - Accent6 5 4 2 5 2" xfId="36121" xr:uid="{00000000-0005-0000-0000-0000FE960000}"/>
    <cellStyle name="40% - Accent6 5 4 2 6" xfId="24820" xr:uid="{00000000-0005-0000-0000-0000FF960000}"/>
    <cellStyle name="40% - Accent6 5 4 3" xfId="2503" xr:uid="{00000000-0005-0000-0000-000000970000}"/>
    <cellStyle name="40% - Accent6 5 4 3 2" xfId="5522" xr:uid="{00000000-0005-0000-0000-000001970000}"/>
    <cellStyle name="40% - Accent6 5 4 3 2 2" xfId="11172" xr:uid="{00000000-0005-0000-0000-000002970000}"/>
    <cellStyle name="40% - Accent6 5 4 3 2 2 2" xfId="22473" xr:uid="{00000000-0005-0000-0000-000003970000}"/>
    <cellStyle name="40% - Accent6 5 4 3 2 2 2 2" xfId="45075" xr:uid="{00000000-0005-0000-0000-000004970000}"/>
    <cellStyle name="40% - Accent6 5 4 3 2 2 3" xfId="33774" xr:uid="{00000000-0005-0000-0000-000005970000}"/>
    <cellStyle name="40% - Accent6 5 4 3 2 3" xfId="16823" xr:uid="{00000000-0005-0000-0000-000006970000}"/>
    <cellStyle name="40% - Accent6 5 4 3 2 3 2" xfId="39425" xr:uid="{00000000-0005-0000-0000-000007970000}"/>
    <cellStyle name="40% - Accent6 5 4 3 2 4" xfId="28124" xr:uid="{00000000-0005-0000-0000-000008970000}"/>
    <cellStyle name="40% - Accent6 5 4 3 3" xfId="8339" xr:uid="{00000000-0005-0000-0000-000009970000}"/>
    <cellStyle name="40% - Accent6 5 4 3 3 2" xfId="19640" xr:uid="{00000000-0005-0000-0000-00000A970000}"/>
    <cellStyle name="40% - Accent6 5 4 3 3 2 2" xfId="42242" xr:uid="{00000000-0005-0000-0000-00000B970000}"/>
    <cellStyle name="40% - Accent6 5 4 3 3 3" xfId="30941" xr:uid="{00000000-0005-0000-0000-00000C970000}"/>
    <cellStyle name="40% - Accent6 5 4 3 4" xfId="13990" xr:uid="{00000000-0005-0000-0000-00000D970000}"/>
    <cellStyle name="40% - Accent6 5 4 3 4 2" xfId="36592" xr:uid="{00000000-0005-0000-0000-00000E970000}"/>
    <cellStyle name="40% - Accent6 5 4 3 5" xfId="25291" xr:uid="{00000000-0005-0000-0000-00000F970000}"/>
    <cellStyle name="40% - Accent6 5 4 4" xfId="4288" xr:uid="{00000000-0005-0000-0000-000010970000}"/>
    <cellStyle name="40% - Accent6 5 4 4 2" xfId="9938" xr:uid="{00000000-0005-0000-0000-000011970000}"/>
    <cellStyle name="40% - Accent6 5 4 4 2 2" xfId="21239" xr:uid="{00000000-0005-0000-0000-000012970000}"/>
    <cellStyle name="40% - Accent6 5 4 4 2 2 2" xfId="43841" xr:uid="{00000000-0005-0000-0000-000013970000}"/>
    <cellStyle name="40% - Accent6 5 4 4 2 3" xfId="32540" xr:uid="{00000000-0005-0000-0000-000014970000}"/>
    <cellStyle name="40% - Accent6 5 4 4 3" xfId="15589" xr:uid="{00000000-0005-0000-0000-000015970000}"/>
    <cellStyle name="40% - Accent6 5 4 4 3 2" xfId="38191" xr:uid="{00000000-0005-0000-0000-000016970000}"/>
    <cellStyle name="40% - Accent6 5 4 4 4" xfId="26890" xr:uid="{00000000-0005-0000-0000-000017970000}"/>
    <cellStyle name="40% - Accent6 5 4 5" xfId="7085" xr:uid="{00000000-0005-0000-0000-000018970000}"/>
    <cellStyle name="40% - Accent6 5 4 5 2" xfId="18386" xr:uid="{00000000-0005-0000-0000-000019970000}"/>
    <cellStyle name="40% - Accent6 5 4 5 2 2" xfId="40988" xr:uid="{00000000-0005-0000-0000-00001A970000}"/>
    <cellStyle name="40% - Accent6 5 4 5 3" xfId="29687" xr:uid="{00000000-0005-0000-0000-00001B970000}"/>
    <cellStyle name="40% - Accent6 5 4 6" xfId="12736" xr:uid="{00000000-0005-0000-0000-00001C970000}"/>
    <cellStyle name="40% - Accent6 5 4 6 2" xfId="35338" xr:uid="{00000000-0005-0000-0000-00001D970000}"/>
    <cellStyle name="40% - Accent6 5 4 7" xfId="24037" xr:uid="{00000000-0005-0000-0000-00001E970000}"/>
    <cellStyle name="40% - Accent6 5 5" xfId="786" xr:uid="{00000000-0005-0000-0000-00001F970000}"/>
    <cellStyle name="40% - Accent6 5 5 2" xfId="2867" xr:uid="{00000000-0005-0000-0000-000020970000}"/>
    <cellStyle name="40% - Accent6 5 5 2 2" xfId="5839" xr:uid="{00000000-0005-0000-0000-000021970000}"/>
    <cellStyle name="40% - Accent6 5 5 2 2 2" xfId="11489" xr:uid="{00000000-0005-0000-0000-000022970000}"/>
    <cellStyle name="40% - Accent6 5 5 2 2 2 2" xfId="22790" xr:uid="{00000000-0005-0000-0000-000023970000}"/>
    <cellStyle name="40% - Accent6 5 5 2 2 2 2 2" xfId="45392" xr:uid="{00000000-0005-0000-0000-000024970000}"/>
    <cellStyle name="40% - Accent6 5 5 2 2 2 3" xfId="34091" xr:uid="{00000000-0005-0000-0000-000025970000}"/>
    <cellStyle name="40% - Accent6 5 5 2 2 3" xfId="17140" xr:uid="{00000000-0005-0000-0000-000026970000}"/>
    <cellStyle name="40% - Accent6 5 5 2 2 3 2" xfId="39742" xr:uid="{00000000-0005-0000-0000-000027970000}"/>
    <cellStyle name="40% - Accent6 5 5 2 2 4" xfId="28441" xr:uid="{00000000-0005-0000-0000-000028970000}"/>
    <cellStyle name="40% - Accent6 5 5 2 3" xfId="8657" xr:uid="{00000000-0005-0000-0000-000029970000}"/>
    <cellStyle name="40% - Accent6 5 5 2 3 2" xfId="19958" xr:uid="{00000000-0005-0000-0000-00002A970000}"/>
    <cellStyle name="40% - Accent6 5 5 2 3 2 2" xfId="42560" xr:uid="{00000000-0005-0000-0000-00002B970000}"/>
    <cellStyle name="40% - Accent6 5 5 2 3 3" xfId="31259" xr:uid="{00000000-0005-0000-0000-00002C970000}"/>
    <cellStyle name="40% - Accent6 5 5 2 4" xfId="14308" xr:uid="{00000000-0005-0000-0000-00002D970000}"/>
    <cellStyle name="40% - Accent6 5 5 2 4 2" xfId="36910" xr:uid="{00000000-0005-0000-0000-00002E970000}"/>
    <cellStyle name="40% - Accent6 5 5 2 5" xfId="25609" xr:uid="{00000000-0005-0000-0000-00002F970000}"/>
    <cellStyle name="40% - Accent6 5 5 3" xfId="4605" xr:uid="{00000000-0005-0000-0000-000030970000}"/>
    <cellStyle name="40% - Accent6 5 5 3 2" xfId="10255" xr:uid="{00000000-0005-0000-0000-000031970000}"/>
    <cellStyle name="40% - Accent6 5 5 3 2 2" xfId="21556" xr:uid="{00000000-0005-0000-0000-000032970000}"/>
    <cellStyle name="40% - Accent6 5 5 3 2 2 2" xfId="44158" xr:uid="{00000000-0005-0000-0000-000033970000}"/>
    <cellStyle name="40% - Accent6 5 5 3 2 3" xfId="32857" xr:uid="{00000000-0005-0000-0000-000034970000}"/>
    <cellStyle name="40% - Accent6 5 5 3 3" xfId="15906" xr:uid="{00000000-0005-0000-0000-000035970000}"/>
    <cellStyle name="40% - Accent6 5 5 3 3 2" xfId="38508" xr:uid="{00000000-0005-0000-0000-000036970000}"/>
    <cellStyle name="40% - Accent6 5 5 3 4" xfId="27207" xr:uid="{00000000-0005-0000-0000-000037970000}"/>
    <cellStyle name="40% - Accent6 5 5 4" xfId="6791" xr:uid="{00000000-0005-0000-0000-000038970000}"/>
    <cellStyle name="40% - Accent6 5 5 4 2" xfId="18092" xr:uid="{00000000-0005-0000-0000-000039970000}"/>
    <cellStyle name="40% - Accent6 5 5 4 2 2" xfId="40694" xr:uid="{00000000-0005-0000-0000-00003A970000}"/>
    <cellStyle name="40% - Accent6 5 5 4 3" xfId="29393" xr:uid="{00000000-0005-0000-0000-00003B970000}"/>
    <cellStyle name="40% - Accent6 5 5 5" xfId="12442" xr:uid="{00000000-0005-0000-0000-00003C970000}"/>
    <cellStyle name="40% - Accent6 5 5 5 2" xfId="35044" xr:uid="{00000000-0005-0000-0000-00003D970000}"/>
    <cellStyle name="40% - Accent6 5 5 6" xfId="23743" xr:uid="{00000000-0005-0000-0000-00003E970000}"/>
    <cellStyle name="40% - Accent6 5 6" xfId="2005" xr:uid="{00000000-0005-0000-0000-00003F970000}"/>
    <cellStyle name="40% - Accent6 5 6 2" xfId="3778" xr:uid="{00000000-0005-0000-0000-000040970000}"/>
    <cellStyle name="40% - Accent6 5 6 2 2" xfId="9486" xr:uid="{00000000-0005-0000-0000-000041970000}"/>
    <cellStyle name="40% - Accent6 5 6 2 2 2" xfId="20787" xr:uid="{00000000-0005-0000-0000-000042970000}"/>
    <cellStyle name="40% - Accent6 5 6 2 2 2 2" xfId="43389" xr:uid="{00000000-0005-0000-0000-000043970000}"/>
    <cellStyle name="40% - Accent6 5 6 2 2 3" xfId="32088" xr:uid="{00000000-0005-0000-0000-000044970000}"/>
    <cellStyle name="40% - Accent6 5 6 2 3" xfId="15137" xr:uid="{00000000-0005-0000-0000-000045970000}"/>
    <cellStyle name="40% - Accent6 5 6 2 3 2" xfId="37739" xr:uid="{00000000-0005-0000-0000-000046970000}"/>
    <cellStyle name="40% - Accent6 5 6 2 4" xfId="26438" xr:uid="{00000000-0005-0000-0000-000047970000}"/>
    <cellStyle name="40% - Accent6 5 6 3" xfId="5215" xr:uid="{00000000-0005-0000-0000-000048970000}"/>
    <cellStyle name="40% - Accent6 5 6 3 2" xfId="10865" xr:uid="{00000000-0005-0000-0000-000049970000}"/>
    <cellStyle name="40% - Accent6 5 6 3 2 2" xfId="22166" xr:uid="{00000000-0005-0000-0000-00004A970000}"/>
    <cellStyle name="40% - Accent6 5 6 3 2 2 2" xfId="44768" xr:uid="{00000000-0005-0000-0000-00004B970000}"/>
    <cellStyle name="40% - Accent6 5 6 3 2 3" xfId="33467" xr:uid="{00000000-0005-0000-0000-00004C970000}"/>
    <cellStyle name="40% - Accent6 5 6 3 3" xfId="16516" xr:uid="{00000000-0005-0000-0000-00004D970000}"/>
    <cellStyle name="40% - Accent6 5 6 3 3 2" xfId="39118" xr:uid="{00000000-0005-0000-0000-00004E970000}"/>
    <cellStyle name="40% - Accent6 5 6 3 4" xfId="27817" xr:uid="{00000000-0005-0000-0000-00004F970000}"/>
    <cellStyle name="40% - Accent6 5 6 4" xfId="7861" xr:uid="{00000000-0005-0000-0000-000050970000}"/>
    <cellStyle name="40% - Accent6 5 6 4 2" xfId="19162" xr:uid="{00000000-0005-0000-0000-000051970000}"/>
    <cellStyle name="40% - Accent6 5 6 4 2 2" xfId="41764" xr:uid="{00000000-0005-0000-0000-000052970000}"/>
    <cellStyle name="40% - Accent6 5 6 4 3" xfId="30463" xr:uid="{00000000-0005-0000-0000-000053970000}"/>
    <cellStyle name="40% - Accent6 5 6 5" xfId="13512" xr:uid="{00000000-0005-0000-0000-000054970000}"/>
    <cellStyle name="40% - Accent6 5 6 5 2" xfId="36114" xr:uid="{00000000-0005-0000-0000-000055970000}"/>
    <cellStyle name="40% - Accent6 5 6 6" xfId="24813" xr:uid="{00000000-0005-0000-0000-000056970000}"/>
    <cellStyle name="40% - Accent6 5 7" xfId="2188" xr:uid="{00000000-0005-0000-0000-000057970000}"/>
    <cellStyle name="40% - Accent6 5 7 2" xfId="8029" xr:uid="{00000000-0005-0000-0000-000058970000}"/>
    <cellStyle name="40% - Accent6 5 7 2 2" xfId="19330" xr:uid="{00000000-0005-0000-0000-000059970000}"/>
    <cellStyle name="40% - Accent6 5 7 2 2 2" xfId="41932" xr:uid="{00000000-0005-0000-0000-00005A970000}"/>
    <cellStyle name="40% - Accent6 5 7 2 3" xfId="30631" xr:uid="{00000000-0005-0000-0000-00005B970000}"/>
    <cellStyle name="40% - Accent6 5 7 3" xfId="13680" xr:uid="{00000000-0005-0000-0000-00005C970000}"/>
    <cellStyle name="40% - Accent6 5 7 3 2" xfId="36282" xr:uid="{00000000-0005-0000-0000-00005D970000}"/>
    <cellStyle name="40% - Accent6 5 7 4" xfId="24981" xr:uid="{00000000-0005-0000-0000-00005E970000}"/>
    <cellStyle name="40% - Accent6 5 8" xfId="3981" xr:uid="{00000000-0005-0000-0000-00005F970000}"/>
    <cellStyle name="40% - Accent6 5 8 2" xfId="9631" xr:uid="{00000000-0005-0000-0000-000060970000}"/>
    <cellStyle name="40% - Accent6 5 8 2 2" xfId="20932" xr:uid="{00000000-0005-0000-0000-000061970000}"/>
    <cellStyle name="40% - Accent6 5 8 2 2 2" xfId="43534" xr:uid="{00000000-0005-0000-0000-000062970000}"/>
    <cellStyle name="40% - Accent6 5 8 2 3" xfId="32233" xr:uid="{00000000-0005-0000-0000-000063970000}"/>
    <cellStyle name="40% - Accent6 5 8 3" xfId="15282" xr:uid="{00000000-0005-0000-0000-000064970000}"/>
    <cellStyle name="40% - Accent6 5 8 3 2" xfId="37884" xr:uid="{00000000-0005-0000-0000-000065970000}"/>
    <cellStyle name="40% - Accent6 5 8 4" xfId="26583" xr:uid="{00000000-0005-0000-0000-000066970000}"/>
    <cellStyle name="40% - Accent6 5 9" xfId="6432" xr:uid="{00000000-0005-0000-0000-000067970000}"/>
    <cellStyle name="40% - Accent6 5 9 2" xfId="17733" xr:uid="{00000000-0005-0000-0000-000068970000}"/>
    <cellStyle name="40% - Accent6 5 9 2 2" xfId="40335" xr:uid="{00000000-0005-0000-0000-000069970000}"/>
    <cellStyle name="40% - Accent6 5 9 3" xfId="29034" xr:uid="{00000000-0005-0000-0000-00006A970000}"/>
    <cellStyle name="40% - Accent6 6" xfId="239" xr:uid="{00000000-0005-0000-0000-00006B970000}"/>
    <cellStyle name="40% - Accent6 7" xfId="342" xr:uid="{00000000-0005-0000-0000-00006C970000}"/>
    <cellStyle name="40% - Accent6 7 10" xfId="23437" xr:uid="{00000000-0005-0000-0000-00006D970000}"/>
    <cellStyle name="40% - Accent6 7 2" xfId="587" xr:uid="{00000000-0005-0000-0000-00006E970000}"/>
    <cellStyle name="40% - Accent6 7 2 2" xfId="1297" xr:uid="{00000000-0005-0000-0000-00006F970000}"/>
    <cellStyle name="40% - Accent6 7 2 2 2" xfId="2015" xr:uid="{00000000-0005-0000-0000-000070970000}"/>
    <cellStyle name="40% - Accent6 7 2 2 2 2" xfId="3366" xr:uid="{00000000-0005-0000-0000-000071970000}"/>
    <cellStyle name="40% - Accent6 7 2 2 2 2 2" xfId="6338" xr:uid="{00000000-0005-0000-0000-000072970000}"/>
    <cellStyle name="40% - Accent6 7 2 2 2 2 2 2" xfId="11988" xr:uid="{00000000-0005-0000-0000-000073970000}"/>
    <cellStyle name="40% - Accent6 7 2 2 2 2 2 2 2" xfId="23289" xr:uid="{00000000-0005-0000-0000-000074970000}"/>
    <cellStyle name="40% - Accent6 7 2 2 2 2 2 2 2 2" xfId="45891" xr:uid="{00000000-0005-0000-0000-000075970000}"/>
    <cellStyle name="40% - Accent6 7 2 2 2 2 2 2 3" xfId="34590" xr:uid="{00000000-0005-0000-0000-000076970000}"/>
    <cellStyle name="40% - Accent6 7 2 2 2 2 2 3" xfId="17639" xr:uid="{00000000-0005-0000-0000-000077970000}"/>
    <cellStyle name="40% - Accent6 7 2 2 2 2 2 3 2" xfId="40241" xr:uid="{00000000-0005-0000-0000-000078970000}"/>
    <cellStyle name="40% - Accent6 7 2 2 2 2 2 4" xfId="28940" xr:uid="{00000000-0005-0000-0000-000079970000}"/>
    <cellStyle name="40% - Accent6 7 2 2 2 2 3" xfId="9156" xr:uid="{00000000-0005-0000-0000-00007A970000}"/>
    <cellStyle name="40% - Accent6 7 2 2 2 2 3 2" xfId="20457" xr:uid="{00000000-0005-0000-0000-00007B970000}"/>
    <cellStyle name="40% - Accent6 7 2 2 2 2 3 2 2" xfId="43059" xr:uid="{00000000-0005-0000-0000-00007C970000}"/>
    <cellStyle name="40% - Accent6 7 2 2 2 2 3 3" xfId="31758" xr:uid="{00000000-0005-0000-0000-00007D970000}"/>
    <cellStyle name="40% - Accent6 7 2 2 2 2 4" xfId="14807" xr:uid="{00000000-0005-0000-0000-00007E970000}"/>
    <cellStyle name="40% - Accent6 7 2 2 2 2 4 2" xfId="37409" xr:uid="{00000000-0005-0000-0000-00007F970000}"/>
    <cellStyle name="40% - Accent6 7 2 2 2 2 5" xfId="26108" xr:uid="{00000000-0005-0000-0000-000080970000}"/>
    <cellStyle name="40% - Accent6 7 2 2 2 3" xfId="5104" xr:uid="{00000000-0005-0000-0000-000081970000}"/>
    <cellStyle name="40% - Accent6 7 2 2 2 3 2" xfId="10754" xr:uid="{00000000-0005-0000-0000-000082970000}"/>
    <cellStyle name="40% - Accent6 7 2 2 2 3 2 2" xfId="22055" xr:uid="{00000000-0005-0000-0000-000083970000}"/>
    <cellStyle name="40% - Accent6 7 2 2 2 3 2 2 2" xfId="44657" xr:uid="{00000000-0005-0000-0000-000084970000}"/>
    <cellStyle name="40% - Accent6 7 2 2 2 3 2 3" xfId="33356" xr:uid="{00000000-0005-0000-0000-000085970000}"/>
    <cellStyle name="40% - Accent6 7 2 2 2 3 3" xfId="16405" xr:uid="{00000000-0005-0000-0000-000086970000}"/>
    <cellStyle name="40% - Accent6 7 2 2 2 3 3 2" xfId="39007" xr:uid="{00000000-0005-0000-0000-000087970000}"/>
    <cellStyle name="40% - Accent6 7 2 2 2 3 4" xfId="27706" xr:uid="{00000000-0005-0000-0000-000088970000}"/>
    <cellStyle name="40% - Accent6 7 2 2 2 4" xfId="7871" xr:uid="{00000000-0005-0000-0000-000089970000}"/>
    <cellStyle name="40% - Accent6 7 2 2 2 4 2" xfId="19172" xr:uid="{00000000-0005-0000-0000-00008A970000}"/>
    <cellStyle name="40% - Accent6 7 2 2 2 4 2 2" xfId="41774" xr:uid="{00000000-0005-0000-0000-00008B970000}"/>
    <cellStyle name="40% - Accent6 7 2 2 2 4 3" xfId="30473" xr:uid="{00000000-0005-0000-0000-00008C970000}"/>
    <cellStyle name="40% - Accent6 7 2 2 2 5" xfId="13522" xr:uid="{00000000-0005-0000-0000-00008D970000}"/>
    <cellStyle name="40% - Accent6 7 2 2 2 5 2" xfId="36124" xr:uid="{00000000-0005-0000-0000-00008E970000}"/>
    <cellStyle name="40% - Accent6 7 2 2 2 6" xfId="24823" xr:uid="{00000000-0005-0000-0000-00008F970000}"/>
    <cellStyle name="40% - Accent6 7 2 2 3" xfId="2695" xr:uid="{00000000-0005-0000-0000-000090970000}"/>
    <cellStyle name="40% - Accent6 7 2 2 3 2" xfId="5714" xr:uid="{00000000-0005-0000-0000-000091970000}"/>
    <cellStyle name="40% - Accent6 7 2 2 3 2 2" xfId="11364" xr:uid="{00000000-0005-0000-0000-000092970000}"/>
    <cellStyle name="40% - Accent6 7 2 2 3 2 2 2" xfId="22665" xr:uid="{00000000-0005-0000-0000-000093970000}"/>
    <cellStyle name="40% - Accent6 7 2 2 3 2 2 2 2" xfId="45267" xr:uid="{00000000-0005-0000-0000-000094970000}"/>
    <cellStyle name="40% - Accent6 7 2 2 3 2 2 3" xfId="33966" xr:uid="{00000000-0005-0000-0000-000095970000}"/>
    <cellStyle name="40% - Accent6 7 2 2 3 2 3" xfId="17015" xr:uid="{00000000-0005-0000-0000-000096970000}"/>
    <cellStyle name="40% - Accent6 7 2 2 3 2 3 2" xfId="39617" xr:uid="{00000000-0005-0000-0000-000097970000}"/>
    <cellStyle name="40% - Accent6 7 2 2 3 2 4" xfId="28316" xr:uid="{00000000-0005-0000-0000-000098970000}"/>
    <cellStyle name="40% - Accent6 7 2 2 3 3" xfId="8531" xr:uid="{00000000-0005-0000-0000-000099970000}"/>
    <cellStyle name="40% - Accent6 7 2 2 3 3 2" xfId="19832" xr:uid="{00000000-0005-0000-0000-00009A970000}"/>
    <cellStyle name="40% - Accent6 7 2 2 3 3 2 2" xfId="42434" xr:uid="{00000000-0005-0000-0000-00009B970000}"/>
    <cellStyle name="40% - Accent6 7 2 2 3 3 3" xfId="31133" xr:uid="{00000000-0005-0000-0000-00009C970000}"/>
    <cellStyle name="40% - Accent6 7 2 2 3 4" xfId="14182" xr:uid="{00000000-0005-0000-0000-00009D970000}"/>
    <cellStyle name="40% - Accent6 7 2 2 3 4 2" xfId="36784" xr:uid="{00000000-0005-0000-0000-00009E970000}"/>
    <cellStyle name="40% - Accent6 7 2 2 3 5" xfId="25483" xr:uid="{00000000-0005-0000-0000-00009F970000}"/>
    <cellStyle name="40% - Accent6 7 2 2 4" xfId="4480" xr:uid="{00000000-0005-0000-0000-0000A0970000}"/>
    <cellStyle name="40% - Accent6 7 2 2 4 2" xfId="10130" xr:uid="{00000000-0005-0000-0000-0000A1970000}"/>
    <cellStyle name="40% - Accent6 7 2 2 4 2 2" xfId="21431" xr:uid="{00000000-0005-0000-0000-0000A2970000}"/>
    <cellStyle name="40% - Accent6 7 2 2 4 2 2 2" xfId="44033" xr:uid="{00000000-0005-0000-0000-0000A3970000}"/>
    <cellStyle name="40% - Accent6 7 2 2 4 2 3" xfId="32732" xr:uid="{00000000-0005-0000-0000-0000A4970000}"/>
    <cellStyle name="40% - Accent6 7 2 2 4 3" xfId="15781" xr:uid="{00000000-0005-0000-0000-0000A5970000}"/>
    <cellStyle name="40% - Accent6 7 2 2 4 3 2" xfId="38383" xr:uid="{00000000-0005-0000-0000-0000A6970000}"/>
    <cellStyle name="40% - Accent6 7 2 2 4 4" xfId="27082" xr:uid="{00000000-0005-0000-0000-0000A7970000}"/>
    <cellStyle name="40% - Accent6 7 2 2 5" xfId="7276" xr:uid="{00000000-0005-0000-0000-0000A8970000}"/>
    <cellStyle name="40% - Accent6 7 2 2 5 2" xfId="18577" xr:uid="{00000000-0005-0000-0000-0000A9970000}"/>
    <cellStyle name="40% - Accent6 7 2 2 5 2 2" xfId="41179" xr:uid="{00000000-0005-0000-0000-0000AA970000}"/>
    <cellStyle name="40% - Accent6 7 2 2 5 3" xfId="29878" xr:uid="{00000000-0005-0000-0000-0000AB970000}"/>
    <cellStyle name="40% - Accent6 7 2 2 6" xfId="12927" xr:uid="{00000000-0005-0000-0000-0000AC970000}"/>
    <cellStyle name="40% - Accent6 7 2 2 6 2" xfId="35529" xr:uid="{00000000-0005-0000-0000-0000AD970000}"/>
    <cellStyle name="40% - Accent6 7 2 2 7" xfId="24228" xr:uid="{00000000-0005-0000-0000-0000AE970000}"/>
    <cellStyle name="40% - Accent6 7 2 3" xfId="995" xr:uid="{00000000-0005-0000-0000-0000AF970000}"/>
    <cellStyle name="40% - Accent6 7 2 3 2" xfId="3058" xr:uid="{00000000-0005-0000-0000-0000B0970000}"/>
    <cellStyle name="40% - Accent6 7 2 3 2 2" xfId="6030" xr:uid="{00000000-0005-0000-0000-0000B1970000}"/>
    <cellStyle name="40% - Accent6 7 2 3 2 2 2" xfId="11680" xr:uid="{00000000-0005-0000-0000-0000B2970000}"/>
    <cellStyle name="40% - Accent6 7 2 3 2 2 2 2" xfId="22981" xr:uid="{00000000-0005-0000-0000-0000B3970000}"/>
    <cellStyle name="40% - Accent6 7 2 3 2 2 2 2 2" xfId="45583" xr:uid="{00000000-0005-0000-0000-0000B4970000}"/>
    <cellStyle name="40% - Accent6 7 2 3 2 2 2 3" xfId="34282" xr:uid="{00000000-0005-0000-0000-0000B5970000}"/>
    <cellStyle name="40% - Accent6 7 2 3 2 2 3" xfId="17331" xr:uid="{00000000-0005-0000-0000-0000B6970000}"/>
    <cellStyle name="40% - Accent6 7 2 3 2 2 3 2" xfId="39933" xr:uid="{00000000-0005-0000-0000-0000B7970000}"/>
    <cellStyle name="40% - Accent6 7 2 3 2 2 4" xfId="28632" xr:uid="{00000000-0005-0000-0000-0000B8970000}"/>
    <cellStyle name="40% - Accent6 7 2 3 2 3" xfId="8848" xr:uid="{00000000-0005-0000-0000-0000B9970000}"/>
    <cellStyle name="40% - Accent6 7 2 3 2 3 2" xfId="20149" xr:uid="{00000000-0005-0000-0000-0000BA970000}"/>
    <cellStyle name="40% - Accent6 7 2 3 2 3 2 2" xfId="42751" xr:uid="{00000000-0005-0000-0000-0000BB970000}"/>
    <cellStyle name="40% - Accent6 7 2 3 2 3 3" xfId="31450" xr:uid="{00000000-0005-0000-0000-0000BC970000}"/>
    <cellStyle name="40% - Accent6 7 2 3 2 4" xfId="14499" xr:uid="{00000000-0005-0000-0000-0000BD970000}"/>
    <cellStyle name="40% - Accent6 7 2 3 2 4 2" xfId="37101" xr:uid="{00000000-0005-0000-0000-0000BE970000}"/>
    <cellStyle name="40% - Accent6 7 2 3 2 5" xfId="25800" xr:uid="{00000000-0005-0000-0000-0000BF970000}"/>
    <cellStyle name="40% - Accent6 7 2 3 3" xfId="4796" xr:uid="{00000000-0005-0000-0000-0000C0970000}"/>
    <cellStyle name="40% - Accent6 7 2 3 3 2" xfId="10446" xr:uid="{00000000-0005-0000-0000-0000C1970000}"/>
    <cellStyle name="40% - Accent6 7 2 3 3 2 2" xfId="21747" xr:uid="{00000000-0005-0000-0000-0000C2970000}"/>
    <cellStyle name="40% - Accent6 7 2 3 3 2 2 2" xfId="44349" xr:uid="{00000000-0005-0000-0000-0000C3970000}"/>
    <cellStyle name="40% - Accent6 7 2 3 3 2 3" xfId="33048" xr:uid="{00000000-0005-0000-0000-0000C4970000}"/>
    <cellStyle name="40% - Accent6 7 2 3 3 3" xfId="16097" xr:uid="{00000000-0005-0000-0000-0000C5970000}"/>
    <cellStyle name="40% - Accent6 7 2 3 3 3 2" xfId="38699" xr:uid="{00000000-0005-0000-0000-0000C6970000}"/>
    <cellStyle name="40% - Accent6 7 2 3 3 4" xfId="27398" xr:uid="{00000000-0005-0000-0000-0000C7970000}"/>
    <cellStyle name="40% - Accent6 7 2 3 4" xfId="6983" xr:uid="{00000000-0005-0000-0000-0000C8970000}"/>
    <cellStyle name="40% - Accent6 7 2 3 4 2" xfId="18284" xr:uid="{00000000-0005-0000-0000-0000C9970000}"/>
    <cellStyle name="40% - Accent6 7 2 3 4 2 2" xfId="40886" xr:uid="{00000000-0005-0000-0000-0000CA970000}"/>
    <cellStyle name="40% - Accent6 7 2 3 4 3" xfId="29585" xr:uid="{00000000-0005-0000-0000-0000CB970000}"/>
    <cellStyle name="40% - Accent6 7 2 3 5" xfId="12634" xr:uid="{00000000-0005-0000-0000-0000CC970000}"/>
    <cellStyle name="40% - Accent6 7 2 3 5 2" xfId="35236" xr:uid="{00000000-0005-0000-0000-0000CD970000}"/>
    <cellStyle name="40% - Accent6 7 2 3 6" xfId="23935" xr:uid="{00000000-0005-0000-0000-0000CE970000}"/>
    <cellStyle name="40% - Accent6 7 2 4" xfId="2014" xr:uid="{00000000-0005-0000-0000-0000CF970000}"/>
    <cellStyle name="40% - Accent6 7 2 4 2" xfId="3783" xr:uid="{00000000-0005-0000-0000-0000D0970000}"/>
    <cellStyle name="40% - Accent6 7 2 4 2 2" xfId="9491" xr:uid="{00000000-0005-0000-0000-0000D1970000}"/>
    <cellStyle name="40% - Accent6 7 2 4 2 2 2" xfId="20792" xr:uid="{00000000-0005-0000-0000-0000D2970000}"/>
    <cellStyle name="40% - Accent6 7 2 4 2 2 2 2" xfId="43394" xr:uid="{00000000-0005-0000-0000-0000D3970000}"/>
    <cellStyle name="40% - Accent6 7 2 4 2 2 3" xfId="32093" xr:uid="{00000000-0005-0000-0000-0000D4970000}"/>
    <cellStyle name="40% - Accent6 7 2 4 2 3" xfId="15142" xr:uid="{00000000-0005-0000-0000-0000D5970000}"/>
    <cellStyle name="40% - Accent6 7 2 4 2 3 2" xfId="37744" xr:uid="{00000000-0005-0000-0000-0000D6970000}"/>
    <cellStyle name="40% - Accent6 7 2 4 2 4" xfId="26443" xr:uid="{00000000-0005-0000-0000-0000D7970000}"/>
    <cellStyle name="40% - Accent6 7 2 4 3" xfId="5406" xr:uid="{00000000-0005-0000-0000-0000D8970000}"/>
    <cellStyle name="40% - Accent6 7 2 4 3 2" xfId="11056" xr:uid="{00000000-0005-0000-0000-0000D9970000}"/>
    <cellStyle name="40% - Accent6 7 2 4 3 2 2" xfId="22357" xr:uid="{00000000-0005-0000-0000-0000DA970000}"/>
    <cellStyle name="40% - Accent6 7 2 4 3 2 2 2" xfId="44959" xr:uid="{00000000-0005-0000-0000-0000DB970000}"/>
    <cellStyle name="40% - Accent6 7 2 4 3 2 3" xfId="33658" xr:uid="{00000000-0005-0000-0000-0000DC970000}"/>
    <cellStyle name="40% - Accent6 7 2 4 3 3" xfId="16707" xr:uid="{00000000-0005-0000-0000-0000DD970000}"/>
    <cellStyle name="40% - Accent6 7 2 4 3 3 2" xfId="39309" xr:uid="{00000000-0005-0000-0000-0000DE970000}"/>
    <cellStyle name="40% - Accent6 7 2 4 3 4" xfId="28008" xr:uid="{00000000-0005-0000-0000-0000DF970000}"/>
    <cellStyle name="40% - Accent6 7 2 4 4" xfId="7870" xr:uid="{00000000-0005-0000-0000-0000E0970000}"/>
    <cellStyle name="40% - Accent6 7 2 4 4 2" xfId="19171" xr:uid="{00000000-0005-0000-0000-0000E1970000}"/>
    <cellStyle name="40% - Accent6 7 2 4 4 2 2" xfId="41773" xr:uid="{00000000-0005-0000-0000-0000E2970000}"/>
    <cellStyle name="40% - Accent6 7 2 4 4 3" xfId="30472" xr:uid="{00000000-0005-0000-0000-0000E3970000}"/>
    <cellStyle name="40% - Accent6 7 2 4 5" xfId="13521" xr:uid="{00000000-0005-0000-0000-0000E4970000}"/>
    <cellStyle name="40% - Accent6 7 2 4 5 2" xfId="36123" xr:uid="{00000000-0005-0000-0000-0000E5970000}"/>
    <cellStyle name="40% - Accent6 7 2 4 6" xfId="24822" xr:uid="{00000000-0005-0000-0000-0000E6970000}"/>
    <cellStyle name="40% - Accent6 7 2 5" xfId="2387" xr:uid="{00000000-0005-0000-0000-0000E7970000}"/>
    <cellStyle name="40% - Accent6 7 2 5 2" xfId="8223" xr:uid="{00000000-0005-0000-0000-0000E8970000}"/>
    <cellStyle name="40% - Accent6 7 2 5 2 2" xfId="19524" xr:uid="{00000000-0005-0000-0000-0000E9970000}"/>
    <cellStyle name="40% - Accent6 7 2 5 2 2 2" xfId="42126" xr:uid="{00000000-0005-0000-0000-0000EA970000}"/>
    <cellStyle name="40% - Accent6 7 2 5 2 3" xfId="30825" xr:uid="{00000000-0005-0000-0000-0000EB970000}"/>
    <cellStyle name="40% - Accent6 7 2 5 3" xfId="13874" xr:uid="{00000000-0005-0000-0000-0000EC970000}"/>
    <cellStyle name="40% - Accent6 7 2 5 3 2" xfId="36476" xr:uid="{00000000-0005-0000-0000-0000ED970000}"/>
    <cellStyle name="40% - Accent6 7 2 5 4" xfId="25175" xr:uid="{00000000-0005-0000-0000-0000EE970000}"/>
    <cellStyle name="40% - Accent6 7 2 6" xfId="4172" xr:uid="{00000000-0005-0000-0000-0000EF970000}"/>
    <cellStyle name="40% - Accent6 7 2 6 2" xfId="9822" xr:uid="{00000000-0005-0000-0000-0000F0970000}"/>
    <cellStyle name="40% - Accent6 7 2 6 2 2" xfId="21123" xr:uid="{00000000-0005-0000-0000-0000F1970000}"/>
    <cellStyle name="40% - Accent6 7 2 6 2 2 2" xfId="43725" xr:uid="{00000000-0005-0000-0000-0000F2970000}"/>
    <cellStyle name="40% - Accent6 7 2 6 2 3" xfId="32424" xr:uid="{00000000-0005-0000-0000-0000F3970000}"/>
    <cellStyle name="40% - Accent6 7 2 6 3" xfId="15473" xr:uid="{00000000-0005-0000-0000-0000F4970000}"/>
    <cellStyle name="40% - Accent6 7 2 6 3 2" xfId="38075" xr:uid="{00000000-0005-0000-0000-0000F5970000}"/>
    <cellStyle name="40% - Accent6 7 2 6 4" xfId="26774" xr:uid="{00000000-0005-0000-0000-0000F6970000}"/>
    <cellStyle name="40% - Accent6 7 2 7" xfId="6652" xr:uid="{00000000-0005-0000-0000-0000F7970000}"/>
    <cellStyle name="40% - Accent6 7 2 7 2" xfId="17953" xr:uid="{00000000-0005-0000-0000-0000F8970000}"/>
    <cellStyle name="40% - Accent6 7 2 7 2 2" xfId="40555" xr:uid="{00000000-0005-0000-0000-0000F9970000}"/>
    <cellStyle name="40% - Accent6 7 2 7 3" xfId="29254" xr:uid="{00000000-0005-0000-0000-0000FA970000}"/>
    <cellStyle name="40% - Accent6 7 2 8" xfId="12303" xr:uid="{00000000-0005-0000-0000-0000FB970000}"/>
    <cellStyle name="40% - Accent6 7 2 8 2" xfId="34905" xr:uid="{00000000-0005-0000-0000-0000FC970000}"/>
    <cellStyle name="40% - Accent6 7 2 9" xfId="23604" xr:uid="{00000000-0005-0000-0000-0000FD970000}"/>
    <cellStyle name="40% - Accent6 7 3" xfId="1159" xr:uid="{00000000-0005-0000-0000-0000FE970000}"/>
    <cellStyle name="40% - Accent6 7 3 2" xfId="2016" xr:uid="{00000000-0005-0000-0000-0000FF970000}"/>
    <cellStyle name="40% - Accent6 7 3 2 2" xfId="3227" xr:uid="{00000000-0005-0000-0000-000000980000}"/>
    <cellStyle name="40% - Accent6 7 3 2 2 2" xfId="6199" xr:uid="{00000000-0005-0000-0000-000001980000}"/>
    <cellStyle name="40% - Accent6 7 3 2 2 2 2" xfId="11849" xr:uid="{00000000-0005-0000-0000-000002980000}"/>
    <cellStyle name="40% - Accent6 7 3 2 2 2 2 2" xfId="23150" xr:uid="{00000000-0005-0000-0000-000003980000}"/>
    <cellStyle name="40% - Accent6 7 3 2 2 2 2 2 2" xfId="45752" xr:uid="{00000000-0005-0000-0000-000004980000}"/>
    <cellStyle name="40% - Accent6 7 3 2 2 2 2 3" xfId="34451" xr:uid="{00000000-0005-0000-0000-000005980000}"/>
    <cellStyle name="40% - Accent6 7 3 2 2 2 3" xfId="17500" xr:uid="{00000000-0005-0000-0000-000006980000}"/>
    <cellStyle name="40% - Accent6 7 3 2 2 2 3 2" xfId="40102" xr:uid="{00000000-0005-0000-0000-000007980000}"/>
    <cellStyle name="40% - Accent6 7 3 2 2 2 4" xfId="28801" xr:uid="{00000000-0005-0000-0000-000008980000}"/>
    <cellStyle name="40% - Accent6 7 3 2 2 3" xfId="9017" xr:uid="{00000000-0005-0000-0000-000009980000}"/>
    <cellStyle name="40% - Accent6 7 3 2 2 3 2" xfId="20318" xr:uid="{00000000-0005-0000-0000-00000A980000}"/>
    <cellStyle name="40% - Accent6 7 3 2 2 3 2 2" xfId="42920" xr:uid="{00000000-0005-0000-0000-00000B980000}"/>
    <cellStyle name="40% - Accent6 7 3 2 2 3 3" xfId="31619" xr:uid="{00000000-0005-0000-0000-00000C980000}"/>
    <cellStyle name="40% - Accent6 7 3 2 2 4" xfId="14668" xr:uid="{00000000-0005-0000-0000-00000D980000}"/>
    <cellStyle name="40% - Accent6 7 3 2 2 4 2" xfId="37270" xr:uid="{00000000-0005-0000-0000-00000E980000}"/>
    <cellStyle name="40% - Accent6 7 3 2 2 5" xfId="25969" xr:uid="{00000000-0005-0000-0000-00000F980000}"/>
    <cellStyle name="40% - Accent6 7 3 2 3" xfId="4965" xr:uid="{00000000-0005-0000-0000-000010980000}"/>
    <cellStyle name="40% - Accent6 7 3 2 3 2" xfId="10615" xr:uid="{00000000-0005-0000-0000-000011980000}"/>
    <cellStyle name="40% - Accent6 7 3 2 3 2 2" xfId="21916" xr:uid="{00000000-0005-0000-0000-000012980000}"/>
    <cellStyle name="40% - Accent6 7 3 2 3 2 2 2" xfId="44518" xr:uid="{00000000-0005-0000-0000-000013980000}"/>
    <cellStyle name="40% - Accent6 7 3 2 3 2 3" xfId="33217" xr:uid="{00000000-0005-0000-0000-000014980000}"/>
    <cellStyle name="40% - Accent6 7 3 2 3 3" xfId="16266" xr:uid="{00000000-0005-0000-0000-000015980000}"/>
    <cellStyle name="40% - Accent6 7 3 2 3 3 2" xfId="38868" xr:uid="{00000000-0005-0000-0000-000016980000}"/>
    <cellStyle name="40% - Accent6 7 3 2 3 4" xfId="27567" xr:uid="{00000000-0005-0000-0000-000017980000}"/>
    <cellStyle name="40% - Accent6 7 3 2 4" xfId="7872" xr:uid="{00000000-0005-0000-0000-000018980000}"/>
    <cellStyle name="40% - Accent6 7 3 2 4 2" xfId="19173" xr:uid="{00000000-0005-0000-0000-000019980000}"/>
    <cellStyle name="40% - Accent6 7 3 2 4 2 2" xfId="41775" xr:uid="{00000000-0005-0000-0000-00001A980000}"/>
    <cellStyle name="40% - Accent6 7 3 2 4 3" xfId="30474" xr:uid="{00000000-0005-0000-0000-00001B980000}"/>
    <cellStyle name="40% - Accent6 7 3 2 5" xfId="13523" xr:uid="{00000000-0005-0000-0000-00001C980000}"/>
    <cellStyle name="40% - Accent6 7 3 2 5 2" xfId="36125" xr:uid="{00000000-0005-0000-0000-00001D980000}"/>
    <cellStyle name="40% - Accent6 7 3 2 6" xfId="24824" xr:uid="{00000000-0005-0000-0000-00001E980000}"/>
    <cellStyle name="40% - Accent6 7 3 3" xfId="2556" xr:uid="{00000000-0005-0000-0000-00001F980000}"/>
    <cellStyle name="40% - Accent6 7 3 3 2" xfId="5575" xr:uid="{00000000-0005-0000-0000-000020980000}"/>
    <cellStyle name="40% - Accent6 7 3 3 2 2" xfId="11225" xr:uid="{00000000-0005-0000-0000-000021980000}"/>
    <cellStyle name="40% - Accent6 7 3 3 2 2 2" xfId="22526" xr:uid="{00000000-0005-0000-0000-000022980000}"/>
    <cellStyle name="40% - Accent6 7 3 3 2 2 2 2" xfId="45128" xr:uid="{00000000-0005-0000-0000-000023980000}"/>
    <cellStyle name="40% - Accent6 7 3 3 2 2 3" xfId="33827" xr:uid="{00000000-0005-0000-0000-000024980000}"/>
    <cellStyle name="40% - Accent6 7 3 3 2 3" xfId="16876" xr:uid="{00000000-0005-0000-0000-000025980000}"/>
    <cellStyle name="40% - Accent6 7 3 3 2 3 2" xfId="39478" xr:uid="{00000000-0005-0000-0000-000026980000}"/>
    <cellStyle name="40% - Accent6 7 3 3 2 4" xfId="28177" xr:uid="{00000000-0005-0000-0000-000027980000}"/>
    <cellStyle name="40% - Accent6 7 3 3 3" xfId="8392" xr:uid="{00000000-0005-0000-0000-000028980000}"/>
    <cellStyle name="40% - Accent6 7 3 3 3 2" xfId="19693" xr:uid="{00000000-0005-0000-0000-000029980000}"/>
    <cellStyle name="40% - Accent6 7 3 3 3 2 2" xfId="42295" xr:uid="{00000000-0005-0000-0000-00002A980000}"/>
    <cellStyle name="40% - Accent6 7 3 3 3 3" xfId="30994" xr:uid="{00000000-0005-0000-0000-00002B980000}"/>
    <cellStyle name="40% - Accent6 7 3 3 4" xfId="14043" xr:uid="{00000000-0005-0000-0000-00002C980000}"/>
    <cellStyle name="40% - Accent6 7 3 3 4 2" xfId="36645" xr:uid="{00000000-0005-0000-0000-00002D980000}"/>
    <cellStyle name="40% - Accent6 7 3 3 5" xfId="25344" xr:uid="{00000000-0005-0000-0000-00002E980000}"/>
    <cellStyle name="40% - Accent6 7 3 4" xfId="4341" xr:uid="{00000000-0005-0000-0000-00002F980000}"/>
    <cellStyle name="40% - Accent6 7 3 4 2" xfId="9991" xr:uid="{00000000-0005-0000-0000-000030980000}"/>
    <cellStyle name="40% - Accent6 7 3 4 2 2" xfId="21292" xr:uid="{00000000-0005-0000-0000-000031980000}"/>
    <cellStyle name="40% - Accent6 7 3 4 2 2 2" xfId="43894" xr:uid="{00000000-0005-0000-0000-000032980000}"/>
    <cellStyle name="40% - Accent6 7 3 4 2 3" xfId="32593" xr:uid="{00000000-0005-0000-0000-000033980000}"/>
    <cellStyle name="40% - Accent6 7 3 4 3" xfId="15642" xr:uid="{00000000-0005-0000-0000-000034980000}"/>
    <cellStyle name="40% - Accent6 7 3 4 3 2" xfId="38244" xr:uid="{00000000-0005-0000-0000-000035980000}"/>
    <cellStyle name="40% - Accent6 7 3 4 4" xfId="26943" xr:uid="{00000000-0005-0000-0000-000036980000}"/>
    <cellStyle name="40% - Accent6 7 3 5" xfId="7138" xr:uid="{00000000-0005-0000-0000-000037980000}"/>
    <cellStyle name="40% - Accent6 7 3 5 2" xfId="18439" xr:uid="{00000000-0005-0000-0000-000038980000}"/>
    <cellStyle name="40% - Accent6 7 3 5 2 2" xfId="41041" xr:uid="{00000000-0005-0000-0000-000039980000}"/>
    <cellStyle name="40% - Accent6 7 3 5 3" xfId="29740" xr:uid="{00000000-0005-0000-0000-00003A980000}"/>
    <cellStyle name="40% - Accent6 7 3 6" xfId="12789" xr:uid="{00000000-0005-0000-0000-00003B980000}"/>
    <cellStyle name="40% - Accent6 7 3 6 2" xfId="35391" xr:uid="{00000000-0005-0000-0000-00003C980000}"/>
    <cellStyle name="40% - Accent6 7 3 7" xfId="24090" xr:uid="{00000000-0005-0000-0000-00003D980000}"/>
    <cellStyle name="40% - Accent6 7 4" xfId="850" xr:uid="{00000000-0005-0000-0000-00003E980000}"/>
    <cellStyle name="40% - Accent6 7 4 2" xfId="2920" xr:uid="{00000000-0005-0000-0000-00003F980000}"/>
    <cellStyle name="40% - Accent6 7 4 2 2" xfId="5892" xr:uid="{00000000-0005-0000-0000-000040980000}"/>
    <cellStyle name="40% - Accent6 7 4 2 2 2" xfId="11542" xr:uid="{00000000-0005-0000-0000-000041980000}"/>
    <cellStyle name="40% - Accent6 7 4 2 2 2 2" xfId="22843" xr:uid="{00000000-0005-0000-0000-000042980000}"/>
    <cellStyle name="40% - Accent6 7 4 2 2 2 2 2" xfId="45445" xr:uid="{00000000-0005-0000-0000-000043980000}"/>
    <cellStyle name="40% - Accent6 7 4 2 2 2 3" xfId="34144" xr:uid="{00000000-0005-0000-0000-000044980000}"/>
    <cellStyle name="40% - Accent6 7 4 2 2 3" xfId="17193" xr:uid="{00000000-0005-0000-0000-000045980000}"/>
    <cellStyle name="40% - Accent6 7 4 2 2 3 2" xfId="39795" xr:uid="{00000000-0005-0000-0000-000046980000}"/>
    <cellStyle name="40% - Accent6 7 4 2 2 4" xfId="28494" xr:uid="{00000000-0005-0000-0000-000047980000}"/>
    <cellStyle name="40% - Accent6 7 4 2 3" xfId="8710" xr:uid="{00000000-0005-0000-0000-000048980000}"/>
    <cellStyle name="40% - Accent6 7 4 2 3 2" xfId="20011" xr:uid="{00000000-0005-0000-0000-000049980000}"/>
    <cellStyle name="40% - Accent6 7 4 2 3 2 2" xfId="42613" xr:uid="{00000000-0005-0000-0000-00004A980000}"/>
    <cellStyle name="40% - Accent6 7 4 2 3 3" xfId="31312" xr:uid="{00000000-0005-0000-0000-00004B980000}"/>
    <cellStyle name="40% - Accent6 7 4 2 4" xfId="14361" xr:uid="{00000000-0005-0000-0000-00004C980000}"/>
    <cellStyle name="40% - Accent6 7 4 2 4 2" xfId="36963" xr:uid="{00000000-0005-0000-0000-00004D980000}"/>
    <cellStyle name="40% - Accent6 7 4 2 5" xfId="25662" xr:uid="{00000000-0005-0000-0000-00004E980000}"/>
    <cellStyle name="40% - Accent6 7 4 3" xfId="4658" xr:uid="{00000000-0005-0000-0000-00004F980000}"/>
    <cellStyle name="40% - Accent6 7 4 3 2" xfId="10308" xr:uid="{00000000-0005-0000-0000-000050980000}"/>
    <cellStyle name="40% - Accent6 7 4 3 2 2" xfId="21609" xr:uid="{00000000-0005-0000-0000-000051980000}"/>
    <cellStyle name="40% - Accent6 7 4 3 2 2 2" xfId="44211" xr:uid="{00000000-0005-0000-0000-000052980000}"/>
    <cellStyle name="40% - Accent6 7 4 3 2 3" xfId="32910" xr:uid="{00000000-0005-0000-0000-000053980000}"/>
    <cellStyle name="40% - Accent6 7 4 3 3" xfId="15959" xr:uid="{00000000-0005-0000-0000-000054980000}"/>
    <cellStyle name="40% - Accent6 7 4 3 3 2" xfId="38561" xr:uid="{00000000-0005-0000-0000-000055980000}"/>
    <cellStyle name="40% - Accent6 7 4 3 4" xfId="27260" xr:uid="{00000000-0005-0000-0000-000056980000}"/>
    <cellStyle name="40% - Accent6 7 4 4" xfId="6845" xr:uid="{00000000-0005-0000-0000-000057980000}"/>
    <cellStyle name="40% - Accent6 7 4 4 2" xfId="18146" xr:uid="{00000000-0005-0000-0000-000058980000}"/>
    <cellStyle name="40% - Accent6 7 4 4 2 2" xfId="40748" xr:uid="{00000000-0005-0000-0000-000059980000}"/>
    <cellStyle name="40% - Accent6 7 4 4 3" xfId="29447" xr:uid="{00000000-0005-0000-0000-00005A980000}"/>
    <cellStyle name="40% - Accent6 7 4 5" xfId="12496" xr:uid="{00000000-0005-0000-0000-00005B980000}"/>
    <cellStyle name="40% - Accent6 7 4 5 2" xfId="35098" xr:uid="{00000000-0005-0000-0000-00005C980000}"/>
    <cellStyle name="40% - Accent6 7 4 6" xfId="23797" xr:uid="{00000000-0005-0000-0000-00005D980000}"/>
    <cellStyle name="40% - Accent6 7 5" xfId="2013" xr:uid="{00000000-0005-0000-0000-00005E980000}"/>
    <cellStyle name="40% - Accent6 7 5 2" xfId="3782" xr:uid="{00000000-0005-0000-0000-00005F980000}"/>
    <cellStyle name="40% - Accent6 7 5 2 2" xfId="9490" xr:uid="{00000000-0005-0000-0000-000060980000}"/>
    <cellStyle name="40% - Accent6 7 5 2 2 2" xfId="20791" xr:uid="{00000000-0005-0000-0000-000061980000}"/>
    <cellStyle name="40% - Accent6 7 5 2 2 2 2" xfId="43393" xr:uid="{00000000-0005-0000-0000-000062980000}"/>
    <cellStyle name="40% - Accent6 7 5 2 2 3" xfId="32092" xr:uid="{00000000-0005-0000-0000-000063980000}"/>
    <cellStyle name="40% - Accent6 7 5 2 3" xfId="15141" xr:uid="{00000000-0005-0000-0000-000064980000}"/>
    <cellStyle name="40% - Accent6 7 5 2 3 2" xfId="37743" xr:uid="{00000000-0005-0000-0000-000065980000}"/>
    <cellStyle name="40% - Accent6 7 5 2 4" xfId="26442" xr:uid="{00000000-0005-0000-0000-000066980000}"/>
    <cellStyle name="40% - Accent6 7 5 3" xfId="5268" xr:uid="{00000000-0005-0000-0000-000067980000}"/>
    <cellStyle name="40% - Accent6 7 5 3 2" xfId="10918" xr:uid="{00000000-0005-0000-0000-000068980000}"/>
    <cellStyle name="40% - Accent6 7 5 3 2 2" xfId="22219" xr:uid="{00000000-0005-0000-0000-000069980000}"/>
    <cellStyle name="40% - Accent6 7 5 3 2 2 2" xfId="44821" xr:uid="{00000000-0005-0000-0000-00006A980000}"/>
    <cellStyle name="40% - Accent6 7 5 3 2 3" xfId="33520" xr:uid="{00000000-0005-0000-0000-00006B980000}"/>
    <cellStyle name="40% - Accent6 7 5 3 3" xfId="16569" xr:uid="{00000000-0005-0000-0000-00006C980000}"/>
    <cellStyle name="40% - Accent6 7 5 3 3 2" xfId="39171" xr:uid="{00000000-0005-0000-0000-00006D980000}"/>
    <cellStyle name="40% - Accent6 7 5 3 4" xfId="27870" xr:uid="{00000000-0005-0000-0000-00006E980000}"/>
    <cellStyle name="40% - Accent6 7 5 4" xfId="7869" xr:uid="{00000000-0005-0000-0000-00006F980000}"/>
    <cellStyle name="40% - Accent6 7 5 4 2" xfId="19170" xr:uid="{00000000-0005-0000-0000-000070980000}"/>
    <cellStyle name="40% - Accent6 7 5 4 2 2" xfId="41772" xr:uid="{00000000-0005-0000-0000-000071980000}"/>
    <cellStyle name="40% - Accent6 7 5 4 3" xfId="30471" xr:uid="{00000000-0005-0000-0000-000072980000}"/>
    <cellStyle name="40% - Accent6 7 5 5" xfId="13520" xr:uid="{00000000-0005-0000-0000-000073980000}"/>
    <cellStyle name="40% - Accent6 7 5 5 2" xfId="36122" xr:uid="{00000000-0005-0000-0000-000074980000}"/>
    <cellStyle name="40% - Accent6 7 5 6" xfId="24821" xr:uid="{00000000-0005-0000-0000-000075980000}"/>
    <cellStyle name="40% - Accent6 7 6" xfId="2247" xr:uid="{00000000-0005-0000-0000-000076980000}"/>
    <cellStyle name="40% - Accent6 7 6 2" xfId="8083" xr:uid="{00000000-0005-0000-0000-000077980000}"/>
    <cellStyle name="40% - Accent6 7 6 2 2" xfId="19384" xr:uid="{00000000-0005-0000-0000-000078980000}"/>
    <cellStyle name="40% - Accent6 7 6 2 2 2" xfId="41986" xr:uid="{00000000-0005-0000-0000-000079980000}"/>
    <cellStyle name="40% - Accent6 7 6 2 3" xfId="30685" xr:uid="{00000000-0005-0000-0000-00007A980000}"/>
    <cellStyle name="40% - Accent6 7 6 3" xfId="13734" xr:uid="{00000000-0005-0000-0000-00007B980000}"/>
    <cellStyle name="40% - Accent6 7 6 3 2" xfId="36336" xr:uid="{00000000-0005-0000-0000-00007C980000}"/>
    <cellStyle name="40% - Accent6 7 6 4" xfId="25035" xr:uid="{00000000-0005-0000-0000-00007D980000}"/>
    <cellStyle name="40% - Accent6 7 7" xfId="4034" xr:uid="{00000000-0005-0000-0000-00007E980000}"/>
    <cellStyle name="40% - Accent6 7 7 2" xfId="9684" xr:uid="{00000000-0005-0000-0000-00007F980000}"/>
    <cellStyle name="40% - Accent6 7 7 2 2" xfId="20985" xr:uid="{00000000-0005-0000-0000-000080980000}"/>
    <cellStyle name="40% - Accent6 7 7 2 2 2" xfId="43587" xr:uid="{00000000-0005-0000-0000-000081980000}"/>
    <cellStyle name="40% - Accent6 7 7 2 3" xfId="32286" xr:uid="{00000000-0005-0000-0000-000082980000}"/>
    <cellStyle name="40% - Accent6 7 7 3" xfId="15335" xr:uid="{00000000-0005-0000-0000-000083980000}"/>
    <cellStyle name="40% - Accent6 7 7 3 2" xfId="37937" xr:uid="{00000000-0005-0000-0000-000084980000}"/>
    <cellStyle name="40% - Accent6 7 7 4" xfId="26636" xr:uid="{00000000-0005-0000-0000-000085980000}"/>
    <cellStyle name="40% - Accent6 7 8" xfId="6485" xr:uid="{00000000-0005-0000-0000-000086980000}"/>
    <cellStyle name="40% - Accent6 7 8 2" xfId="17786" xr:uid="{00000000-0005-0000-0000-000087980000}"/>
    <cellStyle name="40% - Accent6 7 8 2 2" xfId="40388" xr:uid="{00000000-0005-0000-0000-000088980000}"/>
    <cellStyle name="40% - Accent6 7 8 3" xfId="29087" xr:uid="{00000000-0005-0000-0000-000089980000}"/>
    <cellStyle name="40% - Accent6 7 9" xfId="12136" xr:uid="{00000000-0005-0000-0000-00008A980000}"/>
    <cellStyle name="40% - Accent6 7 9 2" xfId="34738" xr:uid="{00000000-0005-0000-0000-00008B980000}"/>
    <cellStyle name="40% - Accent6 8" xfId="445" xr:uid="{00000000-0005-0000-0000-00008C980000}"/>
    <cellStyle name="40% - Accent6 8 2" xfId="1216" xr:uid="{00000000-0005-0000-0000-00008D980000}"/>
    <cellStyle name="40% - Accent6 8 2 2" xfId="2018" xr:uid="{00000000-0005-0000-0000-00008E980000}"/>
    <cellStyle name="40% - Accent6 8 2 2 2" xfId="3285" xr:uid="{00000000-0005-0000-0000-00008F980000}"/>
    <cellStyle name="40% - Accent6 8 2 2 2 2" xfId="6257" xr:uid="{00000000-0005-0000-0000-000090980000}"/>
    <cellStyle name="40% - Accent6 8 2 2 2 2 2" xfId="11907" xr:uid="{00000000-0005-0000-0000-000091980000}"/>
    <cellStyle name="40% - Accent6 8 2 2 2 2 2 2" xfId="23208" xr:uid="{00000000-0005-0000-0000-000092980000}"/>
    <cellStyle name="40% - Accent6 8 2 2 2 2 2 2 2" xfId="45810" xr:uid="{00000000-0005-0000-0000-000093980000}"/>
    <cellStyle name="40% - Accent6 8 2 2 2 2 2 3" xfId="34509" xr:uid="{00000000-0005-0000-0000-000094980000}"/>
    <cellStyle name="40% - Accent6 8 2 2 2 2 3" xfId="17558" xr:uid="{00000000-0005-0000-0000-000095980000}"/>
    <cellStyle name="40% - Accent6 8 2 2 2 2 3 2" xfId="40160" xr:uid="{00000000-0005-0000-0000-000096980000}"/>
    <cellStyle name="40% - Accent6 8 2 2 2 2 4" xfId="28859" xr:uid="{00000000-0005-0000-0000-000097980000}"/>
    <cellStyle name="40% - Accent6 8 2 2 2 3" xfId="9075" xr:uid="{00000000-0005-0000-0000-000098980000}"/>
    <cellStyle name="40% - Accent6 8 2 2 2 3 2" xfId="20376" xr:uid="{00000000-0005-0000-0000-000099980000}"/>
    <cellStyle name="40% - Accent6 8 2 2 2 3 2 2" xfId="42978" xr:uid="{00000000-0005-0000-0000-00009A980000}"/>
    <cellStyle name="40% - Accent6 8 2 2 2 3 3" xfId="31677" xr:uid="{00000000-0005-0000-0000-00009B980000}"/>
    <cellStyle name="40% - Accent6 8 2 2 2 4" xfId="14726" xr:uid="{00000000-0005-0000-0000-00009C980000}"/>
    <cellStyle name="40% - Accent6 8 2 2 2 4 2" xfId="37328" xr:uid="{00000000-0005-0000-0000-00009D980000}"/>
    <cellStyle name="40% - Accent6 8 2 2 2 5" xfId="26027" xr:uid="{00000000-0005-0000-0000-00009E980000}"/>
    <cellStyle name="40% - Accent6 8 2 2 3" xfId="5023" xr:uid="{00000000-0005-0000-0000-00009F980000}"/>
    <cellStyle name="40% - Accent6 8 2 2 3 2" xfId="10673" xr:uid="{00000000-0005-0000-0000-0000A0980000}"/>
    <cellStyle name="40% - Accent6 8 2 2 3 2 2" xfId="21974" xr:uid="{00000000-0005-0000-0000-0000A1980000}"/>
    <cellStyle name="40% - Accent6 8 2 2 3 2 2 2" xfId="44576" xr:uid="{00000000-0005-0000-0000-0000A2980000}"/>
    <cellStyle name="40% - Accent6 8 2 2 3 2 3" xfId="33275" xr:uid="{00000000-0005-0000-0000-0000A3980000}"/>
    <cellStyle name="40% - Accent6 8 2 2 3 3" xfId="16324" xr:uid="{00000000-0005-0000-0000-0000A4980000}"/>
    <cellStyle name="40% - Accent6 8 2 2 3 3 2" xfId="38926" xr:uid="{00000000-0005-0000-0000-0000A5980000}"/>
    <cellStyle name="40% - Accent6 8 2 2 3 4" xfId="27625" xr:uid="{00000000-0005-0000-0000-0000A6980000}"/>
    <cellStyle name="40% - Accent6 8 2 2 4" xfId="7874" xr:uid="{00000000-0005-0000-0000-0000A7980000}"/>
    <cellStyle name="40% - Accent6 8 2 2 4 2" xfId="19175" xr:uid="{00000000-0005-0000-0000-0000A8980000}"/>
    <cellStyle name="40% - Accent6 8 2 2 4 2 2" xfId="41777" xr:uid="{00000000-0005-0000-0000-0000A9980000}"/>
    <cellStyle name="40% - Accent6 8 2 2 4 3" xfId="30476" xr:uid="{00000000-0005-0000-0000-0000AA980000}"/>
    <cellStyle name="40% - Accent6 8 2 2 5" xfId="13525" xr:uid="{00000000-0005-0000-0000-0000AB980000}"/>
    <cellStyle name="40% - Accent6 8 2 2 5 2" xfId="36127" xr:uid="{00000000-0005-0000-0000-0000AC980000}"/>
    <cellStyle name="40% - Accent6 8 2 2 6" xfId="24826" xr:uid="{00000000-0005-0000-0000-0000AD980000}"/>
    <cellStyle name="40% - Accent6 8 2 3" xfId="2614" xr:uid="{00000000-0005-0000-0000-0000AE980000}"/>
    <cellStyle name="40% - Accent6 8 2 3 2" xfId="5633" xr:uid="{00000000-0005-0000-0000-0000AF980000}"/>
    <cellStyle name="40% - Accent6 8 2 3 2 2" xfId="11283" xr:uid="{00000000-0005-0000-0000-0000B0980000}"/>
    <cellStyle name="40% - Accent6 8 2 3 2 2 2" xfId="22584" xr:uid="{00000000-0005-0000-0000-0000B1980000}"/>
    <cellStyle name="40% - Accent6 8 2 3 2 2 2 2" xfId="45186" xr:uid="{00000000-0005-0000-0000-0000B2980000}"/>
    <cellStyle name="40% - Accent6 8 2 3 2 2 3" xfId="33885" xr:uid="{00000000-0005-0000-0000-0000B3980000}"/>
    <cellStyle name="40% - Accent6 8 2 3 2 3" xfId="16934" xr:uid="{00000000-0005-0000-0000-0000B4980000}"/>
    <cellStyle name="40% - Accent6 8 2 3 2 3 2" xfId="39536" xr:uid="{00000000-0005-0000-0000-0000B5980000}"/>
    <cellStyle name="40% - Accent6 8 2 3 2 4" xfId="28235" xr:uid="{00000000-0005-0000-0000-0000B6980000}"/>
    <cellStyle name="40% - Accent6 8 2 3 3" xfId="8450" xr:uid="{00000000-0005-0000-0000-0000B7980000}"/>
    <cellStyle name="40% - Accent6 8 2 3 3 2" xfId="19751" xr:uid="{00000000-0005-0000-0000-0000B8980000}"/>
    <cellStyle name="40% - Accent6 8 2 3 3 2 2" xfId="42353" xr:uid="{00000000-0005-0000-0000-0000B9980000}"/>
    <cellStyle name="40% - Accent6 8 2 3 3 3" xfId="31052" xr:uid="{00000000-0005-0000-0000-0000BA980000}"/>
    <cellStyle name="40% - Accent6 8 2 3 4" xfId="14101" xr:uid="{00000000-0005-0000-0000-0000BB980000}"/>
    <cellStyle name="40% - Accent6 8 2 3 4 2" xfId="36703" xr:uid="{00000000-0005-0000-0000-0000BC980000}"/>
    <cellStyle name="40% - Accent6 8 2 3 5" xfId="25402" xr:uid="{00000000-0005-0000-0000-0000BD980000}"/>
    <cellStyle name="40% - Accent6 8 2 4" xfId="4399" xr:uid="{00000000-0005-0000-0000-0000BE980000}"/>
    <cellStyle name="40% - Accent6 8 2 4 2" xfId="10049" xr:uid="{00000000-0005-0000-0000-0000BF980000}"/>
    <cellStyle name="40% - Accent6 8 2 4 2 2" xfId="21350" xr:uid="{00000000-0005-0000-0000-0000C0980000}"/>
    <cellStyle name="40% - Accent6 8 2 4 2 2 2" xfId="43952" xr:uid="{00000000-0005-0000-0000-0000C1980000}"/>
    <cellStyle name="40% - Accent6 8 2 4 2 3" xfId="32651" xr:uid="{00000000-0005-0000-0000-0000C2980000}"/>
    <cellStyle name="40% - Accent6 8 2 4 3" xfId="15700" xr:uid="{00000000-0005-0000-0000-0000C3980000}"/>
    <cellStyle name="40% - Accent6 8 2 4 3 2" xfId="38302" xr:uid="{00000000-0005-0000-0000-0000C4980000}"/>
    <cellStyle name="40% - Accent6 8 2 4 4" xfId="27001" xr:uid="{00000000-0005-0000-0000-0000C5980000}"/>
    <cellStyle name="40% - Accent6 8 2 5" xfId="7195" xr:uid="{00000000-0005-0000-0000-0000C6980000}"/>
    <cellStyle name="40% - Accent6 8 2 5 2" xfId="18496" xr:uid="{00000000-0005-0000-0000-0000C7980000}"/>
    <cellStyle name="40% - Accent6 8 2 5 2 2" xfId="41098" xr:uid="{00000000-0005-0000-0000-0000C8980000}"/>
    <cellStyle name="40% - Accent6 8 2 5 3" xfId="29797" xr:uid="{00000000-0005-0000-0000-0000C9980000}"/>
    <cellStyle name="40% - Accent6 8 2 6" xfId="12846" xr:uid="{00000000-0005-0000-0000-0000CA980000}"/>
    <cellStyle name="40% - Accent6 8 2 6 2" xfId="35448" xr:uid="{00000000-0005-0000-0000-0000CB980000}"/>
    <cellStyle name="40% - Accent6 8 2 7" xfId="24147" xr:uid="{00000000-0005-0000-0000-0000CC980000}"/>
    <cellStyle name="40% - Accent6 8 3" xfId="913" xr:uid="{00000000-0005-0000-0000-0000CD980000}"/>
    <cellStyle name="40% - Accent6 8 3 2" xfId="2977" xr:uid="{00000000-0005-0000-0000-0000CE980000}"/>
    <cellStyle name="40% - Accent6 8 3 2 2" xfId="5949" xr:uid="{00000000-0005-0000-0000-0000CF980000}"/>
    <cellStyle name="40% - Accent6 8 3 2 2 2" xfId="11599" xr:uid="{00000000-0005-0000-0000-0000D0980000}"/>
    <cellStyle name="40% - Accent6 8 3 2 2 2 2" xfId="22900" xr:uid="{00000000-0005-0000-0000-0000D1980000}"/>
    <cellStyle name="40% - Accent6 8 3 2 2 2 2 2" xfId="45502" xr:uid="{00000000-0005-0000-0000-0000D2980000}"/>
    <cellStyle name="40% - Accent6 8 3 2 2 2 3" xfId="34201" xr:uid="{00000000-0005-0000-0000-0000D3980000}"/>
    <cellStyle name="40% - Accent6 8 3 2 2 3" xfId="17250" xr:uid="{00000000-0005-0000-0000-0000D4980000}"/>
    <cellStyle name="40% - Accent6 8 3 2 2 3 2" xfId="39852" xr:uid="{00000000-0005-0000-0000-0000D5980000}"/>
    <cellStyle name="40% - Accent6 8 3 2 2 4" xfId="28551" xr:uid="{00000000-0005-0000-0000-0000D6980000}"/>
    <cellStyle name="40% - Accent6 8 3 2 3" xfId="8767" xr:uid="{00000000-0005-0000-0000-0000D7980000}"/>
    <cellStyle name="40% - Accent6 8 3 2 3 2" xfId="20068" xr:uid="{00000000-0005-0000-0000-0000D8980000}"/>
    <cellStyle name="40% - Accent6 8 3 2 3 2 2" xfId="42670" xr:uid="{00000000-0005-0000-0000-0000D9980000}"/>
    <cellStyle name="40% - Accent6 8 3 2 3 3" xfId="31369" xr:uid="{00000000-0005-0000-0000-0000DA980000}"/>
    <cellStyle name="40% - Accent6 8 3 2 4" xfId="14418" xr:uid="{00000000-0005-0000-0000-0000DB980000}"/>
    <cellStyle name="40% - Accent6 8 3 2 4 2" xfId="37020" xr:uid="{00000000-0005-0000-0000-0000DC980000}"/>
    <cellStyle name="40% - Accent6 8 3 2 5" xfId="25719" xr:uid="{00000000-0005-0000-0000-0000DD980000}"/>
    <cellStyle name="40% - Accent6 8 3 3" xfId="4715" xr:uid="{00000000-0005-0000-0000-0000DE980000}"/>
    <cellStyle name="40% - Accent6 8 3 3 2" xfId="10365" xr:uid="{00000000-0005-0000-0000-0000DF980000}"/>
    <cellStyle name="40% - Accent6 8 3 3 2 2" xfId="21666" xr:uid="{00000000-0005-0000-0000-0000E0980000}"/>
    <cellStyle name="40% - Accent6 8 3 3 2 2 2" xfId="44268" xr:uid="{00000000-0005-0000-0000-0000E1980000}"/>
    <cellStyle name="40% - Accent6 8 3 3 2 3" xfId="32967" xr:uid="{00000000-0005-0000-0000-0000E2980000}"/>
    <cellStyle name="40% - Accent6 8 3 3 3" xfId="16016" xr:uid="{00000000-0005-0000-0000-0000E3980000}"/>
    <cellStyle name="40% - Accent6 8 3 3 3 2" xfId="38618" xr:uid="{00000000-0005-0000-0000-0000E4980000}"/>
    <cellStyle name="40% - Accent6 8 3 3 4" xfId="27317" xr:uid="{00000000-0005-0000-0000-0000E5980000}"/>
    <cellStyle name="40% - Accent6 8 3 4" xfId="6902" xr:uid="{00000000-0005-0000-0000-0000E6980000}"/>
    <cellStyle name="40% - Accent6 8 3 4 2" xfId="18203" xr:uid="{00000000-0005-0000-0000-0000E7980000}"/>
    <cellStyle name="40% - Accent6 8 3 4 2 2" xfId="40805" xr:uid="{00000000-0005-0000-0000-0000E8980000}"/>
    <cellStyle name="40% - Accent6 8 3 4 3" xfId="29504" xr:uid="{00000000-0005-0000-0000-0000E9980000}"/>
    <cellStyle name="40% - Accent6 8 3 5" xfId="12553" xr:uid="{00000000-0005-0000-0000-0000EA980000}"/>
    <cellStyle name="40% - Accent6 8 3 5 2" xfId="35155" xr:uid="{00000000-0005-0000-0000-0000EB980000}"/>
    <cellStyle name="40% - Accent6 8 3 6" xfId="23854" xr:uid="{00000000-0005-0000-0000-0000EC980000}"/>
    <cellStyle name="40% - Accent6 8 4" xfId="2017" xr:uid="{00000000-0005-0000-0000-0000ED980000}"/>
    <cellStyle name="40% - Accent6 8 4 2" xfId="3784" xr:uid="{00000000-0005-0000-0000-0000EE980000}"/>
    <cellStyle name="40% - Accent6 8 4 2 2" xfId="9492" xr:uid="{00000000-0005-0000-0000-0000EF980000}"/>
    <cellStyle name="40% - Accent6 8 4 2 2 2" xfId="20793" xr:uid="{00000000-0005-0000-0000-0000F0980000}"/>
    <cellStyle name="40% - Accent6 8 4 2 2 2 2" xfId="43395" xr:uid="{00000000-0005-0000-0000-0000F1980000}"/>
    <cellStyle name="40% - Accent6 8 4 2 2 3" xfId="32094" xr:uid="{00000000-0005-0000-0000-0000F2980000}"/>
    <cellStyle name="40% - Accent6 8 4 2 3" xfId="15143" xr:uid="{00000000-0005-0000-0000-0000F3980000}"/>
    <cellStyle name="40% - Accent6 8 4 2 3 2" xfId="37745" xr:uid="{00000000-0005-0000-0000-0000F4980000}"/>
    <cellStyle name="40% - Accent6 8 4 2 4" xfId="26444" xr:uid="{00000000-0005-0000-0000-0000F5980000}"/>
    <cellStyle name="40% - Accent6 8 4 3" xfId="5325" xr:uid="{00000000-0005-0000-0000-0000F6980000}"/>
    <cellStyle name="40% - Accent6 8 4 3 2" xfId="10975" xr:uid="{00000000-0005-0000-0000-0000F7980000}"/>
    <cellStyle name="40% - Accent6 8 4 3 2 2" xfId="22276" xr:uid="{00000000-0005-0000-0000-0000F8980000}"/>
    <cellStyle name="40% - Accent6 8 4 3 2 2 2" xfId="44878" xr:uid="{00000000-0005-0000-0000-0000F9980000}"/>
    <cellStyle name="40% - Accent6 8 4 3 2 3" xfId="33577" xr:uid="{00000000-0005-0000-0000-0000FA980000}"/>
    <cellStyle name="40% - Accent6 8 4 3 3" xfId="16626" xr:uid="{00000000-0005-0000-0000-0000FB980000}"/>
    <cellStyle name="40% - Accent6 8 4 3 3 2" xfId="39228" xr:uid="{00000000-0005-0000-0000-0000FC980000}"/>
    <cellStyle name="40% - Accent6 8 4 3 4" xfId="27927" xr:uid="{00000000-0005-0000-0000-0000FD980000}"/>
    <cellStyle name="40% - Accent6 8 4 4" xfId="7873" xr:uid="{00000000-0005-0000-0000-0000FE980000}"/>
    <cellStyle name="40% - Accent6 8 4 4 2" xfId="19174" xr:uid="{00000000-0005-0000-0000-0000FF980000}"/>
    <cellStyle name="40% - Accent6 8 4 4 2 2" xfId="41776" xr:uid="{00000000-0005-0000-0000-000000990000}"/>
    <cellStyle name="40% - Accent6 8 4 4 3" xfId="30475" xr:uid="{00000000-0005-0000-0000-000001990000}"/>
    <cellStyle name="40% - Accent6 8 4 5" xfId="13524" xr:uid="{00000000-0005-0000-0000-000002990000}"/>
    <cellStyle name="40% - Accent6 8 4 5 2" xfId="36126" xr:uid="{00000000-0005-0000-0000-000003990000}"/>
    <cellStyle name="40% - Accent6 8 4 6" xfId="24825" xr:uid="{00000000-0005-0000-0000-000004990000}"/>
    <cellStyle name="40% - Accent6 8 5" xfId="2306" xr:uid="{00000000-0005-0000-0000-000005990000}"/>
    <cellStyle name="40% - Accent6 8 5 2" xfId="8142" xr:uid="{00000000-0005-0000-0000-000006990000}"/>
    <cellStyle name="40% - Accent6 8 5 2 2" xfId="19443" xr:uid="{00000000-0005-0000-0000-000007990000}"/>
    <cellStyle name="40% - Accent6 8 5 2 2 2" xfId="42045" xr:uid="{00000000-0005-0000-0000-000008990000}"/>
    <cellStyle name="40% - Accent6 8 5 2 3" xfId="30744" xr:uid="{00000000-0005-0000-0000-000009990000}"/>
    <cellStyle name="40% - Accent6 8 5 3" xfId="13793" xr:uid="{00000000-0005-0000-0000-00000A990000}"/>
    <cellStyle name="40% - Accent6 8 5 3 2" xfId="36395" xr:uid="{00000000-0005-0000-0000-00000B990000}"/>
    <cellStyle name="40% - Accent6 8 5 4" xfId="25094" xr:uid="{00000000-0005-0000-0000-00000C990000}"/>
    <cellStyle name="40% - Accent6 8 6" xfId="4091" xr:uid="{00000000-0005-0000-0000-00000D990000}"/>
    <cellStyle name="40% - Accent6 8 6 2" xfId="9741" xr:uid="{00000000-0005-0000-0000-00000E990000}"/>
    <cellStyle name="40% - Accent6 8 6 2 2" xfId="21042" xr:uid="{00000000-0005-0000-0000-00000F990000}"/>
    <cellStyle name="40% - Accent6 8 6 2 2 2" xfId="43644" xr:uid="{00000000-0005-0000-0000-000010990000}"/>
    <cellStyle name="40% - Accent6 8 6 2 3" xfId="32343" xr:uid="{00000000-0005-0000-0000-000011990000}"/>
    <cellStyle name="40% - Accent6 8 6 3" xfId="15392" xr:uid="{00000000-0005-0000-0000-000012990000}"/>
    <cellStyle name="40% - Accent6 8 6 3 2" xfId="37994" xr:uid="{00000000-0005-0000-0000-000013990000}"/>
    <cellStyle name="40% - Accent6 8 6 4" xfId="26693" xr:uid="{00000000-0005-0000-0000-000014990000}"/>
    <cellStyle name="40% - Accent6 8 7" xfId="6542" xr:uid="{00000000-0005-0000-0000-000015990000}"/>
    <cellStyle name="40% - Accent6 8 7 2" xfId="17843" xr:uid="{00000000-0005-0000-0000-000016990000}"/>
    <cellStyle name="40% - Accent6 8 7 2 2" xfId="40445" xr:uid="{00000000-0005-0000-0000-000017990000}"/>
    <cellStyle name="40% - Accent6 8 7 3" xfId="29144" xr:uid="{00000000-0005-0000-0000-000018990000}"/>
    <cellStyle name="40% - Accent6 8 8" xfId="12193" xr:uid="{00000000-0005-0000-0000-000019990000}"/>
    <cellStyle name="40% - Accent6 8 8 2" xfId="34795" xr:uid="{00000000-0005-0000-0000-00001A990000}"/>
    <cellStyle name="40% - Accent6 8 9" xfId="23494" xr:uid="{00000000-0005-0000-0000-00001B990000}"/>
    <cellStyle name="40% - Accent6 9" xfId="647" xr:uid="{00000000-0005-0000-0000-00001C990000}"/>
    <cellStyle name="40% - Accent6 9 2" xfId="712" xr:uid="{00000000-0005-0000-0000-00001D990000}"/>
    <cellStyle name="40% - Accent6 9 2 2" xfId="3117" xr:uid="{00000000-0005-0000-0000-00001E990000}"/>
    <cellStyle name="40% - Accent6 9 2 2 2" xfId="6089" xr:uid="{00000000-0005-0000-0000-00001F990000}"/>
    <cellStyle name="40% - Accent6 9 2 2 2 2" xfId="11739" xr:uid="{00000000-0005-0000-0000-000020990000}"/>
    <cellStyle name="40% - Accent6 9 2 2 2 2 2" xfId="23040" xr:uid="{00000000-0005-0000-0000-000021990000}"/>
    <cellStyle name="40% - Accent6 9 2 2 2 2 2 2" xfId="45642" xr:uid="{00000000-0005-0000-0000-000022990000}"/>
    <cellStyle name="40% - Accent6 9 2 2 2 2 3" xfId="34341" xr:uid="{00000000-0005-0000-0000-000023990000}"/>
    <cellStyle name="40% - Accent6 9 2 2 2 3" xfId="17390" xr:uid="{00000000-0005-0000-0000-000024990000}"/>
    <cellStyle name="40% - Accent6 9 2 2 2 3 2" xfId="39992" xr:uid="{00000000-0005-0000-0000-000025990000}"/>
    <cellStyle name="40% - Accent6 9 2 2 2 4" xfId="28691" xr:uid="{00000000-0005-0000-0000-000026990000}"/>
    <cellStyle name="40% - Accent6 9 2 2 3" xfId="8907" xr:uid="{00000000-0005-0000-0000-000027990000}"/>
    <cellStyle name="40% - Accent6 9 2 2 3 2" xfId="20208" xr:uid="{00000000-0005-0000-0000-000028990000}"/>
    <cellStyle name="40% - Accent6 9 2 2 3 2 2" xfId="42810" xr:uid="{00000000-0005-0000-0000-000029990000}"/>
    <cellStyle name="40% - Accent6 9 2 2 3 3" xfId="31509" xr:uid="{00000000-0005-0000-0000-00002A990000}"/>
    <cellStyle name="40% - Accent6 9 2 2 4" xfId="14558" xr:uid="{00000000-0005-0000-0000-00002B990000}"/>
    <cellStyle name="40% - Accent6 9 2 2 4 2" xfId="37160" xr:uid="{00000000-0005-0000-0000-00002C990000}"/>
    <cellStyle name="40% - Accent6 9 2 2 5" xfId="25859" xr:uid="{00000000-0005-0000-0000-00002D990000}"/>
    <cellStyle name="40% - Accent6 9 2 3" xfId="4855" xr:uid="{00000000-0005-0000-0000-00002E990000}"/>
    <cellStyle name="40% - Accent6 9 2 3 2" xfId="10505" xr:uid="{00000000-0005-0000-0000-00002F990000}"/>
    <cellStyle name="40% - Accent6 9 2 3 2 2" xfId="21806" xr:uid="{00000000-0005-0000-0000-000030990000}"/>
    <cellStyle name="40% - Accent6 9 2 3 2 2 2" xfId="44408" xr:uid="{00000000-0005-0000-0000-000031990000}"/>
    <cellStyle name="40% - Accent6 9 2 3 2 3" xfId="33107" xr:uid="{00000000-0005-0000-0000-000032990000}"/>
    <cellStyle name="40% - Accent6 9 2 3 3" xfId="16156" xr:uid="{00000000-0005-0000-0000-000033990000}"/>
    <cellStyle name="40% - Accent6 9 2 3 3 2" xfId="38758" xr:uid="{00000000-0005-0000-0000-000034990000}"/>
    <cellStyle name="40% - Accent6 9 2 3 4" xfId="27457" xr:uid="{00000000-0005-0000-0000-000035990000}"/>
    <cellStyle name="40% - Accent6 9 2 4" xfId="6731" xr:uid="{00000000-0005-0000-0000-000036990000}"/>
    <cellStyle name="40% - Accent6 9 2 4 2" xfId="18032" xr:uid="{00000000-0005-0000-0000-000037990000}"/>
    <cellStyle name="40% - Accent6 9 2 4 2 2" xfId="40634" xr:uid="{00000000-0005-0000-0000-000038990000}"/>
    <cellStyle name="40% - Accent6 9 2 4 3" xfId="29333" xr:uid="{00000000-0005-0000-0000-000039990000}"/>
    <cellStyle name="40% - Accent6 9 2 5" xfId="12382" xr:uid="{00000000-0005-0000-0000-00003A990000}"/>
    <cellStyle name="40% - Accent6 9 2 5 2" xfId="34984" xr:uid="{00000000-0005-0000-0000-00003B990000}"/>
    <cellStyle name="40% - Accent6 9 2 6" xfId="23683" xr:uid="{00000000-0005-0000-0000-00003C990000}"/>
    <cellStyle name="40% - Accent6 9 3" xfId="2019" xr:uid="{00000000-0005-0000-0000-00003D990000}"/>
    <cellStyle name="40% - Accent6 9 3 2" xfId="3785" xr:uid="{00000000-0005-0000-0000-00003E990000}"/>
    <cellStyle name="40% - Accent6 9 3 2 2" xfId="9493" xr:uid="{00000000-0005-0000-0000-00003F990000}"/>
    <cellStyle name="40% - Accent6 9 3 2 2 2" xfId="20794" xr:uid="{00000000-0005-0000-0000-000040990000}"/>
    <cellStyle name="40% - Accent6 9 3 2 2 2 2" xfId="43396" xr:uid="{00000000-0005-0000-0000-000041990000}"/>
    <cellStyle name="40% - Accent6 9 3 2 2 3" xfId="32095" xr:uid="{00000000-0005-0000-0000-000042990000}"/>
    <cellStyle name="40% - Accent6 9 3 2 3" xfId="15144" xr:uid="{00000000-0005-0000-0000-000043990000}"/>
    <cellStyle name="40% - Accent6 9 3 2 3 2" xfId="37746" xr:uid="{00000000-0005-0000-0000-000044990000}"/>
    <cellStyle name="40% - Accent6 9 3 2 4" xfId="26445" xr:uid="{00000000-0005-0000-0000-000045990000}"/>
    <cellStyle name="40% - Accent6 9 3 3" xfId="5465" xr:uid="{00000000-0005-0000-0000-000046990000}"/>
    <cellStyle name="40% - Accent6 9 3 3 2" xfId="11115" xr:uid="{00000000-0005-0000-0000-000047990000}"/>
    <cellStyle name="40% - Accent6 9 3 3 2 2" xfId="22416" xr:uid="{00000000-0005-0000-0000-000048990000}"/>
    <cellStyle name="40% - Accent6 9 3 3 2 2 2" xfId="45018" xr:uid="{00000000-0005-0000-0000-000049990000}"/>
    <cellStyle name="40% - Accent6 9 3 3 2 3" xfId="33717" xr:uid="{00000000-0005-0000-0000-00004A990000}"/>
    <cellStyle name="40% - Accent6 9 3 3 3" xfId="16766" xr:uid="{00000000-0005-0000-0000-00004B990000}"/>
    <cellStyle name="40% - Accent6 9 3 3 3 2" xfId="39368" xr:uid="{00000000-0005-0000-0000-00004C990000}"/>
    <cellStyle name="40% - Accent6 9 3 3 4" xfId="28067" xr:uid="{00000000-0005-0000-0000-00004D990000}"/>
    <cellStyle name="40% - Accent6 9 3 4" xfId="7875" xr:uid="{00000000-0005-0000-0000-00004E990000}"/>
    <cellStyle name="40% - Accent6 9 3 4 2" xfId="19176" xr:uid="{00000000-0005-0000-0000-00004F990000}"/>
    <cellStyle name="40% - Accent6 9 3 4 2 2" xfId="41778" xr:uid="{00000000-0005-0000-0000-000050990000}"/>
    <cellStyle name="40% - Accent6 9 3 4 3" xfId="30477" xr:uid="{00000000-0005-0000-0000-000051990000}"/>
    <cellStyle name="40% - Accent6 9 3 5" xfId="13526" xr:uid="{00000000-0005-0000-0000-000052990000}"/>
    <cellStyle name="40% - Accent6 9 3 5 2" xfId="36128" xr:uid="{00000000-0005-0000-0000-000053990000}"/>
    <cellStyle name="40% - Accent6 9 3 6" xfId="24827" xr:uid="{00000000-0005-0000-0000-000054990000}"/>
    <cellStyle name="40% - Accent6 9 4" xfId="2446" xr:uid="{00000000-0005-0000-0000-000055990000}"/>
    <cellStyle name="40% - Accent6 9 4 2" xfId="8282" xr:uid="{00000000-0005-0000-0000-000056990000}"/>
    <cellStyle name="40% - Accent6 9 4 2 2" xfId="19583" xr:uid="{00000000-0005-0000-0000-000057990000}"/>
    <cellStyle name="40% - Accent6 9 4 2 2 2" xfId="42185" xr:uid="{00000000-0005-0000-0000-000058990000}"/>
    <cellStyle name="40% - Accent6 9 4 2 3" xfId="30884" xr:uid="{00000000-0005-0000-0000-000059990000}"/>
    <cellStyle name="40% - Accent6 9 4 3" xfId="13933" xr:uid="{00000000-0005-0000-0000-00005A990000}"/>
    <cellStyle name="40% - Accent6 9 4 3 2" xfId="36535" xr:uid="{00000000-0005-0000-0000-00005B990000}"/>
    <cellStyle name="40% - Accent6 9 4 4" xfId="25234" xr:uid="{00000000-0005-0000-0000-00005C990000}"/>
    <cellStyle name="40% - Accent6 9 5" xfId="4231" xr:uid="{00000000-0005-0000-0000-00005D990000}"/>
    <cellStyle name="40% - Accent6 9 5 2" xfId="9881" xr:uid="{00000000-0005-0000-0000-00005E990000}"/>
    <cellStyle name="40% - Accent6 9 5 2 2" xfId="21182" xr:uid="{00000000-0005-0000-0000-00005F990000}"/>
    <cellStyle name="40% - Accent6 9 5 2 2 2" xfId="43784" xr:uid="{00000000-0005-0000-0000-000060990000}"/>
    <cellStyle name="40% - Accent6 9 5 2 3" xfId="32483" xr:uid="{00000000-0005-0000-0000-000061990000}"/>
    <cellStyle name="40% - Accent6 9 5 3" xfId="15532" xr:uid="{00000000-0005-0000-0000-000062990000}"/>
    <cellStyle name="40% - Accent6 9 5 3 2" xfId="38134" xr:uid="{00000000-0005-0000-0000-000063990000}"/>
    <cellStyle name="40% - Accent6 9 5 4" xfId="26833" xr:uid="{00000000-0005-0000-0000-000064990000}"/>
    <cellStyle name="40% - Accent6 9 6" xfId="6710" xr:uid="{00000000-0005-0000-0000-000065990000}"/>
    <cellStyle name="40% - Accent6 9 6 2" xfId="18011" xr:uid="{00000000-0005-0000-0000-000066990000}"/>
    <cellStyle name="40% - Accent6 9 6 2 2" xfId="40613" xr:uid="{00000000-0005-0000-0000-000067990000}"/>
    <cellStyle name="40% - Accent6 9 6 3" xfId="29312" xr:uid="{00000000-0005-0000-0000-000068990000}"/>
    <cellStyle name="40% - Accent6 9 7" xfId="12361" xr:uid="{00000000-0005-0000-0000-000069990000}"/>
    <cellStyle name="40% - Accent6 9 7 2" xfId="34963" xr:uid="{00000000-0005-0000-0000-00006A990000}"/>
    <cellStyle name="40% - Accent6 9 8" xfId="23662" xr:uid="{00000000-0005-0000-0000-00006B990000}"/>
    <cellStyle name="60% - Accent1 10" xfId="58" xr:uid="{00000000-0005-0000-0000-00006C990000}"/>
    <cellStyle name="60% - Accent1 2" xfId="101" xr:uid="{00000000-0005-0000-0000-00006D990000}"/>
    <cellStyle name="60% - Accent1 2 2" xfId="327" xr:uid="{00000000-0005-0000-0000-00006E990000}"/>
    <cellStyle name="60% - Accent1 2 3" xfId="2781" xr:uid="{00000000-0005-0000-0000-00006F990000}"/>
    <cellStyle name="60% - Accent1 2 4" xfId="3838" xr:uid="{00000000-0005-0000-0000-000070990000}"/>
    <cellStyle name="60% - Accent1 3" xfId="152" xr:uid="{00000000-0005-0000-0000-000071990000}"/>
    <cellStyle name="60% - Accent1 3 2" xfId="485" xr:uid="{00000000-0005-0000-0000-000072990000}"/>
    <cellStyle name="60% - Accent1 3 3" xfId="401" xr:uid="{00000000-0005-0000-0000-000073990000}"/>
    <cellStyle name="60% - Accent1 3 4" xfId="1377" xr:uid="{00000000-0005-0000-0000-000074990000}"/>
    <cellStyle name="60% - Accent1 4" xfId="240" xr:uid="{00000000-0005-0000-0000-000075990000}"/>
    <cellStyle name="60% - Accent1 5" xfId="693" xr:uid="{00000000-0005-0000-0000-000076990000}"/>
    <cellStyle name="60% - Accent1 6" xfId="1416" xr:uid="{00000000-0005-0000-0000-000077990000}"/>
    <cellStyle name="60% - Accent1 7" xfId="1388" xr:uid="{00000000-0005-0000-0000-000078990000}"/>
    <cellStyle name="60% - Accent1 8" xfId="1376" xr:uid="{00000000-0005-0000-0000-000079990000}"/>
    <cellStyle name="60% - Accent1 8 2" xfId="3773" xr:uid="{00000000-0005-0000-0000-00007A990000}"/>
    <cellStyle name="60% - Accent1 9" xfId="3482" xr:uid="{00000000-0005-0000-0000-00007B990000}"/>
    <cellStyle name="60% - Accent2 10" xfId="59" xr:uid="{00000000-0005-0000-0000-00007C990000}"/>
    <cellStyle name="60% - Accent2 2" xfId="102" xr:uid="{00000000-0005-0000-0000-00007D990000}"/>
    <cellStyle name="60% - Accent2 2 2" xfId="225" xr:uid="{00000000-0005-0000-0000-00007E990000}"/>
    <cellStyle name="60% - Accent2 2 3" xfId="2782" xr:uid="{00000000-0005-0000-0000-00007F990000}"/>
    <cellStyle name="60% - Accent2 2 4" xfId="3872" xr:uid="{00000000-0005-0000-0000-000080990000}"/>
    <cellStyle name="60% - Accent2 3" xfId="156" xr:uid="{00000000-0005-0000-0000-000081990000}"/>
    <cellStyle name="60% - Accent2 3 2" xfId="489" xr:uid="{00000000-0005-0000-0000-000082990000}"/>
    <cellStyle name="60% - Accent2 3 3" xfId="402" xr:uid="{00000000-0005-0000-0000-000083990000}"/>
    <cellStyle name="60% - Accent2 3 4" xfId="1360" xr:uid="{00000000-0005-0000-0000-000084990000}"/>
    <cellStyle name="60% - Accent2 4" xfId="241" xr:uid="{00000000-0005-0000-0000-000085990000}"/>
    <cellStyle name="60% - Accent2 5" xfId="697" xr:uid="{00000000-0005-0000-0000-000086990000}"/>
    <cellStyle name="60% - Accent2 6" xfId="1394" xr:uid="{00000000-0005-0000-0000-000087990000}"/>
    <cellStyle name="60% - Accent2 7" xfId="1459" xr:uid="{00000000-0005-0000-0000-000088990000}"/>
    <cellStyle name="60% - Accent2 8" xfId="792" xr:uid="{00000000-0005-0000-0000-000089990000}"/>
    <cellStyle name="60% - Accent2 8 2" xfId="3893" xr:uid="{00000000-0005-0000-0000-00008A990000}"/>
    <cellStyle name="60% - Accent2 9" xfId="3515" xr:uid="{00000000-0005-0000-0000-00008B990000}"/>
    <cellStyle name="60% - Accent3 10" xfId="60" xr:uid="{00000000-0005-0000-0000-00008C990000}"/>
    <cellStyle name="60% - Accent3 2" xfId="103" xr:uid="{00000000-0005-0000-0000-00008D990000}"/>
    <cellStyle name="60% - Accent3 2 2" xfId="280" xr:uid="{00000000-0005-0000-0000-00008E990000}"/>
    <cellStyle name="60% - Accent3 2 3" xfId="2783" xr:uid="{00000000-0005-0000-0000-00008F990000}"/>
    <cellStyle name="60% - Accent3 2 4" xfId="3869" xr:uid="{00000000-0005-0000-0000-000090990000}"/>
    <cellStyle name="60% - Accent3 3" xfId="160" xr:uid="{00000000-0005-0000-0000-000091990000}"/>
    <cellStyle name="60% - Accent3 3 2" xfId="493" xr:uid="{00000000-0005-0000-0000-000092990000}"/>
    <cellStyle name="60% - Accent3 3 3" xfId="403" xr:uid="{00000000-0005-0000-0000-000093990000}"/>
    <cellStyle name="60% - Accent3 3 4" xfId="1450" xr:uid="{00000000-0005-0000-0000-000094990000}"/>
    <cellStyle name="60% - Accent3 4" xfId="242" xr:uid="{00000000-0005-0000-0000-000095990000}"/>
    <cellStyle name="60% - Accent3 5" xfId="701" xr:uid="{00000000-0005-0000-0000-000096990000}"/>
    <cellStyle name="60% - Accent3 6" xfId="1431" xr:uid="{00000000-0005-0000-0000-000097990000}"/>
    <cellStyle name="60% - Accent3 7" xfId="1467" xr:uid="{00000000-0005-0000-0000-000098990000}"/>
    <cellStyle name="60% - Accent3 8" xfId="1396" xr:uid="{00000000-0005-0000-0000-000099990000}"/>
    <cellStyle name="60% - Accent3 8 2" xfId="3835" xr:uid="{00000000-0005-0000-0000-00009A990000}"/>
    <cellStyle name="60% - Accent3 9" xfId="2175" xr:uid="{00000000-0005-0000-0000-00009B990000}"/>
    <cellStyle name="60% - Accent4 10" xfId="61" xr:uid="{00000000-0005-0000-0000-00009C990000}"/>
    <cellStyle name="60% - Accent4 2" xfId="104" xr:uid="{00000000-0005-0000-0000-00009D990000}"/>
    <cellStyle name="60% - Accent4 2 2" xfId="318" xr:uid="{00000000-0005-0000-0000-00009E990000}"/>
    <cellStyle name="60% - Accent4 2 3" xfId="2784" xr:uid="{00000000-0005-0000-0000-00009F990000}"/>
    <cellStyle name="60% - Accent4 2 4" xfId="3867" xr:uid="{00000000-0005-0000-0000-0000A0990000}"/>
    <cellStyle name="60% - Accent4 3" xfId="164" xr:uid="{00000000-0005-0000-0000-0000A1990000}"/>
    <cellStyle name="60% - Accent4 3 2" xfId="497" xr:uid="{00000000-0005-0000-0000-0000A2990000}"/>
    <cellStyle name="60% - Accent4 3 3" xfId="404" xr:uid="{00000000-0005-0000-0000-0000A3990000}"/>
    <cellStyle name="60% - Accent4 3 4" xfId="1425" xr:uid="{00000000-0005-0000-0000-0000A4990000}"/>
    <cellStyle name="60% - Accent4 4" xfId="243" xr:uid="{00000000-0005-0000-0000-0000A5990000}"/>
    <cellStyle name="60% - Accent4 5" xfId="705" xr:uid="{00000000-0005-0000-0000-0000A6990000}"/>
    <cellStyle name="60% - Accent4 6" xfId="731" xr:uid="{00000000-0005-0000-0000-0000A7990000}"/>
    <cellStyle name="60% - Accent4 7" xfId="1386" xr:uid="{00000000-0005-0000-0000-0000A8990000}"/>
    <cellStyle name="60% - Accent4 8" xfId="1352" xr:uid="{00000000-0005-0000-0000-0000A9990000}"/>
    <cellStyle name="60% - Accent4 8 2" xfId="3901" xr:uid="{00000000-0005-0000-0000-0000AA990000}"/>
    <cellStyle name="60% - Accent4 9" xfId="2195" xr:uid="{00000000-0005-0000-0000-0000AB990000}"/>
    <cellStyle name="60% - Accent5 10" xfId="62" xr:uid="{00000000-0005-0000-0000-0000AC990000}"/>
    <cellStyle name="60% - Accent5 2" xfId="105" xr:uid="{00000000-0005-0000-0000-0000AD990000}"/>
    <cellStyle name="60% - Accent5 2 2" xfId="314" xr:uid="{00000000-0005-0000-0000-0000AE990000}"/>
    <cellStyle name="60% - Accent5 2 3" xfId="2785" xr:uid="{00000000-0005-0000-0000-0000AF990000}"/>
    <cellStyle name="60% - Accent5 2 4" xfId="3468" xr:uid="{00000000-0005-0000-0000-0000B0990000}"/>
    <cellStyle name="60% - Accent5 3" xfId="168" xr:uid="{00000000-0005-0000-0000-0000B1990000}"/>
    <cellStyle name="60% - Accent5 3 2" xfId="501" xr:uid="{00000000-0005-0000-0000-0000B2990000}"/>
    <cellStyle name="60% - Accent5 3 3" xfId="405" xr:uid="{00000000-0005-0000-0000-0000B3990000}"/>
    <cellStyle name="60% - Accent5 3 4" xfId="1440" xr:uid="{00000000-0005-0000-0000-0000B4990000}"/>
    <cellStyle name="60% - Accent5 4" xfId="244" xr:uid="{00000000-0005-0000-0000-0000B5990000}"/>
    <cellStyle name="60% - Accent5 5" xfId="709" xr:uid="{00000000-0005-0000-0000-0000B6990000}"/>
    <cellStyle name="60% - Accent5 6" xfId="1362" xr:uid="{00000000-0005-0000-0000-0000B7990000}"/>
    <cellStyle name="60% - Accent5 7" xfId="1470" xr:uid="{00000000-0005-0000-0000-0000B8990000}"/>
    <cellStyle name="60% - Accent5 8" xfId="1398" xr:uid="{00000000-0005-0000-0000-0000B9990000}"/>
    <cellStyle name="60% - Accent5 8 2" xfId="3851" xr:uid="{00000000-0005-0000-0000-0000BA990000}"/>
    <cellStyle name="60% - Accent5 9" xfId="3491" xr:uid="{00000000-0005-0000-0000-0000BB990000}"/>
    <cellStyle name="60% - Accent6 10" xfId="63" xr:uid="{00000000-0005-0000-0000-0000BC990000}"/>
    <cellStyle name="60% - Accent6 2" xfId="106" xr:uid="{00000000-0005-0000-0000-0000BD990000}"/>
    <cellStyle name="60% - Accent6 2 2" xfId="222" xr:uid="{00000000-0005-0000-0000-0000BE990000}"/>
    <cellStyle name="60% - Accent6 2 3" xfId="2786" xr:uid="{00000000-0005-0000-0000-0000BF990000}"/>
    <cellStyle name="60% - Accent6 2 4" xfId="3853" xr:uid="{00000000-0005-0000-0000-0000C0990000}"/>
    <cellStyle name="60% - Accent6 3" xfId="172" xr:uid="{00000000-0005-0000-0000-0000C1990000}"/>
    <cellStyle name="60% - Accent6 3 2" xfId="505" xr:uid="{00000000-0005-0000-0000-0000C2990000}"/>
    <cellStyle name="60% - Accent6 3 3" xfId="406" xr:uid="{00000000-0005-0000-0000-0000C3990000}"/>
    <cellStyle name="60% - Accent6 3 4" xfId="1400" xr:uid="{00000000-0005-0000-0000-0000C4990000}"/>
    <cellStyle name="60% - Accent6 4" xfId="245" xr:uid="{00000000-0005-0000-0000-0000C5990000}"/>
    <cellStyle name="60% - Accent6 5" xfId="713" xr:uid="{00000000-0005-0000-0000-0000C6990000}"/>
    <cellStyle name="60% - Accent6 6" xfId="1395" xr:uid="{00000000-0005-0000-0000-0000C7990000}"/>
    <cellStyle name="60% - Accent6 7" xfId="1439" xr:uid="{00000000-0005-0000-0000-0000C8990000}"/>
    <cellStyle name="60% - Accent6 8" xfId="1387" xr:uid="{00000000-0005-0000-0000-0000C9990000}"/>
    <cellStyle name="60% - Accent6 8 2" xfId="3836" xr:uid="{00000000-0005-0000-0000-0000CA990000}"/>
    <cellStyle name="60% - Accent6 9" xfId="3527" xr:uid="{00000000-0005-0000-0000-0000CB990000}"/>
    <cellStyle name="Accent1 10" xfId="64" xr:uid="{00000000-0005-0000-0000-0000CC990000}"/>
    <cellStyle name="Accent1 2" xfId="107" xr:uid="{00000000-0005-0000-0000-0000CD990000}"/>
    <cellStyle name="Accent1 2 2" xfId="319" xr:uid="{00000000-0005-0000-0000-0000CE990000}"/>
    <cellStyle name="Accent1 2 3" xfId="2787" xr:uid="{00000000-0005-0000-0000-0000CF990000}"/>
    <cellStyle name="Accent1 2 4" xfId="3846" xr:uid="{00000000-0005-0000-0000-0000D0990000}"/>
    <cellStyle name="Accent1 3" xfId="149" xr:uid="{00000000-0005-0000-0000-0000D1990000}"/>
    <cellStyle name="Accent1 3 2" xfId="482" xr:uid="{00000000-0005-0000-0000-0000D2990000}"/>
    <cellStyle name="Accent1 3 3" xfId="407" xr:uid="{00000000-0005-0000-0000-0000D3990000}"/>
    <cellStyle name="Accent1 3 4" xfId="801" xr:uid="{00000000-0005-0000-0000-0000D4990000}"/>
    <cellStyle name="Accent1 4" xfId="246" xr:uid="{00000000-0005-0000-0000-0000D5990000}"/>
    <cellStyle name="Accent1 5" xfId="690" xr:uid="{00000000-0005-0000-0000-0000D6990000}"/>
    <cellStyle name="Accent1 6" xfId="651" xr:uid="{00000000-0005-0000-0000-0000D7990000}"/>
    <cellStyle name="Accent1 7" xfId="898" xr:uid="{00000000-0005-0000-0000-0000D8990000}"/>
    <cellStyle name="Accent1 8" xfId="1392" xr:uid="{00000000-0005-0000-0000-0000D9990000}"/>
    <cellStyle name="Accent1 8 2" xfId="3484" xr:uid="{00000000-0005-0000-0000-0000DA990000}"/>
    <cellStyle name="Accent1 9" xfId="2740" xr:uid="{00000000-0005-0000-0000-0000DB990000}"/>
    <cellStyle name="Accent2 10" xfId="65" xr:uid="{00000000-0005-0000-0000-0000DC990000}"/>
    <cellStyle name="Accent2 2" xfId="108" xr:uid="{00000000-0005-0000-0000-0000DD990000}"/>
    <cellStyle name="Accent2 2 2" xfId="329" xr:uid="{00000000-0005-0000-0000-0000DE990000}"/>
    <cellStyle name="Accent2 2 3" xfId="2788" xr:uid="{00000000-0005-0000-0000-0000DF990000}"/>
    <cellStyle name="Accent2 2 4" xfId="3886" xr:uid="{00000000-0005-0000-0000-0000E0990000}"/>
    <cellStyle name="Accent2 3" xfId="153" xr:uid="{00000000-0005-0000-0000-0000E1990000}"/>
    <cellStyle name="Accent2 3 2" xfId="486" xr:uid="{00000000-0005-0000-0000-0000E2990000}"/>
    <cellStyle name="Accent2 3 3" xfId="408" xr:uid="{00000000-0005-0000-0000-0000E3990000}"/>
    <cellStyle name="Accent2 3 4" xfId="1454" xr:uid="{00000000-0005-0000-0000-0000E4990000}"/>
    <cellStyle name="Accent2 4" xfId="247" xr:uid="{00000000-0005-0000-0000-0000E5990000}"/>
    <cellStyle name="Accent2 5" xfId="694" xr:uid="{00000000-0005-0000-0000-0000E6990000}"/>
    <cellStyle name="Accent2 6" xfId="1369" xr:uid="{00000000-0005-0000-0000-0000E7990000}"/>
    <cellStyle name="Accent2 7" xfId="1428" xr:uid="{00000000-0005-0000-0000-0000E8990000}"/>
    <cellStyle name="Accent2 8" xfId="1418" xr:uid="{00000000-0005-0000-0000-0000E9990000}"/>
    <cellStyle name="Accent2 8 2" xfId="3894" xr:uid="{00000000-0005-0000-0000-0000EA990000}"/>
    <cellStyle name="Accent2 9" xfId="3435" xr:uid="{00000000-0005-0000-0000-0000EB990000}"/>
    <cellStyle name="Accent3 10" xfId="66" xr:uid="{00000000-0005-0000-0000-0000EC990000}"/>
    <cellStyle name="Accent3 2" xfId="109" xr:uid="{00000000-0005-0000-0000-0000ED990000}"/>
    <cellStyle name="Accent3 2 2" xfId="273" xr:uid="{00000000-0005-0000-0000-0000EE990000}"/>
    <cellStyle name="Accent3 2 3" xfId="2789" xr:uid="{00000000-0005-0000-0000-0000EF990000}"/>
    <cellStyle name="Accent3 2 4" xfId="3521" xr:uid="{00000000-0005-0000-0000-0000F0990000}"/>
    <cellStyle name="Accent3 3" xfId="157" xr:uid="{00000000-0005-0000-0000-0000F1990000}"/>
    <cellStyle name="Accent3 3 2" xfId="490" xr:uid="{00000000-0005-0000-0000-0000F2990000}"/>
    <cellStyle name="Accent3 3 3" xfId="409" xr:uid="{00000000-0005-0000-0000-0000F3990000}"/>
    <cellStyle name="Accent3 3 4" xfId="1384" xr:uid="{00000000-0005-0000-0000-0000F4990000}"/>
    <cellStyle name="Accent3 4" xfId="248" xr:uid="{00000000-0005-0000-0000-0000F5990000}"/>
    <cellStyle name="Accent3 5" xfId="698" xr:uid="{00000000-0005-0000-0000-0000F6990000}"/>
    <cellStyle name="Accent3 6" xfId="732" xr:uid="{00000000-0005-0000-0000-0000F7990000}"/>
    <cellStyle name="Accent3 7" xfId="917" xr:uid="{00000000-0005-0000-0000-0000F8990000}"/>
    <cellStyle name="Accent3 8" xfId="1373" xr:uid="{00000000-0005-0000-0000-0000F9990000}"/>
    <cellStyle name="Accent3 8 2" xfId="3539" xr:uid="{00000000-0005-0000-0000-0000FA990000}"/>
    <cellStyle name="Accent3 9" xfId="3428" xr:uid="{00000000-0005-0000-0000-0000FB990000}"/>
    <cellStyle name="Accent4 10" xfId="67" xr:uid="{00000000-0005-0000-0000-0000FC990000}"/>
    <cellStyle name="Accent4 2" xfId="110" xr:uid="{00000000-0005-0000-0000-0000FD990000}"/>
    <cellStyle name="Accent4 2 2" xfId="272" xr:uid="{00000000-0005-0000-0000-0000FE990000}"/>
    <cellStyle name="Accent4 2 3" xfId="2790" xr:uid="{00000000-0005-0000-0000-0000FF990000}"/>
    <cellStyle name="Accent4 2 4" xfId="3603" xr:uid="{00000000-0005-0000-0000-0000009A0000}"/>
    <cellStyle name="Accent4 3" xfId="161" xr:uid="{00000000-0005-0000-0000-0000019A0000}"/>
    <cellStyle name="Accent4 3 2" xfId="494" xr:uid="{00000000-0005-0000-0000-0000029A0000}"/>
    <cellStyle name="Accent4 3 3" xfId="410" xr:uid="{00000000-0005-0000-0000-0000039A0000}"/>
    <cellStyle name="Accent4 3 4" xfId="895" xr:uid="{00000000-0005-0000-0000-0000049A0000}"/>
    <cellStyle name="Accent4 4" xfId="249" xr:uid="{00000000-0005-0000-0000-0000059A0000}"/>
    <cellStyle name="Accent4 5" xfId="702" xr:uid="{00000000-0005-0000-0000-0000069A0000}"/>
    <cellStyle name="Accent4 6" xfId="1361" xr:uid="{00000000-0005-0000-0000-0000079A0000}"/>
    <cellStyle name="Accent4 7" xfId="896" xr:uid="{00000000-0005-0000-0000-0000089A0000}"/>
    <cellStyle name="Accent4 8" xfId="1380" xr:uid="{00000000-0005-0000-0000-0000099A0000}"/>
    <cellStyle name="Accent4 8 2" xfId="2192" xr:uid="{00000000-0005-0000-0000-00000A9A0000}"/>
    <cellStyle name="Accent4 9" xfId="3431" xr:uid="{00000000-0005-0000-0000-00000B9A0000}"/>
    <cellStyle name="Accent5 10" xfId="68" xr:uid="{00000000-0005-0000-0000-00000C9A0000}"/>
    <cellStyle name="Accent5 2" xfId="111" xr:uid="{00000000-0005-0000-0000-00000D9A0000}"/>
    <cellStyle name="Accent5 2 2" xfId="296" xr:uid="{00000000-0005-0000-0000-00000E9A0000}"/>
    <cellStyle name="Accent5 2 3" xfId="2791" xr:uid="{00000000-0005-0000-0000-00000F9A0000}"/>
    <cellStyle name="Accent5 2 4" xfId="3512" xr:uid="{00000000-0005-0000-0000-0000109A0000}"/>
    <cellStyle name="Accent5 3" xfId="165" xr:uid="{00000000-0005-0000-0000-0000119A0000}"/>
    <cellStyle name="Accent5 3 2" xfId="498" xr:uid="{00000000-0005-0000-0000-0000129A0000}"/>
    <cellStyle name="Accent5 3 3" xfId="411" xr:uid="{00000000-0005-0000-0000-0000139A0000}"/>
    <cellStyle name="Accent5 3 4" xfId="664" xr:uid="{00000000-0005-0000-0000-0000149A0000}"/>
    <cellStyle name="Accent5 4" xfId="250" xr:uid="{00000000-0005-0000-0000-0000159A0000}"/>
    <cellStyle name="Accent5 5" xfId="706" xr:uid="{00000000-0005-0000-0000-0000169A0000}"/>
    <cellStyle name="Accent5 6" xfId="797" xr:uid="{00000000-0005-0000-0000-0000179A0000}"/>
    <cellStyle name="Accent5 7" xfId="650" xr:uid="{00000000-0005-0000-0000-0000189A0000}"/>
    <cellStyle name="Accent5 8" xfId="1452" xr:uid="{00000000-0005-0000-0000-0000199A0000}"/>
    <cellStyle name="Accent5 8 2" xfId="3874" xr:uid="{00000000-0005-0000-0000-00001A9A0000}"/>
    <cellStyle name="Accent5 9" xfId="3466" xr:uid="{00000000-0005-0000-0000-00001B9A0000}"/>
    <cellStyle name="Accent6 10" xfId="69" xr:uid="{00000000-0005-0000-0000-00001C9A0000}"/>
    <cellStyle name="Accent6 2" xfId="112" xr:uid="{00000000-0005-0000-0000-00001D9A0000}"/>
    <cellStyle name="Accent6 2 2" xfId="326" xr:uid="{00000000-0005-0000-0000-00001E9A0000}"/>
    <cellStyle name="Accent6 2 3" xfId="2792" xr:uid="{00000000-0005-0000-0000-00001F9A0000}"/>
    <cellStyle name="Accent6 2 4" xfId="3506" xr:uid="{00000000-0005-0000-0000-0000209A0000}"/>
    <cellStyle name="Accent6 3" xfId="169" xr:uid="{00000000-0005-0000-0000-0000219A0000}"/>
    <cellStyle name="Accent6 3 2" xfId="502" xr:uid="{00000000-0005-0000-0000-0000229A0000}"/>
    <cellStyle name="Accent6 3 3" xfId="412" xr:uid="{00000000-0005-0000-0000-0000239A0000}"/>
    <cellStyle name="Accent6 3 4" xfId="663" xr:uid="{00000000-0005-0000-0000-0000249A0000}"/>
    <cellStyle name="Accent6 4" xfId="251" xr:uid="{00000000-0005-0000-0000-0000259A0000}"/>
    <cellStyle name="Accent6 5" xfId="710" xr:uid="{00000000-0005-0000-0000-0000269A0000}"/>
    <cellStyle name="Accent6 6" xfId="1423" xr:uid="{00000000-0005-0000-0000-0000279A0000}"/>
    <cellStyle name="Accent6 7" xfId="1442" xr:uid="{00000000-0005-0000-0000-0000289A0000}"/>
    <cellStyle name="Accent6 8" xfId="1474" xr:uid="{00000000-0005-0000-0000-0000299A0000}"/>
    <cellStyle name="Accent6 8 2" xfId="3900" xr:uid="{00000000-0005-0000-0000-00002A9A0000}"/>
    <cellStyle name="Accent6 9" xfId="3465" xr:uid="{00000000-0005-0000-0000-00002B9A0000}"/>
    <cellStyle name="Bad 10" xfId="70" xr:uid="{00000000-0005-0000-0000-00002C9A0000}"/>
    <cellStyle name="Bad 2" xfId="113" xr:uid="{00000000-0005-0000-0000-00002D9A0000}"/>
    <cellStyle name="Bad 2 2" xfId="226" xr:uid="{00000000-0005-0000-0000-00002E9A0000}"/>
    <cellStyle name="Bad 2 3" xfId="2793" xr:uid="{00000000-0005-0000-0000-00002F9A0000}"/>
    <cellStyle name="Bad 2 4" xfId="3858" xr:uid="{00000000-0005-0000-0000-0000309A0000}"/>
    <cellStyle name="Bad 3" xfId="138" xr:uid="{00000000-0005-0000-0000-0000319A0000}"/>
    <cellStyle name="Bad 3 2" xfId="471" xr:uid="{00000000-0005-0000-0000-0000329A0000}"/>
    <cellStyle name="Bad 3 3" xfId="413" xr:uid="{00000000-0005-0000-0000-0000339A0000}"/>
    <cellStyle name="Bad 3 4" xfId="736" xr:uid="{00000000-0005-0000-0000-0000349A0000}"/>
    <cellStyle name="Bad 4" xfId="252" xr:uid="{00000000-0005-0000-0000-0000359A0000}"/>
    <cellStyle name="Bad 5" xfId="680" xr:uid="{00000000-0005-0000-0000-0000369A0000}"/>
    <cellStyle name="Bad 6" xfId="1370" xr:uid="{00000000-0005-0000-0000-0000379A0000}"/>
    <cellStyle name="Bad 7" xfId="900" xr:uid="{00000000-0005-0000-0000-0000389A0000}"/>
    <cellStyle name="Bad 8" xfId="1443" xr:uid="{00000000-0005-0000-0000-0000399A0000}"/>
    <cellStyle name="Bad 8 2" xfId="3480" xr:uid="{00000000-0005-0000-0000-00003A9A0000}"/>
    <cellStyle name="Bad 9" xfId="3460" xr:uid="{00000000-0005-0000-0000-00003B9A0000}"/>
    <cellStyle name="big,bold" xfId="1" xr:uid="{00000000-0005-0000-0000-00003C9A0000}"/>
    <cellStyle name="Calculation 10" xfId="71" xr:uid="{00000000-0005-0000-0000-00003D9A0000}"/>
    <cellStyle name="Calculation 2" xfId="114" xr:uid="{00000000-0005-0000-0000-00003E9A0000}"/>
    <cellStyle name="Calculation 2 2" xfId="277" xr:uid="{00000000-0005-0000-0000-00003F9A0000}"/>
    <cellStyle name="Calculation 2 3" xfId="2794" xr:uid="{00000000-0005-0000-0000-0000409A0000}"/>
    <cellStyle name="Calculation 2 4" xfId="3495" xr:uid="{00000000-0005-0000-0000-0000419A0000}"/>
    <cellStyle name="Calculation 3" xfId="142" xr:uid="{00000000-0005-0000-0000-0000429A0000}"/>
    <cellStyle name="Calculation 3 2" xfId="475" xr:uid="{00000000-0005-0000-0000-0000439A0000}"/>
    <cellStyle name="Calculation 3 3" xfId="414" xr:uid="{00000000-0005-0000-0000-0000449A0000}"/>
    <cellStyle name="Calculation 3 4" xfId="1419" xr:uid="{00000000-0005-0000-0000-0000459A0000}"/>
    <cellStyle name="Calculation 4" xfId="253" xr:uid="{00000000-0005-0000-0000-0000469A0000}"/>
    <cellStyle name="Calculation 5" xfId="684" xr:uid="{00000000-0005-0000-0000-0000479A0000}"/>
    <cellStyle name="Calculation 6" xfId="1365" xr:uid="{00000000-0005-0000-0000-0000489A0000}"/>
    <cellStyle name="Calculation 7" xfId="735" xr:uid="{00000000-0005-0000-0000-0000499A0000}"/>
    <cellStyle name="Calculation 8" xfId="798" xr:uid="{00000000-0005-0000-0000-00004A9A0000}"/>
    <cellStyle name="Calculation 8 2" xfId="3529" xr:uid="{00000000-0005-0000-0000-00004B9A0000}"/>
    <cellStyle name="Calculation 9" xfId="3467" xr:uid="{00000000-0005-0000-0000-00004C9A0000}"/>
    <cellStyle name="c-Cyan" xfId="72" xr:uid="{00000000-0005-0000-0000-00004D9A0000}"/>
    <cellStyle name="Check Cell 10" xfId="73" xr:uid="{00000000-0005-0000-0000-00004E9A0000}"/>
    <cellStyle name="Check Cell 2" xfId="115" xr:uid="{00000000-0005-0000-0000-00004F9A0000}"/>
    <cellStyle name="Check Cell 2 2" xfId="288" xr:uid="{00000000-0005-0000-0000-0000509A0000}"/>
    <cellStyle name="Check Cell 2 3" xfId="2795" xr:uid="{00000000-0005-0000-0000-0000519A0000}"/>
    <cellStyle name="Check Cell 2 4" xfId="3831" xr:uid="{00000000-0005-0000-0000-0000529A0000}"/>
    <cellStyle name="Check Cell 3" xfId="144" xr:uid="{00000000-0005-0000-0000-0000539A0000}"/>
    <cellStyle name="Check Cell 3 2" xfId="477" xr:uid="{00000000-0005-0000-0000-0000549A0000}"/>
    <cellStyle name="Check Cell 3 3" xfId="415" xr:uid="{00000000-0005-0000-0000-0000559A0000}"/>
    <cellStyle name="Check Cell 3 4" xfId="661" xr:uid="{00000000-0005-0000-0000-0000569A0000}"/>
    <cellStyle name="Check Cell 4" xfId="254" xr:uid="{00000000-0005-0000-0000-0000579A0000}"/>
    <cellStyle name="Check Cell 5" xfId="686" xr:uid="{00000000-0005-0000-0000-0000589A0000}"/>
    <cellStyle name="Check Cell 6" xfId="716" xr:uid="{00000000-0005-0000-0000-0000599A0000}"/>
    <cellStyle name="Check Cell 7" xfId="1458" xr:uid="{00000000-0005-0000-0000-00005A9A0000}"/>
    <cellStyle name="Check Cell 8" xfId="1475" xr:uid="{00000000-0005-0000-0000-00005B9A0000}"/>
    <cellStyle name="Check Cell 8 2" xfId="3440" xr:uid="{00000000-0005-0000-0000-00005C9A0000}"/>
    <cellStyle name="Check Cell 9" xfId="2767" xr:uid="{00000000-0005-0000-0000-00005D9A0000}"/>
    <cellStyle name="c-Pink" xfId="2" xr:uid="{00000000-0005-0000-0000-00005E9A0000}"/>
    <cellStyle name="c-Pink 2" xfId="26" xr:uid="{00000000-0005-0000-0000-00005F9A0000}"/>
    <cellStyle name="c-Pink 2 2" xfId="1441" xr:uid="{00000000-0005-0000-0000-0000609A0000}"/>
    <cellStyle name="c-Pink 2 3" xfId="193" xr:uid="{00000000-0005-0000-0000-0000619A0000}"/>
    <cellStyle name="c-Pink 3" xfId="38" xr:uid="{00000000-0005-0000-0000-0000629A0000}"/>
    <cellStyle name="c-Pink 4" xfId="1041" xr:uid="{00000000-0005-0000-0000-0000639A0000}"/>
    <cellStyle name="c-Pink 4 2" xfId="1343" xr:uid="{00000000-0005-0000-0000-0000649A0000}"/>
    <cellStyle name="c-Pink 5" xfId="899" xr:uid="{00000000-0005-0000-0000-0000659A0000}"/>
    <cellStyle name="c-Pink 6" xfId="3903" xr:uid="{00000000-0005-0000-0000-0000669A0000}"/>
    <cellStyle name="Currency" xfId="3" builtinId="4"/>
    <cellStyle name="Currency 2" xfId="189" xr:uid="{00000000-0005-0000-0000-0000689A0000}"/>
    <cellStyle name="Explanatory Text 10" xfId="74" xr:uid="{00000000-0005-0000-0000-0000699A0000}"/>
    <cellStyle name="Explanatory Text 2" xfId="116" xr:uid="{00000000-0005-0000-0000-00006A9A0000}"/>
    <cellStyle name="Explanatory Text 2 2" xfId="275" xr:uid="{00000000-0005-0000-0000-00006B9A0000}"/>
    <cellStyle name="Explanatory Text 2 3" xfId="2796" xr:uid="{00000000-0005-0000-0000-00006C9A0000}"/>
    <cellStyle name="Explanatory Text 2 4" xfId="3876" xr:uid="{00000000-0005-0000-0000-00006D9A0000}"/>
    <cellStyle name="Explanatory Text 3" xfId="147" xr:uid="{00000000-0005-0000-0000-00006E9A0000}"/>
    <cellStyle name="Explanatory Text 3 2" xfId="480" xr:uid="{00000000-0005-0000-0000-00006F9A0000}"/>
    <cellStyle name="Explanatory Text 3 3" xfId="416" xr:uid="{00000000-0005-0000-0000-0000709A0000}"/>
    <cellStyle name="Explanatory Text 3 4" xfId="659" xr:uid="{00000000-0005-0000-0000-0000719A0000}"/>
    <cellStyle name="Explanatory Text 4" xfId="255" xr:uid="{00000000-0005-0000-0000-0000729A0000}"/>
    <cellStyle name="Explanatory Text 5" xfId="688" xr:uid="{00000000-0005-0000-0000-0000739A0000}"/>
    <cellStyle name="Explanatory Text 6" xfId="1432" xr:uid="{00000000-0005-0000-0000-0000749A0000}"/>
    <cellStyle name="Explanatory Text 7" xfId="1433" xr:uid="{00000000-0005-0000-0000-0000759A0000}"/>
    <cellStyle name="Explanatory Text 8" xfId="1359" xr:uid="{00000000-0005-0000-0000-0000769A0000}"/>
    <cellStyle name="Explanatory Text 8 2" xfId="3895" xr:uid="{00000000-0005-0000-0000-0000779A0000}"/>
    <cellStyle name="Explanatory Text 9" xfId="3422" xr:uid="{00000000-0005-0000-0000-0000789A0000}"/>
    <cellStyle name="F0" xfId="4" xr:uid="{00000000-0005-0000-0000-0000799A0000}"/>
    <cellStyle name="F0 2" xfId="27" xr:uid="{00000000-0005-0000-0000-00007A9A0000}"/>
    <cellStyle name="F0 2 2" xfId="1411" xr:uid="{00000000-0005-0000-0000-00007B9A0000}"/>
    <cellStyle name="F0 2 3" xfId="194" xr:uid="{00000000-0005-0000-0000-00007C9A0000}"/>
    <cellStyle name="F0 3" xfId="1042" xr:uid="{00000000-0005-0000-0000-00007D9A0000}"/>
    <cellStyle name="F0 3 2" xfId="1344" xr:uid="{00000000-0005-0000-0000-00007E9A0000}"/>
    <cellStyle name="F0 4" xfId="1478" xr:uid="{00000000-0005-0000-0000-00007F9A0000}"/>
    <cellStyle name="F0 5" xfId="3516" xr:uid="{00000000-0005-0000-0000-0000809A0000}"/>
    <cellStyle name="F0 6" xfId="3452" xr:uid="{00000000-0005-0000-0000-0000819A0000}"/>
    <cellStyle name="F0 7" xfId="3904" xr:uid="{00000000-0005-0000-0000-0000829A0000}"/>
    <cellStyle name="F1" xfId="5" xr:uid="{00000000-0005-0000-0000-0000839A0000}"/>
    <cellStyle name="F1 2" xfId="28" xr:uid="{00000000-0005-0000-0000-0000849A0000}"/>
    <cellStyle name="F1 2 2" xfId="674" xr:uid="{00000000-0005-0000-0000-0000859A0000}"/>
    <cellStyle name="F1 2 3" xfId="195" xr:uid="{00000000-0005-0000-0000-0000869A0000}"/>
    <cellStyle name="F1 3" xfId="1048" xr:uid="{00000000-0005-0000-0000-0000879A0000}"/>
    <cellStyle name="F1 3 2" xfId="1350" xr:uid="{00000000-0005-0000-0000-0000889A0000}"/>
    <cellStyle name="F1 4" xfId="1413" xr:uid="{00000000-0005-0000-0000-0000899A0000}"/>
    <cellStyle name="F1 5" xfId="3503" xr:uid="{00000000-0005-0000-0000-00008A9A0000}"/>
    <cellStyle name="F1 6" xfId="3437" xr:uid="{00000000-0005-0000-0000-00008B9A0000}"/>
    <cellStyle name="F1 7" xfId="3905" xr:uid="{00000000-0005-0000-0000-00008C9A0000}"/>
    <cellStyle name="F2" xfId="6" xr:uid="{00000000-0005-0000-0000-00008D9A0000}"/>
    <cellStyle name="F2 2" xfId="29" xr:uid="{00000000-0005-0000-0000-00008E9A0000}"/>
    <cellStyle name="F2 2 2" xfId="660" xr:uid="{00000000-0005-0000-0000-00008F9A0000}"/>
    <cellStyle name="F2 2 3" xfId="196" xr:uid="{00000000-0005-0000-0000-0000909A0000}"/>
    <cellStyle name="F2 3" xfId="1043" xr:uid="{00000000-0005-0000-0000-0000919A0000}"/>
    <cellStyle name="F2 3 2" xfId="1345" xr:uid="{00000000-0005-0000-0000-0000929A0000}"/>
    <cellStyle name="F2 4" xfId="769" xr:uid="{00000000-0005-0000-0000-0000939A0000}"/>
    <cellStyle name="F2 5" xfId="3442" xr:uid="{00000000-0005-0000-0000-0000949A0000}"/>
    <cellStyle name="F2 6" xfId="3508" xr:uid="{00000000-0005-0000-0000-0000959A0000}"/>
    <cellStyle name="F2 7" xfId="3906" xr:uid="{00000000-0005-0000-0000-0000969A0000}"/>
    <cellStyle name="F3" xfId="7" xr:uid="{00000000-0005-0000-0000-0000979A0000}"/>
    <cellStyle name="F3 2" xfId="30" xr:uid="{00000000-0005-0000-0000-0000989A0000}"/>
    <cellStyle name="F3 2 2" xfId="1401" xr:uid="{00000000-0005-0000-0000-0000999A0000}"/>
    <cellStyle name="F3 2 3" xfId="197" xr:uid="{00000000-0005-0000-0000-00009A9A0000}"/>
    <cellStyle name="F3 3" xfId="1044" xr:uid="{00000000-0005-0000-0000-00009B9A0000}"/>
    <cellStyle name="F3 3 2" xfId="1346" xr:uid="{00000000-0005-0000-0000-00009C9A0000}"/>
    <cellStyle name="F3 4" xfId="1406" xr:uid="{00000000-0005-0000-0000-00009D9A0000}"/>
    <cellStyle name="F3 5" xfId="3476" xr:uid="{00000000-0005-0000-0000-00009E9A0000}"/>
    <cellStyle name="F3 6" xfId="3493" xr:uid="{00000000-0005-0000-0000-00009F9A0000}"/>
    <cellStyle name="F3 7" xfId="3907" xr:uid="{00000000-0005-0000-0000-0000A09A0000}"/>
    <cellStyle name="F4" xfId="8" xr:uid="{00000000-0005-0000-0000-0000A19A0000}"/>
    <cellStyle name="F4 2" xfId="31" xr:uid="{00000000-0005-0000-0000-0000A29A0000}"/>
    <cellStyle name="F4 2 2" xfId="751" xr:uid="{00000000-0005-0000-0000-0000A39A0000}"/>
    <cellStyle name="F4 2 3" xfId="198" xr:uid="{00000000-0005-0000-0000-0000A49A0000}"/>
    <cellStyle name="F4 3" xfId="1045" xr:uid="{00000000-0005-0000-0000-0000A59A0000}"/>
    <cellStyle name="F4 3 2" xfId="1347" xr:uid="{00000000-0005-0000-0000-0000A69A0000}"/>
    <cellStyle name="F4 4" xfId="1389" xr:uid="{00000000-0005-0000-0000-0000A79A0000}"/>
    <cellStyle name="F4 5" xfId="3471" xr:uid="{00000000-0005-0000-0000-0000A89A0000}"/>
    <cellStyle name="F4 6" xfId="3502" xr:uid="{00000000-0005-0000-0000-0000A99A0000}"/>
    <cellStyle name="F4 7" xfId="3908" xr:uid="{00000000-0005-0000-0000-0000AA9A0000}"/>
    <cellStyle name="General" xfId="9" xr:uid="{00000000-0005-0000-0000-0000AB9A0000}"/>
    <cellStyle name="General 2" xfId="190" xr:uid="{00000000-0005-0000-0000-0000AC9A0000}"/>
    <cellStyle name="Good 10" xfId="75" xr:uid="{00000000-0005-0000-0000-0000AD9A0000}"/>
    <cellStyle name="Good 2" xfId="117" xr:uid="{00000000-0005-0000-0000-0000AE9A0000}"/>
    <cellStyle name="Good 2 2" xfId="328" xr:uid="{00000000-0005-0000-0000-0000AF9A0000}"/>
    <cellStyle name="Good 2 3" xfId="2797" xr:uid="{00000000-0005-0000-0000-0000B09A0000}"/>
    <cellStyle name="Good 2 4" xfId="3833" xr:uid="{00000000-0005-0000-0000-0000B19A0000}"/>
    <cellStyle name="Good 3" xfId="137" xr:uid="{00000000-0005-0000-0000-0000B29A0000}"/>
    <cellStyle name="Good 3 2" xfId="470" xr:uid="{00000000-0005-0000-0000-0000B39A0000}"/>
    <cellStyle name="Good 3 3" xfId="417" xr:uid="{00000000-0005-0000-0000-0000B49A0000}"/>
    <cellStyle name="Good 3 4" xfId="1364" xr:uid="{00000000-0005-0000-0000-0000B59A0000}"/>
    <cellStyle name="Good 4" xfId="256" xr:uid="{00000000-0005-0000-0000-0000B69A0000}"/>
    <cellStyle name="Good 5" xfId="679" xr:uid="{00000000-0005-0000-0000-0000B79A0000}"/>
    <cellStyle name="Good 6" xfId="670" xr:uid="{00000000-0005-0000-0000-0000B89A0000}"/>
    <cellStyle name="Good 7" xfId="1368" xr:uid="{00000000-0005-0000-0000-0000B99A0000}"/>
    <cellStyle name="Good 8" xfId="1430" xr:uid="{00000000-0005-0000-0000-0000BA9A0000}"/>
    <cellStyle name="Good 8 2" xfId="3575" xr:uid="{00000000-0005-0000-0000-0000BB9A0000}"/>
    <cellStyle name="Good 9" xfId="2105" xr:uid="{00000000-0005-0000-0000-0000BC9A0000}"/>
    <cellStyle name="Header" xfId="10" xr:uid="{00000000-0005-0000-0000-0000BD9A0000}"/>
    <cellStyle name="Header 2" xfId="32" xr:uid="{00000000-0005-0000-0000-0000BE9A0000}"/>
    <cellStyle name="Header 3" xfId="191" xr:uid="{00000000-0005-0000-0000-0000BF9A0000}"/>
    <cellStyle name="Header 4" xfId="653" xr:uid="{00000000-0005-0000-0000-0000C09A0000}"/>
    <cellStyle name="Header 5" xfId="665" xr:uid="{00000000-0005-0000-0000-0000C19A0000}"/>
    <cellStyle name="Header 6" xfId="734" xr:uid="{00000000-0005-0000-0000-0000C29A0000}"/>
    <cellStyle name="Header 7" xfId="2103" xr:uid="{00000000-0005-0000-0000-0000C39A0000}"/>
    <cellStyle name="Header 8" xfId="3864" xr:uid="{00000000-0005-0000-0000-0000C49A0000}"/>
    <cellStyle name="Heading 1 10" xfId="76" xr:uid="{00000000-0005-0000-0000-0000C59A0000}"/>
    <cellStyle name="Heading 1 2" xfId="118" xr:uid="{00000000-0005-0000-0000-0000C69A0000}"/>
    <cellStyle name="Heading 1 2 2" xfId="209" xr:uid="{00000000-0005-0000-0000-0000C79A0000}"/>
    <cellStyle name="Heading 1 2 3" xfId="2798" xr:uid="{00000000-0005-0000-0000-0000C89A0000}"/>
    <cellStyle name="Heading 1 2 4" xfId="3865" xr:uid="{00000000-0005-0000-0000-0000C99A0000}"/>
    <cellStyle name="Heading 1 3" xfId="133" xr:uid="{00000000-0005-0000-0000-0000CA9A0000}"/>
    <cellStyle name="Heading 1 3 2" xfId="466" xr:uid="{00000000-0005-0000-0000-0000CB9A0000}"/>
    <cellStyle name="Heading 1 3 3" xfId="418" xr:uid="{00000000-0005-0000-0000-0000CC9A0000}"/>
    <cellStyle name="Heading 1 3 4" xfId="1409" xr:uid="{00000000-0005-0000-0000-0000CD9A0000}"/>
    <cellStyle name="Heading 1 4" xfId="257" xr:uid="{00000000-0005-0000-0000-0000CE9A0000}"/>
    <cellStyle name="Heading 1 5" xfId="675" xr:uid="{00000000-0005-0000-0000-0000CF9A0000}"/>
    <cellStyle name="Heading 1 6" xfId="662" xr:uid="{00000000-0005-0000-0000-0000D09A0000}"/>
    <cellStyle name="Heading 1 7" xfId="1460" xr:uid="{00000000-0005-0000-0000-0000D19A0000}"/>
    <cellStyle name="Heading 1 8" xfId="668" xr:uid="{00000000-0005-0000-0000-0000D29A0000}"/>
    <cellStyle name="Heading 1 8 2" xfId="3501" xr:uid="{00000000-0005-0000-0000-0000D39A0000}"/>
    <cellStyle name="Heading 1 9" xfId="3500" xr:uid="{00000000-0005-0000-0000-0000D49A0000}"/>
    <cellStyle name="Heading 2 10" xfId="77" xr:uid="{00000000-0005-0000-0000-0000D59A0000}"/>
    <cellStyle name="Heading 2 2" xfId="119" xr:uid="{00000000-0005-0000-0000-0000D69A0000}"/>
    <cellStyle name="Heading 2 2 2" xfId="321" xr:uid="{00000000-0005-0000-0000-0000D79A0000}"/>
    <cellStyle name="Heading 2 2 3" xfId="2799" xr:uid="{00000000-0005-0000-0000-0000D89A0000}"/>
    <cellStyle name="Heading 2 2 4" xfId="3553" xr:uid="{00000000-0005-0000-0000-0000D99A0000}"/>
    <cellStyle name="Heading 2 3" xfId="134" xr:uid="{00000000-0005-0000-0000-0000DA9A0000}"/>
    <cellStyle name="Heading 2 3 2" xfId="467" xr:uid="{00000000-0005-0000-0000-0000DB9A0000}"/>
    <cellStyle name="Heading 2 3 3" xfId="419" xr:uid="{00000000-0005-0000-0000-0000DC9A0000}"/>
    <cellStyle name="Heading 2 3 4" xfId="1434" xr:uid="{00000000-0005-0000-0000-0000DD9A0000}"/>
    <cellStyle name="Heading 2 4" xfId="258" xr:uid="{00000000-0005-0000-0000-0000DE9A0000}"/>
    <cellStyle name="Heading 2 5" xfId="676" xr:uid="{00000000-0005-0000-0000-0000DF9A0000}"/>
    <cellStyle name="Heading 2 6" xfId="791" xr:uid="{00000000-0005-0000-0000-0000E09A0000}"/>
    <cellStyle name="Heading 2 7" xfId="1410" xr:uid="{00000000-0005-0000-0000-0000E19A0000}"/>
    <cellStyle name="Heading 2 8" xfId="1479" xr:uid="{00000000-0005-0000-0000-0000E29A0000}"/>
    <cellStyle name="Heading 2 8 2" xfId="3839" xr:uid="{00000000-0005-0000-0000-0000E39A0000}"/>
    <cellStyle name="Heading 2 9" xfId="2194" xr:uid="{00000000-0005-0000-0000-0000E49A0000}"/>
    <cellStyle name="Heading 3 10" xfId="78" xr:uid="{00000000-0005-0000-0000-0000E59A0000}"/>
    <cellStyle name="Heading 3 2" xfId="120" xr:uid="{00000000-0005-0000-0000-0000E69A0000}"/>
    <cellStyle name="Heading 3 2 2" xfId="219" xr:uid="{00000000-0005-0000-0000-0000E79A0000}"/>
    <cellStyle name="Heading 3 2 3" xfId="2800" xr:uid="{00000000-0005-0000-0000-0000E89A0000}"/>
    <cellStyle name="Heading 3 2 4" xfId="3830" xr:uid="{00000000-0005-0000-0000-0000E99A0000}"/>
    <cellStyle name="Heading 3 3" xfId="135" xr:uid="{00000000-0005-0000-0000-0000EA9A0000}"/>
    <cellStyle name="Heading 3 3 2" xfId="468" xr:uid="{00000000-0005-0000-0000-0000EB9A0000}"/>
    <cellStyle name="Heading 3 3 3" xfId="420" xr:uid="{00000000-0005-0000-0000-0000EC9A0000}"/>
    <cellStyle name="Heading 3 3 4" xfId="1402" xr:uid="{00000000-0005-0000-0000-0000ED9A0000}"/>
    <cellStyle name="Heading 3 4" xfId="259" xr:uid="{00000000-0005-0000-0000-0000EE9A0000}"/>
    <cellStyle name="Heading 3 5" xfId="677" xr:uid="{00000000-0005-0000-0000-0000EF9A0000}"/>
    <cellStyle name="Heading 3 6" xfId="1372" xr:uid="{00000000-0005-0000-0000-0000F09A0000}"/>
    <cellStyle name="Heading 3 7" xfId="1455" xr:uid="{00000000-0005-0000-0000-0000F19A0000}"/>
    <cellStyle name="Heading 3 8" xfId="1378" xr:uid="{00000000-0005-0000-0000-0000F29A0000}"/>
    <cellStyle name="Heading 3 8 2" xfId="2117" xr:uid="{00000000-0005-0000-0000-0000F39A0000}"/>
    <cellStyle name="Heading 3 9" xfId="3462" xr:uid="{00000000-0005-0000-0000-0000F49A0000}"/>
    <cellStyle name="Heading 4 10" xfId="79" xr:uid="{00000000-0005-0000-0000-0000F59A0000}"/>
    <cellStyle name="Heading 4 2" xfId="121" xr:uid="{00000000-0005-0000-0000-0000F69A0000}"/>
    <cellStyle name="Heading 4 2 2" xfId="312" xr:uid="{00000000-0005-0000-0000-0000F79A0000}"/>
    <cellStyle name="Heading 4 2 3" xfId="2801" xr:uid="{00000000-0005-0000-0000-0000F89A0000}"/>
    <cellStyle name="Heading 4 2 4" xfId="2109" xr:uid="{00000000-0005-0000-0000-0000F99A0000}"/>
    <cellStyle name="Heading 4 3" xfId="136" xr:uid="{00000000-0005-0000-0000-0000FA9A0000}"/>
    <cellStyle name="Heading 4 3 2" xfId="469" xr:uid="{00000000-0005-0000-0000-0000FB9A0000}"/>
    <cellStyle name="Heading 4 3 3" xfId="421" xr:uid="{00000000-0005-0000-0000-0000FC9A0000}"/>
    <cellStyle name="Heading 4 3 4" xfId="1367" xr:uid="{00000000-0005-0000-0000-0000FD9A0000}"/>
    <cellStyle name="Heading 4 4" xfId="260" xr:uid="{00000000-0005-0000-0000-0000FE9A0000}"/>
    <cellStyle name="Heading 4 5" xfId="678" xr:uid="{00000000-0005-0000-0000-0000FF9A0000}"/>
    <cellStyle name="Heading 4 6" xfId="1447" xr:uid="{00000000-0005-0000-0000-0000009B0000}"/>
    <cellStyle name="Heading 4 7" xfId="672" xr:uid="{00000000-0005-0000-0000-0000019B0000}"/>
    <cellStyle name="Heading 4 8" xfId="1468" xr:uid="{00000000-0005-0000-0000-0000029B0000}"/>
    <cellStyle name="Heading 4 8 2" xfId="2112" xr:uid="{00000000-0005-0000-0000-0000039B0000}"/>
    <cellStyle name="Heading 4 9" xfId="3439" xr:uid="{00000000-0005-0000-0000-0000049B0000}"/>
    <cellStyle name="Hyperlink" xfId="11" builtinId="8"/>
    <cellStyle name="Input 10" xfId="80" xr:uid="{00000000-0005-0000-0000-0000069B0000}"/>
    <cellStyle name="Input 2" xfId="122" xr:uid="{00000000-0005-0000-0000-0000079B0000}"/>
    <cellStyle name="Input 2 2" xfId="224" xr:uid="{00000000-0005-0000-0000-0000089B0000}"/>
    <cellStyle name="Input 2 3" xfId="2802" xr:uid="{00000000-0005-0000-0000-0000099B0000}"/>
    <cellStyle name="Input 2 4" xfId="3459" xr:uid="{00000000-0005-0000-0000-00000A9B0000}"/>
    <cellStyle name="Input 3" xfId="140" xr:uid="{00000000-0005-0000-0000-00000B9B0000}"/>
    <cellStyle name="Input 3 2" xfId="473" xr:uid="{00000000-0005-0000-0000-00000C9B0000}"/>
    <cellStyle name="Input 3 3" xfId="422" xr:uid="{00000000-0005-0000-0000-00000D9B0000}"/>
    <cellStyle name="Input 3 4" xfId="1393" xr:uid="{00000000-0005-0000-0000-00000E9B0000}"/>
    <cellStyle name="Input 4" xfId="261" xr:uid="{00000000-0005-0000-0000-00000F9B0000}"/>
    <cellStyle name="Input 5" xfId="682" xr:uid="{00000000-0005-0000-0000-0000109B0000}"/>
    <cellStyle name="Input 6" xfId="1438" xr:uid="{00000000-0005-0000-0000-0000119B0000}"/>
    <cellStyle name="Input 7" xfId="658" xr:uid="{00000000-0005-0000-0000-0000129B0000}"/>
    <cellStyle name="Input 8" xfId="838" xr:uid="{00000000-0005-0000-0000-0000139B0000}"/>
    <cellStyle name="Input 8 2" xfId="3832" xr:uid="{00000000-0005-0000-0000-0000149B0000}"/>
    <cellStyle name="Input 9" xfId="2741" xr:uid="{00000000-0005-0000-0000-0000159B0000}"/>
    <cellStyle name="Linked Cell 10" xfId="81" xr:uid="{00000000-0005-0000-0000-0000169B0000}"/>
    <cellStyle name="Linked Cell 2" xfId="123" xr:uid="{00000000-0005-0000-0000-0000179B0000}"/>
    <cellStyle name="Linked Cell 2 2" xfId="330" xr:uid="{00000000-0005-0000-0000-0000189B0000}"/>
    <cellStyle name="Linked Cell 2 3" xfId="2803" xr:uid="{00000000-0005-0000-0000-0000199B0000}"/>
    <cellStyle name="Linked Cell 2 4" xfId="3850" xr:uid="{00000000-0005-0000-0000-00001A9B0000}"/>
    <cellStyle name="Linked Cell 3" xfId="143" xr:uid="{00000000-0005-0000-0000-00001B9B0000}"/>
    <cellStyle name="Linked Cell 3 2" xfId="476" xr:uid="{00000000-0005-0000-0000-00001C9B0000}"/>
    <cellStyle name="Linked Cell 3 3" xfId="423" xr:uid="{00000000-0005-0000-0000-00001D9B0000}"/>
    <cellStyle name="Linked Cell 3 4" xfId="1383" xr:uid="{00000000-0005-0000-0000-00001E9B0000}"/>
    <cellStyle name="Linked Cell 4" xfId="262" xr:uid="{00000000-0005-0000-0000-00001F9B0000}"/>
    <cellStyle name="Linked Cell 5" xfId="685" xr:uid="{00000000-0005-0000-0000-0000209B0000}"/>
    <cellStyle name="Linked Cell 6" xfId="1449" xr:uid="{00000000-0005-0000-0000-0000219B0000}"/>
    <cellStyle name="Linked Cell 7" xfId="1464" xr:uid="{00000000-0005-0000-0000-0000229B0000}"/>
    <cellStyle name="Linked Cell 8" xfId="1391" xr:uid="{00000000-0005-0000-0000-0000239B0000}"/>
    <cellStyle name="Linked Cell 8 2" xfId="3862" xr:uid="{00000000-0005-0000-0000-0000249B0000}"/>
    <cellStyle name="Linked Cell 9" xfId="3434" xr:uid="{00000000-0005-0000-0000-0000259B0000}"/>
    <cellStyle name="Neutral 10" xfId="82" xr:uid="{00000000-0005-0000-0000-0000269B0000}"/>
    <cellStyle name="Neutral 2" xfId="124" xr:uid="{00000000-0005-0000-0000-0000279B0000}"/>
    <cellStyle name="Neutral 2 2" xfId="325" xr:uid="{00000000-0005-0000-0000-0000289B0000}"/>
    <cellStyle name="Neutral 2 3" xfId="2804" xr:uid="{00000000-0005-0000-0000-0000299B0000}"/>
    <cellStyle name="Neutral 2 4" xfId="3861" xr:uid="{00000000-0005-0000-0000-00002A9B0000}"/>
    <cellStyle name="Neutral 3" xfId="139" xr:uid="{00000000-0005-0000-0000-00002B9B0000}"/>
    <cellStyle name="Neutral 3 2" xfId="472" xr:uid="{00000000-0005-0000-0000-00002C9B0000}"/>
    <cellStyle name="Neutral 3 3" xfId="424" xr:uid="{00000000-0005-0000-0000-00002D9B0000}"/>
    <cellStyle name="Neutral 3 4" xfId="1390" xr:uid="{00000000-0005-0000-0000-00002E9B0000}"/>
    <cellStyle name="Neutral 4" xfId="263" xr:uid="{00000000-0005-0000-0000-00002F9B0000}"/>
    <cellStyle name="Neutral 5" xfId="681" xr:uid="{00000000-0005-0000-0000-0000309B0000}"/>
    <cellStyle name="Neutral 6" xfId="1444" xr:uid="{00000000-0005-0000-0000-0000319B0000}"/>
    <cellStyle name="Neutral 7" xfId="1461" xr:uid="{00000000-0005-0000-0000-0000329B0000}"/>
    <cellStyle name="Neutral 8" xfId="1477" xr:uid="{00000000-0005-0000-0000-0000339B0000}"/>
    <cellStyle name="Neutral 8 2" xfId="3870" xr:uid="{00000000-0005-0000-0000-0000349B0000}"/>
    <cellStyle name="Neutral 9" xfId="3426" xr:uid="{00000000-0005-0000-0000-0000359B0000}"/>
    <cellStyle name="Normal" xfId="0" builtinId="0"/>
    <cellStyle name="Normal 10" xfId="45" xr:uid="{00000000-0005-0000-0000-0000379B0000}"/>
    <cellStyle name="Normal 11" xfId="2102" xr:uid="{00000000-0005-0000-0000-0000389B0000}"/>
    <cellStyle name="Normal 12" xfId="3450" xr:uid="{00000000-0005-0000-0000-0000399B0000}"/>
    <cellStyle name="Normal 13" xfId="3443" xr:uid="{00000000-0005-0000-0000-00003A9B0000}"/>
    <cellStyle name="Normal 14" xfId="44" xr:uid="{00000000-0005-0000-0000-00003B9B0000}"/>
    <cellStyle name="Normal 2" xfId="24" xr:uid="{00000000-0005-0000-0000-00003C9B0000}"/>
    <cellStyle name="Normal 2 10" xfId="3490" xr:uid="{00000000-0005-0000-0000-00003D9B0000}"/>
    <cellStyle name="Normal 2 11" xfId="3879" xr:uid="{00000000-0005-0000-0000-00003E9B0000}"/>
    <cellStyle name="Normal 2 12" xfId="88" xr:uid="{00000000-0005-0000-0000-00003F9B0000}"/>
    <cellStyle name="Normal 2 13" xfId="45945" xr:uid="{00000000-0005-0000-0000-0000409B0000}"/>
    <cellStyle name="Normal 2 2" xfId="220" xr:uid="{00000000-0005-0000-0000-0000419B0000}"/>
    <cellStyle name="Normal 2 2 10" xfId="6433" xr:uid="{00000000-0005-0000-0000-0000429B0000}"/>
    <cellStyle name="Normal 2 2 10 2" xfId="17734" xr:uid="{00000000-0005-0000-0000-0000439B0000}"/>
    <cellStyle name="Normal 2 2 10 2 2" xfId="40336" xr:uid="{00000000-0005-0000-0000-0000449B0000}"/>
    <cellStyle name="Normal 2 2 10 3" xfId="29035" xr:uid="{00000000-0005-0000-0000-0000459B0000}"/>
    <cellStyle name="Normal 2 2 11" xfId="12084" xr:uid="{00000000-0005-0000-0000-0000469B0000}"/>
    <cellStyle name="Normal 2 2 11 2" xfId="34686" xr:uid="{00000000-0005-0000-0000-0000479B0000}"/>
    <cellStyle name="Normal 2 2 12" xfId="23385" xr:uid="{00000000-0005-0000-0000-0000489B0000}"/>
    <cellStyle name="Normal 2 2 2" xfId="385" xr:uid="{00000000-0005-0000-0000-0000499B0000}"/>
    <cellStyle name="Normal 2 2 2 10" xfId="23480" xr:uid="{00000000-0005-0000-0000-00004A9B0000}"/>
    <cellStyle name="Normal 2 2 2 2" xfId="630" xr:uid="{00000000-0005-0000-0000-00004B9B0000}"/>
    <cellStyle name="Normal 2 2 2 2 2" xfId="1340" xr:uid="{00000000-0005-0000-0000-00004C9B0000}"/>
    <cellStyle name="Normal 2 2 2 2 2 2" xfId="2023" xr:uid="{00000000-0005-0000-0000-00004D9B0000}"/>
    <cellStyle name="Normal 2 2 2 2 2 2 2" xfId="3409" xr:uid="{00000000-0005-0000-0000-00004E9B0000}"/>
    <cellStyle name="Normal 2 2 2 2 2 2 2 2" xfId="6381" xr:uid="{00000000-0005-0000-0000-00004F9B0000}"/>
    <cellStyle name="Normal 2 2 2 2 2 2 2 2 2" xfId="12031" xr:uid="{00000000-0005-0000-0000-0000509B0000}"/>
    <cellStyle name="Normal 2 2 2 2 2 2 2 2 2 2" xfId="23332" xr:uid="{00000000-0005-0000-0000-0000519B0000}"/>
    <cellStyle name="Normal 2 2 2 2 2 2 2 2 2 2 2" xfId="45934" xr:uid="{00000000-0005-0000-0000-0000529B0000}"/>
    <cellStyle name="Normal 2 2 2 2 2 2 2 2 2 3" xfId="34633" xr:uid="{00000000-0005-0000-0000-0000539B0000}"/>
    <cellStyle name="Normal 2 2 2 2 2 2 2 2 3" xfId="17682" xr:uid="{00000000-0005-0000-0000-0000549B0000}"/>
    <cellStyle name="Normal 2 2 2 2 2 2 2 2 3 2" xfId="40284" xr:uid="{00000000-0005-0000-0000-0000559B0000}"/>
    <cellStyle name="Normal 2 2 2 2 2 2 2 2 4" xfId="28983" xr:uid="{00000000-0005-0000-0000-0000569B0000}"/>
    <cellStyle name="Normal 2 2 2 2 2 2 2 3" xfId="9199" xr:uid="{00000000-0005-0000-0000-0000579B0000}"/>
    <cellStyle name="Normal 2 2 2 2 2 2 2 3 2" xfId="20500" xr:uid="{00000000-0005-0000-0000-0000589B0000}"/>
    <cellStyle name="Normal 2 2 2 2 2 2 2 3 2 2" xfId="43102" xr:uid="{00000000-0005-0000-0000-0000599B0000}"/>
    <cellStyle name="Normal 2 2 2 2 2 2 2 3 3" xfId="31801" xr:uid="{00000000-0005-0000-0000-00005A9B0000}"/>
    <cellStyle name="Normal 2 2 2 2 2 2 2 4" xfId="14850" xr:uid="{00000000-0005-0000-0000-00005B9B0000}"/>
    <cellStyle name="Normal 2 2 2 2 2 2 2 4 2" xfId="37452" xr:uid="{00000000-0005-0000-0000-00005C9B0000}"/>
    <cellStyle name="Normal 2 2 2 2 2 2 2 5" xfId="26151" xr:uid="{00000000-0005-0000-0000-00005D9B0000}"/>
    <cellStyle name="Normal 2 2 2 2 2 2 3" xfId="5147" xr:uid="{00000000-0005-0000-0000-00005E9B0000}"/>
    <cellStyle name="Normal 2 2 2 2 2 2 3 2" xfId="10797" xr:uid="{00000000-0005-0000-0000-00005F9B0000}"/>
    <cellStyle name="Normal 2 2 2 2 2 2 3 2 2" xfId="22098" xr:uid="{00000000-0005-0000-0000-0000609B0000}"/>
    <cellStyle name="Normal 2 2 2 2 2 2 3 2 2 2" xfId="44700" xr:uid="{00000000-0005-0000-0000-0000619B0000}"/>
    <cellStyle name="Normal 2 2 2 2 2 2 3 2 3" xfId="33399" xr:uid="{00000000-0005-0000-0000-0000629B0000}"/>
    <cellStyle name="Normal 2 2 2 2 2 2 3 3" xfId="16448" xr:uid="{00000000-0005-0000-0000-0000639B0000}"/>
    <cellStyle name="Normal 2 2 2 2 2 2 3 3 2" xfId="39050" xr:uid="{00000000-0005-0000-0000-0000649B0000}"/>
    <cellStyle name="Normal 2 2 2 2 2 2 3 4" xfId="27749" xr:uid="{00000000-0005-0000-0000-0000659B0000}"/>
    <cellStyle name="Normal 2 2 2 2 2 2 4" xfId="7879" xr:uid="{00000000-0005-0000-0000-0000669B0000}"/>
    <cellStyle name="Normal 2 2 2 2 2 2 4 2" xfId="19180" xr:uid="{00000000-0005-0000-0000-0000679B0000}"/>
    <cellStyle name="Normal 2 2 2 2 2 2 4 2 2" xfId="41782" xr:uid="{00000000-0005-0000-0000-0000689B0000}"/>
    <cellStyle name="Normal 2 2 2 2 2 2 4 3" xfId="30481" xr:uid="{00000000-0005-0000-0000-0000699B0000}"/>
    <cellStyle name="Normal 2 2 2 2 2 2 5" xfId="13530" xr:uid="{00000000-0005-0000-0000-00006A9B0000}"/>
    <cellStyle name="Normal 2 2 2 2 2 2 5 2" xfId="36132" xr:uid="{00000000-0005-0000-0000-00006B9B0000}"/>
    <cellStyle name="Normal 2 2 2 2 2 2 6" xfId="24831" xr:uid="{00000000-0005-0000-0000-00006C9B0000}"/>
    <cellStyle name="Normal 2 2 2 2 2 3" xfId="2738" xr:uid="{00000000-0005-0000-0000-00006D9B0000}"/>
    <cellStyle name="Normal 2 2 2 2 2 3 2" xfId="5757" xr:uid="{00000000-0005-0000-0000-00006E9B0000}"/>
    <cellStyle name="Normal 2 2 2 2 2 3 2 2" xfId="11407" xr:uid="{00000000-0005-0000-0000-00006F9B0000}"/>
    <cellStyle name="Normal 2 2 2 2 2 3 2 2 2" xfId="22708" xr:uid="{00000000-0005-0000-0000-0000709B0000}"/>
    <cellStyle name="Normal 2 2 2 2 2 3 2 2 2 2" xfId="45310" xr:uid="{00000000-0005-0000-0000-0000719B0000}"/>
    <cellStyle name="Normal 2 2 2 2 2 3 2 2 3" xfId="34009" xr:uid="{00000000-0005-0000-0000-0000729B0000}"/>
    <cellStyle name="Normal 2 2 2 2 2 3 2 3" xfId="17058" xr:uid="{00000000-0005-0000-0000-0000739B0000}"/>
    <cellStyle name="Normal 2 2 2 2 2 3 2 3 2" xfId="39660" xr:uid="{00000000-0005-0000-0000-0000749B0000}"/>
    <cellStyle name="Normal 2 2 2 2 2 3 2 4" xfId="28359" xr:uid="{00000000-0005-0000-0000-0000759B0000}"/>
    <cellStyle name="Normal 2 2 2 2 2 3 3" xfId="8574" xr:uid="{00000000-0005-0000-0000-0000769B0000}"/>
    <cellStyle name="Normal 2 2 2 2 2 3 3 2" xfId="19875" xr:uid="{00000000-0005-0000-0000-0000779B0000}"/>
    <cellStyle name="Normal 2 2 2 2 2 3 3 2 2" xfId="42477" xr:uid="{00000000-0005-0000-0000-0000789B0000}"/>
    <cellStyle name="Normal 2 2 2 2 2 3 3 3" xfId="31176" xr:uid="{00000000-0005-0000-0000-0000799B0000}"/>
    <cellStyle name="Normal 2 2 2 2 2 3 4" xfId="14225" xr:uid="{00000000-0005-0000-0000-00007A9B0000}"/>
    <cellStyle name="Normal 2 2 2 2 2 3 4 2" xfId="36827" xr:uid="{00000000-0005-0000-0000-00007B9B0000}"/>
    <cellStyle name="Normal 2 2 2 2 2 3 5" xfId="25526" xr:uid="{00000000-0005-0000-0000-00007C9B0000}"/>
    <cellStyle name="Normal 2 2 2 2 2 4" xfId="4523" xr:uid="{00000000-0005-0000-0000-00007D9B0000}"/>
    <cellStyle name="Normal 2 2 2 2 2 4 2" xfId="10173" xr:uid="{00000000-0005-0000-0000-00007E9B0000}"/>
    <cellStyle name="Normal 2 2 2 2 2 4 2 2" xfId="21474" xr:uid="{00000000-0005-0000-0000-00007F9B0000}"/>
    <cellStyle name="Normal 2 2 2 2 2 4 2 2 2" xfId="44076" xr:uid="{00000000-0005-0000-0000-0000809B0000}"/>
    <cellStyle name="Normal 2 2 2 2 2 4 2 3" xfId="32775" xr:uid="{00000000-0005-0000-0000-0000819B0000}"/>
    <cellStyle name="Normal 2 2 2 2 2 4 3" xfId="15824" xr:uid="{00000000-0005-0000-0000-0000829B0000}"/>
    <cellStyle name="Normal 2 2 2 2 2 4 3 2" xfId="38426" xr:uid="{00000000-0005-0000-0000-0000839B0000}"/>
    <cellStyle name="Normal 2 2 2 2 2 4 4" xfId="27125" xr:uid="{00000000-0005-0000-0000-0000849B0000}"/>
    <cellStyle name="Normal 2 2 2 2 2 5" xfId="7319" xr:uid="{00000000-0005-0000-0000-0000859B0000}"/>
    <cellStyle name="Normal 2 2 2 2 2 5 2" xfId="18620" xr:uid="{00000000-0005-0000-0000-0000869B0000}"/>
    <cellStyle name="Normal 2 2 2 2 2 5 2 2" xfId="41222" xr:uid="{00000000-0005-0000-0000-0000879B0000}"/>
    <cellStyle name="Normal 2 2 2 2 2 5 3" xfId="29921" xr:uid="{00000000-0005-0000-0000-0000889B0000}"/>
    <cellStyle name="Normal 2 2 2 2 2 6" xfId="12970" xr:uid="{00000000-0005-0000-0000-0000899B0000}"/>
    <cellStyle name="Normal 2 2 2 2 2 6 2" xfId="35572" xr:uid="{00000000-0005-0000-0000-00008A9B0000}"/>
    <cellStyle name="Normal 2 2 2 2 2 7" xfId="24271" xr:uid="{00000000-0005-0000-0000-00008B9B0000}"/>
    <cellStyle name="Normal 2 2 2 2 3" xfId="1038" xr:uid="{00000000-0005-0000-0000-00008C9B0000}"/>
    <cellStyle name="Normal 2 2 2 2 3 2" xfId="3101" xr:uid="{00000000-0005-0000-0000-00008D9B0000}"/>
    <cellStyle name="Normal 2 2 2 2 3 2 2" xfId="6073" xr:uid="{00000000-0005-0000-0000-00008E9B0000}"/>
    <cellStyle name="Normal 2 2 2 2 3 2 2 2" xfId="11723" xr:uid="{00000000-0005-0000-0000-00008F9B0000}"/>
    <cellStyle name="Normal 2 2 2 2 3 2 2 2 2" xfId="23024" xr:uid="{00000000-0005-0000-0000-0000909B0000}"/>
    <cellStyle name="Normal 2 2 2 2 3 2 2 2 2 2" xfId="45626" xr:uid="{00000000-0005-0000-0000-0000919B0000}"/>
    <cellStyle name="Normal 2 2 2 2 3 2 2 2 3" xfId="34325" xr:uid="{00000000-0005-0000-0000-0000929B0000}"/>
    <cellStyle name="Normal 2 2 2 2 3 2 2 3" xfId="17374" xr:uid="{00000000-0005-0000-0000-0000939B0000}"/>
    <cellStyle name="Normal 2 2 2 2 3 2 2 3 2" xfId="39976" xr:uid="{00000000-0005-0000-0000-0000949B0000}"/>
    <cellStyle name="Normal 2 2 2 2 3 2 2 4" xfId="28675" xr:uid="{00000000-0005-0000-0000-0000959B0000}"/>
    <cellStyle name="Normal 2 2 2 2 3 2 3" xfId="8891" xr:uid="{00000000-0005-0000-0000-0000969B0000}"/>
    <cellStyle name="Normal 2 2 2 2 3 2 3 2" xfId="20192" xr:uid="{00000000-0005-0000-0000-0000979B0000}"/>
    <cellStyle name="Normal 2 2 2 2 3 2 3 2 2" xfId="42794" xr:uid="{00000000-0005-0000-0000-0000989B0000}"/>
    <cellStyle name="Normal 2 2 2 2 3 2 3 3" xfId="31493" xr:uid="{00000000-0005-0000-0000-0000999B0000}"/>
    <cellStyle name="Normal 2 2 2 2 3 2 4" xfId="14542" xr:uid="{00000000-0005-0000-0000-00009A9B0000}"/>
    <cellStyle name="Normal 2 2 2 2 3 2 4 2" xfId="37144" xr:uid="{00000000-0005-0000-0000-00009B9B0000}"/>
    <cellStyle name="Normal 2 2 2 2 3 2 5" xfId="25843" xr:uid="{00000000-0005-0000-0000-00009C9B0000}"/>
    <cellStyle name="Normal 2 2 2 2 3 3" xfId="4839" xr:uid="{00000000-0005-0000-0000-00009D9B0000}"/>
    <cellStyle name="Normal 2 2 2 2 3 3 2" xfId="10489" xr:uid="{00000000-0005-0000-0000-00009E9B0000}"/>
    <cellStyle name="Normal 2 2 2 2 3 3 2 2" xfId="21790" xr:uid="{00000000-0005-0000-0000-00009F9B0000}"/>
    <cellStyle name="Normal 2 2 2 2 3 3 2 2 2" xfId="44392" xr:uid="{00000000-0005-0000-0000-0000A09B0000}"/>
    <cellStyle name="Normal 2 2 2 2 3 3 2 3" xfId="33091" xr:uid="{00000000-0005-0000-0000-0000A19B0000}"/>
    <cellStyle name="Normal 2 2 2 2 3 3 3" xfId="16140" xr:uid="{00000000-0005-0000-0000-0000A29B0000}"/>
    <cellStyle name="Normal 2 2 2 2 3 3 3 2" xfId="38742" xr:uid="{00000000-0005-0000-0000-0000A39B0000}"/>
    <cellStyle name="Normal 2 2 2 2 3 3 4" xfId="27441" xr:uid="{00000000-0005-0000-0000-0000A49B0000}"/>
    <cellStyle name="Normal 2 2 2 2 3 4" xfId="7026" xr:uid="{00000000-0005-0000-0000-0000A59B0000}"/>
    <cellStyle name="Normal 2 2 2 2 3 4 2" xfId="18327" xr:uid="{00000000-0005-0000-0000-0000A69B0000}"/>
    <cellStyle name="Normal 2 2 2 2 3 4 2 2" xfId="40929" xr:uid="{00000000-0005-0000-0000-0000A79B0000}"/>
    <cellStyle name="Normal 2 2 2 2 3 4 3" xfId="29628" xr:uid="{00000000-0005-0000-0000-0000A89B0000}"/>
    <cellStyle name="Normal 2 2 2 2 3 5" xfId="12677" xr:uid="{00000000-0005-0000-0000-0000A99B0000}"/>
    <cellStyle name="Normal 2 2 2 2 3 5 2" xfId="35279" xr:uid="{00000000-0005-0000-0000-0000AA9B0000}"/>
    <cellStyle name="Normal 2 2 2 2 3 6" xfId="23978" xr:uid="{00000000-0005-0000-0000-0000AB9B0000}"/>
    <cellStyle name="Normal 2 2 2 2 4" xfId="2022" xr:uid="{00000000-0005-0000-0000-0000AC9B0000}"/>
    <cellStyle name="Normal 2 2 2 2 4 2" xfId="3788" xr:uid="{00000000-0005-0000-0000-0000AD9B0000}"/>
    <cellStyle name="Normal 2 2 2 2 4 2 2" xfId="9496" xr:uid="{00000000-0005-0000-0000-0000AE9B0000}"/>
    <cellStyle name="Normal 2 2 2 2 4 2 2 2" xfId="20797" xr:uid="{00000000-0005-0000-0000-0000AF9B0000}"/>
    <cellStyle name="Normal 2 2 2 2 4 2 2 2 2" xfId="43399" xr:uid="{00000000-0005-0000-0000-0000B09B0000}"/>
    <cellStyle name="Normal 2 2 2 2 4 2 2 3" xfId="32098" xr:uid="{00000000-0005-0000-0000-0000B19B0000}"/>
    <cellStyle name="Normal 2 2 2 2 4 2 3" xfId="15147" xr:uid="{00000000-0005-0000-0000-0000B29B0000}"/>
    <cellStyle name="Normal 2 2 2 2 4 2 3 2" xfId="37749" xr:uid="{00000000-0005-0000-0000-0000B39B0000}"/>
    <cellStyle name="Normal 2 2 2 2 4 2 4" xfId="26448" xr:uid="{00000000-0005-0000-0000-0000B49B0000}"/>
    <cellStyle name="Normal 2 2 2 2 4 3" xfId="5449" xr:uid="{00000000-0005-0000-0000-0000B59B0000}"/>
    <cellStyle name="Normal 2 2 2 2 4 3 2" xfId="11099" xr:uid="{00000000-0005-0000-0000-0000B69B0000}"/>
    <cellStyle name="Normal 2 2 2 2 4 3 2 2" xfId="22400" xr:uid="{00000000-0005-0000-0000-0000B79B0000}"/>
    <cellStyle name="Normal 2 2 2 2 4 3 2 2 2" xfId="45002" xr:uid="{00000000-0005-0000-0000-0000B89B0000}"/>
    <cellStyle name="Normal 2 2 2 2 4 3 2 3" xfId="33701" xr:uid="{00000000-0005-0000-0000-0000B99B0000}"/>
    <cellStyle name="Normal 2 2 2 2 4 3 3" xfId="16750" xr:uid="{00000000-0005-0000-0000-0000BA9B0000}"/>
    <cellStyle name="Normal 2 2 2 2 4 3 3 2" xfId="39352" xr:uid="{00000000-0005-0000-0000-0000BB9B0000}"/>
    <cellStyle name="Normal 2 2 2 2 4 3 4" xfId="28051" xr:uid="{00000000-0005-0000-0000-0000BC9B0000}"/>
    <cellStyle name="Normal 2 2 2 2 4 4" xfId="7878" xr:uid="{00000000-0005-0000-0000-0000BD9B0000}"/>
    <cellStyle name="Normal 2 2 2 2 4 4 2" xfId="19179" xr:uid="{00000000-0005-0000-0000-0000BE9B0000}"/>
    <cellStyle name="Normal 2 2 2 2 4 4 2 2" xfId="41781" xr:uid="{00000000-0005-0000-0000-0000BF9B0000}"/>
    <cellStyle name="Normal 2 2 2 2 4 4 3" xfId="30480" xr:uid="{00000000-0005-0000-0000-0000C09B0000}"/>
    <cellStyle name="Normal 2 2 2 2 4 5" xfId="13529" xr:uid="{00000000-0005-0000-0000-0000C19B0000}"/>
    <cellStyle name="Normal 2 2 2 2 4 5 2" xfId="36131" xr:uid="{00000000-0005-0000-0000-0000C29B0000}"/>
    <cellStyle name="Normal 2 2 2 2 4 6" xfId="24830" xr:uid="{00000000-0005-0000-0000-0000C39B0000}"/>
    <cellStyle name="Normal 2 2 2 2 5" xfId="2430" xr:uid="{00000000-0005-0000-0000-0000C49B0000}"/>
    <cellStyle name="Normal 2 2 2 2 5 2" xfId="8266" xr:uid="{00000000-0005-0000-0000-0000C59B0000}"/>
    <cellStyle name="Normal 2 2 2 2 5 2 2" xfId="19567" xr:uid="{00000000-0005-0000-0000-0000C69B0000}"/>
    <cellStyle name="Normal 2 2 2 2 5 2 2 2" xfId="42169" xr:uid="{00000000-0005-0000-0000-0000C79B0000}"/>
    <cellStyle name="Normal 2 2 2 2 5 2 3" xfId="30868" xr:uid="{00000000-0005-0000-0000-0000C89B0000}"/>
    <cellStyle name="Normal 2 2 2 2 5 3" xfId="13917" xr:uid="{00000000-0005-0000-0000-0000C99B0000}"/>
    <cellStyle name="Normal 2 2 2 2 5 3 2" xfId="36519" xr:uid="{00000000-0005-0000-0000-0000CA9B0000}"/>
    <cellStyle name="Normal 2 2 2 2 5 4" xfId="25218" xr:uid="{00000000-0005-0000-0000-0000CB9B0000}"/>
    <cellStyle name="Normal 2 2 2 2 6" xfId="4215" xr:uid="{00000000-0005-0000-0000-0000CC9B0000}"/>
    <cellStyle name="Normal 2 2 2 2 6 2" xfId="9865" xr:uid="{00000000-0005-0000-0000-0000CD9B0000}"/>
    <cellStyle name="Normal 2 2 2 2 6 2 2" xfId="21166" xr:uid="{00000000-0005-0000-0000-0000CE9B0000}"/>
    <cellStyle name="Normal 2 2 2 2 6 2 2 2" xfId="43768" xr:uid="{00000000-0005-0000-0000-0000CF9B0000}"/>
    <cellStyle name="Normal 2 2 2 2 6 2 3" xfId="32467" xr:uid="{00000000-0005-0000-0000-0000D09B0000}"/>
    <cellStyle name="Normal 2 2 2 2 6 3" xfId="15516" xr:uid="{00000000-0005-0000-0000-0000D19B0000}"/>
    <cellStyle name="Normal 2 2 2 2 6 3 2" xfId="38118" xr:uid="{00000000-0005-0000-0000-0000D29B0000}"/>
    <cellStyle name="Normal 2 2 2 2 6 4" xfId="26817" xr:uid="{00000000-0005-0000-0000-0000D39B0000}"/>
    <cellStyle name="Normal 2 2 2 2 7" xfId="6695" xr:uid="{00000000-0005-0000-0000-0000D49B0000}"/>
    <cellStyle name="Normal 2 2 2 2 7 2" xfId="17996" xr:uid="{00000000-0005-0000-0000-0000D59B0000}"/>
    <cellStyle name="Normal 2 2 2 2 7 2 2" xfId="40598" xr:uid="{00000000-0005-0000-0000-0000D69B0000}"/>
    <cellStyle name="Normal 2 2 2 2 7 3" xfId="29297" xr:uid="{00000000-0005-0000-0000-0000D79B0000}"/>
    <cellStyle name="Normal 2 2 2 2 8" xfId="12346" xr:uid="{00000000-0005-0000-0000-0000D89B0000}"/>
    <cellStyle name="Normal 2 2 2 2 8 2" xfId="34948" xr:uid="{00000000-0005-0000-0000-0000D99B0000}"/>
    <cellStyle name="Normal 2 2 2 2 9" xfId="23647" xr:uid="{00000000-0005-0000-0000-0000DA9B0000}"/>
    <cellStyle name="Normal 2 2 2 3" xfId="1202" xr:uid="{00000000-0005-0000-0000-0000DB9B0000}"/>
    <cellStyle name="Normal 2 2 2 3 2" xfId="2024" xr:uid="{00000000-0005-0000-0000-0000DC9B0000}"/>
    <cellStyle name="Normal 2 2 2 3 2 2" xfId="3270" xr:uid="{00000000-0005-0000-0000-0000DD9B0000}"/>
    <cellStyle name="Normal 2 2 2 3 2 2 2" xfId="6242" xr:uid="{00000000-0005-0000-0000-0000DE9B0000}"/>
    <cellStyle name="Normal 2 2 2 3 2 2 2 2" xfId="11892" xr:uid="{00000000-0005-0000-0000-0000DF9B0000}"/>
    <cellStyle name="Normal 2 2 2 3 2 2 2 2 2" xfId="23193" xr:uid="{00000000-0005-0000-0000-0000E09B0000}"/>
    <cellStyle name="Normal 2 2 2 3 2 2 2 2 2 2" xfId="45795" xr:uid="{00000000-0005-0000-0000-0000E19B0000}"/>
    <cellStyle name="Normal 2 2 2 3 2 2 2 2 3" xfId="34494" xr:uid="{00000000-0005-0000-0000-0000E29B0000}"/>
    <cellStyle name="Normal 2 2 2 3 2 2 2 3" xfId="17543" xr:uid="{00000000-0005-0000-0000-0000E39B0000}"/>
    <cellStyle name="Normal 2 2 2 3 2 2 2 3 2" xfId="40145" xr:uid="{00000000-0005-0000-0000-0000E49B0000}"/>
    <cellStyle name="Normal 2 2 2 3 2 2 2 4" xfId="28844" xr:uid="{00000000-0005-0000-0000-0000E59B0000}"/>
    <cellStyle name="Normal 2 2 2 3 2 2 3" xfId="9060" xr:uid="{00000000-0005-0000-0000-0000E69B0000}"/>
    <cellStyle name="Normal 2 2 2 3 2 2 3 2" xfId="20361" xr:uid="{00000000-0005-0000-0000-0000E79B0000}"/>
    <cellStyle name="Normal 2 2 2 3 2 2 3 2 2" xfId="42963" xr:uid="{00000000-0005-0000-0000-0000E89B0000}"/>
    <cellStyle name="Normal 2 2 2 3 2 2 3 3" xfId="31662" xr:uid="{00000000-0005-0000-0000-0000E99B0000}"/>
    <cellStyle name="Normal 2 2 2 3 2 2 4" xfId="14711" xr:uid="{00000000-0005-0000-0000-0000EA9B0000}"/>
    <cellStyle name="Normal 2 2 2 3 2 2 4 2" xfId="37313" xr:uid="{00000000-0005-0000-0000-0000EB9B0000}"/>
    <cellStyle name="Normal 2 2 2 3 2 2 5" xfId="26012" xr:uid="{00000000-0005-0000-0000-0000EC9B0000}"/>
    <cellStyle name="Normal 2 2 2 3 2 3" xfId="5008" xr:uid="{00000000-0005-0000-0000-0000ED9B0000}"/>
    <cellStyle name="Normal 2 2 2 3 2 3 2" xfId="10658" xr:uid="{00000000-0005-0000-0000-0000EE9B0000}"/>
    <cellStyle name="Normal 2 2 2 3 2 3 2 2" xfId="21959" xr:uid="{00000000-0005-0000-0000-0000EF9B0000}"/>
    <cellStyle name="Normal 2 2 2 3 2 3 2 2 2" xfId="44561" xr:uid="{00000000-0005-0000-0000-0000F09B0000}"/>
    <cellStyle name="Normal 2 2 2 3 2 3 2 3" xfId="33260" xr:uid="{00000000-0005-0000-0000-0000F19B0000}"/>
    <cellStyle name="Normal 2 2 2 3 2 3 3" xfId="16309" xr:uid="{00000000-0005-0000-0000-0000F29B0000}"/>
    <cellStyle name="Normal 2 2 2 3 2 3 3 2" xfId="38911" xr:uid="{00000000-0005-0000-0000-0000F39B0000}"/>
    <cellStyle name="Normal 2 2 2 3 2 3 4" xfId="27610" xr:uid="{00000000-0005-0000-0000-0000F49B0000}"/>
    <cellStyle name="Normal 2 2 2 3 2 4" xfId="7880" xr:uid="{00000000-0005-0000-0000-0000F59B0000}"/>
    <cellStyle name="Normal 2 2 2 3 2 4 2" xfId="19181" xr:uid="{00000000-0005-0000-0000-0000F69B0000}"/>
    <cellStyle name="Normal 2 2 2 3 2 4 2 2" xfId="41783" xr:uid="{00000000-0005-0000-0000-0000F79B0000}"/>
    <cellStyle name="Normal 2 2 2 3 2 4 3" xfId="30482" xr:uid="{00000000-0005-0000-0000-0000F89B0000}"/>
    <cellStyle name="Normal 2 2 2 3 2 5" xfId="13531" xr:uid="{00000000-0005-0000-0000-0000F99B0000}"/>
    <cellStyle name="Normal 2 2 2 3 2 5 2" xfId="36133" xr:uid="{00000000-0005-0000-0000-0000FA9B0000}"/>
    <cellStyle name="Normal 2 2 2 3 2 6" xfId="24832" xr:uid="{00000000-0005-0000-0000-0000FB9B0000}"/>
    <cellStyle name="Normal 2 2 2 3 3" xfId="2599" xr:uid="{00000000-0005-0000-0000-0000FC9B0000}"/>
    <cellStyle name="Normal 2 2 2 3 3 2" xfId="5618" xr:uid="{00000000-0005-0000-0000-0000FD9B0000}"/>
    <cellStyle name="Normal 2 2 2 3 3 2 2" xfId="11268" xr:uid="{00000000-0005-0000-0000-0000FE9B0000}"/>
    <cellStyle name="Normal 2 2 2 3 3 2 2 2" xfId="22569" xr:uid="{00000000-0005-0000-0000-0000FF9B0000}"/>
    <cellStyle name="Normal 2 2 2 3 3 2 2 2 2" xfId="45171" xr:uid="{00000000-0005-0000-0000-0000009C0000}"/>
    <cellStyle name="Normal 2 2 2 3 3 2 2 3" xfId="33870" xr:uid="{00000000-0005-0000-0000-0000019C0000}"/>
    <cellStyle name="Normal 2 2 2 3 3 2 3" xfId="16919" xr:uid="{00000000-0005-0000-0000-0000029C0000}"/>
    <cellStyle name="Normal 2 2 2 3 3 2 3 2" xfId="39521" xr:uid="{00000000-0005-0000-0000-0000039C0000}"/>
    <cellStyle name="Normal 2 2 2 3 3 2 4" xfId="28220" xr:uid="{00000000-0005-0000-0000-0000049C0000}"/>
    <cellStyle name="Normal 2 2 2 3 3 3" xfId="8435" xr:uid="{00000000-0005-0000-0000-0000059C0000}"/>
    <cellStyle name="Normal 2 2 2 3 3 3 2" xfId="19736" xr:uid="{00000000-0005-0000-0000-0000069C0000}"/>
    <cellStyle name="Normal 2 2 2 3 3 3 2 2" xfId="42338" xr:uid="{00000000-0005-0000-0000-0000079C0000}"/>
    <cellStyle name="Normal 2 2 2 3 3 3 3" xfId="31037" xr:uid="{00000000-0005-0000-0000-0000089C0000}"/>
    <cellStyle name="Normal 2 2 2 3 3 4" xfId="14086" xr:uid="{00000000-0005-0000-0000-0000099C0000}"/>
    <cellStyle name="Normal 2 2 2 3 3 4 2" xfId="36688" xr:uid="{00000000-0005-0000-0000-00000A9C0000}"/>
    <cellStyle name="Normal 2 2 2 3 3 5" xfId="25387" xr:uid="{00000000-0005-0000-0000-00000B9C0000}"/>
    <cellStyle name="Normal 2 2 2 3 4" xfId="4384" xr:uid="{00000000-0005-0000-0000-00000C9C0000}"/>
    <cellStyle name="Normal 2 2 2 3 4 2" xfId="10034" xr:uid="{00000000-0005-0000-0000-00000D9C0000}"/>
    <cellStyle name="Normal 2 2 2 3 4 2 2" xfId="21335" xr:uid="{00000000-0005-0000-0000-00000E9C0000}"/>
    <cellStyle name="Normal 2 2 2 3 4 2 2 2" xfId="43937" xr:uid="{00000000-0005-0000-0000-00000F9C0000}"/>
    <cellStyle name="Normal 2 2 2 3 4 2 3" xfId="32636" xr:uid="{00000000-0005-0000-0000-0000109C0000}"/>
    <cellStyle name="Normal 2 2 2 3 4 3" xfId="15685" xr:uid="{00000000-0005-0000-0000-0000119C0000}"/>
    <cellStyle name="Normal 2 2 2 3 4 3 2" xfId="38287" xr:uid="{00000000-0005-0000-0000-0000129C0000}"/>
    <cellStyle name="Normal 2 2 2 3 4 4" xfId="26986" xr:uid="{00000000-0005-0000-0000-0000139C0000}"/>
    <cellStyle name="Normal 2 2 2 3 5" xfId="7181" xr:uid="{00000000-0005-0000-0000-0000149C0000}"/>
    <cellStyle name="Normal 2 2 2 3 5 2" xfId="18482" xr:uid="{00000000-0005-0000-0000-0000159C0000}"/>
    <cellStyle name="Normal 2 2 2 3 5 2 2" xfId="41084" xr:uid="{00000000-0005-0000-0000-0000169C0000}"/>
    <cellStyle name="Normal 2 2 2 3 5 3" xfId="29783" xr:uid="{00000000-0005-0000-0000-0000179C0000}"/>
    <cellStyle name="Normal 2 2 2 3 6" xfId="12832" xr:uid="{00000000-0005-0000-0000-0000189C0000}"/>
    <cellStyle name="Normal 2 2 2 3 6 2" xfId="35434" xr:uid="{00000000-0005-0000-0000-0000199C0000}"/>
    <cellStyle name="Normal 2 2 2 3 7" xfId="24133" xr:uid="{00000000-0005-0000-0000-00001A9C0000}"/>
    <cellStyle name="Normal 2 2 2 4" xfId="893" xr:uid="{00000000-0005-0000-0000-00001B9C0000}"/>
    <cellStyle name="Normal 2 2 2 4 2" xfId="2963" xr:uid="{00000000-0005-0000-0000-00001C9C0000}"/>
    <cellStyle name="Normal 2 2 2 4 2 2" xfId="5935" xr:uid="{00000000-0005-0000-0000-00001D9C0000}"/>
    <cellStyle name="Normal 2 2 2 4 2 2 2" xfId="11585" xr:uid="{00000000-0005-0000-0000-00001E9C0000}"/>
    <cellStyle name="Normal 2 2 2 4 2 2 2 2" xfId="22886" xr:uid="{00000000-0005-0000-0000-00001F9C0000}"/>
    <cellStyle name="Normal 2 2 2 4 2 2 2 2 2" xfId="45488" xr:uid="{00000000-0005-0000-0000-0000209C0000}"/>
    <cellStyle name="Normal 2 2 2 4 2 2 2 3" xfId="34187" xr:uid="{00000000-0005-0000-0000-0000219C0000}"/>
    <cellStyle name="Normal 2 2 2 4 2 2 3" xfId="17236" xr:uid="{00000000-0005-0000-0000-0000229C0000}"/>
    <cellStyle name="Normal 2 2 2 4 2 2 3 2" xfId="39838" xr:uid="{00000000-0005-0000-0000-0000239C0000}"/>
    <cellStyle name="Normal 2 2 2 4 2 2 4" xfId="28537" xr:uid="{00000000-0005-0000-0000-0000249C0000}"/>
    <cellStyle name="Normal 2 2 2 4 2 3" xfId="8753" xr:uid="{00000000-0005-0000-0000-0000259C0000}"/>
    <cellStyle name="Normal 2 2 2 4 2 3 2" xfId="20054" xr:uid="{00000000-0005-0000-0000-0000269C0000}"/>
    <cellStyle name="Normal 2 2 2 4 2 3 2 2" xfId="42656" xr:uid="{00000000-0005-0000-0000-0000279C0000}"/>
    <cellStyle name="Normal 2 2 2 4 2 3 3" xfId="31355" xr:uid="{00000000-0005-0000-0000-0000289C0000}"/>
    <cellStyle name="Normal 2 2 2 4 2 4" xfId="14404" xr:uid="{00000000-0005-0000-0000-0000299C0000}"/>
    <cellStyle name="Normal 2 2 2 4 2 4 2" xfId="37006" xr:uid="{00000000-0005-0000-0000-00002A9C0000}"/>
    <cellStyle name="Normal 2 2 2 4 2 5" xfId="25705" xr:uid="{00000000-0005-0000-0000-00002B9C0000}"/>
    <cellStyle name="Normal 2 2 2 4 3" xfId="4701" xr:uid="{00000000-0005-0000-0000-00002C9C0000}"/>
    <cellStyle name="Normal 2 2 2 4 3 2" xfId="10351" xr:uid="{00000000-0005-0000-0000-00002D9C0000}"/>
    <cellStyle name="Normal 2 2 2 4 3 2 2" xfId="21652" xr:uid="{00000000-0005-0000-0000-00002E9C0000}"/>
    <cellStyle name="Normal 2 2 2 4 3 2 2 2" xfId="44254" xr:uid="{00000000-0005-0000-0000-00002F9C0000}"/>
    <cellStyle name="Normal 2 2 2 4 3 2 3" xfId="32953" xr:uid="{00000000-0005-0000-0000-0000309C0000}"/>
    <cellStyle name="Normal 2 2 2 4 3 3" xfId="16002" xr:uid="{00000000-0005-0000-0000-0000319C0000}"/>
    <cellStyle name="Normal 2 2 2 4 3 3 2" xfId="38604" xr:uid="{00000000-0005-0000-0000-0000329C0000}"/>
    <cellStyle name="Normal 2 2 2 4 3 4" xfId="27303" xr:uid="{00000000-0005-0000-0000-0000339C0000}"/>
    <cellStyle name="Normal 2 2 2 4 4" xfId="6888" xr:uid="{00000000-0005-0000-0000-0000349C0000}"/>
    <cellStyle name="Normal 2 2 2 4 4 2" xfId="18189" xr:uid="{00000000-0005-0000-0000-0000359C0000}"/>
    <cellStyle name="Normal 2 2 2 4 4 2 2" xfId="40791" xr:uid="{00000000-0005-0000-0000-0000369C0000}"/>
    <cellStyle name="Normal 2 2 2 4 4 3" xfId="29490" xr:uid="{00000000-0005-0000-0000-0000379C0000}"/>
    <cellStyle name="Normal 2 2 2 4 5" xfId="12539" xr:uid="{00000000-0005-0000-0000-0000389C0000}"/>
    <cellStyle name="Normal 2 2 2 4 5 2" xfId="35141" xr:uid="{00000000-0005-0000-0000-0000399C0000}"/>
    <cellStyle name="Normal 2 2 2 4 6" xfId="23840" xr:uid="{00000000-0005-0000-0000-00003A9C0000}"/>
    <cellStyle name="Normal 2 2 2 5" xfId="2021" xr:uid="{00000000-0005-0000-0000-00003B9C0000}"/>
    <cellStyle name="Normal 2 2 2 5 2" xfId="3787" xr:uid="{00000000-0005-0000-0000-00003C9C0000}"/>
    <cellStyle name="Normal 2 2 2 5 2 2" xfId="9495" xr:uid="{00000000-0005-0000-0000-00003D9C0000}"/>
    <cellStyle name="Normal 2 2 2 5 2 2 2" xfId="20796" xr:uid="{00000000-0005-0000-0000-00003E9C0000}"/>
    <cellStyle name="Normal 2 2 2 5 2 2 2 2" xfId="43398" xr:uid="{00000000-0005-0000-0000-00003F9C0000}"/>
    <cellStyle name="Normal 2 2 2 5 2 2 3" xfId="32097" xr:uid="{00000000-0005-0000-0000-0000409C0000}"/>
    <cellStyle name="Normal 2 2 2 5 2 3" xfId="15146" xr:uid="{00000000-0005-0000-0000-0000419C0000}"/>
    <cellStyle name="Normal 2 2 2 5 2 3 2" xfId="37748" xr:uid="{00000000-0005-0000-0000-0000429C0000}"/>
    <cellStyle name="Normal 2 2 2 5 2 4" xfId="26447" xr:uid="{00000000-0005-0000-0000-0000439C0000}"/>
    <cellStyle name="Normal 2 2 2 5 3" xfId="5311" xr:uid="{00000000-0005-0000-0000-0000449C0000}"/>
    <cellStyle name="Normal 2 2 2 5 3 2" xfId="10961" xr:uid="{00000000-0005-0000-0000-0000459C0000}"/>
    <cellStyle name="Normal 2 2 2 5 3 2 2" xfId="22262" xr:uid="{00000000-0005-0000-0000-0000469C0000}"/>
    <cellStyle name="Normal 2 2 2 5 3 2 2 2" xfId="44864" xr:uid="{00000000-0005-0000-0000-0000479C0000}"/>
    <cellStyle name="Normal 2 2 2 5 3 2 3" xfId="33563" xr:uid="{00000000-0005-0000-0000-0000489C0000}"/>
    <cellStyle name="Normal 2 2 2 5 3 3" xfId="16612" xr:uid="{00000000-0005-0000-0000-0000499C0000}"/>
    <cellStyle name="Normal 2 2 2 5 3 3 2" xfId="39214" xr:uid="{00000000-0005-0000-0000-00004A9C0000}"/>
    <cellStyle name="Normal 2 2 2 5 3 4" xfId="27913" xr:uid="{00000000-0005-0000-0000-00004B9C0000}"/>
    <cellStyle name="Normal 2 2 2 5 4" xfId="7877" xr:uid="{00000000-0005-0000-0000-00004C9C0000}"/>
    <cellStyle name="Normal 2 2 2 5 4 2" xfId="19178" xr:uid="{00000000-0005-0000-0000-00004D9C0000}"/>
    <cellStyle name="Normal 2 2 2 5 4 2 2" xfId="41780" xr:uid="{00000000-0005-0000-0000-00004E9C0000}"/>
    <cellStyle name="Normal 2 2 2 5 4 3" xfId="30479" xr:uid="{00000000-0005-0000-0000-00004F9C0000}"/>
    <cellStyle name="Normal 2 2 2 5 5" xfId="13528" xr:uid="{00000000-0005-0000-0000-0000509C0000}"/>
    <cellStyle name="Normal 2 2 2 5 5 2" xfId="36130" xr:uid="{00000000-0005-0000-0000-0000519C0000}"/>
    <cellStyle name="Normal 2 2 2 5 6" xfId="24829" xr:uid="{00000000-0005-0000-0000-0000529C0000}"/>
    <cellStyle name="Normal 2 2 2 6" xfId="2290" xr:uid="{00000000-0005-0000-0000-0000539C0000}"/>
    <cellStyle name="Normal 2 2 2 6 2" xfId="8126" xr:uid="{00000000-0005-0000-0000-0000549C0000}"/>
    <cellStyle name="Normal 2 2 2 6 2 2" xfId="19427" xr:uid="{00000000-0005-0000-0000-0000559C0000}"/>
    <cellStyle name="Normal 2 2 2 6 2 2 2" xfId="42029" xr:uid="{00000000-0005-0000-0000-0000569C0000}"/>
    <cellStyle name="Normal 2 2 2 6 2 3" xfId="30728" xr:uid="{00000000-0005-0000-0000-0000579C0000}"/>
    <cellStyle name="Normal 2 2 2 6 3" xfId="13777" xr:uid="{00000000-0005-0000-0000-0000589C0000}"/>
    <cellStyle name="Normal 2 2 2 6 3 2" xfId="36379" xr:uid="{00000000-0005-0000-0000-0000599C0000}"/>
    <cellStyle name="Normal 2 2 2 6 4" xfId="25078" xr:uid="{00000000-0005-0000-0000-00005A9C0000}"/>
    <cellStyle name="Normal 2 2 2 7" xfId="4077" xr:uid="{00000000-0005-0000-0000-00005B9C0000}"/>
    <cellStyle name="Normal 2 2 2 7 2" xfId="9727" xr:uid="{00000000-0005-0000-0000-00005C9C0000}"/>
    <cellStyle name="Normal 2 2 2 7 2 2" xfId="21028" xr:uid="{00000000-0005-0000-0000-00005D9C0000}"/>
    <cellStyle name="Normal 2 2 2 7 2 2 2" xfId="43630" xr:uid="{00000000-0005-0000-0000-00005E9C0000}"/>
    <cellStyle name="Normal 2 2 2 7 2 3" xfId="32329" xr:uid="{00000000-0005-0000-0000-00005F9C0000}"/>
    <cellStyle name="Normal 2 2 2 7 3" xfId="15378" xr:uid="{00000000-0005-0000-0000-0000609C0000}"/>
    <cellStyle name="Normal 2 2 2 7 3 2" xfId="37980" xr:uid="{00000000-0005-0000-0000-0000619C0000}"/>
    <cellStyle name="Normal 2 2 2 7 4" xfId="26679" xr:uid="{00000000-0005-0000-0000-0000629C0000}"/>
    <cellStyle name="Normal 2 2 2 8" xfId="6528" xr:uid="{00000000-0005-0000-0000-0000639C0000}"/>
    <cellStyle name="Normal 2 2 2 8 2" xfId="17829" xr:uid="{00000000-0005-0000-0000-0000649C0000}"/>
    <cellStyle name="Normal 2 2 2 8 2 2" xfId="40431" xr:uid="{00000000-0005-0000-0000-0000659C0000}"/>
    <cellStyle name="Normal 2 2 2 8 3" xfId="29130" xr:uid="{00000000-0005-0000-0000-0000669C0000}"/>
    <cellStyle name="Normal 2 2 2 9" xfId="12179" xr:uid="{00000000-0005-0000-0000-0000679C0000}"/>
    <cellStyle name="Normal 2 2 2 9 2" xfId="34781" xr:uid="{00000000-0005-0000-0000-0000689C0000}"/>
    <cellStyle name="Normal 2 2 3" xfId="534" xr:uid="{00000000-0005-0000-0000-0000699C0000}"/>
    <cellStyle name="Normal 2 2 3 2" xfId="1107" xr:uid="{00000000-0005-0000-0000-00006A9C0000}"/>
    <cellStyle name="Normal 2 2 3 2 2" xfId="2026" xr:uid="{00000000-0005-0000-0000-00006B9C0000}"/>
    <cellStyle name="Normal 2 2 3 2 2 2" xfId="3175" xr:uid="{00000000-0005-0000-0000-00006C9C0000}"/>
    <cellStyle name="Normal 2 2 3 2 2 2 2" xfId="6147" xr:uid="{00000000-0005-0000-0000-00006D9C0000}"/>
    <cellStyle name="Normal 2 2 3 2 2 2 2 2" xfId="11797" xr:uid="{00000000-0005-0000-0000-00006E9C0000}"/>
    <cellStyle name="Normal 2 2 3 2 2 2 2 2 2" xfId="23098" xr:uid="{00000000-0005-0000-0000-00006F9C0000}"/>
    <cellStyle name="Normal 2 2 3 2 2 2 2 2 2 2" xfId="45700" xr:uid="{00000000-0005-0000-0000-0000709C0000}"/>
    <cellStyle name="Normal 2 2 3 2 2 2 2 2 3" xfId="34399" xr:uid="{00000000-0005-0000-0000-0000719C0000}"/>
    <cellStyle name="Normal 2 2 3 2 2 2 2 3" xfId="17448" xr:uid="{00000000-0005-0000-0000-0000729C0000}"/>
    <cellStyle name="Normal 2 2 3 2 2 2 2 3 2" xfId="40050" xr:uid="{00000000-0005-0000-0000-0000739C0000}"/>
    <cellStyle name="Normal 2 2 3 2 2 2 2 4" xfId="28749" xr:uid="{00000000-0005-0000-0000-0000749C0000}"/>
    <cellStyle name="Normal 2 2 3 2 2 2 3" xfId="8965" xr:uid="{00000000-0005-0000-0000-0000759C0000}"/>
    <cellStyle name="Normal 2 2 3 2 2 2 3 2" xfId="20266" xr:uid="{00000000-0005-0000-0000-0000769C0000}"/>
    <cellStyle name="Normal 2 2 3 2 2 2 3 2 2" xfId="42868" xr:uid="{00000000-0005-0000-0000-0000779C0000}"/>
    <cellStyle name="Normal 2 2 3 2 2 2 3 3" xfId="31567" xr:uid="{00000000-0005-0000-0000-0000789C0000}"/>
    <cellStyle name="Normal 2 2 3 2 2 2 4" xfId="14616" xr:uid="{00000000-0005-0000-0000-0000799C0000}"/>
    <cellStyle name="Normal 2 2 3 2 2 2 4 2" xfId="37218" xr:uid="{00000000-0005-0000-0000-00007A9C0000}"/>
    <cellStyle name="Normal 2 2 3 2 2 2 5" xfId="25917" xr:uid="{00000000-0005-0000-0000-00007B9C0000}"/>
    <cellStyle name="Normal 2 2 3 2 2 3" xfId="4913" xr:uid="{00000000-0005-0000-0000-00007C9C0000}"/>
    <cellStyle name="Normal 2 2 3 2 2 3 2" xfId="10563" xr:uid="{00000000-0005-0000-0000-00007D9C0000}"/>
    <cellStyle name="Normal 2 2 3 2 2 3 2 2" xfId="21864" xr:uid="{00000000-0005-0000-0000-00007E9C0000}"/>
    <cellStyle name="Normal 2 2 3 2 2 3 2 2 2" xfId="44466" xr:uid="{00000000-0005-0000-0000-00007F9C0000}"/>
    <cellStyle name="Normal 2 2 3 2 2 3 2 3" xfId="33165" xr:uid="{00000000-0005-0000-0000-0000809C0000}"/>
    <cellStyle name="Normal 2 2 3 2 2 3 3" xfId="16214" xr:uid="{00000000-0005-0000-0000-0000819C0000}"/>
    <cellStyle name="Normal 2 2 3 2 2 3 3 2" xfId="38816" xr:uid="{00000000-0005-0000-0000-0000829C0000}"/>
    <cellStyle name="Normal 2 2 3 2 2 3 4" xfId="27515" xr:uid="{00000000-0005-0000-0000-0000839C0000}"/>
    <cellStyle name="Normal 2 2 3 2 2 4" xfId="7882" xr:uid="{00000000-0005-0000-0000-0000849C0000}"/>
    <cellStyle name="Normal 2 2 3 2 2 4 2" xfId="19183" xr:uid="{00000000-0005-0000-0000-0000859C0000}"/>
    <cellStyle name="Normal 2 2 3 2 2 4 2 2" xfId="41785" xr:uid="{00000000-0005-0000-0000-0000869C0000}"/>
    <cellStyle name="Normal 2 2 3 2 2 4 3" xfId="30484" xr:uid="{00000000-0005-0000-0000-0000879C0000}"/>
    <cellStyle name="Normal 2 2 3 2 2 5" xfId="13533" xr:uid="{00000000-0005-0000-0000-0000889C0000}"/>
    <cellStyle name="Normal 2 2 3 2 2 5 2" xfId="36135" xr:uid="{00000000-0005-0000-0000-0000899C0000}"/>
    <cellStyle name="Normal 2 2 3 2 2 6" xfId="24834" xr:uid="{00000000-0005-0000-0000-00008A9C0000}"/>
    <cellStyle name="Normal 2 2 3 2 3" xfId="2504" xr:uid="{00000000-0005-0000-0000-00008B9C0000}"/>
    <cellStyle name="Normal 2 2 3 2 3 2" xfId="5523" xr:uid="{00000000-0005-0000-0000-00008C9C0000}"/>
    <cellStyle name="Normal 2 2 3 2 3 2 2" xfId="11173" xr:uid="{00000000-0005-0000-0000-00008D9C0000}"/>
    <cellStyle name="Normal 2 2 3 2 3 2 2 2" xfId="22474" xr:uid="{00000000-0005-0000-0000-00008E9C0000}"/>
    <cellStyle name="Normal 2 2 3 2 3 2 2 2 2" xfId="45076" xr:uid="{00000000-0005-0000-0000-00008F9C0000}"/>
    <cellStyle name="Normal 2 2 3 2 3 2 2 3" xfId="33775" xr:uid="{00000000-0005-0000-0000-0000909C0000}"/>
    <cellStyle name="Normal 2 2 3 2 3 2 3" xfId="16824" xr:uid="{00000000-0005-0000-0000-0000919C0000}"/>
    <cellStyle name="Normal 2 2 3 2 3 2 3 2" xfId="39426" xr:uid="{00000000-0005-0000-0000-0000929C0000}"/>
    <cellStyle name="Normal 2 2 3 2 3 2 4" xfId="28125" xr:uid="{00000000-0005-0000-0000-0000939C0000}"/>
    <cellStyle name="Normal 2 2 3 2 3 3" xfId="8340" xr:uid="{00000000-0005-0000-0000-0000949C0000}"/>
    <cellStyle name="Normal 2 2 3 2 3 3 2" xfId="19641" xr:uid="{00000000-0005-0000-0000-0000959C0000}"/>
    <cellStyle name="Normal 2 2 3 2 3 3 2 2" xfId="42243" xr:uid="{00000000-0005-0000-0000-0000969C0000}"/>
    <cellStyle name="Normal 2 2 3 2 3 3 3" xfId="30942" xr:uid="{00000000-0005-0000-0000-0000979C0000}"/>
    <cellStyle name="Normal 2 2 3 2 3 4" xfId="13991" xr:uid="{00000000-0005-0000-0000-0000989C0000}"/>
    <cellStyle name="Normal 2 2 3 2 3 4 2" xfId="36593" xr:uid="{00000000-0005-0000-0000-0000999C0000}"/>
    <cellStyle name="Normal 2 2 3 2 3 5" xfId="25292" xr:uid="{00000000-0005-0000-0000-00009A9C0000}"/>
    <cellStyle name="Normal 2 2 3 2 4" xfId="4289" xr:uid="{00000000-0005-0000-0000-00009B9C0000}"/>
    <cellStyle name="Normal 2 2 3 2 4 2" xfId="9939" xr:uid="{00000000-0005-0000-0000-00009C9C0000}"/>
    <cellStyle name="Normal 2 2 3 2 4 2 2" xfId="21240" xr:uid="{00000000-0005-0000-0000-00009D9C0000}"/>
    <cellStyle name="Normal 2 2 3 2 4 2 2 2" xfId="43842" xr:uid="{00000000-0005-0000-0000-00009E9C0000}"/>
    <cellStyle name="Normal 2 2 3 2 4 2 3" xfId="32541" xr:uid="{00000000-0005-0000-0000-00009F9C0000}"/>
    <cellStyle name="Normal 2 2 3 2 4 3" xfId="15590" xr:uid="{00000000-0005-0000-0000-0000A09C0000}"/>
    <cellStyle name="Normal 2 2 3 2 4 3 2" xfId="38192" xr:uid="{00000000-0005-0000-0000-0000A19C0000}"/>
    <cellStyle name="Normal 2 2 3 2 4 4" xfId="26891" xr:uid="{00000000-0005-0000-0000-0000A29C0000}"/>
    <cellStyle name="Normal 2 2 3 2 5" xfId="7086" xr:uid="{00000000-0005-0000-0000-0000A39C0000}"/>
    <cellStyle name="Normal 2 2 3 2 5 2" xfId="18387" xr:uid="{00000000-0005-0000-0000-0000A49C0000}"/>
    <cellStyle name="Normal 2 2 3 2 5 2 2" xfId="40989" xr:uid="{00000000-0005-0000-0000-0000A59C0000}"/>
    <cellStyle name="Normal 2 2 3 2 5 3" xfId="29688" xr:uid="{00000000-0005-0000-0000-0000A69C0000}"/>
    <cellStyle name="Normal 2 2 3 2 6" xfId="12737" xr:uid="{00000000-0005-0000-0000-0000A79C0000}"/>
    <cellStyle name="Normal 2 2 3 2 6 2" xfId="35339" xr:uid="{00000000-0005-0000-0000-0000A89C0000}"/>
    <cellStyle name="Normal 2 2 3 2 7" xfId="24038" xr:uid="{00000000-0005-0000-0000-0000A99C0000}"/>
    <cellStyle name="Normal 2 2 3 3" xfId="787" xr:uid="{00000000-0005-0000-0000-0000AA9C0000}"/>
    <cellStyle name="Normal 2 2 3 3 2" xfId="2868" xr:uid="{00000000-0005-0000-0000-0000AB9C0000}"/>
    <cellStyle name="Normal 2 2 3 3 2 2" xfId="5840" xr:uid="{00000000-0005-0000-0000-0000AC9C0000}"/>
    <cellStyle name="Normal 2 2 3 3 2 2 2" xfId="11490" xr:uid="{00000000-0005-0000-0000-0000AD9C0000}"/>
    <cellStyle name="Normal 2 2 3 3 2 2 2 2" xfId="22791" xr:uid="{00000000-0005-0000-0000-0000AE9C0000}"/>
    <cellStyle name="Normal 2 2 3 3 2 2 2 2 2" xfId="45393" xr:uid="{00000000-0005-0000-0000-0000AF9C0000}"/>
    <cellStyle name="Normal 2 2 3 3 2 2 2 3" xfId="34092" xr:uid="{00000000-0005-0000-0000-0000B09C0000}"/>
    <cellStyle name="Normal 2 2 3 3 2 2 3" xfId="17141" xr:uid="{00000000-0005-0000-0000-0000B19C0000}"/>
    <cellStyle name="Normal 2 2 3 3 2 2 3 2" xfId="39743" xr:uid="{00000000-0005-0000-0000-0000B29C0000}"/>
    <cellStyle name="Normal 2 2 3 3 2 2 4" xfId="28442" xr:uid="{00000000-0005-0000-0000-0000B39C0000}"/>
    <cellStyle name="Normal 2 2 3 3 2 3" xfId="8658" xr:uid="{00000000-0005-0000-0000-0000B49C0000}"/>
    <cellStyle name="Normal 2 2 3 3 2 3 2" xfId="19959" xr:uid="{00000000-0005-0000-0000-0000B59C0000}"/>
    <cellStyle name="Normal 2 2 3 3 2 3 2 2" xfId="42561" xr:uid="{00000000-0005-0000-0000-0000B69C0000}"/>
    <cellStyle name="Normal 2 2 3 3 2 3 3" xfId="31260" xr:uid="{00000000-0005-0000-0000-0000B79C0000}"/>
    <cellStyle name="Normal 2 2 3 3 2 4" xfId="14309" xr:uid="{00000000-0005-0000-0000-0000B89C0000}"/>
    <cellStyle name="Normal 2 2 3 3 2 4 2" xfId="36911" xr:uid="{00000000-0005-0000-0000-0000B99C0000}"/>
    <cellStyle name="Normal 2 2 3 3 2 5" xfId="25610" xr:uid="{00000000-0005-0000-0000-0000BA9C0000}"/>
    <cellStyle name="Normal 2 2 3 3 3" xfId="4606" xr:uid="{00000000-0005-0000-0000-0000BB9C0000}"/>
    <cellStyle name="Normal 2 2 3 3 3 2" xfId="10256" xr:uid="{00000000-0005-0000-0000-0000BC9C0000}"/>
    <cellStyle name="Normal 2 2 3 3 3 2 2" xfId="21557" xr:uid="{00000000-0005-0000-0000-0000BD9C0000}"/>
    <cellStyle name="Normal 2 2 3 3 3 2 2 2" xfId="44159" xr:uid="{00000000-0005-0000-0000-0000BE9C0000}"/>
    <cellStyle name="Normal 2 2 3 3 3 2 3" xfId="32858" xr:uid="{00000000-0005-0000-0000-0000BF9C0000}"/>
    <cellStyle name="Normal 2 2 3 3 3 3" xfId="15907" xr:uid="{00000000-0005-0000-0000-0000C09C0000}"/>
    <cellStyle name="Normal 2 2 3 3 3 3 2" xfId="38509" xr:uid="{00000000-0005-0000-0000-0000C19C0000}"/>
    <cellStyle name="Normal 2 2 3 3 3 4" xfId="27208" xr:uid="{00000000-0005-0000-0000-0000C29C0000}"/>
    <cellStyle name="Normal 2 2 3 3 4" xfId="6792" xr:uid="{00000000-0005-0000-0000-0000C39C0000}"/>
    <cellStyle name="Normal 2 2 3 3 4 2" xfId="18093" xr:uid="{00000000-0005-0000-0000-0000C49C0000}"/>
    <cellStyle name="Normal 2 2 3 3 4 2 2" xfId="40695" xr:uid="{00000000-0005-0000-0000-0000C59C0000}"/>
    <cellStyle name="Normal 2 2 3 3 4 3" xfId="29394" xr:uid="{00000000-0005-0000-0000-0000C69C0000}"/>
    <cellStyle name="Normal 2 2 3 3 5" xfId="12443" xr:uid="{00000000-0005-0000-0000-0000C79C0000}"/>
    <cellStyle name="Normal 2 2 3 3 5 2" xfId="35045" xr:uid="{00000000-0005-0000-0000-0000C89C0000}"/>
    <cellStyle name="Normal 2 2 3 3 6" xfId="23744" xr:uid="{00000000-0005-0000-0000-0000C99C0000}"/>
    <cellStyle name="Normal 2 2 3 4" xfId="2025" xr:uid="{00000000-0005-0000-0000-0000CA9C0000}"/>
    <cellStyle name="Normal 2 2 3 4 2" xfId="3789" xr:uid="{00000000-0005-0000-0000-0000CB9C0000}"/>
    <cellStyle name="Normal 2 2 3 4 2 2" xfId="9497" xr:uid="{00000000-0005-0000-0000-0000CC9C0000}"/>
    <cellStyle name="Normal 2 2 3 4 2 2 2" xfId="20798" xr:uid="{00000000-0005-0000-0000-0000CD9C0000}"/>
    <cellStyle name="Normal 2 2 3 4 2 2 2 2" xfId="43400" xr:uid="{00000000-0005-0000-0000-0000CE9C0000}"/>
    <cellStyle name="Normal 2 2 3 4 2 2 3" xfId="32099" xr:uid="{00000000-0005-0000-0000-0000CF9C0000}"/>
    <cellStyle name="Normal 2 2 3 4 2 3" xfId="15148" xr:uid="{00000000-0005-0000-0000-0000D09C0000}"/>
    <cellStyle name="Normal 2 2 3 4 2 3 2" xfId="37750" xr:uid="{00000000-0005-0000-0000-0000D19C0000}"/>
    <cellStyle name="Normal 2 2 3 4 2 4" xfId="26449" xr:uid="{00000000-0005-0000-0000-0000D29C0000}"/>
    <cellStyle name="Normal 2 2 3 4 3" xfId="5216" xr:uid="{00000000-0005-0000-0000-0000D39C0000}"/>
    <cellStyle name="Normal 2 2 3 4 3 2" xfId="10866" xr:uid="{00000000-0005-0000-0000-0000D49C0000}"/>
    <cellStyle name="Normal 2 2 3 4 3 2 2" xfId="22167" xr:uid="{00000000-0005-0000-0000-0000D59C0000}"/>
    <cellStyle name="Normal 2 2 3 4 3 2 2 2" xfId="44769" xr:uid="{00000000-0005-0000-0000-0000D69C0000}"/>
    <cellStyle name="Normal 2 2 3 4 3 2 3" xfId="33468" xr:uid="{00000000-0005-0000-0000-0000D79C0000}"/>
    <cellStyle name="Normal 2 2 3 4 3 3" xfId="16517" xr:uid="{00000000-0005-0000-0000-0000D89C0000}"/>
    <cellStyle name="Normal 2 2 3 4 3 3 2" xfId="39119" xr:uid="{00000000-0005-0000-0000-0000D99C0000}"/>
    <cellStyle name="Normal 2 2 3 4 3 4" xfId="27818" xr:uid="{00000000-0005-0000-0000-0000DA9C0000}"/>
    <cellStyle name="Normal 2 2 3 4 4" xfId="7881" xr:uid="{00000000-0005-0000-0000-0000DB9C0000}"/>
    <cellStyle name="Normal 2 2 3 4 4 2" xfId="19182" xr:uid="{00000000-0005-0000-0000-0000DC9C0000}"/>
    <cellStyle name="Normal 2 2 3 4 4 2 2" xfId="41784" xr:uid="{00000000-0005-0000-0000-0000DD9C0000}"/>
    <cellStyle name="Normal 2 2 3 4 4 3" xfId="30483" xr:uid="{00000000-0005-0000-0000-0000DE9C0000}"/>
    <cellStyle name="Normal 2 2 3 4 5" xfId="13532" xr:uid="{00000000-0005-0000-0000-0000DF9C0000}"/>
    <cellStyle name="Normal 2 2 3 4 5 2" xfId="36134" xr:uid="{00000000-0005-0000-0000-0000E09C0000}"/>
    <cellStyle name="Normal 2 2 3 4 6" xfId="24833" xr:uid="{00000000-0005-0000-0000-0000E19C0000}"/>
    <cellStyle name="Normal 2 2 3 5" xfId="2189" xr:uid="{00000000-0005-0000-0000-0000E29C0000}"/>
    <cellStyle name="Normal 2 2 3 5 2" xfId="8030" xr:uid="{00000000-0005-0000-0000-0000E39C0000}"/>
    <cellStyle name="Normal 2 2 3 5 2 2" xfId="19331" xr:uid="{00000000-0005-0000-0000-0000E49C0000}"/>
    <cellStyle name="Normal 2 2 3 5 2 2 2" xfId="41933" xr:uid="{00000000-0005-0000-0000-0000E59C0000}"/>
    <cellStyle name="Normal 2 2 3 5 2 3" xfId="30632" xr:uid="{00000000-0005-0000-0000-0000E69C0000}"/>
    <cellStyle name="Normal 2 2 3 5 3" xfId="13681" xr:uid="{00000000-0005-0000-0000-0000E79C0000}"/>
    <cellStyle name="Normal 2 2 3 5 3 2" xfId="36283" xr:uid="{00000000-0005-0000-0000-0000E89C0000}"/>
    <cellStyle name="Normal 2 2 3 5 4" xfId="24982" xr:uid="{00000000-0005-0000-0000-0000E99C0000}"/>
    <cellStyle name="Normal 2 2 3 6" xfId="3982" xr:uid="{00000000-0005-0000-0000-0000EA9C0000}"/>
    <cellStyle name="Normal 2 2 3 6 2" xfId="9632" xr:uid="{00000000-0005-0000-0000-0000EB9C0000}"/>
    <cellStyle name="Normal 2 2 3 6 2 2" xfId="20933" xr:uid="{00000000-0005-0000-0000-0000EC9C0000}"/>
    <cellStyle name="Normal 2 2 3 6 2 2 2" xfId="43535" xr:uid="{00000000-0005-0000-0000-0000ED9C0000}"/>
    <cellStyle name="Normal 2 2 3 6 2 3" xfId="32234" xr:uid="{00000000-0005-0000-0000-0000EE9C0000}"/>
    <cellStyle name="Normal 2 2 3 6 3" xfId="15283" xr:uid="{00000000-0005-0000-0000-0000EF9C0000}"/>
    <cellStyle name="Normal 2 2 3 6 3 2" xfId="37885" xr:uid="{00000000-0005-0000-0000-0000F09C0000}"/>
    <cellStyle name="Normal 2 2 3 6 4" xfId="26584" xr:uid="{00000000-0005-0000-0000-0000F19C0000}"/>
    <cellStyle name="Normal 2 2 3 7" xfId="6600" xr:uid="{00000000-0005-0000-0000-0000F29C0000}"/>
    <cellStyle name="Normal 2 2 3 7 2" xfId="17901" xr:uid="{00000000-0005-0000-0000-0000F39C0000}"/>
    <cellStyle name="Normal 2 2 3 7 2 2" xfId="40503" xr:uid="{00000000-0005-0000-0000-0000F49C0000}"/>
    <cellStyle name="Normal 2 2 3 7 3" xfId="29202" xr:uid="{00000000-0005-0000-0000-0000F59C0000}"/>
    <cellStyle name="Normal 2 2 3 8" xfId="12251" xr:uid="{00000000-0005-0000-0000-0000F69C0000}"/>
    <cellStyle name="Normal 2 2 3 8 2" xfId="34853" xr:uid="{00000000-0005-0000-0000-0000F79C0000}"/>
    <cellStyle name="Normal 2 2 3 9" xfId="23552" xr:uid="{00000000-0005-0000-0000-0000F89C0000}"/>
    <cellStyle name="Normal 2 2 4" xfId="447" xr:uid="{00000000-0005-0000-0000-0000F99C0000}"/>
    <cellStyle name="Normal 2 2 4 2" xfId="1218" xr:uid="{00000000-0005-0000-0000-0000FA9C0000}"/>
    <cellStyle name="Normal 2 2 4 2 2" xfId="2028" xr:uid="{00000000-0005-0000-0000-0000FB9C0000}"/>
    <cellStyle name="Normal 2 2 4 2 2 2" xfId="3287" xr:uid="{00000000-0005-0000-0000-0000FC9C0000}"/>
    <cellStyle name="Normal 2 2 4 2 2 2 2" xfId="6259" xr:uid="{00000000-0005-0000-0000-0000FD9C0000}"/>
    <cellStyle name="Normal 2 2 4 2 2 2 2 2" xfId="11909" xr:uid="{00000000-0005-0000-0000-0000FE9C0000}"/>
    <cellStyle name="Normal 2 2 4 2 2 2 2 2 2" xfId="23210" xr:uid="{00000000-0005-0000-0000-0000FF9C0000}"/>
    <cellStyle name="Normal 2 2 4 2 2 2 2 2 2 2" xfId="45812" xr:uid="{00000000-0005-0000-0000-0000009D0000}"/>
    <cellStyle name="Normal 2 2 4 2 2 2 2 2 3" xfId="34511" xr:uid="{00000000-0005-0000-0000-0000019D0000}"/>
    <cellStyle name="Normal 2 2 4 2 2 2 2 3" xfId="17560" xr:uid="{00000000-0005-0000-0000-0000029D0000}"/>
    <cellStyle name="Normal 2 2 4 2 2 2 2 3 2" xfId="40162" xr:uid="{00000000-0005-0000-0000-0000039D0000}"/>
    <cellStyle name="Normal 2 2 4 2 2 2 2 4" xfId="28861" xr:uid="{00000000-0005-0000-0000-0000049D0000}"/>
    <cellStyle name="Normal 2 2 4 2 2 2 3" xfId="9077" xr:uid="{00000000-0005-0000-0000-0000059D0000}"/>
    <cellStyle name="Normal 2 2 4 2 2 2 3 2" xfId="20378" xr:uid="{00000000-0005-0000-0000-0000069D0000}"/>
    <cellStyle name="Normal 2 2 4 2 2 2 3 2 2" xfId="42980" xr:uid="{00000000-0005-0000-0000-0000079D0000}"/>
    <cellStyle name="Normal 2 2 4 2 2 2 3 3" xfId="31679" xr:uid="{00000000-0005-0000-0000-0000089D0000}"/>
    <cellStyle name="Normal 2 2 4 2 2 2 4" xfId="14728" xr:uid="{00000000-0005-0000-0000-0000099D0000}"/>
    <cellStyle name="Normal 2 2 4 2 2 2 4 2" xfId="37330" xr:uid="{00000000-0005-0000-0000-00000A9D0000}"/>
    <cellStyle name="Normal 2 2 4 2 2 2 5" xfId="26029" xr:uid="{00000000-0005-0000-0000-00000B9D0000}"/>
    <cellStyle name="Normal 2 2 4 2 2 3" xfId="5025" xr:uid="{00000000-0005-0000-0000-00000C9D0000}"/>
    <cellStyle name="Normal 2 2 4 2 2 3 2" xfId="10675" xr:uid="{00000000-0005-0000-0000-00000D9D0000}"/>
    <cellStyle name="Normal 2 2 4 2 2 3 2 2" xfId="21976" xr:uid="{00000000-0005-0000-0000-00000E9D0000}"/>
    <cellStyle name="Normal 2 2 4 2 2 3 2 2 2" xfId="44578" xr:uid="{00000000-0005-0000-0000-00000F9D0000}"/>
    <cellStyle name="Normal 2 2 4 2 2 3 2 3" xfId="33277" xr:uid="{00000000-0005-0000-0000-0000109D0000}"/>
    <cellStyle name="Normal 2 2 4 2 2 3 3" xfId="16326" xr:uid="{00000000-0005-0000-0000-0000119D0000}"/>
    <cellStyle name="Normal 2 2 4 2 2 3 3 2" xfId="38928" xr:uid="{00000000-0005-0000-0000-0000129D0000}"/>
    <cellStyle name="Normal 2 2 4 2 2 3 4" xfId="27627" xr:uid="{00000000-0005-0000-0000-0000139D0000}"/>
    <cellStyle name="Normal 2 2 4 2 2 4" xfId="7884" xr:uid="{00000000-0005-0000-0000-0000149D0000}"/>
    <cellStyle name="Normal 2 2 4 2 2 4 2" xfId="19185" xr:uid="{00000000-0005-0000-0000-0000159D0000}"/>
    <cellStyle name="Normal 2 2 4 2 2 4 2 2" xfId="41787" xr:uid="{00000000-0005-0000-0000-0000169D0000}"/>
    <cellStyle name="Normal 2 2 4 2 2 4 3" xfId="30486" xr:uid="{00000000-0005-0000-0000-0000179D0000}"/>
    <cellStyle name="Normal 2 2 4 2 2 5" xfId="13535" xr:uid="{00000000-0005-0000-0000-0000189D0000}"/>
    <cellStyle name="Normal 2 2 4 2 2 5 2" xfId="36137" xr:uid="{00000000-0005-0000-0000-0000199D0000}"/>
    <cellStyle name="Normal 2 2 4 2 2 6" xfId="24836" xr:uid="{00000000-0005-0000-0000-00001A9D0000}"/>
    <cellStyle name="Normal 2 2 4 2 3" xfId="2616" xr:uid="{00000000-0005-0000-0000-00001B9D0000}"/>
    <cellStyle name="Normal 2 2 4 2 3 2" xfId="5635" xr:uid="{00000000-0005-0000-0000-00001C9D0000}"/>
    <cellStyle name="Normal 2 2 4 2 3 2 2" xfId="11285" xr:uid="{00000000-0005-0000-0000-00001D9D0000}"/>
    <cellStyle name="Normal 2 2 4 2 3 2 2 2" xfId="22586" xr:uid="{00000000-0005-0000-0000-00001E9D0000}"/>
    <cellStyle name="Normal 2 2 4 2 3 2 2 2 2" xfId="45188" xr:uid="{00000000-0005-0000-0000-00001F9D0000}"/>
    <cellStyle name="Normal 2 2 4 2 3 2 2 3" xfId="33887" xr:uid="{00000000-0005-0000-0000-0000209D0000}"/>
    <cellStyle name="Normal 2 2 4 2 3 2 3" xfId="16936" xr:uid="{00000000-0005-0000-0000-0000219D0000}"/>
    <cellStyle name="Normal 2 2 4 2 3 2 3 2" xfId="39538" xr:uid="{00000000-0005-0000-0000-0000229D0000}"/>
    <cellStyle name="Normal 2 2 4 2 3 2 4" xfId="28237" xr:uid="{00000000-0005-0000-0000-0000239D0000}"/>
    <cellStyle name="Normal 2 2 4 2 3 3" xfId="8452" xr:uid="{00000000-0005-0000-0000-0000249D0000}"/>
    <cellStyle name="Normal 2 2 4 2 3 3 2" xfId="19753" xr:uid="{00000000-0005-0000-0000-0000259D0000}"/>
    <cellStyle name="Normal 2 2 4 2 3 3 2 2" xfId="42355" xr:uid="{00000000-0005-0000-0000-0000269D0000}"/>
    <cellStyle name="Normal 2 2 4 2 3 3 3" xfId="31054" xr:uid="{00000000-0005-0000-0000-0000279D0000}"/>
    <cellStyle name="Normal 2 2 4 2 3 4" xfId="14103" xr:uid="{00000000-0005-0000-0000-0000289D0000}"/>
    <cellStyle name="Normal 2 2 4 2 3 4 2" xfId="36705" xr:uid="{00000000-0005-0000-0000-0000299D0000}"/>
    <cellStyle name="Normal 2 2 4 2 3 5" xfId="25404" xr:uid="{00000000-0005-0000-0000-00002A9D0000}"/>
    <cellStyle name="Normal 2 2 4 2 4" xfId="4401" xr:uid="{00000000-0005-0000-0000-00002B9D0000}"/>
    <cellStyle name="Normal 2 2 4 2 4 2" xfId="10051" xr:uid="{00000000-0005-0000-0000-00002C9D0000}"/>
    <cellStyle name="Normal 2 2 4 2 4 2 2" xfId="21352" xr:uid="{00000000-0005-0000-0000-00002D9D0000}"/>
    <cellStyle name="Normal 2 2 4 2 4 2 2 2" xfId="43954" xr:uid="{00000000-0005-0000-0000-00002E9D0000}"/>
    <cellStyle name="Normal 2 2 4 2 4 2 3" xfId="32653" xr:uid="{00000000-0005-0000-0000-00002F9D0000}"/>
    <cellStyle name="Normal 2 2 4 2 4 3" xfId="15702" xr:uid="{00000000-0005-0000-0000-0000309D0000}"/>
    <cellStyle name="Normal 2 2 4 2 4 3 2" xfId="38304" xr:uid="{00000000-0005-0000-0000-0000319D0000}"/>
    <cellStyle name="Normal 2 2 4 2 4 4" xfId="27003" xr:uid="{00000000-0005-0000-0000-0000329D0000}"/>
    <cellStyle name="Normal 2 2 4 2 5" xfId="7197" xr:uid="{00000000-0005-0000-0000-0000339D0000}"/>
    <cellStyle name="Normal 2 2 4 2 5 2" xfId="18498" xr:uid="{00000000-0005-0000-0000-0000349D0000}"/>
    <cellStyle name="Normal 2 2 4 2 5 2 2" xfId="41100" xr:uid="{00000000-0005-0000-0000-0000359D0000}"/>
    <cellStyle name="Normal 2 2 4 2 5 3" xfId="29799" xr:uid="{00000000-0005-0000-0000-0000369D0000}"/>
    <cellStyle name="Normal 2 2 4 2 6" xfId="12848" xr:uid="{00000000-0005-0000-0000-0000379D0000}"/>
    <cellStyle name="Normal 2 2 4 2 6 2" xfId="35450" xr:uid="{00000000-0005-0000-0000-0000389D0000}"/>
    <cellStyle name="Normal 2 2 4 2 7" xfId="24149" xr:uid="{00000000-0005-0000-0000-0000399D0000}"/>
    <cellStyle name="Normal 2 2 4 3" xfId="915" xr:uid="{00000000-0005-0000-0000-00003A9D0000}"/>
    <cellStyle name="Normal 2 2 4 3 2" xfId="2979" xr:uid="{00000000-0005-0000-0000-00003B9D0000}"/>
    <cellStyle name="Normal 2 2 4 3 2 2" xfId="5951" xr:uid="{00000000-0005-0000-0000-00003C9D0000}"/>
    <cellStyle name="Normal 2 2 4 3 2 2 2" xfId="11601" xr:uid="{00000000-0005-0000-0000-00003D9D0000}"/>
    <cellStyle name="Normal 2 2 4 3 2 2 2 2" xfId="22902" xr:uid="{00000000-0005-0000-0000-00003E9D0000}"/>
    <cellStyle name="Normal 2 2 4 3 2 2 2 2 2" xfId="45504" xr:uid="{00000000-0005-0000-0000-00003F9D0000}"/>
    <cellStyle name="Normal 2 2 4 3 2 2 2 3" xfId="34203" xr:uid="{00000000-0005-0000-0000-0000409D0000}"/>
    <cellStyle name="Normal 2 2 4 3 2 2 3" xfId="17252" xr:uid="{00000000-0005-0000-0000-0000419D0000}"/>
    <cellStyle name="Normal 2 2 4 3 2 2 3 2" xfId="39854" xr:uid="{00000000-0005-0000-0000-0000429D0000}"/>
    <cellStyle name="Normal 2 2 4 3 2 2 4" xfId="28553" xr:uid="{00000000-0005-0000-0000-0000439D0000}"/>
    <cellStyle name="Normal 2 2 4 3 2 3" xfId="8769" xr:uid="{00000000-0005-0000-0000-0000449D0000}"/>
    <cellStyle name="Normal 2 2 4 3 2 3 2" xfId="20070" xr:uid="{00000000-0005-0000-0000-0000459D0000}"/>
    <cellStyle name="Normal 2 2 4 3 2 3 2 2" xfId="42672" xr:uid="{00000000-0005-0000-0000-0000469D0000}"/>
    <cellStyle name="Normal 2 2 4 3 2 3 3" xfId="31371" xr:uid="{00000000-0005-0000-0000-0000479D0000}"/>
    <cellStyle name="Normal 2 2 4 3 2 4" xfId="14420" xr:uid="{00000000-0005-0000-0000-0000489D0000}"/>
    <cellStyle name="Normal 2 2 4 3 2 4 2" xfId="37022" xr:uid="{00000000-0005-0000-0000-0000499D0000}"/>
    <cellStyle name="Normal 2 2 4 3 2 5" xfId="25721" xr:uid="{00000000-0005-0000-0000-00004A9D0000}"/>
    <cellStyle name="Normal 2 2 4 3 3" xfId="4717" xr:uid="{00000000-0005-0000-0000-00004B9D0000}"/>
    <cellStyle name="Normal 2 2 4 3 3 2" xfId="10367" xr:uid="{00000000-0005-0000-0000-00004C9D0000}"/>
    <cellStyle name="Normal 2 2 4 3 3 2 2" xfId="21668" xr:uid="{00000000-0005-0000-0000-00004D9D0000}"/>
    <cellStyle name="Normal 2 2 4 3 3 2 2 2" xfId="44270" xr:uid="{00000000-0005-0000-0000-00004E9D0000}"/>
    <cellStyle name="Normal 2 2 4 3 3 2 3" xfId="32969" xr:uid="{00000000-0005-0000-0000-00004F9D0000}"/>
    <cellStyle name="Normal 2 2 4 3 3 3" xfId="16018" xr:uid="{00000000-0005-0000-0000-0000509D0000}"/>
    <cellStyle name="Normal 2 2 4 3 3 3 2" xfId="38620" xr:uid="{00000000-0005-0000-0000-0000519D0000}"/>
    <cellStyle name="Normal 2 2 4 3 3 4" xfId="27319" xr:uid="{00000000-0005-0000-0000-0000529D0000}"/>
    <cellStyle name="Normal 2 2 4 3 4" xfId="6904" xr:uid="{00000000-0005-0000-0000-0000539D0000}"/>
    <cellStyle name="Normal 2 2 4 3 4 2" xfId="18205" xr:uid="{00000000-0005-0000-0000-0000549D0000}"/>
    <cellStyle name="Normal 2 2 4 3 4 2 2" xfId="40807" xr:uid="{00000000-0005-0000-0000-0000559D0000}"/>
    <cellStyle name="Normal 2 2 4 3 4 3" xfId="29506" xr:uid="{00000000-0005-0000-0000-0000569D0000}"/>
    <cellStyle name="Normal 2 2 4 3 5" xfId="12555" xr:uid="{00000000-0005-0000-0000-0000579D0000}"/>
    <cellStyle name="Normal 2 2 4 3 5 2" xfId="35157" xr:uid="{00000000-0005-0000-0000-0000589D0000}"/>
    <cellStyle name="Normal 2 2 4 3 6" xfId="23856" xr:uid="{00000000-0005-0000-0000-0000599D0000}"/>
    <cellStyle name="Normal 2 2 4 4" xfId="2027" xr:uid="{00000000-0005-0000-0000-00005A9D0000}"/>
    <cellStyle name="Normal 2 2 4 4 2" xfId="3790" xr:uid="{00000000-0005-0000-0000-00005B9D0000}"/>
    <cellStyle name="Normal 2 2 4 4 2 2" xfId="9498" xr:uid="{00000000-0005-0000-0000-00005C9D0000}"/>
    <cellStyle name="Normal 2 2 4 4 2 2 2" xfId="20799" xr:uid="{00000000-0005-0000-0000-00005D9D0000}"/>
    <cellStyle name="Normal 2 2 4 4 2 2 2 2" xfId="43401" xr:uid="{00000000-0005-0000-0000-00005E9D0000}"/>
    <cellStyle name="Normal 2 2 4 4 2 2 3" xfId="32100" xr:uid="{00000000-0005-0000-0000-00005F9D0000}"/>
    <cellStyle name="Normal 2 2 4 4 2 3" xfId="15149" xr:uid="{00000000-0005-0000-0000-0000609D0000}"/>
    <cellStyle name="Normal 2 2 4 4 2 3 2" xfId="37751" xr:uid="{00000000-0005-0000-0000-0000619D0000}"/>
    <cellStyle name="Normal 2 2 4 4 2 4" xfId="26450" xr:uid="{00000000-0005-0000-0000-0000629D0000}"/>
    <cellStyle name="Normal 2 2 4 4 3" xfId="5327" xr:uid="{00000000-0005-0000-0000-0000639D0000}"/>
    <cellStyle name="Normal 2 2 4 4 3 2" xfId="10977" xr:uid="{00000000-0005-0000-0000-0000649D0000}"/>
    <cellStyle name="Normal 2 2 4 4 3 2 2" xfId="22278" xr:uid="{00000000-0005-0000-0000-0000659D0000}"/>
    <cellStyle name="Normal 2 2 4 4 3 2 2 2" xfId="44880" xr:uid="{00000000-0005-0000-0000-0000669D0000}"/>
    <cellStyle name="Normal 2 2 4 4 3 2 3" xfId="33579" xr:uid="{00000000-0005-0000-0000-0000679D0000}"/>
    <cellStyle name="Normal 2 2 4 4 3 3" xfId="16628" xr:uid="{00000000-0005-0000-0000-0000689D0000}"/>
    <cellStyle name="Normal 2 2 4 4 3 3 2" xfId="39230" xr:uid="{00000000-0005-0000-0000-0000699D0000}"/>
    <cellStyle name="Normal 2 2 4 4 3 4" xfId="27929" xr:uid="{00000000-0005-0000-0000-00006A9D0000}"/>
    <cellStyle name="Normal 2 2 4 4 4" xfId="7883" xr:uid="{00000000-0005-0000-0000-00006B9D0000}"/>
    <cellStyle name="Normal 2 2 4 4 4 2" xfId="19184" xr:uid="{00000000-0005-0000-0000-00006C9D0000}"/>
    <cellStyle name="Normal 2 2 4 4 4 2 2" xfId="41786" xr:uid="{00000000-0005-0000-0000-00006D9D0000}"/>
    <cellStyle name="Normal 2 2 4 4 4 3" xfId="30485" xr:uid="{00000000-0005-0000-0000-00006E9D0000}"/>
    <cellStyle name="Normal 2 2 4 4 5" xfId="13534" xr:uid="{00000000-0005-0000-0000-00006F9D0000}"/>
    <cellStyle name="Normal 2 2 4 4 5 2" xfId="36136" xr:uid="{00000000-0005-0000-0000-0000709D0000}"/>
    <cellStyle name="Normal 2 2 4 4 6" xfId="24835" xr:uid="{00000000-0005-0000-0000-0000719D0000}"/>
    <cellStyle name="Normal 2 2 4 5" xfId="2308" xr:uid="{00000000-0005-0000-0000-0000729D0000}"/>
    <cellStyle name="Normal 2 2 4 5 2" xfId="8144" xr:uid="{00000000-0005-0000-0000-0000739D0000}"/>
    <cellStyle name="Normal 2 2 4 5 2 2" xfId="19445" xr:uid="{00000000-0005-0000-0000-0000749D0000}"/>
    <cellStyle name="Normal 2 2 4 5 2 2 2" xfId="42047" xr:uid="{00000000-0005-0000-0000-0000759D0000}"/>
    <cellStyle name="Normal 2 2 4 5 2 3" xfId="30746" xr:uid="{00000000-0005-0000-0000-0000769D0000}"/>
    <cellStyle name="Normal 2 2 4 5 3" xfId="13795" xr:uid="{00000000-0005-0000-0000-0000779D0000}"/>
    <cellStyle name="Normal 2 2 4 5 3 2" xfId="36397" xr:uid="{00000000-0005-0000-0000-0000789D0000}"/>
    <cellStyle name="Normal 2 2 4 5 4" xfId="25096" xr:uid="{00000000-0005-0000-0000-0000799D0000}"/>
    <cellStyle name="Normal 2 2 4 6" xfId="4093" xr:uid="{00000000-0005-0000-0000-00007A9D0000}"/>
    <cellStyle name="Normal 2 2 4 6 2" xfId="9743" xr:uid="{00000000-0005-0000-0000-00007B9D0000}"/>
    <cellStyle name="Normal 2 2 4 6 2 2" xfId="21044" xr:uid="{00000000-0005-0000-0000-00007C9D0000}"/>
    <cellStyle name="Normal 2 2 4 6 2 2 2" xfId="43646" xr:uid="{00000000-0005-0000-0000-00007D9D0000}"/>
    <cellStyle name="Normal 2 2 4 6 2 3" xfId="32345" xr:uid="{00000000-0005-0000-0000-00007E9D0000}"/>
    <cellStyle name="Normal 2 2 4 6 3" xfId="15394" xr:uid="{00000000-0005-0000-0000-00007F9D0000}"/>
    <cellStyle name="Normal 2 2 4 6 3 2" xfId="37996" xr:uid="{00000000-0005-0000-0000-0000809D0000}"/>
    <cellStyle name="Normal 2 2 4 6 4" xfId="26695" xr:uid="{00000000-0005-0000-0000-0000819D0000}"/>
    <cellStyle name="Normal 2 2 4 7" xfId="6544" xr:uid="{00000000-0005-0000-0000-0000829D0000}"/>
    <cellStyle name="Normal 2 2 4 7 2" xfId="17845" xr:uid="{00000000-0005-0000-0000-0000839D0000}"/>
    <cellStyle name="Normal 2 2 4 7 2 2" xfId="40447" xr:uid="{00000000-0005-0000-0000-0000849D0000}"/>
    <cellStyle name="Normal 2 2 4 7 3" xfId="29146" xr:uid="{00000000-0005-0000-0000-0000859D0000}"/>
    <cellStyle name="Normal 2 2 4 8" xfId="12195" xr:uid="{00000000-0005-0000-0000-0000869D0000}"/>
    <cellStyle name="Normal 2 2 4 8 2" xfId="34797" xr:uid="{00000000-0005-0000-0000-0000879D0000}"/>
    <cellStyle name="Normal 2 2 4 9" xfId="23496" xr:uid="{00000000-0005-0000-0000-0000889D0000}"/>
    <cellStyle name="Normal 2 2 5" xfId="648" xr:uid="{00000000-0005-0000-0000-0000899D0000}"/>
    <cellStyle name="Normal 2 2 5 2" xfId="1049" xr:uid="{00000000-0005-0000-0000-00008A9D0000}"/>
    <cellStyle name="Normal 2 2 5 2 2" xfId="3103" xr:uid="{00000000-0005-0000-0000-00008B9D0000}"/>
    <cellStyle name="Normal 2 2 5 2 2 2" xfId="6075" xr:uid="{00000000-0005-0000-0000-00008C9D0000}"/>
    <cellStyle name="Normal 2 2 5 2 2 2 2" xfId="11725" xr:uid="{00000000-0005-0000-0000-00008D9D0000}"/>
    <cellStyle name="Normal 2 2 5 2 2 2 2 2" xfId="23026" xr:uid="{00000000-0005-0000-0000-00008E9D0000}"/>
    <cellStyle name="Normal 2 2 5 2 2 2 2 2 2" xfId="45628" xr:uid="{00000000-0005-0000-0000-00008F9D0000}"/>
    <cellStyle name="Normal 2 2 5 2 2 2 2 3" xfId="34327" xr:uid="{00000000-0005-0000-0000-0000909D0000}"/>
    <cellStyle name="Normal 2 2 5 2 2 2 3" xfId="17376" xr:uid="{00000000-0005-0000-0000-0000919D0000}"/>
    <cellStyle name="Normal 2 2 5 2 2 2 3 2" xfId="39978" xr:uid="{00000000-0005-0000-0000-0000929D0000}"/>
    <cellStyle name="Normal 2 2 5 2 2 2 4" xfId="28677" xr:uid="{00000000-0005-0000-0000-0000939D0000}"/>
    <cellStyle name="Normal 2 2 5 2 2 3" xfId="8893" xr:uid="{00000000-0005-0000-0000-0000949D0000}"/>
    <cellStyle name="Normal 2 2 5 2 2 3 2" xfId="20194" xr:uid="{00000000-0005-0000-0000-0000959D0000}"/>
    <cellStyle name="Normal 2 2 5 2 2 3 2 2" xfId="42796" xr:uid="{00000000-0005-0000-0000-0000969D0000}"/>
    <cellStyle name="Normal 2 2 5 2 2 3 3" xfId="31495" xr:uid="{00000000-0005-0000-0000-0000979D0000}"/>
    <cellStyle name="Normal 2 2 5 2 2 4" xfId="14544" xr:uid="{00000000-0005-0000-0000-0000989D0000}"/>
    <cellStyle name="Normal 2 2 5 2 2 4 2" xfId="37146" xr:uid="{00000000-0005-0000-0000-0000999D0000}"/>
    <cellStyle name="Normal 2 2 5 2 2 5" xfId="25845" xr:uid="{00000000-0005-0000-0000-00009A9D0000}"/>
    <cellStyle name="Normal 2 2 5 2 3" xfId="4841" xr:uid="{00000000-0005-0000-0000-00009B9D0000}"/>
    <cellStyle name="Normal 2 2 5 2 3 2" xfId="10491" xr:uid="{00000000-0005-0000-0000-00009C9D0000}"/>
    <cellStyle name="Normal 2 2 5 2 3 2 2" xfId="21792" xr:uid="{00000000-0005-0000-0000-00009D9D0000}"/>
    <cellStyle name="Normal 2 2 5 2 3 2 2 2" xfId="44394" xr:uid="{00000000-0005-0000-0000-00009E9D0000}"/>
    <cellStyle name="Normal 2 2 5 2 3 2 3" xfId="33093" xr:uid="{00000000-0005-0000-0000-00009F9D0000}"/>
    <cellStyle name="Normal 2 2 5 2 3 3" xfId="16142" xr:uid="{00000000-0005-0000-0000-0000A09D0000}"/>
    <cellStyle name="Normal 2 2 5 2 3 3 2" xfId="38744" xr:uid="{00000000-0005-0000-0000-0000A19D0000}"/>
    <cellStyle name="Normal 2 2 5 2 3 4" xfId="27443" xr:uid="{00000000-0005-0000-0000-0000A29D0000}"/>
    <cellStyle name="Normal 2 2 5 2 4" xfId="7028" xr:uid="{00000000-0005-0000-0000-0000A39D0000}"/>
    <cellStyle name="Normal 2 2 5 2 4 2" xfId="18329" xr:uid="{00000000-0005-0000-0000-0000A49D0000}"/>
    <cellStyle name="Normal 2 2 5 2 4 2 2" xfId="40931" xr:uid="{00000000-0005-0000-0000-0000A59D0000}"/>
    <cellStyle name="Normal 2 2 5 2 4 3" xfId="29630" xr:uid="{00000000-0005-0000-0000-0000A69D0000}"/>
    <cellStyle name="Normal 2 2 5 2 5" xfId="12679" xr:uid="{00000000-0005-0000-0000-0000A79D0000}"/>
    <cellStyle name="Normal 2 2 5 2 5 2" xfId="35281" xr:uid="{00000000-0005-0000-0000-0000A89D0000}"/>
    <cellStyle name="Normal 2 2 5 2 6" xfId="23980" xr:uid="{00000000-0005-0000-0000-0000A99D0000}"/>
    <cellStyle name="Normal 2 2 5 3" xfId="2029" xr:uid="{00000000-0005-0000-0000-0000AA9D0000}"/>
    <cellStyle name="Normal 2 2 5 3 2" xfId="3791" xr:uid="{00000000-0005-0000-0000-0000AB9D0000}"/>
    <cellStyle name="Normal 2 2 5 3 2 2" xfId="9499" xr:uid="{00000000-0005-0000-0000-0000AC9D0000}"/>
    <cellStyle name="Normal 2 2 5 3 2 2 2" xfId="20800" xr:uid="{00000000-0005-0000-0000-0000AD9D0000}"/>
    <cellStyle name="Normal 2 2 5 3 2 2 2 2" xfId="43402" xr:uid="{00000000-0005-0000-0000-0000AE9D0000}"/>
    <cellStyle name="Normal 2 2 5 3 2 2 3" xfId="32101" xr:uid="{00000000-0005-0000-0000-0000AF9D0000}"/>
    <cellStyle name="Normal 2 2 5 3 2 3" xfId="15150" xr:uid="{00000000-0005-0000-0000-0000B09D0000}"/>
    <cellStyle name="Normal 2 2 5 3 2 3 2" xfId="37752" xr:uid="{00000000-0005-0000-0000-0000B19D0000}"/>
    <cellStyle name="Normal 2 2 5 3 2 4" xfId="26451" xr:uid="{00000000-0005-0000-0000-0000B29D0000}"/>
    <cellStyle name="Normal 2 2 5 3 3" xfId="5451" xr:uid="{00000000-0005-0000-0000-0000B39D0000}"/>
    <cellStyle name="Normal 2 2 5 3 3 2" xfId="11101" xr:uid="{00000000-0005-0000-0000-0000B49D0000}"/>
    <cellStyle name="Normal 2 2 5 3 3 2 2" xfId="22402" xr:uid="{00000000-0005-0000-0000-0000B59D0000}"/>
    <cellStyle name="Normal 2 2 5 3 3 2 2 2" xfId="45004" xr:uid="{00000000-0005-0000-0000-0000B69D0000}"/>
    <cellStyle name="Normal 2 2 5 3 3 2 3" xfId="33703" xr:uid="{00000000-0005-0000-0000-0000B79D0000}"/>
    <cellStyle name="Normal 2 2 5 3 3 3" xfId="16752" xr:uid="{00000000-0005-0000-0000-0000B89D0000}"/>
    <cellStyle name="Normal 2 2 5 3 3 3 2" xfId="39354" xr:uid="{00000000-0005-0000-0000-0000B99D0000}"/>
    <cellStyle name="Normal 2 2 5 3 3 4" xfId="28053" xr:uid="{00000000-0005-0000-0000-0000BA9D0000}"/>
    <cellStyle name="Normal 2 2 5 3 4" xfId="7885" xr:uid="{00000000-0005-0000-0000-0000BB9D0000}"/>
    <cellStyle name="Normal 2 2 5 3 4 2" xfId="19186" xr:uid="{00000000-0005-0000-0000-0000BC9D0000}"/>
    <cellStyle name="Normal 2 2 5 3 4 2 2" xfId="41788" xr:uid="{00000000-0005-0000-0000-0000BD9D0000}"/>
    <cellStyle name="Normal 2 2 5 3 4 3" xfId="30487" xr:uid="{00000000-0005-0000-0000-0000BE9D0000}"/>
    <cellStyle name="Normal 2 2 5 3 5" xfId="13536" xr:uid="{00000000-0005-0000-0000-0000BF9D0000}"/>
    <cellStyle name="Normal 2 2 5 3 5 2" xfId="36138" xr:uid="{00000000-0005-0000-0000-0000C09D0000}"/>
    <cellStyle name="Normal 2 2 5 3 6" xfId="24837" xr:uid="{00000000-0005-0000-0000-0000C19D0000}"/>
    <cellStyle name="Normal 2 2 5 4" xfId="2432" xr:uid="{00000000-0005-0000-0000-0000C29D0000}"/>
    <cellStyle name="Normal 2 2 5 4 2" xfId="8268" xr:uid="{00000000-0005-0000-0000-0000C39D0000}"/>
    <cellStyle name="Normal 2 2 5 4 2 2" xfId="19569" xr:uid="{00000000-0005-0000-0000-0000C49D0000}"/>
    <cellStyle name="Normal 2 2 5 4 2 2 2" xfId="42171" xr:uid="{00000000-0005-0000-0000-0000C59D0000}"/>
    <cellStyle name="Normal 2 2 5 4 2 3" xfId="30870" xr:uid="{00000000-0005-0000-0000-0000C69D0000}"/>
    <cellStyle name="Normal 2 2 5 4 3" xfId="13919" xr:uid="{00000000-0005-0000-0000-0000C79D0000}"/>
    <cellStyle name="Normal 2 2 5 4 3 2" xfId="36521" xr:uid="{00000000-0005-0000-0000-0000C89D0000}"/>
    <cellStyle name="Normal 2 2 5 4 4" xfId="25220" xr:uid="{00000000-0005-0000-0000-0000C99D0000}"/>
    <cellStyle name="Normal 2 2 5 5" xfId="4217" xr:uid="{00000000-0005-0000-0000-0000CA9D0000}"/>
    <cellStyle name="Normal 2 2 5 5 2" xfId="9867" xr:uid="{00000000-0005-0000-0000-0000CB9D0000}"/>
    <cellStyle name="Normal 2 2 5 5 2 2" xfId="21168" xr:uid="{00000000-0005-0000-0000-0000CC9D0000}"/>
    <cellStyle name="Normal 2 2 5 5 2 2 2" xfId="43770" xr:uid="{00000000-0005-0000-0000-0000CD9D0000}"/>
    <cellStyle name="Normal 2 2 5 5 2 3" xfId="32469" xr:uid="{00000000-0005-0000-0000-0000CE9D0000}"/>
    <cellStyle name="Normal 2 2 5 5 3" xfId="15518" xr:uid="{00000000-0005-0000-0000-0000CF9D0000}"/>
    <cellStyle name="Normal 2 2 5 5 3 2" xfId="38120" xr:uid="{00000000-0005-0000-0000-0000D09D0000}"/>
    <cellStyle name="Normal 2 2 5 5 4" xfId="26819" xr:uid="{00000000-0005-0000-0000-0000D19D0000}"/>
    <cellStyle name="Normal 2 2 5 6" xfId="6711" xr:uid="{00000000-0005-0000-0000-0000D29D0000}"/>
    <cellStyle name="Normal 2 2 5 6 2" xfId="18012" xr:uid="{00000000-0005-0000-0000-0000D39D0000}"/>
    <cellStyle name="Normal 2 2 5 6 2 2" xfId="40614" xr:uid="{00000000-0005-0000-0000-0000D49D0000}"/>
    <cellStyle name="Normal 2 2 5 6 3" xfId="29313" xr:uid="{00000000-0005-0000-0000-0000D59D0000}"/>
    <cellStyle name="Normal 2 2 5 7" xfId="12362" xr:uid="{00000000-0005-0000-0000-0000D69D0000}"/>
    <cellStyle name="Normal 2 2 5 7 2" xfId="34964" xr:uid="{00000000-0005-0000-0000-0000D79D0000}"/>
    <cellStyle name="Normal 2 2 5 8" xfId="23663" xr:uid="{00000000-0005-0000-0000-0000D89D0000}"/>
    <cellStyle name="Normal 2 2 6" xfId="652" xr:uid="{00000000-0005-0000-0000-0000D99D0000}"/>
    <cellStyle name="Normal 2 2 6 2" xfId="2812" xr:uid="{00000000-0005-0000-0000-0000DA9D0000}"/>
    <cellStyle name="Normal 2 2 6 2 2" xfId="5784" xr:uid="{00000000-0005-0000-0000-0000DB9D0000}"/>
    <cellStyle name="Normal 2 2 6 2 2 2" xfId="11434" xr:uid="{00000000-0005-0000-0000-0000DC9D0000}"/>
    <cellStyle name="Normal 2 2 6 2 2 2 2" xfId="22735" xr:uid="{00000000-0005-0000-0000-0000DD9D0000}"/>
    <cellStyle name="Normal 2 2 6 2 2 2 2 2" xfId="45337" xr:uid="{00000000-0005-0000-0000-0000DE9D0000}"/>
    <cellStyle name="Normal 2 2 6 2 2 2 3" xfId="34036" xr:uid="{00000000-0005-0000-0000-0000DF9D0000}"/>
    <cellStyle name="Normal 2 2 6 2 2 3" xfId="17085" xr:uid="{00000000-0005-0000-0000-0000E09D0000}"/>
    <cellStyle name="Normal 2 2 6 2 2 3 2" xfId="39687" xr:uid="{00000000-0005-0000-0000-0000E19D0000}"/>
    <cellStyle name="Normal 2 2 6 2 2 4" xfId="28386" xr:uid="{00000000-0005-0000-0000-0000E29D0000}"/>
    <cellStyle name="Normal 2 2 6 2 3" xfId="8602" xr:uid="{00000000-0005-0000-0000-0000E39D0000}"/>
    <cellStyle name="Normal 2 2 6 2 3 2" xfId="19903" xr:uid="{00000000-0005-0000-0000-0000E49D0000}"/>
    <cellStyle name="Normal 2 2 6 2 3 2 2" xfId="42505" xr:uid="{00000000-0005-0000-0000-0000E59D0000}"/>
    <cellStyle name="Normal 2 2 6 2 3 3" xfId="31204" xr:uid="{00000000-0005-0000-0000-0000E69D0000}"/>
    <cellStyle name="Normal 2 2 6 2 4" xfId="14253" xr:uid="{00000000-0005-0000-0000-0000E79D0000}"/>
    <cellStyle name="Normal 2 2 6 2 4 2" xfId="36855" xr:uid="{00000000-0005-0000-0000-0000E89D0000}"/>
    <cellStyle name="Normal 2 2 6 2 5" xfId="25554" xr:uid="{00000000-0005-0000-0000-0000E99D0000}"/>
    <cellStyle name="Normal 2 2 6 3" xfId="4550" xr:uid="{00000000-0005-0000-0000-0000EA9D0000}"/>
    <cellStyle name="Normal 2 2 6 3 2" xfId="10200" xr:uid="{00000000-0005-0000-0000-0000EB9D0000}"/>
    <cellStyle name="Normal 2 2 6 3 2 2" xfId="21501" xr:uid="{00000000-0005-0000-0000-0000EC9D0000}"/>
    <cellStyle name="Normal 2 2 6 3 2 2 2" xfId="44103" xr:uid="{00000000-0005-0000-0000-0000ED9D0000}"/>
    <cellStyle name="Normal 2 2 6 3 2 3" xfId="32802" xr:uid="{00000000-0005-0000-0000-0000EE9D0000}"/>
    <cellStyle name="Normal 2 2 6 3 3" xfId="15851" xr:uid="{00000000-0005-0000-0000-0000EF9D0000}"/>
    <cellStyle name="Normal 2 2 6 3 3 2" xfId="38453" xr:uid="{00000000-0005-0000-0000-0000F09D0000}"/>
    <cellStyle name="Normal 2 2 6 3 4" xfId="27152" xr:uid="{00000000-0005-0000-0000-0000F19D0000}"/>
    <cellStyle name="Normal 2 2 6 4" xfId="6713" xr:uid="{00000000-0005-0000-0000-0000F29D0000}"/>
    <cellStyle name="Normal 2 2 6 4 2" xfId="18014" xr:uid="{00000000-0005-0000-0000-0000F39D0000}"/>
    <cellStyle name="Normal 2 2 6 4 2 2" xfId="40616" xr:uid="{00000000-0005-0000-0000-0000F49D0000}"/>
    <cellStyle name="Normal 2 2 6 4 3" xfId="29315" xr:uid="{00000000-0005-0000-0000-0000F59D0000}"/>
    <cellStyle name="Normal 2 2 6 5" xfId="12364" xr:uid="{00000000-0005-0000-0000-0000F69D0000}"/>
    <cellStyle name="Normal 2 2 6 5 2" xfId="34966" xr:uid="{00000000-0005-0000-0000-0000F79D0000}"/>
    <cellStyle name="Normal 2 2 6 6" xfId="23665" xr:uid="{00000000-0005-0000-0000-0000F89D0000}"/>
    <cellStyle name="Normal 2 2 7" xfId="2020" xr:uid="{00000000-0005-0000-0000-0000F99D0000}"/>
    <cellStyle name="Normal 2 2 7 2" xfId="3786" xr:uid="{00000000-0005-0000-0000-0000FA9D0000}"/>
    <cellStyle name="Normal 2 2 7 2 2" xfId="9494" xr:uid="{00000000-0005-0000-0000-0000FB9D0000}"/>
    <cellStyle name="Normal 2 2 7 2 2 2" xfId="20795" xr:uid="{00000000-0005-0000-0000-0000FC9D0000}"/>
    <cellStyle name="Normal 2 2 7 2 2 2 2" xfId="43397" xr:uid="{00000000-0005-0000-0000-0000FD9D0000}"/>
    <cellStyle name="Normal 2 2 7 2 2 3" xfId="32096" xr:uid="{00000000-0005-0000-0000-0000FE9D0000}"/>
    <cellStyle name="Normal 2 2 7 2 3" xfId="15145" xr:uid="{00000000-0005-0000-0000-0000FF9D0000}"/>
    <cellStyle name="Normal 2 2 7 2 3 2" xfId="37747" xr:uid="{00000000-0005-0000-0000-0000009E0000}"/>
    <cellStyle name="Normal 2 2 7 2 4" xfId="26446" xr:uid="{00000000-0005-0000-0000-0000019E0000}"/>
    <cellStyle name="Normal 2 2 7 3" xfId="5160" xr:uid="{00000000-0005-0000-0000-0000029E0000}"/>
    <cellStyle name="Normal 2 2 7 3 2" xfId="10810" xr:uid="{00000000-0005-0000-0000-0000039E0000}"/>
    <cellStyle name="Normal 2 2 7 3 2 2" xfId="22111" xr:uid="{00000000-0005-0000-0000-0000049E0000}"/>
    <cellStyle name="Normal 2 2 7 3 2 2 2" xfId="44713" xr:uid="{00000000-0005-0000-0000-0000059E0000}"/>
    <cellStyle name="Normal 2 2 7 3 2 3" xfId="33412" xr:uid="{00000000-0005-0000-0000-0000069E0000}"/>
    <cellStyle name="Normal 2 2 7 3 3" xfId="16461" xr:uid="{00000000-0005-0000-0000-0000079E0000}"/>
    <cellStyle name="Normal 2 2 7 3 3 2" xfId="39063" xr:uid="{00000000-0005-0000-0000-0000089E0000}"/>
    <cellStyle name="Normal 2 2 7 3 4" xfId="27762" xr:uid="{00000000-0005-0000-0000-0000099E0000}"/>
    <cellStyle name="Normal 2 2 7 4" xfId="7876" xr:uid="{00000000-0005-0000-0000-00000A9E0000}"/>
    <cellStyle name="Normal 2 2 7 4 2" xfId="19177" xr:uid="{00000000-0005-0000-0000-00000B9E0000}"/>
    <cellStyle name="Normal 2 2 7 4 2 2" xfId="41779" xr:uid="{00000000-0005-0000-0000-00000C9E0000}"/>
    <cellStyle name="Normal 2 2 7 4 3" xfId="30478" xr:uid="{00000000-0005-0000-0000-00000D9E0000}"/>
    <cellStyle name="Normal 2 2 7 5" xfId="13527" xr:uid="{00000000-0005-0000-0000-00000E9E0000}"/>
    <cellStyle name="Normal 2 2 7 5 2" xfId="36129" xr:uid="{00000000-0005-0000-0000-00000F9E0000}"/>
    <cellStyle name="Normal 2 2 7 6" xfId="24828" xr:uid="{00000000-0005-0000-0000-0000109E0000}"/>
    <cellStyle name="Normal 2 2 8" xfId="2130" xr:uid="{00000000-0005-0000-0000-0000119E0000}"/>
    <cellStyle name="Normal 2 2 8 2" xfId="7974" xr:uid="{00000000-0005-0000-0000-0000129E0000}"/>
    <cellStyle name="Normal 2 2 8 2 2" xfId="19275" xr:uid="{00000000-0005-0000-0000-0000139E0000}"/>
    <cellStyle name="Normal 2 2 8 2 2 2" xfId="41877" xr:uid="{00000000-0005-0000-0000-0000149E0000}"/>
    <cellStyle name="Normal 2 2 8 2 3" xfId="30576" xr:uid="{00000000-0005-0000-0000-0000159E0000}"/>
    <cellStyle name="Normal 2 2 8 3" xfId="13625" xr:uid="{00000000-0005-0000-0000-0000169E0000}"/>
    <cellStyle name="Normal 2 2 8 3 2" xfId="36227" xr:uid="{00000000-0005-0000-0000-0000179E0000}"/>
    <cellStyle name="Normal 2 2 8 4" xfId="24926" xr:uid="{00000000-0005-0000-0000-0000189E0000}"/>
    <cellStyle name="Normal 2 2 9" xfId="3926" xr:uid="{00000000-0005-0000-0000-0000199E0000}"/>
    <cellStyle name="Normal 2 2 9 2" xfId="9576" xr:uid="{00000000-0005-0000-0000-00001A9E0000}"/>
    <cellStyle name="Normal 2 2 9 2 2" xfId="20877" xr:uid="{00000000-0005-0000-0000-00001B9E0000}"/>
    <cellStyle name="Normal 2 2 9 2 2 2" xfId="43479" xr:uid="{00000000-0005-0000-0000-00001C9E0000}"/>
    <cellStyle name="Normal 2 2 9 2 3" xfId="32178" xr:uid="{00000000-0005-0000-0000-00001D9E0000}"/>
    <cellStyle name="Normal 2 2 9 3" xfId="15227" xr:uid="{00000000-0005-0000-0000-00001E9E0000}"/>
    <cellStyle name="Normal 2 2 9 3 2" xfId="37829" xr:uid="{00000000-0005-0000-0000-00001F9E0000}"/>
    <cellStyle name="Normal 2 2 9 4" xfId="26528" xr:uid="{00000000-0005-0000-0000-0000209E0000}"/>
    <cellStyle name="Normal 2 3" xfId="270" xr:uid="{00000000-0005-0000-0000-0000219E0000}"/>
    <cellStyle name="Normal 2 4" xfId="343" xr:uid="{00000000-0005-0000-0000-0000229E0000}"/>
    <cellStyle name="Normal 2 4 10" xfId="23438" xr:uid="{00000000-0005-0000-0000-0000239E0000}"/>
    <cellStyle name="Normal 2 4 2" xfId="588" xr:uid="{00000000-0005-0000-0000-0000249E0000}"/>
    <cellStyle name="Normal 2 4 2 2" xfId="1298" xr:uid="{00000000-0005-0000-0000-0000259E0000}"/>
    <cellStyle name="Normal 2 4 2 2 2" xfId="2032" xr:uid="{00000000-0005-0000-0000-0000269E0000}"/>
    <cellStyle name="Normal 2 4 2 2 2 2" xfId="3367" xr:uid="{00000000-0005-0000-0000-0000279E0000}"/>
    <cellStyle name="Normal 2 4 2 2 2 2 2" xfId="6339" xr:uid="{00000000-0005-0000-0000-0000289E0000}"/>
    <cellStyle name="Normal 2 4 2 2 2 2 2 2" xfId="11989" xr:uid="{00000000-0005-0000-0000-0000299E0000}"/>
    <cellStyle name="Normal 2 4 2 2 2 2 2 2 2" xfId="23290" xr:uid="{00000000-0005-0000-0000-00002A9E0000}"/>
    <cellStyle name="Normal 2 4 2 2 2 2 2 2 2 2" xfId="45892" xr:uid="{00000000-0005-0000-0000-00002B9E0000}"/>
    <cellStyle name="Normal 2 4 2 2 2 2 2 2 3" xfId="34591" xr:uid="{00000000-0005-0000-0000-00002C9E0000}"/>
    <cellStyle name="Normal 2 4 2 2 2 2 2 3" xfId="17640" xr:uid="{00000000-0005-0000-0000-00002D9E0000}"/>
    <cellStyle name="Normal 2 4 2 2 2 2 2 3 2" xfId="40242" xr:uid="{00000000-0005-0000-0000-00002E9E0000}"/>
    <cellStyle name="Normal 2 4 2 2 2 2 2 4" xfId="28941" xr:uid="{00000000-0005-0000-0000-00002F9E0000}"/>
    <cellStyle name="Normal 2 4 2 2 2 2 3" xfId="9157" xr:uid="{00000000-0005-0000-0000-0000309E0000}"/>
    <cellStyle name="Normal 2 4 2 2 2 2 3 2" xfId="20458" xr:uid="{00000000-0005-0000-0000-0000319E0000}"/>
    <cellStyle name="Normal 2 4 2 2 2 2 3 2 2" xfId="43060" xr:uid="{00000000-0005-0000-0000-0000329E0000}"/>
    <cellStyle name="Normal 2 4 2 2 2 2 3 3" xfId="31759" xr:uid="{00000000-0005-0000-0000-0000339E0000}"/>
    <cellStyle name="Normal 2 4 2 2 2 2 4" xfId="14808" xr:uid="{00000000-0005-0000-0000-0000349E0000}"/>
    <cellStyle name="Normal 2 4 2 2 2 2 4 2" xfId="37410" xr:uid="{00000000-0005-0000-0000-0000359E0000}"/>
    <cellStyle name="Normal 2 4 2 2 2 2 5" xfId="26109" xr:uid="{00000000-0005-0000-0000-0000369E0000}"/>
    <cellStyle name="Normal 2 4 2 2 2 3" xfId="5105" xr:uid="{00000000-0005-0000-0000-0000379E0000}"/>
    <cellStyle name="Normal 2 4 2 2 2 3 2" xfId="10755" xr:uid="{00000000-0005-0000-0000-0000389E0000}"/>
    <cellStyle name="Normal 2 4 2 2 2 3 2 2" xfId="22056" xr:uid="{00000000-0005-0000-0000-0000399E0000}"/>
    <cellStyle name="Normal 2 4 2 2 2 3 2 2 2" xfId="44658" xr:uid="{00000000-0005-0000-0000-00003A9E0000}"/>
    <cellStyle name="Normal 2 4 2 2 2 3 2 3" xfId="33357" xr:uid="{00000000-0005-0000-0000-00003B9E0000}"/>
    <cellStyle name="Normal 2 4 2 2 2 3 3" xfId="16406" xr:uid="{00000000-0005-0000-0000-00003C9E0000}"/>
    <cellStyle name="Normal 2 4 2 2 2 3 3 2" xfId="39008" xr:uid="{00000000-0005-0000-0000-00003D9E0000}"/>
    <cellStyle name="Normal 2 4 2 2 2 3 4" xfId="27707" xr:uid="{00000000-0005-0000-0000-00003E9E0000}"/>
    <cellStyle name="Normal 2 4 2 2 2 4" xfId="7888" xr:uid="{00000000-0005-0000-0000-00003F9E0000}"/>
    <cellStyle name="Normal 2 4 2 2 2 4 2" xfId="19189" xr:uid="{00000000-0005-0000-0000-0000409E0000}"/>
    <cellStyle name="Normal 2 4 2 2 2 4 2 2" xfId="41791" xr:uid="{00000000-0005-0000-0000-0000419E0000}"/>
    <cellStyle name="Normal 2 4 2 2 2 4 3" xfId="30490" xr:uid="{00000000-0005-0000-0000-0000429E0000}"/>
    <cellStyle name="Normal 2 4 2 2 2 5" xfId="13539" xr:uid="{00000000-0005-0000-0000-0000439E0000}"/>
    <cellStyle name="Normal 2 4 2 2 2 5 2" xfId="36141" xr:uid="{00000000-0005-0000-0000-0000449E0000}"/>
    <cellStyle name="Normal 2 4 2 2 2 6" xfId="24840" xr:uid="{00000000-0005-0000-0000-0000459E0000}"/>
    <cellStyle name="Normal 2 4 2 2 3" xfId="2696" xr:uid="{00000000-0005-0000-0000-0000469E0000}"/>
    <cellStyle name="Normal 2 4 2 2 3 2" xfId="5715" xr:uid="{00000000-0005-0000-0000-0000479E0000}"/>
    <cellStyle name="Normal 2 4 2 2 3 2 2" xfId="11365" xr:uid="{00000000-0005-0000-0000-0000489E0000}"/>
    <cellStyle name="Normal 2 4 2 2 3 2 2 2" xfId="22666" xr:uid="{00000000-0005-0000-0000-0000499E0000}"/>
    <cellStyle name="Normal 2 4 2 2 3 2 2 2 2" xfId="45268" xr:uid="{00000000-0005-0000-0000-00004A9E0000}"/>
    <cellStyle name="Normal 2 4 2 2 3 2 2 3" xfId="33967" xr:uid="{00000000-0005-0000-0000-00004B9E0000}"/>
    <cellStyle name="Normal 2 4 2 2 3 2 3" xfId="17016" xr:uid="{00000000-0005-0000-0000-00004C9E0000}"/>
    <cellStyle name="Normal 2 4 2 2 3 2 3 2" xfId="39618" xr:uid="{00000000-0005-0000-0000-00004D9E0000}"/>
    <cellStyle name="Normal 2 4 2 2 3 2 4" xfId="28317" xr:uid="{00000000-0005-0000-0000-00004E9E0000}"/>
    <cellStyle name="Normal 2 4 2 2 3 3" xfId="8532" xr:uid="{00000000-0005-0000-0000-00004F9E0000}"/>
    <cellStyle name="Normal 2 4 2 2 3 3 2" xfId="19833" xr:uid="{00000000-0005-0000-0000-0000509E0000}"/>
    <cellStyle name="Normal 2 4 2 2 3 3 2 2" xfId="42435" xr:uid="{00000000-0005-0000-0000-0000519E0000}"/>
    <cellStyle name="Normal 2 4 2 2 3 3 3" xfId="31134" xr:uid="{00000000-0005-0000-0000-0000529E0000}"/>
    <cellStyle name="Normal 2 4 2 2 3 4" xfId="14183" xr:uid="{00000000-0005-0000-0000-0000539E0000}"/>
    <cellStyle name="Normal 2 4 2 2 3 4 2" xfId="36785" xr:uid="{00000000-0005-0000-0000-0000549E0000}"/>
    <cellStyle name="Normal 2 4 2 2 3 5" xfId="25484" xr:uid="{00000000-0005-0000-0000-0000559E0000}"/>
    <cellStyle name="Normal 2 4 2 2 4" xfId="4481" xr:uid="{00000000-0005-0000-0000-0000569E0000}"/>
    <cellStyle name="Normal 2 4 2 2 4 2" xfId="10131" xr:uid="{00000000-0005-0000-0000-0000579E0000}"/>
    <cellStyle name="Normal 2 4 2 2 4 2 2" xfId="21432" xr:uid="{00000000-0005-0000-0000-0000589E0000}"/>
    <cellStyle name="Normal 2 4 2 2 4 2 2 2" xfId="44034" xr:uid="{00000000-0005-0000-0000-0000599E0000}"/>
    <cellStyle name="Normal 2 4 2 2 4 2 3" xfId="32733" xr:uid="{00000000-0005-0000-0000-00005A9E0000}"/>
    <cellStyle name="Normal 2 4 2 2 4 3" xfId="15782" xr:uid="{00000000-0005-0000-0000-00005B9E0000}"/>
    <cellStyle name="Normal 2 4 2 2 4 3 2" xfId="38384" xr:uid="{00000000-0005-0000-0000-00005C9E0000}"/>
    <cellStyle name="Normal 2 4 2 2 4 4" xfId="27083" xr:uid="{00000000-0005-0000-0000-00005D9E0000}"/>
    <cellStyle name="Normal 2 4 2 2 5" xfId="7277" xr:uid="{00000000-0005-0000-0000-00005E9E0000}"/>
    <cellStyle name="Normal 2 4 2 2 5 2" xfId="18578" xr:uid="{00000000-0005-0000-0000-00005F9E0000}"/>
    <cellStyle name="Normal 2 4 2 2 5 2 2" xfId="41180" xr:uid="{00000000-0005-0000-0000-0000609E0000}"/>
    <cellStyle name="Normal 2 4 2 2 5 3" xfId="29879" xr:uid="{00000000-0005-0000-0000-0000619E0000}"/>
    <cellStyle name="Normal 2 4 2 2 6" xfId="12928" xr:uid="{00000000-0005-0000-0000-0000629E0000}"/>
    <cellStyle name="Normal 2 4 2 2 6 2" xfId="35530" xr:uid="{00000000-0005-0000-0000-0000639E0000}"/>
    <cellStyle name="Normal 2 4 2 2 7" xfId="24229" xr:uid="{00000000-0005-0000-0000-0000649E0000}"/>
    <cellStyle name="Normal 2 4 2 3" xfId="996" xr:uid="{00000000-0005-0000-0000-0000659E0000}"/>
    <cellStyle name="Normal 2 4 2 3 2" xfId="3059" xr:uid="{00000000-0005-0000-0000-0000669E0000}"/>
    <cellStyle name="Normal 2 4 2 3 2 2" xfId="6031" xr:uid="{00000000-0005-0000-0000-0000679E0000}"/>
    <cellStyle name="Normal 2 4 2 3 2 2 2" xfId="11681" xr:uid="{00000000-0005-0000-0000-0000689E0000}"/>
    <cellStyle name="Normal 2 4 2 3 2 2 2 2" xfId="22982" xr:uid="{00000000-0005-0000-0000-0000699E0000}"/>
    <cellStyle name="Normal 2 4 2 3 2 2 2 2 2" xfId="45584" xr:uid="{00000000-0005-0000-0000-00006A9E0000}"/>
    <cellStyle name="Normal 2 4 2 3 2 2 2 3" xfId="34283" xr:uid="{00000000-0005-0000-0000-00006B9E0000}"/>
    <cellStyle name="Normal 2 4 2 3 2 2 3" xfId="17332" xr:uid="{00000000-0005-0000-0000-00006C9E0000}"/>
    <cellStyle name="Normal 2 4 2 3 2 2 3 2" xfId="39934" xr:uid="{00000000-0005-0000-0000-00006D9E0000}"/>
    <cellStyle name="Normal 2 4 2 3 2 2 4" xfId="28633" xr:uid="{00000000-0005-0000-0000-00006E9E0000}"/>
    <cellStyle name="Normal 2 4 2 3 2 3" xfId="8849" xr:uid="{00000000-0005-0000-0000-00006F9E0000}"/>
    <cellStyle name="Normal 2 4 2 3 2 3 2" xfId="20150" xr:uid="{00000000-0005-0000-0000-0000709E0000}"/>
    <cellStyle name="Normal 2 4 2 3 2 3 2 2" xfId="42752" xr:uid="{00000000-0005-0000-0000-0000719E0000}"/>
    <cellStyle name="Normal 2 4 2 3 2 3 3" xfId="31451" xr:uid="{00000000-0005-0000-0000-0000729E0000}"/>
    <cellStyle name="Normal 2 4 2 3 2 4" xfId="14500" xr:uid="{00000000-0005-0000-0000-0000739E0000}"/>
    <cellStyle name="Normal 2 4 2 3 2 4 2" xfId="37102" xr:uid="{00000000-0005-0000-0000-0000749E0000}"/>
    <cellStyle name="Normal 2 4 2 3 2 5" xfId="25801" xr:uid="{00000000-0005-0000-0000-0000759E0000}"/>
    <cellStyle name="Normal 2 4 2 3 3" xfId="4797" xr:uid="{00000000-0005-0000-0000-0000769E0000}"/>
    <cellStyle name="Normal 2 4 2 3 3 2" xfId="10447" xr:uid="{00000000-0005-0000-0000-0000779E0000}"/>
    <cellStyle name="Normal 2 4 2 3 3 2 2" xfId="21748" xr:uid="{00000000-0005-0000-0000-0000789E0000}"/>
    <cellStyle name="Normal 2 4 2 3 3 2 2 2" xfId="44350" xr:uid="{00000000-0005-0000-0000-0000799E0000}"/>
    <cellStyle name="Normal 2 4 2 3 3 2 3" xfId="33049" xr:uid="{00000000-0005-0000-0000-00007A9E0000}"/>
    <cellStyle name="Normal 2 4 2 3 3 3" xfId="16098" xr:uid="{00000000-0005-0000-0000-00007B9E0000}"/>
    <cellStyle name="Normal 2 4 2 3 3 3 2" xfId="38700" xr:uid="{00000000-0005-0000-0000-00007C9E0000}"/>
    <cellStyle name="Normal 2 4 2 3 3 4" xfId="27399" xr:uid="{00000000-0005-0000-0000-00007D9E0000}"/>
    <cellStyle name="Normal 2 4 2 3 4" xfId="6984" xr:uid="{00000000-0005-0000-0000-00007E9E0000}"/>
    <cellStyle name="Normal 2 4 2 3 4 2" xfId="18285" xr:uid="{00000000-0005-0000-0000-00007F9E0000}"/>
    <cellStyle name="Normal 2 4 2 3 4 2 2" xfId="40887" xr:uid="{00000000-0005-0000-0000-0000809E0000}"/>
    <cellStyle name="Normal 2 4 2 3 4 3" xfId="29586" xr:uid="{00000000-0005-0000-0000-0000819E0000}"/>
    <cellStyle name="Normal 2 4 2 3 5" xfId="12635" xr:uid="{00000000-0005-0000-0000-0000829E0000}"/>
    <cellStyle name="Normal 2 4 2 3 5 2" xfId="35237" xr:uid="{00000000-0005-0000-0000-0000839E0000}"/>
    <cellStyle name="Normal 2 4 2 3 6" xfId="23936" xr:uid="{00000000-0005-0000-0000-0000849E0000}"/>
    <cellStyle name="Normal 2 4 2 4" xfId="2031" xr:uid="{00000000-0005-0000-0000-0000859E0000}"/>
    <cellStyle name="Normal 2 4 2 4 2" xfId="3793" xr:uid="{00000000-0005-0000-0000-0000869E0000}"/>
    <cellStyle name="Normal 2 4 2 4 2 2" xfId="9501" xr:uid="{00000000-0005-0000-0000-0000879E0000}"/>
    <cellStyle name="Normal 2 4 2 4 2 2 2" xfId="20802" xr:uid="{00000000-0005-0000-0000-0000889E0000}"/>
    <cellStyle name="Normal 2 4 2 4 2 2 2 2" xfId="43404" xr:uid="{00000000-0005-0000-0000-0000899E0000}"/>
    <cellStyle name="Normal 2 4 2 4 2 2 3" xfId="32103" xr:uid="{00000000-0005-0000-0000-00008A9E0000}"/>
    <cellStyle name="Normal 2 4 2 4 2 3" xfId="15152" xr:uid="{00000000-0005-0000-0000-00008B9E0000}"/>
    <cellStyle name="Normal 2 4 2 4 2 3 2" xfId="37754" xr:uid="{00000000-0005-0000-0000-00008C9E0000}"/>
    <cellStyle name="Normal 2 4 2 4 2 4" xfId="26453" xr:uid="{00000000-0005-0000-0000-00008D9E0000}"/>
    <cellStyle name="Normal 2 4 2 4 3" xfId="5407" xr:uid="{00000000-0005-0000-0000-00008E9E0000}"/>
    <cellStyle name="Normal 2 4 2 4 3 2" xfId="11057" xr:uid="{00000000-0005-0000-0000-00008F9E0000}"/>
    <cellStyle name="Normal 2 4 2 4 3 2 2" xfId="22358" xr:uid="{00000000-0005-0000-0000-0000909E0000}"/>
    <cellStyle name="Normal 2 4 2 4 3 2 2 2" xfId="44960" xr:uid="{00000000-0005-0000-0000-0000919E0000}"/>
    <cellStyle name="Normal 2 4 2 4 3 2 3" xfId="33659" xr:uid="{00000000-0005-0000-0000-0000929E0000}"/>
    <cellStyle name="Normal 2 4 2 4 3 3" xfId="16708" xr:uid="{00000000-0005-0000-0000-0000939E0000}"/>
    <cellStyle name="Normal 2 4 2 4 3 3 2" xfId="39310" xr:uid="{00000000-0005-0000-0000-0000949E0000}"/>
    <cellStyle name="Normal 2 4 2 4 3 4" xfId="28009" xr:uid="{00000000-0005-0000-0000-0000959E0000}"/>
    <cellStyle name="Normal 2 4 2 4 4" xfId="7887" xr:uid="{00000000-0005-0000-0000-0000969E0000}"/>
    <cellStyle name="Normal 2 4 2 4 4 2" xfId="19188" xr:uid="{00000000-0005-0000-0000-0000979E0000}"/>
    <cellStyle name="Normal 2 4 2 4 4 2 2" xfId="41790" xr:uid="{00000000-0005-0000-0000-0000989E0000}"/>
    <cellStyle name="Normal 2 4 2 4 4 3" xfId="30489" xr:uid="{00000000-0005-0000-0000-0000999E0000}"/>
    <cellStyle name="Normal 2 4 2 4 5" xfId="13538" xr:uid="{00000000-0005-0000-0000-00009A9E0000}"/>
    <cellStyle name="Normal 2 4 2 4 5 2" xfId="36140" xr:uid="{00000000-0005-0000-0000-00009B9E0000}"/>
    <cellStyle name="Normal 2 4 2 4 6" xfId="24839" xr:uid="{00000000-0005-0000-0000-00009C9E0000}"/>
    <cellStyle name="Normal 2 4 2 5" xfId="2388" xr:uid="{00000000-0005-0000-0000-00009D9E0000}"/>
    <cellStyle name="Normal 2 4 2 5 2" xfId="8224" xr:uid="{00000000-0005-0000-0000-00009E9E0000}"/>
    <cellStyle name="Normal 2 4 2 5 2 2" xfId="19525" xr:uid="{00000000-0005-0000-0000-00009F9E0000}"/>
    <cellStyle name="Normal 2 4 2 5 2 2 2" xfId="42127" xr:uid="{00000000-0005-0000-0000-0000A09E0000}"/>
    <cellStyle name="Normal 2 4 2 5 2 3" xfId="30826" xr:uid="{00000000-0005-0000-0000-0000A19E0000}"/>
    <cellStyle name="Normal 2 4 2 5 3" xfId="13875" xr:uid="{00000000-0005-0000-0000-0000A29E0000}"/>
    <cellStyle name="Normal 2 4 2 5 3 2" xfId="36477" xr:uid="{00000000-0005-0000-0000-0000A39E0000}"/>
    <cellStyle name="Normal 2 4 2 5 4" xfId="25176" xr:uid="{00000000-0005-0000-0000-0000A49E0000}"/>
    <cellStyle name="Normal 2 4 2 6" xfId="4173" xr:uid="{00000000-0005-0000-0000-0000A59E0000}"/>
    <cellStyle name="Normal 2 4 2 6 2" xfId="9823" xr:uid="{00000000-0005-0000-0000-0000A69E0000}"/>
    <cellStyle name="Normal 2 4 2 6 2 2" xfId="21124" xr:uid="{00000000-0005-0000-0000-0000A79E0000}"/>
    <cellStyle name="Normal 2 4 2 6 2 2 2" xfId="43726" xr:uid="{00000000-0005-0000-0000-0000A89E0000}"/>
    <cellStyle name="Normal 2 4 2 6 2 3" xfId="32425" xr:uid="{00000000-0005-0000-0000-0000A99E0000}"/>
    <cellStyle name="Normal 2 4 2 6 3" xfId="15474" xr:uid="{00000000-0005-0000-0000-0000AA9E0000}"/>
    <cellStyle name="Normal 2 4 2 6 3 2" xfId="38076" xr:uid="{00000000-0005-0000-0000-0000AB9E0000}"/>
    <cellStyle name="Normal 2 4 2 6 4" xfId="26775" xr:uid="{00000000-0005-0000-0000-0000AC9E0000}"/>
    <cellStyle name="Normal 2 4 2 7" xfId="6653" xr:uid="{00000000-0005-0000-0000-0000AD9E0000}"/>
    <cellStyle name="Normal 2 4 2 7 2" xfId="17954" xr:uid="{00000000-0005-0000-0000-0000AE9E0000}"/>
    <cellStyle name="Normal 2 4 2 7 2 2" xfId="40556" xr:uid="{00000000-0005-0000-0000-0000AF9E0000}"/>
    <cellStyle name="Normal 2 4 2 7 3" xfId="29255" xr:uid="{00000000-0005-0000-0000-0000B09E0000}"/>
    <cellStyle name="Normal 2 4 2 8" xfId="12304" xr:uid="{00000000-0005-0000-0000-0000B19E0000}"/>
    <cellStyle name="Normal 2 4 2 8 2" xfId="34906" xr:uid="{00000000-0005-0000-0000-0000B29E0000}"/>
    <cellStyle name="Normal 2 4 2 9" xfId="23605" xr:uid="{00000000-0005-0000-0000-0000B39E0000}"/>
    <cellStyle name="Normal 2 4 3" xfId="1160" xr:uid="{00000000-0005-0000-0000-0000B49E0000}"/>
    <cellStyle name="Normal 2 4 3 2" xfId="2033" xr:uid="{00000000-0005-0000-0000-0000B59E0000}"/>
    <cellStyle name="Normal 2 4 3 2 2" xfId="3228" xr:uid="{00000000-0005-0000-0000-0000B69E0000}"/>
    <cellStyle name="Normal 2 4 3 2 2 2" xfId="6200" xr:uid="{00000000-0005-0000-0000-0000B79E0000}"/>
    <cellStyle name="Normal 2 4 3 2 2 2 2" xfId="11850" xr:uid="{00000000-0005-0000-0000-0000B89E0000}"/>
    <cellStyle name="Normal 2 4 3 2 2 2 2 2" xfId="23151" xr:uid="{00000000-0005-0000-0000-0000B99E0000}"/>
    <cellStyle name="Normal 2 4 3 2 2 2 2 2 2" xfId="45753" xr:uid="{00000000-0005-0000-0000-0000BA9E0000}"/>
    <cellStyle name="Normal 2 4 3 2 2 2 2 3" xfId="34452" xr:uid="{00000000-0005-0000-0000-0000BB9E0000}"/>
    <cellStyle name="Normal 2 4 3 2 2 2 3" xfId="17501" xr:uid="{00000000-0005-0000-0000-0000BC9E0000}"/>
    <cellStyle name="Normal 2 4 3 2 2 2 3 2" xfId="40103" xr:uid="{00000000-0005-0000-0000-0000BD9E0000}"/>
    <cellStyle name="Normal 2 4 3 2 2 2 4" xfId="28802" xr:uid="{00000000-0005-0000-0000-0000BE9E0000}"/>
    <cellStyle name="Normal 2 4 3 2 2 3" xfId="9018" xr:uid="{00000000-0005-0000-0000-0000BF9E0000}"/>
    <cellStyle name="Normal 2 4 3 2 2 3 2" xfId="20319" xr:uid="{00000000-0005-0000-0000-0000C09E0000}"/>
    <cellStyle name="Normal 2 4 3 2 2 3 2 2" xfId="42921" xr:uid="{00000000-0005-0000-0000-0000C19E0000}"/>
    <cellStyle name="Normal 2 4 3 2 2 3 3" xfId="31620" xr:uid="{00000000-0005-0000-0000-0000C29E0000}"/>
    <cellStyle name="Normal 2 4 3 2 2 4" xfId="14669" xr:uid="{00000000-0005-0000-0000-0000C39E0000}"/>
    <cellStyle name="Normal 2 4 3 2 2 4 2" xfId="37271" xr:uid="{00000000-0005-0000-0000-0000C49E0000}"/>
    <cellStyle name="Normal 2 4 3 2 2 5" xfId="25970" xr:uid="{00000000-0005-0000-0000-0000C59E0000}"/>
    <cellStyle name="Normal 2 4 3 2 3" xfId="4966" xr:uid="{00000000-0005-0000-0000-0000C69E0000}"/>
    <cellStyle name="Normal 2 4 3 2 3 2" xfId="10616" xr:uid="{00000000-0005-0000-0000-0000C79E0000}"/>
    <cellStyle name="Normal 2 4 3 2 3 2 2" xfId="21917" xr:uid="{00000000-0005-0000-0000-0000C89E0000}"/>
    <cellStyle name="Normal 2 4 3 2 3 2 2 2" xfId="44519" xr:uid="{00000000-0005-0000-0000-0000C99E0000}"/>
    <cellStyle name="Normal 2 4 3 2 3 2 3" xfId="33218" xr:uid="{00000000-0005-0000-0000-0000CA9E0000}"/>
    <cellStyle name="Normal 2 4 3 2 3 3" xfId="16267" xr:uid="{00000000-0005-0000-0000-0000CB9E0000}"/>
    <cellStyle name="Normal 2 4 3 2 3 3 2" xfId="38869" xr:uid="{00000000-0005-0000-0000-0000CC9E0000}"/>
    <cellStyle name="Normal 2 4 3 2 3 4" xfId="27568" xr:uid="{00000000-0005-0000-0000-0000CD9E0000}"/>
    <cellStyle name="Normal 2 4 3 2 4" xfId="7889" xr:uid="{00000000-0005-0000-0000-0000CE9E0000}"/>
    <cellStyle name="Normal 2 4 3 2 4 2" xfId="19190" xr:uid="{00000000-0005-0000-0000-0000CF9E0000}"/>
    <cellStyle name="Normal 2 4 3 2 4 2 2" xfId="41792" xr:uid="{00000000-0005-0000-0000-0000D09E0000}"/>
    <cellStyle name="Normal 2 4 3 2 4 3" xfId="30491" xr:uid="{00000000-0005-0000-0000-0000D19E0000}"/>
    <cellStyle name="Normal 2 4 3 2 5" xfId="13540" xr:uid="{00000000-0005-0000-0000-0000D29E0000}"/>
    <cellStyle name="Normal 2 4 3 2 5 2" xfId="36142" xr:uid="{00000000-0005-0000-0000-0000D39E0000}"/>
    <cellStyle name="Normal 2 4 3 2 6" xfId="24841" xr:uid="{00000000-0005-0000-0000-0000D49E0000}"/>
    <cellStyle name="Normal 2 4 3 3" xfId="2557" xr:uid="{00000000-0005-0000-0000-0000D59E0000}"/>
    <cellStyle name="Normal 2 4 3 3 2" xfId="5576" xr:uid="{00000000-0005-0000-0000-0000D69E0000}"/>
    <cellStyle name="Normal 2 4 3 3 2 2" xfId="11226" xr:uid="{00000000-0005-0000-0000-0000D79E0000}"/>
    <cellStyle name="Normal 2 4 3 3 2 2 2" xfId="22527" xr:uid="{00000000-0005-0000-0000-0000D89E0000}"/>
    <cellStyle name="Normal 2 4 3 3 2 2 2 2" xfId="45129" xr:uid="{00000000-0005-0000-0000-0000D99E0000}"/>
    <cellStyle name="Normal 2 4 3 3 2 2 3" xfId="33828" xr:uid="{00000000-0005-0000-0000-0000DA9E0000}"/>
    <cellStyle name="Normal 2 4 3 3 2 3" xfId="16877" xr:uid="{00000000-0005-0000-0000-0000DB9E0000}"/>
    <cellStyle name="Normal 2 4 3 3 2 3 2" xfId="39479" xr:uid="{00000000-0005-0000-0000-0000DC9E0000}"/>
    <cellStyle name="Normal 2 4 3 3 2 4" xfId="28178" xr:uid="{00000000-0005-0000-0000-0000DD9E0000}"/>
    <cellStyle name="Normal 2 4 3 3 3" xfId="8393" xr:uid="{00000000-0005-0000-0000-0000DE9E0000}"/>
    <cellStyle name="Normal 2 4 3 3 3 2" xfId="19694" xr:uid="{00000000-0005-0000-0000-0000DF9E0000}"/>
    <cellStyle name="Normal 2 4 3 3 3 2 2" xfId="42296" xr:uid="{00000000-0005-0000-0000-0000E09E0000}"/>
    <cellStyle name="Normal 2 4 3 3 3 3" xfId="30995" xr:uid="{00000000-0005-0000-0000-0000E19E0000}"/>
    <cellStyle name="Normal 2 4 3 3 4" xfId="14044" xr:uid="{00000000-0005-0000-0000-0000E29E0000}"/>
    <cellStyle name="Normal 2 4 3 3 4 2" xfId="36646" xr:uid="{00000000-0005-0000-0000-0000E39E0000}"/>
    <cellStyle name="Normal 2 4 3 3 5" xfId="25345" xr:uid="{00000000-0005-0000-0000-0000E49E0000}"/>
    <cellStyle name="Normal 2 4 3 4" xfId="4342" xr:uid="{00000000-0005-0000-0000-0000E59E0000}"/>
    <cellStyle name="Normal 2 4 3 4 2" xfId="9992" xr:uid="{00000000-0005-0000-0000-0000E69E0000}"/>
    <cellStyle name="Normal 2 4 3 4 2 2" xfId="21293" xr:uid="{00000000-0005-0000-0000-0000E79E0000}"/>
    <cellStyle name="Normal 2 4 3 4 2 2 2" xfId="43895" xr:uid="{00000000-0005-0000-0000-0000E89E0000}"/>
    <cellStyle name="Normal 2 4 3 4 2 3" xfId="32594" xr:uid="{00000000-0005-0000-0000-0000E99E0000}"/>
    <cellStyle name="Normal 2 4 3 4 3" xfId="15643" xr:uid="{00000000-0005-0000-0000-0000EA9E0000}"/>
    <cellStyle name="Normal 2 4 3 4 3 2" xfId="38245" xr:uid="{00000000-0005-0000-0000-0000EB9E0000}"/>
    <cellStyle name="Normal 2 4 3 4 4" xfId="26944" xr:uid="{00000000-0005-0000-0000-0000EC9E0000}"/>
    <cellStyle name="Normal 2 4 3 5" xfId="7139" xr:uid="{00000000-0005-0000-0000-0000ED9E0000}"/>
    <cellStyle name="Normal 2 4 3 5 2" xfId="18440" xr:uid="{00000000-0005-0000-0000-0000EE9E0000}"/>
    <cellStyle name="Normal 2 4 3 5 2 2" xfId="41042" xr:uid="{00000000-0005-0000-0000-0000EF9E0000}"/>
    <cellStyle name="Normal 2 4 3 5 3" xfId="29741" xr:uid="{00000000-0005-0000-0000-0000F09E0000}"/>
    <cellStyle name="Normal 2 4 3 6" xfId="12790" xr:uid="{00000000-0005-0000-0000-0000F19E0000}"/>
    <cellStyle name="Normal 2 4 3 6 2" xfId="35392" xr:uid="{00000000-0005-0000-0000-0000F29E0000}"/>
    <cellStyle name="Normal 2 4 3 7" xfId="24091" xr:uid="{00000000-0005-0000-0000-0000F39E0000}"/>
    <cellStyle name="Normal 2 4 4" xfId="851" xr:uid="{00000000-0005-0000-0000-0000F49E0000}"/>
    <cellStyle name="Normal 2 4 4 2" xfId="2921" xr:uid="{00000000-0005-0000-0000-0000F59E0000}"/>
    <cellStyle name="Normal 2 4 4 2 2" xfId="5893" xr:uid="{00000000-0005-0000-0000-0000F69E0000}"/>
    <cellStyle name="Normal 2 4 4 2 2 2" xfId="11543" xr:uid="{00000000-0005-0000-0000-0000F79E0000}"/>
    <cellStyle name="Normal 2 4 4 2 2 2 2" xfId="22844" xr:uid="{00000000-0005-0000-0000-0000F89E0000}"/>
    <cellStyle name="Normal 2 4 4 2 2 2 2 2" xfId="45446" xr:uid="{00000000-0005-0000-0000-0000F99E0000}"/>
    <cellStyle name="Normal 2 4 4 2 2 2 3" xfId="34145" xr:uid="{00000000-0005-0000-0000-0000FA9E0000}"/>
    <cellStyle name="Normal 2 4 4 2 2 3" xfId="17194" xr:uid="{00000000-0005-0000-0000-0000FB9E0000}"/>
    <cellStyle name="Normal 2 4 4 2 2 3 2" xfId="39796" xr:uid="{00000000-0005-0000-0000-0000FC9E0000}"/>
    <cellStyle name="Normal 2 4 4 2 2 4" xfId="28495" xr:uid="{00000000-0005-0000-0000-0000FD9E0000}"/>
    <cellStyle name="Normal 2 4 4 2 3" xfId="8711" xr:uid="{00000000-0005-0000-0000-0000FE9E0000}"/>
    <cellStyle name="Normal 2 4 4 2 3 2" xfId="20012" xr:uid="{00000000-0005-0000-0000-0000FF9E0000}"/>
    <cellStyle name="Normal 2 4 4 2 3 2 2" xfId="42614" xr:uid="{00000000-0005-0000-0000-0000009F0000}"/>
    <cellStyle name="Normal 2 4 4 2 3 3" xfId="31313" xr:uid="{00000000-0005-0000-0000-0000019F0000}"/>
    <cellStyle name="Normal 2 4 4 2 4" xfId="14362" xr:uid="{00000000-0005-0000-0000-0000029F0000}"/>
    <cellStyle name="Normal 2 4 4 2 4 2" xfId="36964" xr:uid="{00000000-0005-0000-0000-0000039F0000}"/>
    <cellStyle name="Normal 2 4 4 2 5" xfId="25663" xr:uid="{00000000-0005-0000-0000-0000049F0000}"/>
    <cellStyle name="Normal 2 4 4 3" xfId="4659" xr:uid="{00000000-0005-0000-0000-0000059F0000}"/>
    <cellStyle name="Normal 2 4 4 3 2" xfId="10309" xr:uid="{00000000-0005-0000-0000-0000069F0000}"/>
    <cellStyle name="Normal 2 4 4 3 2 2" xfId="21610" xr:uid="{00000000-0005-0000-0000-0000079F0000}"/>
    <cellStyle name="Normal 2 4 4 3 2 2 2" xfId="44212" xr:uid="{00000000-0005-0000-0000-0000089F0000}"/>
    <cellStyle name="Normal 2 4 4 3 2 3" xfId="32911" xr:uid="{00000000-0005-0000-0000-0000099F0000}"/>
    <cellStyle name="Normal 2 4 4 3 3" xfId="15960" xr:uid="{00000000-0005-0000-0000-00000A9F0000}"/>
    <cellStyle name="Normal 2 4 4 3 3 2" xfId="38562" xr:uid="{00000000-0005-0000-0000-00000B9F0000}"/>
    <cellStyle name="Normal 2 4 4 3 4" xfId="27261" xr:uid="{00000000-0005-0000-0000-00000C9F0000}"/>
    <cellStyle name="Normal 2 4 4 4" xfId="6846" xr:uid="{00000000-0005-0000-0000-00000D9F0000}"/>
    <cellStyle name="Normal 2 4 4 4 2" xfId="18147" xr:uid="{00000000-0005-0000-0000-00000E9F0000}"/>
    <cellStyle name="Normal 2 4 4 4 2 2" xfId="40749" xr:uid="{00000000-0005-0000-0000-00000F9F0000}"/>
    <cellStyle name="Normal 2 4 4 4 3" xfId="29448" xr:uid="{00000000-0005-0000-0000-0000109F0000}"/>
    <cellStyle name="Normal 2 4 4 5" xfId="12497" xr:uid="{00000000-0005-0000-0000-0000119F0000}"/>
    <cellStyle name="Normal 2 4 4 5 2" xfId="35099" xr:uid="{00000000-0005-0000-0000-0000129F0000}"/>
    <cellStyle name="Normal 2 4 4 6" xfId="23798" xr:uid="{00000000-0005-0000-0000-0000139F0000}"/>
    <cellStyle name="Normal 2 4 5" xfId="2030" xr:uid="{00000000-0005-0000-0000-0000149F0000}"/>
    <cellStyle name="Normal 2 4 5 2" xfId="3792" xr:uid="{00000000-0005-0000-0000-0000159F0000}"/>
    <cellStyle name="Normal 2 4 5 2 2" xfId="9500" xr:uid="{00000000-0005-0000-0000-0000169F0000}"/>
    <cellStyle name="Normal 2 4 5 2 2 2" xfId="20801" xr:uid="{00000000-0005-0000-0000-0000179F0000}"/>
    <cellStyle name="Normal 2 4 5 2 2 2 2" xfId="43403" xr:uid="{00000000-0005-0000-0000-0000189F0000}"/>
    <cellStyle name="Normal 2 4 5 2 2 3" xfId="32102" xr:uid="{00000000-0005-0000-0000-0000199F0000}"/>
    <cellStyle name="Normal 2 4 5 2 3" xfId="15151" xr:uid="{00000000-0005-0000-0000-00001A9F0000}"/>
    <cellStyle name="Normal 2 4 5 2 3 2" xfId="37753" xr:uid="{00000000-0005-0000-0000-00001B9F0000}"/>
    <cellStyle name="Normal 2 4 5 2 4" xfId="26452" xr:uid="{00000000-0005-0000-0000-00001C9F0000}"/>
    <cellStyle name="Normal 2 4 5 3" xfId="5269" xr:uid="{00000000-0005-0000-0000-00001D9F0000}"/>
    <cellStyle name="Normal 2 4 5 3 2" xfId="10919" xr:uid="{00000000-0005-0000-0000-00001E9F0000}"/>
    <cellStyle name="Normal 2 4 5 3 2 2" xfId="22220" xr:uid="{00000000-0005-0000-0000-00001F9F0000}"/>
    <cellStyle name="Normal 2 4 5 3 2 2 2" xfId="44822" xr:uid="{00000000-0005-0000-0000-0000209F0000}"/>
    <cellStyle name="Normal 2 4 5 3 2 3" xfId="33521" xr:uid="{00000000-0005-0000-0000-0000219F0000}"/>
    <cellStyle name="Normal 2 4 5 3 3" xfId="16570" xr:uid="{00000000-0005-0000-0000-0000229F0000}"/>
    <cellStyle name="Normal 2 4 5 3 3 2" xfId="39172" xr:uid="{00000000-0005-0000-0000-0000239F0000}"/>
    <cellStyle name="Normal 2 4 5 3 4" xfId="27871" xr:uid="{00000000-0005-0000-0000-0000249F0000}"/>
    <cellStyle name="Normal 2 4 5 4" xfId="7886" xr:uid="{00000000-0005-0000-0000-0000259F0000}"/>
    <cellStyle name="Normal 2 4 5 4 2" xfId="19187" xr:uid="{00000000-0005-0000-0000-0000269F0000}"/>
    <cellStyle name="Normal 2 4 5 4 2 2" xfId="41789" xr:uid="{00000000-0005-0000-0000-0000279F0000}"/>
    <cellStyle name="Normal 2 4 5 4 3" xfId="30488" xr:uid="{00000000-0005-0000-0000-0000289F0000}"/>
    <cellStyle name="Normal 2 4 5 5" xfId="13537" xr:uid="{00000000-0005-0000-0000-0000299F0000}"/>
    <cellStyle name="Normal 2 4 5 5 2" xfId="36139" xr:uid="{00000000-0005-0000-0000-00002A9F0000}"/>
    <cellStyle name="Normal 2 4 5 6" xfId="24838" xr:uid="{00000000-0005-0000-0000-00002B9F0000}"/>
    <cellStyle name="Normal 2 4 6" xfId="2248" xr:uid="{00000000-0005-0000-0000-00002C9F0000}"/>
    <cellStyle name="Normal 2 4 6 2" xfId="8084" xr:uid="{00000000-0005-0000-0000-00002D9F0000}"/>
    <cellStyle name="Normal 2 4 6 2 2" xfId="19385" xr:uid="{00000000-0005-0000-0000-00002E9F0000}"/>
    <cellStyle name="Normal 2 4 6 2 2 2" xfId="41987" xr:uid="{00000000-0005-0000-0000-00002F9F0000}"/>
    <cellStyle name="Normal 2 4 6 2 3" xfId="30686" xr:uid="{00000000-0005-0000-0000-0000309F0000}"/>
    <cellStyle name="Normal 2 4 6 3" xfId="13735" xr:uid="{00000000-0005-0000-0000-0000319F0000}"/>
    <cellStyle name="Normal 2 4 6 3 2" xfId="36337" xr:uid="{00000000-0005-0000-0000-0000329F0000}"/>
    <cellStyle name="Normal 2 4 6 4" xfId="25036" xr:uid="{00000000-0005-0000-0000-0000339F0000}"/>
    <cellStyle name="Normal 2 4 7" xfId="4035" xr:uid="{00000000-0005-0000-0000-0000349F0000}"/>
    <cellStyle name="Normal 2 4 7 2" xfId="9685" xr:uid="{00000000-0005-0000-0000-0000359F0000}"/>
    <cellStyle name="Normal 2 4 7 2 2" xfId="20986" xr:uid="{00000000-0005-0000-0000-0000369F0000}"/>
    <cellStyle name="Normal 2 4 7 2 2 2" xfId="43588" xr:uid="{00000000-0005-0000-0000-0000379F0000}"/>
    <cellStyle name="Normal 2 4 7 2 3" xfId="32287" xr:uid="{00000000-0005-0000-0000-0000389F0000}"/>
    <cellStyle name="Normal 2 4 7 3" xfId="15336" xr:uid="{00000000-0005-0000-0000-0000399F0000}"/>
    <cellStyle name="Normal 2 4 7 3 2" xfId="37938" xr:uid="{00000000-0005-0000-0000-00003A9F0000}"/>
    <cellStyle name="Normal 2 4 7 4" xfId="26637" xr:uid="{00000000-0005-0000-0000-00003B9F0000}"/>
    <cellStyle name="Normal 2 4 8" xfId="6486" xr:uid="{00000000-0005-0000-0000-00003C9F0000}"/>
    <cellStyle name="Normal 2 4 8 2" xfId="17787" xr:uid="{00000000-0005-0000-0000-00003D9F0000}"/>
    <cellStyle name="Normal 2 4 8 2 2" xfId="40389" xr:uid="{00000000-0005-0000-0000-00003E9F0000}"/>
    <cellStyle name="Normal 2 4 8 3" xfId="29088" xr:uid="{00000000-0005-0000-0000-00003F9F0000}"/>
    <cellStyle name="Normal 2 4 9" xfId="12137" xr:uid="{00000000-0005-0000-0000-0000409F0000}"/>
    <cellStyle name="Normal 2 4 9 2" xfId="34739" xr:uid="{00000000-0005-0000-0000-0000419F0000}"/>
    <cellStyle name="Normal 2 5" xfId="2765" xr:uid="{00000000-0005-0000-0000-0000429F0000}"/>
    <cellStyle name="Normal 2 5 2" xfId="3866" xr:uid="{00000000-0005-0000-0000-0000439F0000}"/>
    <cellStyle name="Normal 2 5 2 2" xfId="5780" xr:uid="{00000000-0005-0000-0000-0000449F0000}"/>
    <cellStyle name="Normal 2 5 2 2 2" xfId="11430" xr:uid="{00000000-0005-0000-0000-0000459F0000}"/>
    <cellStyle name="Normal 2 5 2 2 2 2" xfId="22731" xr:uid="{00000000-0005-0000-0000-0000469F0000}"/>
    <cellStyle name="Normal 2 5 2 2 2 2 2" xfId="45333" xr:uid="{00000000-0005-0000-0000-0000479F0000}"/>
    <cellStyle name="Normal 2 5 2 2 2 3" xfId="34032" xr:uid="{00000000-0005-0000-0000-0000489F0000}"/>
    <cellStyle name="Normal 2 5 2 2 3" xfId="17081" xr:uid="{00000000-0005-0000-0000-0000499F0000}"/>
    <cellStyle name="Normal 2 5 2 2 3 2" xfId="39683" xr:uid="{00000000-0005-0000-0000-00004A9F0000}"/>
    <cellStyle name="Normal 2 5 2 2 4" xfId="28382" xr:uid="{00000000-0005-0000-0000-00004B9F0000}"/>
    <cellStyle name="Normal 2 5 2 3" xfId="9551" xr:uid="{00000000-0005-0000-0000-00004C9F0000}"/>
    <cellStyle name="Normal 2 5 2 3 2" xfId="20852" xr:uid="{00000000-0005-0000-0000-00004D9F0000}"/>
    <cellStyle name="Normal 2 5 2 3 2 2" xfId="43454" xr:uid="{00000000-0005-0000-0000-00004E9F0000}"/>
    <cellStyle name="Normal 2 5 2 3 3" xfId="32153" xr:uid="{00000000-0005-0000-0000-00004F9F0000}"/>
    <cellStyle name="Normal 2 5 2 4" xfId="15202" xr:uid="{00000000-0005-0000-0000-0000509F0000}"/>
    <cellStyle name="Normal 2 5 2 4 2" xfId="37804" xr:uid="{00000000-0005-0000-0000-0000519F0000}"/>
    <cellStyle name="Normal 2 5 2 5" xfId="26503" xr:uid="{00000000-0005-0000-0000-0000529F0000}"/>
    <cellStyle name="Normal 2 5 3" xfId="4546" xr:uid="{00000000-0005-0000-0000-0000539F0000}"/>
    <cellStyle name="Normal 2 5 3 2" xfId="10196" xr:uid="{00000000-0005-0000-0000-0000549F0000}"/>
    <cellStyle name="Normal 2 5 3 2 2" xfId="21497" xr:uid="{00000000-0005-0000-0000-0000559F0000}"/>
    <cellStyle name="Normal 2 5 3 2 2 2" xfId="44099" xr:uid="{00000000-0005-0000-0000-0000569F0000}"/>
    <cellStyle name="Normal 2 5 3 2 3" xfId="32798" xr:uid="{00000000-0005-0000-0000-0000579F0000}"/>
    <cellStyle name="Normal 2 5 3 3" xfId="15847" xr:uid="{00000000-0005-0000-0000-0000589F0000}"/>
    <cellStyle name="Normal 2 5 3 3 2" xfId="38449" xr:uid="{00000000-0005-0000-0000-0000599F0000}"/>
    <cellStyle name="Normal 2 5 3 4" xfId="27148" xr:uid="{00000000-0005-0000-0000-00005A9F0000}"/>
    <cellStyle name="Normal 2 5 4" xfId="8598" xr:uid="{00000000-0005-0000-0000-00005B9F0000}"/>
    <cellStyle name="Normal 2 5 4 2" xfId="19899" xr:uid="{00000000-0005-0000-0000-00005C9F0000}"/>
    <cellStyle name="Normal 2 5 4 2 2" xfId="42501" xr:uid="{00000000-0005-0000-0000-00005D9F0000}"/>
    <cellStyle name="Normal 2 5 4 3" xfId="31200" xr:uid="{00000000-0005-0000-0000-00005E9F0000}"/>
    <cellStyle name="Normal 2 5 5" xfId="14249" xr:uid="{00000000-0005-0000-0000-00005F9F0000}"/>
    <cellStyle name="Normal 2 5 5 2" xfId="36851" xr:uid="{00000000-0005-0000-0000-0000609F0000}"/>
    <cellStyle name="Normal 2 5 6" xfId="25550" xr:uid="{00000000-0005-0000-0000-0000619F0000}"/>
    <cellStyle name="Normal 2 6" xfId="2768" xr:uid="{00000000-0005-0000-0000-0000629F0000}"/>
    <cellStyle name="Normal 2 7" xfId="3873" xr:uid="{00000000-0005-0000-0000-0000639F0000}"/>
    <cellStyle name="Normal 2 8" xfId="3522" xr:uid="{00000000-0005-0000-0000-0000649F0000}"/>
    <cellStyle name="Normal 2 9" xfId="3902" xr:uid="{00000000-0005-0000-0000-0000659F0000}"/>
    <cellStyle name="Normal 2 9 2" xfId="2132" xr:uid="{00000000-0005-0000-0000-0000669F0000}"/>
    <cellStyle name="Normal 3" xfId="36" xr:uid="{00000000-0005-0000-0000-0000679F0000}"/>
    <cellStyle name="Normal 3 10" xfId="2106" xr:uid="{00000000-0005-0000-0000-0000689F0000}"/>
    <cellStyle name="Normal 3 11" xfId="3896" xr:uid="{00000000-0005-0000-0000-0000699F0000}"/>
    <cellStyle name="Normal 3 12" xfId="131" xr:uid="{00000000-0005-0000-0000-00006A9F0000}"/>
    <cellStyle name="Normal 3 12 2" xfId="12043" xr:uid="{00000000-0005-0000-0000-00006B9F0000}"/>
    <cellStyle name="Normal 3 12 2 2" xfId="34645" xr:uid="{00000000-0005-0000-0000-00006C9F0000}"/>
    <cellStyle name="Normal 3 12 3" xfId="23344" xr:uid="{00000000-0005-0000-0000-00006D9F0000}"/>
    <cellStyle name="Normal 3 13" xfId="6392" xr:uid="{00000000-0005-0000-0000-00006E9F0000}"/>
    <cellStyle name="Normal 3 13 2" xfId="17693" xr:uid="{00000000-0005-0000-0000-00006F9F0000}"/>
    <cellStyle name="Normal 3 13 2 2" xfId="40295" xr:uid="{00000000-0005-0000-0000-0000709F0000}"/>
    <cellStyle name="Normal 3 13 3" xfId="28994" xr:uid="{00000000-0005-0000-0000-0000719F0000}"/>
    <cellStyle name="Normal 3 2" xfId="201" xr:uid="{00000000-0005-0000-0000-0000729F0000}"/>
    <cellStyle name="Normal 3 3" xfId="278" xr:uid="{00000000-0005-0000-0000-0000739F0000}"/>
    <cellStyle name="Normal 3 3 10" xfId="23391" xr:uid="{00000000-0005-0000-0000-0000749F0000}"/>
    <cellStyle name="Normal 3 3 2" xfId="541" xr:uid="{00000000-0005-0000-0000-0000759F0000}"/>
    <cellStyle name="Normal 3 3 2 2" xfId="1251" xr:uid="{00000000-0005-0000-0000-0000769F0000}"/>
    <cellStyle name="Normal 3 3 2 2 2" xfId="2036" xr:uid="{00000000-0005-0000-0000-0000779F0000}"/>
    <cellStyle name="Normal 3 3 2 2 2 2" xfId="3320" xr:uid="{00000000-0005-0000-0000-0000789F0000}"/>
    <cellStyle name="Normal 3 3 2 2 2 2 2" xfId="6292" xr:uid="{00000000-0005-0000-0000-0000799F0000}"/>
    <cellStyle name="Normal 3 3 2 2 2 2 2 2" xfId="11942" xr:uid="{00000000-0005-0000-0000-00007A9F0000}"/>
    <cellStyle name="Normal 3 3 2 2 2 2 2 2 2" xfId="23243" xr:uid="{00000000-0005-0000-0000-00007B9F0000}"/>
    <cellStyle name="Normal 3 3 2 2 2 2 2 2 2 2" xfId="45845" xr:uid="{00000000-0005-0000-0000-00007C9F0000}"/>
    <cellStyle name="Normal 3 3 2 2 2 2 2 2 3" xfId="34544" xr:uid="{00000000-0005-0000-0000-00007D9F0000}"/>
    <cellStyle name="Normal 3 3 2 2 2 2 2 3" xfId="17593" xr:uid="{00000000-0005-0000-0000-00007E9F0000}"/>
    <cellStyle name="Normal 3 3 2 2 2 2 2 3 2" xfId="40195" xr:uid="{00000000-0005-0000-0000-00007F9F0000}"/>
    <cellStyle name="Normal 3 3 2 2 2 2 2 4" xfId="28894" xr:uid="{00000000-0005-0000-0000-0000809F0000}"/>
    <cellStyle name="Normal 3 3 2 2 2 2 3" xfId="9110" xr:uid="{00000000-0005-0000-0000-0000819F0000}"/>
    <cellStyle name="Normal 3 3 2 2 2 2 3 2" xfId="20411" xr:uid="{00000000-0005-0000-0000-0000829F0000}"/>
    <cellStyle name="Normal 3 3 2 2 2 2 3 2 2" xfId="43013" xr:uid="{00000000-0005-0000-0000-0000839F0000}"/>
    <cellStyle name="Normal 3 3 2 2 2 2 3 3" xfId="31712" xr:uid="{00000000-0005-0000-0000-0000849F0000}"/>
    <cellStyle name="Normal 3 3 2 2 2 2 4" xfId="14761" xr:uid="{00000000-0005-0000-0000-0000859F0000}"/>
    <cellStyle name="Normal 3 3 2 2 2 2 4 2" xfId="37363" xr:uid="{00000000-0005-0000-0000-0000869F0000}"/>
    <cellStyle name="Normal 3 3 2 2 2 2 5" xfId="26062" xr:uid="{00000000-0005-0000-0000-0000879F0000}"/>
    <cellStyle name="Normal 3 3 2 2 2 3" xfId="5058" xr:uid="{00000000-0005-0000-0000-0000889F0000}"/>
    <cellStyle name="Normal 3 3 2 2 2 3 2" xfId="10708" xr:uid="{00000000-0005-0000-0000-0000899F0000}"/>
    <cellStyle name="Normal 3 3 2 2 2 3 2 2" xfId="22009" xr:uid="{00000000-0005-0000-0000-00008A9F0000}"/>
    <cellStyle name="Normal 3 3 2 2 2 3 2 2 2" xfId="44611" xr:uid="{00000000-0005-0000-0000-00008B9F0000}"/>
    <cellStyle name="Normal 3 3 2 2 2 3 2 3" xfId="33310" xr:uid="{00000000-0005-0000-0000-00008C9F0000}"/>
    <cellStyle name="Normal 3 3 2 2 2 3 3" xfId="16359" xr:uid="{00000000-0005-0000-0000-00008D9F0000}"/>
    <cellStyle name="Normal 3 3 2 2 2 3 3 2" xfId="38961" xr:uid="{00000000-0005-0000-0000-00008E9F0000}"/>
    <cellStyle name="Normal 3 3 2 2 2 3 4" xfId="27660" xr:uid="{00000000-0005-0000-0000-00008F9F0000}"/>
    <cellStyle name="Normal 3 3 2 2 2 4" xfId="7892" xr:uid="{00000000-0005-0000-0000-0000909F0000}"/>
    <cellStyle name="Normal 3 3 2 2 2 4 2" xfId="19193" xr:uid="{00000000-0005-0000-0000-0000919F0000}"/>
    <cellStyle name="Normal 3 3 2 2 2 4 2 2" xfId="41795" xr:uid="{00000000-0005-0000-0000-0000929F0000}"/>
    <cellStyle name="Normal 3 3 2 2 2 4 3" xfId="30494" xr:uid="{00000000-0005-0000-0000-0000939F0000}"/>
    <cellStyle name="Normal 3 3 2 2 2 5" xfId="13543" xr:uid="{00000000-0005-0000-0000-0000949F0000}"/>
    <cellStyle name="Normal 3 3 2 2 2 5 2" xfId="36145" xr:uid="{00000000-0005-0000-0000-0000959F0000}"/>
    <cellStyle name="Normal 3 3 2 2 2 6" xfId="24844" xr:uid="{00000000-0005-0000-0000-0000969F0000}"/>
    <cellStyle name="Normal 3 3 2 2 3" xfId="2649" xr:uid="{00000000-0005-0000-0000-0000979F0000}"/>
    <cellStyle name="Normal 3 3 2 2 3 2" xfId="5668" xr:uid="{00000000-0005-0000-0000-0000989F0000}"/>
    <cellStyle name="Normal 3 3 2 2 3 2 2" xfId="11318" xr:uid="{00000000-0005-0000-0000-0000999F0000}"/>
    <cellStyle name="Normal 3 3 2 2 3 2 2 2" xfId="22619" xr:uid="{00000000-0005-0000-0000-00009A9F0000}"/>
    <cellStyle name="Normal 3 3 2 2 3 2 2 2 2" xfId="45221" xr:uid="{00000000-0005-0000-0000-00009B9F0000}"/>
    <cellStyle name="Normal 3 3 2 2 3 2 2 3" xfId="33920" xr:uid="{00000000-0005-0000-0000-00009C9F0000}"/>
    <cellStyle name="Normal 3 3 2 2 3 2 3" xfId="16969" xr:uid="{00000000-0005-0000-0000-00009D9F0000}"/>
    <cellStyle name="Normal 3 3 2 2 3 2 3 2" xfId="39571" xr:uid="{00000000-0005-0000-0000-00009E9F0000}"/>
    <cellStyle name="Normal 3 3 2 2 3 2 4" xfId="28270" xr:uid="{00000000-0005-0000-0000-00009F9F0000}"/>
    <cellStyle name="Normal 3 3 2 2 3 3" xfId="8485" xr:uid="{00000000-0005-0000-0000-0000A09F0000}"/>
    <cellStyle name="Normal 3 3 2 2 3 3 2" xfId="19786" xr:uid="{00000000-0005-0000-0000-0000A19F0000}"/>
    <cellStyle name="Normal 3 3 2 2 3 3 2 2" xfId="42388" xr:uid="{00000000-0005-0000-0000-0000A29F0000}"/>
    <cellStyle name="Normal 3 3 2 2 3 3 3" xfId="31087" xr:uid="{00000000-0005-0000-0000-0000A39F0000}"/>
    <cellStyle name="Normal 3 3 2 2 3 4" xfId="14136" xr:uid="{00000000-0005-0000-0000-0000A49F0000}"/>
    <cellStyle name="Normal 3 3 2 2 3 4 2" xfId="36738" xr:uid="{00000000-0005-0000-0000-0000A59F0000}"/>
    <cellStyle name="Normal 3 3 2 2 3 5" xfId="25437" xr:uid="{00000000-0005-0000-0000-0000A69F0000}"/>
    <cellStyle name="Normal 3 3 2 2 4" xfId="4434" xr:uid="{00000000-0005-0000-0000-0000A79F0000}"/>
    <cellStyle name="Normal 3 3 2 2 4 2" xfId="10084" xr:uid="{00000000-0005-0000-0000-0000A89F0000}"/>
    <cellStyle name="Normal 3 3 2 2 4 2 2" xfId="21385" xr:uid="{00000000-0005-0000-0000-0000A99F0000}"/>
    <cellStyle name="Normal 3 3 2 2 4 2 2 2" xfId="43987" xr:uid="{00000000-0005-0000-0000-0000AA9F0000}"/>
    <cellStyle name="Normal 3 3 2 2 4 2 3" xfId="32686" xr:uid="{00000000-0005-0000-0000-0000AB9F0000}"/>
    <cellStyle name="Normal 3 3 2 2 4 3" xfId="15735" xr:uid="{00000000-0005-0000-0000-0000AC9F0000}"/>
    <cellStyle name="Normal 3 3 2 2 4 3 2" xfId="38337" xr:uid="{00000000-0005-0000-0000-0000AD9F0000}"/>
    <cellStyle name="Normal 3 3 2 2 4 4" xfId="27036" xr:uid="{00000000-0005-0000-0000-0000AE9F0000}"/>
    <cellStyle name="Normal 3 3 2 2 5" xfId="7230" xr:uid="{00000000-0005-0000-0000-0000AF9F0000}"/>
    <cellStyle name="Normal 3 3 2 2 5 2" xfId="18531" xr:uid="{00000000-0005-0000-0000-0000B09F0000}"/>
    <cellStyle name="Normal 3 3 2 2 5 2 2" xfId="41133" xr:uid="{00000000-0005-0000-0000-0000B19F0000}"/>
    <cellStyle name="Normal 3 3 2 2 5 3" xfId="29832" xr:uid="{00000000-0005-0000-0000-0000B29F0000}"/>
    <cellStyle name="Normal 3 3 2 2 6" xfId="12881" xr:uid="{00000000-0005-0000-0000-0000B39F0000}"/>
    <cellStyle name="Normal 3 3 2 2 6 2" xfId="35483" xr:uid="{00000000-0005-0000-0000-0000B49F0000}"/>
    <cellStyle name="Normal 3 3 2 2 7" xfId="24182" xr:uid="{00000000-0005-0000-0000-0000B59F0000}"/>
    <cellStyle name="Normal 3 3 2 3" xfId="949" xr:uid="{00000000-0005-0000-0000-0000B69F0000}"/>
    <cellStyle name="Normal 3 3 2 3 2" xfId="3012" xr:uid="{00000000-0005-0000-0000-0000B79F0000}"/>
    <cellStyle name="Normal 3 3 2 3 2 2" xfId="5984" xr:uid="{00000000-0005-0000-0000-0000B89F0000}"/>
    <cellStyle name="Normal 3 3 2 3 2 2 2" xfId="11634" xr:uid="{00000000-0005-0000-0000-0000B99F0000}"/>
    <cellStyle name="Normal 3 3 2 3 2 2 2 2" xfId="22935" xr:uid="{00000000-0005-0000-0000-0000BA9F0000}"/>
    <cellStyle name="Normal 3 3 2 3 2 2 2 2 2" xfId="45537" xr:uid="{00000000-0005-0000-0000-0000BB9F0000}"/>
    <cellStyle name="Normal 3 3 2 3 2 2 2 3" xfId="34236" xr:uid="{00000000-0005-0000-0000-0000BC9F0000}"/>
    <cellStyle name="Normal 3 3 2 3 2 2 3" xfId="17285" xr:uid="{00000000-0005-0000-0000-0000BD9F0000}"/>
    <cellStyle name="Normal 3 3 2 3 2 2 3 2" xfId="39887" xr:uid="{00000000-0005-0000-0000-0000BE9F0000}"/>
    <cellStyle name="Normal 3 3 2 3 2 2 4" xfId="28586" xr:uid="{00000000-0005-0000-0000-0000BF9F0000}"/>
    <cellStyle name="Normal 3 3 2 3 2 3" xfId="8802" xr:uid="{00000000-0005-0000-0000-0000C09F0000}"/>
    <cellStyle name="Normal 3 3 2 3 2 3 2" xfId="20103" xr:uid="{00000000-0005-0000-0000-0000C19F0000}"/>
    <cellStyle name="Normal 3 3 2 3 2 3 2 2" xfId="42705" xr:uid="{00000000-0005-0000-0000-0000C29F0000}"/>
    <cellStyle name="Normal 3 3 2 3 2 3 3" xfId="31404" xr:uid="{00000000-0005-0000-0000-0000C39F0000}"/>
    <cellStyle name="Normal 3 3 2 3 2 4" xfId="14453" xr:uid="{00000000-0005-0000-0000-0000C49F0000}"/>
    <cellStyle name="Normal 3 3 2 3 2 4 2" xfId="37055" xr:uid="{00000000-0005-0000-0000-0000C59F0000}"/>
    <cellStyle name="Normal 3 3 2 3 2 5" xfId="25754" xr:uid="{00000000-0005-0000-0000-0000C69F0000}"/>
    <cellStyle name="Normal 3 3 2 3 3" xfId="4750" xr:uid="{00000000-0005-0000-0000-0000C79F0000}"/>
    <cellStyle name="Normal 3 3 2 3 3 2" xfId="10400" xr:uid="{00000000-0005-0000-0000-0000C89F0000}"/>
    <cellStyle name="Normal 3 3 2 3 3 2 2" xfId="21701" xr:uid="{00000000-0005-0000-0000-0000C99F0000}"/>
    <cellStyle name="Normal 3 3 2 3 3 2 2 2" xfId="44303" xr:uid="{00000000-0005-0000-0000-0000CA9F0000}"/>
    <cellStyle name="Normal 3 3 2 3 3 2 3" xfId="33002" xr:uid="{00000000-0005-0000-0000-0000CB9F0000}"/>
    <cellStyle name="Normal 3 3 2 3 3 3" xfId="16051" xr:uid="{00000000-0005-0000-0000-0000CC9F0000}"/>
    <cellStyle name="Normal 3 3 2 3 3 3 2" xfId="38653" xr:uid="{00000000-0005-0000-0000-0000CD9F0000}"/>
    <cellStyle name="Normal 3 3 2 3 3 4" xfId="27352" xr:uid="{00000000-0005-0000-0000-0000CE9F0000}"/>
    <cellStyle name="Normal 3 3 2 3 4" xfId="6937" xr:uid="{00000000-0005-0000-0000-0000CF9F0000}"/>
    <cellStyle name="Normal 3 3 2 3 4 2" xfId="18238" xr:uid="{00000000-0005-0000-0000-0000D09F0000}"/>
    <cellStyle name="Normal 3 3 2 3 4 2 2" xfId="40840" xr:uid="{00000000-0005-0000-0000-0000D19F0000}"/>
    <cellStyle name="Normal 3 3 2 3 4 3" xfId="29539" xr:uid="{00000000-0005-0000-0000-0000D29F0000}"/>
    <cellStyle name="Normal 3 3 2 3 5" xfId="12588" xr:uid="{00000000-0005-0000-0000-0000D39F0000}"/>
    <cellStyle name="Normal 3 3 2 3 5 2" xfId="35190" xr:uid="{00000000-0005-0000-0000-0000D49F0000}"/>
    <cellStyle name="Normal 3 3 2 3 6" xfId="23889" xr:uid="{00000000-0005-0000-0000-0000D59F0000}"/>
    <cellStyle name="Normal 3 3 2 4" xfId="2035" xr:uid="{00000000-0005-0000-0000-0000D69F0000}"/>
    <cellStyle name="Normal 3 3 2 4 2" xfId="3795" xr:uid="{00000000-0005-0000-0000-0000D79F0000}"/>
    <cellStyle name="Normal 3 3 2 4 2 2" xfId="9503" xr:uid="{00000000-0005-0000-0000-0000D89F0000}"/>
    <cellStyle name="Normal 3 3 2 4 2 2 2" xfId="20804" xr:uid="{00000000-0005-0000-0000-0000D99F0000}"/>
    <cellStyle name="Normal 3 3 2 4 2 2 2 2" xfId="43406" xr:uid="{00000000-0005-0000-0000-0000DA9F0000}"/>
    <cellStyle name="Normal 3 3 2 4 2 2 3" xfId="32105" xr:uid="{00000000-0005-0000-0000-0000DB9F0000}"/>
    <cellStyle name="Normal 3 3 2 4 2 3" xfId="15154" xr:uid="{00000000-0005-0000-0000-0000DC9F0000}"/>
    <cellStyle name="Normal 3 3 2 4 2 3 2" xfId="37756" xr:uid="{00000000-0005-0000-0000-0000DD9F0000}"/>
    <cellStyle name="Normal 3 3 2 4 2 4" xfId="26455" xr:uid="{00000000-0005-0000-0000-0000DE9F0000}"/>
    <cellStyle name="Normal 3 3 2 4 3" xfId="5360" xr:uid="{00000000-0005-0000-0000-0000DF9F0000}"/>
    <cellStyle name="Normal 3 3 2 4 3 2" xfId="11010" xr:uid="{00000000-0005-0000-0000-0000E09F0000}"/>
    <cellStyle name="Normal 3 3 2 4 3 2 2" xfId="22311" xr:uid="{00000000-0005-0000-0000-0000E19F0000}"/>
    <cellStyle name="Normal 3 3 2 4 3 2 2 2" xfId="44913" xr:uid="{00000000-0005-0000-0000-0000E29F0000}"/>
    <cellStyle name="Normal 3 3 2 4 3 2 3" xfId="33612" xr:uid="{00000000-0005-0000-0000-0000E39F0000}"/>
    <cellStyle name="Normal 3 3 2 4 3 3" xfId="16661" xr:uid="{00000000-0005-0000-0000-0000E49F0000}"/>
    <cellStyle name="Normal 3 3 2 4 3 3 2" xfId="39263" xr:uid="{00000000-0005-0000-0000-0000E59F0000}"/>
    <cellStyle name="Normal 3 3 2 4 3 4" xfId="27962" xr:uid="{00000000-0005-0000-0000-0000E69F0000}"/>
    <cellStyle name="Normal 3 3 2 4 4" xfId="7891" xr:uid="{00000000-0005-0000-0000-0000E79F0000}"/>
    <cellStyle name="Normal 3 3 2 4 4 2" xfId="19192" xr:uid="{00000000-0005-0000-0000-0000E89F0000}"/>
    <cellStyle name="Normal 3 3 2 4 4 2 2" xfId="41794" xr:uid="{00000000-0005-0000-0000-0000E99F0000}"/>
    <cellStyle name="Normal 3 3 2 4 4 3" xfId="30493" xr:uid="{00000000-0005-0000-0000-0000EA9F0000}"/>
    <cellStyle name="Normal 3 3 2 4 5" xfId="13542" xr:uid="{00000000-0005-0000-0000-0000EB9F0000}"/>
    <cellStyle name="Normal 3 3 2 4 5 2" xfId="36144" xr:uid="{00000000-0005-0000-0000-0000EC9F0000}"/>
    <cellStyle name="Normal 3 3 2 4 6" xfId="24843" xr:uid="{00000000-0005-0000-0000-0000ED9F0000}"/>
    <cellStyle name="Normal 3 3 2 5" xfId="2341" xr:uid="{00000000-0005-0000-0000-0000EE9F0000}"/>
    <cellStyle name="Normal 3 3 2 5 2" xfId="8177" xr:uid="{00000000-0005-0000-0000-0000EF9F0000}"/>
    <cellStyle name="Normal 3 3 2 5 2 2" xfId="19478" xr:uid="{00000000-0005-0000-0000-0000F09F0000}"/>
    <cellStyle name="Normal 3 3 2 5 2 2 2" xfId="42080" xr:uid="{00000000-0005-0000-0000-0000F19F0000}"/>
    <cellStyle name="Normal 3 3 2 5 2 3" xfId="30779" xr:uid="{00000000-0005-0000-0000-0000F29F0000}"/>
    <cellStyle name="Normal 3 3 2 5 3" xfId="13828" xr:uid="{00000000-0005-0000-0000-0000F39F0000}"/>
    <cellStyle name="Normal 3 3 2 5 3 2" xfId="36430" xr:uid="{00000000-0005-0000-0000-0000F49F0000}"/>
    <cellStyle name="Normal 3 3 2 5 4" xfId="25129" xr:uid="{00000000-0005-0000-0000-0000F59F0000}"/>
    <cellStyle name="Normal 3 3 2 6" xfId="4126" xr:uid="{00000000-0005-0000-0000-0000F69F0000}"/>
    <cellStyle name="Normal 3 3 2 6 2" xfId="9776" xr:uid="{00000000-0005-0000-0000-0000F79F0000}"/>
    <cellStyle name="Normal 3 3 2 6 2 2" xfId="21077" xr:uid="{00000000-0005-0000-0000-0000F89F0000}"/>
    <cellStyle name="Normal 3 3 2 6 2 2 2" xfId="43679" xr:uid="{00000000-0005-0000-0000-0000F99F0000}"/>
    <cellStyle name="Normal 3 3 2 6 2 3" xfId="32378" xr:uid="{00000000-0005-0000-0000-0000FA9F0000}"/>
    <cellStyle name="Normal 3 3 2 6 3" xfId="15427" xr:uid="{00000000-0005-0000-0000-0000FB9F0000}"/>
    <cellStyle name="Normal 3 3 2 6 3 2" xfId="38029" xr:uid="{00000000-0005-0000-0000-0000FC9F0000}"/>
    <cellStyle name="Normal 3 3 2 6 4" xfId="26728" xr:uid="{00000000-0005-0000-0000-0000FD9F0000}"/>
    <cellStyle name="Normal 3 3 2 7" xfId="6606" xr:uid="{00000000-0005-0000-0000-0000FE9F0000}"/>
    <cellStyle name="Normal 3 3 2 7 2" xfId="17907" xr:uid="{00000000-0005-0000-0000-0000FF9F0000}"/>
    <cellStyle name="Normal 3 3 2 7 2 2" xfId="40509" xr:uid="{00000000-0005-0000-0000-000000A00000}"/>
    <cellStyle name="Normal 3 3 2 7 3" xfId="29208" xr:uid="{00000000-0005-0000-0000-000001A00000}"/>
    <cellStyle name="Normal 3 3 2 8" xfId="12257" xr:uid="{00000000-0005-0000-0000-000002A00000}"/>
    <cellStyle name="Normal 3 3 2 8 2" xfId="34859" xr:uid="{00000000-0005-0000-0000-000003A00000}"/>
    <cellStyle name="Normal 3 3 2 9" xfId="23558" xr:uid="{00000000-0005-0000-0000-000004A00000}"/>
    <cellStyle name="Normal 3 3 3" xfId="1113" xr:uid="{00000000-0005-0000-0000-000005A00000}"/>
    <cellStyle name="Normal 3 3 3 2" xfId="2037" xr:uid="{00000000-0005-0000-0000-000006A00000}"/>
    <cellStyle name="Normal 3 3 3 2 2" xfId="3181" xr:uid="{00000000-0005-0000-0000-000007A00000}"/>
    <cellStyle name="Normal 3 3 3 2 2 2" xfId="6153" xr:uid="{00000000-0005-0000-0000-000008A00000}"/>
    <cellStyle name="Normal 3 3 3 2 2 2 2" xfId="11803" xr:uid="{00000000-0005-0000-0000-000009A00000}"/>
    <cellStyle name="Normal 3 3 3 2 2 2 2 2" xfId="23104" xr:uid="{00000000-0005-0000-0000-00000AA00000}"/>
    <cellStyle name="Normal 3 3 3 2 2 2 2 2 2" xfId="45706" xr:uid="{00000000-0005-0000-0000-00000BA00000}"/>
    <cellStyle name="Normal 3 3 3 2 2 2 2 3" xfId="34405" xr:uid="{00000000-0005-0000-0000-00000CA00000}"/>
    <cellStyle name="Normal 3 3 3 2 2 2 3" xfId="17454" xr:uid="{00000000-0005-0000-0000-00000DA00000}"/>
    <cellStyle name="Normal 3 3 3 2 2 2 3 2" xfId="40056" xr:uid="{00000000-0005-0000-0000-00000EA00000}"/>
    <cellStyle name="Normal 3 3 3 2 2 2 4" xfId="28755" xr:uid="{00000000-0005-0000-0000-00000FA00000}"/>
    <cellStyle name="Normal 3 3 3 2 2 3" xfId="8971" xr:uid="{00000000-0005-0000-0000-000010A00000}"/>
    <cellStyle name="Normal 3 3 3 2 2 3 2" xfId="20272" xr:uid="{00000000-0005-0000-0000-000011A00000}"/>
    <cellStyle name="Normal 3 3 3 2 2 3 2 2" xfId="42874" xr:uid="{00000000-0005-0000-0000-000012A00000}"/>
    <cellStyle name="Normal 3 3 3 2 2 3 3" xfId="31573" xr:uid="{00000000-0005-0000-0000-000013A00000}"/>
    <cellStyle name="Normal 3 3 3 2 2 4" xfId="14622" xr:uid="{00000000-0005-0000-0000-000014A00000}"/>
    <cellStyle name="Normal 3 3 3 2 2 4 2" xfId="37224" xr:uid="{00000000-0005-0000-0000-000015A00000}"/>
    <cellStyle name="Normal 3 3 3 2 2 5" xfId="25923" xr:uid="{00000000-0005-0000-0000-000016A00000}"/>
    <cellStyle name="Normal 3 3 3 2 3" xfId="4919" xr:uid="{00000000-0005-0000-0000-000017A00000}"/>
    <cellStyle name="Normal 3 3 3 2 3 2" xfId="10569" xr:uid="{00000000-0005-0000-0000-000018A00000}"/>
    <cellStyle name="Normal 3 3 3 2 3 2 2" xfId="21870" xr:uid="{00000000-0005-0000-0000-000019A00000}"/>
    <cellStyle name="Normal 3 3 3 2 3 2 2 2" xfId="44472" xr:uid="{00000000-0005-0000-0000-00001AA00000}"/>
    <cellStyle name="Normal 3 3 3 2 3 2 3" xfId="33171" xr:uid="{00000000-0005-0000-0000-00001BA00000}"/>
    <cellStyle name="Normal 3 3 3 2 3 3" xfId="16220" xr:uid="{00000000-0005-0000-0000-00001CA00000}"/>
    <cellStyle name="Normal 3 3 3 2 3 3 2" xfId="38822" xr:uid="{00000000-0005-0000-0000-00001DA00000}"/>
    <cellStyle name="Normal 3 3 3 2 3 4" xfId="27521" xr:uid="{00000000-0005-0000-0000-00001EA00000}"/>
    <cellStyle name="Normal 3 3 3 2 4" xfId="7893" xr:uid="{00000000-0005-0000-0000-00001FA00000}"/>
    <cellStyle name="Normal 3 3 3 2 4 2" xfId="19194" xr:uid="{00000000-0005-0000-0000-000020A00000}"/>
    <cellStyle name="Normal 3 3 3 2 4 2 2" xfId="41796" xr:uid="{00000000-0005-0000-0000-000021A00000}"/>
    <cellStyle name="Normal 3 3 3 2 4 3" xfId="30495" xr:uid="{00000000-0005-0000-0000-000022A00000}"/>
    <cellStyle name="Normal 3 3 3 2 5" xfId="13544" xr:uid="{00000000-0005-0000-0000-000023A00000}"/>
    <cellStyle name="Normal 3 3 3 2 5 2" xfId="36146" xr:uid="{00000000-0005-0000-0000-000024A00000}"/>
    <cellStyle name="Normal 3 3 3 2 6" xfId="24845" xr:uid="{00000000-0005-0000-0000-000025A00000}"/>
    <cellStyle name="Normal 3 3 3 3" xfId="2510" xr:uid="{00000000-0005-0000-0000-000026A00000}"/>
    <cellStyle name="Normal 3 3 3 3 2" xfId="5529" xr:uid="{00000000-0005-0000-0000-000027A00000}"/>
    <cellStyle name="Normal 3 3 3 3 2 2" xfId="11179" xr:uid="{00000000-0005-0000-0000-000028A00000}"/>
    <cellStyle name="Normal 3 3 3 3 2 2 2" xfId="22480" xr:uid="{00000000-0005-0000-0000-000029A00000}"/>
    <cellStyle name="Normal 3 3 3 3 2 2 2 2" xfId="45082" xr:uid="{00000000-0005-0000-0000-00002AA00000}"/>
    <cellStyle name="Normal 3 3 3 3 2 2 3" xfId="33781" xr:uid="{00000000-0005-0000-0000-00002BA00000}"/>
    <cellStyle name="Normal 3 3 3 3 2 3" xfId="16830" xr:uid="{00000000-0005-0000-0000-00002CA00000}"/>
    <cellStyle name="Normal 3 3 3 3 2 3 2" xfId="39432" xr:uid="{00000000-0005-0000-0000-00002DA00000}"/>
    <cellStyle name="Normal 3 3 3 3 2 4" xfId="28131" xr:uid="{00000000-0005-0000-0000-00002EA00000}"/>
    <cellStyle name="Normal 3 3 3 3 3" xfId="8346" xr:uid="{00000000-0005-0000-0000-00002FA00000}"/>
    <cellStyle name="Normal 3 3 3 3 3 2" xfId="19647" xr:uid="{00000000-0005-0000-0000-000030A00000}"/>
    <cellStyle name="Normal 3 3 3 3 3 2 2" xfId="42249" xr:uid="{00000000-0005-0000-0000-000031A00000}"/>
    <cellStyle name="Normal 3 3 3 3 3 3" xfId="30948" xr:uid="{00000000-0005-0000-0000-000032A00000}"/>
    <cellStyle name="Normal 3 3 3 3 4" xfId="13997" xr:uid="{00000000-0005-0000-0000-000033A00000}"/>
    <cellStyle name="Normal 3 3 3 3 4 2" xfId="36599" xr:uid="{00000000-0005-0000-0000-000034A00000}"/>
    <cellStyle name="Normal 3 3 3 3 5" xfId="25298" xr:uid="{00000000-0005-0000-0000-000035A00000}"/>
    <cellStyle name="Normal 3 3 3 4" xfId="4295" xr:uid="{00000000-0005-0000-0000-000036A00000}"/>
    <cellStyle name="Normal 3 3 3 4 2" xfId="9945" xr:uid="{00000000-0005-0000-0000-000037A00000}"/>
    <cellStyle name="Normal 3 3 3 4 2 2" xfId="21246" xr:uid="{00000000-0005-0000-0000-000038A00000}"/>
    <cellStyle name="Normal 3 3 3 4 2 2 2" xfId="43848" xr:uid="{00000000-0005-0000-0000-000039A00000}"/>
    <cellStyle name="Normal 3 3 3 4 2 3" xfId="32547" xr:uid="{00000000-0005-0000-0000-00003AA00000}"/>
    <cellStyle name="Normal 3 3 3 4 3" xfId="15596" xr:uid="{00000000-0005-0000-0000-00003BA00000}"/>
    <cellStyle name="Normal 3 3 3 4 3 2" xfId="38198" xr:uid="{00000000-0005-0000-0000-00003CA00000}"/>
    <cellStyle name="Normal 3 3 3 4 4" xfId="26897" xr:uid="{00000000-0005-0000-0000-00003DA00000}"/>
    <cellStyle name="Normal 3 3 3 5" xfId="7092" xr:uid="{00000000-0005-0000-0000-00003EA00000}"/>
    <cellStyle name="Normal 3 3 3 5 2" xfId="18393" xr:uid="{00000000-0005-0000-0000-00003FA00000}"/>
    <cellStyle name="Normal 3 3 3 5 2 2" xfId="40995" xr:uid="{00000000-0005-0000-0000-000040A00000}"/>
    <cellStyle name="Normal 3 3 3 5 3" xfId="29694" xr:uid="{00000000-0005-0000-0000-000041A00000}"/>
    <cellStyle name="Normal 3 3 3 6" xfId="12743" xr:uid="{00000000-0005-0000-0000-000042A00000}"/>
    <cellStyle name="Normal 3 3 3 6 2" xfId="35345" xr:uid="{00000000-0005-0000-0000-000043A00000}"/>
    <cellStyle name="Normal 3 3 3 7" xfId="24044" xr:uid="{00000000-0005-0000-0000-000044A00000}"/>
    <cellStyle name="Normal 3 3 4" xfId="802" xr:uid="{00000000-0005-0000-0000-000045A00000}"/>
    <cellStyle name="Normal 3 3 4 2" xfId="2874" xr:uid="{00000000-0005-0000-0000-000046A00000}"/>
    <cellStyle name="Normal 3 3 4 2 2" xfId="5846" xr:uid="{00000000-0005-0000-0000-000047A00000}"/>
    <cellStyle name="Normal 3 3 4 2 2 2" xfId="11496" xr:uid="{00000000-0005-0000-0000-000048A00000}"/>
    <cellStyle name="Normal 3 3 4 2 2 2 2" xfId="22797" xr:uid="{00000000-0005-0000-0000-000049A00000}"/>
    <cellStyle name="Normal 3 3 4 2 2 2 2 2" xfId="45399" xr:uid="{00000000-0005-0000-0000-00004AA00000}"/>
    <cellStyle name="Normal 3 3 4 2 2 2 3" xfId="34098" xr:uid="{00000000-0005-0000-0000-00004BA00000}"/>
    <cellStyle name="Normal 3 3 4 2 2 3" xfId="17147" xr:uid="{00000000-0005-0000-0000-00004CA00000}"/>
    <cellStyle name="Normal 3 3 4 2 2 3 2" xfId="39749" xr:uid="{00000000-0005-0000-0000-00004DA00000}"/>
    <cellStyle name="Normal 3 3 4 2 2 4" xfId="28448" xr:uid="{00000000-0005-0000-0000-00004EA00000}"/>
    <cellStyle name="Normal 3 3 4 2 3" xfId="8664" xr:uid="{00000000-0005-0000-0000-00004FA00000}"/>
    <cellStyle name="Normal 3 3 4 2 3 2" xfId="19965" xr:uid="{00000000-0005-0000-0000-000050A00000}"/>
    <cellStyle name="Normal 3 3 4 2 3 2 2" xfId="42567" xr:uid="{00000000-0005-0000-0000-000051A00000}"/>
    <cellStyle name="Normal 3 3 4 2 3 3" xfId="31266" xr:uid="{00000000-0005-0000-0000-000052A00000}"/>
    <cellStyle name="Normal 3 3 4 2 4" xfId="14315" xr:uid="{00000000-0005-0000-0000-000053A00000}"/>
    <cellStyle name="Normal 3 3 4 2 4 2" xfId="36917" xr:uid="{00000000-0005-0000-0000-000054A00000}"/>
    <cellStyle name="Normal 3 3 4 2 5" xfId="25616" xr:uid="{00000000-0005-0000-0000-000055A00000}"/>
    <cellStyle name="Normal 3 3 4 3" xfId="4612" xr:uid="{00000000-0005-0000-0000-000056A00000}"/>
    <cellStyle name="Normal 3 3 4 3 2" xfId="10262" xr:uid="{00000000-0005-0000-0000-000057A00000}"/>
    <cellStyle name="Normal 3 3 4 3 2 2" xfId="21563" xr:uid="{00000000-0005-0000-0000-000058A00000}"/>
    <cellStyle name="Normal 3 3 4 3 2 2 2" xfId="44165" xr:uid="{00000000-0005-0000-0000-000059A00000}"/>
    <cellStyle name="Normal 3 3 4 3 2 3" xfId="32864" xr:uid="{00000000-0005-0000-0000-00005AA00000}"/>
    <cellStyle name="Normal 3 3 4 3 3" xfId="15913" xr:uid="{00000000-0005-0000-0000-00005BA00000}"/>
    <cellStyle name="Normal 3 3 4 3 3 2" xfId="38515" xr:uid="{00000000-0005-0000-0000-00005CA00000}"/>
    <cellStyle name="Normal 3 3 4 3 4" xfId="27214" xr:uid="{00000000-0005-0000-0000-00005DA00000}"/>
    <cellStyle name="Normal 3 3 4 4" xfId="6799" xr:uid="{00000000-0005-0000-0000-00005EA00000}"/>
    <cellStyle name="Normal 3 3 4 4 2" xfId="18100" xr:uid="{00000000-0005-0000-0000-00005FA00000}"/>
    <cellStyle name="Normal 3 3 4 4 2 2" xfId="40702" xr:uid="{00000000-0005-0000-0000-000060A00000}"/>
    <cellStyle name="Normal 3 3 4 4 3" xfId="29401" xr:uid="{00000000-0005-0000-0000-000061A00000}"/>
    <cellStyle name="Normal 3 3 4 5" xfId="12450" xr:uid="{00000000-0005-0000-0000-000062A00000}"/>
    <cellStyle name="Normal 3 3 4 5 2" xfId="35052" xr:uid="{00000000-0005-0000-0000-000063A00000}"/>
    <cellStyle name="Normal 3 3 4 6" xfId="23751" xr:uid="{00000000-0005-0000-0000-000064A00000}"/>
    <cellStyle name="Normal 3 3 5" xfId="2034" xr:uid="{00000000-0005-0000-0000-000065A00000}"/>
    <cellStyle name="Normal 3 3 5 2" xfId="3794" xr:uid="{00000000-0005-0000-0000-000066A00000}"/>
    <cellStyle name="Normal 3 3 5 2 2" xfId="9502" xr:uid="{00000000-0005-0000-0000-000067A00000}"/>
    <cellStyle name="Normal 3 3 5 2 2 2" xfId="20803" xr:uid="{00000000-0005-0000-0000-000068A00000}"/>
    <cellStyle name="Normal 3 3 5 2 2 2 2" xfId="43405" xr:uid="{00000000-0005-0000-0000-000069A00000}"/>
    <cellStyle name="Normal 3 3 5 2 2 3" xfId="32104" xr:uid="{00000000-0005-0000-0000-00006AA00000}"/>
    <cellStyle name="Normal 3 3 5 2 3" xfId="15153" xr:uid="{00000000-0005-0000-0000-00006BA00000}"/>
    <cellStyle name="Normal 3 3 5 2 3 2" xfId="37755" xr:uid="{00000000-0005-0000-0000-00006CA00000}"/>
    <cellStyle name="Normal 3 3 5 2 4" xfId="26454" xr:uid="{00000000-0005-0000-0000-00006DA00000}"/>
    <cellStyle name="Normal 3 3 5 3" xfId="5222" xr:uid="{00000000-0005-0000-0000-00006EA00000}"/>
    <cellStyle name="Normal 3 3 5 3 2" xfId="10872" xr:uid="{00000000-0005-0000-0000-00006FA00000}"/>
    <cellStyle name="Normal 3 3 5 3 2 2" xfId="22173" xr:uid="{00000000-0005-0000-0000-000070A00000}"/>
    <cellStyle name="Normal 3 3 5 3 2 2 2" xfId="44775" xr:uid="{00000000-0005-0000-0000-000071A00000}"/>
    <cellStyle name="Normal 3 3 5 3 2 3" xfId="33474" xr:uid="{00000000-0005-0000-0000-000072A00000}"/>
    <cellStyle name="Normal 3 3 5 3 3" xfId="16523" xr:uid="{00000000-0005-0000-0000-000073A00000}"/>
    <cellStyle name="Normal 3 3 5 3 3 2" xfId="39125" xr:uid="{00000000-0005-0000-0000-000074A00000}"/>
    <cellStyle name="Normal 3 3 5 3 4" xfId="27824" xr:uid="{00000000-0005-0000-0000-000075A00000}"/>
    <cellStyle name="Normal 3 3 5 4" xfId="7890" xr:uid="{00000000-0005-0000-0000-000076A00000}"/>
    <cellStyle name="Normal 3 3 5 4 2" xfId="19191" xr:uid="{00000000-0005-0000-0000-000077A00000}"/>
    <cellStyle name="Normal 3 3 5 4 2 2" xfId="41793" xr:uid="{00000000-0005-0000-0000-000078A00000}"/>
    <cellStyle name="Normal 3 3 5 4 3" xfId="30492" xr:uid="{00000000-0005-0000-0000-000079A00000}"/>
    <cellStyle name="Normal 3 3 5 5" xfId="13541" xr:uid="{00000000-0005-0000-0000-00007AA00000}"/>
    <cellStyle name="Normal 3 3 5 5 2" xfId="36143" xr:uid="{00000000-0005-0000-0000-00007BA00000}"/>
    <cellStyle name="Normal 3 3 5 6" xfId="24842" xr:uid="{00000000-0005-0000-0000-00007CA00000}"/>
    <cellStyle name="Normal 3 3 6" xfId="2199" xr:uid="{00000000-0005-0000-0000-00007DA00000}"/>
    <cellStyle name="Normal 3 3 6 2" xfId="8036" xr:uid="{00000000-0005-0000-0000-00007EA00000}"/>
    <cellStyle name="Normal 3 3 6 2 2" xfId="19337" xr:uid="{00000000-0005-0000-0000-00007FA00000}"/>
    <cellStyle name="Normal 3 3 6 2 2 2" xfId="41939" xr:uid="{00000000-0005-0000-0000-000080A00000}"/>
    <cellStyle name="Normal 3 3 6 2 3" xfId="30638" xr:uid="{00000000-0005-0000-0000-000081A00000}"/>
    <cellStyle name="Normal 3 3 6 3" xfId="13687" xr:uid="{00000000-0005-0000-0000-000082A00000}"/>
    <cellStyle name="Normal 3 3 6 3 2" xfId="36289" xr:uid="{00000000-0005-0000-0000-000083A00000}"/>
    <cellStyle name="Normal 3 3 6 4" xfId="24988" xr:uid="{00000000-0005-0000-0000-000084A00000}"/>
    <cellStyle name="Normal 3 3 7" xfId="3988" xr:uid="{00000000-0005-0000-0000-000085A00000}"/>
    <cellStyle name="Normal 3 3 7 2" xfId="9638" xr:uid="{00000000-0005-0000-0000-000086A00000}"/>
    <cellStyle name="Normal 3 3 7 2 2" xfId="20939" xr:uid="{00000000-0005-0000-0000-000087A00000}"/>
    <cellStyle name="Normal 3 3 7 2 2 2" xfId="43541" xr:uid="{00000000-0005-0000-0000-000088A00000}"/>
    <cellStyle name="Normal 3 3 7 2 3" xfId="32240" xr:uid="{00000000-0005-0000-0000-000089A00000}"/>
    <cellStyle name="Normal 3 3 7 3" xfId="15289" xr:uid="{00000000-0005-0000-0000-00008AA00000}"/>
    <cellStyle name="Normal 3 3 7 3 2" xfId="37891" xr:uid="{00000000-0005-0000-0000-00008BA00000}"/>
    <cellStyle name="Normal 3 3 7 4" xfId="26590" xr:uid="{00000000-0005-0000-0000-00008CA00000}"/>
    <cellStyle name="Normal 3 3 8" xfId="6439" xr:uid="{00000000-0005-0000-0000-00008DA00000}"/>
    <cellStyle name="Normal 3 3 8 2" xfId="17740" xr:uid="{00000000-0005-0000-0000-00008EA00000}"/>
    <cellStyle name="Normal 3 3 8 2 2" xfId="40342" xr:uid="{00000000-0005-0000-0000-00008FA00000}"/>
    <cellStyle name="Normal 3 3 8 3" xfId="29041" xr:uid="{00000000-0005-0000-0000-000090A00000}"/>
    <cellStyle name="Normal 3 3 9" xfId="12090" xr:uid="{00000000-0005-0000-0000-000091A00000}"/>
    <cellStyle name="Normal 3 3 9 2" xfId="34692" xr:uid="{00000000-0005-0000-0000-000092A00000}"/>
    <cellStyle name="Normal 3 4" xfId="345" xr:uid="{00000000-0005-0000-0000-000093A00000}"/>
    <cellStyle name="Normal 3 4 10" xfId="23440" xr:uid="{00000000-0005-0000-0000-000094A00000}"/>
    <cellStyle name="Normal 3 4 2" xfId="590" xr:uid="{00000000-0005-0000-0000-000095A00000}"/>
    <cellStyle name="Normal 3 4 2 2" xfId="1300" xr:uid="{00000000-0005-0000-0000-000096A00000}"/>
    <cellStyle name="Normal 3 4 2 2 2" xfId="2040" xr:uid="{00000000-0005-0000-0000-000097A00000}"/>
    <cellStyle name="Normal 3 4 2 2 2 2" xfId="3369" xr:uid="{00000000-0005-0000-0000-000098A00000}"/>
    <cellStyle name="Normal 3 4 2 2 2 2 2" xfId="6341" xr:uid="{00000000-0005-0000-0000-000099A00000}"/>
    <cellStyle name="Normal 3 4 2 2 2 2 2 2" xfId="11991" xr:uid="{00000000-0005-0000-0000-00009AA00000}"/>
    <cellStyle name="Normal 3 4 2 2 2 2 2 2 2" xfId="23292" xr:uid="{00000000-0005-0000-0000-00009BA00000}"/>
    <cellStyle name="Normal 3 4 2 2 2 2 2 2 2 2" xfId="45894" xr:uid="{00000000-0005-0000-0000-00009CA00000}"/>
    <cellStyle name="Normal 3 4 2 2 2 2 2 2 3" xfId="34593" xr:uid="{00000000-0005-0000-0000-00009DA00000}"/>
    <cellStyle name="Normal 3 4 2 2 2 2 2 3" xfId="17642" xr:uid="{00000000-0005-0000-0000-00009EA00000}"/>
    <cellStyle name="Normal 3 4 2 2 2 2 2 3 2" xfId="40244" xr:uid="{00000000-0005-0000-0000-00009FA00000}"/>
    <cellStyle name="Normal 3 4 2 2 2 2 2 4" xfId="28943" xr:uid="{00000000-0005-0000-0000-0000A0A00000}"/>
    <cellStyle name="Normal 3 4 2 2 2 2 3" xfId="9159" xr:uid="{00000000-0005-0000-0000-0000A1A00000}"/>
    <cellStyle name="Normal 3 4 2 2 2 2 3 2" xfId="20460" xr:uid="{00000000-0005-0000-0000-0000A2A00000}"/>
    <cellStyle name="Normal 3 4 2 2 2 2 3 2 2" xfId="43062" xr:uid="{00000000-0005-0000-0000-0000A3A00000}"/>
    <cellStyle name="Normal 3 4 2 2 2 2 3 3" xfId="31761" xr:uid="{00000000-0005-0000-0000-0000A4A00000}"/>
    <cellStyle name="Normal 3 4 2 2 2 2 4" xfId="14810" xr:uid="{00000000-0005-0000-0000-0000A5A00000}"/>
    <cellStyle name="Normal 3 4 2 2 2 2 4 2" xfId="37412" xr:uid="{00000000-0005-0000-0000-0000A6A00000}"/>
    <cellStyle name="Normal 3 4 2 2 2 2 5" xfId="26111" xr:uid="{00000000-0005-0000-0000-0000A7A00000}"/>
    <cellStyle name="Normal 3 4 2 2 2 3" xfId="5107" xr:uid="{00000000-0005-0000-0000-0000A8A00000}"/>
    <cellStyle name="Normal 3 4 2 2 2 3 2" xfId="10757" xr:uid="{00000000-0005-0000-0000-0000A9A00000}"/>
    <cellStyle name="Normal 3 4 2 2 2 3 2 2" xfId="22058" xr:uid="{00000000-0005-0000-0000-0000AAA00000}"/>
    <cellStyle name="Normal 3 4 2 2 2 3 2 2 2" xfId="44660" xr:uid="{00000000-0005-0000-0000-0000ABA00000}"/>
    <cellStyle name="Normal 3 4 2 2 2 3 2 3" xfId="33359" xr:uid="{00000000-0005-0000-0000-0000ACA00000}"/>
    <cellStyle name="Normal 3 4 2 2 2 3 3" xfId="16408" xr:uid="{00000000-0005-0000-0000-0000ADA00000}"/>
    <cellStyle name="Normal 3 4 2 2 2 3 3 2" xfId="39010" xr:uid="{00000000-0005-0000-0000-0000AEA00000}"/>
    <cellStyle name="Normal 3 4 2 2 2 3 4" xfId="27709" xr:uid="{00000000-0005-0000-0000-0000AFA00000}"/>
    <cellStyle name="Normal 3 4 2 2 2 4" xfId="7896" xr:uid="{00000000-0005-0000-0000-0000B0A00000}"/>
    <cellStyle name="Normal 3 4 2 2 2 4 2" xfId="19197" xr:uid="{00000000-0005-0000-0000-0000B1A00000}"/>
    <cellStyle name="Normal 3 4 2 2 2 4 2 2" xfId="41799" xr:uid="{00000000-0005-0000-0000-0000B2A00000}"/>
    <cellStyle name="Normal 3 4 2 2 2 4 3" xfId="30498" xr:uid="{00000000-0005-0000-0000-0000B3A00000}"/>
    <cellStyle name="Normal 3 4 2 2 2 5" xfId="13547" xr:uid="{00000000-0005-0000-0000-0000B4A00000}"/>
    <cellStyle name="Normal 3 4 2 2 2 5 2" xfId="36149" xr:uid="{00000000-0005-0000-0000-0000B5A00000}"/>
    <cellStyle name="Normal 3 4 2 2 2 6" xfId="24848" xr:uid="{00000000-0005-0000-0000-0000B6A00000}"/>
    <cellStyle name="Normal 3 4 2 2 3" xfId="2698" xr:uid="{00000000-0005-0000-0000-0000B7A00000}"/>
    <cellStyle name="Normal 3 4 2 2 3 2" xfId="5717" xr:uid="{00000000-0005-0000-0000-0000B8A00000}"/>
    <cellStyle name="Normal 3 4 2 2 3 2 2" xfId="11367" xr:uid="{00000000-0005-0000-0000-0000B9A00000}"/>
    <cellStyle name="Normal 3 4 2 2 3 2 2 2" xfId="22668" xr:uid="{00000000-0005-0000-0000-0000BAA00000}"/>
    <cellStyle name="Normal 3 4 2 2 3 2 2 2 2" xfId="45270" xr:uid="{00000000-0005-0000-0000-0000BBA00000}"/>
    <cellStyle name="Normal 3 4 2 2 3 2 2 3" xfId="33969" xr:uid="{00000000-0005-0000-0000-0000BCA00000}"/>
    <cellStyle name="Normal 3 4 2 2 3 2 3" xfId="17018" xr:uid="{00000000-0005-0000-0000-0000BDA00000}"/>
    <cellStyle name="Normal 3 4 2 2 3 2 3 2" xfId="39620" xr:uid="{00000000-0005-0000-0000-0000BEA00000}"/>
    <cellStyle name="Normal 3 4 2 2 3 2 4" xfId="28319" xr:uid="{00000000-0005-0000-0000-0000BFA00000}"/>
    <cellStyle name="Normal 3 4 2 2 3 3" xfId="8534" xr:uid="{00000000-0005-0000-0000-0000C0A00000}"/>
    <cellStyle name="Normal 3 4 2 2 3 3 2" xfId="19835" xr:uid="{00000000-0005-0000-0000-0000C1A00000}"/>
    <cellStyle name="Normal 3 4 2 2 3 3 2 2" xfId="42437" xr:uid="{00000000-0005-0000-0000-0000C2A00000}"/>
    <cellStyle name="Normal 3 4 2 2 3 3 3" xfId="31136" xr:uid="{00000000-0005-0000-0000-0000C3A00000}"/>
    <cellStyle name="Normal 3 4 2 2 3 4" xfId="14185" xr:uid="{00000000-0005-0000-0000-0000C4A00000}"/>
    <cellStyle name="Normal 3 4 2 2 3 4 2" xfId="36787" xr:uid="{00000000-0005-0000-0000-0000C5A00000}"/>
    <cellStyle name="Normal 3 4 2 2 3 5" xfId="25486" xr:uid="{00000000-0005-0000-0000-0000C6A00000}"/>
    <cellStyle name="Normal 3 4 2 2 4" xfId="4483" xr:uid="{00000000-0005-0000-0000-0000C7A00000}"/>
    <cellStyle name="Normal 3 4 2 2 4 2" xfId="10133" xr:uid="{00000000-0005-0000-0000-0000C8A00000}"/>
    <cellStyle name="Normal 3 4 2 2 4 2 2" xfId="21434" xr:uid="{00000000-0005-0000-0000-0000C9A00000}"/>
    <cellStyle name="Normal 3 4 2 2 4 2 2 2" xfId="44036" xr:uid="{00000000-0005-0000-0000-0000CAA00000}"/>
    <cellStyle name="Normal 3 4 2 2 4 2 3" xfId="32735" xr:uid="{00000000-0005-0000-0000-0000CBA00000}"/>
    <cellStyle name="Normal 3 4 2 2 4 3" xfId="15784" xr:uid="{00000000-0005-0000-0000-0000CCA00000}"/>
    <cellStyle name="Normal 3 4 2 2 4 3 2" xfId="38386" xr:uid="{00000000-0005-0000-0000-0000CDA00000}"/>
    <cellStyle name="Normal 3 4 2 2 4 4" xfId="27085" xr:uid="{00000000-0005-0000-0000-0000CEA00000}"/>
    <cellStyle name="Normal 3 4 2 2 5" xfId="7279" xr:uid="{00000000-0005-0000-0000-0000CFA00000}"/>
    <cellStyle name="Normal 3 4 2 2 5 2" xfId="18580" xr:uid="{00000000-0005-0000-0000-0000D0A00000}"/>
    <cellStyle name="Normal 3 4 2 2 5 2 2" xfId="41182" xr:uid="{00000000-0005-0000-0000-0000D1A00000}"/>
    <cellStyle name="Normal 3 4 2 2 5 3" xfId="29881" xr:uid="{00000000-0005-0000-0000-0000D2A00000}"/>
    <cellStyle name="Normal 3 4 2 2 6" xfId="12930" xr:uid="{00000000-0005-0000-0000-0000D3A00000}"/>
    <cellStyle name="Normal 3 4 2 2 6 2" xfId="35532" xr:uid="{00000000-0005-0000-0000-0000D4A00000}"/>
    <cellStyle name="Normal 3 4 2 2 7" xfId="24231" xr:uid="{00000000-0005-0000-0000-0000D5A00000}"/>
    <cellStyle name="Normal 3 4 2 3" xfId="998" xr:uid="{00000000-0005-0000-0000-0000D6A00000}"/>
    <cellStyle name="Normal 3 4 2 3 2" xfId="3061" xr:uid="{00000000-0005-0000-0000-0000D7A00000}"/>
    <cellStyle name="Normal 3 4 2 3 2 2" xfId="6033" xr:uid="{00000000-0005-0000-0000-0000D8A00000}"/>
    <cellStyle name="Normal 3 4 2 3 2 2 2" xfId="11683" xr:uid="{00000000-0005-0000-0000-0000D9A00000}"/>
    <cellStyle name="Normal 3 4 2 3 2 2 2 2" xfId="22984" xr:uid="{00000000-0005-0000-0000-0000DAA00000}"/>
    <cellStyle name="Normal 3 4 2 3 2 2 2 2 2" xfId="45586" xr:uid="{00000000-0005-0000-0000-0000DBA00000}"/>
    <cellStyle name="Normal 3 4 2 3 2 2 2 3" xfId="34285" xr:uid="{00000000-0005-0000-0000-0000DCA00000}"/>
    <cellStyle name="Normal 3 4 2 3 2 2 3" xfId="17334" xr:uid="{00000000-0005-0000-0000-0000DDA00000}"/>
    <cellStyle name="Normal 3 4 2 3 2 2 3 2" xfId="39936" xr:uid="{00000000-0005-0000-0000-0000DEA00000}"/>
    <cellStyle name="Normal 3 4 2 3 2 2 4" xfId="28635" xr:uid="{00000000-0005-0000-0000-0000DFA00000}"/>
    <cellStyle name="Normal 3 4 2 3 2 3" xfId="8851" xr:uid="{00000000-0005-0000-0000-0000E0A00000}"/>
    <cellStyle name="Normal 3 4 2 3 2 3 2" xfId="20152" xr:uid="{00000000-0005-0000-0000-0000E1A00000}"/>
    <cellStyle name="Normal 3 4 2 3 2 3 2 2" xfId="42754" xr:uid="{00000000-0005-0000-0000-0000E2A00000}"/>
    <cellStyle name="Normal 3 4 2 3 2 3 3" xfId="31453" xr:uid="{00000000-0005-0000-0000-0000E3A00000}"/>
    <cellStyle name="Normal 3 4 2 3 2 4" xfId="14502" xr:uid="{00000000-0005-0000-0000-0000E4A00000}"/>
    <cellStyle name="Normal 3 4 2 3 2 4 2" xfId="37104" xr:uid="{00000000-0005-0000-0000-0000E5A00000}"/>
    <cellStyle name="Normal 3 4 2 3 2 5" xfId="25803" xr:uid="{00000000-0005-0000-0000-0000E6A00000}"/>
    <cellStyle name="Normal 3 4 2 3 3" xfId="4799" xr:uid="{00000000-0005-0000-0000-0000E7A00000}"/>
    <cellStyle name="Normal 3 4 2 3 3 2" xfId="10449" xr:uid="{00000000-0005-0000-0000-0000E8A00000}"/>
    <cellStyle name="Normal 3 4 2 3 3 2 2" xfId="21750" xr:uid="{00000000-0005-0000-0000-0000E9A00000}"/>
    <cellStyle name="Normal 3 4 2 3 3 2 2 2" xfId="44352" xr:uid="{00000000-0005-0000-0000-0000EAA00000}"/>
    <cellStyle name="Normal 3 4 2 3 3 2 3" xfId="33051" xr:uid="{00000000-0005-0000-0000-0000EBA00000}"/>
    <cellStyle name="Normal 3 4 2 3 3 3" xfId="16100" xr:uid="{00000000-0005-0000-0000-0000ECA00000}"/>
    <cellStyle name="Normal 3 4 2 3 3 3 2" xfId="38702" xr:uid="{00000000-0005-0000-0000-0000EDA00000}"/>
    <cellStyle name="Normal 3 4 2 3 3 4" xfId="27401" xr:uid="{00000000-0005-0000-0000-0000EEA00000}"/>
    <cellStyle name="Normal 3 4 2 3 4" xfId="6986" xr:uid="{00000000-0005-0000-0000-0000EFA00000}"/>
    <cellStyle name="Normal 3 4 2 3 4 2" xfId="18287" xr:uid="{00000000-0005-0000-0000-0000F0A00000}"/>
    <cellStyle name="Normal 3 4 2 3 4 2 2" xfId="40889" xr:uid="{00000000-0005-0000-0000-0000F1A00000}"/>
    <cellStyle name="Normal 3 4 2 3 4 3" xfId="29588" xr:uid="{00000000-0005-0000-0000-0000F2A00000}"/>
    <cellStyle name="Normal 3 4 2 3 5" xfId="12637" xr:uid="{00000000-0005-0000-0000-0000F3A00000}"/>
    <cellStyle name="Normal 3 4 2 3 5 2" xfId="35239" xr:uid="{00000000-0005-0000-0000-0000F4A00000}"/>
    <cellStyle name="Normal 3 4 2 3 6" xfId="23938" xr:uid="{00000000-0005-0000-0000-0000F5A00000}"/>
    <cellStyle name="Normal 3 4 2 4" xfId="2039" xr:uid="{00000000-0005-0000-0000-0000F6A00000}"/>
    <cellStyle name="Normal 3 4 2 4 2" xfId="3797" xr:uid="{00000000-0005-0000-0000-0000F7A00000}"/>
    <cellStyle name="Normal 3 4 2 4 2 2" xfId="9505" xr:uid="{00000000-0005-0000-0000-0000F8A00000}"/>
    <cellStyle name="Normal 3 4 2 4 2 2 2" xfId="20806" xr:uid="{00000000-0005-0000-0000-0000F9A00000}"/>
    <cellStyle name="Normal 3 4 2 4 2 2 2 2" xfId="43408" xr:uid="{00000000-0005-0000-0000-0000FAA00000}"/>
    <cellStyle name="Normal 3 4 2 4 2 2 3" xfId="32107" xr:uid="{00000000-0005-0000-0000-0000FBA00000}"/>
    <cellStyle name="Normal 3 4 2 4 2 3" xfId="15156" xr:uid="{00000000-0005-0000-0000-0000FCA00000}"/>
    <cellStyle name="Normal 3 4 2 4 2 3 2" xfId="37758" xr:uid="{00000000-0005-0000-0000-0000FDA00000}"/>
    <cellStyle name="Normal 3 4 2 4 2 4" xfId="26457" xr:uid="{00000000-0005-0000-0000-0000FEA00000}"/>
    <cellStyle name="Normal 3 4 2 4 3" xfId="5409" xr:uid="{00000000-0005-0000-0000-0000FFA00000}"/>
    <cellStyle name="Normal 3 4 2 4 3 2" xfId="11059" xr:uid="{00000000-0005-0000-0000-000000A10000}"/>
    <cellStyle name="Normal 3 4 2 4 3 2 2" xfId="22360" xr:uid="{00000000-0005-0000-0000-000001A10000}"/>
    <cellStyle name="Normal 3 4 2 4 3 2 2 2" xfId="44962" xr:uid="{00000000-0005-0000-0000-000002A10000}"/>
    <cellStyle name="Normal 3 4 2 4 3 2 3" xfId="33661" xr:uid="{00000000-0005-0000-0000-000003A10000}"/>
    <cellStyle name="Normal 3 4 2 4 3 3" xfId="16710" xr:uid="{00000000-0005-0000-0000-000004A10000}"/>
    <cellStyle name="Normal 3 4 2 4 3 3 2" xfId="39312" xr:uid="{00000000-0005-0000-0000-000005A10000}"/>
    <cellStyle name="Normal 3 4 2 4 3 4" xfId="28011" xr:uid="{00000000-0005-0000-0000-000006A10000}"/>
    <cellStyle name="Normal 3 4 2 4 4" xfId="7895" xr:uid="{00000000-0005-0000-0000-000007A10000}"/>
    <cellStyle name="Normal 3 4 2 4 4 2" xfId="19196" xr:uid="{00000000-0005-0000-0000-000008A10000}"/>
    <cellStyle name="Normal 3 4 2 4 4 2 2" xfId="41798" xr:uid="{00000000-0005-0000-0000-000009A10000}"/>
    <cellStyle name="Normal 3 4 2 4 4 3" xfId="30497" xr:uid="{00000000-0005-0000-0000-00000AA10000}"/>
    <cellStyle name="Normal 3 4 2 4 5" xfId="13546" xr:uid="{00000000-0005-0000-0000-00000BA10000}"/>
    <cellStyle name="Normal 3 4 2 4 5 2" xfId="36148" xr:uid="{00000000-0005-0000-0000-00000CA10000}"/>
    <cellStyle name="Normal 3 4 2 4 6" xfId="24847" xr:uid="{00000000-0005-0000-0000-00000DA10000}"/>
    <cellStyle name="Normal 3 4 2 5" xfId="2390" xr:uid="{00000000-0005-0000-0000-00000EA10000}"/>
    <cellStyle name="Normal 3 4 2 5 2" xfId="8226" xr:uid="{00000000-0005-0000-0000-00000FA10000}"/>
    <cellStyle name="Normal 3 4 2 5 2 2" xfId="19527" xr:uid="{00000000-0005-0000-0000-000010A10000}"/>
    <cellStyle name="Normal 3 4 2 5 2 2 2" xfId="42129" xr:uid="{00000000-0005-0000-0000-000011A10000}"/>
    <cellStyle name="Normal 3 4 2 5 2 3" xfId="30828" xr:uid="{00000000-0005-0000-0000-000012A10000}"/>
    <cellStyle name="Normal 3 4 2 5 3" xfId="13877" xr:uid="{00000000-0005-0000-0000-000013A10000}"/>
    <cellStyle name="Normal 3 4 2 5 3 2" xfId="36479" xr:uid="{00000000-0005-0000-0000-000014A10000}"/>
    <cellStyle name="Normal 3 4 2 5 4" xfId="25178" xr:uid="{00000000-0005-0000-0000-000015A10000}"/>
    <cellStyle name="Normal 3 4 2 6" xfId="4175" xr:uid="{00000000-0005-0000-0000-000016A10000}"/>
    <cellStyle name="Normal 3 4 2 6 2" xfId="9825" xr:uid="{00000000-0005-0000-0000-000017A10000}"/>
    <cellStyle name="Normal 3 4 2 6 2 2" xfId="21126" xr:uid="{00000000-0005-0000-0000-000018A10000}"/>
    <cellStyle name="Normal 3 4 2 6 2 2 2" xfId="43728" xr:uid="{00000000-0005-0000-0000-000019A10000}"/>
    <cellStyle name="Normal 3 4 2 6 2 3" xfId="32427" xr:uid="{00000000-0005-0000-0000-00001AA10000}"/>
    <cellStyle name="Normal 3 4 2 6 3" xfId="15476" xr:uid="{00000000-0005-0000-0000-00001BA10000}"/>
    <cellStyle name="Normal 3 4 2 6 3 2" xfId="38078" xr:uid="{00000000-0005-0000-0000-00001CA10000}"/>
    <cellStyle name="Normal 3 4 2 6 4" xfId="26777" xr:uid="{00000000-0005-0000-0000-00001DA10000}"/>
    <cellStyle name="Normal 3 4 2 7" xfId="6655" xr:uid="{00000000-0005-0000-0000-00001EA10000}"/>
    <cellStyle name="Normal 3 4 2 7 2" xfId="17956" xr:uid="{00000000-0005-0000-0000-00001FA10000}"/>
    <cellStyle name="Normal 3 4 2 7 2 2" xfId="40558" xr:uid="{00000000-0005-0000-0000-000020A10000}"/>
    <cellStyle name="Normal 3 4 2 7 3" xfId="29257" xr:uid="{00000000-0005-0000-0000-000021A10000}"/>
    <cellStyle name="Normal 3 4 2 8" xfId="12306" xr:uid="{00000000-0005-0000-0000-000022A10000}"/>
    <cellStyle name="Normal 3 4 2 8 2" xfId="34908" xr:uid="{00000000-0005-0000-0000-000023A10000}"/>
    <cellStyle name="Normal 3 4 2 9" xfId="23607" xr:uid="{00000000-0005-0000-0000-000024A10000}"/>
    <cellStyle name="Normal 3 4 3" xfId="1162" xr:uid="{00000000-0005-0000-0000-000025A10000}"/>
    <cellStyle name="Normal 3 4 3 2" xfId="2041" xr:uid="{00000000-0005-0000-0000-000026A10000}"/>
    <cellStyle name="Normal 3 4 3 2 2" xfId="3230" xr:uid="{00000000-0005-0000-0000-000027A10000}"/>
    <cellStyle name="Normal 3 4 3 2 2 2" xfId="6202" xr:uid="{00000000-0005-0000-0000-000028A10000}"/>
    <cellStyle name="Normal 3 4 3 2 2 2 2" xfId="11852" xr:uid="{00000000-0005-0000-0000-000029A10000}"/>
    <cellStyle name="Normal 3 4 3 2 2 2 2 2" xfId="23153" xr:uid="{00000000-0005-0000-0000-00002AA10000}"/>
    <cellStyle name="Normal 3 4 3 2 2 2 2 2 2" xfId="45755" xr:uid="{00000000-0005-0000-0000-00002BA10000}"/>
    <cellStyle name="Normal 3 4 3 2 2 2 2 3" xfId="34454" xr:uid="{00000000-0005-0000-0000-00002CA10000}"/>
    <cellStyle name="Normal 3 4 3 2 2 2 3" xfId="17503" xr:uid="{00000000-0005-0000-0000-00002DA10000}"/>
    <cellStyle name="Normal 3 4 3 2 2 2 3 2" xfId="40105" xr:uid="{00000000-0005-0000-0000-00002EA10000}"/>
    <cellStyle name="Normal 3 4 3 2 2 2 4" xfId="28804" xr:uid="{00000000-0005-0000-0000-00002FA10000}"/>
    <cellStyle name="Normal 3 4 3 2 2 3" xfId="9020" xr:uid="{00000000-0005-0000-0000-000030A10000}"/>
    <cellStyle name="Normal 3 4 3 2 2 3 2" xfId="20321" xr:uid="{00000000-0005-0000-0000-000031A10000}"/>
    <cellStyle name="Normal 3 4 3 2 2 3 2 2" xfId="42923" xr:uid="{00000000-0005-0000-0000-000032A10000}"/>
    <cellStyle name="Normal 3 4 3 2 2 3 3" xfId="31622" xr:uid="{00000000-0005-0000-0000-000033A10000}"/>
    <cellStyle name="Normal 3 4 3 2 2 4" xfId="14671" xr:uid="{00000000-0005-0000-0000-000034A10000}"/>
    <cellStyle name="Normal 3 4 3 2 2 4 2" xfId="37273" xr:uid="{00000000-0005-0000-0000-000035A10000}"/>
    <cellStyle name="Normal 3 4 3 2 2 5" xfId="25972" xr:uid="{00000000-0005-0000-0000-000036A10000}"/>
    <cellStyle name="Normal 3 4 3 2 3" xfId="4968" xr:uid="{00000000-0005-0000-0000-000037A10000}"/>
    <cellStyle name="Normal 3 4 3 2 3 2" xfId="10618" xr:uid="{00000000-0005-0000-0000-000038A10000}"/>
    <cellStyle name="Normal 3 4 3 2 3 2 2" xfId="21919" xr:uid="{00000000-0005-0000-0000-000039A10000}"/>
    <cellStyle name="Normal 3 4 3 2 3 2 2 2" xfId="44521" xr:uid="{00000000-0005-0000-0000-00003AA10000}"/>
    <cellStyle name="Normal 3 4 3 2 3 2 3" xfId="33220" xr:uid="{00000000-0005-0000-0000-00003BA10000}"/>
    <cellStyle name="Normal 3 4 3 2 3 3" xfId="16269" xr:uid="{00000000-0005-0000-0000-00003CA10000}"/>
    <cellStyle name="Normal 3 4 3 2 3 3 2" xfId="38871" xr:uid="{00000000-0005-0000-0000-00003DA10000}"/>
    <cellStyle name="Normal 3 4 3 2 3 4" xfId="27570" xr:uid="{00000000-0005-0000-0000-00003EA10000}"/>
    <cellStyle name="Normal 3 4 3 2 4" xfId="7897" xr:uid="{00000000-0005-0000-0000-00003FA10000}"/>
    <cellStyle name="Normal 3 4 3 2 4 2" xfId="19198" xr:uid="{00000000-0005-0000-0000-000040A10000}"/>
    <cellStyle name="Normal 3 4 3 2 4 2 2" xfId="41800" xr:uid="{00000000-0005-0000-0000-000041A10000}"/>
    <cellStyle name="Normal 3 4 3 2 4 3" xfId="30499" xr:uid="{00000000-0005-0000-0000-000042A10000}"/>
    <cellStyle name="Normal 3 4 3 2 5" xfId="13548" xr:uid="{00000000-0005-0000-0000-000043A10000}"/>
    <cellStyle name="Normal 3 4 3 2 5 2" xfId="36150" xr:uid="{00000000-0005-0000-0000-000044A10000}"/>
    <cellStyle name="Normal 3 4 3 2 6" xfId="24849" xr:uid="{00000000-0005-0000-0000-000045A10000}"/>
    <cellStyle name="Normal 3 4 3 3" xfId="2559" xr:uid="{00000000-0005-0000-0000-000046A10000}"/>
    <cellStyle name="Normal 3 4 3 3 2" xfId="5578" xr:uid="{00000000-0005-0000-0000-000047A10000}"/>
    <cellStyle name="Normal 3 4 3 3 2 2" xfId="11228" xr:uid="{00000000-0005-0000-0000-000048A10000}"/>
    <cellStyle name="Normal 3 4 3 3 2 2 2" xfId="22529" xr:uid="{00000000-0005-0000-0000-000049A10000}"/>
    <cellStyle name="Normal 3 4 3 3 2 2 2 2" xfId="45131" xr:uid="{00000000-0005-0000-0000-00004AA10000}"/>
    <cellStyle name="Normal 3 4 3 3 2 2 3" xfId="33830" xr:uid="{00000000-0005-0000-0000-00004BA10000}"/>
    <cellStyle name="Normal 3 4 3 3 2 3" xfId="16879" xr:uid="{00000000-0005-0000-0000-00004CA10000}"/>
    <cellStyle name="Normal 3 4 3 3 2 3 2" xfId="39481" xr:uid="{00000000-0005-0000-0000-00004DA10000}"/>
    <cellStyle name="Normal 3 4 3 3 2 4" xfId="28180" xr:uid="{00000000-0005-0000-0000-00004EA10000}"/>
    <cellStyle name="Normal 3 4 3 3 3" xfId="8395" xr:uid="{00000000-0005-0000-0000-00004FA10000}"/>
    <cellStyle name="Normal 3 4 3 3 3 2" xfId="19696" xr:uid="{00000000-0005-0000-0000-000050A10000}"/>
    <cellStyle name="Normal 3 4 3 3 3 2 2" xfId="42298" xr:uid="{00000000-0005-0000-0000-000051A10000}"/>
    <cellStyle name="Normal 3 4 3 3 3 3" xfId="30997" xr:uid="{00000000-0005-0000-0000-000052A10000}"/>
    <cellStyle name="Normal 3 4 3 3 4" xfId="14046" xr:uid="{00000000-0005-0000-0000-000053A10000}"/>
    <cellStyle name="Normal 3 4 3 3 4 2" xfId="36648" xr:uid="{00000000-0005-0000-0000-000054A10000}"/>
    <cellStyle name="Normal 3 4 3 3 5" xfId="25347" xr:uid="{00000000-0005-0000-0000-000055A10000}"/>
    <cellStyle name="Normal 3 4 3 4" xfId="4344" xr:uid="{00000000-0005-0000-0000-000056A10000}"/>
    <cellStyle name="Normal 3 4 3 4 2" xfId="9994" xr:uid="{00000000-0005-0000-0000-000057A10000}"/>
    <cellStyle name="Normal 3 4 3 4 2 2" xfId="21295" xr:uid="{00000000-0005-0000-0000-000058A10000}"/>
    <cellStyle name="Normal 3 4 3 4 2 2 2" xfId="43897" xr:uid="{00000000-0005-0000-0000-000059A10000}"/>
    <cellStyle name="Normal 3 4 3 4 2 3" xfId="32596" xr:uid="{00000000-0005-0000-0000-00005AA10000}"/>
    <cellStyle name="Normal 3 4 3 4 3" xfId="15645" xr:uid="{00000000-0005-0000-0000-00005BA10000}"/>
    <cellStyle name="Normal 3 4 3 4 3 2" xfId="38247" xr:uid="{00000000-0005-0000-0000-00005CA10000}"/>
    <cellStyle name="Normal 3 4 3 4 4" xfId="26946" xr:uid="{00000000-0005-0000-0000-00005DA10000}"/>
    <cellStyle name="Normal 3 4 3 5" xfId="7141" xr:uid="{00000000-0005-0000-0000-00005EA10000}"/>
    <cellStyle name="Normal 3 4 3 5 2" xfId="18442" xr:uid="{00000000-0005-0000-0000-00005FA10000}"/>
    <cellStyle name="Normal 3 4 3 5 2 2" xfId="41044" xr:uid="{00000000-0005-0000-0000-000060A10000}"/>
    <cellStyle name="Normal 3 4 3 5 3" xfId="29743" xr:uid="{00000000-0005-0000-0000-000061A10000}"/>
    <cellStyle name="Normal 3 4 3 6" xfId="12792" xr:uid="{00000000-0005-0000-0000-000062A10000}"/>
    <cellStyle name="Normal 3 4 3 6 2" xfId="35394" xr:uid="{00000000-0005-0000-0000-000063A10000}"/>
    <cellStyle name="Normal 3 4 3 7" xfId="24093" xr:uid="{00000000-0005-0000-0000-000064A10000}"/>
    <cellStyle name="Normal 3 4 4" xfId="853" xr:uid="{00000000-0005-0000-0000-000065A10000}"/>
    <cellStyle name="Normal 3 4 4 2" xfId="2923" xr:uid="{00000000-0005-0000-0000-000066A10000}"/>
    <cellStyle name="Normal 3 4 4 2 2" xfId="5895" xr:uid="{00000000-0005-0000-0000-000067A10000}"/>
    <cellStyle name="Normal 3 4 4 2 2 2" xfId="11545" xr:uid="{00000000-0005-0000-0000-000068A10000}"/>
    <cellStyle name="Normal 3 4 4 2 2 2 2" xfId="22846" xr:uid="{00000000-0005-0000-0000-000069A10000}"/>
    <cellStyle name="Normal 3 4 4 2 2 2 2 2" xfId="45448" xr:uid="{00000000-0005-0000-0000-00006AA10000}"/>
    <cellStyle name="Normal 3 4 4 2 2 2 3" xfId="34147" xr:uid="{00000000-0005-0000-0000-00006BA10000}"/>
    <cellStyle name="Normal 3 4 4 2 2 3" xfId="17196" xr:uid="{00000000-0005-0000-0000-00006CA10000}"/>
    <cellStyle name="Normal 3 4 4 2 2 3 2" xfId="39798" xr:uid="{00000000-0005-0000-0000-00006DA10000}"/>
    <cellStyle name="Normal 3 4 4 2 2 4" xfId="28497" xr:uid="{00000000-0005-0000-0000-00006EA10000}"/>
    <cellStyle name="Normal 3 4 4 2 3" xfId="8713" xr:uid="{00000000-0005-0000-0000-00006FA10000}"/>
    <cellStyle name="Normal 3 4 4 2 3 2" xfId="20014" xr:uid="{00000000-0005-0000-0000-000070A10000}"/>
    <cellStyle name="Normal 3 4 4 2 3 2 2" xfId="42616" xr:uid="{00000000-0005-0000-0000-000071A10000}"/>
    <cellStyle name="Normal 3 4 4 2 3 3" xfId="31315" xr:uid="{00000000-0005-0000-0000-000072A10000}"/>
    <cellStyle name="Normal 3 4 4 2 4" xfId="14364" xr:uid="{00000000-0005-0000-0000-000073A10000}"/>
    <cellStyle name="Normal 3 4 4 2 4 2" xfId="36966" xr:uid="{00000000-0005-0000-0000-000074A10000}"/>
    <cellStyle name="Normal 3 4 4 2 5" xfId="25665" xr:uid="{00000000-0005-0000-0000-000075A10000}"/>
    <cellStyle name="Normal 3 4 4 3" xfId="4661" xr:uid="{00000000-0005-0000-0000-000076A10000}"/>
    <cellStyle name="Normal 3 4 4 3 2" xfId="10311" xr:uid="{00000000-0005-0000-0000-000077A10000}"/>
    <cellStyle name="Normal 3 4 4 3 2 2" xfId="21612" xr:uid="{00000000-0005-0000-0000-000078A10000}"/>
    <cellStyle name="Normal 3 4 4 3 2 2 2" xfId="44214" xr:uid="{00000000-0005-0000-0000-000079A10000}"/>
    <cellStyle name="Normal 3 4 4 3 2 3" xfId="32913" xr:uid="{00000000-0005-0000-0000-00007AA10000}"/>
    <cellStyle name="Normal 3 4 4 3 3" xfId="15962" xr:uid="{00000000-0005-0000-0000-00007BA10000}"/>
    <cellStyle name="Normal 3 4 4 3 3 2" xfId="38564" xr:uid="{00000000-0005-0000-0000-00007CA10000}"/>
    <cellStyle name="Normal 3 4 4 3 4" xfId="27263" xr:uid="{00000000-0005-0000-0000-00007DA10000}"/>
    <cellStyle name="Normal 3 4 4 4" xfId="6848" xr:uid="{00000000-0005-0000-0000-00007EA10000}"/>
    <cellStyle name="Normal 3 4 4 4 2" xfId="18149" xr:uid="{00000000-0005-0000-0000-00007FA10000}"/>
    <cellStyle name="Normal 3 4 4 4 2 2" xfId="40751" xr:uid="{00000000-0005-0000-0000-000080A10000}"/>
    <cellStyle name="Normal 3 4 4 4 3" xfId="29450" xr:uid="{00000000-0005-0000-0000-000081A10000}"/>
    <cellStyle name="Normal 3 4 4 5" xfId="12499" xr:uid="{00000000-0005-0000-0000-000082A10000}"/>
    <cellStyle name="Normal 3 4 4 5 2" xfId="35101" xr:uid="{00000000-0005-0000-0000-000083A10000}"/>
    <cellStyle name="Normal 3 4 4 6" xfId="23800" xr:uid="{00000000-0005-0000-0000-000084A10000}"/>
    <cellStyle name="Normal 3 4 5" xfId="2038" xr:uid="{00000000-0005-0000-0000-000085A10000}"/>
    <cellStyle name="Normal 3 4 5 2" xfId="3796" xr:uid="{00000000-0005-0000-0000-000086A10000}"/>
    <cellStyle name="Normal 3 4 5 2 2" xfId="9504" xr:uid="{00000000-0005-0000-0000-000087A10000}"/>
    <cellStyle name="Normal 3 4 5 2 2 2" xfId="20805" xr:uid="{00000000-0005-0000-0000-000088A10000}"/>
    <cellStyle name="Normal 3 4 5 2 2 2 2" xfId="43407" xr:uid="{00000000-0005-0000-0000-000089A10000}"/>
    <cellStyle name="Normal 3 4 5 2 2 3" xfId="32106" xr:uid="{00000000-0005-0000-0000-00008AA10000}"/>
    <cellStyle name="Normal 3 4 5 2 3" xfId="15155" xr:uid="{00000000-0005-0000-0000-00008BA10000}"/>
    <cellStyle name="Normal 3 4 5 2 3 2" xfId="37757" xr:uid="{00000000-0005-0000-0000-00008CA10000}"/>
    <cellStyle name="Normal 3 4 5 2 4" xfId="26456" xr:uid="{00000000-0005-0000-0000-00008DA10000}"/>
    <cellStyle name="Normal 3 4 5 3" xfId="5271" xr:uid="{00000000-0005-0000-0000-00008EA10000}"/>
    <cellStyle name="Normal 3 4 5 3 2" xfId="10921" xr:uid="{00000000-0005-0000-0000-00008FA10000}"/>
    <cellStyle name="Normal 3 4 5 3 2 2" xfId="22222" xr:uid="{00000000-0005-0000-0000-000090A10000}"/>
    <cellStyle name="Normal 3 4 5 3 2 2 2" xfId="44824" xr:uid="{00000000-0005-0000-0000-000091A10000}"/>
    <cellStyle name="Normal 3 4 5 3 2 3" xfId="33523" xr:uid="{00000000-0005-0000-0000-000092A10000}"/>
    <cellStyle name="Normal 3 4 5 3 3" xfId="16572" xr:uid="{00000000-0005-0000-0000-000093A10000}"/>
    <cellStyle name="Normal 3 4 5 3 3 2" xfId="39174" xr:uid="{00000000-0005-0000-0000-000094A10000}"/>
    <cellStyle name="Normal 3 4 5 3 4" xfId="27873" xr:uid="{00000000-0005-0000-0000-000095A10000}"/>
    <cellStyle name="Normal 3 4 5 4" xfId="7894" xr:uid="{00000000-0005-0000-0000-000096A10000}"/>
    <cellStyle name="Normal 3 4 5 4 2" xfId="19195" xr:uid="{00000000-0005-0000-0000-000097A10000}"/>
    <cellStyle name="Normal 3 4 5 4 2 2" xfId="41797" xr:uid="{00000000-0005-0000-0000-000098A10000}"/>
    <cellStyle name="Normal 3 4 5 4 3" xfId="30496" xr:uid="{00000000-0005-0000-0000-000099A10000}"/>
    <cellStyle name="Normal 3 4 5 5" xfId="13545" xr:uid="{00000000-0005-0000-0000-00009AA10000}"/>
    <cellStyle name="Normal 3 4 5 5 2" xfId="36147" xr:uid="{00000000-0005-0000-0000-00009BA10000}"/>
    <cellStyle name="Normal 3 4 5 6" xfId="24846" xr:uid="{00000000-0005-0000-0000-00009CA10000}"/>
    <cellStyle name="Normal 3 4 6" xfId="2250" xr:uid="{00000000-0005-0000-0000-00009DA10000}"/>
    <cellStyle name="Normal 3 4 6 2" xfId="8086" xr:uid="{00000000-0005-0000-0000-00009EA10000}"/>
    <cellStyle name="Normal 3 4 6 2 2" xfId="19387" xr:uid="{00000000-0005-0000-0000-00009FA10000}"/>
    <cellStyle name="Normal 3 4 6 2 2 2" xfId="41989" xr:uid="{00000000-0005-0000-0000-0000A0A10000}"/>
    <cellStyle name="Normal 3 4 6 2 3" xfId="30688" xr:uid="{00000000-0005-0000-0000-0000A1A10000}"/>
    <cellStyle name="Normal 3 4 6 3" xfId="13737" xr:uid="{00000000-0005-0000-0000-0000A2A10000}"/>
    <cellStyle name="Normal 3 4 6 3 2" xfId="36339" xr:uid="{00000000-0005-0000-0000-0000A3A10000}"/>
    <cellStyle name="Normal 3 4 6 4" xfId="25038" xr:uid="{00000000-0005-0000-0000-0000A4A10000}"/>
    <cellStyle name="Normal 3 4 7" xfId="4037" xr:uid="{00000000-0005-0000-0000-0000A5A10000}"/>
    <cellStyle name="Normal 3 4 7 2" xfId="9687" xr:uid="{00000000-0005-0000-0000-0000A6A10000}"/>
    <cellStyle name="Normal 3 4 7 2 2" xfId="20988" xr:uid="{00000000-0005-0000-0000-0000A7A10000}"/>
    <cellStyle name="Normal 3 4 7 2 2 2" xfId="43590" xr:uid="{00000000-0005-0000-0000-0000A8A10000}"/>
    <cellStyle name="Normal 3 4 7 2 3" xfId="32289" xr:uid="{00000000-0005-0000-0000-0000A9A10000}"/>
    <cellStyle name="Normal 3 4 7 3" xfId="15338" xr:uid="{00000000-0005-0000-0000-0000AAA10000}"/>
    <cellStyle name="Normal 3 4 7 3 2" xfId="37940" xr:uid="{00000000-0005-0000-0000-0000ABA10000}"/>
    <cellStyle name="Normal 3 4 7 4" xfId="26639" xr:uid="{00000000-0005-0000-0000-0000ACA10000}"/>
    <cellStyle name="Normal 3 4 8" xfId="6488" xr:uid="{00000000-0005-0000-0000-0000ADA10000}"/>
    <cellStyle name="Normal 3 4 8 2" xfId="17789" xr:uid="{00000000-0005-0000-0000-0000AEA10000}"/>
    <cellStyle name="Normal 3 4 8 2 2" xfId="40391" xr:uid="{00000000-0005-0000-0000-0000AFA10000}"/>
    <cellStyle name="Normal 3 4 8 3" xfId="29090" xr:uid="{00000000-0005-0000-0000-0000B0A10000}"/>
    <cellStyle name="Normal 3 4 9" xfId="12139" xr:uid="{00000000-0005-0000-0000-0000B1A10000}"/>
    <cellStyle name="Normal 3 4 9 2" xfId="34741" xr:uid="{00000000-0005-0000-0000-0000B2A10000}"/>
    <cellStyle name="Normal 3 5" xfId="464" xr:uid="{00000000-0005-0000-0000-0000B3A10000}"/>
    <cellStyle name="Normal 3 5 2" xfId="1066" xr:uid="{00000000-0005-0000-0000-0000B4A10000}"/>
    <cellStyle name="Normal 3 5 2 2" xfId="2043" xr:uid="{00000000-0005-0000-0000-0000B5A10000}"/>
    <cellStyle name="Normal 3 5 2 2 2" xfId="3133" xr:uid="{00000000-0005-0000-0000-0000B6A10000}"/>
    <cellStyle name="Normal 3 5 2 2 2 2" xfId="6105" xr:uid="{00000000-0005-0000-0000-0000B7A10000}"/>
    <cellStyle name="Normal 3 5 2 2 2 2 2" xfId="11755" xr:uid="{00000000-0005-0000-0000-0000B8A10000}"/>
    <cellStyle name="Normal 3 5 2 2 2 2 2 2" xfId="23056" xr:uid="{00000000-0005-0000-0000-0000B9A10000}"/>
    <cellStyle name="Normal 3 5 2 2 2 2 2 2 2" xfId="45658" xr:uid="{00000000-0005-0000-0000-0000BAA10000}"/>
    <cellStyle name="Normal 3 5 2 2 2 2 2 3" xfId="34357" xr:uid="{00000000-0005-0000-0000-0000BBA10000}"/>
    <cellStyle name="Normal 3 5 2 2 2 2 3" xfId="17406" xr:uid="{00000000-0005-0000-0000-0000BCA10000}"/>
    <cellStyle name="Normal 3 5 2 2 2 2 3 2" xfId="40008" xr:uid="{00000000-0005-0000-0000-0000BDA10000}"/>
    <cellStyle name="Normal 3 5 2 2 2 2 4" xfId="28707" xr:uid="{00000000-0005-0000-0000-0000BEA10000}"/>
    <cellStyle name="Normal 3 5 2 2 2 3" xfId="8923" xr:uid="{00000000-0005-0000-0000-0000BFA10000}"/>
    <cellStyle name="Normal 3 5 2 2 2 3 2" xfId="20224" xr:uid="{00000000-0005-0000-0000-0000C0A10000}"/>
    <cellStyle name="Normal 3 5 2 2 2 3 2 2" xfId="42826" xr:uid="{00000000-0005-0000-0000-0000C1A10000}"/>
    <cellStyle name="Normal 3 5 2 2 2 3 3" xfId="31525" xr:uid="{00000000-0005-0000-0000-0000C2A10000}"/>
    <cellStyle name="Normal 3 5 2 2 2 4" xfId="14574" xr:uid="{00000000-0005-0000-0000-0000C3A10000}"/>
    <cellStyle name="Normal 3 5 2 2 2 4 2" xfId="37176" xr:uid="{00000000-0005-0000-0000-0000C4A10000}"/>
    <cellStyle name="Normal 3 5 2 2 2 5" xfId="25875" xr:uid="{00000000-0005-0000-0000-0000C5A10000}"/>
    <cellStyle name="Normal 3 5 2 2 3" xfId="4871" xr:uid="{00000000-0005-0000-0000-0000C6A10000}"/>
    <cellStyle name="Normal 3 5 2 2 3 2" xfId="10521" xr:uid="{00000000-0005-0000-0000-0000C7A10000}"/>
    <cellStyle name="Normal 3 5 2 2 3 2 2" xfId="21822" xr:uid="{00000000-0005-0000-0000-0000C8A10000}"/>
    <cellStyle name="Normal 3 5 2 2 3 2 2 2" xfId="44424" xr:uid="{00000000-0005-0000-0000-0000C9A10000}"/>
    <cellStyle name="Normal 3 5 2 2 3 2 3" xfId="33123" xr:uid="{00000000-0005-0000-0000-0000CAA10000}"/>
    <cellStyle name="Normal 3 5 2 2 3 3" xfId="16172" xr:uid="{00000000-0005-0000-0000-0000CBA10000}"/>
    <cellStyle name="Normal 3 5 2 2 3 3 2" xfId="38774" xr:uid="{00000000-0005-0000-0000-0000CCA10000}"/>
    <cellStyle name="Normal 3 5 2 2 3 4" xfId="27473" xr:uid="{00000000-0005-0000-0000-0000CDA10000}"/>
    <cellStyle name="Normal 3 5 2 2 4" xfId="7899" xr:uid="{00000000-0005-0000-0000-0000CEA10000}"/>
    <cellStyle name="Normal 3 5 2 2 4 2" xfId="19200" xr:uid="{00000000-0005-0000-0000-0000CFA10000}"/>
    <cellStyle name="Normal 3 5 2 2 4 2 2" xfId="41802" xr:uid="{00000000-0005-0000-0000-0000D0A10000}"/>
    <cellStyle name="Normal 3 5 2 2 4 3" xfId="30501" xr:uid="{00000000-0005-0000-0000-0000D1A10000}"/>
    <cellStyle name="Normal 3 5 2 2 5" xfId="13550" xr:uid="{00000000-0005-0000-0000-0000D2A10000}"/>
    <cellStyle name="Normal 3 5 2 2 5 2" xfId="36152" xr:uid="{00000000-0005-0000-0000-0000D3A10000}"/>
    <cellStyle name="Normal 3 5 2 2 6" xfId="24851" xr:uid="{00000000-0005-0000-0000-0000D4A10000}"/>
    <cellStyle name="Normal 3 5 2 3" xfId="2462" xr:uid="{00000000-0005-0000-0000-0000D5A10000}"/>
    <cellStyle name="Normal 3 5 2 3 2" xfId="5481" xr:uid="{00000000-0005-0000-0000-0000D6A10000}"/>
    <cellStyle name="Normal 3 5 2 3 2 2" xfId="11131" xr:uid="{00000000-0005-0000-0000-0000D7A10000}"/>
    <cellStyle name="Normal 3 5 2 3 2 2 2" xfId="22432" xr:uid="{00000000-0005-0000-0000-0000D8A10000}"/>
    <cellStyle name="Normal 3 5 2 3 2 2 2 2" xfId="45034" xr:uid="{00000000-0005-0000-0000-0000D9A10000}"/>
    <cellStyle name="Normal 3 5 2 3 2 2 3" xfId="33733" xr:uid="{00000000-0005-0000-0000-0000DAA10000}"/>
    <cellStyle name="Normal 3 5 2 3 2 3" xfId="16782" xr:uid="{00000000-0005-0000-0000-0000DBA10000}"/>
    <cellStyle name="Normal 3 5 2 3 2 3 2" xfId="39384" xr:uid="{00000000-0005-0000-0000-0000DCA10000}"/>
    <cellStyle name="Normal 3 5 2 3 2 4" xfId="28083" xr:uid="{00000000-0005-0000-0000-0000DDA10000}"/>
    <cellStyle name="Normal 3 5 2 3 3" xfId="8298" xr:uid="{00000000-0005-0000-0000-0000DEA10000}"/>
    <cellStyle name="Normal 3 5 2 3 3 2" xfId="19599" xr:uid="{00000000-0005-0000-0000-0000DFA10000}"/>
    <cellStyle name="Normal 3 5 2 3 3 2 2" xfId="42201" xr:uid="{00000000-0005-0000-0000-0000E0A10000}"/>
    <cellStyle name="Normal 3 5 2 3 3 3" xfId="30900" xr:uid="{00000000-0005-0000-0000-0000E1A10000}"/>
    <cellStyle name="Normal 3 5 2 3 4" xfId="13949" xr:uid="{00000000-0005-0000-0000-0000E2A10000}"/>
    <cellStyle name="Normal 3 5 2 3 4 2" xfId="36551" xr:uid="{00000000-0005-0000-0000-0000E3A10000}"/>
    <cellStyle name="Normal 3 5 2 3 5" xfId="25250" xr:uid="{00000000-0005-0000-0000-0000E4A10000}"/>
    <cellStyle name="Normal 3 5 2 4" xfId="4247" xr:uid="{00000000-0005-0000-0000-0000E5A10000}"/>
    <cellStyle name="Normal 3 5 2 4 2" xfId="9897" xr:uid="{00000000-0005-0000-0000-0000E6A10000}"/>
    <cellStyle name="Normal 3 5 2 4 2 2" xfId="21198" xr:uid="{00000000-0005-0000-0000-0000E7A10000}"/>
    <cellStyle name="Normal 3 5 2 4 2 2 2" xfId="43800" xr:uid="{00000000-0005-0000-0000-0000E8A10000}"/>
    <cellStyle name="Normal 3 5 2 4 2 3" xfId="32499" xr:uid="{00000000-0005-0000-0000-0000E9A10000}"/>
    <cellStyle name="Normal 3 5 2 4 3" xfId="15548" xr:uid="{00000000-0005-0000-0000-0000EAA10000}"/>
    <cellStyle name="Normal 3 5 2 4 3 2" xfId="38150" xr:uid="{00000000-0005-0000-0000-0000EBA10000}"/>
    <cellStyle name="Normal 3 5 2 4 4" xfId="26849" xr:uid="{00000000-0005-0000-0000-0000ECA10000}"/>
    <cellStyle name="Normal 3 5 2 5" xfId="7045" xr:uid="{00000000-0005-0000-0000-0000EDA10000}"/>
    <cellStyle name="Normal 3 5 2 5 2" xfId="18346" xr:uid="{00000000-0005-0000-0000-0000EEA10000}"/>
    <cellStyle name="Normal 3 5 2 5 2 2" xfId="40948" xr:uid="{00000000-0005-0000-0000-0000EFA10000}"/>
    <cellStyle name="Normal 3 5 2 5 3" xfId="29647" xr:uid="{00000000-0005-0000-0000-0000F0A10000}"/>
    <cellStyle name="Normal 3 5 2 6" xfId="12696" xr:uid="{00000000-0005-0000-0000-0000F1A10000}"/>
    <cellStyle name="Normal 3 5 2 6 2" xfId="35298" xr:uid="{00000000-0005-0000-0000-0000F2A10000}"/>
    <cellStyle name="Normal 3 5 2 7" xfId="23997" xr:uid="{00000000-0005-0000-0000-0000F3A10000}"/>
    <cellStyle name="Normal 3 5 3" xfId="730" xr:uid="{00000000-0005-0000-0000-0000F4A10000}"/>
    <cellStyle name="Normal 3 5 3 2" xfId="2827" xr:uid="{00000000-0005-0000-0000-0000F5A10000}"/>
    <cellStyle name="Normal 3 5 3 2 2" xfId="5799" xr:uid="{00000000-0005-0000-0000-0000F6A10000}"/>
    <cellStyle name="Normal 3 5 3 2 2 2" xfId="11449" xr:uid="{00000000-0005-0000-0000-0000F7A10000}"/>
    <cellStyle name="Normal 3 5 3 2 2 2 2" xfId="22750" xr:uid="{00000000-0005-0000-0000-0000F8A10000}"/>
    <cellStyle name="Normal 3 5 3 2 2 2 2 2" xfId="45352" xr:uid="{00000000-0005-0000-0000-0000F9A10000}"/>
    <cellStyle name="Normal 3 5 3 2 2 2 3" xfId="34051" xr:uid="{00000000-0005-0000-0000-0000FAA10000}"/>
    <cellStyle name="Normal 3 5 3 2 2 3" xfId="17100" xr:uid="{00000000-0005-0000-0000-0000FBA10000}"/>
    <cellStyle name="Normal 3 5 3 2 2 3 2" xfId="39702" xr:uid="{00000000-0005-0000-0000-0000FCA10000}"/>
    <cellStyle name="Normal 3 5 3 2 2 4" xfId="28401" xr:uid="{00000000-0005-0000-0000-0000FDA10000}"/>
    <cellStyle name="Normal 3 5 3 2 3" xfId="8617" xr:uid="{00000000-0005-0000-0000-0000FEA10000}"/>
    <cellStyle name="Normal 3 5 3 2 3 2" xfId="19918" xr:uid="{00000000-0005-0000-0000-0000FFA10000}"/>
    <cellStyle name="Normal 3 5 3 2 3 2 2" xfId="42520" xr:uid="{00000000-0005-0000-0000-000000A20000}"/>
    <cellStyle name="Normal 3 5 3 2 3 3" xfId="31219" xr:uid="{00000000-0005-0000-0000-000001A20000}"/>
    <cellStyle name="Normal 3 5 3 2 4" xfId="14268" xr:uid="{00000000-0005-0000-0000-000002A20000}"/>
    <cellStyle name="Normal 3 5 3 2 4 2" xfId="36870" xr:uid="{00000000-0005-0000-0000-000003A20000}"/>
    <cellStyle name="Normal 3 5 3 2 5" xfId="25569" xr:uid="{00000000-0005-0000-0000-000004A20000}"/>
    <cellStyle name="Normal 3 5 3 3" xfId="4565" xr:uid="{00000000-0005-0000-0000-000005A20000}"/>
    <cellStyle name="Normal 3 5 3 3 2" xfId="10215" xr:uid="{00000000-0005-0000-0000-000006A20000}"/>
    <cellStyle name="Normal 3 5 3 3 2 2" xfId="21516" xr:uid="{00000000-0005-0000-0000-000007A20000}"/>
    <cellStyle name="Normal 3 5 3 3 2 2 2" xfId="44118" xr:uid="{00000000-0005-0000-0000-000008A20000}"/>
    <cellStyle name="Normal 3 5 3 3 2 3" xfId="32817" xr:uid="{00000000-0005-0000-0000-000009A20000}"/>
    <cellStyle name="Normal 3 5 3 3 3" xfId="15866" xr:uid="{00000000-0005-0000-0000-00000AA20000}"/>
    <cellStyle name="Normal 3 5 3 3 3 2" xfId="38468" xr:uid="{00000000-0005-0000-0000-00000BA20000}"/>
    <cellStyle name="Normal 3 5 3 3 4" xfId="27167" xr:uid="{00000000-0005-0000-0000-00000CA20000}"/>
    <cellStyle name="Normal 3 5 3 4" xfId="6747" xr:uid="{00000000-0005-0000-0000-00000DA20000}"/>
    <cellStyle name="Normal 3 5 3 4 2" xfId="18048" xr:uid="{00000000-0005-0000-0000-00000EA20000}"/>
    <cellStyle name="Normal 3 5 3 4 2 2" xfId="40650" xr:uid="{00000000-0005-0000-0000-00000FA20000}"/>
    <cellStyle name="Normal 3 5 3 4 3" xfId="29349" xr:uid="{00000000-0005-0000-0000-000010A20000}"/>
    <cellStyle name="Normal 3 5 3 5" xfId="12398" xr:uid="{00000000-0005-0000-0000-000011A20000}"/>
    <cellStyle name="Normal 3 5 3 5 2" xfId="35000" xr:uid="{00000000-0005-0000-0000-000012A20000}"/>
    <cellStyle name="Normal 3 5 3 6" xfId="23699" xr:uid="{00000000-0005-0000-0000-000013A20000}"/>
    <cellStyle name="Normal 3 5 4" xfId="2042" xr:uid="{00000000-0005-0000-0000-000014A20000}"/>
    <cellStyle name="Normal 3 5 4 2" xfId="3798" xr:uid="{00000000-0005-0000-0000-000015A20000}"/>
    <cellStyle name="Normal 3 5 4 2 2" xfId="9506" xr:uid="{00000000-0005-0000-0000-000016A20000}"/>
    <cellStyle name="Normal 3 5 4 2 2 2" xfId="20807" xr:uid="{00000000-0005-0000-0000-000017A20000}"/>
    <cellStyle name="Normal 3 5 4 2 2 2 2" xfId="43409" xr:uid="{00000000-0005-0000-0000-000018A20000}"/>
    <cellStyle name="Normal 3 5 4 2 2 3" xfId="32108" xr:uid="{00000000-0005-0000-0000-000019A20000}"/>
    <cellStyle name="Normal 3 5 4 2 3" xfId="15157" xr:uid="{00000000-0005-0000-0000-00001AA20000}"/>
    <cellStyle name="Normal 3 5 4 2 3 2" xfId="37759" xr:uid="{00000000-0005-0000-0000-00001BA20000}"/>
    <cellStyle name="Normal 3 5 4 2 4" xfId="26458" xr:uid="{00000000-0005-0000-0000-00001CA20000}"/>
    <cellStyle name="Normal 3 5 4 3" xfId="5175" xr:uid="{00000000-0005-0000-0000-00001DA20000}"/>
    <cellStyle name="Normal 3 5 4 3 2" xfId="10825" xr:uid="{00000000-0005-0000-0000-00001EA20000}"/>
    <cellStyle name="Normal 3 5 4 3 2 2" xfId="22126" xr:uid="{00000000-0005-0000-0000-00001FA20000}"/>
    <cellStyle name="Normal 3 5 4 3 2 2 2" xfId="44728" xr:uid="{00000000-0005-0000-0000-000020A20000}"/>
    <cellStyle name="Normal 3 5 4 3 2 3" xfId="33427" xr:uid="{00000000-0005-0000-0000-000021A20000}"/>
    <cellStyle name="Normal 3 5 4 3 3" xfId="16476" xr:uid="{00000000-0005-0000-0000-000022A20000}"/>
    <cellStyle name="Normal 3 5 4 3 3 2" xfId="39078" xr:uid="{00000000-0005-0000-0000-000023A20000}"/>
    <cellStyle name="Normal 3 5 4 3 4" xfId="27777" xr:uid="{00000000-0005-0000-0000-000024A20000}"/>
    <cellStyle name="Normal 3 5 4 4" xfId="7898" xr:uid="{00000000-0005-0000-0000-000025A20000}"/>
    <cellStyle name="Normal 3 5 4 4 2" xfId="19199" xr:uid="{00000000-0005-0000-0000-000026A20000}"/>
    <cellStyle name="Normal 3 5 4 4 2 2" xfId="41801" xr:uid="{00000000-0005-0000-0000-000027A20000}"/>
    <cellStyle name="Normal 3 5 4 4 3" xfId="30500" xr:uid="{00000000-0005-0000-0000-000028A20000}"/>
    <cellStyle name="Normal 3 5 4 5" xfId="13549" xr:uid="{00000000-0005-0000-0000-000029A20000}"/>
    <cellStyle name="Normal 3 5 4 5 2" xfId="36151" xr:uid="{00000000-0005-0000-0000-00002AA20000}"/>
    <cellStyle name="Normal 3 5 4 6" xfId="24850" xr:uid="{00000000-0005-0000-0000-00002BA20000}"/>
    <cellStyle name="Normal 3 5 5" xfId="2146" xr:uid="{00000000-0005-0000-0000-00002CA20000}"/>
    <cellStyle name="Normal 3 5 5 2" xfId="7989" xr:uid="{00000000-0005-0000-0000-00002DA20000}"/>
    <cellStyle name="Normal 3 5 5 2 2" xfId="19290" xr:uid="{00000000-0005-0000-0000-00002EA20000}"/>
    <cellStyle name="Normal 3 5 5 2 2 2" xfId="41892" xr:uid="{00000000-0005-0000-0000-00002FA20000}"/>
    <cellStyle name="Normal 3 5 5 2 3" xfId="30591" xr:uid="{00000000-0005-0000-0000-000030A20000}"/>
    <cellStyle name="Normal 3 5 5 3" xfId="13640" xr:uid="{00000000-0005-0000-0000-000031A20000}"/>
    <cellStyle name="Normal 3 5 5 3 2" xfId="36242" xr:uid="{00000000-0005-0000-0000-000032A20000}"/>
    <cellStyle name="Normal 3 5 5 4" xfId="24941" xr:uid="{00000000-0005-0000-0000-000033A20000}"/>
    <cellStyle name="Normal 3 5 6" xfId="3941" xr:uid="{00000000-0005-0000-0000-000034A20000}"/>
    <cellStyle name="Normal 3 5 6 2" xfId="9591" xr:uid="{00000000-0005-0000-0000-000035A20000}"/>
    <cellStyle name="Normal 3 5 6 2 2" xfId="20892" xr:uid="{00000000-0005-0000-0000-000036A20000}"/>
    <cellStyle name="Normal 3 5 6 2 2 2" xfId="43494" xr:uid="{00000000-0005-0000-0000-000037A20000}"/>
    <cellStyle name="Normal 3 5 6 2 3" xfId="32193" xr:uid="{00000000-0005-0000-0000-000038A20000}"/>
    <cellStyle name="Normal 3 5 6 3" xfId="15242" xr:uid="{00000000-0005-0000-0000-000039A20000}"/>
    <cellStyle name="Normal 3 5 6 3 2" xfId="37844" xr:uid="{00000000-0005-0000-0000-00003AA20000}"/>
    <cellStyle name="Normal 3 5 6 4" xfId="26543" xr:uid="{00000000-0005-0000-0000-00003BA20000}"/>
    <cellStyle name="Normal 3 5 7" xfId="6559" xr:uid="{00000000-0005-0000-0000-00003CA20000}"/>
    <cellStyle name="Normal 3 5 7 2" xfId="17860" xr:uid="{00000000-0005-0000-0000-00003DA20000}"/>
    <cellStyle name="Normal 3 5 7 2 2" xfId="40462" xr:uid="{00000000-0005-0000-0000-00003EA20000}"/>
    <cellStyle name="Normal 3 5 7 3" xfId="29161" xr:uid="{00000000-0005-0000-0000-00003FA20000}"/>
    <cellStyle name="Normal 3 5 8" xfId="12210" xr:uid="{00000000-0005-0000-0000-000040A20000}"/>
    <cellStyle name="Normal 3 5 8 2" xfId="34812" xr:uid="{00000000-0005-0000-0000-000041A20000}"/>
    <cellStyle name="Normal 3 5 9" xfId="23511" xr:uid="{00000000-0005-0000-0000-000042A20000}"/>
    <cellStyle name="Normal 3 6" xfId="635" xr:uid="{00000000-0005-0000-0000-000043A20000}"/>
    <cellStyle name="Normal 3 7" xfId="1414" xr:uid="{00000000-0005-0000-0000-000044A20000}"/>
    <cellStyle name="Normal 3 7 2" xfId="3420" xr:uid="{00000000-0005-0000-0000-000045A20000}"/>
    <cellStyle name="Normal 3 7 3" xfId="3523" xr:uid="{00000000-0005-0000-0000-000046A20000}"/>
    <cellStyle name="Normal 3 8" xfId="3526" xr:uid="{00000000-0005-0000-0000-000047A20000}"/>
    <cellStyle name="Normal 3 8 2" xfId="9249" xr:uid="{00000000-0005-0000-0000-000048A20000}"/>
    <cellStyle name="Normal 3 8 2 2" xfId="20550" xr:uid="{00000000-0005-0000-0000-000049A20000}"/>
    <cellStyle name="Normal 3 8 2 2 2" xfId="43152" xr:uid="{00000000-0005-0000-0000-00004AA20000}"/>
    <cellStyle name="Normal 3 8 2 3" xfId="31851" xr:uid="{00000000-0005-0000-0000-00004BA20000}"/>
    <cellStyle name="Normal 3 8 3" xfId="14900" xr:uid="{00000000-0005-0000-0000-00004CA20000}"/>
    <cellStyle name="Normal 3 8 3 2" xfId="37502" xr:uid="{00000000-0005-0000-0000-00004DA20000}"/>
    <cellStyle name="Normal 3 8 4" xfId="26201" xr:uid="{00000000-0005-0000-0000-00004EA20000}"/>
    <cellStyle name="Normal 3 9" xfId="3857" xr:uid="{00000000-0005-0000-0000-00004FA20000}"/>
    <cellStyle name="Normal 3 9 2" xfId="3854" xr:uid="{00000000-0005-0000-0000-000050A20000}"/>
    <cellStyle name="Normal 4" xfId="25" xr:uid="{00000000-0005-0000-0000-000051A20000}"/>
    <cellStyle name="Normal 4 2" xfId="192" xr:uid="{00000000-0005-0000-0000-000052A20000}"/>
    <cellStyle name="Normal 4 3" xfId="297" xr:uid="{00000000-0005-0000-0000-000053A20000}"/>
    <cellStyle name="Normal 4 3 10" xfId="23405" xr:uid="{00000000-0005-0000-0000-000054A20000}"/>
    <cellStyle name="Normal 4 3 2" xfId="555" xr:uid="{00000000-0005-0000-0000-000055A20000}"/>
    <cellStyle name="Normal 4 3 2 2" xfId="1265" xr:uid="{00000000-0005-0000-0000-000056A20000}"/>
    <cellStyle name="Normal 4 3 2 2 2" xfId="2046" xr:uid="{00000000-0005-0000-0000-000057A20000}"/>
    <cellStyle name="Normal 4 3 2 2 2 2" xfId="3334" xr:uid="{00000000-0005-0000-0000-000058A20000}"/>
    <cellStyle name="Normal 4 3 2 2 2 2 2" xfId="6306" xr:uid="{00000000-0005-0000-0000-000059A20000}"/>
    <cellStyle name="Normal 4 3 2 2 2 2 2 2" xfId="11956" xr:uid="{00000000-0005-0000-0000-00005AA20000}"/>
    <cellStyle name="Normal 4 3 2 2 2 2 2 2 2" xfId="23257" xr:uid="{00000000-0005-0000-0000-00005BA20000}"/>
    <cellStyle name="Normal 4 3 2 2 2 2 2 2 2 2" xfId="45859" xr:uid="{00000000-0005-0000-0000-00005CA20000}"/>
    <cellStyle name="Normal 4 3 2 2 2 2 2 2 3" xfId="34558" xr:uid="{00000000-0005-0000-0000-00005DA20000}"/>
    <cellStyle name="Normal 4 3 2 2 2 2 2 3" xfId="17607" xr:uid="{00000000-0005-0000-0000-00005EA20000}"/>
    <cellStyle name="Normal 4 3 2 2 2 2 2 3 2" xfId="40209" xr:uid="{00000000-0005-0000-0000-00005FA20000}"/>
    <cellStyle name="Normal 4 3 2 2 2 2 2 4" xfId="28908" xr:uid="{00000000-0005-0000-0000-000060A20000}"/>
    <cellStyle name="Normal 4 3 2 2 2 2 3" xfId="9124" xr:uid="{00000000-0005-0000-0000-000061A20000}"/>
    <cellStyle name="Normal 4 3 2 2 2 2 3 2" xfId="20425" xr:uid="{00000000-0005-0000-0000-000062A20000}"/>
    <cellStyle name="Normal 4 3 2 2 2 2 3 2 2" xfId="43027" xr:uid="{00000000-0005-0000-0000-000063A20000}"/>
    <cellStyle name="Normal 4 3 2 2 2 2 3 3" xfId="31726" xr:uid="{00000000-0005-0000-0000-000064A20000}"/>
    <cellStyle name="Normal 4 3 2 2 2 2 4" xfId="14775" xr:uid="{00000000-0005-0000-0000-000065A20000}"/>
    <cellStyle name="Normal 4 3 2 2 2 2 4 2" xfId="37377" xr:uid="{00000000-0005-0000-0000-000066A20000}"/>
    <cellStyle name="Normal 4 3 2 2 2 2 5" xfId="26076" xr:uid="{00000000-0005-0000-0000-000067A20000}"/>
    <cellStyle name="Normal 4 3 2 2 2 3" xfId="5072" xr:uid="{00000000-0005-0000-0000-000068A20000}"/>
    <cellStyle name="Normal 4 3 2 2 2 3 2" xfId="10722" xr:uid="{00000000-0005-0000-0000-000069A20000}"/>
    <cellStyle name="Normal 4 3 2 2 2 3 2 2" xfId="22023" xr:uid="{00000000-0005-0000-0000-00006AA20000}"/>
    <cellStyle name="Normal 4 3 2 2 2 3 2 2 2" xfId="44625" xr:uid="{00000000-0005-0000-0000-00006BA20000}"/>
    <cellStyle name="Normal 4 3 2 2 2 3 2 3" xfId="33324" xr:uid="{00000000-0005-0000-0000-00006CA20000}"/>
    <cellStyle name="Normal 4 3 2 2 2 3 3" xfId="16373" xr:uid="{00000000-0005-0000-0000-00006DA20000}"/>
    <cellStyle name="Normal 4 3 2 2 2 3 3 2" xfId="38975" xr:uid="{00000000-0005-0000-0000-00006EA20000}"/>
    <cellStyle name="Normal 4 3 2 2 2 3 4" xfId="27674" xr:uid="{00000000-0005-0000-0000-00006FA20000}"/>
    <cellStyle name="Normal 4 3 2 2 2 4" xfId="7902" xr:uid="{00000000-0005-0000-0000-000070A20000}"/>
    <cellStyle name="Normal 4 3 2 2 2 4 2" xfId="19203" xr:uid="{00000000-0005-0000-0000-000071A20000}"/>
    <cellStyle name="Normal 4 3 2 2 2 4 2 2" xfId="41805" xr:uid="{00000000-0005-0000-0000-000072A20000}"/>
    <cellStyle name="Normal 4 3 2 2 2 4 3" xfId="30504" xr:uid="{00000000-0005-0000-0000-000073A20000}"/>
    <cellStyle name="Normal 4 3 2 2 2 5" xfId="13553" xr:uid="{00000000-0005-0000-0000-000074A20000}"/>
    <cellStyle name="Normal 4 3 2 2 2 5 2" xfId="36155" xr:uid="{00000000-0005-0000-0000-000075A20000}"/>
    <cellStyle name="Normal 4 3 2 2 2 6" xfId="24854" xr:uid="{00000000-0005-0000-0000-000076A20000}"/>
    <cellStyle name="Normal 4 3 2 2 3" xfId="2663" xr:uid="{00000000-0005-0000-0000-000077A20000}"/>
    <cellStyle name="Normal 4 3 2 2 3 2" xfId="5682" xr:uid="{00000000-0005-0000-0000-000078A20000}"/>
    <cellStyle name="Normal 4 3 2 2 3 2 2" xfId="11332" xr:uid="{00000000-0005-0000-0000-000079A20000}"/>
    <cellStyle name="Normal 4 3 2 2 3 2 2 2" xfId="22633" xr:uid="{00000000-0005-0000-0000-00007AA20000}"/>
    <cellStyle name="Normal 4 3 2 2 3 2 2 2 2" xfId="45235" xr:uid="{00000000-0005-0000-0000-00007BA20000}"/>
    <cellStyle name="Normal 4 3 2 2 3 2 2 3" xfId="33934" xr:uid="{00000000-0005-0000-0000-00007CA20000}"/>
    <cellStyle name="Normal 4 3 2 2 3 2 3" xfId="16983" xr:uid="{00000000-0005-0000-0000-00007DA20000}"/>
    <cellStyle name="Normal 4 3 2 2 3 2 3 2" xfId="39585" xr:uid="{00000000-0005-0000-0000-00007EA20000}"/>
    <cellStyle name="Normal 4 3 2 2 3 2 4" xfId="28284" xr:uid="{00000000-0005-0000-0000-00007FA20000}"/>
    <cellStyle name="Normal 4 3 2 2 3 3" xfId="8499" xr:uid="{00000000-0005-0000-0000-000080A20000}"/>
    <cellStyle name="Normal 4 3 2 2 3 3 2" xfId="19800" xr:uid="{00000000-0005-0000-0000-000081A20000}"/>
    <cellStyle name="Normal 4 3 2 2 3 3 2 2" xfId="42402" xr:uid="{00000000-0005-0000-0000-000082A20000}"/>
    <cellStyle name="Normal 4 3 2 2 3 3 3" xfId="31101" xr:uid="{00000000-0005-0000-0000-000083A20000}"/>
    <cellStyle name="Normal 4 3 2 2 3 4" xfId="14150" xr:uid="{00000000-0005-0000-0000-000084A20000}"/>
    <cellStyle name="Normal 4 3 2 2 3 4 2" xfId="36752" xr:uid="{00000000-0005-0000-0000-000085A20000}"/>
    <cellStyle name="Normal 4 3 2 2 3 5" xfId="25451" xr:uid="{00000000-0005-0000-0000-000086A20000}"/>
    <cellStyle name="Normal 4 3 2 2 4" xfId="4448" xr:uid="{00000000-0005-0000-0000-000087A20000}"/>
    <cellStyle name="Normal 4 3 2 2 4 2" xfId="10098" xr:uid="{00000000-0005-0000-0000-000088A20000}"/>
    <cellStyle name="Normal 4 3 2 2 4 2 2" xfId="21399" xr:uid="{00000000-0005-0000-0000-000089A20000}"/>
    <cellStyle name="Normal 4 3 2 2 4 2 2 2" xfId="44001" xr:uid="{00000000-0005-0000-0000-00008AA20000}"/>
    <cellStyle name="Normal 4 3 2 2 4 2 3" xfId="32700" xr:uid="{00000000-0005-0000-0000-00008BA20000}"/>
    <cellStyle name="Normal 4 3 2 2 4 3" xfId="15749" xr:uid="{00000000-0005-0000-0000-00008CA20000}"/>
    <cellStyle name="Normal 4 3 2 2 4 3 2" xfId="38351" xr:uid="{00000000-0005-0000-0000-00008DA20000}"/>
    <cellStyle name="Normal 4 3 2 2 4 4" xfId="27050" xr:uid="{00000000-0005-0000-0000-00008EA20000}"/>
    <cellStyle name="Normal 4 3 2 2 5" xfId="7244" xr:uid="{00000000-0005-0000-0000-00008FA20000}"/>
    <cellStyle name="Normal 4 3 2 2 5 2" xfId="18545" xr:uid="{00000000-0005-0000-0000-000090A20000}"/>
    <cellStyle name="Normal 4 3 2 2 5 2 2" xfId="41147" xr:uid="{00000000-0005-0000-0000-000091A20000}"/>
    <cellStyle name="Normal 4 3 2 2 5 3" xfId="29846" xr:uid="{00000000-0005-0000-0000-000092A20000}"/>
    <cellStyle name="Normal 4 3 2 2 6" xfId="12895" xr:uid="{00000000-0005-0000-0000-000093A20000}"/>
    <cellStyle name="Normal 4 3 2 2 6 2" xfId="35497" xr:uid="{00000000-0005-0000-0000-000094A20000}"/>
    <cellStyle name="Normal 4 3 2 2 7" xfId="24196" xr:uid="{00000000-0005-0000-0000-000095A20000}"/>
    <cellStyle name="Normal 4 3 2 3" xfId="963" xr:uid="{00000000-0005-0000-0000-000096A20000}"/>
    <cellStyle name="Normal 4 3 2 3 2" xfId="3026" xr:uid="{00000000-0005-0000-0000-000097A20000}"/>
    <cellStyle name="Normal 4 3 2 3 2 2" xfId="5998" xr:uid="{00000000-0005-0000-0000-000098A20000}"/>
    <cellStyle name="Normal 4 3 2 3 2 2 2" xfId="11648" xr:uid="{00000000-0005-0000-0000-000099A20000}"/>
    <cellStyle name="Normal 4 3 2 3 2 2 2 2" xfId="22949" xr:uid="{00000000-0005-0000-0000-00009AA20000}"/>
    <cellStyle name="Normal 4 3 2 3 2 2 2 2 2" xfId="45551" xr:uid="{00000000-0005-0000-0000-00009BA20000}"/>
    <cellStyle name="Normal 4 3 2 3 2 2 2 3" xfId="34250" xr:uid="{00000000-0005-0000-0000-00009CA20000}"/>
    <cellStyle name="Normal 4 3 2 3 2 2 3" xfId="17299" xr:uid="{00000000-0005-0000-0000-00009DA20000}"/>
    <cellStyle name="Normal 4 3 2 3 2 2 3 2" xfId="39901" xr:uid="{00000000-0005-0000-0000-00009EA20000}"/>
    <cellStyle name="Normal 4 3 2 3 2 2 4" xfId="28600" xr:uid="{00000000-0005-0000-0000-00009FA20000}"/>
    <cellStyle name="Normal 4 3 2 3 2 3" xfId="8816" xr:uid="{00000000-0005-0000-0000-0000A0A20000}"/>
    <cellStyle name="Normal 4 3 2 3 2 3 2" xfId="20117" xr:uid="{00000000-0005-0000-0000-0000A1A20000}"/>
    <cellStyle name="Normal 4 3 2 3 2 3 2 2" xfId="42719" xr:uid="{00000000-0005-0000-0000-0000A2A20000}"/>
    <cellStyle name="Normal 4 3 2 3 2 3 3" xfId="31418" xr:uid="{00000000-0005-0000-0000-0000A3A20000}"/>
    <cellStyle name="Normal 4 3 2 3 2 4" xfId="14467" xr:uid="{00000000-0005-0000-0000-0000A4A20000}"/>
    <cellStyle name="Normal 4 3 2 3 2 4 2" xfId="37069" xr:uid="{00000000-0005-0000-0000-0000A5A20000}"/>
    <cellStyle name="Normal 4 3 2 3 2 5" xfId="25768" xr:uid="{00000000-0005-0000-0000-0000A6A20000}"/>
    <cellStyle name="Normal 4 3 2 3 3" xfId="4764" xr:uid="{00000000-0005-0000-0000-0000A7A20000}"/>
    <cellStyle name="Normal 4 3 2 3 3 2" xfId="10414" xr:uid="{00000000-0005-0000-0000-0000A8A20000}"/>
    <cellStyle name="Normal 4 3 2 3 3 2 2" xfId="21715" xr:uid="{00000000-0005-0000-0000-0000A9A20000}"/>
    <cellStyle name="Normal 4 3 2 3 3 2 2 2" xfId="44317" xr:uid="{00000000-0005-0000-0000-0000AAA20000}"/>
    <cellStyle name="Normal 4 3 2 3 3 2 3" xfId="33016" xr:uid="{00000000-0005-0000-0000-0000ABA20000}"/>
    <cellStyle name="Normal 4 3 2 3 3 3" xfId="16065" xr:uid="{00000000-0005-0000-0000-0000ACA20000}"/>
    <cellStyle name="Normal 4 3 2 3 3 3 2" xfId="38667" xr:uid="{00000000-0005-0000-0000-0000ADA20000}"/>
    <cellStyle name="Normal 4 3 2 3 3 4" xfId="27366" xr:uid="{00000000-0005-0000-0000-0000AEA20000}"/>
    <cellStyle name="Normal 4 3 2 3 4" xfId="6951" xr:uid="{00000000-0005-0000-0000-0000AFA20000}"/>
    <cellStyle name="Normal 4 3 2 3 4 2" xfId="18252" xr:uid="{00000000-0005-0000-0000-0000B0A20000}"/>
    <cellStyle name="Normal 4 3 2 3 4 2 2" xfId="40854" xr:uid="{00000000-0005-0000-0000-0000B1A20000}"/>
    <cellStyle name="Normal 4 3 2 3 4 3" xfId="29553" xr:uid="{00000000-0005-0000-0000-0000B2A20000}"/>
    <cellStyle name="Normal 4 3 2 3 5" xfId="12602" xr:uid="{00000000-0005-0000-0000-0000B3A20000}"/>
    <cellStyle name="Normal 4 3 2 3 5 2" xfId="35204" xr:uid="{00000000-0005-0000-0000-0000B4A20000}"/>
    <cellStyle name="Normal 4 3 2 3 6" xfId="23903" xr:uid="{00000000-0005-0000-0000-0000B5A20000}"/>
    <cellStyle name="Normal 4 3 2 4" xfId="2045" xr:uid="{00000000-0005-0000-0000-0000B6A20000}"/>
    <cellStyle name="Normal 4 3 2 4 2" xfId="3800" xr:uid="{00000000-0005-0000-0000-0000B7A20000}"/>
    <cellStyle name="Normal 4 3 2 4 2 2" xfId="9508" xr:uid="{00000000-0005-0000-0000-0000B8A20000}"/>
    <cellStyle name="Normal 4 3 2 4 2 2 2" xfId="20809" xr:uid="{00000000-0005-0000-0000-0000B9A20000}"/>
    <cellStyle name="Normal 4 3 2 4 2 2 2 2" xfId="43411" xr:uid="{00000000-0005-0000-0000-0000BAA20000}"/>
    <cellStyle name="Normal 4 3 2 4 2 2 3" xfId="32110" xr:uid="{00000000-0005-0000-0000-0000BBA20000}"/>
    <cellStyle name="Normal 4 3 2 4 2 3" xfId="15159" xr:uid="{00000000-0005-0000-0000-0000BCA20000}"/>
    <cellStyle name="Normal 4 3 2 4 2 3 2" xfId="37761" xr:uid="{00000000-0005-0000-0000-0000BDA20000}"/>
    <cellStyle name="Normal 4 3 2 4 2 4" xfId="26460" xr:uid="{00000000-0005-0000-0000-0000BEA20000}"/>
    <cellStyle name="Normal 4 3 2 4 3" xfId="5374" xr:uid="{00000000-0005-0000-0000-0000BFA20000}"/>
    <cellStyle name="Normal 4 3 2 4 3 2" xfId="11024" xr:uid="{00000000-0005-0000-0000-0000C0A20000}"/>
    <cellStyle name="Normal 4 3 2 4 3 2 2" xfId="22325" xr:uid="{00000000-0005-0000-0000-0000C1A20000}"/>
    <cellStyle name="Normal 4 3 2 4 3 2 2 2" xfId="44927" xr:uid="{00000000-0005-0000-0000-0000C2A20000}"/>
    <cellStyle name="Normal 4 3 2 4 3 2 3" xfId="33626" xr:uid="{00000000-0005-0000-0000-0000C3A20000}"/>
    <cellStyle name="Normal 4 3 2 4 3 3" xfId="16675" xr:uid="{00000000-0005-0000-0000-0000C4A20000}"/>
    <cellStyle name="Normal 4 3 2 4 3 3 2" xfId="39277" xr:uid="{00000000-0005-0000-0000-0000C5A20000}"/>
    <cellStyle name="Normal 4 3 2 4 3 4" xfId="27976" xr:uid="{00000000-0005-0000-0000-0000C6A20000}"/>
    <cellStyle name="Normal 4 3 2 4 4" xfId="7901" xr:uid="{00000000-0005-0000-0000-0000C7A20000}"/>
    <cellStyle name="Normal 4 3 2 4 4 2" xfId="19202" xr:uid="{00000000-0005-0000-0000-0000C8A20000}"/>
    <cellStyle name="Normal 4 3 2 4 4 2 2" xfId="41804" xr:uid="{00000000-0005-0000-0000-0000C9A20000}"/>
    <cellStyle name="Normal 4 3 2 4 4 3" xfId="30503" xr:uid="{00000000-0005-0000-0000-0000CAA20000}"/>
    <cellStyle name="Normal 4 3 2 4 5" xfId="13552" xr:uid="{00000000-0005-0000-0000-0000CBA20000}"/>
    <cellStyle name="Normal 4 3 2 4 5 2" xfId="36154" xr:uid="{00000000-0005-0000-0000-0000CCA20000}"/>
    <cellStyle name="Normal 4 3 2 4 6" xfId="24853" xr:uid="{00000000-0005-0000-0000-0000CDA20000}"/>
    <cellStyle name="Normal 4 3 2 5" xfId="2355" xr:uid="{00000000-0005-0000-0000-0000CEA20000}"/>
    <cellStyle name="Normal 4 3 2 5 2" xfId="8191" xr:uid="{00000000-0005-0000-0000-0000CFA20000}"/>
    <cellStyle name="Normal 4 3 2 5 2 2" xfId="19492" xr:uid="{00000000-0005-0000-0000-0000D0A20000}"/>
    <cellStyle name="Normal 4 3 2 5 2 2 2" xfId="42094" xr:uid="{00000000-0005-0000-0000-0000D1A20000}"/>
    <cellStyle name="Normal 4 3 2 5 2 3" xfId="30793" xr:uid="{00000000-0005-0000-0000-0000D2A20000}"/>
    <cellStyle name="Normal 4 3 2 5 3" xfId="13842" xr:uid="{00000000-0005-0000-0000-0000D3A20000}"/>
    <cellStyle name="Normal 4 3 2 5 3 2" xfId="36444" xr:uid="{00000000-0005-0000-0000-0000D4A20000}"/>
    <cellStyle name="Normal 4 3 2 5 4" xfId="25143" xr:uid="{00000000-0005-0000-0000-0000D5A20000}"/>
    <cellStyle name="Normal 4 3 2 6" xfId="4140" xr:uid="{00000000-0005-0000-0000-0000D6A20000}"/>
    <cellStyle name="Normal 4 3 2 6 2" xfId="9790" xr:uid="{00000000-0005-0000-0000-0000D7A20000}"/>
    <cellStyle name="Normal 4 3 2 6 2 2" xfId="21091" xr:uid="{00000000-0005-0000-0000-0000D8A20000}"/>
    <cellStyle name="Normal 4 3 2 6 2 2 2" xfId="43693" xr:uid="{00000000-0005-0000-0000-0000D9A20000}"/>
    <cellStyle name="Normal 4 3 2 6 2 3" xfId="32392" xr:uid="{00000000-0005-0000-0000-0000DAA20000}"/>
    <cellStyle name="Normal 4 3 2 6 3" xfId="15441" xr:uid="{00000000-0005-0000-0000-0000DBA20000}"/>
    <cellStyle name="Normal 4 3 2 6 3 2" xfId="38043" xr:uid="{00000000-0005-0000-0000-0000DCA20000}"/>
    <cellStyle name="Normal 4 3 2 6 4" xfId="26742" xr:uid="{00000000-0005-0000-0000-0000DDA20000}"/>
    <cellStyle name="Normal 4 3 2 7" xfId="6620" xr:uid="{00000000-0005-0000-0000-0000DEA20000}"/>
    <cellStyle name="Normal 4 3 2 7 2" xfId="17921" xr:uid="{00000000-0005-0000-0000-0000DFA20000}"/>
    <cellStyle name="Normal 4 3 2 7 2 2" xfId="40523" xr:uid="{00000000-0005-0000-0000-0000E0A20000}"/>
    <cellStyle name="Normal 4 3 2 7 3" xfId="29222" xr:uid="{00000000-0005-0000-0000-0000E1A20000}"/>
    <cellStyle name="Normal 4 3 2 8" xfId="12271" xr:uid="{00000000-0005-0000-0000-0000E2A20000}"/>
    <cellStyle name="Normal 4 3 2 8 2" xfId="34873" xr:uid="{00000000-0005-0000-0000-0000E3A20000}"/>
    <cellStyle name="Normal 4 3 2 9" xfId="23572" xr:uid="{00000000-0005-0000-0000-0000E4A20000}"/>
    <cellStyle name="Normal 4 3 3" xfId="1127" xr:uid="{00000000-0005-0000-0000-0000E5A20000}"/>
    <cellStyle name="Normal 4 3 3 2" xfId="2047" xr:uid="{00000000-0005-0000-0000-0000E6A20000}"/>
    <cellStyle name="Normal 4 3 3 2 2" xfId="3195" xr:uid="{00000000-0005-0000-0000-0000E7A20000}"/>
    <cellStyle name="Normal 4 3 3 2 2 2" xfId="6167" xr:uid="{00000000-0005-0000-0000-0000E8A20000}"/>
    <cellStyle name="Normal 4 3 3 2 2 2 2" xfId="11817" xr:uid="{00000000-0005-0000-0000-0000E9A20000}"/>
    <cellStyle name="Normal 4 3 3 2 2 2 2 2" xfId="23118" xr:uid="{00000000-0005-0000-0000-0000EAA20000}"/>
    <cellStyle name="Normal 4 3 3 2 2 2 2 2 2" xfId="45720" xr:uid="{00000000-0005-0000-0000-0000EBA20000}"/>
    <cellStyle name="Normal 4 3 3 2 2 2 2 3" xfId="34419" xr:uid="{00000000-0005-0000-0000-0000ECA20000}"/>
    <cellStyle name="Normal 4 3 3 2 2 2 3" xfId="17468" xr:uid="{00000000-0005-0000-0000-0000EDA20000}"/>
    <cellStyle name="Normal 4 3 3 2 2 2 3 2" xfId="40070" xr:uid="{00000000-0005-0000-0000-0000EEA20000}"/>
    <cellStyle name="Normal 4 3 3 2 2 2 4" xfId="28769" xr:uid="{00000000-0005-0000-0000-0000EFA20000}"/>
    <cellStyle name="Normal 4 3 3 2 2 3" xfId="8985" xr:uid="{00000000-0005-0000-0000-0000F0A20000}"/>
    <cellStyle name="Normal 4 3 3 2 2 3 2" xfId="20286" xr:uid="{00000000-0005-0000-0000-0000F1A20000}"/>
    <cellStyle name="Normal 4 3 3 2 2 3 2 2" xfId="42888" xr:uid="{00000000-0005-0000-0000-0000F2A20000}"/>
    <cellStyle name="Normal 4 3 3 2 2 3 3" xfId="31587" xr:uid="{00000000-0005-0000-0000-0000F3A20000}"/>
    <cellStyle name="Normal 4 3 3 2 2 4" xfId="14636" xr:uid="{00000000-0005-0000-0000-0000F4A20000}"/>
    <cellStyle name="Normal 4 3 3 2 2 4 2" xfId="37238" xr:uid="{00000000-0005-0000-0000-0000F5A20000}"/>
    <cellStyle name="Normal 4 3 3 2 2 5" xfId="25937" xr:uid="{00000000-0005-0000-0000-0000F6A20000}"/>
    <cellStyle name="Normal 4 3 3 2 3" xfId="4933" xr:uid="{00000000-0005-0000-0000-0000F7A20000}"/>
    <cellStyle name="Normal 4 3 3 2 3 2" xfId="10583" xr:uid="{00000000-0005-0000-0000-0000F8A20000}"/>
    <cellStyle name="Normal 4 3 3 2 3 2 2" xfId="21884" xr:uid="{00000000-0005-0000-0000-0000F9A20000}"/>
    <cellStyle name="Normal 4 3 3 2 3 2 2 2" xfId="44486" xr:uid="{00000000-0005-0000-0000-0000FAA20000}"/>
    <cellStyle name="Normal 4 3 3 2 3 2 3" xfId="33185" xr:uid="{00000000-0005-0000-0000-0000FBA20000}"/>
    <cellStyle name="Normal 4 3 3 2 3 3" xfId="16234" xr:uid="{00000000-0005-0000-0000-0000FCA20000}"/>
    <cellStyle name="Normal 4 3 3 2 3 3 2" xfId="38836" xr:uid="{00000000-0005-0000-0000-0000FDA20000}"/>
    <cellStyle name="Normal 4 3 3 2 3 4" xfId="27535" xr:uid="{00000000-0005-0000-0000-0000FEA20000}"/>
    <cellStyle name="Normal 4 3 3 2 4" xfId="7903" xr:uid="{00000000-0005-0000-0000-0000FFA20000}"/>
    <cellStyle name="Normal 4 3 3 2 4 2" xfId="19204" xr:uid="{00000000-0005-0000-0000-000000A30000}"/>
    <cellStyle name="Normal 4 3 3 2 4 2 2" xfId="41806" xr:uid="{00000000-0005-0000-0000-000001A30000}"/>
    <cellStyle name="Normal 4 3 3 2 4 3" xfId="30505" xr:uid="{00000000-0005-0000-0000-000002A30000}"/>
    <cellStyle name="Normal 4 3 3 2 5" xfId="13554" xr:uid="{00000000-0005-0000-0000-000003A30000}"/>
    <cellStyle name="Normal 4 3 3 2 5 2" xfId="36156" xr:uid="{00000000-0005-0000-0000-000004A30000}"/>
    <cellStyle name="Normal 4 3 3 2 6" xfId="24855" xr:uid="{00000000-0005-0000-0000-000005A30000}"/>
    <cellStyle name="Normal 4 3 3 3" xfId="2524" xr:uid="{00000000-0005-0000-0000-000006A30000}"/>
    <cellStyle name="Normal 4 3 3 3 2" xfId="5543" xr:uid="{00000000-0005-0000-0000-000007A30000}"/>
    <cellStyle name="Normal 4 3 3 3 2 2" xfId="11193" xr:uid="{00000000-0005-0000-0000-000008A30000}"/>
    <cellStyle name="Normal 4 3 3 3 2 2 2" xfId="22494" xr:uid="{00000000-0005-0000-0000-000009A30000}"/>
    <cellStyle name="Normal 4 3 3 3 2 2 2 2" xfId="45096" xr:uid="{00000000-0005-0000-0000-00000AA30000}"/>
    <cellStyle name="Normal 4 3 3 3 2 2 3" xfId="33795" xr:uid="{00000000-0005-0000-0000-00000BA30000}"/>
    <cellStyle name="Normal 4 3 3 3 2 3" xfId="16844" xr:uid="{00000000-0005-0000-0000-00000CA30000}"/>
    <cellStyle name="Normal 4 3 3 3 2 3 2" xfId="39446" xr:uid="{00000000-0005-0000-0000-00000DA30000}"/>
    <cellStyle name="Normal 4 3 3 3 2 4" xfId="28145" xr:uid="{00000000-0005-0000-0000-00000EA30000}"/>
    <cellStyle name="Normal 4 3 3 3 3" xfId="8360" xr:uid="{00000000-0005-0000-0000-00000FA30000}"/>
    <cellStyle name="Normal 4 3 3 3 3 2" xfId="19661" xr:uid="{00000000-0005-0000-0000-000010A30000}"/>
    <cellStyle name="Normal 4 3 3 3 3 2 2" xfId="42263" xr:uid="{00000000-0005-0000-0000-000011A30000}"/>
    <cellStyle name="Normal 4 3 3 3 3 3" xfId="30962" xr:uid="{00000000-0005-0000-0000-000012A30000}"/>
    <cellStyle name="Normal 4 3 3 3 4" xfId="14011" xr:uid="{00000000-0005-0000-0000-000013A30000}"/>
    <cellStyle name="Normal 4 3 3 3 4 2" xfId="36613" xr:uid="{00000000-0005-0000-0000-000014A30000}"/>
    <cellStyle name="Normal 4 3 3 3 5" xfId="25312" xr:uid="{00000000-0005-0000-0000-000015A30000}"/>
    <cellStyle name="Normal 4 3 3 4" xfId="4309" xr:uid="{00000000-0005-0000-0000-000016A30000}"/>
    <cellStyle name="Normal 4 3 3 4 2" xfId="9959" xr:uid="{00000000-0005-0000-0000-000017A30000}"/>
    <cellStyle name="Normal 4 3 3 4 2 2" xfId="21260" xr:uid="{00000000-0005-0000-0000-000018A30000}"/>
    <cellStyle name="Normal 4 3 3 4 2 2 2" xfId="43862" xr:uid="{00000000-0005-0000-0000-000019A30000}"/>
    <cellStyle name="Normal 4 3 3 4 2 3" xfId="32561" xr:uid="{00000000-0005-0000-0000-00001AA30000}"/>
    <cellStyle name="Normal 4 3 3 4 3" xfId="15610" xr:uid="{00000000-0005-0000-0000-00001BA30000}"/>
    <cellStyle name="Normal 4 3 3 4 3 2" xfId="38212" xr:uid="{00000000-0005-0000-0000-00001CA30000}"/>
    <cellStyle name="Normal 4 3 3 4 4" xfId="26911" xr:uid="{00000000-0005-0000-0000-00001DA30000}"/>
    <cellStyle name="Normal 4 3 3 5" xfId="7106" xr:uid="{00000000-0005-0000-0000-00001EA30000}"/>
    <cellStyle name="Normal 4 3 3 5 2" xfId="18407" xr:uid="{00000000-0005-0000-0000-00001FA30000}"/>
    <cellStyle name="Normal 4 3 3 5 2 2" xfId="41009" xr:uid="{00000000-0005-0000-0000-000020A30000}"/>
    <cellStyle name="Normal 4 3 3 5 3" xfId="29708" xr:uid="{00000000-0005-0000-0000-000021A30000}"/>
    <cellStyle name="Normal 4 3 3 6" xfId="12757" xr:uid="{00000000-0005-0000-0000-000022A30000}"/>
    <cellStyle name="Normal 4 3 3 6 2" xfId="35359" xr:uid="{00000000-0005-0000-0000-000023A30000}"/>
    <cellStyle name="Normal 4 3 3 7" xfId="24058" xr:uid="{00000000-0005-0000-0000-000024A30000}"/>
    <cellStyle name="Normal 4 3 4" xfId="817" xr:uid="{00000000-0005-0000-0000-000025A30000}"/>
    <cellStyle name="Normal 4 3 4 2" xfId="2888" xr:uid="{00000000-0005-0000-0000-000026A30000}"/>
    <cellStyle name="Normal 4 3 4 2 2" xfId="5860" xr:uid="{00000000-0005-0000-0000-000027A30000}"/>
    <cellStyle name="Normal 4 3 4 2 2 2" xfId="11510" xr:uid="{00000000-0005-0000-0000-000028A30000}"/>
    <cellStyle name="Normal 4 3 4 2 2 2 2" xfId="22811" xr:uid="{00000000-0005-0000-0000-000029A30000}"/>
    <cellStyle name="Normal 4 3 4 2 2 2 2 2" xfId="45413" xr:uid="{00000000-0005-0000-0000-00002AA30000}"/>
    <cellStyle name="Normal 4 3 4 2 2 2 3" xfId="34112" xr:uid="{00000000-0005-0000-0000-00002BA30000}"/>
    <cellStyle name="Normal 4 3 4 2 2 3" xfId="17161" xr:uid="{00000000-0005-0000-0000-00002CA30000}"/>
    <cellStyle name="Normal 4 3 4 2 2 3 2" xfId="39763" xr:uid="{00000000-0005-0000-0000-00002DA30000}"/>
    <cellStyle name="Normal 4 3 4 2 2 4" xfId="28462" xr:uid="{00000000-0005-0000-0000-00002EA30000}"/>
    <cellStyle name="Normal 4 3 4 2 3" xfId="8678" xr:uid="{00000000-0005-0000-0000-00002FA30000}"/>
    <cellStyle name="Normal 4 3 4 2 3 2" xfId="19979" xr:uid="{00000000-0005-0000-0000-000030A30000}"/>
    <cellStyle name="Normal 4 3 4 2 3 2 2" xfId="42581" xr:uid="{00000000-0005-0000-0000-000031A30000}"/>
    <cellStyle name="Normal 4 3 4 2 3 3" xfId="31280" xr:uid="{00000000-0005-0000-0000-000032A30000}"/>
    <cellStyle name="Normal 4 3 4 2 4" xfId="14329" xr:uid="{00000000-0005-0000-0000-000033A30000}"/>
    <cellStyle name="Normal 4 3 4 2 4 2" xfId="36931" xr:uid="{00000000-0005-0000-0000-000034A30000}"/>
    <cellStyle name="Normal 4 3 4 2 5" xfId="25630" xr:uid="{00000000-0005-0000-0000-000035A30000}"/>
    <cellStyle name="Normal 4 3 4 3" xfId="4626" xr:uid="{00000000-0005-0000-0000-000036A30000}"/>
    <cellStyle name="Normal 4 3 4 3 2" xfId="10276" xr:uid="{00000000-0005-0000-0000-000037A30000}"/>
    <cellStyle name="Normal 4 3 4 3 2 2" xfId="21577" xr:uid="{00000000-0005-0000-0000-000038A30000}"/>
    <cellStyle name="Normal 4 3 4 3 2 2 2" xfId="44179" xr:uid="{00000000-0005-0000-0000-000039A30000}"/>
    <cellStyle name="Normal 4 3 4 3 2 3" xfId="32878" xr:uid="{00000000-0005-0000-0000-00003AA30000}"/>
    <cellStyle name="Normal 4 3 4 3 3" xfId="15927" xr:uid="{00000000-0005-0000-0000-00003BA30000}"/>
    <cellStyle name="Normal 4 3 4 3 3 2" xfId="38529" xr:uid="{00000000-0005-0000-0000-00003CA30000}"/>
    <cellStyle name="Normal 4 3 4 3 4" xfId="27228" xr:uid="{00000000-0005-0000-0000-00003DA30000}"/>
    <cellStyle name="Normal 4 3 4 4" xfId="6813" xr:uid="{00000000-0005-0000-0000-00003EA30000}"/>
    <cellStyle name="Normal 4 3 4 4 2" xfId="18114" xr:uid="{00000000-0005-0000-0000-00003FA30000}"/>
    <cellStyle name="Normal 4 3 4 4 2 2" xfId="40716" xr:uid="{00000000-0005-0000-0000-000040A30000}"/>
    <cellStyle name="Normal 4 3 4 4 3" xfId="29415" xr:uid="{00000000-0005-0000-0000-000041A30000}"/>
    <cellStyle name="Normal 4 3 4 5" xfId="12464" xr:uid="{00000000-0005-0000-0000-000042A30000}"/>
    <cellStyle name="Normal 4 3 4 5 2" xfId="35066" xr:uid="{00000000-0005-0000-0000-000043A30000}"/>
    <cellStyle name="Normal 4 3 4 6" xfId="23765" xr:uid="{00000000-0005-0000-0000-000044A30000}"/>
    <cellStyle name="Normal 4 3 5" xfId="2044" xr:uid="{00000000-0005-0000-0000-000045A30000}"/>
    <cellStyle name="Normal 4 3 5 2" xfId="3799" xr:uid="{00000000-0005-0000-0000-000046A30000}"/>
    <cellStyle name="Normal 4 3 5 2 2" xfId="9507" xr:uid="{00000000-0005-0000-0000-000047A30000}"/>
    <cellStyle name="Normal 4 3 5 2 2 2" xfId="20808" xr:uid="{00000000-0005-0000-0000-000048A30000}"/>
    <cellStyle name="Normal 4 3 5 2 2 2 2" xfId="43410" xr:uid="{00000000-0005-0000-0000-000049A30000}"/>
    <cellStyle name="Normal 4 3 5 2 2 3" xfId="32109" xr:uid="{00000000-0005-0000-0000-00004AA30000}"/>
    <cellStyle name="Normal 4 3 5 2 3" xfId="15158" xr:uid="{00000000-0005-0000-0000-00004BA30000}"/>
    <cellStyle name="Normal 4 3 5 2 3 2" xfId="37760" xr:uid="{00000000-0005-0000-0000-00004CA30000}"/>
    <cellStyle name="Normal 4 3 5 2 4" xfId="26459" xr:uid="{00000000-0005-0000-0000-00004DA30000}"/>
    <cellStyle name="Normal 4 3 5 3" xfId="5236" xr:uid="{00000000-0005-0000-0000-00004EA30000}"/>
    <cellStyle name="Normal 4 3 5 3 2" xfId="10886" xr:uid="{00000000-0005-0000-0000-00004FA30000}"/>
    <cellStyle name="Normal 4 3 5 3 2 2" xfId="22187" xr:uid="{00000000-0005-0000-0000-000050A30000}"/>
    <cellStyle name="Normal 4 3 5 3 2 2 2" xfId="44789" xr:uid="{00000000-0005-0000-0000-000051A30000}"/>
    <cellStyle name="Normal 4 3 5 3 2 3" xfId="33488" xr:uid="{00000000-0005-0000-0000-000052A30000}"/>
    <cellStyle name="Normal 4 3 5 3 3" xfId="16537" xr:uid="{00000000-0005-0000-0000-000053A30000}"/>
    <cellStyle name="Normal 4 3 5 3 3 2" xfId="39139" xr:uid="{00000000-0005-0000-0000-000054A30000}"/>
    <cellStyle name="Normal 4 3 5 3 4" xfId="27838" xr:uid="{00000000-0005-0000-0000-000055A30000}"/>
    <cellStyle name="Normal 4 3 5 4" xfId="7900" xr:uid="{00000000-0005-0000-0000-000056A30000}"/>
    <cellStyle name="Normal 4 3 5 4 2" xfId="19201" xr:uid="{00000000-0005-0000-0000-000057A30000}"/>
    <cellStyle name="Normal 4 3 5 4 2 2" xfId="41803" xr:uid="{00000000-0005-0000-0000-000058A30000}"/>
    <cellStyle name="Normal 4 3 5 4 3" xfId="30502" xr:uid="{00000000-0005-0000-0000-000059A30000}"/>
    <cellStyle name="Normal 4 3 5 5" xfId="13551" xr:uid="{00000000-0005-0000-0000-00005AA30000}"/>
    <cellStyle name="Normal 4 3 5 5 2" xfId="36153" xr:uid="{00000000-0005-0000-0000-00005BA30000}"/>
    <cellStyle name="Normal 4 3 5 6" xfId="24852" xr:uid="{00000000-0005-0000-0000-00005CA30000}"/>
    <cellStyle name="Normal 4 3 6" xfId="2215" xr:uid="{00000000-0005-0000-0000-00005DA30000}"/>
    <cellStyle name="Normal 4 3 6 2" xfId="8051" xr:uid="{00000000-0005-0000-0000-00005EA30000}"/>
    <cellStyle name="Normal 4 3 6 2 2" xfId="19352" xr:uid="{00000000-0005-0000-0000-00005FA30000}"/>
    <cellStyle name="Normal 4 3 6 2 2 2" xfId="41954" xr:uid="{00000000-0005-0000-0000-000060A30000}"/>
    <cellStyle name="Normal 4 3 6 2 3" xfId="30653" xr:uid="{00000000-0005-0000-0000-000061A30000}"/>
    <cellStyle name="Normal 4 3 6 3" xfId="13702" xr:uid="{00000000-0005-0000-0000-000062A30000}"/>
    <cellStyle name="Normal 4 3 6 3 2" xfId="36304" xr:uid="{00000000-0005-0000-0000-000063A30000}"/>
    <cellStyle name="Normal 4 3 6 4" xfId="25003" xr:uid="{00000000-0005-0000-0000-000064A30000}"/>
    <cellStyle name="Normal 4 3 7" xfId="4002" xr:uid="{00000000-0005-0000-0000-000065A30000}"/>
    <cellStyle name="Normal 4 3 7 2" xfId="9652" xr:uid="{00000000-0005-0000-0000-000066A30000}"/>
    <cellStyle name="Normal 4 3 7 2 2" xfId="20953" xr:uid="{00000000-0005-0000-0000-000067A30000}"/>
    <cellStyle name="Normal 4 3 7 2 2 2" xfId="43555" xr:uid="{00000000-0005-0000-0000-000068A30000}"/>
    <cellStyle name="Normal 4 3 7 2 3" xfId="32254" xr:uid="{00000000-0005-0000-0000-000069A30000}"/>
    <cellStyle name="Normal 4 3 7 3" xfId="15303" xr:uid="{00000000-0005-0000-0000-00006AA30000}"/>
    <cellStyle name="Normal 4 3 7 3 2" xfId="37905" xr:uid="{00000000-0005-0000-0000-00006BA30000}"/>
    <cellStyle name="Normal 4 3 7 4" xfId="26604" xr:uid="{00000000-0005-0000-0000-00006CA30000}"/>
    <cellStyle name="Normal 4 3 8" xfId="6453" xr:uid="{00000000-0005-0000-0000-00006DA30000}"/>
    <cellStyle name="Normal 4 3 8 2" xfId="17754" xr:uid="{00000000-0005-0000-0000-00006EA30000}"/>
    <cellStyle name="Normal 4 3 8 2 2" xfId="40356" xr:uid="{00000000-0005-0000-0000-00006FA30000}"/>
    <cellStyle name="Normal 4 3 8 3" xfId="29055" xr:uid="{00000000-0005-0000-0000-000070A30000}"/>
    <cellStyle name="Normal 4 3 9" xfId="12104" xr:uid="{00000000-0005-0000-0000-000071A30000}"/>
    <cellStyle name="Normal 4 3 9 2" xfId="34706" xr:uid="{00000000-0005-0000-0000-000072A30000}"/>
    <cellStyle name="Normal 4 4" xfId="359" xr:uid="{00000000-0005-0000-0000-000073A30000}"/>
    <cellStyle name="Normal 4 4 10" xfId="23454" xr:uid="{00000000-0005-0000-0000-000074A30000}"/>
    <cellStyle name="Normal 4 4 2" xfId="604" xr:uid="{00000000-0005-0000-0000-000075A30000}"/>
    <cellStyle name="Normal 4 4 2 2" xfId="1314" xr:uid="{00000000-0005-0000-0000-000076A30000}"/>
    <cellStyle name="Normal 4 4 2 2 2" xfId="2050" xr:uid="{00000000-0005-0000-0000-000077A30000}"/>
    <cellStyle name="Normal 4 4 2 2 2 2" xfId="3383" xr:uid="{00000000-0005-0000-0000-000078A30000}"/>
    <cellStyle name="Normal 4 4 2 2 2 2 2" xfId="6355" xr:uid="{00000000-0005-0000-0000-000079A30000}"/>
    <cellStyle name="Normal 4 4 2 2 2 2 2 2" xfId="12005" xr:uid="{00000000-0005-0000-0000-00007AA30000}"/>
    <cellStyle name="Normal 4 4 2 2 2 2 2 2 2" xfId="23306" xr:uid="{00000000-0005-0000-0000-00007BA30000}"/>
    <cellStyle name="Normal 4 4 2 2 2 2 2 2 2 2" xfId="45908" xr:uid="{00000000-0005-0000-0000-00007CA30000}"/>
    <cellStyle name="Normal 4 4 2 2 2 2 2 2 3" xfId="34607" xr:uid="{00000000-0005-0000-0000-00007DA30000}"/>
    <cellStyle name="Normal 4 4 2 2 2 2 2 3" xfId="17656" xr:uid="{00000000-0005-0000-0000-00007EA30000}"/>
    <cellStyle name="Normal 4 4 2 2 2 2 2 3 2" xfId="40258" xr:uid="{00000000-0005-0000-0000-00007FA30000}"/>
    <cellStyle name="Normal 4 4 2 2 2 2 2 4" xfId="28957" xr:uid="{00000000-0005-0000-0000-000080A30000}"/>
    <cellStyle name="Normal 4 4 2 2 2 2 3" xfId="9173" xr:uid="{00000000-0005-0000-0000-000081A30000}"/>
    <cellStyle name="Normal 4 4 2 2 2 2 3 2" xfId="20474" xr:uid="{00000000-0005-0000-0000-000082A30000}"/>
    <cellStyle name="Normal 4 4 2 2 2 2 3 2 2" xfId="43076" xr:uid="{00000000-0005-0000-0000-000083A30000}"/>
    <cellStyle name="Normal 4 4 2 2 2 2 3 3" xfId="31775" xr:uid="{00000000-0005-0000-0000-000084A30000}"/>
    <cellStyle name="Normal 4 4 2 2 2 2 4" xfId="14824" xr:uid="{00000000-0005-0000-0000-000085A30000}"/>
    <cellStyle name="Normal 4 4 2 2 2 2 4 2" xfId="37426" xr:uid="{00000000-0005-0000-0000-000086A30000}"/>
    <cellStyle name="Normal 4 4 2 2 2 2 5" xfId="26125" xr:uid="{00000000-0005-0000-0000-000087A30000}"/>
    <cellStyle name="Normal 4 4 2 2 2 3" xfId="5121" xr:uid="{00000000-0005-0000-0000-000088A30000}"/>
    <cellStyle name="Normal 4 4 2 2 2 3 2" xfId="10771" xr:uid="{00000000-0005-0000-0000-000089A30000}"/>
    <cellStyle name="Normal 4 4 2 2 2 3 2 2" xfId="22072" xr:uid="{00000000-0005-0000-0000-00008AA30000}"/>
    <cellStyle name="Normal 4 4 2 2 2 3 2 2 2" xfId="44674" xr:uid="{00000000-0005-0000-0000-00008BA30000}"/>
    <cellStyle name="Normal 4 4 2 2 2 3 2 3" xfId="33373" xr:uid="{00000000-0005-0000-0000-00008CA30000}"/>
    <cellStyle name="Normal 4 4 2 2 2 3 3" xfId="16422" xr:uid="{00000000-0005-0000-0000-00008DA30000}"/>
    <cellStyle name="Normal 4 4 2 2 2 3 3 2" xfId="39024" xr:uid="{00000000-0005-0000-0000-00008EA30000}"/>
    <cellStyle name="Normal 4 4 2 2 2 3 4" xfId="27723" xr:uid="{00000000-0005-0000-0000-00008FA30000}"/>
    <cellStyle name="Normal 4 4 2 2 2 4" xfId="7906" xr:uid="{00000000-0005-0000-0000-000090A30000}"/>
    <cellStyle name="Normal 4 4 2 2 2 4 2" xfId="19207" xr:uid="{00000000-0005-0000-0000-000091A30000}"/>
    <cellStyle name="Normal 4 4 2 2 2 4 2 2" xfId="41809" xr:uid="{00000000-0005-0000-0000-000092A30000}"/>
    <cellStyle name="Normal 4 4 2 2 2 4 3" xfId="30508" xr:uid="{00000000-0005-0000-0000-000093A30000}"/>
    <cellStyle name="Normal 4 4 2 2 2 5" xfId="13557" xr:uid="{00000000-0005-0000-0000-000094A30000}"/>
    <cellStyle name="Normal 4 4 2 2 2 5 2" xfId="36159" xr:uid="{00000000-0005-0000-0000-000095A30000}"/>
    <cellStyle name="Normal 4 4 2 2 2 6" xfId="24858" xr:uid="{00000000-0005-0000-0000-000096A30000}"/>
    <cellStyle name="Normal 4 4 2 2 3" xfId="2712" xr:uid="{00000000-0005-0000-0000-000097A30000}"/>
    <cellStyle name="Normal 4 4 2 2 3 2" xfId="5731" xr:uid="{00000000-0005-0000-0000-000098A30000}"/>
    <cellStyle name="Normal 4 4 2 2 3 2 2" xfId="11381" xr:uid="{00000000-0005-0000-0000-000099A30000}"/>
    <cellStyle name="Normal 4 4 2 2 3 2 2 2" xfId="22682" xr:uid="{00000000-0005-0000-0000-00009AA30000}"/>
    <cellStyle name="Normal 4 4 2 2 3 2 2 2 2" xfId="45284" xr:uid="{00000000-0005-0000-0000-00009BA30000}"/>
    <cellStyle name="Normal 4 4 2 2 3 2 2 3" xfId="33983" xr:uid="{00000000-0005-0000-0000-00009CA30000}"/>
    <cellStyle name="Normal 4 4 2 2 3 2 3" xfId="17032" xr:uid="{00000000-0005-0000-0000-00009DA30000}"/>
    <cellStyle name="Normal 4 4 2 2 3 2 3 2" xfId="39634" xr:uid="{00000000-0005-0000-0000-00009EA30000}"/>
    <cellStyle name="Normal 4 4 2 2 3 2 4" xfId="28333" xr:uid="{00000000-0005-0000-0000-00009FA30000}"/>
    <cellStyle name="Normal 4 4 2 2 3 3" xfId="8548" xr:uid="{00000000-0005-0000-0000-0000A0A30000}"/>
    <cellStyle name="Normal 4 4 2 2 3 3 2" xfId="19849" xr:uid="{00000000-0005-0000-0000-0000A1A30000}"/>
    <cellStyle name="Normal 4 4 2 2 3 3 2 2" xfId="42451" xr:uid="{00000000-0005-0000-0000-0000A2A30000}"/>
    <cellStyle name="Normal 4 4 2 2 3 3 3" xfId="31150" xr:uid="{00000000-0005-0000-0000-0000A3A30000}"/>
    <cellStyle name="Normal 4 4 2 2 3 4" xfId="14199" xr:uid="{00000000-0005-0000-0000-0000A4A30000}"/>
    <cellStyle name="Normal 4 4 2 2 3 4 2" xfId="36801" xr:uid="{00000000-0005-0000-0000-0000A5A30000}"/>
    <cellStyle name="Normal 4 4 2 2 3 5" xfId="25500" xr:uid="{00000000-0005-0000-0000-0000A6A30000}"/>
    <cellStyle name="Normal 4 4 2 2 4" xfId="4497" xr:uid="{00000000-0005-0000-0000-0000A7A30000}"/>
    <cellStyle name="Normal 4 4 2 2 4 2" xfId="10147" xr:uid="{00000000-0005-0000-0000-0000A8A30000}"/>
    <cellStyle name="Normal 4 4 2 2 4 2 2" xfId="21448" xr:uid="{00000000-0005-0000-0000-0000A9A30000}"/>
    <cellStyle name="Normal 4 4 2 2 4 2 2 2" xfId="44050" xr:uid="{00000000-0005-0000-0000-0000AAA30000}"/>
    <cellStyle name="Normal 4 4 2 2 4 2 3" xfId="32749" xr:uid="{00000000-0005-0000-0000-0000ABA30000}"/>
    <cellStyle name="Normal 4 4 2 2 4 3" xfId="15798" xr:uid="{00000000-0005-0000-0000-0000ACA30000}"/>
    <cellStyle name="Normal 4 4 2 2 4 3 2" xfId="38400" xr:uid="{00000000-0005-0000-0000-0000ADA30000}"/>
    <cellStyle name="Normal 4 4 2 2 4 4" xfId="27099" xr:uid="{00000000-0005-0000-0000-0000AEA30000}"/>
    <cellStyle name="Normal 4 4 2 2 5" xfId="7293" xr:uid="{00000000-0005-0000-0000-0000AFA30000}"/>
    <cellStyle name="Normal 4 4 2 2 5 2" xfId="18594" xr:uid="{00000000-0005-0000-0000-0000B0A30000}"/>
    <cellStyle name="Normal 4 4 2 2 5 2 2" xfId="41196" xr:uid="{00000000-0005-0000-0000-0000B1A30000}"/>
    <cellStyle name="Normal 4 4 2 2 5 3" xfId="29895" xr:uid="{00000000-0005-0000-0000-0000B2A30000}"/>
    <cellStyle name="Normal 4 4 2 2 6" xfId="12944" xr:uid="{00000000-0005-0000-0000-0000B3A30000}"/>
    <cellStyle name="Normal 4 4 2 2 6 2" xfId="35546" xr:uid="{00000000-0005-0000-0000-0000B4A30000}"/>
    <cellStyle name="Normal 4 4 2 2 7" xfId="24245" xr:uid="{00000000-0005-0000-0000-0000B5A30000}"/>
    <cellStyle name="Normal 4 4 2 3" xfId="1012" xr:uid="{00000000-0005-0000-0000-0000B6A30000}"/>
    <cellStyle name="Normal 4 4 2 3 2" xfId="3075" xr:uid="{00000000-0005-0000-0000-0000B7A30000}"/>
    <cellStyle name="Normal 4 4 2 3 2 2" xfId="6047" xr:uid="{00000000-0005-0000-0000-0000B8A30000}"/>
    <cellStyle name="Normal 4 4 2 3 2 2 2" xfId="11697" xr:uid="{00000000-0005-0000-0000-0000B9A30000}"/>
    <cellStyle name="Normal 4 4 2 3 2 2 2 2" xfId="22998" xr:uid="{00000000-0005-0000-0000-0000BAA30000}"/>
    <cellStyle name="Normal 4 4 2 3 2 2 2 2 2" xfId="45600" xr:uid="{00000000-0005-0000-0000-0000BBA30000}"/>
    <cellStyle name="Normal 4 4 2 3 2 2 2 3" xfId="34299" xr:uid="{00000000-0005-0000-0000-0000BCA30000}"/>
    <cellStyle name="Normal 4 4 2 3 2 2 3" xfId="17348" xr:uid="{00000000-0005-0000-0000-0000BDA30000}"/>
    <cellStyle name="Normal 4 4 2 3 2 2 3 2" xfId="39950" xr:uid="{00000000-0005-0000-0000-0000BEA30000}"/>
    <cellStyle name="Normal 4 4 2 3 2 2 4" xfId="28649" xr:uid="{00000000-0005-0000-0000-0000BFA30000}"/>
    <cellStyle name="Normal 4 4 2 3 2 3" xfId="8865" xr:uid="{00000000-0005-0000-0000-0000C0A30000}"/>
    <cellStyle name="Normal 4 4 2 3 2 3 2" xfId="20166" xr:uid="{00000000-0005-0000-0000-0000C1A30000}"/>
    <cellStyle name="Normal 4 4 2 3 2 3 2 2" xfId="42768" xr:uid="{00000000-0005-0000-0000-0000C2A30000}"/>
    <cellStyle name="Normal 4 4 2 3 2 3 3" xfId="31467" xr:uid="{00000000-0005-0000-0000-0000C3A30000}"/>
    <cellStyle name="Normal 4 4 2 3 2 4" xfId="14516" xr:uid="{00000000-0005-0000-0000-0000C4A30000}"/>
    <cellStyle name="Normal 4 4 2 3 2 4 2" xfId="37118" xr:uid="{00000000-0005-0000-0000-0000C5A30000}"/>
    <cellStyle name="Normal 4 4 2 3 2 5" xfId="25817" xr:uid="{00000000-0005-0000-0000-0000C6A30000}"/>
    <cellStyle name="Normal 4 4 2 3 3" xfId="4813" xr:uid="{00000000-0005-0000-0000-0000C7A30000}"/>
    <cellStyle name="Normal 4 4 2 3 3 2" xfId="10463" xr:uid="{00000000-0005-0000-0000-0000C8A30000}"/>
    <cellStyle name="Normal 4 4 2 3 3 2 2" xfId="21764" xr:uid="{00000000-0005-0000-0000-0000C9A30000}"/>
    <cellStyle name="Normal 4 4 2 3 3 2 2 2" xfId="44366" xr:uid="{00000000-0005-0000-0000-0000CAA30000}"/>
    <cellStyle name="Normal 4 4 2 3 3 2 3" xfId="33065" xr:uid="{00000000-0005-0000-0000-0000CBA30000}"/>
    <cellStyle name="Normal 4 4 2 3 3 3" xfId="16114" xr:uid="{00000000-0005-0000-0000-0000CCA30000}"/>
    <cellStyle name="Normal 4 4 2 3 3 3 2" xfId="38716" xr:uid="{00000000-0005-0000-0000-0000CDA30000}"/>
    <cellStyle name="Normal 4 4 2 3 3 4" xfId="27415" xr:uid="{00000000-0005-0000-0000-0000CEA30000}"/>
    <cellStyle name="Normal 4 4 2 3 4" xfId="7000" xr:uid="{00000000-0005-0000-0000-0000CFA30000}"/>
    <cellStyle name="Normal 4 4 2 3 4 2" xfId="18301" xr:uid="{00000000-0005-0000-0000-0000D0A30000}"/>
    <cellStyle name="Normal 4 4 2 3 4 2 2" xfId="40903" xr:uid="{00000000-0005-0000-0000-0000D1A30000}"/>
    <cellStyle name="Normal 4 4 2 3 4 3" xfId="29602" xr:uid="{00000000-0005-0000-0000-0000D2A30000}"/>
    <cellStyle name="Normal 4 4 2 3 5" xfId="12651" xr:uid="{00000000-0005-0000-0000-0000D3A30000}"/>
    <cellStyle name="Normal 4 4 2 3 5 2" xfId="35253" xr:uid="{00000000-0005-0000-0000-0000D4A30000}"/>
    <cellStyle name="Normal 4 4 2 3 6" xfId="23952" xr:uid="{00000000-0005-0000-0000-0000D5A30000}"/>
    <cellStyle name="Normal 4 4 2 4" xfId="2049" xr:uid="{00000000-0005-0000-0000-0000D6A30000}"/>
    <cellStyle name="Normal 4 4 2 4 2" xfId="3802" xr:uid="{00000000-0005-0000-0000-0000D7A30000}"/>
    <cellStyle name="Normal 4 4 2 4 2 2" xfId="9510" xr:uid="{00000000-0005-0000-0000-0000D8A30000}"/>
    <cellStyle name="Normal 4 4 2 4 2 2 2" xfId="20811" xr:uid="{00000000-0005-0000-0000-0000D9A30000}"/>
    <cellStyle name="Normal 4 4 2 4 2 2 2 2" xfId="43413" xr:uid="{00000000-0005-0000-0000-0000DAA30000}"/>
    <cellStyle name="Normal 4 4 2 4 2 2 3" xfId="32112" xr:uid="{00000000-0005-0000-0000-0000DBA30000}"/>
    <cellStyle name="Normal 4 4 2 4 2 3" xfId="15161" xr:uid="{00000000-0005-0000-0000-0000DCA30000}"/>
    <cellStyle name="Normal 4 4 2 4 2 3 2" xfId="37763" xr:uid="{00000000-0005-0000-0000-0000DDA30000}"/>
    <cellStyle name="Normal 4 4 2 4 2 4" xfId="26462" xr:uid="{00000000-0005-0000-0000-0000DEA30000}"/>
    <cellStyle name="Normal 4 4 2 4 3" xfId="5423" xr:uid="{00000000-0005-0000-0000-0000DFA30000}"/>
    <cellStyle name="Normal 4 4 2 4 3 2" xfId="11073" xr:uid="{00000000-0005-0000-0000-0000E0A30000}"/>
    <cellStyle name="Normal 4 4 2 4 3 2 2" xfId="22374" xr:uid="{00000000-0005-0000-0000-0000E1A30000}"/>
    <cellStyle name="Normal 4 4 2 4 3 2 2 2" xfId="44976" xr:uid="{00000000-0005-0000-0000-0000E2A30000}"/>
    <cellStyle name="Normal 4 4 2 4 3 2 3" xfId="33675" xr:uid="{00000000-0005-0000-0000-0000E3A30000}"/>
    <cellStyle name="Normal 4 4 2 4 3 3" xfId="16724" xr:uid="{00000000-0005-0000-0000-0000E4A30000}"/>
    <cellStyle name="Normal 4 4 2 4 3 3 2" xfId="39326" xr:uid="{00000000-0005-0000-0000-0000E5A30000}"/>
    <cellStyle name="Normal 4 4 2 4 3 4" xfId="28025" xr:uid="{00000000-0005-0000-0000-0000E6A30000}"/>
    <cellStyle name="Normal 4 4 2 4 4" xfId="7905" xr:uid="{00000000-0005-0000-0000-0000E7A30000}"/>
    <cellStyle name="Normal 4 4 2 4 4 2" xfId="19206" xr:uid="{00000000-0005-0000-0000-0000E8A30000}"/>
    <cellStyle name="Normal 4 4 2 4 4 2 2" xfId="41808" xr:uid="{00000000-0005-0000-0000-0000E9A30000}"/>
    <cellStyle name="Normal 4 4 2 4 4 3" xfId="30507" xr:uid="{00000000-0005-0000-0000-0000EAA30000}"/>
    <cellStyle name="Normal 4 4 2 4 5" xfId="13556" xr:uid="{00000000-0005-0000-0000-0000EBA30000}"/>
    <cellStyle name="Normal 4 4 2 4 5 2" xfId="36158" xr:uid="{00000000-0005-0000-0000-0000ECA30000}"/>
    <cellStyle name="Normal 4 4 2 4 6" xfId="24857" xr:uid="{00000000-0005-0000-0000-0000EDA30000}"/>
    <cellStyle name="Normal 4 4 2 5" xfId="2404" xr:uid="{00000000-0005-0000-0000-0000EEA30000}"/>
    <cellStyle name="Normal 4 4 2 5 2" xfId="8240" xr:uid="{00000000-0005-0000-0000-0000EFA30000}"/>
    <cellStyle name="Normal 4 4 2 5 2 2" xfId="19541" xr:uid="{00000000-0005-0000-0000-0000F0A30000}"/>
    <cellStyle name="Normal 4 4 2 5 2 2 2" xfId="42143" xr:uid="{00000000-0005-0000-0000-0000F1A30000}"/>
    <cellStyle name="Normal 4 4 2 5 2 3" xfId="30842" xr:uid="{00000000-0005-0000-0000-0000F2A30000}"/>
    <cellStyle name="Normal 4 4 2 5 3" xfId="13891" xr:uid="{00000000-0005-0000-0000-0000F3A30000}"/>
    <cellStyle name="Normal 4 4 2 5 3 2" xfId="36493" xr:uid="{00000000-0005-0000-0000-0000F4A30000}"/>
    <cellStyle name="Normal 4 4 2 5 4" xfId="25192" xr:uid="{00000000-0005-0000-0000-0000F5A30000}"/>
    <cellStyle name="Normal 4 4 2 6" xfId="4189" xr:uid="{00000000-0005-0000-0000-0000F6A30000}"/>
    <cellStyle name="Normal 4 4 2 6 2" xfId="9839" xr:uid="{00000000-0005-0000-0000-0000F7A30000}"/>
    <cellStyle name="Normal 4 4 2 6 2 2" xfId="21140" xr:uid="{00000000-0005-0000-0000-0000F8A30000}"/>
    <cellStyle name="Normal 4 4 2 6 2 2 2" xfId="43742" xr:uid="{00000000-0005-0000-0000-0000F9A30000}"/>
    <cellStyle name="Normal 4 4 2 6 2 3" xfId="32441" xr:uid="{00000000-0005-0000-0000-0000FAA30000}"/>
    <cellStyle name="Normal 4 4 2 6 3" xfId="15490" xr:uid="{00000000-0005-0000-0000-0000FBA30000}"/>
    <cellStyle name="Normal 4 4 2 6 3 2" xfId="38092" xr:uid="{00000000-0005-0000-0000-0000FCA30000}"/>
    <cellStyle name="Normal 4 4 2 6 4" xfId="26791" xr:uid="{00000000-0005-0000-0000-0000FDA30000}"/>
    <cellStyle name="Normal 4 4 2 7" xfId="6669" xr:uid="{00000000-0005-0000-0000-0000FEA30000}"/>
    <cellStyle name="Normal 4 4 2 7 2" xfId="17970" xr:uid="{00000000-0005-0000-0000-0000FFA30000}"/>
    <cellStyle name="Normal 4 4 2 7 2 2" xfId="40572" xr:uid="{00000000-0005-0000-0000-000000A40000}"/>
    <cellStyle name="Normal 4 4 2 7 3" xfId="29271" xr:uid="{00000000-0005-0000-0000-000001A40000}"/>
    <cellStyle name="Normal 4 4 2 8" xfId="12320" xr:uid="{00000000-0005-0000-0000-000002A40000}"/>
    <cellStyle name="Normal 4 4 2 8 2" xfId="34922" xr:uid="{00000000-0005-0000-0000-000003A40000}"/>
    <cellStyle name="Normal 4 4 2 9" xfId="23621" xr:uid="{00000000-0005-0000-0000-000004A40000}"/>
    <cellStyle name="Normal 4 4 3" xfId="1176" xr:uid="{00000000-0005-0000-0000-000005A40000}"/>
    <cellStyle name="Normal 4 4 3 2" xfId="2051" xr:uid="{00000000-0005-0000-0000-000006A40000}"/>
    <cellStyle name="Normal 4 4 3 2 2" xfId="3244" xr:uid="{00000000-0005-0000-0000-000007A40000}"/>
    <cellStyle name="Normal 4 4 3 2 2 2" xfId="6216" xr:uid="{00000000-0005-0000-0000-000008A40000}"/>
    <cellStyle name="Normal 4 4 3 2 2 2 2" xfId="11866" xr:uid="{00000000-0005-0000-0000-000009A40000}"/>
    <cellStyle name="Normal 4 4 3 2 2 2 2 2" xfId="23167" xr:uid="{00000000-0005-0000-0000-00000AA40000}"/>
    <cellStyle name="Normal 4 4 3 2 2 2 2 2 2" xfId="45769" xr:uid="{00000000-0005-0000-0000-00000BA40000}"/>
    <cellStyle name="Normal 4 4 3 2 2 2 2 3" xfId="34468" xr:uid="{00000000-0005-0000-0000-00000CA40000}"/>
    <cellStyle name="Normal 4 4 3 2 2 2 3" xfId="17517" xr:uid="{00000000-0005-0000-0000-00000DA40000}"/>
    <cellStyle name="Normal 4 4 3 2 2 2 3 2" xfId="40119" xr:uid="{00000000-0005-0000-0000-00000EA40000}"/>
    <cellStyle name="Normal 4 4 3 2 2 2 4" xfId="28818" xr:uid="{00000000-0005-0000-0000-00000FA40000}"/>
    <cellStyle name="Normal 4 4 3 2 2 3" xfId="9034" xr:uid="{00000000-0005-0000-0000-000010A40000}"/>
    <cellStyle name="Normal 4 4 3 2 2 3 2" xfId="20335" xr:uid="{00000000-0005-0000-0000-000011A40000}"/>
    <cellStyle name="Normal 4 4 3 2 2 3 2 2" xfId="42937" xr:uid="{00000000-0005-0000-0000-000012A40000}"/>
    <cellStyle name="Normal 4 4 3 2 2 3 3" xfId="31636" xr:uid="{00000000-0005-0000-0000-000013A40000}"/>
    <cellStyle name="Normal 4 4 3 2 2 4" xfId="14685" xr:uid="{00000000-0005-0000-0000-000014A40000}"/>
    <cellStyle name="Normal 4 4 3 2 2 4 2" xfId="37287" xr:uid="{00000000-0005-0000-0000-000015A40000}"/>
    <cellStyle name="Normal 4 4 3 2 2 5" xfId="25986" xr:uid="{00000000-0005-0000-0000-000016A40000}"/>
    <cellStyle name="Normal 4 4 3 2 3" xfId="4982" xr:uid="{00000000-0005-0000-0000-000017A40000}"/>
    <cellStyle name="Normal 4 4 3 2 3 2" xfId="10632" xr:uid="{00000000-0005-0000-0000-000018A40000}"/>
    <cellStyle name="Normal 4 4 3 2 3 2 2" xfId="21933" xr:uid="{00000000-0005-0000-0000-000019A40000}"/>
    <cellStyle name="Normal 4 4 3 2 3 2 2 2" xfId="44535" xr:uid="{00000000-0005-0000-0000-00001AA40000}"/>
    <cellStyle name="Normal 4 4 3 2 3 2 3" xfId="33234" xr:uid="{00000000-0005-0000-0000-00001BA40000}"/>
    <cellStyle name="Normal 4 4 3 2 3 3" xfId="16283" xr:uid="{00000000-0005-0000-0000-00001CA40000}"/>
    <cellStyle name="Normal 4 4 3 2 3 3 2" xfId="38885" xr:uid="{00000000-0005-0000-0000-00001DA40000}"/>
    <cellStyle name="Normal 4 4 3 2 3 4" xfId="27584" xr:uid="{00000000-0005-0000-0000-00001EA40000}"/>
    <cellStyle name="Normal 4 4 3 2 4" xfId="7907" xr:uid="{00000000-0005-0000-0000-00001FA40000}"/>
    <cellStyle name="Normal 4 4 3 2 4 2" xfId="19208" xr:uid="{00000000-0005-0000-0000-000020A40000}"/>
    <cellStyle name="Normal 4 4 3 2 4 2 2" xfId="41810" xr:uid="{00000000-0005-0000-0000-000021A40000}"/>
    <cellStyle name="Normal 4 4 3 2 4 3" xfId="30509" xr:uid="{00000000-0005-0000-0000-000022A40000}"/>
    <cellStyle name="Normal 4 4 3 2 5" xfId="13558" xr:uid="{00000000-0005-0000-0000-000023A40000}"/>
    <cellStyle name="Normal 4 4 3 2 5 2" xfId="36160" xr:uid="{00000000-0005-0000-0000-000024A40000}"/>
    <cellStyle name="Normal 4 4 3 2 6" xfId="24859" xr:uid="{00000000-0005-0000-0000-000025A40000}"/>
    <cellStyle name="Normal 4 4 3 3" xfId="2573" xr:uid="{00000000-0005-0000-0000-000026A40000}"/>
    <cellStyle name="Normal 4 4 3 3 2" xfId="5592" xr:uid="{00000000-0005-0000-0000-000027A40000}"/>
    <cellStyle name="Normal 4 4 3 3 2 2" xfId="11242" xr:uid="{00000000-0005-0000-0000-000028A40000}"/>
    <cellStyle name="Normal 4 4 3 3 2 2 2" xfId="22543" xr:uid="{00000000-0005-0000-0000-000029A40000}"/>
    <cellStyle name="Normal 4 4 3 3 2 2 2 2" xfId="45145" xr:uid="{00000000-0005-0000-0000-00002AA40000}"/>
    <cellStyle name="Normal 4 4 3 3 2 2 3" xfId="33844" xr:uid="{00000000-0005-0000-0000-00002BA40000}"/>
    <cellStyle name="Normal 4 4 3 3 2 3" xfId="16893" xr:uid="{00000000-0005-0000-0000-00002CA40000}"/>
    <cellStyle name="Normal 4 4 3 3 2 3 2" xfId="39495" xr:uid="{00000000-0005-0000-0000-00002DA40000}"/>
    <cellStyle name="Normal 4 4 3 3 2 4" xfId="28194" xr:uid="{00000000-0005-0000-0000-00002EA40000}"/>
    <cellStyle name="Normal 4 4 3 3 3" xfId="8409" xr:uid="{00000000-0005-0000-0000-00002FA40000}"/>
    <cellStyle name="Normal 4 4 3 3 3 2" xfId="19710" xr:uid="{00000000-0005-0000-0000-000030A40000}"/>
    <cellStyle name="Normal 4 4 3 3 3 2 2" xfId="42312" xr:uid="{00000000-0005-0000-0000-000031A40000}"/>
    <cellStyle name="Normal 4 4 3 3 3 3" xfId="31011" xr:uid="{00000000-0005-0000-0000-000032A40000}"/>
    <cellStyle name="Normal 4 4 3 3 4" xfId="14060" xr:uid="{00000000-0005-0000-0000-000033A40000}"/>
    <cellStyle name="Normal 4 4 3 3 4 2" xfId="36662" xr:uid="{00000000-0005-0000-0000-000034A40000}"/>
    <cellStyle name="Normal 4 4 3 3 5" xfId="25361" xr:uid="{00000000-0005-0000-0000-000035A40000}"/>
    <cellStyle name="Normal 4 4 3 4" xfId="4358" xr:uid="{00000000-0005-0000-0000-000036A40000}"/>
    <cellStyle name="Normal 4 4 3 4 2" xfId="10008" xr:uid="{00000000-0005-0000-0000-000037A40000}"/>
    <cellStyle name="Normal 4 4 3 4 2 2" xfId="21309" xr:uid="{00000000-0005-0000-0000-000038A40000}"/>
    <cellStyle name="Normal 4 4 3 4 2 2 2" xfId="43911" xr:uid="{00000000-0005-0000-0000-000039A40000}"/>
    <cellStyle name="Normal 4 4 3 4 2 3" xfId="32610" xr:uid="{00000000-0005-0000-0000-00003AA40000}"/>
    <cellStyle name="Normal 4 4 3 4 3" xfId="15659" xr:uid="{00000000-0005-0000-0000-00003BA40000}"/>
    <cellStyle name="Normal 4 4 3 4 3 2" xfId="38261" xr:uid="{00000000-0005-0000-0000-00003CA40000}"/>
    <cellStyle name="Normal 4 4 3 4 4" xfId="26960" xr:uid="{00000000-0005-0000-0000-00003DA40000}"/>
    <cellStyle name="Normal 4 4 3 5" xfId="7155" xr:uid="{00000000-0005-0000-0000-00003EA40000}"/>
    <cellStyle name="Normal 4 4 3 5 2" xfId="18456" xr:uid="{00000000-0005-0000-0000-00003FA40000}"/>
    <cellStyle name="Normal 4 4 3 5 2 2" xfId="41058" xr:uid="{00000000-0005-0000-0000-000040A40000}"/>
    <cellStyle name="Normal 4 4 3 5 3" xfId="29757" xr:uid="{00000000-0005-0000-0000-000041A40000}"/>
    <cellStyle name="Normal 4 4 3 6" xfId="12806" xr:uid="{00000000-0005-0000-0000-000042A40000}"/>
    <cellStyle name="Normal 4 4 3 6 2" xfId="35408" xr:uid="{00000000-0005-0000-0000-000043A40000}"/>
    <cellStyle name="Normal 4 4 3 7" xfId="24107" xr:uid="{00000000-0005-0000-0000-000044A40000}"/>
    <cellStyle name="Normal 4 4 4" xfId="867" xr:uid="{00000000-0005-0000-0000-000045A40000}"/>
    <cellStyle name="Normal 4 4 4 2" xfId="2937" xr:uid="{00000000-0005-0000-0000-000046A40000}"/>
    <cellStyle name="Normal 4 4 4 2 2" xfId="5909" xr:uid="{00000000-0005-0000-0000-000047A40000}"/>
    <cellStyle name="Normal 4 4 4 2 2 2" xfId="11559" xr:uid="{00000000-0005-0000-0000-000048A40000}"/>
    <cellStyle name="Normal 4 4 4 2 2 2 2" xfId="22860" xr:uid="{00000000-0005-0000-0000-000049A40000}"/>
    <cellStyle name="Normal 4 4 4 2 2 2 2 2" xfId="45462" xr:uid="{00000000-0005-0000-0000-00004AA40000}"/>
    <cellStyle name="Normal 4 4 4 2 2 2 3" xfId="34161" xr:uid="{00000000-0005-0000-0000-00004BA40000}"/>
    <cellStyle name="Normal 4 4 4 2 2 3" xfId="17210" xr:uid="{00000000-0005-0000-0000-00004CA40000}"/>
    <cellStyle name="Normal 4 4 4 2 2 3 2" xfId="39812" xr:uid="{00000000-0005-0000-0000-00004DA40000}"/>
    <cellStyle name="Normal 4 4 4 2 2 4" xfId="28511" xr:uid="{00000000-0005-0000-0000-00004EA40000}"/>
    <cellStyle name="Normal 4 4 4 2 3" xfId="8727" xr:uid="{00000000-0005-0000-0000-00004FA40000}"/>
    <cellStyle name="Normal 4 4 4 2 3 2" xfId="20028" xr:uid="{00000000-0005-0000-0000-000050A40000}"/>
    <cellStyle name="Normal 4 4 4 2 3 2 2" xfId="42630" xr:uid="{00000000-0005-0000-0000-000051A40000}"/>
    <cellStyle name="Normal 4 4 4 2 3 3" xfId="31329" xr:uid="{00000000-0005-0000-0000-000052A40000}"/>
    <cellStyle name="Normal 4 4 4 2 4" xfId="14378" xr:uid="{00000000-0005-0000-0000-000053A40000}"/>
    <cellStyle name="Normal 4 4 4 2 4 2" xfId="36980" xr:uid="{00000000-0005-0000-0000-000054A40000}"/>
    <cellStyle name="Normal 4 4 4 2 5" xfId="25679" xr:uid="{00000000-0005-0000-0000-000055A40000}"/>
    <cellStyle name="Normal 4 4 4 3" xfId="4675" xr:uid="{00000000-0005-0000-0000-000056A40000}"/>
    <cellStyle name="Normal 4 4 4 3 2" xfId="10325" xr:uid="{00000000-0005-0000-0000-000057A40000}"/>
    <cellStyle name="Normal 4 4 4 3 2 2" xfId="21626" xr:uid="{00000000-0005-0000-0000-000058A40000}"/>
    <cellStyle name="Normal 4 4 4 3 2 2 2" xfId="44228" xr:uid="{00000000-0005-0000-0000-000059A40000}"/>
    <cellStyle name="Normal 4 4 4 3 2 3" xfId="32927" xr:uid="{00000000-0005-0000-0000-00005AA40000}"/>
    <cellStyle name="Normal 4 4 4 3 3" xfId="15976" xr:uid="{00000000-0005-0000-0000-00005BA40000}"/>
    <cellStyle name="Normal 4 4 4 3 3 2" xfId="38578" xr:uid="{00000000-0005-0000-0000-00005CA40000}"/>
    <cellStyle name="Normal 4 4 4 3 4" xfId="27277" xr:uid="{00000000-0005-0000-0000-00005DA40000}"/>
    <cellStyle name="Normal 4 4 4 4" xfId="6862" xr:uid="{00000000-0005-0000-0000-00005EA40000}"/>
    <cellStyle name="Normal 4 4 4 4 2" xfId="18163" xr:uid="{00000000-0005-0000-0000-00005FA40000}"/>
    <cellStyle name="Normal 4 4 4 4 2 2" xfId="40765" xr:uid="{00000000-0005-0000-0000-000060A40000}"/>
    <cellStyle name="Normal 4 4 4 4 3" xfId="29464" xr:uid="{00000000-0005-0000-0000-000061A40000}"/>
    <cellStyle name="Normal 4 4 4 5" xfId="12513" xr:uid="{00000000-0005-0000-0000-000062A40000}"/>
    <cellStyle name="Normal 4 4 4 5 2" xfId="35115" xr:uid="{00000000-0005-0000-0000-000063A40000}"/>
    <cellStyle name="Normal 4 4 4 6" xfId="23814" xr:uid="{00000000-0005-0000-0000-000064A40000}"/>
    <cellStyle name="Normal 4 4 5" xfId="2048" xr:uid="{00000000-0005-0000-0000-000065A40000}"/>
    <cellStyle name="Normal 4 4 5 2" xfId="3801" xr:uid="{00000000-0005-0000-0000-000066A40000}"/>
    <cellStyle name="Normal 4 4 5 2 2" xfId="9509" xr:uid="{00000000-0005-0000-0000-000067A40000}"/>
    <cellStyle name="Normal 4 4 5 2 2 2" xfId="20810" xr:uid="{00000000-0005-0000-0000-000068A40000}"/>
    <cellStyle name="Normal 4 4 5 2 2 2 2" xfId="43412" xr:uid="{00000000-0005-0000-0000-000069A40000}"/>
    <cellStyle name="Normal 4 4 5 2 2 3" xfId="32111" xr:uid="{00000000-0005-0000-0000-00006AA40000}"/>
    <cellStyle name="Normal 4 4 5 2 3" xfId="15160" xr:uid="{00000000-0005-0000-0000-00006BA40000}"/>
    <cellStyle name="Normal 4 4 5 2 3 2" xfId="37762" xr:uid="{00000000-0005-0000-0000-00006CA40000}"/>
    <cellStyle name="Normal 4 4 5 2 4" xfId="26461" xr:uid="{00000000-0005-0000-0000-00006DA40000}"/>
    <cellStyle name="Normal 4 4 5 3" xfId="5285" xr:uid="{00000000-0005-0000-0000-00006EA40000}"/>
    <cellStyle name="Normal 4 4 5 3 2" xfId="10935" xr:uid="{00000000-0005-0000-0000-00006FA40000}"/>
    <cellStyle name="Normal 4 4 5 3 2 2" xfId="22236" xr:uid="{00000000-0005-0000-0000-000070A40000}"/>
    <cellStyle name="Normal 4 4 5 3 2 2 2" xfId="44838" xr:uid="{00000000-0005-0000-0000-000071A40000}"/>
    <cellStyle name="Normal 4 4 5 3 2 3" xfId="33537" xr:uid="{00000000-0005-0000-0000-000072A40000}"/>
    <cellStyle name="Normal 4 4 5 3 3" xfId="16586" xr:uid="{00000000-0005-0000-0000-000073A40000}"/>
    <cellStyle name="Normal 4 4 5 3 3 2" xfId="39188" xr:uid="{00000000-0005-0000-0000-000074A40000}"/>
    <cellStyle name="Normal 4 4 5 3 4" xfId="27887" xr:uid="{00000000-0005-0000-0000-000075A40000}"/>
    <cellStyle name="Normal 4 4 5 4" xfId="7904" xr:uid="{00000000-0005-0000-0000-000076A40000}"/>
    <cellStyle name="Normal 4 4 5 4 2" xfId="19205" xr:uid="{00000000-0005-0000-0000-000077A40000}"/>
    <cellStyle name="Normal 4 4 5 4 2 2" xfId="41807" xr:uid="{00000000-0005-0000-0000-000078A40000}"/>
    <cellStyle name="Normal 4 4 5 4 3" xfId="30506" xr:uid="{00000000-0005-0000-0000-000079A40000}"/>
    <cellStyle name="Normal 4 4 5 5" xfId="13555" xr:uid="{00000000-0005-0000-0000-00007AA40000}"/>
    <cellStyle name="Normal 4 4 5 5 2" xfId="36157" xr:uid="{00000000-0005-0000-0000-00007BA40000}"/>
    <cellStyle name="Normal 4 4 5 6" xfId="24856" xr:uid="{00000000-0005-0000-0000-00007CA40000}"/>
    <cellStyle name="Normal 4 4 6" xfId="2264" xr:uid="{00000000-0005-0000-0000-00007DA40000}"/>
    <cellStyle name="Normal 4 4 6 2" xfId="8100" xr:uid="{00000000-0005-0000-0000-00007EA40000}"/>
    <cellStyle name="Normal 4 4 6 2 2" xfId="19401" xr:uid="{00000000-0005-0000-0000-00007FA40000}"/>
    <cellStyle name="Normal 4 4 6 2 2 2" xfId="42003" xr:uid="{00000000-0005-0000-0000-000080A40000}"/>
    <cellStyle name="Normal 4 4 6 2 3" xfId="30702" xr:uid="{00000000-0005-0000-0000-000081A40000}"/>
    <cellStyle name="Normal 4 4 6 3" xfId="13751" xr:uid="{00000000-0005-0000-0000-000082A40000}"/>
    <cellStyle name="Normal 4 4 6 3 2" xfId="36353" xr:uid="{00000000-0005-0000-0000-000083A40000}"/>
    <cellStyle name="Normal 4 4 6 4" xfId="25052" xr:uid="{00000000-0005-0000-0000-000084A40000}"/>
    <cellStyle name="Normal 4 4 7" xfId="4051" xr:uid="{00000000-0005-0000-0000-000085A40000}"/>
    <cellStyle name="Normal 4 4 7 2" xfId="9701" xr:uid="{00000000-0005-0000-0000-000086A40000}"/>
    <cellStyle name="Normal 4 4 7 2 2" xfId="21002" xr:uid="{00000000-0005-0000-0000-000087A40000}"/>
    <cellStyle name="Normal 4 4 7 2 2 2" xfId="43604" xr:uid="{00000000-0005-0000-0000-000088A40000}"/>
    <cellStyle name="Normal 4 4 7 2 3" xfId="32303" xr:uid="{00000000-0005-0000-0000-000089A40000}"/>
    <cellStyle name="Normal 4 4 7 3" xfId="15352" xr:uid="{00000000-0005-0000-0000-00008AA40000}"/>
    <cellStyle name="Normal 4 4 7 3 2" xfId="37954" xr:uid="{00000000-0005-0000-0000-00008BA40000}"/>
    <cellStyle name="Normal 4 4 7 4" xfId="26653" xr:uid="{00000000-0005-0000-0000-00008CA40000}"/>
    <cellStyle name="Normal 4 4 8" xfId="6502" xr:uid="{00000000-0005-0000-0000-00008DA40000}"/>
    <cellStyle name="Normal 4 4 8 2" xfId="17803" xr:uid="{00000000-0005-0000-0000-00008EA40000}"/>
    <cellStyle name="Normal 4 4 8 2 2" xfId="40405" xr:uid="{00000000-0005-0000-0000-00008FA40000}"/>
    <cellStyle name="Normal 4 4 8 3" xfId="29104" xr:uid="{00000000-0005-0000-0000-000090A40000}"/>
    <cellStyle name="Normal 4 4 9" xfId="12153" xr:uid="{00000000-0005-0000-0000-000091A40000}"/>
    <cellStyle name="Normal 4 4 9 2" xfId="34755" xr:uid="{00000000-0005-0000-0000-000092A40000}"/>
    <cellStyle name="Normal 4 5" xfId="506" xr:uid="{00000000-0005-0000-0000-000093A40000}"/>
    <cellStyle name="Normal 4 5 2" xfId="1080" xr:uid="{00000000-0005-0000-0000-000094A40000}"/>
    <cellStyle name="Normal 4 5 2 2" xfId="2053" xr:uid="{00000000-0005-0000-0000-000095A40000}"/>
    <cellStyle name="Normal 4 5 2 2 2" xfId="3148" xr:uid="{00000000-0005-0000-0000-000096A40000}"/>
    <cellStyle name="Normal 4 5 2 2 2 2" xfId="6120" xr:uid="{00000000-0005-0000-0000-000097A40000}"/>
    <cellStyle name="Normal 4 5 2 2 2 2 2" xfId="11770" xr:uid="{00000000-0005-0000-0000-000098A40000}"/>
    <cellStyle name="Normal 4 5 2 2 2 2 2 2" xfId="23071" xr:uid="{00000000-0005-0000-0000-000099A40000}"/>
    <cellStyle name="Normal 4 5 2 2 2 2 2 2 2" xfId="45673" xr:uid="{00000000-0005-0000-0000-00009AA40000}"/>
    <cellStyle name="Normal 4 5 2 2 2 2 2 3" xfId="34372" xr:uid="{00000000-0005-0000-0000-00009BA40000}"/>
    <cellStyle name="Normal 4 5 2 2 2 2 3" xfId="17421" xr:uid="{00000000-0005-0000-0000-00009CA40000}"/>
    <cellStyle name="Normal 4 5 2 2 2 2 3 2" xfId="40023" xr:uid="{00000000-0005-0000-0000-00009DA40000}"/>
    <cellStyle name="Normal 4 5 2 2 2 2 4" xfId="28722" xr:uid="{00000000-0005-0000-0000-00009EA40000}"/>
    <cellStyle name="Normal 4 5 2 2 2 3" xfId="8938" xr:uid="{00000000-0005-0000-0000-00009FA40000}"/>
    <cellStyle name="Normal 4 5 2 2 2 3 2" xfId="20239" xr:uid="{00000000-0005-0000-0000-0000A0A40000}"/>
    <cellStyle name="Normal 4 5 2 2 2 3 2 2" xfId="42841" xr:uid="{00000000-0005-0000-0000-0000A1A40000}"/>
    <cellStyle name="Normal 4 5 2 2 2 3 3" xfId="31540" xr:uid="{00000000-0005-0000-0000-0000A2A40000}"/>
    <cellStyle name="Normal 4 5 2 2 2 4" xfId="14589" xr:uid="{00000000-0005-0000-0000-0000A3A40000}"/>
    <cellStyle name="Normal 4 5 2 2 2 4 2" xfId="37191" xr:uid="{00000000-0005-0000-0000-0000A4A40000}"/>
    <cellStyle name="Normal 4 5 2 2 2 5" xfId="25890" xr:uid="{00000000-0005-0000-0000-0000A5A40000}"/>
    <cellStyle name="Normal 4 5 2 2 3" xfId="4886" xr:uid="{00000000-0005-0000-0000-0000A6A40000}"/>
    <cellStyle name="Normal 4 5 2 2 3 2" xfId="10536" xr:uid="{00000000-0005-0000-0000-0000A7A40000}"/>
    <cellStyle name="Normal 4 5 2 2 3 2 2" xfId="21837" xr:uid="{00000000-0005-0000-0000-0000A8A40000}"/>
    <cellStyle name="Normal 4 5 2 2 3 2 2 2" xfId="44439" xr:uid="{00000000-0005-0000-0000-0000A9A40000}"/>
    <cellStyle name="Normal 4 5 2 2 3 2 3" xfId="33138" xr:uid="{00000000-0005-0000-0000-0000AAA40000}"/>
    <cellStyle name="Normal 4 5 2 2 3 3" xfId="16187" xr:uid="{00000000-0005-0000-0000-0000ABA40000}"/>
    <cellStyle name="Normal 4 5 2 2 3 3 2" xfId="38789" xr:uid="{00000000-0005-0000-0000-0000ACA40000}"/>
    <cellStyle name="Normal 4 5 2 2 3 4" xfId="27488" xr:uid="{00000000-0005-0000-0000-0000ADA40000}"/>
    <cellStyle name="Normal 4 5 2 2 4" xfId="7909" xr:uid="{00000000-0005-0000-0000-0000AEA40000}"/>
    <cellStyle name="Normal 4 5 2 2 4 2" xfId="19210" xr:uid="{00000000-0005-0000-0000-0000AFA40000}"/>
    <cellStyle name="Normal 4 5 2 2 4 2 2" xfId="41812" xr:uid="{00000000-0005-0000-0000-0000B0A40000}"/>
    <cellStyle name="Normal 4 5 2 2 4 3" xfId="30511" xr:uid="{00000000-0005-0000-0000-0000B1A40000}"/>
    <cellStyle name="Normal 4 5 2 2 5" xfId="13560" xr:uid="{00000000-0005-0000-0000-0000B2A40000}"/>
    <cellStyle name="Normal 4 5 2 2 5 2" xfId="36162" xr:uid="{00000000-0005-0000-0000-0000B3A40000}"/>
    <cellStyle name="Normal 4 5 2 2 6" xfId="24861" xr:uid="{00000000-0005-0000-0000-0000B4A40000}"/>
    <cellStyle name="Normal 4 5 2 3" xfId="2477" xr:uid="{00000000-0005-0000-0000-0000B5A40000}"/>
    <cellStyle name="Normal 4 5 2 3 2" xfId="5496" xr:uid="{00000000-0005-0000-0000-0000B6A40000}"/>
    <cellStyle name="Normal 4 5 2 3 2 2" xfId="11146" xr:uid="{00000000-0005-0000-0000-0000B7A40000}"/>
    <cellStyle name="Normal 4 5 2 3 2 2 2" xfId="22447" xr:uid="{00000000-0005-0000-0000-0000B8A40000}"/>
    <cellStyle name="Normal 4 5 2 3 2 2 2 2" xfId="45049" xr:uid="{00000000-0005-0000-0000-0000B9A40000}"/>
    <cellStyle name="Normal 4 5 2 3 2 2 3" xfId="33748" xr:uid="{00000000-0005-0000-0000-0000BAA40000}"/>
    <cellStyle name="Normal 4 5 2 3 2 3" xfId="16797" xr:uid="{00000000-0005-0000-0000-0000BBA40000}"/>
    <cellStyle name="Normal 4 5 2 3 2 3 2" xfId="39399" xr:uid="{00000000-0005-0000-0000-0000BCA40000}"/>
    <cellStyle name="Normal 4 5 2 3 2 4" xfId="28098" xr:uid="{00000000-0005-0000-0000-0000BDA40000}"/>
    <cellStyle name="Normal 4 5 2 3 3" xfId="8313" xr:uid="{00000000-0005-0000-0000-0000BEA40000}"/>
    <cellStyle name="Normal 4 5 2 3 3 2" xfId="19614" xr:uid="{00000000-0005-0000-0000-0000BFA40000}"/>
    <cellStyle name="Normal 4 5 2 3 3 2 2" xfId="42216" xr:uid="{00000000-0005-0000-0000-0000C0A40000}"/>
    <cellStyle name="Normal 4 5 2 3 3 3" xfId="30915" xr:uid="{00000000-0005-0000-0000-0000C1A40000}"/>
    <cellStyle name="Normal 4 5 2 3 4" xfId="13964" xr:uid="{00000000-0005-0000-0000-0000C2A40000}"/>
    <cellStyle name="Normal 4 5 2 3 4 2" xfId="36566" xr:uid="{00000000-0005-0000-0000-0000C3A40000}"/>
    <cellStyle name="Normal 4 5 2 3 5" xfId="25265" xr:uid="{00000000-0005-0000-0000-0000C4A40000}"/>
    <cellStyle name="Normal 4 5 2 4" xfId="4262" xr:uid="{00000000-0005-0000-0000-0000C5A40000}"/>
    <cellStyle name="Normal 4 5 2 4 2" xfId="9912" xr:uid="{00000000-0005-0000-0000-0000C6A40000}"/>
    <cellStyle name="Normal 4 5 2 4 2 2" xfId="21213" xr:uid="{00000000-0005-0000-0000-0000C7A40000}"/>
    <cellStyle name="Normal 4 5 2 4 2 2 2" xfId="43815" xr:uid="{00000000-0005-0000-0000-0000C8A40000}"/>
    <cellStyle name="Normal 4 5 2 4 2 3" xfId="32514" xr:uid="{00000000-0005-0000-0000-0000C9A40000}"/>
    <cellStyle name="Normal 4 5 2 4 3" xfId="15563" xr:uid="{00000000-0005-0000-0000-0000CAA40000}"/>
    <cellStyle name="Normal 4 5 2 4 3 2" xfId="38165" xr:uid="{00000000-0005-0000-0000-0000CBA40000}"/>
    <cellStyle name="Normal 4 5 2 4 4" xfId="26864" xr:uid="{00000000-0005-0000-0000-0000CCA40000}"/>
    <cellStyle name="Normal 4 5 2 5" xfId="7059" xr:uid="{00000000-0005-0000-0000-0000CDA40000}"/>
    <cellStyle name="Normal 4 5 2 5 2" xfId="18360" xr:uid="{00000000-0005-0000-0000-0000CEA40000}"/>
    <cellStyle name="Normal 4 5 2 5 2 2" xfId="40962" xr:uid="{00000000-0005-0000-0000-0000CFA40000}"/>
    <cellStyle name="Normal 4 5 2 5 3" xfId="29661" xr:uid="{00000000-0005-0000-0000-0000D0A40000}"/>
    <cellStyle name="Normal 4 5 2 6" xfId="12710" xr:uid="{00000000-0005-0000-0000-0000D1A40000}"/>
    <cellStyle name="Normal 4 5 2 6 2" xfId="35312" xr:uid="{00000000-0005-0000-0000-0000D2A40000}"/>
    <cellStyle name="Normal 4 5 2 7" xfId="24011" xr:uid="{00000000-0005-0000-0000-0000D3A40000}"/>
    <cellStyle name="Normal 4 5 3" xfId="754" xr:uid="{00000000-0005-0000-0000-0000D4A40000}"/>
    <cellStyle name="Normal 4 5 3 2" xfId="2841" xr:uid="{00000000-0005-0000-0000-0000D5A40000}"/>
    <cellStyle name="Normal 4 5 3 2 2" xfId="5813" xr:uid="{00000000-0005-0000-0000-0000D6A40000}"/>
    <cellStyle name="Normal 4 5 3 2 2 2" xfId="11463" xr:uid="{00000000-0005-0000-0000-0000D7A40000}"/>
    <cellStyle name="Normal 4 5 3 2 2 2 2" xfId="22764" xr:uid="{00000000-0005-0000-0000-0000D8A40000}"/>
    <cellStyle name="Normal 4 5 3 2 2 2 2 2" xfId="45366" xr:uid="{00000000-0005-0000-0000-0000D9A40000}"/>
    <cellStyle name="Normal 4 5 3 2 2 2 3" xfId="34065" xr:uid="{00000000-0005-0000-0000-0000DAA40000}"/>
    <cellStyle name="Normal 4 5 3 2 2 3" xfId="17114" xr:uid="{00000000-0005-0000-0000-0000DBA40000}"/>
    <cellStyle name="Normal 4 5 3 2 2 3 2" xfId="39716" xr:uid="{00000000-0005-0000-0000-0000DCA40000}"/>
    <cellStyle name="Normal 4 5 3 2 2 4" xfId="28415" xr:uid="{00000000-0005-0000-0000-0000DDA40000}"/>
    <cellStyle name="Normal 4 5 3 2 3" xfId="8631" xr:uid="{00000000-0005-0000-0000-0000DEA40000}"/>
    <cellStyle name="Normal 4 5 3 2 3 2" xfId="19932" xr:uid="{00000000-0005-0000-0000-0000DFA40000}"/>
    <cellStyle name="Normal 4 5 3 2 3 2 2" xfId="42534" xr:uid="{00000000-0005-0000-0000-0000E0A40000}"/>
    <cellStyle name="Normal 4 5 3 2 3 3" xfId="31233" xr:uid="{00000000-0005-0000-0000-0000E1A40000}"/>
    <cellStyle name="Normal 4 5 3 2 4" xfId="14282" xr:uid="{00000000-0005-0000-0000-0000E2A40000}"/>
    <cellStyle name="Normal 4 5 3 2 4 2" xfId="36884" xr:uid="{00000000-0005-0000-0000-0000E3A40000}"/>
    <cellStyle name="Normal 4 5 3 2 5" xfId="25583" xr:uid="{00000000-0005-0000-0000-0000E4A40000}"/>
    <cellStyle name="Normal 4 5 3 3" xfId="4579" xr:uid="{00000000-0005-0000-0000-0000E5A40000}"/>
    <cellStyle name="Normal 4 5 3 3 2" xfId="10229" xr:uid="{00000000-0005-0000-0000-0000E6A40000}"/>
    <cellStyle name="Normal 4 5 3 3 2 2" xfId="21530" xr:uid="{00000000-0005-0000-0000-0000E7A40000}"/>
    <cellStyle name="Normal 4 5 3 3 2 2 2" xfId="44132" xr:uid="{00000000-0005-0000-0000-0000E8A40000}"/>
    <cellStyle name="Normal 4 5 3 3 2 3" xfId="32831" xr:uid="{00000000-0005-0000-0000-0000E9A40000}"/>
    <cellStyle name="Normal 4 5 3 3 3" xfId="15880" xr:uid="{00000000-0005-0000-0000-0000EAA40000}"/>
    <cellStyle name="Normal 4 5 3 3 3 2" xfId="38482" xr:uid="{00000000-0005-0000-0000-0000EBA40000}"/>
    <cellStyle name="Normal 4 5 3 3 4" xfId="27181" xr:uid="{00000000-0005-0000-0000-0000ECA40000}"/>
    <cellStyle name="Normal 4 5 3 4" xfId="6762" xr:uid="{00000000-0005-0000-0000-0000EDA40000}"/>
    <cellStyle name="Normal 4 5 3 4 2" xfId="18063" xr:uid="{00000000-0005-0000-0000-0000EEA40000}"/>
    <cellStyle name="Normal 4 5 3 4 2 2" xfId="40665" xr:uid="{00000000-0005-0000-0000-0000EFA40000}"/>
    <cellStyle name="Normal 4 5 3 4 3" xfId="29364" xr:uid="{00000000-0005-0000-0000-0000F0A40000}"/>
    <cellStyle name="Normal 4 5 3 5" xfId="12413" xr:uid="{00000000-0005-0000-0000-0000F1A40000}"/>
    <cellStyle name="Normal 4 5 3 5 2" xfId="35015" xr:uid="{00000000-0005-0000-0000-0000F2A40000}"/>
    <cellStyle name="Normal 4 5 3 6" xfId="23714" xr:uid="{00000000-0005-0000-0000-0000F3A40000}"/>
    <cellStyle name="Normal 4 5 4" xfId="2052" xr:uid="{00000000-0005-0000-0000-0000F4A40000}"/>
    <cellStyle name="Normal 4 5 4 2" xfId="3803" xr:uid="{00000000-0005-0000-0000-0000F5A40000}"/>
    <cellStyle name="Normal 4 5 4 2 2" xfId="9511" xr:uid="{00000000-0005-0000-0000-0000F6A40000}"/>
    <cellStyle name="Normal 4 5 4 2 2 2" xfId="20812" xr:uid="{00000000-0005-0000-0000-0000F7A40000}"/>
    <cellStyle name="Normal 4 5 4 2 2 2 2" xfId="43414" xr:uid="{00000000-0005-0000-0000-0000F8A40000}"/>
    <cellStyle name="Normal 4 5 4 2 2 3" xfId="32113" xr:uid="{00000000-0005-0000-0000-0000F9A40000}"/>
    <cellStyle name="Normal 4 5 4 2 3" xfId="15162" xr:uid="{00000000-0005-0000-0000-0000FAA40000}"/>
    <cellStyle name="Normal 4 5 4 2 3 2" xfId="37764" xr:uid="{00000000-0005-0000-0000-0000FBA40000}"/>
    <cellStyle name="Normal 4 5 4 2 4" xfId="26463" xr:uid="{00000000-0005-0000-0000-0000FCA40000}"/>
    <cellStyle name="Normal 4 5 4 3" xfId="5189" xr:uid="{00000000-0005-0000-0000-0000FDA40000}"/>
    <cellStyle name="Normal 4 5 4 3 2" xfId="10839" xr:uid="{00000000-0005-0000-0000-0000FEA40000}"/>
    <cellStyle name="Normal 4 5 4 3 2 2" xfId="22140" xr:uid="{00000000-0005-0000-0000-0000FFA40000}"/>
    <cellStyle name="Normal 4 5 4 3 2 2 2" xfId="44742" xr:uid="{00000000-0005-0000-0000-000000A50000}"/>
    <cellStyle name="Normal 4 5 4 3 2 3" xfId="33441" xr:uid="{00000000-0005-0000-0000-000001A50000}"/>
    <cellStyle name="Normal 4 5 4 3 3" xfId="16490" xr:uid="{00000000-0005-0000-0000-000002A50000}"/>
    <cellStyle name="Normal 4 5 4 3 3 2" xfId="39092" xr:uid="{00000000-0005-0000-0000-000003A50000}"/>
    <cellStyle name="Normal 4 5 4 3 4" xfId="27791" xr:uid="{00000000-0005-0000-0000-000004A50000}"/>
    <cellStyle name="Normal 4 5 4 4" xfId="7908" xr:uid="{00000000-0005-0000-0000-000005A50000}"/>
    <cellStyle name="Normal 4 5 4 4 2" xfId="19209" xr:uid="{00000000-0005-0000-0000-000006A50000}"/>
    <cellStyle name="Normal 4 5 4 4 2 2" xfId="41811" xr:uid="{00000000-0005-0000-0000-000007A50000}"/>
    <cellStyle name="Normal 4 5 4 4 3" xfId="30510" xr:uid="{00000000-0005-0000-0000-000008A50000}"/>
    <cellStyle name="Normal 4 5 4 5" xfId="13559" xr:uid="{00000000-0005-0000-0000-000009A50000}"/>
    <cellStyle name="Normal 4 5 4 5 2" xfId="36161" xr:uid="{00000000-0005-0000-0000-00000AA50000}"/>
    <cellStyle name="Normal 4 5 4 6" xfId="24860" xr:uid="{00000000-0005-0000-0000-00000BA50000}"/>
    <cellStyle name="Normal 4 5 5" xfId="2161" xr:uid="{00000000-0005-0000-0000-00000CA50000}"/>
    <cellStyle name="Normal 4 5 5 2" xfId="8003" xr:uid="{00000000-0005-0000-0000-00000DA50000}"/>
    <cellStyle name="Normal 4 5 5 2 2" xfId="19304" xr:uid="{00000000-0005-0000-0000-00000EA50000}"/>
    <cellStyle name="Normal 4 5 5 2 2 2" xfId="41906" xr:uid="{00000000-0005-0000-0000-00000FA50000}"/>
    <cellStyle name="Normal 4 5 5 2 3" xfId="30605" xr:uid="{00000000-0005-0000-0000-000010A50000}"/>
    <cellStyle name="Normal 4 5 5 3" xfId="13654" xr:uid="{00000000-0005-0000-0000-000011A50000}"/>
    <cellStyle name="Normal 4 5 5 3 2" xfId="36256" xr:uid="{00000000-0005-0000-0000-000012A50000}"/>
    <cellStyle name="Normal 4 5 5 4" xfId="24955" xr:uid="{00000000-0005-0000-0000-000013A50000}"/>
    <cellStyle name="Normal 4 5 6" xfId="3955" xr:uid="{00000000-0005-0000-0000-000014A50000}"/>
    <cellStyle name="Normal 4 5 6 2" xfId="9605" xr:uid="{00000000-0005-0000-0000-000015A50000}"/>
    <cellStyle name="Normal 4 5 6 2 2" xfId="20906" xr:uid="{00000000-0005-0000-0000-000016A50000}"/>
    <cellStyle name="Normal 4 5 6 2 2 2" xfId="43508" xr:uid="{00000000-0005-0000-0000-000017A50000}"/>
    <cellStyle name="Normal 4 5 6 2 3" xfId="32207" xr:uid="{00000000-0005-0000-0000-000018A50000}"/>
    <cellStyle name="Normal 4 5 6 3" xfId="15256" xr:uid="{00000000-0005-0000-0000-000019A50000}"/>
    <cellStyle name="Normal 4 5 6 3 2" xfId="37858" xr:uid="{00000000-0005-0000-0000-00001AA50000}"/>
    <cellStyle name="Normal 4 5 6 4" xfId="26557" xr:uid="{00000000-0005-0000-0000-00001BA50000}"/>
    <cellStyle name="Normal 4 5 7" xfId="6573" xr:uid="{00000000-0005-0000-0000-00001CA50000}"/>
    <cellStyle name="Normal 4 5 7 2" xfId="17874" xr:uid="{00000000-0005-0000-0000-00001DA50000}"/>
    <cellStyle name="Normal 4 5 7 2 2" xfId="40476" xr:uid="{00000000-0005-0000-0000-00001EA50000}"/>
    <cellStyle name="Normal 4 5 7 3" xfId="29175" xr:uid="{00000000-0005-0000-0000-00001FA50000}"/>
    <cellStyle name="Normal 4 5 8" xfId="12224" xr:uid="{00000000-0005-0000-0000-000020A50000}"/>
    <cellStyle name="Normal 4 5 8 2" xfId="34826" xr:uid="{00000000-0005-0000-0000-000021A50000}"/>
    <cellStyle name="Normal 4 5 9" xfId="23525" xr:uid="{00000000-0005-0000-0000-000022A50000}"/>
    <cellStyle name="Normal 4 6" xfId="174" xr:uid="{00000000-0005-0000-0000-000023A50000}"/>
    <cellStyle name="Normal 4 6 2" xfId="12057" xr:uid="{00000000-0005-0000-0000-000024A50000}"/>
    <cellStyle name="Normal 4 6 2 2" xfId="34659" xr:uid="{00000000-0005-0000-0000-000025A50000}"/>
    <cellStyle name="Normal 4 6 3" xfId="23358" xr:uid="{00000000-0005-0000-0000-000026A50000}"/>
    <cellStyle name="Normal 4 7" xfId="6406" xr:uid="{00000000-0005-0000-0000-000027A50000}"/>
    <cellStyle name="Normal 4 7 2" xfId="17707" xr:uid="{00000000-0005-0000-0000-000028A50000}"/>
    <cellStyle name="Normal 4 7 2 2" xfId="40309" xr:uid="{00000000-0005-0000-0000-000029A50000}"/>
    <cellStyle name="Normal 4 7 3" xfId="29008" xr:uid="{00000000-0005-0000-0000-00002AA50000}"/>
    <cellStyle name="Normal 5" xfId="39" xr:uid="{00000000-0005-0000-0000-00002BA50000}"/>
    <cellStyle name="Normal 5 10" xfId="3912" xr:uid="{00000000-0005-0000-0000-00002CA50000}"/>
    <cellStyle name="Normal 5 10 2" xfId="9562" xr:uid="{00000000-0005-0000-0000-00002DA50000}"/>
    <cellStyle name="Normal 5 10 2 2" xfId="20863" xr:uid="{00000000-0005-0000-0000-00002EA50000}"/>
    <cellStyle name="Normal 5 10 2 2 2" xfId="43465" xr:uid="{00000000-0005-0000-0000-00002FA50000}"/>
    <cellStyle name="Normal 5 10 2 3" xfId="32164" xr:uid="{00000000-0005-0000-0000-000030A50000}"/>
    <cellStyle name="Normal 5 10 3" xfId="15213" xr:uid="{00000000-0005-0000-0000-000031A50000}"/>
    <cellStyle name="Normal 5 10 3 2" xfId="37815" xr:uid="{00000000-0005-0000-0000-000032A50000}"/>
    <cellStyle name="Normal 5 10 4" xfId="26514" xr:uid="{00000000-0005-0000-0000-000033A50000}"/>
    <cellStyle name="Normal 5 11" xfId="202" xr:uid="{00000000-0005-0000-0000-000034A50000}"/>
    <cellStyle name="Normal 5 2" xfId="446" xr:uid="{00000000-0005-0000-0000-000035A50000}"/>
    <cellStyle name="Normal 5 2 10" xfId="23495" xr:uid="{00000000-0005-0000-0000-000036A50000}"/>
    <cellStyle name="Normal 5 2 2" xfId="633" xr:uid="{00000000-0005-0000-0000-000037A50000}"/>
    <cellStyle name="Normal 5 2 2 2" xfId="1217" xr:uid="{00000000-0005-0000-0000-000038A50000}"/>
    <cellStyle name="Normal 5 2 2 2 2" xfId="2057" xr:uid="{00000000-0005-0000-0000-000039A50000}"/>
    <cellStyle name="Normal 5 2 2 2 2 2" xfId="3286" xr:uid="{00000000-0005-0000-0000-00003AA50000}"/>
    <cellStyle name="Normal 5 2 2 2 2 2 2" xfId="6258" xr:uid="{00000000-0005-0000-0000-00003BA50000}"/>
    <cellStyle name="Normal 5 2 2 2 2 2 2 2" xfId="11908" xr:uid="{00000000-0005-0000-0000-00003CA50000}"/>
    <cellStyle name="Normal 5 2 2 2 2 2 2 2 2" xfId="23209" xr:uid="{00000000-0005-0000-0000-00003DA50000}"/>
    <cellStyle name="Normal 5 2 2 2 2 2 2 2 2 2" xfId="45811" xr:uid="{00000000-0005-0000-0000-00003EA50000}"/>
    <cellStyle name="Normal 5 2 2 2 2 2 2 2 3" xfId="34510" xr:uid="{00000000-0005-0000-0000-00003FA50000}"/>
    <cellStyle name="Normal 5 2 2 2 2 2 2 3" xfId="17559" xr:uid="{00000000-0005-0000-0000-000040A50000}"/>
    <cellStyle name="Normal 5 2 2 2 2 2 2 3 2" xfId="40161" xr:uid="{00000000-0005-0000-0000-000041A50000}"/>
    <cellStyle name="Normal 5 2 2 2 2 2 2 4" xfId="28860" xr:uid="{00000000-0005-0000-0000-000042A50000}"/>
    <cellStyle name="Normal 5 2 2 2 2 2 3" xfId="9076" xr:uid="{00000000-0005-0000-0000-000043A50000}"/>
    <cellStyle name="Normal 5 2 2 2 2 2 3 2" xfId="20377" xr:uid="{00000000-0005-0000-0000-000044A50000}"/>
    <cellStyle name="Normal 5 2 2 2 2 2 3 2 2" xfId="42979" xr:uid="{00000000-0005-0000-0000-000045A50000}"/>
    <cellStyle name="Normal 5 2 2 2 2 2 3 3" xfId="31678" xr:uid="{00000000-0005-0000-0000-000046A50000}"/>
    <cellStyle name="Normal 5 2 2 2 2 2 4" xfId="14727" xr:uid="{00000000-0005-0000-0000-000047A50000}"/>
    <cellStyle name="Normal 5 2 2 2 2 2 4 2" xfId="37329" xr:uid="{00000000-0005-0000-0000-000048A50000}"/>
    <cellStyle name="Normal 5 2 2 2 2 2 5" xfId="26028" xr:uid="{00000000-0005-0000-0000-000049A50000}"/>
    <cellStyle name="Normal 5 2 2 2 2 3" xfId="5024" xr:uid="{00000000-0005-0000-0000-00004AA50000}"/>
    <cellStyle name="Normal 5 2 2 2 2 3 2" xfId="10674" xr:uid="{00000000-0005-0000-0000-00004BA50000}"/>
    <cellStyle name="Normal 5 2 2 2 2 3 2 2" xfId="21975" xr:uid="{00000000-0005-0000-0000-00004CA50000}"/>
    <cellStyle name="Normal 5 2 2 2 2 3 2 2 2" xfId="44577" xr:uid="{00000000-0005-0000-0000-00004DA50000}"/>
    <cellStyle name="Normal 5 2 2 2 2 3 2 3" xfId="33276" xr:uid="{00000000-0005-0000-0000-00004EA50000}"/>
    <cellStyle name="Normal 5 2 2 2 2 3 3" xfId="16325" xr:uid="{00000000-0005-0000-0000-00004FA50000}"/>
    <cellStyle name="Normal 5 2 2 2 2 3 3 2" xfId="38927" xr:uid="{00000000-0005-0000-0000-000050A50000}"/>
    <cellStyle name="Normal 5 2 2 2 2 3 4" xfId="27626" xr:uid="{00000000-0005-0000-0000-000051A50000}"/>
    <cellStyle name="Normal 5 2 2 2 2 4" xfId="7913" xr:uid="{00000000-0005-0000-0000-000052A50000}"/>
    <cellStyle name="Normal 5 2 2 2 2 4 2" xfId="19214" xr:uid="{00000000-0005-0000-0000-000053A50000}"/>
    <cellStyle name="Normal 5 2 2 2 2 4 2 2" xfId="41816" xr:uid="{00000000-0005-0000-0000-000054A50000}"/>
    <cellStyle name="Normal 5 2 2 2 2 4 3" xfId="30515" xr:uid="{00000000-0005-0000-0000-000055A50000}"/>
    <cellStyle name="Normal 5 2 2 2 2 5" xfId="13564" xr:uid="{00000000-0005-0000-0000-000056A50000}"/>
    <cellStyle name="Normal 5 2 2 2 2 5 2" xfId="36166" xr:uid="{00000000-0005-0000-0000-000057A50000}"/>
    <cellStyle name="Normal 5 2 2 2 2 6" xfId="24865" xr:uid="{00000000-0005-0000-0000-000058A50000}"/>
    <cellStyle name="Normal 5 2 2 2 3" xfId="2615" xr:uid="{00000000-0005-0000-0000-000059A50000}"/>
    <cellStyle name="Normal 5 2 2 2 3 2" xfId="5634" xr:uid="{00000000-0005-0000-0000-00005AA50000}"/>
    <cellStyle name="Normal 5 2 2 2 3 2 2" xfId="11284" xr:uid="{00000000-0005-0000-0000-00005BA50000}"/>
    <cellStyle name="Normal 5 2 2 2 3 2 2 2" xfId="22585" xr:uid="{00000000-0005-0000-0000-00005CA50000}"/>
    <cellStyle name="Normal 5 2 2 2 3 2 2 2 2" xfId="45187" xr:uid="{00000000-0005-0000-0000-00005DA50000}"/>
    <cellStyle name="Normal 5 2 2 2 3 2 2 3" xfId="33886" xr:uid="{00000000-0005-0000-0000-00005EA50000}"/>
    <cellStyle name="Normal 5 2 2 2 3 2 3" xfId="16935" xr:uid="{00000000-0005-0000-0000-00005FA50000}"/>
    <cellStyle name="Normal 5 2 2 2 3 2 3 2" xfId="39537" xr:uid="{00000000-0005-0000-0000-000060A50000}"/>
    <cellStyle name="Normal 5 2 2 2 3 2 4" xfId="28236" xr:uid="{00000000-0005-0000-0000-000061A50000}"/>
    <cellStyle name="Normal 5 2 2 2 3 3" xfId="8451" xr:uid="{00000000-0005-0000-0000-000062A50000}"/>
    <cellStyle name="Normal 5 2 2 2 3 3 2" xfId="19752" xr:uid="{00000000-0005-0000-0000-000063A50000}"/>
    <cellStyle name="Normal 5 2 2 2 3 3 2 2" xfId="42354" xr:uid="{00000000-0005-0000-0000-000064A50000}"/>
    <cellStyle name="Normal 5 2 2 2 3 3 3" xfId="31053" xr:uid="{00000000-0005-0000-0000-000065A50000}"/>
    <cellStyle name="Normal 5 2 2 2 3 4" xfId="14102" xr:uid="{00000000-0005-0000-0000-000066A50000}"/>
    <cellStyle name="Normal 5 2 2 2 3 4 2" xfId="36704" xr:uid="{00000000-0005-0000-0000-000067A50000}"/>
    <cellStyle name="Normal 5 2 2 2 3 5" xfId="25403" xr:uid="{00000000-0005-0000-0000-000068A50000}"/>
    <cellStyle name="Normal 5 2 2 2 4" xfId="4400" xr:uid="{00000000-0005-0000-0000-000069A50000}"/>
    <cellStyle name="Normal 5 2 2 2 4 2" xfId="10050" xr:uid="{00000000-0005-0000-0000-00006AA50000}"/>
    <cellStyle name="Normal 5 2 2 2 4 2 2" xfId="21351" xr:uid="{00000000-0005-0000-0000-00006BA50000}"/>
    <cellStyle name="Normal 5 2 2 2 4 2 2 2" xfId="43953" xr:uid="{00000000-0005-0000-0000-00006CA50000}"/>
    <cellStyle name="Normal 5 2 2 2 4 2 3" xfId="32652" xr:uid="{00000000-0005-0000-0000-00006DA50000}"/>
    <cellStyle name="Normal 5 2 2 2 4 3" xfId="15701" xr:uid="{00000000-0005-0000-0000-00006EA50000}"/>
    <cellStyle name="Normal 5 2 2 2 4 3 2" xfId="38303" xr:uid="{00000000-0005-0000-0000-00006FA50000}"/>
    <cellStyle name="Normal 5 2 2 2 4 4" xfId="27002" xr:uid="{00000000-0005-0000-0000-000070A50000}"/>
    <cellStyle name="Normal 5 2 2 2 5" xfId="7196" xr:uid="{00000000-0005-0000-0000-000071A50000}"/>
    <cellStyle name="Normal 5 2 2 2 5 2" xfId="18497" xr:uid="{00000000-0005-0000-0000-000072A50000}"/>
    <cellStyle name="Normal 5 2 2 2 5 2 2" xfId="41099" xr:uid="{00000000-0005-0000-0000-000073A50000}"/>
    <cellStyle name="Normal 5 2 2 2 5 3" xfId="29798" xr:uid="{00000000-0005-0000-0000-000074A50000}"/>
    <cellStyle name="Normal 5 2 2 2 6" xfId="12847" xr:uid="{00000000-0005-0000-0000-000075A50000}"/>
    <cellStyle name="Normal 5 2 2 2 6 2" xfId="35449" xr:uid="{00000000-0005-0000-0000-000076A50000}"/>
    <cellStyle name="Normal 5 2 2 2 7" xfId="24148" xr:uid="{00000000-0005-0000-0000-000077A50000}"/>
    <cellStyle name="Normal 5 2 2 3" xfId="914" xr:uid="{00000000-0005-0000-0000-000078A50000}"/>
    <cellStyle name="Normal 5 2 2 3 2" xfId="2978" xr:uid="{00000000-0005-0000-0000-000079A50000}"/>
    <cellStyle name="Normal 5 2 2 3 2 2" xfId="5950" xr:uid="{00000000-0005-0000-0000-00007AA50000}"/>
    <cellStyle name="Normal 5 2 2 3 2 2 2" xfId="11600" xr:uid="{00000000-0005-0000-0000-00007BA50000}"/>
    <cellStyle name="Normal 5 2 2 3 2 2 2 2" xfId="22901" xr:uid="{00000000-0005-0000-0000-00007CA50000}"/>
    <cellStyle name="Normal 5 2 2 3 2 2 2 2 2" xfId="45503" xr:uid="{00000000-0005-0000-0000-00007DA50000}"/>
    <cellStyle name="Normal 5 2 2 3 2 2 2 3" xfId="34202" xr:uid="{00000000-0005-0000-0000-00007EA50000}"/>
    <cellStyle name="Normal 5 2 2 3 2 2 3" xfId="17251" xr:uid="{00000000-0005-0000-0000-00007FA50000}"/>
    <cellStyle name="Normal 5 2 2 3 2 2 3 2" xfId="39853" xr:uid="{00000000-0005-0000-0000-000080A50000}"/>
    <cellStyle name="Normal 5 2 2 3 2 2 4" xfId="28552" xr:uid="{00000000-0005-0000-0000-000081A50000}"/>
    <cellStyle name="Normal 5 2 2 3 2 3" xfId="8768" xr:uid="{00000000-0005-0000-0000-000082A50000}"/>
    <cellStyle name="Normal 5 2 2 3 2 3 2" xfId="20069" xr:uid="{00000000-0005-0000-0000-000083A50000}"/>
    <cellStyle name="Normal 5 2 2 3 2 3 2 2" xfId="42671" xr:uid="{00000000-0005-0000-0000-000084A50000}"/>
    <cellStyle name="Normal 5 2 2 3 2 3 3" xfId="31370" xr:uid="{00000000-0005-0000-0000-000085A50000}"/>
    <cellStyle name="Normal 5 2 2 3 2 4" xfId="14419" xr:uid="{00000000-0005-0000-0000-000086A50000}"/>
    <cellStyle name="Normal 5 2 2 3 2 4 2" xfId="37021" xr:uid="{00000000-0005-0000-0000-000087A50000}"/>
    <cellStyle name="Normal 5 2 2 3 2 5" xfId="25720" xr:uid="{00000000-0005-0000-0000-000088A50000}"/>
    <cellStyle name="Normal 5 2 2 3 3" xfId="4716" xr:uid="{00000000-0005-0000-0000-000089A50000}"/>
    <cellStyle name="Normal 5 2 2 3 3 2" xfId="10366" xr:uid="{00000000-0005-0000-0000-00008AA50000}"/>
    <cellStyle name="Normal 5 2 2 3 3 2 2" xfId="21667" xr:uid="{00000000-0005-0000-0000-00008BA50000}"/>
    <cellStyle name="Normal 5 2 2 3 3 2 2 2" xfId="44269" xr:uid="{00000000-0005-0000-0000-00008CA50000}"/>
    <cellStyle name="Normal 5 2 2 3 3 2 3" xfId="32968" xr:uid="{00000000-0005-0000-0000-00008DA50000}"/>
    <cellStyle name="Normal 5 2 2 3 3 3" xfId="16017" xr:uid="{00000000-0005-0000-0000-00008EA50000}"/>
    <cellStyle name="Normal 5 2 2 3 3 3 2" xfId="38619" xr:uid="{00000000-0005-0000-0000-00008FA50000}"/>
    <cellStyle name="Normal 5 2 2 3 3 4" xfId="27318" xr:uid="{00000000-0005-0000-0000-000090A50000}"/>
    <cellStyle name="Normal 5 2 2 3 4" xfId="6903" xr:uid="{00000000-0005-0000-0000-000091A50000}"/>
    <cellStyle name="Normal 5 2 2 3 4 2" xfId="18204" xr:uid="{00000000-0005-0000-0000-000092A50000}"/>
    <cellStyle name="Normal 5 2 2 3 4 2 2" xfId="40806" xr:uid="{00000000-0005-0000-0000-000093A50000}"/>
    <cellStyle name="Normal 5 2 2 3 4 3" xfId="29505" xr:uid="{00000000-0005-0000-0000-000094A50000}"/>
    <cellStyle name="Normal 5 2 2 3 5" xfId="12554" xr:uid="{00000000-0005-0000-0000-000095A50000}"/>
    <cellStyle name="Normal 5 2 2 3 5 2" xfId="35156" xr:uid="{00000000-0005-0000-0000-000096A50000}"/>
    <cellStyle name="Normal 5 2 2 3 6" xfId="23855" xr:uid="{00000000-0005-0000-0000-000097A50000}"/>
    <cellStyle name="Normal 5 2 2 4" xfId="2056" xr:uid="{00000000-0005-0000-0000-000098A50000}"/>
    <cellStyle name="Normal 5 2 2 4 2" xfId="3806" xr:uid="{00000000-0005-0000-0000-000099A50000}"/>
    <cellStyle name="Normal 5 2 2 4 2 2" xfId="9514" xr:uid="{00000000-0005-0000-0000-00009AA50000}"/>
    <cellStyle name="Normal 5 2 2 4 2 2 2" xfId="20815" xr:uid="{00000000-0005-0000-0000-00009BA50000}"/>
    <cellStyle name="Normal 5 2 2 4 2 2 2 2" xfId="43417" xr:uid="{00000000-0005-0000-0000-00009CA50000}"/>
    <cellStyle name="Normal 5 2 2 4 2 2 3" xfId="32116" xr:uid="{00000000-0005-0000-0000-00009DA50000}"/>
    <cellStyle name="Normal 5 2 2 4 2 3" xfId="15165" xr:uid="{00000000-0005-0000-0000-00009EA50000}"/>
    <cellStyle name="Normal 5 2 2 4 2 3 2" xfId="37767" xr:uid="{00000000-0005-0000-0000-00009FA50000}"/>
    <cellStyle name="Normal 5 2 2 4 2 4" xfId="26466" xr:uid="{00000000-0005-0000-0000-0000A0A50000}"/>
    <cellStyle name="Normal 5 2 2 4 3" xfId="5326" xr:uid="{00000000-0005-0000-0000-0000A1A50000}"/>
    <cellStyle name="Normal 5 2 2 4 3 2" xfId="10976" xr:uid="{00000000-0005-0000-0000-0000A2A50000}"/>
    <cellStyle name="Normal 5 2 2 4 3 2 2" xfId="22277" xr:uid="{00000000-0005-0000-0000-0000A3A50000}"/>
    <cellStyle name="Normal 5 2 2 4 3 2 2 2" xfId="44879" xr:uid="{00000000-0005-0000-0000-0000A4A50000}"/>
    <cellStyle name="Normal 5 2 2 4 3 2 3" xfId="33578" xr:uid="{00000000-0005-0000-0000-0000A5A50000}"/>
    <cellStyle name="Normal 5 2 2 4 3 3" xfId="16627" xr:uid="{00000000-0005-0000-0000-0000A6A50000}"/>
    <cellStyle name="Normal 5 2 2 4 3 3 2" xfId="39229" xr:uid="{00000000-0005-0000-0000-0000A7A50000}"/>
    <cellStyle name="Normal 5 2 2 4 3 4" xfId="27928" xr:uid="{00000000-0005-0000-0000-0000A8A50000}"/>
    <cellStyle name="Normal 5 2 2 4 4" xfId="7912" xr:uid="{00000000-0005-0000-0000-0000A9A50000}"/>
    <cellStyle name="Normal 5 2 2 4 4 2" xfId="19213" xr:uid="{00000000-0005-0000-0000-0000AAA50000}"/>
    <cellStyle name="Normal 5 2 2 4 4 2 2" xfId="41815" xr:uid="{00000000-0005-0000-0000-0000ABA50000}"/>
    <cellStyle name="Normal 5 2 2 4 4 3" xfId="30514" xr:uid="{00000000-0005-0000-0000-0000ACA50000}"/>
    <cellStyle name="Normal 5 2 2 4 5" xfId="13563" xr:uid="{00000000-0005-0000-0000-0000ADA50000}"/>
    <cellStyle name="Normal 5 2 2 4 5 2" xfId="36165" xr:uid="{00000000-0005-0000-0000-0000AEA50000}"/>
    <cellStyle name="Normal 5 2 2 4 6" xfId="24864" xr:uid="{00000000-0005-0000-0000-0000AFA50000}"/>
    <cellStyle name="Normal 5 2 2 5" xfId="2307" xr:uid="{00000000-0005-0000-0000-0000B0A50000}"/>
    <cellStyle name="Normal 5 2 2 5 2" xfId="8143" xr:uid="{00000000-0005-0000-0000-0000B1A50000}"/>
    <cellStyle name="Normal 5 2 2 5 2 2" xfId="19444" xr:uid="{00000000-0005-0000-0000-0000B2A50000}"/>
    <cellStyle name="Normal 5 2 2 5 2 2 2" xfId="42046" xr:uid="{00000000-0005-0000-0000-0000B3A50000}"/>
    <cellStyle name="Normal 5 2 2 5 2 3" xfId="30745" xr:uid="{00000000-0005-0000-0000-0000B4A50000}"/>
    <cellStyle name="Normal 5 2 2 5 3" xfId="13794" xr:uid="{00000000-0005-0000-0000-0000B5A50000}"/>
    <cellStyle name="Normal 5 2 2 5 3 2" xfId="36396" xr:uid="{00000000-0005-0000-0000-0000B6A50000}"/>
    <cellStyle name="Normal 5 2 2 5 4" xfId="25095" xr:uid="{00000000-0005-0000-0000-0000B7A50000}"/>
    <cellStyle name="Normal 5 2 2 6" xfId="4092" xr:uid="{00000000-0005-0000-0000-0000B8A50000}"/>
    <cellStyle name="Normal 5 2 2 6 2" xfId="9742" xr:uid="{00000000-0005-0000-0000-0000B9A50000}"/>
    <cellStyle name="Normal 5 2 2 6 2 2" xfId="21043" xr:uid="{00000000-0005-0000-0000-0000BAA50000}"/>
    <cellStyle name="Normal 5 2 2 6 2 2 2" xfId="43645" xr:uid="{00000000-0005-0000-0000-0000BBA50000}"/>
    <cellStyle name="Normal 5 2 2 6 2 3" xfId="32344" xr:uid="{00000000-0005-0000-0000-0000BCA50000}"/>
    <cellStyle name="Normal 5 2 2 6 3" xfId="15393" xr:uid="{00000000-0005-0000-0000-0000BDA50000}"/>
    <cellStyle name="Normal 5 2 2 6 3 2" xfId="37995" xr:uid="{00000000-0005-0000-0000-0000BEA50000}"/>
    <cellStyle name="Normal 5 2 2 6 4" xfId="26694" xr:uid="{00000000-0005-0000-0000-0000BFA50000}"/>
    <cellStyle name="Normal 5 2 2 7" xfId="6697" xr:uid="{00000000-0005-0000-0000-0000C0A50000}"/>
    <cellStyle name="Normal 5 2 2 7 2" xfId="17998" xr:uid="{00000000-0005-0000-0000-0000C1A50000}"/>
    <cellStyle name="Normal 5 2 2 7 2 2" xfId="40600" xr:uid="{00000000-0005-0000-0000-0000C2A50000}"/>
    <cellStyle name="Normal 5 2 2 7 3" xfId="29299" xr:uid="{00000000-0005-0000-0000-0000C3A50000}"/>
    <cellStyle name="Normal 5 2 2 8" xfId="12348" xr:uid="{00000000-0005-0000-0000-0000C4A50000}"/>
    <cellStyle name="Normal 5 2 2 8 2" xfId="34950" xr:uid="{00000000-0005-0000-0000-0000C5A50000}"/>
    <cellStyle name="Normal 5 2 2 9" xfId="23649" xr:uid="{00000000-0005-0000-0000-0000C6A50000}"/>
    <cellStyle name="Normal 5 2 3" xfId="1051" xr:uid="{00000000-0005-0000-0000-0000C7A50000}"/>
    <cellStyle name="Normal 5 2 3 2" xfId="2058" xr:uid="{00000000-0005-0000-0000-0000C8A50000}"/>
    <cellStyle name="Normal 5 2 3 2 2" xfId="3118" xr:uid="{00000000-0005-0000-0000-0000C9A50000}"/>
    <cellStyle name="Normal 5 2 3 2 2 2" xfId="6090" xr:uid="{00000000-0005-0000-0000-0000CAA50000}"/>
    <cellStyle name="Normal 5 2 3 2 2 2 2" xfId="11740" xr:uid="{00000000-0005-0000-0000-0000CBA50000}"/>
    <cellStyle name="Normal 5 2 3 2 2 2 2 2" xfId="23041" xr:uid="{00000000-0005-0000-0000-0000CCA50000}"/>
    <cellStyle name="Normal 5 2 3 2 2 2 2 2 2" xfId="45643" xr:uid="{00000000-0005-0000-0000-0000CDA50000}"/>
    <cellStyle name="Normal 5 2 3 2 2 2 2 3" xfId="34342" xr:uid="{00000000-0005-0000-0000-0000CEA50000}"/>
    <cellStyle name="Normal 5 2 3 2 2 2 3" xfId="17391" xr:uid="{00000000-0005-0000-0000-0000CFA50000}"/>
    <cellStyle name="Normal 5 2 3 2 2 2 3 2" xfId="39993" xr:uid="{00000000-0005-0000-0000-0000D0A50000}"/>
    <cellStyle name="Normal 5 2 3 2 2 2 4" xfId="28692" xr:uid="{00000000-0005-0000-0000-0000D1A50000}"/>
    <cellStyle name="Normal 5 2 3 2 2 3" xfId="8908" xr:uid="{00000000-0005-0000-0000-0000D2A50000}"/>
    <cellStyle name="Normal 5 2 3 2 2 3 2" xfId="20209" xr:uid="{00000000-0005-0000-0000-0000D3A50000}"/>
    <cellStyle name="Normal 5 2 3 2 2 3 2 2" xfId="42811" xr:uid="{00000000-0005-0000-0000-0000D4A50000}"/>
    <cellStyle name="Normal 5 2 3 2 2 3 3" xfId="31510" xr:uid="{00000000-0005-0000-0000-0000D5A50000}"/>
    <cellStyle name="Normal 5 2 3 2 2 4" xfId="14559" xr:uid="{00000000-0005-0000-0000-0000D6A50000}"/>
    <cellStyle name="Normal 5 2 3 2 2 4 2" xfId="37161" xr:uid="{00000000-0005-0000-0000-0000D7A50000}"/>
    <cellStyle name="Normal 5 2 3 2 2 5" xfId="25860" xr:uid="{00000000-0005-0000-0000-0000D8A50000}"/>
    <cellStyle name="Normal 5 2 3 2 3" xfId="4856" xr:uid="{00000000-0005-0000-0000-0000D9A50000}"/>
    <cellStyle name="Normal 5 2 3 2 3 2" xfId="10506" xr:uid="{00000000-0005-0000-0000-0000DAA50000}"/>
    <cellStyle name="Normal 5 2 3 2 3 2 2" xfId="21807" xr:uid="{00000000-0005-0000-0000-0000DBA50000}"/>
    <cellStyle name="Normal 5 2 3 2 3 2 2 2" xfId="44409" xr:uid="{00000000-0005-0000-0000-0000DCA50000}"/>
    <cellStyle name="Normal 5 2 3 2 3 2 3" xfId="33108" xr:uid="{00000000-0005-0000-0000-0000DDA50000}"/>
    <cellStyle name="Normal 5 2 3 2 3 3" xfId="16157" xr:uid="{00000000-0005-0000-0000-0000DEA50000}"/>
    <cellStyle name="Normal 5 2 3 2 3 3 2" xfId="38759" xr:uid="{00000000-0005-0000-0000-0000DFA50000}"/>
    <cellStyle name="Normal 5 2 3 2 3 4" xfId="27458" xr:uid="{00000000-0005-0000-0000-0000E0A50000}"/>
    <cellStyle name="Normal 5 2 3 2 4" xfId="7914" xr:uid="{00000000-0005-0000-0000-0000E1A50000}"/>
    <cellStyle name="Normal 5 2 3 2 4 2" xfId="19215" xr:uid="{00000000-0005-0000-0000-0000E2A50000}"/>
    <cellStyle name="Normal 5 2 3 2 4 2 2" xfId="41817" xr:uid="{00000000-0005-0000-0000-0000E3A50000}"/>
    <cellStyle name="Normal 5 2 3 2 4 3" xfId="30516" xr:uid="{00000000-0005-0000-0000-0000E4A50000}"/>
    <cellStyle name="Normal 5 2 3 2 5" xfId="13565" xr:uid="{00000000-0005-0000-0000-0000E5A50000}"/>
    <cellStyle name="Normal 5 2 3 2 5 2" xfId="36167" xr:uid="{00000000-0005-0000-0000-0000E6A50000}"/>
    <cellStyle name="Normal 5 2 3 2 6" xfId="24866" xr:uid="{00000000-0005-0000-0000-0000E7A50000}"/>
    <cellStyle name="Normal 5 2 3 3" xfId="2447" xr:uid="{00000000-0005-0000-0000-0000E8A50000}"/>
    <cellStyle name="Normal 5 2 3 3 2" xfId="5466" xr:uid="{00000000-0005-0000-0000-0000E9A50000}"/>
    <cellStyle name="Normal 5 2 3 3 2 2" xfId="11116" xr:uid="{00000000-0005-0000-0000-0000EAA50000}"/>
    <cellStyle name="Normal 5 2 3 3 2 2 2" xfId="22417" xr:uid="{00000000-0005-0000-0000-0000EBA50000}"/>
    <cellStyle name="Normal 5 2 3 3 2 2 2 2" xfId="45019" xr:uid="{00000000-0005-0000-0000-0000ECA50000}"/>
    <cellStyle name="Normal 5 2 3 3 2 2 3" xfId="33718" xr:uid="{00000000-0005-0000-0000-0000EDA50000}"/>
    <cellStyle name="Normal 5 2 3 3 2 3" xfId="16767" xr:uid="{00000000-0005-0000-0000-0000EEA50000}"/>
    <cellStyle name="Normal 5 2 3 3 2 3 2" xfId="39369" xr:uid="{00000000-0005-0000-0000-0000EFA50000}"/>
    <cellStyle name="Normal 5 2 3 3 2 4" xfId="28068" xr:uid="{00000000-0005-0000-0000-0000F0A50000}"/>
    <cellStyle name="Normal 5 2 3 3 3" xfId="8283" xr:uid="{00000000-0005-0000-0000-0000F1A50000}"/>
    <cellStyle name="Normal 5 2 3 3 3 2" xfId="19584" xr:uid="{00000000-0005-0000-0000-0000F2A50000}"/>
    <cellStyle name="Normal 5 2 3 3 3 2 2" xfId="42186" xr:uid="{00000000-0005-0000-0000-0000F3A50000}"/>
    <cellStyle name="Normal 5 2 3 3 3 3" xfId="30885" xr:uid="{00000000-0005-0000-0000-0000F4A50000}"/>
    <cellStyle name="Normal 5 2 3 3 4" xfId="13934" xr:uid="{00000000-0005-0000-0000-0000F5A50000}"/>
    <cellStyle name="Normal 5 2 3 3 4 2" xfId="36536" xr:uid="{00000000-0005-0000-0000-0000F6A50000}"/>
    <cellStyle name="Normal 5 2 3 3 5" xfId="25235" xr:uid="{00000000-0005-0000-0000-0000F7A50000}"/>
    <cellStyle name="Normal 5 2 3 4" xfId="4232" xr:uid="{00000000-0005-0000-0000-0000F8A50000}"/>
    <cellStyle name="Normal 5 2 3 4 2" xfId="9882" xr:uid="{00000000-0005-0000-0000-0000F9A50000}"/>
    <cellStyle name="Normal 5 2 3 4 2 2" xfId="21183" xr:uid="{00000000-0005-0000-0000-0000FAA50000}"/>
    <cellStyle name="Normal 5 2 3 4 2 2 2" xfId="43785" xr:uid="{00000000-0005-0000-0000-0000FBA50000}"/>
    <cellStyle name="Normal 5 2 3 4 2 3" xfId="32484" xr:uid="{00000000-0005-0000-0000-0000FCA50000}"/>
    <cellStyle name="Normal 5 2 3 4 3" xfId="15533" xr:uid="{00000000-0005-0000-0000-0000FDA50000}"/>
    <cellStyle name="Normal 5 2 3 4 3 2" xfId="38135" xr:uid="{00000000-0005-0000-0000-0000FEA50000}"/>
    <cellStyle name="Normal 5 2 3 4 4" xfId="26834" xr:uid="{00000000-0005-0000-0000-0000FFA50000}"/>
    <cellStyle name="Normal 5 2 3 5" xfId="7030" xr:uid="{00000000-0005-0000-0000-000000A60000}"/>
    <cellStyle name="Normal 5 2 3 5 2" xfId="18331" xr:uid="{00000000-0005-0000-0000-000001A60000}"/>
    <cellStyle name="Normal 5 2 3 5 2 2" xfId="40933" xr:uid="{00000000-0005-0000-0000-000002A60000}"/>
    <cellStyle name="Normal 5 2 3 5 3" xfId="29632" xr:uid="{00000000-0005-0000-0000-000003A60000}"/>
    <cellStyle name="Normal 5 2 3 6" xfId="12681" xr:uid="{00000000-0005-0000-0000-000004A60000}"/>
    <cellStyle name="Normal 5 2 3 6 2" xfId="35283" xr:uid="{00000000-0005-0000-0000-000005A60000}"/>
    <cellStyle name="Normal 5 2 3 7" xfId="23982" xr:uid="{00000000-0005-0000-0000-000006A60000}"/>
    <cellStyle name="Normal 5 2 4" xfId="714" xr:uid="{00000000-0005-0000-0000-000007A60000}"/>
    <cellStyle name="Normal 5 2 4 2" xfId="2811" xr:uid="{00000000-0005-0000-0000-000008A60000}"/>
    <cellStyle name="Normal 5 2 4 2 2" xfId="5783" xr:uid="{00000000-0005-0000-0000-000009A60000}"/>
    <cellStyle name="Normal 5 2 4 2 2 2" xfId="11433" xr:uid="{00000000-0005-0000-0000-00000AA60000}"/>
    <cellStyle name="Normal 5 2 4 2 2 2 2" xfId="22734" xr:uid="{00000000-0005-0000-0000-00000BA60000}"/>
    <cellStyle name="Normal 5 2 4 2 2 2 2 2" xfId="45336" xr:uid="{00000000-0005-0000-0000-00000CA60000}"/>
    <cellStyle name="Normal 5 2 4 2 2 2 3" xfId="34035" xr:uid="{00000000-0005-0000-0000-00000DA60000}"/>
    <cellStyle name="Normal 5 2 4 2 2 3" xfId="17084" xr:uid="{00000000-0005-0000-0000-00000EA60000}"/>
    <cellStyle name="Normal 5 2 4 2 2 3 2" xfId="39686" xr:uid="{00000000-0005-0000-0000-00000FA60000}"/>
    <cellStyle name="Normal 5 2 4 2 2 4" xfId="28385" xr:uid="{00000000-0005-0000-0000-000010A60000}"/>
    <cellStyle name="Normal 5 2 4 2 3" xfId="8601" xr:uid="{00000000-0005-0000-0000-000011A60000}"/>
    <cellStyle name="Normal 5 2 4 2 3 2" xfId="19902" xr:uid="{00000000-0005-0000-0000-000012A60000}"/>
    <cellStyle name="Normal 5 2 4 2 3 2 2" xfId="42504" xr:uid="{00000000-0005-0000-0000-000013A60000}"/>
    <cellStyle name="Normal 5 2 4 2 3 3" xfId="31203" xr:uid="{00000000-0005-0000-0000-000014A60000}"/>
    <cellStyle name="Normal 5 2 4 2 4" xfId="14252" xr:uid="{00000000-0005-0000-0000-000015A60000}"/>
    <cellStyle name="Normal 5 2 4 2 4 2" xfId="36854" xr:uid="{00000000-0005-0000-0000-000016A60000}"/>
    <cellStyle name="Normal 5 2 4 2 5" xfId="25553" xr:uid="{00000000-0005-0000-0000-000017A60000}"/>
    <cellStyle name="Normal 5 2 4 3" xfId="4549" xr:uid="{00000000-0005-0000-0000-000018A60000}"/>
    <cellStyle name="Normal 5 2 4 3 2" xfId="10199" xr:uid="{00000000-0005-0000-0000-000019A60000}"/>
    <cellStyle name="Normal 5 2 4 3 2 2" xfId="21500" xr:uid="{00000000-0005-0000-0000-00001AA60000}"/>
    <cellStyle name="Normal 5 2 4 3 2 2 2" xfId="44102" xr:uid="{00000000-0005-0000-0000-00001BA60000}"/>
    <cellStyle name="Normal 5 2 4 3 2 3" xfId="32801" xr:uid="{00000000-0005-0000-0000-00001CA60000}"/>
    <cellStyle name="Normal 5 2 4 3 3" xfId="15850" xr:uid="{00000000-0005-0000-0000-00001DA60000}"/>
    <cellStyle name="Normal 5 2 4 3 3 2" xfId="38452" xr:uid="{00000000-0005-0000-0000-00001EA60000}"/>
    <cellStyle name="Normal 5 2 4 3 4" xfId="27151" xr:uid="{00000000-0005-0000-0000-00001FA60000}"/>
    <cellStyle name="Normal 5 2 4 4" xfId="6732" xr:uid="{00000000-0005-0000-0000-000020A60000}"/>
    <cellStyle name="Normal 5 2 4 4 2" xfId="18033" xr:uid="{00000000-0005-0000-0000-000021A60000}"/>
    <cellStyle name="Normal 5 2 4 4 2 2" xfId="40635" xr:uid="{00000000-0005-0000-0000-000022A60000}"/>
    <cellStyle name="Normal 5 2 4 4 3" xfId="29334" xr:uid="{00000000-0005-0000-0000-000023A60000}"/>
    <cellStyle name="Normal 5 2 4 5" xfId="12383" xr:uid="{00000000-0005-0000-0000-000024A60000}"/>
    <cellStyle name="Normal 5 2 4 5 2" xfId="34985" xr:uid="{00000000-0005-0000-0000-000025A60000}"/>
    <cellStyle name="Normal 5 2 4 6" xfId="23684" xr:uid="{00000000-0005-0000-0000-000026A60000}"/>
    <cellStyle name="Normal 5 2 5" xfId="2055" xr:uid="{00000000-0005-0000-0000-000027A60000}"/>
    <cellStyle name="Normal 5 2 5 2" xfId="3805" xr:uid="{00000000-0005-0000-0000-000028A60000}"/>
    <cellStyle name="Normal 5 2 5 2 2" xfId="9513" xr:uid="{00000000-0005-0000-0000-000029A60000}"/>
    <cellStyle name="Normal 5 2 5 2 2 2" xfId="20814" xr:uid="{00000000-0005-0000-0000-00002AA60000}"/>
    <cellStyle name="Normal 5 2 5 2 2 2 2" xfId="43416" xr:uid="{00000000-0005-0000-0000-00002BA60000}"/>
    <cellStyle name="Normal 5 2 5 2 2 3" xfId="32115" xr:uid="{00000000-0005-0000-0000-00002CA60000}"/>
    <cellStyle name="Normal 5 2 5 2 3" xfId="15164" xr:uid="{00000000-0005-0000-0000-00002DA60000}"/>
    <cellStyle name="Normal 5 2 5 2 3 2" xfId="37766" xr:uid="{00000000-0005-0000-0000-00002EA60000}"/>
    <cellStyle name="Normal 5 2 5 2 4" xfId="26465" xr:uid="{00000000-0005-0000-0000-00002FA60000}"/>
    <cellStyle name="Normal 5 2 5 3" xfId="5159" xr:uid="{00000000-0005-0000-0000-000030A60000}"/>
    <cellStyle name="Normal 5 2 5 3 2" xfId="10809" xr:uid="{00000000-0005-0000-0000-000031A60000}"/>
    <cellStyle name="Normal 5 2 5 3 2 2" xfId="22110" xr:uid="{00000000-0005-0000-0000-000032A60000}"/>
    <cellStyle name="Normal 5 2 5 3 2 2 2" xfId="44712" xr:uid="{00000000-0005-0000-0000-000033A60000}"/>
    <cellStyle name="Normal 5 2 5 3 2 3" xfId="33411" xr:uid="{00000000-0005-0000-0000-000034A60000}"/>
    <cellStyle name="Normal 5 2 5 3 3" xfId="16460" xr:uid="{00000000-0005-0000-0000-000035A60000}"/>
    <cellStyle name="Normal 5 2 5 3 3 2" xfId="39062" xr:uid="{00000000-0005-0000-0000-000036A60000}"/>
    <cellStyle name="Normal 5 2 5 3 4" xfId="27761" xr:uid="{00000000-0005-0000-0000-000037A60000}"/>
    <cellStyle name="Normal 5 2 5 4" xfId="7911" xr:uid="{00000000-0005-0000-0000-000038A60000}"/>
    <cellStyle name="Normal 5 2 5 4 2" xfId="19212" xr:uid="{00000000-0005-0000-0000-000039A60000}"/>
    <cellStyle name="Normal 5 2 5 4 2 2" xfId="41814" xr:uid="{00000000-0005-0000-0000-00003AA60000}"/>
    <cellStyle name="Normal 5 2 5 4 3" xfId="30513" xr:uid="{00000000-0005-0000-0000-00003BA60000}"/>
    <cellStyle name="Normal 5 2 5 5" xfId="13562" xr:uid="{00000000-0005-0000-0000-00003CA60000}"/>
    <cellStyle name="Normal 5 2 5 5 2" xfId="36164" xr:uid="{00000000-0005-0000-0000-00003DA60000}"/>
    <cellStyle name="Normal 5 2 5 6" xfId="24863" xr:uid="{00000000-0005-0000-0000-00003EA60000}"/>
    <cellStyle name="Normal 5 2 6" xfId="2129" xr:uid="{00000000-0005-0000-0000-00003FA60000}"/>
    <cellStyle name="Normal 5 2 6 2" xfId="7973" xr:uid="{00000000-0005-0000-0000-000040A60000}"/>
    <cellStyle name="Normal 5 2 6 2 2" xfId="19274" xr:uid="{00000000-0005-0000-0000-000041A60000}"/>
    <cellStyle name="Normal 5 2 6 2 2 2" xfId="41876" xr:uid="{00000000-0005-0000-0000-000042A60000}"/>
    <cellStyle name="Normal 5 2 6 2 3" xfId="30575" xr:uid="{00000000-0005-0000-0000-000043A60000}"/>
    <cellStyle name="Normal 5 2 6 3" xfId="13624" xr:uid="{00000000-0005-0000-0000-000044A60000}"/>
    <cellStyle name="Normal 5 2 6 3 2" xfId="36226" xr:uid="{00000000-0005-0000-0000-000045A60000}"/>
    <cellStyle name="Normal 5 2 6 4" xfId="24925" xr:uid="{00000000-0005-0000-0000-000046A60000}"/>
    <cellStyle name="Normal 5 2 7" xfId="3925" xr:uid="{00000000-0005-0000-0000-000047A60000}"/>
    <cellStyle name="Normal 5 2 7 2" xfId="9575" xr:uid="{00000000-0005-0000-0000-000048A60000}"/>
    <cellStyle name="Normal 5 2 7 2 2" xfId="20876" xr:uid="{00000000-0005-0000-0000-000049A60000}"/>
    <cellStyle name="Normal 5 2 7 2 2 2" xfId="43478" xr:uid="{00000000-0005-0000-0000-00004AA60000}"/>
    <cellStyle name="Normal 5 2 7 2 3" xfId="32177" xr:uid="{00000000-0005-0000-0000-00004BA60000}"/>
    <cellStyle name="Normal 5 2 7 3" xfId="15226" xr:uid="{00000000-0005-0000-0000-00004CA60000}"/>
    <cellStyle name="Normal 5 2 7 3 2" xfId="37828" xr:uid="{00000000-0005-0000-0000-00004DA60000}"/>
    <cellStyle name="Normal 5 2 7 4" xfId="26527" xr:uid="{00000000-0005-0000-0000-00004EA60000}"/>
    <cellStyle name="Normal 5 2 8" xfId="6543" xr:uid="{00000000-0005-0000-0000-00004FA60000}"/>
    <cellStyle name="Normal 5 2 8 2" xfId="17844" xr:uid="{00000000-0005-0000-0000-000050A60000}"/>
    <cellStyle name="Normal 5 2 8 2 2" xfId="40446" xr:uid="{00000000-0005-0000-0000-000051A60000}"/>
    <cellStyle name="Normal 5 2 8 3" xfId="29145" xr:uid="{00000000-0005-0000-0000-000052A60000}"/>
    <cellStyle name="Normal 5 2 9" xfId="12194" xr:uid="{00000000-0005-0000-0000-000053A60000}"/>
    <cellStyle name="Normal 5 2 9 2" xfId="34796" xr:uid="{00000000-0005-0000-0000-000054A60000}"/>
    <cellStyle name="Normal 5 3" xfId="451" xr:uid="{00000000-0005-0000-0000-000055A60000}"/>
    <cellStyle name="Normal 5 3 10" xfId="23498" xr:uid="{00000000-0005-0000-0000-000056A60000}"/>
    <cellStyle name="Normal 5 3 2" xfId="634" xr:uid="{00000000-0005-0000-0000-000057A60000}"/>
    <cellStyle name="Normal 5 3 2 2" xfId="1220" xr:uid="{00000000-0005-0000-0000-000058A60000}"/>
    <cellStyle name="Normal 5 3 2 2 2" xfId="2061" xr:uid="{00000000-0005-0000-0000-000059A60000}"/>
    <cellStyle name="Normal 5 3 2 2 2 2" xfId="3289" xr:uid="{00000000-0005-0000-0000-00005AA60000}"/>
    <cellStyle name="Normal 5 3 2 2 2 2 2" xfId="6261" xr:uid="{00000000-0005-0000-0000-00005BA60000}"/>
    <cellStyle name="Normal 5 3 2 2 2 2 2 2" xfId="11911" xr:uid="{00000000-0005-0000-0000-00005CA60000}"/>
    <cellStyle name="Normal 5 3 2 2 2 2 2 2 2" xfId="23212" xr:uid="{00000000-0005-0000-0000-00005DA60000}"/>
    <cellStyle name="Normal 5 3 2 2 2 2 2 2 2 2" xfId="45814" xr:uid="{00000000-0005-0000-0000-00005EA60000}"/>
    <cellStyle name="Normal 5 3 2 2 2 2 2 2 3" xfId="34513" xr:uid="{00000000-0005-0000-0000-00005FA60000}"/>
    <cellStyle name="Normal 5 3 2 2 2 2 2 3" xfId="17562" xr:uid="{00000000-0005-0000-0000-000060A60000}"/>
    <cellStyle name="Normal 5 3 2 2 2 2 2 3 2" xfId="40164" xr:uid="{00000000-0005-0000-0000-000061A60000}"/>
    <cellStyle name="Normal 5 3 2 2 2 2 2 4" xfId="28863" xr:uid="{00000000-0005-0000-0000-000062A60000}"/>
    <cellStyle name="Normal 5 3 2 2 2 2 3" xfId="9079" xr:uid="{00000000-0005-0000-0000-000063A60000}"/>
    <cellStyle name="Normal 5 3 2 2 2 2 3 2" xfId="20380" xr:uid="{00000000-0005-0000-0000-000064A60000}"/>
    <cellStyle name="Normal 5 3 2 2 2 2 3 2 2" xfId="42982" xr:uid="{00000000-0005-0000-0000-000065A60000}"/>
    <cellStyle name="Normal 5 3 2 2 2 2 3 3" xfId="31681" xr:uid="{00000000-0005-0000-0000-000066A60000}"/>
    <cellStyle name="Normal 5 3 2 2 2 2 4" xfId="14730" xr:uid="{00000000-0005-0000-0000-000067A60000}"/>
    <cellStyle name="Normal 5 3 2 2 2 2 4 2" xfId="37332" xr:uid="{00000000-0005-0000-0000-000068A60000}"/>
    <cellStyle name="Normal 5 3 2 2 2 2 5" xfId="26031" xr:uid="{00000000-0005-0000-0000-000069A60000}"/>
    <cellStyle name="Normal 5 3 2 2 2 3" xfId="5027" xr:uid="{00000000-0005-0000-0000-00006AA60000}"/>
    <cellStyle name="Normal 5 3 2 2 2 3 2" xfId="10677" xr:uid="{00000000-0005-0000-0000-00006BA60000}"/>
    <cellStyle name="Normal 5 3 2 2 2 3 2 2" xfId="21978" xr:uid="{00000000-0005-0000-0000-00006CA60000}"/>
    <cellStyle name="Normal 5 3 2 2 2 3 2 2 2" xfId="44580" xr:uid="{00000000-0005-0000-0000-00006DA60000}"/>
    <cellStyle name="Normal 5 3 2 2 2 3 2 3" xfId="33279" xr:uid="{00000000-0005-0000-0000-00006EA60000}"/>
    <cellStyle name="Normal 5 3 2 2 2 3 3" xfId="16328" xr:uid="{00000000-0005-0000-0000-00006FA60000}"/>
    <cellStyle name="Normal 5 3 2 2 2 3 3 2" xfId="38930" xr:uid="{00000000-0005-0000-0000-000070A60000}"/>
    <cellStyle name="Normal 5 3 2 2 2 3 4" xfId="27629" xr:uid="{00000000-0005-0000-0000-000071A60000}"/>
    <cellStyle name="Normal 5 3 2 2 2 4" xfId="7917" xr:uid="{00000000-0005-0000-0000-000072A60000}"/>
    <cellStyle name="Normal 5 3 2 2 2 4 2" xfId="19218" xr:uid="{00000000-0005-0000-0000-000073A60000}"/>
    <cellStyle name="Normal 5 3 2 2 2 4 2 2" xfId="41820" xr:uid="{00000000-0005-0000-0000-000074A60000}"/>
    <cellStyle name="Normal 5 3 2 2 2 4 3" xfId="30519" xr:uid="{00000000-0005-0000-0000-000075A60000}"/>
    <cellStyle name="Normal 5 3 2 2 2 5" xfId="13568" xr:uid="{00000000-0005-0000-0000-000076A60000}"/>
    <cellStyle name="Normal 5 3 2 2 2 5 2" xfId="36170" xr:uid="{00000000-0005-0000-0000-000077A60000}"/>
    <cellStyle name="Normal 5 3 2 2 2 6" xfId="24869" xr:uid="{00000000-0005-0000-0000-000078A60000}"/>
    <cellStyle name="Normal 5 3 2 2 3" xfId="2618" xr:uid="{00000000-0005-0000-0000-000079A60000}"/>
    <cellStyle name="Normal 5 3 2 2 3 2" xfId="5637" xr:uid="{00000000-0005-0000-0000-00007AA60000}"/>
    <cellStyle name="Normal 5 3 2 2 3 2 2" xfId="11287" xr:uid="{00000000-0005-0000-0000-00007BA60000}"/>
    <cellStyle name="Normal 5 3 2 2 3 2 2 2" xfId="22588" xr:uid="{00000000-0005-0000-0000-00007CA60000}"/>
    <cellStyle name="Normal 5 3 2 2 3 2 2 2 2" xfId="45190" xr:uid="{00000000-0005-0000-0000-00007DA60000}"/>
    <cellStyle name="Normal 5 3 2 2 3 2 2 3" xfId="33889" xr:uid="{00000000-0005-0000-0000-00007EA60000}"/>
    <cellStyle name="Normal 5 3 2 2 3 2 3" xfId="16938" xr:uid="{00000000-0005-0000-0000-00007FA60000}"/>
    <cellStyle name="Normal 5 3 2 2 3 2 3 2" xfId="39540" xr:uid="{00000000-0005-0000-0000-000080A60000}"/>
    <cellStyle name="Normal 5 3 2 2 3 2 4" xfId="28239" xr:uid="{00000000-0005-0000-0000-000081A60000}"/>
    <cellStyle name="Normal 5 3 2 2 3 3" xfId="8454" xr:uid="{00000000-0005-0000-0000-000082A60000}"/>
    <cellStyle name="Normal 5 3 2 2 3 3 2" xfId="19755" xr:uid="{00000000-0005-0000-0000-000083A60000}"/>
    <cellStyle name="Normal 5 3 2 2 3 3 2 2" xfId="42357" xr:uid="{00000000-0005-0000-0000-000084A60000}"/>
    <cellStyle name="Normal 5 3 2 2 3 3 3" xfId="31056" xr:uid="{00000000-0005-0000-0000-000085A60000}"/>
    <cellStyle name="Normal 5 3 2 2 3 4" xfId="14105" xr:uid="{00000000-0005-0000-0000-000086A60000}"/>
    <cellStyle name="Normal 5 3 2 2 3 4 2" xfId="36707" xr:uid="{00000000-0005-0000-0000-000087A60000}"/>
    <cellStyle name="Normal 5 3 2 2 3 5" xfId="25406" xr:uid="{00000000-0005-0000-0000-000088A60000}"/>
    <cellStyle name="Normal 5 3 2 2 4" xfId="4403" xr:uid="{00000000-0005-0000-0000-000089A60000}"/>
    <cellStyle name="Normal 5 3 2 2 4 2" xfId="10053" xr:uid="{00000000-0005-0000-0000-00008AA60000}"/>
    <cellStyle name="Normal 5 3 2 2 4 2 2" xfId="21354" xr:uid="{00000000-0005-0000-0000-00008BA60000}"/>
    <cellStyle name="Normal 5 3 2 2 4 2 2 2" xfId="43956" xr:uid="{00000000-0005-0000-0000-00008CA60000}"/>
    <cellStyle name="Normal 5 3 2 2 4 2 3" xfId="32655" xr:uid="{00000000-0005-0000-0000-00008DA60000}"/>
    <cellStyle name="Normal 5 3 2 2 4 3" xfId="15704" xr:uid="{00000000-0005-0000-0000-00008EA60000}"/>
    <cellStyle name="Normal 5 3 2 2 4 3 2" xfId="38306" xr:uid="{00000000-0005-0000-0000-00008FA60000}"/>
    <cellStyle name="Normal 5 3 2 2 4 4" xfId="27005" xr:uid="{00000000-0005-0000-0000-000090A60000}"/>
    <cellStyle name="Normal 5 3 2 2 5" xfId="7199" xr:uid="{00000000-0005-0000-0000-000091A60000}"/>
    <cellStyle name="Normal 5 3 2 2 5 2" xfId="18500" xr:uid="{00000000-0005-0000-0000-000092A60000}"/>
    <cellStyle name="Normal 5 3 2 2 5 2 2" xfId="41102" xr:uid="{00000000-0005-0000-0000-000093A60000}"/>
    <cellStyle name="Normal 5 3 2 2 5 3" xfId="29801" xr:uid="{00000000-0005-0000-0000-000094A60000}"/>
    <cellStyle name="Normal 5 3 2 2 6" xfId="12850" xr:uid="{00000000-0005-0000-0000-000095A60000}"/>
    <cellStyle name="Normal 5 3 2 2 6 2" xfId="35452" xr:uid="{00000000-0005-0000-0000-000096A60000}"/>
    <cellStyle name="Normal 5 3 2 2 7" xfId="24151" xr:uid="{00000000-0005-0000-0000-000097A60000}"/>
    <cellStyle name="Normal 5 3 2 3" xfId="918" xr:uid="{00000000-0005-0000-0000-000098A60000}"/>
    <cellStyle name="Normal 5 3 2 3 2" xfId="2981" xr:uid="{00000000-0005-0000-0000-000099A60000}"/>
    <cellStyle name="Normal 5 3 2 3 2 2" xfId="5953" xr:uid="{00000000-0005-0000-0000-00009AA60000}"/>
    <cellStyle name="Normal 5 3 2 3 2 2 2" xfId="11603" xr:uid="{00000000-0005-0000-0000-00009BA60000}"/>
    <cellStyle name="Normal 5 3 2 3 2 2 2 2" xfId="22904" xr:uid="{00000000-0005-0000-0000-00009CA60000}"/>
    <cellStyle name="Normal 5 3 2 3 2 2 2 2 2" xfId="45506" xr:uid="{00000000-0005-0000-0000-00009DA60000}"/>
    <cellStyle name="Normal 5 3 2 3 2 2 2 3" xfId="34205" xr:uid="{00000000-0005-0000-0000-00009EA60000}"/>
    <cellStyle name="Normal 5 3 2 3 2 2 3" xfId="17254" xr:uid="{00000000-0005-0000-0000-00009FA60000}"/>
    <cellStyle name="Normal 5 3 2 3 2 2 3 2" xfId="39856" xr:uid="{00000000-0005-0000-0000-0000A0A60000}"/>
    <cellStyle name="Normal 5 3 2 3 2 2 4" xfId="28555" xr:uid="{00000000-0005-0000-0000-0000A1A60000}"/>
    <cellStyle name="Normal 5 3 2 3 2 3" xfId="8771" xr:uid="{00000000-0005-0000-0000-0000A2A60000}"/>
    <cellStyle name="Normal 5 3 2 3 2 3 2" xfId="20072" xr:uid="{00000000-0005-0000-0000-0000A3A60000}"/>
    <cellStyle name="Normal 5 3 2 3 2 3 2 2" xfId="42674" xr:uid="{00000000-0005-0000-0000-0000A4A60000}"/>
    <cellStyle name="Normal 5 3 2 3 2 3 3" xfId="31373" xr:uid="{00000000-0005-0000-0000-0000A5A60000}"/>
    <cellStyle name="Normal 5 3 2 3 2 4" xfId="14422" xr:uid="{00000000-0005-0000-0000-0000A6A60000}"/>
    <cellStyle name="Normal 5 3 2 3 2 4 2" xfId="37024" xr:uid="{00000000-0005-0000-0000-0000A7A60000}"/>
    <cellStyle name="Normal 5 3 2 3 2 5" xfId="25723" xr:uid="{00000000-0005-0000-0000-0000A8A60000}"/>
    <cellStyle name="Normal 5 3 2 3 3" xfId="4719" xr:uid="{00000000-0005-0000-0000-0000A9A60000}"/>
    <cellStyle name="Normal 5 3 2 3 3 2" xfId="10369" xr:uid="{00000000-0005-0000-0000-0000AAA60000}"/>
    <cellStyle name="Normal 5 3 2 3 3 2 2" xfId="21670" xr:uid="{00000000-0005-0000-0000-0000ABA60000}"/>
    <cellStyle name="Normal 5 3 2 3 3 2 2 2" xfId="44272" xr:uid="{00000000-0005-0000-0000-0000ACA60000}"/>
    <cellStyle name="Normal 5 3 2 3 3 2 3" xfId="32971" xr:uid="{00000000-0005-0000-0000-0000ADA60000}"/>
    <cellStyle name="Normal 5 3 2 3 3 3" xfId="16020" xr:uid="{00000000-0005-0000-0000-0000AEA60000}"/>
    <cellStyle name="Normal 5 3 2 3 3 3 2" xfId="38622" xr:uid="{00000000-0005-0000-0000-0000AFA60000}"/>
    <cellStyle name="Normal 5 3 2 3 3 4" xfId="27321" xr:uid="{00000000-0005-0000-0000-0000B0A60000}"/>
    <cellStyle name="Normal 5 3 2 3 4" xfId="6906" xr:uid="{00000000-0005-0000-0000-0000B1A60000}"/>
    <cellStyle name="Normal 5 3 2 3 4 2" xfId="18207" xr:uid="{00000000-0005-0000-0000-0000B2A60000}"/>
    <cellStyle name="Normal 5 3 2 3 4 2 2" xfId="40809" xr:uid="{00000000-0005-0000-0000-0000B3A60000}"/>
    <cellStyle name="Normal 5 3 2 3 4 3" xfId="29508" xr:uid="{00000000-0005-0000-0000-0000B4A60000}"/>
    <cellStyle name="Normal 5 3 2 3 5" xfId="12557" xr:uid="{00000000-0005-0000-0000-0000B5A60000}"/>
    <cellStyle name="Normal 5 3 2 3 5 2" xfId="35159" xr:uid="{00000000-0005-0000-0000-0000B6A60000}"/>
    <cellStyle name="Normal 5 3 2 3 6" xfId="23858" xr:uid="{00000000-0005-0000-0000-0000B7A60000}"/>
    <cellStyle name="Normal 5 3 2 4" xfId="2060" xr:uid="{00000000-0005-0000-0000-0000B8A60000}"/>
    <cellStyle name="Normal 5 3 2 4 2" xfId="3808" xr:uid="{00000000-0005-0000-0000-0000B9A60000}"/>
    <cellStyle name="Normal 5 3 2 4 2 2" xfId="9516" xr:uid="{00000000-0005-0000-0000-0000BAA60000}"/>
    <cellStyle name="Normal 5 3 2 4 2 2 2" xfId="20817" xr:uid="{00000000-0005-0000-0000-0000BBA60000}"/>
    <cellStyle name="Normal 5 3 2 4 2 2 2 2" xfId="43419" xr:uid="{00000000-0005-0000-0000-0000BCA60000}"/>
    <cellStyle name="Normal 5 3 2 4 2 2 3" xfId="32118" xr:uid="{00000000-0005-0000-0000-0000BDA60000}"/>
    <cellStyle name="Normal 5 3 2 4 2 3" xfId="15167" xr:uid="{00000000-0005-0000-0000-0000BEA60000}"/>
    <cellStyle name="Normal 5 3 2 4 2 3 2" xfId="37769" xr:uid="{00000000-0005-0000-0000-0000BFA60000}"/>
    <cellStyle name="Normal 5 3 2 4 2 4" xfId="26468" xr:uid="{00000000-0005-0000-0000-0000C0A60000}"/>
    <cellStyle name="Normal 5 3 2 4 3" xfId="5329" xr:uid="{00000000-0005-0000-0000-0000C1A60000}"/>
    <cellStyle name="Normal 5 3 2 4 3 2" xfId="10979" xr:uid="{00000000-0005-0000-0000-0000C2A60000}"/>
    <cellStyle name="Normal 5 3 2 4 3 2 2" xfId="22280" xr:uid="{00000000-0005-0000-0000-0000C3A60000}"/>
    <cellStyle name="Normal 5 3 2 4 3 2 2 2" xfId="44882" xr:uid="{00000000-0005-0000-0000-0000C4A60000}"/>
    <cellStyle name="Normal 5 3 2 4 3 2 3" xfId="33581" xr:uid="{00000000-0005-0000-0000-0000C5A60000}"/>
    <cellStyle name="Normal 5 3 2 4 3 3" xfId="16630" xr:uid="{00000000-0005-0000-0000-0000C6A60000}"/>
    <cellStyle name="Normal 5 3 2 4 3 3 2" xfId="39232" xr:uid="{00000000-0005-0000-0000-0000C7A60000}"/>
    <cellStyle name="Normal 5 3 2 4 3 4" xfId="27931" xr:uid="{00000000-0005-0000-0000-0000C8A60000}"/>
    <cellStyle name="Normal 5 3 2 4 4" xfId="7916" xr:uid="{00000000-0005-0000-0000-0000C9A60000}"/>
    <cellStyle name="Normal 5 3 2 4 4 2" xfId="19217" xr:uid="{00000000-0005-0000-0000-0000CAA60000}"/>
    <cellStyle name="Normal 5 3 2 4 4 2 2" xfId="41819" xr:uid="{00000000-0005-0000-0000-0000CBA60000}"/>
    <cellStyle name="Normal 5 3 2 4 4 3" xfId="30518" xr:uid="{00000000-0005-0000-0000-0000CCA60000}"/>
    <cellStyle name="Normal 5 3 2 4 5" xfId="13567" xr:uid="{00000000-0005-0000-0000-0000CDA60000}"/>
    <cellStyle name="Normal 5 3 2 4 5 2" xfId="36169" xr:uid="{00000000-0005-0000-0000-0000CEA60000}"/>
    <cellStyle name="Normal 5 3 2 4 6" xfId="24868" xr:uid="{00000000-0005-0000-0000-0000CFA60000}"/>
    <cellStyle name="Normal 5 3 2 5" xfId="2310" xr:uid="{00000000-0005-0000-0000-0000D0A60000}"/>
    <cellStyle name="Normal 5 3 2 5 2" xfId="8146" xr:uid="{00000000-0005-0000-0000-0000D1A60000}"/>
    <cellStyle name="Normal 5 3 2 5 2 2" xfId="19447" xr:uid="{00000000-0005-0000-0000-0000D2A60000}"/>
    <cellStyle name="Normal 5 3 2 5 2 2 2" xfId="42049" xr:uid="{00000000-0005-0000-0000-0000D3A60000}"/>
    <cellStyle name="Normal 5 3 2 5 2 3" xfId="30748" xr:uid="{00000000-0005-0000-0000-0000D4A60000}"/>
    <cellStyle name="Normal 5 3 2 5 3" xfId="13797" xr:uid="{00000000-0005-0000-0000-0000D5A60000}"/>
    <cellStyle name="Normal 5 3 2 5 3 2" xfId="36399" xr:uid="{00000000-0005-0000-0000-0000D6A60000}"/>
    <cellStyle name="Normal 5 3 2 5 4" xfId="25098" xr:uid="{00000000-0005-0000-0000-0000D7A60000}"/>
    <cellStyle name="Normal 5 3 2 6" xfId="4095" xr:uid="{00000000-0005-0000-0000-0000D8A60000}"/>
    <cellStyle name="Normal 5 3 2 6 2" xfId="9745" xr:uid="{00000000-0005-0000-0000-0000D9A60000}"/>
    <cellStyle name="Normal 5 3 2 6 2 2" xfId="21046" xr:uid="{00000000-0005-0000-0000-0000DAA60000}"/>
    <cellStyle name="Normal 5 3 2 6 2 2 2" xfId="43648" xr:uid="{00000000-0005-0000-0000-0000DBA60000}"/>
    <cellStyle name="Normal 5 3 2 6 2 3" xfId="32347" xr:uid="{00000000-0005-0000-0000-0000DCA60000}"/>
    <cellStyle name="Normal 5 3 2 6 3" xfId="15396" xr:uid="{00000000-0005-0000-0000-0000DDA60000}"/>
    <cellStyle name="Normal 5 3 2 6 3 2" xfId="37998" xr:uid="{00000000-0005-0000-0000-0000DEA60000}"/>
    <cellStyle name="Normal 5 3 2 6 4" xfId="26697" xr:uid="{00000000-0005-0000-0000-0000DFA60000}"/>
    <cellStyle name="Normal 5 3 2 7" xfId="6698" xr:uid="{00000000-0005-0000-0000-0000E0A60000}"/>
    <cellStyle name="Normal 5 3 2 7 2" xfId="17999" xr:uid="{00000000-0005-0000-0000-0000E1A60000}"/>
    <cellStyle name="Normal 5 3 2 7 2 2" xfId="40601" xr:uid="{00000000-0005-0000-0000-0000E2A60000}"/>
    <cellStyle name="Normal 5 3 2 7 3" xfId="29300" xr:uid="{00000000-0005-0000-0000-0000E3A60000}"/>
    <cellStyle name="Normal 5 3 2 8" xfId="12349" xr:uid="{00000000-0005-0000-0000-0000E4A60000}"/>
    <cellStyle name="Normal 5 3 2 8 2" xfId="34951" xr:uid="{00000000-0005-0000-0000-0000E5A60000}"/>
    <cellStyle name="Normal 5 3 2 9" xfId="23650" xr:uid="{00000000-0005-0000-0000-0000E6A60000}"/>
    <cellStyle name="Normal 5 3 3" xfId="1053" xr:uid="{00000000-0005-0000-0000-0000E7A60000}"/>
    <cellStyle name="Normal 5 3 3 2" xfId="2062" xr:uid="{00000000-0005-0000-0000-0000E8A60000}"/>
    <cellStyle name="Normal 5 3 3 2 2" xfId="3120" xr:uid="{00000000-0005-0000-0000-0000E9A60000}"/>
    <cellStyle name="Normal 5 3 3 2 2 2" xfId="6092" xr:uid="{00000000-0005-0000-0000-0000EAA60000}"/>
    <cellStyle name="Normal 5 3 3 2 2 2 2" xfId="11742" xr:uid="{00000000-0005-0000-0000-0000EBA60000}"/>
    <cellStyle name="Normal 5 3 3 2 2 2 2 2" xfId="23043" xr:uid="{00000000-0005-0000-0000-0000ECA60000}"/>
    <cellStyle name="Normal 5 3 3 2 2 2 2 2 2" xfId="45645" xr:uid="{00000000-0005-0000-0000-0000EDA60000}"/>
    <cellStyle name="Normal 5 3 3 2 2 2 2 3" xfId="34344" xr:uid="{00000000-0005-0000-0000-0000EEA60000}"/>
    <cellStyle name="Normal 5 3 3 2 2 2 3" xfId="17393" xr:uid="{00000000-0005-0000-0000-0000EFA60000}"/>
    <cellStyle name="Normal 5 3 3 2 2 2 3 2" xfId="39995" xr:uid="{00000000-0005-0000-0000-0000F0A60000}"/>
    <cellStyle name="Normal 5 3 3 2 2 2 4" xfId="28694" xr:uid="{00000000-0005-0000-0000-0000F1A60000}"/>
    <cellStyle name="Normal 5 3 3 2 2 3" xfId="8910" xr:uid="{00000000-0005-0000-0000-0000F2A60000}"/>
    <cellStyle name="Normal 5 3 3 2 2 3 2" xfId="20211" xr:uid="{00000000-0005-0000-0000-0000F3A60000}"/>
    <cellStyle name="Normal 5 3 3 2 2 3 2 2" xfId="42813" xr:uid="{00000000-0005-0000-0000-0000F4A60000}"/>
    <cellStyle name="Normal 5 3 3 2 2 3 3" xfId="31512" xr:uid="{00000000-0005-0000-0000-0000F5A60000}"/>
    <cellStyle name="Normal 5 3 3 2 2 4" xfId="14561" xr:uid="{00000000-0005-0000-0000-0000F6A60000}"/>
    <cellStyle name="Normal 5 3 3 2 2 4 2" xfId="37163" xr:uid="{00000000-0005-0000-0000-0000F7A60000}"/>
    <cellStyle name="Normal 5 3 3 2 2 5" xfId="25862" xr:uid="{00000000-0005-0000-0000-0000F8A60000}"/>
    <cellStyle name="Normal 5 3 3 2 3" xfId="4858" xr:uid="{00000000-0005-0000-0000-0000F9A60000}"/>
    <cellStyle name="Normal 5 3 3 2 3 2" xfId="10508" xr:uid="{00000000-0005-0000-0000-0000FAA60000}"/>
    <cellStyle name="Normal 5 3 3 2 3 2 2" xfId="21809" xr:uid="{00000000-0005-0000-0000-0000FBA60000}"/>
    <cellStyle name="Normal 5 3 3 2 3 2 2 2" xfId="44411" xr:uid="{00000000-0005-0000-0000-0000FCA60000}"/>
    <cellStyle name="Normal 5 3 3 2 3 2 3" xfId="33110" xr:uid="{00000000-0005-0000-0000-0000FDA60000}"/>
    <cellStyle name="Normal 5 3 3 2 3 3" xfId="16159" xr:uid="{00000000-0005-0000-0000-0000FEA60000}"/>
    <cellStyle name="Normal 5 3 3 2 3 3 2" xfId="38761" xr:uid="{00000000-0005-0000-0000-0000FFA60000}"/>
    <cellStyle name="Normal 5 3 3 2 3 4" xfId="27460" xr:uid="{00000000-0005-0000-0000-000000A70000}"/>
    <cellStyle name="Normal 5 3 3 2 4" xfId="7918" xr:uid="{00000000-0005-0000-0000-000001A70000}"/>
    <cellStyle name="Normal 5 3 3 2 4 2" xfId="19219" xr:uid="{00000000-0005-0000-0000-000002A70000}"/>
    <cellStyle name="Normal 5 3 3 2 4 2 2" xfId="41821" xr:uid="{00000000-0005-0000-0000-000003A70000}"/>
    <cellStyle name="Normal 5 3 3 2 4 3" xfId="30520" xr:uid="{00000000-0005-0000-0000-000004A70000}"/>
    <cellStyle name="Normal 5 3 3 2 5" xfId="13569" xr:uid="{00000000-0005-0000-0000-000005A70000}"/>
    <cellStyle name="Normal 5 3 3 2 5 2" xfId="36171" xr:uid="{00000000-0005-0000-0000-000006A70000}"/>
    <cellStyle name="Normal 5 3 3 2 6" xfId="24870" xr:uid="{00000000-0005-0000-0000-000007A70000}"/>
    <cellStyle name="Normal 5 3 3 3" xfId="2449" xr:uid="{00000000-0005-0000-0000-000008A70000}"/>
    <cellStyle name="Normal 5 3 3 3 2" xfId="5468" xr:uid="{00000000-0005-0000-0000-000009A70000}"/>
    <cellStyle name="Normal 5 3 3 3 2 2" xfId="11118" xr:uid="{00000000-0005-0000-0000-00000AA70000}"/>
    <cellStyle name="Normal 5 3 3 3 2 2 2" xfId="22419" xr:uid="{00000000-0005-0000-0000-00000BA70000}"/>
    <cellStyle name="Normal 5 3 3 3 2 2 2 2" xfId="45021" xr:uid="{00000000-0005-0000-0000-00000CA70000}"/>
    <cellStyle name="Normal 5 3 3 3 2 2 3" xfId="33720" xr:uid="{00000000-0005-0000-0000-00000DA70000}"/>
    <cellStyle name="Normal 5 3 3 3 2 3" xfId="16769" xr:uid="{00000000-0005-0000-0000-00000EA70000}"/>
    <cellStyle name="Normal 5 3 3 3 2 3 2" xfId="39371" xr:uid="{00000000-0005-0000-0000-00000FA70000}"/>
    <cellStyle name="Normal 5 3 3 3 2 4" xfId="28070" xr:uid="{00000000-0005-0000-0000-000010A70000}"/>
    <cellStyle name="Normal 5 3 3 3 3" xfId="8285" xr:uid="{00000000-0005-0000-0000-000011A70000}"/>
    <cellStyle name="Normal 5 3 3 3 3 2" xfId="19586" xr:uid="{00000000-0005-0000-0000-000012A70000}"/>
    <cellStyle name="Normal 5 3 3 3 3 2 2" xfId="42188" xr:uid="{00000000-0005-0000-0000-000013A70000}"/>
    <cellStyle name="Normal 5 3 3 3 3 3" xfId="30887" xr:uid="{00000000-0005-0000-0000-000014A70000}"/>
    <cellStyle name="Normal 5 3 3 3 4" xfId="13936" xr:uid="{00000000-0005-0000-0000-000015A70000}"/>
    <cellStyle name="Normal 5 3 3 3 4 2" xfId="36538" xr:uid="{00000000-0005-0000-0000-000016A70000}"/>
    <cellStyle name="Normal 5 3 3 3 5" xfId="25237" xr:uid="{00000000-0005-0000-0000-000017A70000}"/>
    <cellStyle name="Normal 5 3 3 4" xfId="4234" xr:uid="{00000000-0005-0000-0000-000018A70000}"/>
    <cellStyle name="Normal 5 3 3 4 2" xfId="9884" xr:uid="{00000000-0005-0000-0000-000019A70000}"/>
    <cellStyle name="Normal 5 3 3 4 2 2" xfId="21185" xr:uid="{00000000-0005-0000-0000-00001AA70000}"/>
    <cellStyle name="Normal 5 3 3 4 2 2 2" xfId="43787" xr:uid="{00000000-0005-0000-0000-00001BA70000}"/>
    <cellStyle name="Normal 5 3 3 4 2 3" xfId="32486" xr:uid="{00000000-0005-0000-0000-00001CA70000}"/>
    <cellStyle name="Normal 5 3 3 4 3" xfId="15535" xr:uid="{00000000-0005-0000-0000-00001DA70000}"/>
    <cellStyle name="Normal 5 3 3 4 3 2" xfId="38137" xr:uid="{00000000-0005-0000-0000-00001EA70000}"/>
    <cellStyle name="Normal 5 3 3 4 4" xfId="26836" xr:uid="{00000000-0005-0000-0000-00001FA70000}"/>
    <cellStyle name="Normal 5 3 3 5" xfId="7032" xr:uid="{00000000-0005-0000-0000-000020A70000}"/>
    <cellStyle name="Normal 5 3 3 5 2" xfId="18333" xr:uid="{00000000-0005-0000-0000-000021A70000}"/>
    <cellStyle name="Normal 5 3 3 5 2 2" xfId="40935" xr:uid="{00000000-0005-0000-0000-000022A70000}"/>
    <cellStyle name="Normal 5 3 3 5 3" xfId="29634" xr:uid="{00000000-0005-0000-0000-000023A70000}"/>
    <cellStyle name="Normal 5 3 3 6" xfId="12683" xr:uid="{00000000-0005-0000-0000-000024A70000}"/>
    <cellStyle name="Normal 5 3 3 6 2" xfId="35285" xr:uid="{00000000-0005-0000-0000-000025A70000}"/>
    <cellStyle name="Normal 5 3 3 7" xfId="23984" xr:uid="{00000000-0005-0000-0000-000026A70000}"/>
    <cellStyle name="Normal 5 3 4" xfId="717" xr:uid="{00000000-0005-0000-0000-000027A70000}"/>
    <cellStyle name="Normal 5 3 4 2" xfId="2814" xr:uid="{00000000-0005-0000-0000-000028A70000}"/>
    <cellStyle name="Normal 5 3 4 2 2" xfId="5786" xr:uid="{00000000-0005-0000-0000-000029A70000}"/>
    <cellStyle name="Normal 5 3 4 2 2 2" xfId="11436" xr:uid="{00000000-0005-0000-0000-00002AA70000}"/>
    <cellStyle name="Normal 5 3 4 2 2 2 2" xfId="22737" xr:uid="{00000000-0005-0000-0000-00002BA70000}"/>
    <cellStyle name="Normal 5 3 4 2 2 2 2 2" xfId="45339" xr:uid="{00000000-0005-0000-0000-00002CA70000}"/>
    <cellStyle name="Normal 5 3 4 2 2 2 3" xfId="34038" xr:uid="{00000000-0005-0000-0000-00002DA70000}"/>
    <cellStyle name="Normal 5 3 4 2 2 3" xfId="17087" xr:uid="{00000000-0005-0000-0000-00002EA70000}"/>
    <cellStyle name="Normal 5 3 4 2 2 3 2" xfId="39689" xr:uid="{00000000-0005-0000-0000-00002FA70000}"/>
    <cellStyle name="Normal 5 3 4 2 2 4" xfId="28388" xr:uid="{00000000-0005-0000-0000-000030A70000}"/>
    <cellStyle name="Normal 5 3 4 2 3" xfId="8604" xr:uid="{00000000-0005-0000-0000-000031A70000}"/>
    <cellStyle name="Normal 5 3 4 2 3 2" xfId="19905" xr:uid="{00000000-0005-0000-0000-000032A70000}"/>
    <cellStyle name="Normal 5 3 4 2 3 2 2" xfId="42507" xr:uid="{00000000-0005-0000-0000-000033A70000}"/>
    <cellStyle name="Normal 5 3 4 2 3 3" xfId="31206" xr:uid="{00000000-0005-0000-0000-000034A70000}"/>
    <cellStyle name="Normal 5 3 4 2 4" xfId="14255" xr:uid="{00000000-0005-0000-0000-000035A70000}"/>
    <cellStyle name="Normal 5 3 4 2 4 2" xfId="36857" xr:uid="{00000000-0005-0000-0000-000036A70000}"/>
    <cellStyle name="Normal 5 3 4 2 5" xfId="25556" xr:uid="{00000000-0005-0000-0000-000037A70000}"/>
    <cellStyle name="Normal 5 3 4 3" xfId="4552" xr:uid="{00000000-0005-0000-0000-000038A70000}"/>
    <cellStyle name="Normal 5 3 4 3 2" xfId="10202" xr:uid="{00000000-0005-0000-0000-000039A70000}"/>
    <cellStyle name="Normal 5 3 4 3 2 2" xfId="21503" xr:uid="{00000000-0005-0000-0000-00003AA70000}"/>
    <cellStyle name="Normal 5 3 4 3 2 2 2" xfId="44105" xr:uid="{00000000-0005-0000-0000-00003BA70000}"/>
    <cellStyle name="Normal 5 3 4 3 2 3" xfId="32804" xr:uid="{00000000-0005-0000-0000-00003CA70000}"/>
    <cellStyle name="Normal 5 3 4 3 3" xfId="15853" xr:uid="{00000000-0005-0000-0000-00003DA70000}"/>
    <cellStyle name="Normal 5 3 4 3 3 2" xfId="38455" xr:uid="{00000000-0005-0000-0000-00003EA70000}"/>
    <cellStyle name="Normal 5 3 4 3 4" xfId="27154" xr:uid="{00000000-0005-0000-0000-00003FA70000}"/>
    <cellStyle name="Normal 5 3 4 4" xfId="6734" xr:uid="{00000000-0005-0000-0000-000040A70000}"/>
    <cellStyle name="Normal 5 3 4 4 2" xfId="18035" xr:uid="{00000000-0005-0000-0000-000041A70000}"/>
    <cellStyle name="Normal 5 3 4 4 2 2" xfId="40637" xr:uid="{00000000-0005-0000-0000-000042A70000}"/>
    <cellStyle name="Normal 5 3 4 4 3" xfId="29336" xr:uid="{00000000-0005-0000-0000-000043A70000}"/>
    <cellStyle name="Normal 5 3 4 5" xfId="12385" xr:uid="{00000000-0005-0000-0000-000044A70000}"/>
    <cellStyle name="Normal 5 3 4 5 2" xfId="34987" xr:uid="{00000000-0005-0000-0000-000045A70000}"/>
    <cellStyle name="Normal 5 3 4 6" xfId="23686" xr:uid="{00000000-0005-0000-0000-000046A70000}"/>
    <cellStyle name="Normal 5 3 5" xfId="2059" xr:uid="{00000000-0005-0000-0000-000047A70000}"/>
    <cellStyle name="Normal 5 3 5 2" xfId="3807" xr:uid="{00000000-0005-0000-0000-000048A70000}"/>
    <cellStyle name="Normal 5 3 5 2 2" xfId="9515" xr:uid="{00000000-0005-0000-0000-000049A70000}"/>
    <cellStyle name="Normal 5 3 5 2 2 2" xfId="20816" xr:uid="{00000000-0005-0000-0000-00004AA70000}"/>
    <cellStyle name="Normal 5 3 5 2 2 2 2" xfId="43418" xr:uid="{00000000-0005-0000-0000-00004BA70000}"/>
    <cellStyle name="Normal 5 3 5 2 2 3" xfId="32117" xr:uid="{00000000-0005-0000-0000-00004CA70000}"/>
    <cellStyle name="Normal 5 3 5 2 3" xfId="15166" xr:uid="{00000000-0005-0000-0000-00004DA70000}"/>
    <cellStyle name="Normal 5 3 5 2 3 2" xfId="37768" xr:uid="{00000000-0005-0000-0000-00004EA70000}"/>
    <cellStyle name="Normal 5 3 5 2 4" xfId="26467" xr:uid="{00000000-0005-0000-0000-00004FA70000}"/>
    <cellStyle name="Normal 5 3 5 3" xfId="5162" xr:uid="{00000000-0005-0000-0000-000050A70000}"/>
    <cellStyle name="Normal 5 3 5 3 2" xfId="10812" xr:uid="{00000000-0005-0000-0000-000051A70000}"/>
    <cellStyle name="Normal 5 3 5 3 2 2" xfId="22113" xr:uid="{00000000-0005-0000-0000-000052A70000}"/>
    <cellStyle name="Normal 5 3 5 3 2 2 2" xfId="44715" xr:uid="{00000000-0005-0000-0000-000053A70000}"/>
    <cellStyle name="Normal 5 3 5 3 2 3" xfId="33414" xr:uid="{00000000-0005-0000-0000-000054A70000}"/>
    <cellStyle name="Normal 5 3 5 3 3" xfId="16463" xr:uid="{00000000-0005-0000-0000-000055A70000}"/>
    <cellStyle name="Normal 5 3 5 3 3 2" xfId="39065" xr:uid="{00000000-0005-0000-0000-000056A70000}"/>
    <cellStyle name="Normal 5 3 5 3 4" xfId="27764" xr:uid="{00000000-0005-0000-0000-000057A70000}"/>
    <cellStyle name="Normal 5 3 5 4" xfId="7915" xr:uid="{00000000-0005-0000-0000-000058A70000}"/>
    <cellStyle name="Normal 5 3 5 4 2" xfId="19216" xr:uid="{00000000-0005-0000-0000-000059A70000}"/>
    <cellStyle name="Normal 5 3 5 4 2 2" xfId="41818" xr:uid="{00000000-0005-0000-0000-00005AA70000}"/>
    <cellStyle name="Normal 5 3 5 4 3" xfId="30517" xr:uid="{00000000-0005-0000-0000-00005BA70000}"/>
    <cellStyle name="Normal 5 3 5 5" xfId="13566" xr:uid="{00000000-0005-0000-0000-00005CA70000}"/>
    <cellStyle name="Normal 5 3 5 5 2" xfId="36168" xr:uid="{00000000-0005-0000-0000-00005DA70000}"/>
    <cellStyle name="Normal 5 3 5 6" xfId="24867" xr:uid="{00000000-0005-0000-0000-00005EA70000}"/>
    <cellStyle name="Normal 5 3 6" xfId="2133" xr:uid="{00000000-0005-0000-0000-00005FA70000}"/>
    <cellStyle name="Normal 5 3 6 2" xfId="7976" xr:uid="{00000000-0005-0000-0000-000060A70000}"/>
    <cellStyle name="Normal 5 3 6 2 2" xfId="19277" xr:uid="{00000000-0005-0000-0000-000061A70000}"/>
    <cellStyle name="Normal 5 3 6 2 2 2" xfId="41879" xr:uid="{00000000-0005-0000-0000-000062A70000}"/>
    <cellStyle name="Normal 5 3 6 2 3" xfId="30578" xr:uid="{00000000-0005-0000-0000-000063A70000}"/>
    <cellStyle name="Normal 5 3 6 3" xfId="13627" xr:uid="{00000000-0005-0000-0000-000064A70000}"/>
    <cellStyle name="Normal 5 3 6 3 2" xfId="36229" xr:uid="{00000000-0005-0000-0000-000065A70000}"/>
    <cellStyle name="Normal 5 3 6 4" xfId="24928" xr:uid="{00000000-0005-0000-0000-000066A70000}"/>
    <cellStyle name="Normal 5 3 7" xfId="3928" xr:uid="{00000000-0005-0000-0000-000067A70000}"/>
    <cellStyle name="Normal 5 3 7 2" xfId="9578" xr:uid="{00000000-0005-0000-0000-000068A70000}"/>
    <cellStyle name="Normal 5 3 7 2 2" xfId="20879" xr:uid="{00000000-0005-0000-0000-000069A70000}"/>
    <cellStyle name="Normal 5 3 7 2 2 2" xfId="43481" xr:uid="{00000000-0005-0000-0000-00006AA70000}"/>
    <cellStyle name="Normal 5 3 7 2 3" xfId="32180" xr:uid="{00000000-0005-0000-0000-00006BA70000}"/>
    <cellStyle name="Normal 5 3 7 3" xfId="15229" xr:uid="{00000000-0005-0000-0000-00006CA70000}"/>
    <cellStyle name="Normal 5 3 7 3 2" xfId="37831" xr:uid="{00000000-0005-0000-0000-00006DA70000}"/>
    <cellStyle name="Normal 5 3 7 4" xfId="26530" xr:uid="{00000000-0005-0000-0000-00006EA70000}"/>
    <cellStyle name="Normal 5 3 8" xfId="6546" xr:uid="{00000000-0005-0000-0000-00006FA70000}"/>
    <cellStyle name="Normal 5 3 8 2" xfId="17847" xr:uid="{00000000-0005-0000-0000-000070A70000}"/>
    <cellStyle name="Normal 5 3 8 2 2" xfId="40449" xr:uid="{00000000-0005-0000-0000-000071A70000}"/>
    <cellStyle name="Normal 5 3 8 3" xfId="29148" xr:uid="{00000000-0005-0000-0000-000072A70000}"/>
    <cellStyle name="Normal 5 3 9" xfId="12197" xr:uid="{00000000-0005-0000-0000-000073A70000}"/>
    <cellStyle name="Normal 5 3 9 2" xfId="34799" xr:uid="{00000000-0005-0000-0000-000074A70000}"/>
    <cellStyle name="Normal 5 4" xfId="520" xr:uid="{00000000-0005-0000-0000-000075A70000}"/>
    <cellStyle name="Normal 5 5" xfId="432" xr:uid="{00000000-0005-0000-0000-000076A70000}"/>
    <cellStyle name="Normal 5 5 2" xfId="1204" xr:uid="{00000000-0005-0000-0000-000077A70000}"/>
    <cellStyle name="Normal 5 5 2 2" xfId="2064" xr:uid="{00000000-0005-0000-0000-000078A70000}"/>
    <cellStyle name="Normal 5 5 2 2 2" xfId="3273" xr:uid="{00000000-0005-0000-0000-000079A70000}"/>
    <cellStyle name="Normal 5 5 2 2 2 2" xfId="6245" xr:uid="{00000000-0005-0000-0000-00007AA70000}"/>
    <cellStyle name="Normal 5 5 2 2 2 2 2" xfId="11895" xr:uid="{00000000-0005-0000-0000-00007BA70000}"/>
    <cellStyle name="Normal 5 5 2 2 2 2 2 2" xfId="23196" xr:uid="{00000000-0005-0000-0000-00007CA70000}"/>
    <cellStyle name="Normal 5 5 2 2 2 2 2 2 2" xfId="45798" xr:uid="{00000000-0005-0000-0000-00007DA70000}"/>
    <cellStyle name="Normal 5 5 2 2 2 2 2 3" xfId="34497" xr:uid="{00000000-0005-0000-0000-00007EA70000}"/>
    <cellStyle name="Normal 5 5 2 2 2 2 3" xfId="17546" xr:uid="{00000000-0005-0000-0000-00007FA70000}"/>
    <cellStyle name="Normal 5 5 2 2 2 2 3 2" xfId="40148" xr:uid="{00000000-0005-0000-0000-000080A70000}"/>
    <cellStyle name="Normal 5 5 2 2 2 2 4" xfId="28847" xr:uid="{00000000-0005-0000-0000-000081A70000}"/>
    <cellStyle name="Normal 5 5 2 2 2 3" xfId="9063" xr:uid="{00000000-0005-0000-0000-000082A70000}"/>
    <cellStyle name="Normal 5 5 2 2 2 3 2" xfId="20364" xr:uid="{00000000-0005-0000-0000-000083A70000}"/>
    <cellStyle name="Normal 5 5 2 2 2 3 2 2" xfId="42966" xr:uid="{00000000-0005-0000-0000-000084A70000}"/>
    <cellStyle name="Normal 5 5 2 2 2 3 3" xfId="31665" xr:uid="{00000000-0005-0000-0000-000085A70000}"/>
    <cellStyle name="Normal 5 5 2 2 2 4" xfId="14714" xr:uid="{00000000-0005-0000-0000-000086A70000}"/>
    <cellStyle name="Normal 5 5 2 2 2 4 2" xfId="37316" xr:uid="{00000000-0005-0000-0000-000087A70000}"/>
    <cellStyle name="Normal 5 5 2 2 2 5" xfId="26015" xr:uid="{00000000-0005-0000-0000-000088A70000}"/>
    <cellStyle name="Normal 5 5 2 2 3" xfId="5011" xr:uid="{00000000-0005-0000-0000-000089A70000}"/>
    <cellStyle name="Normal 5 5 2 2 3 2" xfId="10661" xr:uid="{00000000-0005-0000-0000-00008AA70000}"/>
    <cellStyle name="Normal 5 5 2 2 3 2 2" xfId="21962" xr:uid="{00000000-0005-0000-0000-00008BA70000}"/>
    <cellStyle name="Normal 5 5 2 2 3 2 2 2" xfId="44564" xr:uid="{00000000-0005-0000-0000-00008CA70000}"/>
    <cellStyle name="Normal 5 5 2 2 3 2 3" xfId="33263" xr:uid="{00000000-0005-0000-0000-00008DA70000}"/>
    <cellStyle name="Normal 5 5 2 2 3 3" xfId="16312" xr:uid="{00000000-0005-0000-0000-00008EA70000}"/>
    <cellStyle name="Normal 5 5 2 2 3 3 2" xfId="38914" xr:uid="{00000000-0005-0000-0000-00008FA70000}"/>
    <cellStyle name="Normal 5 5 2 2 3 4" xfId="27613" xr:uid="{00000000-0005-0000-0000-000090A70000}"/>
    <cellStyle name="Normal 5 5 2 2 4" xfId="7920" xr:uid="{00000000-0005-0000-0000-000091A70000}"/>
    <cellStyle name="Normal 5 5 2 2 4 2" xfId="19221" xr:uid="{00000000-0005-0000-0000-000092A70000}"/>
    <cellStyle name="Normal 5 5 2 2 4 2 2" xfId="41823" xr:uid="{00000000-0005-0000-0000-000093A70000}"/>
    <cellStyle name="Normal 5 5 2 2 4 3" xfId="30522" xr:uid="{00000000-0005-0000-0000-000094A70000}"/>
    <cellStyle name="Normal 5 5 2 2 5" xfId="13571" xr:uid="{00000000-0005-0000-0000-000095A70000}"/>
    <cellStyle name="Normal 5 5 2 2 5 2" xfId="36173" xr:uid="{00000000-0005-0000-0000-000096A70000}"/>
    <cellStyle name="Normal 5 5 2 2 6" xfId="24872" xr:uid="{00000000-0005-0000-0000-000097A70000}"/>
    <cellStyle name="Normal 5 5 2 3" xfId="2602" xr:uid="{00000000-0005-0000-0000-000098A70000}"/>
    <cellStyle name="Normal 5 5 2 3 2" xfId="5621" xr:uid="{00000000-0005-0000-0000-000099A70000}"/>
    <cellStyle name="Normal 5 5 2 3 2 2" xfId="11271" xr:uid="{00000000-0005-0000-0000-00009AA70000}"/>
    <cellStyle name="Normal 5 5 2 3 2 2 2" xfId="22572" xr:uid="{00000000-0005-0000-0000-00009BA70000}"/>
    <cellStyle name="Normal 5 5 2 3 2 2 2 2" xfId="45174" xr:uid="{00000000-0005-0000-0000-00009CA70000}"/>
    <cellStyle name="Normal 5 5 2 3 2 2 3" xfId="33873" xr:uid="{00000000-0005-0000-0000-00009DA70000}"/>
    <cellStyle name="Normal 5 5 2 3 2 3" xfId="16922" xr:uid="{00000000-0005-0000-0000-00009EA70000}"/>
    <cellStyle name="Normal 5 5 2 3 2 3 2" xfId="39524" xr:uid="{00000000-0005-0000-0000-00009FA70000}"/>
    <cellStyle name="Normal 5 5 2 3 2 4" xfId="28223" xr:uid="{00000000-0005-0000-0000-0000A0A70000}"/>
    <cellStyle name="Normal 5 5 2 3 3" xfId="8438" xr:uid="{00000000-0005-0000-0000-0000A1A70000}"/>
    <cellStyle name="Normal 5 5 2 3 3 2" xfId="19739" xr:uid="{00000000-0005-0000-0000-0000A2A70000}"/>
    <cellStyle name="Normal 5 5 2 3 3 2 2" xfId="42341" xr:uid="{00000000-0005-0000-0000-0000A3A70000}"/>
    <cellStyle name="Normal 5 5 2 3 3 3" xfId="31040" xr:uid="{00000000-0005-0000-0000-0000A4A70000}"/>
    <cellStyle name="Normal 5 5 2 3 4" xfId="14089" xr:uid="{00000000-0005-0000-0000-0000A5A70000}"/>
    <cellStyle name="Normal 5 5 2 3 4 2" xfId="36691" xr:uid="{00000000-0005-0000-0000-0000A6A70000}"/>
    <cellStyle name="Normal 5 5 2 3 5" xfId="25390" xr:uid="{00000000-0005-0000-0000-0000A7A70000}"/>
    <cellStyle name="Normal 5 5 2 4" xfId="4387" xr:uid="{00000000-0005-0000-0000-0000A8A70000}"/>
    <cellStyle name="Normal 5 5 2 4 2" xfId="10037" xr:uid="{00000000-0005-0000-0000-0000A9A70000}"/>
    <cellStyle name="Normal 5 5 2 4 2 2" xfId="21338" xr:uid="{00000000-0005-0000-0000-0000AAA70000}"/>
    <cellStyle name="Normal 5 5 2 4 2 2 2" xfId="43940" xr:uid="{00000000-0005-0000-0000-0000ABA70000}"/>
    <cellStyle name="Normal 5 5 2 4 2 3" xfId="32639" xr:uid="{00000000-0005-0000-0000-0000ACA70000}"/>
    <cellStyle name="Normal 5 5 2 4 3" xfId="15688" xr:uid="{00000000-0005-0000-0000-0000ADA70000}"/>
    <cellStyle name="Normal 5 5 2 4 3 2" xfId="38290" xr:uid="{00000000-0005-0000-0000-0000AEA70000}"/>
    <cellStyle name="Normal 5 5 2 4 4" xfId="26989" xr:uid="{00000000-0005-0000-0000-0000AFA70000}"/>
    <cellStyle name="Normal 5 5 2 5" xfId="7183" xr:uid="{00000000-0005-0000-0000-0000B0A70000}"/>
    <cellStyle name="Normal 5 5 2 5 2" xfId="18484" xr:uid="{00000000-0005-0000-0000-0000B1A70000}"/>
    <cellStyle name="Normal 5 5 2 5 2 2" xfId="41086" xr:uid="{00000000-0005-0000-0000-0000B2A70000}"/>
    <cellStyle name="Normal 5 5 2 5 3" xfId="29785" xr:uid="{00000000-0005-0000-0000-0000B3A70000}"/>
    <cellStyle name="Normal 5 5 2 6" xfId="12834" xr:uid="{00000000-0005-0000-0000-0000B4A70000}"/>
    <cellStyle name="Normal 5 5 2 6 2" xfId="35436" xr:uid="{00000000-0005-0000-0000-0000B5A70000}"/>
    <cellStyle name="Normal 5 5 2 7" xfId="24135" xr:uid="{00000000-0005-0000-0000-0000B6A70000}"/>
    <cellStyle name="Normal 5 5 3" xfId="901" xr:uid="{00000000-0005-0000-0000-0000B7A70000}"/>
    <cellStyle name="Normal 5 5 3 2" xfId="2965" xr:uid="{00000000-0005-0000-0000-0000B8A70000}"/>
    <cellStyle name="Normal 5 5 3 2 2" xfId="5937" xr:uid="{00000000-0005-0000-0000-0000B9A70000}"/>
    <cellStyle name="Normal 5 5 3 2 2 2" xfId="11587" xr:uid="{00000000-0005-0000-0000-0000BAA70000}"/>
    <cellStyle name="Normal 5 5 3 2 2 2 2" xfId="22888" xr:uid="{00000000-0005-0000-0000-0000BBA70000}"/>
    <cellStyle name="Normal 5 5 3 2 2 2 2 2" xfId="45490" xr:uid="{00000000-0005-0000-0000-0000BCA70000}"/>
    <cellStyle name="Normal 5 5 3 2 2 2 3" xfId="34189" xr:uid="{00000000-0005-0000-0000-0000BDA70000}"/>
    <cellStyle name="Normal 5 5 3 2 2 3" xfId="17238" xr:uid="{00000000-0005-0000-0000-0000BEA70000}"/>
    <cellStyle name="Normal 5 5 3 2 2 3 2" xfId="39840" xr:uid="{00000000-0005-0000-0000-0000BFA70000}"/>
    <cellStyle name="Normal 5 5 3 2 2 4" xfId="28539" xr:uid="{00000000-0005-0000-0000-0000C0A70000}"/>
    <cellStyle name="Normal 5 5 3 2 3" xfId="8755" xr:uid="{00000000-0005-0000-0000-0000C1A70000}"/>
    <cellStyle name="Normal 5 5 3 2 3 2" xfId="20056" xr:uid="{00000000-0005-0000-0000-0000C2A70000}"/>
    <cellStyle name="Normal 5 5 3 2 3 2 2" xfId="42658" xr:uid="{00000000-0005-0000-0000-0000C3A70000}"/>
    <cellStyle name="Normal 5 5 3 2 3 3" xfId="31357" xr:uid="{00000000-0005-0000-0000-0000C4A70000}"/>
    <cellStyle name="Normal 5 5 3 2 4" xfId="14406" xr:uid="{00000000-0005-0000-0000-0000C5A70000}"/>
    <cellStyle name="Normal 5 5 3 2 4 2" xfId="37008" xr:uid="{00000000-0005-0000-0000-0000C6A70000}"/>
    <cellStyle name="Normal 5 5 3 2 5" xfId="25707" xr:uid="{00000000-0005-0000-0000-0000C7A70000}"/>
    <cellStyle name="Normal 5 5 3 3" xfId="4703" xr:uid="{00000000-0005-0000-0000-0000C8A70000}"/>
    <cellStyle name="Normal 5 5 3 3 2" xfId="10353" xr:uid="{00000000-0005-0000-0000-0000C9A70000}"/>
    <cellStyle name="Normal 5 5 3 3 2 2" xfId="21654" xr:uid="{00000000-0005-0000-0000-0000CAA70000}"/>
    <cellStyle name="Normal 5 5 3 3 2 2 2" xfId="44256" xr:uid="{00000000-0005-0000-0000-0000CBA70000}"/>
    <cellStyle name="Normal 5 5 3 3 2 3" xfId="32955" xr:uid="{00000000-0005-0000-0000-0000CCA70000}"/>
    <cellStyle name="Normal 5 5 3 3 3" xfId="16004" xr:uid="{00000000-0005-0000-0000-0000CDA70000}"/>
    <cellStyle name="Normal 5 5 3 3 3 2" xfId="38606" xr:uid="{00000000-0005-0000-0000-0000CEA70000}"/>
    <cellStyle name="Normal 5 5 3 3 4" xfId="27305" xr:uid="{00000000-0005-0000-0000-0000CFA70000}"/>
    <cellStyle name="Normal 5 5 3 4" xfId="6890" xr:uid="{00000000-0005-0000-0000-0000D0A70000}"/>
    <cellStyle name="Normal 5 5 3 4 2" xfId="18191" xr:uid="{00000000-0005-0000-0000-0000D1A70000}"/>
    <cellStyle name="Normal 5 5 3 4 2 2" xfId="40793" xr:uid="{00000000-0005-0000-0000-0000D2A70000}"/>
    <cellStyle name="Normal 5 5 3 4 3" xfId="29492" xr:uid="{00000000-0005-0000-0000-0000D3A70000}"/>
    <cellStyle name="Normal 5 5 3 5" xfId="12541" xr:uid="{00000000-0005-0000-0000-0000D4A70000}"/>
    <cellStyle name="Normal 5 5 3 5 2" xfId="35143" xr:uid="{00000000-0005-0000-0000-0000D5A70000}"/>
    <cellStyle name="Normal 5 5 3 6" xfId="23842" xr:uid="{00000000-0005-0000-0000-0000D6A70000}"/>
    <cellStyle name="Normal 5 5 4" xfId="2063" xr:uid="{00000000-0005-0000-0000-0000D7A70000}"/>
    <cellStyle name="Normal 5 5 4 2" xfId="3809" xr:uid="{00000000-0005-0000-0000-0000D8A70000}"/>
    <cellStyle name="Normal 5 5 4 2 2" xfId="9517" xr:uid="{00000000-0005-0000-0000-0000D9A70000}"/>
    <cellStyle name="Normal 5 5 4 2 2 2" xfId="20818" xr:uid="{00000000-0005-0000-0000-0000DAA70000}"/>
    <cellStyle name="Normal 5 5 4 2 2 2 2" xfId="43420" xr:uid="{00000000-0005-0000-0000-0000DBA70000}"/>
    <cellStyle name="Normal 5 5 4 2 2 3" xfId="32119" xr:uid="{00000000-0005-0000-0000-0000DCA70000}"/>
    <cellStyle name="Normal 5 5 4 2 3" xfId="15168" xr:uid="{00000000-0005-0000-0000-0000DDA70000}"/>
    <cellStyle name="Normal 5 5 4 2 3 2" xfId="37770" xr:uid="{00000000-0005-0000-0000-0000DEA70000}"/>
    <cellStyle name="Normal 5 5 4 2 4" xfId="26469" xr:uid="{00000000-0005-0000-0000-0000DFA70000}"/>
    <cellStyle name="Normal 5 5 4 3" xfId="5313" xr:uid="{00000000-0005-0000-0000-0000E0A70000}"/>
    <cellStyle name="Normal 5 5 4 3 2" xfId="10963" xr:uid="{00000000-0005-0000-0000-0000E1A70000}"/>
    <cellStyle name="Normal 5 5 4 3 2 2" xfId="22264" xr:uid="{00000000-0005-0000-0000-0000E2A70000}"/>
    <cellStyle name="Normal 5 5 4 3 2 2 2" xfId="44866" xr:uid="{00000000-0005-0000-0000-0000E3A70000}"/>
    <cellStyle name="Normal 5 5 4 3 2 3" xfId="33565" xr:uid="{00000000-0005-0000-0000-0000E4A70000}"/>
    <cellStyle name="Normal 5 5 4 3 3" xfId="16614" xr:uid="{00000000-0005-0000-0000-0000E5A70000}"/>
    <cellStyle name="Normal 5 5 4 3 3 2" xfId="39216" xr:uid="{00000000-0005-0000-0000-0000E6A70000}"/>
    <cellStyle name="Normal 5 5 4 3 4" xfId="27915" xr:uid="{00000000-0005-0000-0000-0000E7A70000}"/>
    <cellStyle name="Normal 5 5 4 4" xfId="7919" xr:uid="{00000000-0005-0000-0000-0000E8A70000}"/>
    <cellStyle name="Normal 5 5 4 4 2" xfId="19220" xr:uid="{00000000-0005-0000-0000-0000E9A70000}"/>
    <cellStyle name="Normal 5 5 4 4 2 2" xfId="41822" xr:uid="{00000000-0005-0000-0000-0000EAA70000}"/>
    <cellStyle name="Normal 5 5 4 4 3" xfId="30521" xr:uid="{00000000-0005-0000-0000-0000EBA70000}"/>
    <cellStyle name="Normal 5 5 4 5" xfId="13570" xr:uid="{00000000-0005-0000-0000-0000ECA70000}"/>
    <cellStyle name="Normal 5 5 4 5 2" xfId="36172" xr:uid="{00000000-0005-0000-0000-0000EDA70000}"/>
    <cellStyle name="Normal 5 5 4 6" xfId="24871" xr:uid="{00000000-0005-0000-0000-0000EEA70000}"/>
    <cellStyle name="Normal 5 5 5" xfId="2294" xr:uid="{00000000-0005-0000-0000-0000EFA70000}"/>
    <cellStyle name="Normal 5 5 5 2" xfId="8130" xr:uid="{00000000-0005-0000-0000-0000F0A70000}"/>
    <cellStyle name="Normal 5 5 5 2 2" xfId="19431" xr:uid="{00000000-0005-0000-0000-0000F1A70000}"/>
    <cellStyle name="Normal 5 5 5 2 2 2" xfId="42033" xr:uid="{00000000-0005-0000-0000-0000F2A70000}"/>
    <cellStyle name="Normal 5 5 5 2 3" xfId="30732" xr:uid="{00000000-0005-0000-0000-0000F3A70000}"/>
    <cellStyle name="Normal 5 5 5 3" xfId="13781" xr:uid="{00000000-0005-0000-0000-0000F4A70000}"/>
    <cellStyle name="Normal 5 5 5 3 2" xfId="36383" xr:uid="{00000000-0005-0000-0000-0000F5A70000}"/>
    <cellStyle name="Normal 5 5 5 4" xfId="25082" xr:uid="{00000000-0005-0000-0000-0000F6A70000}"/>
    <cellStyle name="Normal 5 5 6" xfId="4079" xr:uid="{00000000-0005-0000-0000-0000F7A70000}"/>
    <cellStyle name="Normal 5 5 6 2" xfId="9729" xr:uid="{00000000-0005-0000-0000-0000F8A70000}"/>
    <cellStyle name="Normal 5 5 6 2 2" xfId="21030" xr:uid="{00000000-0005-0000-0000-0000F9A70000}"/>
    <cellStyle name="Normal 5 5 6 2 2 2" xfId="43632" xr:uid="{00000000-0005-0000-0000-0000FAA70000}"/>
    <cellStyle name="Normal 5 5 6 2 3" xfId="32331" xr:uid="{00000000-0005-0000-0000-0000FBA70000}"/>
    <cellStyle name="Normal 5 5 6 3" xfId="15380" xr:uid="{00000000-0005-0000-0000-0000FCA70000}"/>
    <cellStyle name="Normal 5 5 6 3 2" xfId="37982" xr:uid="{00000000-0005-0000-0000-0000FDA70000}"/>
    <cellStyle name="Normal 5 5 6 4" xfId="26681" xr:uid="{00000000-0005-0000-0000-0000FEA70000}"/>
    <cellStyle name="Normal 5 5 7" xfId="6530" xr:uid="{00000000-0005-0000-0000-0000FFA70000}"/>
    <cellStyle name="Normal 5 5 7 2" xfId="17831" xr:uid="{00000000-0005-0000-0000-000000A80000}"/>
    <cellStyle name="Normal 5 5 7 2 2" xfId="40433" xr:uid="{00000000-0005-0000-0000-000001A80000}"/>
    <cellStyle name="Normal 5 5 7 3" xfId="29132" xr:uid="{00000000-0005-0000-0000-000002A80000}"/>
    <cellStyle name="Normal 5 5 8" xfId="12181" xr:uid="{00000000-0005-0000-0000-000003A80000}"/>
    <cellStyle name="Normal 5 5 8 2" xfId="34783" xr:uid="{00000000-0005-0000-0000-000004A80000}"/>
    <cellStyle name="Normal 5 5 9" xfId="23482" xr:uid="{00000000-0005-0000-0000-000005A80000}"/>
    <cellStyle name="Normal 5 6" xfId="1050" xr:uid="{00000000-0005-0000-0000-000006A80000}"/>
    <cellStyle name="Normal 5 6 2" xfId="2065" xr:uid="{00000000-0005-0000-0000-000007A80000}"/>
    <cellStyle name="Normal 5 6 2 2" xfId="3105" xr:uid="{00000000-0005-0000-0000-000008A80000}"/>
    <cellStyle name="Normal 5 6 2 2 2" xfId="6077" xr:uid="{00000000-0005-0000-0000-000009A80000}"/>
    <cellStyle name="Normal 5 6 2 2 2 2" xfId="11727" xr:uid="{00000000-0005-0000-0000-00000AA80000}"/>
    <cellStyle name="Normal 5 6 2 2 2 2 2" xfId="23028" xr:uid="{00000000-0005-0000-0000-00000BA80000}"/>
    <cellStyle name="Normal 5 6 2 2 2 2 2 2" xfId="45630" xr:uid="{00000000-0005-0000-0000-00000CA80000}"/>
    <cellStyle name="Normal 5 6 2 2 2 2 3" xfId="34329" xr:uid="{00000000-0005-0000-0000-00000DA80000}"/>
    <cellStyle name="Normal 5 6 2 2 2 3" xfId="17378" xr:uid="{00000000-0005-0000-0000-00000EA80000}"/>
    <cellStyle name="Normal 5 6 2 2 2 3 2" xfId="39980" xr:uid="{00000000-0005-0000-0000-00000FA80000}"/>
    <cellStyle name="Normal 5 6 2 2 2 4" xfId="28679" xr:uid="{00000000-0005-0000-0000-000010A80000}"/>
    <cellStyle name="Normal 5 6 2 2 3" xfId="8895" xr:uid="{00000000-0005-0000-0000-000011A80000}"/>
    <cellStyle name="Normal 5 6 2 2 3 2" xfId="20196" xr:uid="{00000000-0005-0000-0000-000012A80000}"/>
    <cellStyle name="Normal 5 6 2 2 3 2 2" xfId="42798" xr:uid="{00000000-0005-0000-0000-000013A80000}"/>
    <cellStyle name="Normal 5 6 2 2 3 3" xfId="31497" xr:uid="{00000000-0005-0000-0000-000014A80000}"/>
    <cellStyle name="Normal 5 6 2 2 4" xfId="14546" xr:uid="{00000000-0005-0000-0000-000015A80000}"/>
    <cellStyle name="Normal 5 6 2 2 4 2" xfId="37148" xr:uid="{00000000-0005-0000-0000-000016A80000}"/>
    <cellStyle name="Normal 5 6 2 2 5" xfId="25847" xr:uid="{00000000-0005-0000-0000-000017A80000}"/>
    <cellStyle name="Normal 5 6 2 3" xfId="4843" xr:uid="{00000000-0005-0000-0000-000018A80000}"/>
    <cellStyle name="Normal 5 6 2 3 2" xfId="10493" xr:uid="{00000000-0005-0000-0000-000019A80000}"/>
    <cellStyle name="Normal 5 6 2 3 2 2" xfId="21794" xr:uid="{00000000-0005-0000-0000-00001AA80000}"/>
    <cellStyle name="Normal 5 6 2 3 2 2 2" xfId="44396" xr:uid="{00000000-0005-0000-0000-00001BA80000}"/>
    <cellStyle name="Normal 5 6 2 3 2 3" xfId="33095" xr:uid="{00000000-0005-0000-0000-00001CA80000}"/>
    <cellStyle name="Normal 5 6 2 3 3" xfId="16144" xr:uid="{00000000-0005-0000-0000-00001DA80000}"/>
    <cellStyle name="Normal 5 6 2 3 3 2" xfId="38746" xr:uid="{00000000-0005-0000-0000-00001EA80000}"/>
    <cellStyle name="Normal 5 6 2 3 4" xfId="27445" xr:uid="{00000000-0005-0000-0000-00001FA80000}"/>
    <cellStyle name="Normal 5 6 2 4" xfId="7921" xr:uid="{00000000-0005-0000-0000-000020A80000}"/>
    <cellStyle name="Normal 5 6 2 4 2" xfId="19222" xr:uid="{00000000-0005-0000-0000-000021A80000}"/>
    <cellStyle name="Normal 5 6 2 4 2 2" xfId="41824" xr:uid="{00000000-0005-0000-0000-000022A80000}"/>
    <cellStyle name="Normal 5 6 2 4 3" xfId="30523" xr:uid="{00000000-0005-0000-0000-000023A80000}"/>
    <cellStyle name="Normal 5 6 2 5" xfId="13572" xr:uid="{00000000-0005-0000-0000-000024A80000}"/>
    <cellStyle name="Normal 5 6 2 5 2" xfId="36174" xr:uid="{00000000-0005-0000-0000-000025A80000}"/>
    <cellStyle name="Normal 5 6 2 6" xfId="24873" xr:uid="{00000000-0005-0000-0000-000026A80000}"/>
    <cellStyle name="Normal 5 6 3" xfId="2434" xr:uid="{00000000-0005-0000-0000-000027A80000}"/>
    <cellStyle name="Normal 5 6 3 2" xfId="5453" xr:uid="{00000000-0005-0000-0000-000028A80000}"/>
    <cellStyle name="Normal 5 6 3 2 2" xfId="11103" xr:uid="{00000000-0005-0000-0000-000029A80000}"/>
    <cellStyle name="Normal 5 6 3 2 2 2" xfId="22404" xr:uid="{00000000-0005-0000-0000-00002AA80000}"/>
    <cellStyle name="Normal 5 6 3 2 2 2 2" xfId="45006" xr:uid="{00000000-0005-0000-0000-00002BA80000}"/>
    <cellStyle name="Normal 5 6 3 2 2 3" xfId="33705" xr:uid="{00000000-0005-0000-0000-00002CA80000}"/>
    <cellStyle name="Normal 5 6 3 2 3" xfId="16754" xr:uid="{00000000-0005-0000-0000-00002DA80000}"/>
    <cellStyle name="Normal 5 6 3 2 3 2" xfId="39356" xr:uid="{00000000-0005-0000-0000-00002EA80000}"/>
    <cellStyle name="Normal 5 6 3 2 4" xfId="28055" xr:uid="{00000000-0005-0000-0000-00002FA80000}"/>
    <cellStyle name="Normal 5 6 3 3" xfId="8270" xr:uid="{00000000-0005-0000-0000-000030A80000}"/>
    <cellStyle name="Normal 5 6 3 3 2" xfId="19571" xr:uid="{00000000-0005-0000-0000-000031A80000}"/>
    <cellStyle name="Normal 5 6 3 3 2 2" xfId="42173" xr:uid="{00000000-0005-0000-0000-000032A80000}"/>
    <cellStyle name="Normal 5 6 3 3 3" xfId="30872" xr:uid="{00000000-0005-0000-0000-000033A80000}"/>
    <cellStyle name="Normal 5 6 3 4" xfId="13921" xr:uid="{00000000-0005-0000-0000-000034A80000}"/>
    <cellStyle name="Normal 5 6 3 4 2" xfId="36523" xr:uid="{00000000-0005-0000-0000-000035A80000}"/>
    <cellStyle name="Normal 5 6 3 5" xfId="25222" xr:uid="{00000000-0005-0000-0000-000036A80000}"/>
    <cellStyle name="Normal 5 6 4" xfId="4219" xr:uid="{00000000-0005-0000-0000-000037A80000}"/>
    <cellStyle name="Normal 5 6 4 2" xfId="9869" xr:uid="{00000000-0005-0000-0000-000038A80000}"/>
    <cellStyle name="Normal 5 6 4 2 2" xfId="21170" xr:uid="{00000000-0005-0000-0000-000039A80000}"/>
    <cellStyle name="Normal 5 6 4 2 2 2" xfId="43772" xr:uid="{00000000-0005-0000-0000-00003AA80000}"/>
    <cellStyle name="Normal 5 6 4 2 3" xfId="32471" xr:uid="{00000000-0005-0000-0000-00003BA80000}"/>
    <cellStyle name="Normal 5 6 4 3" xfId="15520" xr:uid="{00000000-0005-0000-0000-00003CA80000}"/>
    <cellStyle name="Normal 5 6 4 3 2" xfId="38122" xr:uid="{00000000-0005-0000-0000-00003DA80000}"/>
    <cellStyle name="Normal 5 6 4 4" xfId="26821" xr:uid="{00000000-0005-0000-0000-00003EA80000}"/>
    <cellStyle name="Normal 5 6 5" xfId="7029" xr:uid="{00000000-0005-0000-0000-00003FA80000}"/>
    <cellStyle name="Normal 5 6 5 2" xfId="18330" xr:uid="{00000000-0005-0000-0000-000040A80000}"/>
    <cellStyle name="Normal 5 6 5 2 2" xfId="40932" xr:uid="{00000000-0005-0000-0000-000041A80000}"/>
    <cellStyle name="Normal 5 6 5 3" xfId="29631" xr:uid="{00000000-0005-0000-0000-000042A80000}"/>
    <cellStyle name="Normal 5 6 6" xfId="12680" xr:uid="{00000000-0005-0000-0000-000043A80000}"/>
    <cellStyle name="Normal 5 6 6 2" xfId="35282" xr:uid="{00000000-0005-0000-0000-000044A80000}"/>
    <cellStyle name="Normal 5 6 7" xfId="23981" xr:uid="{00000000-0005-0000-0000-000045A80000}"/>
    <cellStyle name="Normal 5 7" xfId="673" xr:uid="{00000000-0005-0000-0000-000046A80000}"/>
    <cellStyle name="Normal 5 7 2" xfId="2810" xr:uid="{00000000-0005-0000-0000-000047A80000}"/>
    <cellStyle name="Normal 5 7 2 2" xfId="5782" xr:uid="{00000000-0005-0000-0000-000048A80000}"/>
    <cellStyle name="Normal 5 7 2 2 2" xfId="11432" xr:uid="{00000000-0005-0000-0000-000049A80000}"/>
    <cellStyle name="Normal 5 7 2 2 2 2" xfId="22733" xr:uid="{00000000-0005-0000-0000-00004AA80000}"/>
    <cellStyle name="Normal 5 7 2 2 2 2 2" xfId="45335" xr:uid="{00000000-0005-0000-0000-00004BA80000}"/>
    <cellStyle name="Normal 5 7 2 2 2 3" xfId="34034" xr:uid="{00000000-0005-0000-0000-00004CA80000}"/>
    <cellStyle name="Normal 5 7 2 2 3" xfId="17083" xr:uid="{00000000-0005-0000-0000-00004DA80000}"/>
    <cellStyle name="Normal 5 7 2 2 3 2" xfId="39685" xr:uid="{00000000-0005-0000-0000-00004EA80000}"/>
    <cellStyle name="Normal 5 7 2 2 4" xfId="28384" xr:uid="{00000000-0005-0000-0000-00004FA80000}"/>
    <cellStyle name="Normal 5 7 2 3" xfId="8600" xr:uid="{00000000-0005-0000-0000-000050A80000}"/>
    <cellStyle name="Normal 5 7 2 3 2" xfId="19901" xr:uid="{00000000-0005-0000-0000-000051A80000}"/>
    <cellStyle name="Normal 5 7 2 3 2 2" xfId="42503" xr:uid="{00000000-0005-0000-0000-000052A80000}"/>
    <cellStyle name="Normal 5 7 2 3 3" xfId="31202" xr:uid="{00000000-0005-0000-0000-000053A80000}"/>
    <cellStyle name="Normal 5 7 2 4" xfId="14251" xr:uid="{00000000-0005-0000-0000-000054A80000}"/>
    <cellStyle name="Normal 5 7 2 4 2" xfId="36853" xr:uid="{00000000-0005-0000-0000-000055A80000}"/>
    <cellStyle name="Normal 5 7 2 5" xfId="25552" xr:uid="{00000000-0005-0000-0000-000056A80000}"/>
    <cellStyle name="Normal 5 7 3" xfId="4548" xr:uid="{00000000-0005-0000-0000-000057A80000}"/>
    <cellStyle name="Normal 5 7 3 2" xfId="10198" xr:uid="{00000000-0005-0000-0000-000058A80000}"/>
    <cellStyle name="Normal 5 7 3 2 2" xfId="21499" xr:uid="{00000000-0005-0000-0000-000059A80000}"/>
    <cellStyle name="Normal 5 7 3 2 2 2" xfId="44101" xr:uid="{00000000-0005-0000-0000-00005AA80000}"/>
    <cellStyle name="Normal 5 7 3 2 3" xfId="32800" xr:uid="{00000000-0005-0000-0000-00005BA80000}"/>
    <cellStyle name="Normal 5 7 3 3" xfId="15849" xr:uid="{00000000-0005-0000-0000-00005CA80000}"/>
    <cellStyle name="Normal 5 7 3 3 2" xfId="38451" xr:uid="{00000000-0005-0000-0000-00005DA80000}"/>
    <cellStyle name="Normal 5 7 3 4" xfId="27150" xr:uid="{00000000-0005-0000-0000-00005EA80000}"/>
    <cellStyle name="Normal 5 7 4" xfId="6719" xr:uid="{00000000-0005-0000-0000-00005FA80000}"/>
    <cellStyle name="Normal 5 7 4 2" xfId="18020" xr:uid="{00000000-0005-0000-0000-000060A80000}"/>
    <cellStyle name="Normal 5 7 4 2 2" xfId="40622" xr:uid="{00000000-0005-0000-0000-000061A80000}"/>
    <cellStyle name="Normal 5 7 4 3" xfId="29321" xr:uid="{00000000-0005-0000-0000-000062A80000}"/>
    <cellStyle name="Normal 5 7 5" xfId="12370" xr:uid="{00000000-0005-0000-0000-000063A80000}"/>
    <cellStyle name="Normal 5 7 5 2" xfId="34972" xr:uid="{00000000-0005-0000-0000-000064A80000}"/>
    <cellStyle name="Normal 5 7 6" xfId="23671" xr:uid="{00000000-0005-0000-0000-000065A80000}"/>
    <cellStyle name="Normal 5 8" xfId="2054" xr:uid="{00000000-0005-0000-0000-000066A80000}"/>
    <cellStyle name="Normal 5 8 2" xfId="3804" xr:uid="{00000000-0005-0000-0000-000067A80000}"/>
    <cellStyle name="Normal 5 8 2 2" xfId="9512" xr:uid="{00000000-0005-0000-0000-000068A80000}"/>
    <cellStyle name="Normal 5 8 2 2 2" xfId="20813" xr:uid="{00000000-0005-0000-0000-000069A80000}"/>
    <cellStyle name="Normal 5 8 2 2 2 2" xfId="43415" xr:uid="{00000000-0005-0000-0000-00006AA80000}"/>
    <cellStyle name="Normal 5 8 2 2 3" xfId="32114" xr:uid="{00000000-0005-0000-0000-00006BA80000}"/>
    <cellStyle name="Normal 5 8 2 3" xfId="15163" xr:uid="{00000000-0005-0000-0000-00006CA80000}"/>
    <cellStyle name="Normal 5 8 2 3 2" xfId="37765" xr:uid="{00000000-0005-0000-0000-00006DA80000}"/>
    <cellStyle name="Normal 5 8 2 4" xfId="26464" xr:uid="{00000000-0005-0000-0000-00006EA80000}"/>
    <cellStyle name="Normal 5 8 3" xfId="5158" xr:uid="{00000000-0005-0000-0000-00006FA80000}"/>
    <cellStyle name="Normal 5 8 3 2" xfId="10808" xr:uid="{00000000-0005-0000-0000-000070A80000}"/>
    <cellStyle name="Normal 5 8 3 2 2" xfId="22109" xr:uid="{00000000-0005-0000-0000-000071A80000}"/>
    <cellStyle name="Normal 5 8 3 2 2 2" xfId="44711" xr:uid="{00000000-0005-0000-0000-000072A80000}"/>
    <cellStyle name="Normal 5 8 3 2 3" xfId="33410" xr:uid="{00000000-0005-0000-0000-000073A80000}"/>
    <cellStyle name="Normal 5 8 3 3" xfId="16459" xr:uid="{00000000-0005-0000-0000-000074A80000}"/>
    <cellStyle name="Normal 5 8 3 3 2" xfId="39061" xr:uid="{00000000-0005-0000-0000-000075A80000}"/>
    <cellStyle name="Normal 5 8 3 4" xfId="27760" xr:uid="{00000000-0005-0000-0000-000076A80000}"/>
    <cellStyle name="Normal 5 8 4" xfId="7910" xr:uid="{00000000-0005-0000-0000-000077A80000}"/>
    <cellStyle name="Normal 5 8 4 2" xfId="19211" xr:uid="{00000000-0005-0000-0000-000078A80000}"/>
    <cellStyle name="Normal 5 8 4 2 2" xfId="41813" xr:uid="{00000000-0005-0000-0000-000079A80000}"/>
    <cellStyle name="Normal 5 8 4 3" xfId="30512" xr:uid="{00000000-0005-0000-0000-00007AA80000}"/>
    <cellStyle name="Normal 5 8 5" xfId="13561" xr:uid="{00000000-0005-0000-0000-00007BA80000}"/>
    <cellStyle name="Normal 5 8 5 2" xfId="36163" xr:uid="{00000000-0005-0000-0000-00007CA80000}"/>
    <cellStyle name="Normal 5 8 6" xfId="24862" xr:uid="{00000000-0005-0000-0000-00007DA80000}"/>
    <cellStyle name="Normal 5 9" xfId="2111" xr:uid="{00000000-0005-0000-0000-00007EA80000}"/>
    <cellStyle name="Normal 5 9 2" xfId="7958" xr:uid="{00000000-0005-0000-0000-00007FA80000}"/>
    <cellStyle name="Normal 5 9 2 2" xfId="19259" xr:uid="{00000000-0005-0000-0000-000080A80000}"/>
    <cellStyle name="Normal 5 9 2 2 2" xfId="41861" xr:uid="{00000000-0005-0000-0000-000081A80000}"/>
    <cellStyle name="Normal 5 9 2 3" xfId="30560" xr:uid="{00000000-0005-0000-0000-000082A80000}"/>
    <cellStyle name="Normal 5 9 3" xfId="13609" xr:uid="{00000000-0005-0000-0000-000083A80000}"/>
    <cellStyle name="Normal 5 9 3 2" xfId="36211" xr:uid="{00000000-0005-0000-0000-000084A80000}"/>
    <cellStyle name="Normal 5 9 4" xfId="24910" xr:uid="{00000000-0005-0000-0000-000085A80000}"/>
    <cellStyle name="Normal 6" xfId="40" xr:uid="{00000000-0005-0000-0000-000086A80000}"/>
    <cellStyle name="Normal 6 2" xfId="203" xr:uid="{00000000-0005-0000-0000-000087A80000}"/>
    <cellStyle name="Normal 7" xfId="41" xr:uid="{00000000-0005-0000-0000-000088A80000}"/>
    <cellStyle name="Normal 7 2" xfId="204" xr:uid="{00000000-0005-0000-0000-000089A80000}"/>
    <cellStyle name="Normal 8" xfId="37" xr:uid="{00000000-0005-0000-0000-00008AA80000}"/>
    <cellStyle name="Normal 9" xfId="42" xr:uid="{00000000-0005-0000-0000-00008BA80000}"/>
    <cellStyle name="Normal 9 2" xfId="188" xr:uid="{00000000-0005-0000-0000-00008CA80000}"/>
    <cellStyle name="Normal 9 3" xfId="12042" xr:uid="{00000000-0005-0000-0000-00008DA80000}"/>
    <cellStyle name="Normal 9 3 2" xfId="34644" xr:uid="{00000000-0005-0000-0000-00008EA80000}"/>
    <cellStyle name="Normal 9 4" xfId="23343" xr:uid="{00000000-0005-0000-0000-00008FA80000}"/>
    <cellStyle name="Normal_nonhighlands" xfId="12" xr:uid="{00000000-0005-0000-0000-000090A80000}"/>
    <cellStyle name="Note 2" xfId="125" xr:uid="{00000000-0005-0000-0000-000091A80000}"/>
    <cellStyle name="Note 2 2" xfId="221" xr:uid="{00000000-0005-0000-0000-000092A80000}"/>
    <cellStyle name="Note 2 2 10" xfId="6434" xr:uid="{00000000-0005-0000-0000-000093A80000}"/>
    <cellStyle name="Note 2 2 10 2" xfId="17735" xr:uid="{00000000-0005-0000-0000-000094A80000}"/>
    <cellStyle name="Note 2 2 10 2 2" xfId="40337" xr:uid="{00000000-0005-0000-0000-000095A80000}"/>
    <cellStyle name="Note 2 2 10 3" xfId="29036" xr:uid="{00000000-0005-0000-0000-000096A80000}"/>
    <cellStyle name="Note 2 2 11" xfId="12085" xr:uid="{00000000-0005-0000-0000-000097A80000}"/>
    <cellStyle name="Note 2 2 11 2" xfId="34687" xr:uid="{00000000-0005-0000-0000-000098A80000}"/>
    <cellStyle name="Note 2 2 12" xfId="23386" xr:uid="{00000000-0005-0000-0000-000099A80000}"/>
    <cellStyle name="Note 2 2 2" xfId="386" xr:uid="{00000000-0005-0000-0000-00009AA80000}"/>
    <cellStyle name="Note 2 2 2 10" xfId="23481" xr:uid="{00000000-0005-0000-0000-00009BA80000}"/>
    <cellStyle name="Note 2 2 2 2" xfId="631" xr:uid="{00000000-0005-0000-0000-00009CA80000}"/>
    <cellStyle name="Note 2 2 2 2 2" xfId="1341" xr:uid="{00000000-0005-0000-0000-00009DA80000}"/>
    <cellStyle name="Note 2 2 2 2 2 2" xfId="2069" xr:uid="{00000000-0005-0000-0000-00009EA80000}"/>
    <cellStyle name="Note 2 2 2 2 2 2 2" xfId="3410" xr:uid="{00000000-0005-0000-0000-00009FA80000}"/>
    <cellStyle name="Note 2 2 2 2 2 2 2 2" xfId="6382" xr:uid="{00000000-0005-0000-0000-0000A0A80000}"/>
    <cellStyle name="Note 2 2 2 2 2 2 2 2 2" xfId="12032" xr:uid="{00000000-0005-0000-0000-0000A1A80000}"/>
    <cellStyle name="Note 2 2 2 2 2 2 2 2 2 2" xfId="23333" xr:uid="{00000000-0005-0000-0000-0000A2A80000}"/>
    <cellStyle name="Note 2 2 2 2 2 2 2 2 2 2 2" xfId="45935" xr:uid="{00000000-0005-0000-0000-0000A3A80000}"/>
    <cellStyle name="Note 2 2 2 2 2 2 2 2 2 3" xfId="34634" xr:uid="{00000000-0005-0000-0000-0000A4A80000}"/>
    <cellStyle name="Note 2 2 2 2 2 2 2 2 3" xfId="17683" xr:uid="{00000000-0005-0000-0000-0000A5A80000}"/>
    <cellStyle name="Note 2 2 2 2 2 2 2 2 3 2" xfId="40285" xr:uid="{00000000-0005-0000-0000-0000A6A80000}"/>
    <cellStyle name="Note 2 2 2 2 2 2 2 2 4" xfId="28984" xr:uid="{00000000-0005-0000-0000-0000A7A80000}"/>
    <cellStyle name="Note 2 2 2 2 2 2 2 3" xfId="9200" xr:uid="{00000000-0005-0000-0000-0000A8A80000}"/>
    <cellStyle name="Note 2 2 2 2 2 2 2 3 2" xfId="20501" xr:uid="{00000000-0005-0000-0000-0000A9A80000}"/>
    <cellStyle name="Note 2 2 2 2 2 2 2 3 2 2" xfId="43103" xr:uid="{00000000-0005-0000-0000-0000AAA80000}"/>
    <cellStyle name="Note 2 2 2 2 2 2 2 3 3" xfId="31802" xr:uid="{00000000-0005-0000-0000-0000ABA80000}"/>
    <cellStyle name="Note 2 2 2 2 2 2 2 4" xfId="14851" xr:uid="{00000000-0005-0000-0000-0000ACA80000}"/>
    <cellStyle name="Note 2 2 2 2 2 2 2 4 2" xfId="37453" xr:uid="{00000000-0005-0000-0000-0000ADA80000}"/>
    <cellStyle name="Note 2 2 2 2 2 2 2 5" xfId="26152" xr:uid="{00000000-0005-0000-0000-0000AEA80000}"/>
    <cellStyle name="Note 2 2 2 2 2 2 3" xfId="5148" xr:uid="{00000000-0005-0000-0000-0000AFA80000}"/>
    <cellStyle name="Note 2 2 2 2 2 2 3 2" xfId="10798" xr:uid="{00000000-0005-0000-0000-0000B0A80000}"/>
    <cellStyle name="Note 2 2 2 2 2 2 3 2 2" xfId="22099" xr:uid="{00000000-0005-0000-0000-0000B1A80000}"/>
    <cellStyle name="Note 2 2 2 2 2 2 3 2 2 2" xfId="44701" xr:uid="{00000000-0005-0000-0000-0000B2A80000}"/>
    <cellStyle name="Note 2 2 2 2 2 2 3 2 3" xfId="33400" xr:uid="{00000000-0005-0000-0000-0000B3A80000}"/>
    <cellStyle name="Note 2 2 2 2 2 2 3 3" xfId="16449" xr:uid="{00000000-0005-0000-0000-0000B4A80000}"/>
    <cellStyle name="Note 2 2 2 2 2 2 3 3 2" xfId="39051" xr:uid="{00000000-0005-0000-0000-0000B5A80000}"/>
    <cellStyle name="Note 2 2 2 2 2 2 3 4" xfId="27750" xr:uid="{00000000-0005-0000-0000-0000B6A80000}"/>
    <cellStyle name="Note 2 2 2 2 2 2 4" xfId="7925" xr:uid="{00000000-0005-0000-0000-0000B7A80000}"/>
    <cellStyle name="Note 2 2 2 2 2 2 4 2" xfId="19226" xr:uid="{00000000-0005-0000-0000-0000B8A80000}"/>
    <cellStyle name="Note 2 2 2 2 2 2 4 2 2" xfId="41828" xr:uid="{00000000-0005-0000-0000-0000B9A80000}"/>
    <cellStyle name="Note 2 2 2 2 2 2 4 3" xfId="30527" xr:uid="{00000000-0005-0000-0000-0000BAA80000}"/>
    <cellStyle name="Note 2 2 2 2 2 2 5" xfId="13576" xr:uid="{00000000-0005-0000-0000-0000BBA80000}"/>
    <cellStyle name="Note 2 2 2 2 2 2 5 2" xfId="36178" xr:uid="{00000000-0005-0000-0000-0000BCA80000}"/>
    <cellStyle name="Note 2 2 2 2 2 2 6" xfId="24877" xr:uid="{00000000-0005-0000-0000-0000BDA80000}"/>
    <cellStyle name="Note 2 2 2 2 2 3" xfId="2739" xr:uid="{00000000-0005-0000-0000-0000BEA80000}"/>
    <cellStyle name="Note 2 2 2 2 2 3 2" xfId="5758" xr:uid="{00000000-0005-0000-0000-0000BFA80000}"/>
    <cellStyle name="Note 2 2 2 2 2 3 2 2" xfId="11408" xr:uid="{00000000-0005-0000-0000-0000C0A80000}"/>
    <cellStyle name="Note 2 2 2 2 2 3 2 2 2" xfId="22709" xr:uid="{00000000-0005-0000-0000-0000C1A80000}"/>
    <cellStyle name="Note 2 2 2 2 2 3 2 2 2 2" xfId="45311" xr:uid="{00000000-0005-0000-0000-0000C2A80000}"/>
    <cellStyle name="Note 2 2 2 2 2 3 2 2 3" xfId="34010" xr:uid="{00000000-0005-0000-0000-0000C3A80000}"/>
    <cellStyle name="Note 2 2 2 2 2 3 2 3" xfId="17059" xr:uid="{00000000-0005-0000-0000-0000C4A80000}"/>
    <cellStyle name="Note 2 2 2 2 2 3 2 3 2" xfId="39661" xr:uid="{00000000-0005-0000-0000-0000C5A80000}"/>
    <cellStyle name="Note 2 2 2 2 2 3 2 4" xfId="28360" xr:uid="{00000000-0005-0000-0000-0000C6A80000}"/>
    <cellStyle name="Note 2 2 2 2 2 3 3" xfId="8575" xr:uid="{00000000-0005-0000-0000-0000C7A80000}"/>
    <cellStyle name="Note 2 2 2 2 2 3 3 2" xfId="19876" xr:uid="{00000000-0005-0000-0000-0000C8A80000}"/>
    <cellStyle name="Note 2 2 2 2 2 3 3 2 2" xfId="42478" xr:uid="{00000000-0005-0000-0000-0000C9A80000}"/>
    <cellStyle name="Note 2 2 2 2 2 3 3 3" xfId="31177" xr:uid="{00000000-0005-0000-0000-0000CAA80000}"/>
    <cellStyle name="Note 2 2 2 2 2 3 4" xfId="14226" xr:uid="{00000000-0005-0000-0000-0000CBA80000}"/>
    <cellStyle name="Note 2 2 2 2 2 3 4 2" xfId="36828" xr:uid="{00000000-0005-0000-0000-0000CCA80000}"/>
    <cellStyle name="Note 2 2 2 2 2 3 5" xfId="25527" xr:uid="{00000000-0005-0000-0000-0000CDA80000}"/>
    <cellStyle name="Note 2 2 2 2 2 4" xfId="4524" xr:uid="{00000000-0005-0000-0000-0000CEA80000}"/>
    <cellStyle name="Note 2 2 2 2 2 4 2" xfId="10174" xr:uid="{00000000-0005-0000-0000-0000CFA80000}"/>
    <cellStyle name="Note 2 2 2 2 2 4 2 2" xfId="21475" xr:uid="{00000000-0005-0000-0000-0000D0A80000}"/>
    <cellStyle name="Note 2 2 2 2 2 4 2 2 2" xfId="44077" xr:uid="{00000000-0005-0000-0000-0000D1A80000}"/>
    <cellStyle name="Note 2 2 2 2 2 4 2 3" xfId="32776" xr:uid="{00000000-0005-0000-0000-0000D2A80000}"/>
    <cellStyle name="Note 2 2 2 2 2 4 3" xfId="15825" xr:uid="{00000000-0005-0000-0000-0000D3A80000}"/>
    <cellStyle name="Note 2 2 2 2 2 4 3 2" xfId="38427" xr:uid="{00000000-0005-0000-0000-0000D4A80000}"/>
    <cellStyle name="Note 2 2 2 2 2 4 4" xfId="27126" xr:uid="{00000000-0005-0000-0000-0000D5A80000}"/>
    <cellStyle name="Note 2 2 2 2 2 5" xfId="7320" xr:uid="{00000000-0005-0000-0000-0000D6A80000}"/>
    <cellStyle name="Note 2 2 2 2 2 5 2" xfId="18621" xr:uid="{00000000-0005-0000-0000-0000D7A80000}"/>
    <cellStyle name="Note 2 2 2 2 2 5 2 2" xfId="41223" xr:uid="{00000000-0005-0000-0000-0000D8A80000}"/>
    <cellStyle name="Note 2 2 2 2 2 5 3" xfId="29922" xr:uid="{00000000-0005-0000-0000-0000D9A80000}"/>
    <cellStyle name="Note 2 2 2 2 2 6" xfId="12971" xr:uid="{00000000-0005-0000-0000-0000DAA80000}"/>
    <cellStyle name="Note 2 2 2 2 2 6 2" xfId="35573" xr:uid="{00000000-0005-0000-0000-0000DBA80000}"/>
    <cellStyle name="Note 2 2 2 2 2 7" xfId="24272" xr:uid="{00000000-0005-0000-0000-0000DCA80000}"/>
    <cellStyle name="Note 2 2 2 2 3" xfId="1039" xr:uid="{00000000-0005-0000-0000-0000DDA80000}"/>
    <cellStyle name="Note 2 2 2 2 3 2" xfId="3102" xr:uid="{00000000-0005-0000-0000-0000DEA80000}"/>
    <cellStyle name="Note 2 2 2 2 3 2 2" xfId="6074" xr:uid="{00000000-0005-0000-0000-0000DFA80000}"/>
    <cellStyle name="Note 2 2 2 2 3 2 2 2" xfId="11724" xr:uid="{00000000-0005-0000-0000-0000E0A80000}"/>
    <cellStyle name="Note 2 2 2 2 3 2 2 2 2" xfId="23025" xr:uid="{00000000-0005-0000-0000-0000E1A80000}"/>
    <cellStyle name="Note 2 2 2 2 3 2 2 2 2 2" xfId="45627" xr:uid="{00000000-0005-0000-0000-0000E2A80000}"/>
    <cellStyle name="Note 2 2 2 2 3 2 2 2 3" xfId="34326" xr:uid="{00000000-0005-0000-0000-0000E3A80000}"/>
    <cellStyle name="Note 2 2 2 2 3 2 2 3" xfId="17375" xr:uid="{00000000-0005-0000-0000-0000E4A80000}"/>
    <cellStyle name="Note 2 2 2 2 3 2 2 3 2" xfId="39977" xr:uid="{00000000-0005-0000-0000-0000E5A80000}"/>
    <cellStyle name="Note 2 2 2 2 3 2 2 4" xfId="28676" xr:uid="{00000000-0005-0000-0000-0000E6A80000}"/>
    <cellStyle name="Note 2 2 2 2 3 2 3" xfId="8892" xr:uid="{00000000-0005-0000-0000-0000E7A80000}"/>
    <cellStyle name="Note 2 2 2 2 3 2 3 2" xfId="20193" xr:uid="{00000000-0005-0000-0000-0000E8A80000}"/>
    <cellStyle name="Note 2 2 2 2 3 2 3 2 2" xfId="42795" xr:uid="{00000000-0005-0000-0000-0000E9A80000}"/>
    <cellStyle name="Note 2 2 2 2 3 2 3 3" xfId="31494" xr:uid="{00000000-0005-0000-0000-0000EAA80000}"/>
    <cellStyle name="Note 2 2 2 2 3 2 4" xfId="14543" xr:uid="{00000000-0005-0000-0000-0000EBA80000}"/>
    <cellStyle name="Note 2 2 2 2 3 2 4 2" xfId="37145" xr:uid="{00000000-0005-0000-0000-0000ECA80000}"/>
    <cellStyle name="Note 2 2 2 2 3 2 5" xfId="25844" xr:uid="{00000000-0005-0000-0000-0000EDA80000}"/>
    <cellStyle name="Note 2 2 2 2 3 3" xfId="4840" xr:uid="{00000000-0005-0000-0000-0000EEA80000}"/>
    <cellStyle name="Note 2 2 2 2 3 3 2" xfId="10490" xr:uid="{00000000-0005-0000-0000-0000EFA80000}"/>
    <cellStyle name="Note 2 2 2 2 3 3 2 2" xfId="21791" xr:uid="{00000000-0005-0000-0000-0000F0A80000}"/>
    <cellStyle name="Note 2 2 2 2 3 3 2 2 2" xfId="44393" xr:uid="{00000000-0005-0000-0000-0000F1A80000}"/>
    <cellStyle name="Note 2 2 2 2 3 3 2 3" xfId="33092" xr:uid="{00000000-0005-0000-0000-0000F2A80000}"/>
    <cellStyle name="Note 2 2 2 2 3 3 3" xfId="16141" xr:uid="{00000000-0005-0000-0000-0000F3A80000}"/>
    <cellStyle name="Note 2 2 2 2 3 3 3 2" xfId="38743" xr:uid="{00000000-0005-0000-0000-0000F4A80000}"/>
    <cellStyle name="Note 2 2 2 2 3 3 4" xfId="27442" xr:uid="{00000000-0005-0000-0000-0000F5A80000}"/>
    <cellStyle name="Note 2 2 2 2 3 4" xfId="7027" xr:uid="{00000000-0005-0000-0000-0000F6A80000}"/>
    <cellStyle name="Note 2 2 2 2 3 4 2" xfId="18328" xr:uid="{00000000-0005-0000-0000-0000F7A80000}"/>
    <cellStyle name="Note 2 2 2 2 3 4 2 2" xfId="40930" xr:uid="{00000000-0005-0000-0000-0000F8A80000}"/>
    <cellStyle name="Note 2 2 2 2 3 4 3" xfId="29629" xr:uid="{00000000-0005-0000-0000-0000F9A80000}"/>
    <cellStyle name="Note 2 2 2 2 3 5" xfId="12678" xr:uid="{00000000-0005-0000-0000-0000FAA80000}"/>
    <cellStyle name="Note 2 2 2 2 3 5 2" xfId="35280" xr:uid="{00000000-0005-0000-0000-0000FBA80000}"/>
    <cellStyle name="Note 2 2 2 2 3 6" xfId="23979" xr:uid="{00000000-0005-0000-0000-0000FCA80000}"/>
    <cellStyle name="Note 2 2 2 2 4" xfId="2068" xr:uid="{00000000-0005-0000-0000-0000FDA80000}"/>
    <cellStyle name="Note 2 2 2 2 4 2" xfId="3812" xr:uid="{00000000-0005-0000-0000-0000FEA80000}"/>
    <cellStyle name="Note 2 2 2 2 4 2 2" xfId="9520" xr:uid="{00000000-0005-0000-0000-0000FFA80000}"/>
    <cellStyle name="Note 2 2 2 2 4 2 2 2" xfId="20821" xr:uid="{00000000-0005-0000-0000-000000A90000}"/>
    <cellStyle name="Note 2 2 2 2 4 2 2 2 2" xfId="43423" xr:uid="{00000000-0005-0000-0000-000001A90000}"/>
    <cellStyle name="Note 2 2 2 2 4 2 2 3" xfId="32122" xr:uid="{00000000-0005-0000-0000-000002A90000}"/>
    <cellStyle name="Note 2 2 2 2 4 2 3" xfId="15171" xr:uid="{00000000-0005-0000-0000-000003A90000}"/>
    <cellStyle name="Note 2 2 2 2 4 2 3 2" xfId="37773" xr:uid="{00000000-0005-0000-0000-000004A90000}"/>
    <cellStyle name="Note 2 2 2 2 4 2 4" xfId="26472" xr:uid="{00000000-0005-0000-0000-000005A90000}"/>
    <cellStyle name="Note 2 2 2 2 4 3" xfId="5450" xr:uid="{00000000-0005-0000-0000-000006A90000}"/>
    <cellStyle name="Note 2 2 2 2 4 3 2" xfId="11100" xr:uid="{00000000-0005-0000-0000-000007A90000}"/>
    <cellStyle name="Note 2 2 2 2 4 3 2 2" xfId="22401" xr:uid="{00000000-0005-0000-0000-000008A90000}"/>
    <cellStyle name="Note 2 2 2 2 4 3 2 2 2" xfId="45003" xr:uid="{00000000-0005-0000-0000-000009A90000}"/>
    <cellStyle name="Note 2 2 2 2 4 3 2 3" xfId="33702" xr:uid="{00000000-0005-0000-0000-00000AA90000}"/>
    <cellStyle name="Note 2 2 2 2 4 3 3" xfId="16751" xr:uid="{00000000-0005-0000-0000-00000BA90000}"/>
    <cellStyle name="Note 2 2 2 2 4 3 3 2" xfId="39353" xr:uid="{00000000-0005-0000-0000-00000CA90000}"/>
    <cellStyle name="Note 2 2 2 2 4 3 4" xfId="28052" xr:uid="{00000000-0005-0000-0000-00000DA90000}"/>
    <cellStyle name="Note 2 2 2 2 4 4" xfId="7924" xr:uid="{00000000-0005-0000-0000-00000EA90000}"/>
    <cellStyle name="Note 2 2 2 2 4 4 2" xfId="19225" xr:uid="{00000000-0005-0000-0000-00000FA90000}"/>
    <cellStyle name="Note 2 2 2 2 4 4 2 2" xfId="41827" xr:uid="{00000000-0005-0000-0000-000010A90000}"/>
    <cellStyle name="Note 2 2 2 2 4 4 3" xfId="30526" xr:uid="{00000000-0005-0000-0000-000011A90000}"/>
    <cellStyle name="Note 2 2 2 2 4 5" xfId="13575" xr:uid="{00000000-0005-0000-0000-000012A90000}"/>
    <cellStyle name="Note 2 2 2 2 4 5 2" xfId="36177" xr:uid="{00000000-0005-0000-0000-000013A90000}"/>
    <cellStyle name="Note 2 2 2 2 4 6" xfId="24876" xr:uid="{00000000-0005-0000-0000-000014A90000}"/>
    <cellStyle name="Note 2 2 2 2 5" xfId="2431" xr:uid="{00000000-0005-0000-0000-000015A90000}"/>
    <cellStyle name="Note 2 2 2 2 5 2" xfId="8267" xr:uid="{00000000-0005-0000-0000-000016A90000}"/>
    <cellStyle name="Note 2 2 2 2 5 2 2" xfId="19568" xr:uid="{00000000-0005-0000-0000-000017A90000}"/>
    <cellStyle name="Note 2 2 2 2 5 2 2 2" xfId="42170" xr:uid="{00000000-0005-0000-0000-000018A90000}"/>
    <cellStyle name="Note 2 2 2 2 5 2 3" xfId="30869" xr:uid="{00000000-0005-0000-0000-000019A90000}"/>
    <cellStyle name="Note 2 2 2 2 5 3" xfId="13918" xr:uid="{00000000-0005-0000-0000-00001AA90000}"/>
    <cellStyle name="Note 2 2 2 2 5 3 2" xfId="36520" xr:uid="{00000000-0005-0000-0000-00001BA90000}"/>
    <cellStyle name="Note 2 2 2 2 5 4" xfId="25219" xr:uid="{00000000-0005-0000-0000-00001CA90000}"/>
    <cellStyle name="Note 2 2 2 2 6" xfId="4216" xr:uid="{00000000-0005-0000-0000-00001DA90000}"/>
    <cellStyle name="Note 2 2 2 2 6 2" xfId="9866" xr:uid="{00000000-0005-0000-0000-00001EA90000}"/>
    <cellStyle name="Note 2 2 2 2 6 2 2" xfId="21167" xr:uid="{00000000-0005-0000-0000-00001FA90000}"/>
    <cellStyle name="Note 2 2 2 2 6 2 2 2" xfId="43769" xr:uid="{00000000-0005-0000-0000-000020A90000}"/>
    <cellStyle name="Note 2 2 2 2 6 2 3" xfId="32468" xr:uid="{00000000-0005-0000-0000-000021A90000}"/>
    <cellStyle name="Note 2 2 2 2 6 3" xfId="15517" xr:uid="{00000000-0005-0000-0000-000022A90000}"/>
    <cellStyle name="Note 2 2 2 2 6 3 2" xfId="38119" xr:uid="{00000000-0005-0000-0000-000023A90000}"/>
    <cellStyle name="Note 2 2 2 2 6 4" xfId="26818" xr:uid="{00000000-0005-0000-0000-000024A90000}"/>
    <cellStyle name="Note 2 2 2 2 7" xfId="6696" xr:uid="{00000000-0005-0000-0000-000025A90000}"/>
    <cellStyle name="Note 2 2 2 2 7 2" xfId="17997" xr:uid="{00000000-0005-0000-0000-000026A90000}"/>
    <cellStyle name="Note 2 2 2 2 7 2 2" xfId="40599" xr:uid="{00000000-0005-0000-0000-000027A90000}"/>
    <cellStyle name="Note 2 2 2 2 7 3" xfId="29298" xr:uid="{00000000-0005-0000-0000-000028A90000}"/>
    <cellStyle name="Note 2 2 2 2 8" xfId="12347" xr:uid="{00000000-0005-0000-0000-000029A90000}"/>
    <cellStyle name="Note 2 2 2 2 8 2" xfId="34949" xr:uid="{00000000-0005-0000-0000-00002AA90000}"/>
    <cellStyle name="Note 2 2 2 2 9" xfId="23648" xr:uid="{00000000-0005-0000-0000-00002BA90000}"/>
    <cellStyle name="Note 2 2 2 3" xfId="1203" xr:uid="{00000000-0005-0000-0000-00002CA90000}"/>
    <cellStyle name="Note 2 2 2 3 2" xfId="2070" xr:uid="{00000000-0005-0000-0000-00002DA90000}"/>
    <cellStyle name="Note 2 2 2 3 2 2" xfId="3271" xr:uid="{00000000-0005-0000-0000-00002EA90000}"/>
    <cellStyle name="Note 2 2 2 3 2 2 2" xfId="6243" xr:uid="{00000000-0005-0000-0000-00002FA90000}"/>
    <cellStyle name="Note 2 2 2 3 2 2 2 2" xfId="11893" xr:uid="{00000000-0005-0000-0000-000030A90000}"/>
    <cellStyle name="Note 2 2 2 3 2 2 2 2 2" xfId="23194" xr:uid="{00000000-0005-0000-0000-000031A90000}"/>
    <cellStyle name="Note 2 2 2 3 2 2 2 2 2 2" xfId="45796" xr:uid="{00000000-0005-0000-0000-000032A90000}"/>
    <cellStyle name="Note 2 2 2 3 2 2 2 2 3" xfId="34495" xr:uid="{00000000-0005-0000-0000-000033A90000}"/>
    <cellStyle name="Note 2 2 2 3 2 2 2 3" xfId="17544" xr:uid="{00000000-0005-0000-0000-000034A90000}"/>
    <cellStyle name="Note 2 2 2 3 2 2 2 3 2" xfId="40146" xr:uid="{00000000-0005-0000-0000-000035A90000}"/>
    <cellStyle name="Note 2 2 2 3 2 2 2 4" xfId="28845" xr:uid="{00000000-0005-0000-0000-000036A90000}"/>
    <cellStyle name="Note 2 2 2 3 2 2 3" xfId="9061" xr:uid="{00000000-0005-0000-0000-000037A90000}"/>
    <cellStyle name="Note 2 2 2 3 2 2 3 2" xfId="20362" xr:uid="{00000000-0005-0000-0000-000038A90000}"/>
    <cellStyle name="Note 2 2 2 3 2 2 3 2 2" xfId="42964" xr:uid="{00000000-0005-0000-0000-000039A90000}"/>
    <cellStyle name="Note 2 2 2 3 2 2 3 3" xfId="31663" xr:uid="{00000000-0005-0000-0000-00003AA90000}"/>
    <cellStyle name="Note 2 2 2 3 2 2 4" xfId="14712" xr:uid="{00000000-0005-0000-0000-00003BA90000}"/>
    <cellStyle name="Note 2 2 2 3 2 2 4 2" xfId="37314" xr:uid="{00000000-0005-0000-0000-00003CA90000}"/>
    <cellStyle name="Note 2 2 2 3 2 2 5" xfId="26013" xr:uid="{00000000-0005-0000-0000-00003DA90000}"/>
    <cellStyle name="Note 2 2 2 3 2 3" xfId="5009" xr:uid="{00000000-0005-0000-0000-00003EA90000}"/>
    <cellStyle name="Note 2 2 2 3 2 3 2" xfId="10659" xr:uid="{00000000-0005-0000-0000-00003FA90000}"/>
    <cellStyle name="Note 2 2 2 3 2 3 2 2" xfId="21960" xr:uid="{00000000-0005-0000-0000-000040A90000}"/>
    <cellStyle name="Note 2 2 2 3 2 3 2 2 2" xfId="44562" xr:uid="{00000000-0005-0000-0000-000041A90000}"/>
    <cellStyle name="Note 2 2 2 3 2 3 2 3" xfId="33261" xr:uid="{00000000-0005-0000-0000-000042A90000}"/>
    <cellStyle name="Note 2 2 2 3 2 3 3" xfId="16310" xr:uid="{00000000-0005-0000-0000-000043A90000}"/>
    <cellStyle name="Note 2 2 2 3 2 3 3 2" xfId="38912" xr:uid="{00000000-0005-0000-0000-000044A90000}"/>
    <cellStyle name="Note 2 2 2 3 2 3 4" xfId="27611" xr:uid="{00000000-0005-0000-0000-000045A90000}"/>
    <cellStyle name="Note 2 2 2 3 2 4" xfId="7926" xr:uid="{00000000-0005-0000-0000-000046A90000}"/>
    <cellStyle name="Note 2 2 2 3 2 4 2" xfId="19227" xr:uid="{00000000-0005-0000-0000-000047A90000}"/>
    <cellStyle name="Note 2 2 2 3 2 4 2 2" xfId="41829" xr:uid="{00000000-0005-0000-0000-000048A90000}"/>
    <cellStyle name="Note 2 2 2 3 2 4 3" xfId="30528" xr:uid="{00000000-0005-0000-0000-000049A90000}"/>
    <cellStyle name="Note 2 2 2 3 2 5" xfId="13577" xr:uid="{00000000-0005-0000-0000-00004AA90000}"/>
    <cellStyle name="Note 2 2 2 3 2 5 2" xfId="36179" xr:uid="{00000000-0005-0000-0000-00004BA90000}"/>
    <cellStyle name="Note 2 2 2 3 2 6" xfId="24878" xr:uid="{00000000-0005-0000-0000-00004CA90000}"/>
    <cellStyle name="Note 2 2 2 3 3" xfId="2600" xr:uid="{00000000-0005-0000-0000-00004DA90000}"/>
    <cellStyle name="Note 2 2 2 3 3 2" xfId="5619" xr:uid="{00000000-0005-0000-0000-00004EA90000}"/>
    <cellStyle name="Note 2 2 2 3 3 2 2" xfId="11269" xr:uid="{00000000-0005-0000-0000-00004FA90000}"/>
    <cellStyle name="Note 2 2 2 3 3 2 2 2" xfId="22570" xr:uid="{00000000-0005-0000-0000-000050A90000}"/>
    <cellStyle name="Note 2 2 2 3 3 2 2 2 2" xfId="45172" xr:uid="{00000000-0005-0000-0000-000051A90000}"/>
    <cellStyle name="Note 2 2 2 3 3 2 2 3" xfId="33871" xr:uid="{00000000-0005-0000-0000-000052A90000}"/>
    <cellStyle name="Note 2 2 2 3 3 2 3" xfId="16920" xr:uid="{00000000-0005-0000-0000-000053A90000}"/>
    <cellStyle name="Note 2 2 2 3 3 2 3 2" xfId="39522" xr:uid="{00000000-0005-0000-0000-000054A90000}"/>
    <cellStyle name="Note 2 2 2 3 3 2 4" xfId="28221" xr:uid="{00000000-0005-0000-0000-000055A90000}"/>
    <cellStyle name="Note 2 2 2 3 3 3" xfId="8436" xr:uid="{00000000-0005-0000-0000-000056A90000}"/>
    <cellStyle name="Note 2 2 2 3 3 3 2" xfId="19737" xr:uid="{00000000-0005-0000-0000-000057A90000}"/>
    <cellStyle name="Note 2 2 2 3 3 3 2 2" xfId="42339" xr:uid="{00000000-0005-0000-0000-000058A90000}"/>
    <cellStyle name="Note 2 2 2 3 3 3 3" xfId="31038" xr:uid="{00000000-0005-0000-0000-000059A90000}"/>
    <cellStyle name="Note 2 2 2 3 3 4" xfId="14087" xr:uid="{00000000-0005-0000-0000-00005AA90000}"/>
    <cellStyle name="Note 2 2 2 3 3 4 2" xfId="36689" xr:uid="{00000000-0005-0000-0000-00005BA90000}"/>
    <cellStyle name="Note 2 2 2 3 3 5" xfId="25388" xr:uid="{00000000-0005-0000-0000-00005CA90000}"/>
    <cellStyle name="Note 2 2 2 3 4" xfId="4385" xr:uid="{00000000-0005-0000-0000-00005DA90000}"/>
    <cellStyle name="Note 2 2 2 3 4 2" xfId="10035" xr:uid="{00000000-0005-0000-0000-00005EA90000}"/>
    <cellStyle name="Note 2 2 2 3 4 2 2" xfId="21336" xr:uid="{00000000-0005-0000-0000-00005FA90000}"/>
    <cellStyle name="Note 2 2 2 3 4 2 2 2" xfId="43938" xr:uid="{00000000-0005-0000-0000-000060A90000}"/>
    <cellStyle name="Note 2 2 2 3 4 2 3" xfId="32637" xr:uid="{00000000-0005-0000-0000-000061A90000}"/>
    <cellStyle name="Note 2 2 2 3 4 3" xfId="15686" xr:uid="{00000000-0005-0000-0000-000062A90000}"/>
    <cellStyle name="Note 2 2 2 3 4 3 2" xfId="38288" xr:uid="{00000000-0005-0000-0000-000063A90000}"/>
    <cellStyle name="Note 2 2 2 3 4 4" xfId="26987" xr:uid="{00000000-0005-0000-0000-000064A90000}"/>
    <cellStyle name="Note 2 2 2 3 5" xfId="7182" xr:uid="{00000000-0005-0000-0000-000065A90000}"/>
    <cellStyle name="Note 2 2 2 3 5 2" xfId="18483" xr:uid="{00000000-0005-0000-0000-000066A90000}"/>
    <cellStyle name="Note 2 2 2 3 5 2 2" xfId="41085" xr:uid="{00000000-0005-0000-0000-000067A90000}"/>
    <cellStyle name="Note 2 2 2 3 5 3" xfId="29784" xr:uid="{00000000-0005-0000-0000-000068A90000}"/>
    <cellStyle name="Note 2 2 2 3 6" xfId="12833" xr:uid="{00000000-0005-0000-0000-000069A90000}"/>
    <cellStyle name="Note 2 2 2 3 6 2" xfId="35435" xr:uid="{00000000-0005-0000-0000-00006AA90000}"/>
    <cellStyle name="Note 2 2 2 3 7" xfId="24134" xr:uid="{00000000-0005-0000-0000-00006BA90000}"/>
    <cellStyle name="Note 2 2 2 4" xfId="894" xr:uid="{00000000-0005-0000-0000-00006CA90000}"/>
    <cellStyle name="Note 2 2 2 4 2" xfId="2964" xr:uid="{00000000-0005-0000-0000-00006DA90000}"/>
    <cellStyle name="Note 2 2 2 4 2 2" xfId="5936" xr:uid="{00000000-0005-0000-0000-00006EA90000}"/>
    <cellStyle name="Note 2 2 2 4 2 2 2" xfId="11586" xr:uid="{00000000-0005-0000-0000-00006FA90000}"/>
    <cellStyle name="Note 2 2 2 4 2 2 2 2" xfId="22887" xr:uid="{00000000-0005-0000-0000-000070A90000}"/>
    <cellStyle name="Note 2 2 2 4 2 2 2 2 2" xfId="45489" xr:uid="{00000000-0005-0000-0000-000071A90000}"/>
    <cellStyle name="Note 2 2 2 4 2 2 2 3" xfId="34188" xr:uid="{00000000-0005-0000-0000-000072A90000}"/>
    <cellStyle name="Note 2 2 2 4 2 2 3" xfId="17237" xr:uid="{00000000-0005-0000-0000-000073A90000}"/>
    <cellStyle name="Note 2 2 2 4 2 2 3 2" xfId="39839" xr:uid="{00000000-0005-0000-0000-000074A90000}"/>
    <cellStyle name="Note 2 2 2 4 2 2 4" xfId="28538" xr:uid="{00000000-0005-0000-0000-000075A90000}"/>
    <cellStyle name="Note 2 2 2 4 2 3" xfId="8754" xr:uid="{00000000-0005-0000-0000-000076A90000}"/>
    <cellStyle name="Note 2 2 2 4 2 3 2" xfId="20055" xr:uid="{00000000-0005-0000-0000-000077A90000}"/>
    <cellStyle name="Note 2 2 2 4 2 3 2 2" xfId="42657" xr:uid="{00000000-0005-0000-0000-000078A90000}"/>
    <cellStyle name="Note 2 2 2 4 2 3 3" xfId="31356" xr:uid="{00000000-0005-0000-0000-000079A90000}"/>
    <cellStyle name="Note 2 2 2 4 2 4" xfId="14405" xr:uid="{00000000-0005-0000-0000-00007AA90000}"/>
    <cellStyle name="Note 2 2 2 4 2 4 2" xfId="37007" xr:uid="{00000000-0005-0000-0000-00007BA90000}"/>
    <cellStyle name="Note 2 2 2 4 2 5" xfId="25706" xr:uid="{00000000-0005-0000-0000-00007CA90000}"/>
    <cellStyle name="Note 2 2 2 4 3" xfId="4702" xr:uid="{00000000-0005-0000-0000-00007DA90000}"/>
    <cellStyle name="Note 2 2 2 4 3 2" xfId="10352" xr:uid="{00000000-0005-0000-0000-00007EA90000}"/>
    <cellStyle name="Note 2 2 2 4 3 2 2" xfId="21653" xr:uid="{00000000-0005-0000-0000-00007FA90000}"/>
    <cellStyle name="Note 2 2 2 4 3 2 2 2" xfId="44255" xr:uid="{00000000-0005-0000-0000-000080A90000}"/>
    <cellStyle name="Note 2 2 2 4 3 2 3" xfId="32954" xr:uid="{00000000-0005-0000-0000-000081A90000}"/>
    <cellStyle name="Note 2 2 2 4 3 3" xfId="16003" xr:uid="{00000000-0005-0000-0000-000082A90000}"/>
    <cellStyle name="Note 2 2 2 4 3 3 2" xfId="38605" xr:uid="{00000000-0005-0000-0000-000083A90000}"/>
    <cellStyle name="Note 2 2 2 4 3 4" xfId="27304" xr:uid="{00000000-0005-0000-0000-000084A90000}"/>
    <cellStyle name="Note 2 2 2 4 4" xfId="6889" xr:uid="{00000000-0005-0000-0000-000085A90000}"/>
    <cellStyle name="Note 2 2 2 4 4 2" xfId="18190" xr:uid="{00000000-0005-0000-0000-000086A90000}"/>
    <cellStyle name="Note 2 2 2 4 4 2 2" xfId="40792" xr:uid="{00000000-0005-0000-0000-000087A90000}"/>
    <cellStyle name="Note 2 2 2 4 4 3" xfId="29491" xr:uid="{00000000-0005-0000-0000-000088A90000}"/>
    <cellStyle name="Note 2 2 2 4 5" xfId="12540" xr:uid="{00000000-0005-0000-0000-000089A90000}"/>
    <cellStyle name="Note 2 2 2 4 5 2" xfId="35142" xr:uid="{00000000-0005-0000-0000-00008AA90000}"/>
    <cellStyle name="Note 2 2 2 4 6" xfId="23841" xr:uid="{00000000-0005-0000-0000-00008BA90000}"/>
    <cellStyle name="Note 2 2 2 5" xfId="2067" xr:uid="{00000000-0005-0000-0000-00008CA90000}"/>
    <cellStyle name="Note 2 2 2 5 2" xfId="3811" xr:uid="{00000000-0005-0000-0000-00008DA90000}"/>
    <cellStyle name="Note 2 2 2 5 2 2" xfId="9519" xr:uid="{00000000-0005-0000-0000-00008EA90000}"/>
    <cellStyle name="Note 2 2 2 5 2 2 2" xfId="20820" xr:uid="{00000000-0005-0000-0000-00008FA90000}"/>
    <cellStyle name="Note 2 2 2 5 2 2 2 2" xfId="43422" xr:uid="{00000000-0005-0000-0000-000090A90000}"/>
    <cellStyle name="Note 2 2 2 5 2 2 3" xfId="32121" xr:uid="{00000000-0005-0000-0000-000091A90000}"/>
    <cellStyle name="Note 2 2 2 5 2 3" xfId="15170" xr:uid="{00000000-0005-0000-0000-000092A90000}"/>
    <cellStyle name="Note 2 2 2 5 2 3 2" xfId="37772" xr:uid="{00000000-0005-0000-0000-000093A90000}"/>
    <cellStyle name="Note 2 2 2 5 2 4" xfId="26471" xr:uid="{00000000-0005-0000-0000-000094A90000}"/>
    <cellStyle name="Note 2 2 2 5 3" xfId="5312" xr:uid="{00000000-0005-0000-0000-000095A90000}"/>
    <cellStyle name="Note 2 2 2 5 3 2" xfId="10962" xr:uid="{00000000-0005-0000-0000-000096A90000}"/>
    <cellStyle name="Note 2 2 2 5 3 2 2" xfId="22263" xr:uid="{00000000-0005-0000-0000-000097A90000}"/>
    <cellStyle name="Note 2 2 2 5 3 2 2 2" xfId="44865" xr:uid="{00000000-0005-0000-0000-000098A90000}"/>
    <cellStyle name="Note 2 2 2 5 3 2 3" xfId="33564" xr:uid="{00000000-0005-0000-0000-000099A90000}"/>
    <cellStyle name="Note 2 2 2 5 3 3" xfId="16613" xr:uid="{00000000-0005-0000-0000-00009AA90000}"/>
    <cellStyle name="Note 2 2 2 5 3 3 2" xfId="39215" xr:uid="{00000000-0005-0000-0000-00009BA90000}"/>
    <cellStyle name="Note 2 2 2 5 3 4" xfId="27914" xr:uid="{00000000-0005-0000-0000-00009CA90000}"/>
    <cellStyle name="Note 2 2 2 5 4" xfId="7923" xr:uid="{00000000-0005-0000-0000-00009DA90000}"/>
    <cellStyle name="Note 2 2 2 5 4 2" xfId="19224" xr:uid="{00000000-0005-0000-0000-00009EA90000}"/>
    <cellStyle name="Note 2 2 2 5 4 2 2" xfId="41826" xr:uid="{00000000-0005-0000-0000-00009FA90000}"/>
    <cellStyle name="Note 2 2 2 5 4 3" xfId="30525" xr:uid="{00000000-0005-0000-0000-0000A0A90000}"/>
    <cellStyle name="Note 2 2 2 5 5" xfId="13574" xr:uid="{00000000-0005-0000-0000-0000A1A90000}"/>
    <cellStyle name="Note 2 2 2 5 5 2" xfId="36176" xr:uid="{00000000-0005-0000-0000-0000A2A90000}"/>
    <cellStyle name="Note 2 2 2 5 6" xfId="24875" xr:uid="{00000000-0005-0000-0000-0000A3A90000}"/>
    <cellStyle name="Note 2 2 2 6" xfId="2291" xr:uid="{00000000-0005-0000-0000-0000A4A90000}"/>
    <cellStyle name="Note 2 2 2 6 2" xfId="8127" xr:uid="{00000000-0005-0000-0000-0000A5A90000}"/>
    <cellStyle name="Note 2 2 2 6 2 2" xfId="19428" xr:uid="{00000000-0005-0000-0000-0000A6A90000}"/>
    <cellStyle name="Note 2 2 2 6 2 2 2" xfId="42030" xr:uid="{00000000-0005-0000-0000-0000A7A90000}"/>
    <cellStyle name="Note 2 2 2 6 2 3" xfId="30729" xr:uid="{00000000-0005-0000-0000-0000A8A90000}"/>
    <cellStyle name="Note 2 2 2 6 3" xfId="13778" xr:uid="{00000000-0005-0000-0000-0000A9A90000}"/>
    <cellStyle name="Note 2 2 2 6 3 2" xfId="36380" xr:uid="{00000000-0005-0000-0000-0000AAA90000}"/>
    <cellStyle name="Note 2 2 2 6 4" xfId="25079" xr:uid="{00000000-0005-0000-0000-0000ABA90000}"/>
    <cellStyle name="Note 2 2 2 7" xfId="4078" xr:uid="{00000000-0005-0000-0000-0000ACA90000}"/>
    <cellStyle name="Note 2 2 2 7 2" xfId="9728" xr:uid="{00000000-0005-0000-0000-0000ADA90000}"/>
    <cellStyle name="Note 2 2 2 7 2 2" xfId="21029" xr:uid="{00000000-0005-0000-0000-0000AEA90000}"/>
    <cellStyle name="Note 2 2 2 7 2 2 2" xfId="43631" xr:uid="{00000000-0005-0000-0000-0000AFA90000}"/>
    <cellStyle name="Note 2 2 2 7 2 3" xfId="32330" xr:uid="{00000000-0005-0000-0000-0000B0A90000}"/>
    <cellStyle name="Note 2 2 2 7 3" xfId="15379" xr:uid="{00000000-0005-0000-0000-0000B1A90000}"/>
    <cellStyle name="Note 2 2 2 7 3 2" xfId="37981" xr:uid="{00000000-0005-0000-0000-0000B2A90000}"/>
    <cellStyle name="Note 2 2 2 7 4" xfId="26680" xr:uid="{00000000-0005-0000-0000-0000B3A90000}"/>
    <cellStyle name="Note 2 2 2 8" xfId="6529" xr:uid="{00000000-0005-0000-0000-0000B4A90000}"/>
    <cellStyle name="Note 2 2 2 8 2" xfId="17830" xr:uid="{00000000-0005-0000-0000-0000B5A90000}"/>
    <cellStyle name="Note 2 2 2 8 2 2" xfId="40432" xr:uid="{00000000-0005-0000-0000-0000B6A90000}"/>
    <cellStyle name="Note 2 2 2 8 3" xfId="29131" xr:uid="{00000000-0005-0000-0000-0000B7A90000}"/>
    <cellStyle name="Note 2 2 2 9" xfId="12180" xr:uid="{00000000-0005-0000-0000-0000B8A90000}"/>
    <cellStyle name="Note 2 2 2 9 2" xfId="34782" xr:uid="{00000000-0005-0000-0000-0000B9A90000}"/>
    <cellStyle name="Note 2 2 3" xfId="535" xr:uid="{00000000-0005-0000-0000-0000BAA90000}"/>
    <cellStyle name="Note 2 2 3 2" xfId="1108" xr:uid="{00000000-0005-0000-0000-0000BBA90000}"/>
    <cellStyle name="Note 2 2 3 2 2" xfId="2072" xr:uid="{00000000-0005-0000-0000-0000BCA90000}"/>
    <cellStyle name="Note 2 2 3 2 2 2" xfId="3176" xr:uid="{00000000-0005-0000-0000-0000BDA90000}"/>
    <cellStyle name="Note 2 2 3 2 2 2 2" xfId="6148" xr:uid="{00000000-0005-0000-0000-0000BEA90000}"/>
    <cellStyle name="Note 2 2 3 2 2 2 2 2" xfId="11798" xr:uid="{00000000-0005-0000-0000-0000BFA90000}"/>
    <cellStyle name="Note 2 2 3 2 2 2 2 2 2" xfId="23099" xr:uid="{00000000-0005-0000-0000-0000C0A90000}"/>
    <cellStyle name="Note 2 2 3 2 2 2 2 2 2 2" xfId="45701" xr:uid="{00000000-0005-0000-0000-0000C1A90000}"/>
    <cellStyle name="Note 2 2 3 2 2 2 2 2 3" xfId="34400" xr:uid="{00000000-0005-0000-0000-0000C2A90000}"/>
    <cellStyle name="Note 2 2 3 2 2 2 2 3" xfId="17449" xr:uid="{00000000-0005-0000-0000-0000C3A90000}"/>
    <cellStyle name="Note 2 2 3 2 2 2 2 3 2" xfId="40051" xr:uid="{00000000-0005-0000-0000-0000C4A90000}"/>
    <cellStyle name="Note 2 2 3 2 2 2 2 4" xfId="28750" xr:uid="{00000000-0005-0000-0000-0000C5A90000}"/>
    <cellStyle name="Note 2 2 3 2 2 2 3" xfId="8966" xr:uid="{00000000-0005-0000-0000-0000C6A90000}"/>
    <cellStyle name="Note 2 2 3 2 2 2 3 2" xfId="20267" xr:uid="{00000000-0005-0000-0000-0000C7A90000}"/>
    <cellStyle name="Note 2 2 3 2 2 2 3 2 2" xfId="42869" xr:uid="{00000000-0005-0000-0000-0000C8A90000}"/>
    <cellStyle name="Note 2 2 3 2 2 2 3 3" xfId="31568" xr:uid="{00000000-0005-0000-0000-0000C9A90000}"/>
    <cellStyle name="Note 2 2 3 2 2 2 4" xfId="14617" xr:uid="{00000000-0005-0000-0000-0000CAA90000}"/>
    <cellStyle name="Note 2 2 3 2 2 2 4 2" xfId="37219" xr:uid="{00000000-0005-0000-0000-0000CBA90000}"/>
    <cellStyle name="Note 2 2 3 2 2 2 5" xfId="25918" xr:uid="{00000000-0005-0000-0000-0000CCA90000}"/>
    <cellStyle name="Note 2 2 3 2 2 3" xfId="4914" xr:uid="{00000000-0005-0000-0000-0000CDA90000}"/>
    <cellStyle name="Note 2 2 3 2 2 3 2" xfId="10564" xr:uid="{00000000-0005-0000-0000-0000CEA90000}"/>
    <cellStyle name="Note 2 2 3 2 2 3 2 2" xfId="21865" xr:uid="{00000000-0005-0000-0000-0000CFA90000}"/>
    <cellStyle name="Note 2 2 3 2 2 3 2 2 2" xfId="44467" xr:uid="{00000000-0005-0000-0000-0000D0A90000}"/>
    <cellStyle name="Note 2 2 3 2 2 3 2 3" xfId="33166" xr:uid="{00000000-0005-0000-0000-0000D1A90000}"/>
    <cellStyle name="Note 2 2 3 2 2 3 3" xfId="16215" xr:uid="{00000000-0005-0000-0000-0000D2A90000}"/>
    <cellStyle name="Note 2 2 3 2 2 3 3 2" xfId="38817" xr:uid="{00000000-0005-0000-0000-0000D3A90000}"/>
    <cellStyle name="Note 2 2 3 2 2 3 4" xfId="27516" xr:uid="{00000000-0005-0000-0000-0000D4A90000}"/>
    <cellStyle name="Note 2 2 3 2 2 4" xfId="7928" xr:uid="{00000000-0005-0000-0000-0000D5A90000}"/>
    <cellStyle name="Note 2 2 3 2 2 4 2" xfId="19229" xr:uid="{00000000-0005-0000-0000-0000D6A90000}"/>
    <cellStyle name="Note 2 2 3 2 2 4 2 2" xfId="41831" xr:uid="{00000000-0005-0000-0000-0000D7A90000}"/>
    <cellStyle name="Note 2 2 3 2 2 4 3" xfId="30530" xr:uid="{00000000-0005-0000-0000-0000D8A90000}"/>
    <cellStyle name="Note 2 2 3 2 2 5" xfId="13579" xr:uid="{00000000-0005-0000-0000-0000D9A90000}"/>
    <cellStyle name="Note 2 2 3 2 2 5 2" xfId="36181" xr:uid="{00000000-0005-0000-0000-0000DAA90000}"/>
    <cellStyle name="Note 2 2 3 2 2 6" xfId="24880" xr:uid="{00000000-0005-0000-0000-0000DBA90000}"/>
    <cellStyle name="Note 2 2 3 2 3" xfId="2505" xr:uid="{00000000-0005-0000-0000-0000DCA90000}"/>
    <cellStyle name="Note 2 2 3 2 3 2" xfId="5524" xr:uid="{00000000-0005-0000-0000-0000DDA90000}"/>
    <cellStyle name="Note 2 2 3 2 3 2 2" xfId="11174" xr:uid="{00000000-0005-0000-0000-0000DEA90000}"/>
    <cellStyle name="Note 2 2 3 2 3 2 2 2" xfId="22475" xr:uid="{00000000-0005-0000-0000-0000DFA90000}"/>
    <cellStyle name="Note 2 2 3 2 3 2 2 2 2" xfId="45077" xr:uid="{00000000-0005-0000-0000-0000E0A90000}"/>
    <cellStyle name="Note 2 2 3 2 3 2 2 3" xfId="33776" xr:uid="{00000000-0005-0000-0000-0000E1A90000}"/>
    <cellStyle name="Note 2 2 3 2 3 2 3" xfId="16825" xr:uid="{00000000-0005-0000-0000-0000E2A90000}"/>
    <cellStyle name="Note 2 2 3 2 3 2 3 2" xfId="39427" xr:uid="{00000000-0005-0000-0000-0000E3A90000}"/>
    <cellStyle name="Note 2 2 3 2 3 2 4" xfId="28126" xr:uid="{00000000-0005-0000-0000-0000E4A90000}"/>
    <cellStyle name="Note 2 2 3 2 3 3" xfId="8341" xr:uid="{00000000-0005-0000-0000-0000E5A90000}"/>
    <cellStyle name="Note 2 2 3 2 3 3 2" xfId="19642" xr:uid="{00000000-0005-0000-0000-0000E6A90000}"/>
    <cellStyle name="Note 2 2 3 2 3 3 2 2" xfId="42244" xr:uid="{00000000-0005-0000-0000-0000E7A90000}"/>
    <cellStyle name="Note 2 2 3 2 3 3 3" xfId="30943" xr:uid="{00000000-0005-0000-0000-0000E8A90000}"/>
    <cellStyle name="Note 2 2 3 2 3 4" xfId="13992" xr:uid="{00000000-0005-0000-0000-0000E9A90000}"/>
    <cellStyle name="Note 2 2 3 2 3 4 2" xfId="36594" xr:uid="{00000000-0005-0000-0000-0000EAA90000}"/>
    <cellStyle name="Note 2 2 3 2 3 5" xfId="25293" xr:uid="{00000000-0005-0000-0000-0000EBA90000}"/>
    <cellStyle name="Note 2 2 3 2 4" xfId="4290" xr:uid="{00000000-0005-0000-0000-0000ECA90000}"/>
    <cellStyle name="Note 2 2 3 2 4 2" xfId="9940" xr:uid="{00000000-0005-0000-0000-0000EDA90000}"/>
    <cellStyle name="Note 2 2 3 2 4 2 2" xfId="21241" xr:uid="{00000000-0005-0000-0000-0000EEA90000}"/>
    <cellStyle name="Note 2 2 3 2 4 2 2 2" xfId="43843" xr:uid="{00000000-0005-0000-0000-0000EFA90000}"/>
    <cellStyle name="Note 2 2 3 2 4 2 3" xfId="32542" xr:uid="{00000000-0005-0000-0000-0000F0A90000}"/>
    <cellStyle name="Note 2 2 3 2 4 3" xfId="15591" xr:uid="{00000000-0005-0000-0000-0000F1A90000}"/>
    <cellStyle name="Note 2 2 3 2 4 3 2" xfId="38193" xr:uid="{00000000-0005-0000-0000-0000F2A90000}"/>
    <cellStyle name="Note 2 2 3 2 4 4" xfId="26892" xr:uid="{00000000-0005-0000-0000-0000F3A90000}"/>
    <cellStyle name="Note 2 2 3 2 5" xfId="7087" xr:uid="{00000000-0005-0000-0000-0000F4A90000}"/>
    <cellStyle name="Note 2 2 3 2 5 2" xfId="18388" xr:uid="{00000000-0005-0000-0000-0000F5A90000}"/>
    <cellStyle name="Note 2 2 3 2 5 2 2" xfId="40990" xr:uid="{00000000-0005-0000-0000-0000F6A90000}"/>
    <cellStyle name="Note 2 2 3 2 5 3" xfId="29689" xr:uid="{00000000-0005-0000-0000-0000F7A90000}"/>
    <cellStyle name="Note 2 2 3 2 6" xfId="12738" xr:uid="{00000000-0005-0000-0000-0000F8A90000}"/>
    <cellStyle name="Note 2 2 3 2 6 2" xfId="35340" xr:uid="{00000000-0005-0000-0000-0000F9A90000}"/>
    <cellStyle name="Note 2 2 3 2 7" xfId="24039" xr:uid="{00000000-0005-0000-0000-0000FAA90000}"/>
    <cellStyle name="Note 2 2 3 3" xfId="788" xr:uid="{00000000-0005-0000-0000-0000FBA90000}"/>
    <cellStyle name="Note 2 2 3 3 2" xfId="2869" xr:uid="{00000000-0005-0000-0000-0000FCA90000}"/>
    <cellStyle name="Note 2 2 3 3 2 2" xfId="5841" xr:uid="{00000000-0005-0000-0000-0000FDA90000}"/>
    <cellStyle name="Note 2 2 3 3 2 2 2" xfId="11491" xr:uid="{00000000-0005-0000-0000-0000FEA90000}"/>
    <cellStyle name="Note 2 2 3 3 2 2 2 2" xfId="22792" xr:uid="{00000000-0005-0000-0000-0000FFA90000}"/>
    <cellStyle name="Note 2 2 3 3 2 2 2 2 2" xfId="45394" xr:uid="{00000000-0005-0000-0000-000000AA0000}"/>
    <cellStyle name="Note 2 2 3 3 2 2 2 3" xfId="34093" xr:uid="{00000000-0005-0000-0000-000001AA0000}"/>
    <cellStyle name="Note 2 2 3 3 2 2 3" xfId="17142" xr:uid="{00000000-0005-0000-0000-000002AA0000}"/>
    <cellStyle name="Note 2 2 3 3 2 2 3 2" xfId="39744" xr:uid="{00000000-0005-0000-0000-000003AA0000}"/>
    <cellStyle name="Note 2 2 3 3 2 2 4" xfId="28443" xr:uid="{00000000-0005-0000-0000-000004AA0000}"/>
    <cellStyle name="Note 2 2 3 3 2 3" xfId="8659" xr:uid="{00000000-0005-0000-0000-000005AA0000}"/>
    <cellStyle name="Note 2 2 3 3 2 3 2" xfId="19960" xr:uid="{00000000-0005-0000-0000-000006AA0000}"/>
    <cellStyle name="Note 2 2 3 3 2 3 2 2" xfId="42562" xr:uid="{00000000-0005-0000-0000-000007AA0000}"/>
    <cellStyle name="Note 2 2 3 3 2 3 3" xfId="31261" xr:uid="{00000000-0005-0000-0000-000008AA0000}"/>
    <cellStyle name="Note 2 2 3 3 2 4" xfId="14310" xr:uid="{00000000-0005-0000-0000-000009AA0000}"/>
    <cellStyle name="Note 2 2 3 3 2 4 2" xfId="36912" xr:uid="{00000000-0005-0000-0000-00000AAA0000}"/>
    <cellStyle name="Note 2 2 3 3 2 5" xfId="25611" xr:uid="{00000000-0005-0000-0000-00000BAA0000}"/>
    <cellStyle name="Note 2 2 3 3 3" xfId="4607" xr:uid="{00000000-0005-0000-0000-00000CAA0000}"/>
    <cellStyle name="Note 2 2 3 3 3 2" xfId="10257" xr:uid="{00000000-0005-0000-0000-00000DAA0000}"/>
    <cellStyle name="Note 2 2 3 3 3 2 2" xfId="21558" xr:uid="{00000000-0005-0000-0000-00000EAA0000}"/>
    <cellStyle name="Note 2 2 3 3 3 2 2 2" xfId="44160" xr:uid="{00000000-0005-0000-0000-00000FAA0000}"/>
    <cellStyle name="Note 2 2 3 3 3 2 3" xfId="32859" xr:uid="{00000000-0005-0000-0000-000010AA0000}"/>
    <cellStyle name="Note 2 2 3 3 3 3" xfId="15908" xr:uid="{00000000-0005-0000-0000-000011AA0000}"/>
    <cellStyle name="Note 2 2 3 3 3 3 2" xfId="38510" xr:uid="{00000000-0005-0000-0000-000012AA0000}"/>
    <cellStyle name="Note 2 2 3 3 3 4" xfId="27209" xr:uid="{00000000-0005-0000-0000-000013AA0000}"/>
    <cellStyle name="Note 2 2 3 3 4" xfId="6793" xr:uid="{00000000-0005-0000-0000-000014AA0000}"/>
    <cellStyle name="Note 2 2 3 3 4 2" xfId="18094" xr:uid="{00000000-0005-0000-0000-000015AA0000}"/>
    <cellStyle name="Note 2 2 3 3 4 2 2" xfId="40696" xr:uid="{00000000-0005-0000-0000-000016AA0000}"/>
    <cellStyle name="Note 2 2 3 3 4 3" xfId="29395" xr:uid="{00000000-0005-0000-0000-000017AA0000}"/>
    <cellStyle name="Note 2 2 3 3 5" xfId="12444" xr:uid="{00000000-0005-0000-0000-000018AA0000}"/>
    <cellStyle name="Note 2 2 3 3 5 2" xfId="35046" xr:uid="{00000000-0005-0000-0000-000019AA0000}"/>
    <cellStyle name="Note 2 2 3 3 6" xfId="23745" xr:uid="{00000000-0005-0000-0000-00001AAA0000}"/>
    <cellStyle name="Note 2 2 3 4" xfId="2071" xr:uid="{00000000-0005-0000-0000-00001BAA0000}"/>
    <cellStyle name="Note 2 2 3 4 2" xfId="3813" xr:uid="{00000000-0005-0000-0000-00001CAA0000}"/>
    <cellStyle name="Note 2 2 3 4 2 2" xfId="9521" xr:uid="{00000000-0005-0000-0000-00001DAA0000}"/>
    <cellStyle name="Note 2 2 3 4 2 2 2" xfId="20822" xr:uid="{00000000-0005-0000-0000-00001EAA0000}"/>
    <cellStyle name="Note 2 2 3 4 2 2 2 2" xfId="43424" xr:uid="{00000000-0005-0000-0000-00001FAA0000}"/>
    <cellStyle name="Note 2 2 3 4 2 2 3" xfId="32123" xr:uid="{00000000-0005-0000-0000-000020AA0000}"/>
    <cellStyle name="Note 2 2 3 4 2 3" xfId="15172" xr:uid="{00000000-0005-0000-0000-000021AA0000}"/>
    <cellStyle name="Note 2 2 3 4 2 3 2" xfId="37774" xr:uid="{00000000-0005-0000-0000-000022AA0000}"/>
    <cellStyle name="Note 2 2 3 4 2 4" xfId="26473" xr:uid="{00000000-0005-0000-0000-000023AA0000}"/>
    <cellStyle name="Note 2 2 3 4 3" xfId="5217" xr:uid="{00000000-0005-0000-0000-000024AA0000}"/>
    <cellStyle name="Note 2 2 3 4 3 2" xfId="10867" xr:uid="{00000000-0005-0000-0000-000025AA0000}"/>
    <cellStyle name="Note 2 2 3 4 3 2 2" xfId="22168" xr:uid="{00000000-0005-0000-0000-000026AA0000}"/>
    <cellStyle name="Note 2 2 3 4 3 2 2 2" xfId="44770" xr:uid="{00000000-0005-0000-0000-000027AA0000}"/>
    <cellStyle name="Note 2 2 3 4 3 2 3" xfId="33469" xr:uid="{00000000-0005-0000-0000-000028AA0000}"/>
    <cellStyle name="Note 2 2 3 4 3 3" xfId="16518" xr:uid="{00000000-0005-0000-0000-000029AA0000}"/>
    <cellStyle name="Note 2 2 3 4 3 3 2" xfId="39120" xr:uid="{00000000-0005-0000-0000-00002AAA0000}"/>
    <cellStyle name="Note 2 2 3 4 3 4" xfId="27819" xr:uid="{00000000-0005-0000-0000-00002BAA0000}"/>
    <cellStyle name="Note 2 2 3 4 4" xfId="7927" xr:uid="{00000000-0005-0000-0000-00002CAA0000}"/>
    <cellStyle name="Note 2 2 3 4 4 2" xfId="19228" xr:uid="{00000000-0005-0000-0000-00002DAA0000}"/>
    <cellStyle name="Note 2 2 3 4 4 2 2" xfId="41830" xr:uid="{00000000-0005-0000-0000-00002EAA0000}"/>
    <cellStyle name="Note 2 2 3 4 4 3" xfId="30529" xr:uid="{00000000-0005-0000-0000-00002FAA0000}"/>
    <cellStyle name="Note 2 2 3 4 5" xfId="13578" xr:uid="{00000000-0005-0000-0000-000030AA0000}"/>
    <cellStyle name="Note 2 2 3 4 5 2" xfId="36180" xr:uid="{00000000-0005-0000-0000-000031AA0000}"/>
    <cellStyle name="Note 2 2 3 4 6" xfId="24879" xr:uid="{00000000-0005-0000-0000-000032AA0000}"/>
    <cellStyle name="Note 2 2 3 5" xfId="2190" xr:uid="{00000000-0005-0000-0000-000033AA0000}"/>
    <cellStyle name="Note 2 2 3 5 2" xfId="8031" xr:uid="{00000000-0005-0000-0000-000034AA0000}"/>
    <cellStyle name="Note 2 2 3 5 2 2" xfId="19332" xr:uid="{00000000-0005-0000-0000-000035AA0000}"/>
    <cellStyle name="Note 2 2 3 5 2 2 2" xfId="41934" xr:uid="{00000000-0005-0000-0000-000036AA0000}"/>
    <cellStyle name="Note 2 2 3 5 2 3" xfId="30633" xr:uid="{00000000-0005-0000-0000-000037AA0000}"/>
    <cellStyle name="Note 2 2 3 5 3" xfId="13682" xr:uid="{00000000-0005-0000-0000-000038AA0000}"/>
    <cellStyle name="Note 2 2 3 5 3 2" xfId="36284" xr:uid="{00000000-0005-0000-0000-000039AA0000}"/>
    <cellStyle name="Note 2 2 3 5 4" xfId="24983" xr:uid="{00000000-0005-0000-0000-00003AAA0000}"/>
    <cellStyle name="Note 2 2 3 6" xfId="3983" xr:uid="{00000000-0005-0000-0000-00003BAA0000}"/>
    <cellStyle name="Note 2 2 3 6 2" xfId="9633" xr:uid="{00000000-0005-0000-0000-00003CAA0000}"/>
    <cellStyle name="Note 2 2 3 6 2 2" xfId="20934" xr:uid="{00000000-0005-0000-0000-00003DAA0000}"/>
    <cellStyle name="Note 2 2 3 6 2 2 2" xfId="43536" xr:uid="{00000000-0005-0000-0000-00003EAA0000}"/>
    <cellStyle name="Note 2 2 3 6 2 3" xfId="32235" xr:uid="{00000000-0005-0000-0000-00003FAA0000}"/>
    <cellStyle name="Note 2 2 3 6 3" xfId="15284" xr:uid="{00000000-0005-0000-0000-000040AA0000}"/>
    <cellStyle name="Note 2 2 3 6 3 2" xfId="37886" xr:uid="{00000000-0005-0000-0000-000041AA0000}"/>
    <cellStyle name="Note 2 2 3 6 4" xfId="26585" xr:uid="{00000000-0005-0000-0000-000042AA0000}"/>
    <cellStyle name="Note 2 2 3 7" xfId="6601" xr:uid="{00000000-0005-0000-0000-000043AA0000}"/>
    <cellStyle name="Note 2 2 3 7 2" xfId="17902" xr:uid="{00000000-0005-0000-0000-000044AA0000}"/>
    <cellStyle name="Note 2 2 3 7 2 2" xfId="40504" xr:uid="{00000000-0005-0000-0000-000045AA0000}"/>
    <cellStyle name="Note 2 2 3 7 3" xfId="29203" xr:uid="{00000000-0005-0000-0000-000046AA0000}"/>
    <cellStyle name="Note 2 2 3 8" xfId="12252" xr:uid="{00000000-0005-0000-0000-000047AA0000}"/>
    <cellStyle name="Note 2 2 3 8 2" xfId="34854" xr:uid="{00000000-0005-0000-0000-000048AA0000}"/>
    <cellStyle name="Note 2 2 3 9" xfId="23553" xr:uid="{00000000-0005-0000-0000-000049AA0000}"/>
    <cellStyle name="Note 2 2 4" xfId="448" xr:uid="{00000000-0005-0000-0000-00004AAA0000}"/>
    <cellStyle name="Note 2 2 4 2" xfId="1219" xr:uid="{00000000-0005-0000-0000-00004BAA0000}"/>
    <cellStyle name="Note 2 2 4 2 2" xfId="2074" xr:uid="{00000000-0005-0000-0000-00004CAA0000}"/>
    <cellStyle name="Note 2 2 4 2 2 2" xfId="3288" xr:uid="{00000000-0005-0000-0000-00004DAA0000}"/>
    <cellStyle name="Note 2 2 4 2 2 2 2" xfId="6260" xr:uid="{00000000-0005-0000-0000-00004EAA0000}"/>
    <cellStyle name="Note 2 2 4 2 2 2 2 2" xfId="11910" xr:uid="{00000000-0005-0000-0000-00004FAA0000}"/>
    <cellStyle name="Note 2 2 4 2 2 2 2 2 2" xfId="23211" xr:uid="{00000000-0005-0000-0000-000050AA0000}"/>
    <cellStyle name="Note 2 2 4 2 2 2 2 2 2 2" xfId="45813" xr:uid="{00000000-0005-0000-0000-000051AA0000}"/>
    <cellStyle name="Note 2 2 4 2 2 2 2 2 3" xfId="34512" xr:uid="{00000000-0005-0000-0000-000052AA0000}"/>
    <cellStyle name="Note 2 2 4 2 2 2 2 3" xfId="17561" xr:uid="{00000000-0005-0000-0000-000053AA0000}"/>
    <cellStyle name="Note 2 2 4 2 2 2 2 3 2" xfId="40163" xr:uid="{00000000-0005-0000-0000-000054AA0000}"/>
    <cellStyle name="Note 2 2 4 2 2 2 2 4" xfId="28862" xr:uid="{00000000-0005-0000-0000-000055AA0000}"/>
    <cellStyle name="Note 2 2 4 2 2 2 3" xfId="9078" xr:uid="{00000000-0005-0000-0000-000056AA0000}"/>
    <cellStyle name="Note 2 2 4 2 2 2 3 2" xfId="20379" xr:uid="{00000000-0005-0000-0000-000057AA0000}"/>
    <cellStyle name="Note 2 2 4 2 2 2 3 2 2" xfId="42981" xr:uid="{00000000-0005-0000-0000-000058AA0000}"/>
    <cellStyle name="Note 2 2 4 2 2 2 3 3" xfId="31680" xr:uid="{00000000-0005-0000-0000-000059AA0000}"/>
    <cellStyle name="Note 2 2 4 2 2 2 4" xfId="14729" xr:uid="{00000000-0005-0000-0000-00005AAA0000}"/>
    <cellStyle name="Note 2 2 4 2 2 2 4 2" xfId="37331" xr:uid="{00000000-0005-0000-0000-00005BAA0000}"/>
    <cellStyle name="Note 2 2 4 2 2 2 5" xfId="26030" xr:uid="{00000000-0005-0000-0000-00005CAA0000}"/>
    <cellStyle name="Note 2 2 4 2 2 3" xfId="5026" xr:uid="{00000000-0005-0000-0000-00005DAA0000}"/>
    <cellStyle name="Note 2 2 4 2 2 3 2" xfId="10676" xr:uid="{00000000-0005-0000-0000-00005EAA0000}"/>
    <cellStyle name="Note 2 2 4 2 2 3 2 2" xfId="21977" xr:uid="{00000000-0005-0000-0000-00005FAA0000}"/>
    <cellStyle name="Note 2 2 4 2 2 3 2 2 2" xfId="44579" xr:uid="{00000000-0005-0000-0000-000060AA0000}"/>
    <cellStyle name="Note 2 2 4 2 2 3 2 3" xfId="33278" xr:uid="{00000000-0005-0000-0000-000061AA0000}"/>
    <cellStyle name="Note 2 2 4 2 2 3 3" xfId="16327" xr:uid="{00000000-0005-0000-0000-000062AA0000}"/>
    <cellStyle name="Note 2 2 4 2 2 3 3 2" xfId="38929" xr:uid="{00000000-0005-0000-0000-000063AA0000}"/>
    <cellStyle name="Note 2 2 4 2 2 3 4" xfId="27628" xr:uid="{00000000-0005-0000-0000-000064AA0000}"/>
    <cellStyle name="Note 2 2 4 2 2 4" xfId="7930" xr:uid="{00000000-0005-0000-0000-000065AA0000}"/>
    <cellStyle name="Note 2 2 4 2 2 4 2" xfId="19231" xr:uid="{00000000-0005-0000-0000-000066AA0000}"/>
    <cellStyle name="Note 2 2 4 2 2 4 2 2" xfId="41833" xr:uid="{00000000-0005-0000-0000-000067AA0000}"/>
    <cellStyle name="Note 2 2 4 2 2 4 3" xfId="30532" xr:uid="{00000000-0005-0000-0000-000068AA0000}"/>
    <cellStyle name="Note 2 2 4 2 2 5" xfId="13581" xr:uid="{00000000-0005-0000-0000-000069AA0000}"/>
    <cellStyle name="Note 2 2 4 2 2 5 2" xfId="36183" xr:uid="{00000000-0005-0000-0000-00006AAA0000}"/>
    <cellStyle name="Note 2 2 4 2 2 6" xfId="24882" xr:uid="{00000000-0005-0000-0000-00006BAA0000}"/>
    <cellStyle name="Note 2 2 4 2 3" xfId="2617" xr:uid="{00000000-0005-0000-0000-00006CAA0000}"/>
    <cellStyle name="Note 2 2 4 2 3 2" xfId="5636" xr:uid="{00000000-0005-0000-0000-00006DAA0000}"/>
    <cellStyle name="Note 2 2 4 2 3 2 2" xfId="11286" xr:uid="{00000000-0005-0000-0000-00006EAA0000}"/>
    <cellStyle name="Note 2 2 4 2 3 2 2 2" xfId="22587" xr:uid="{00000000-0005-0000-0000-00006FAA0000}"/>
    <cellStyle name="Note 2 2 4 2 3 2 2 2 2" xfId="45189" xr:uid="{00000000-0005-0000-0000-000070AA0000}"/>
    <cellStyle name="Note 2 2 4 2 3 2 2 3" xfId="33888" xr:uid="{00000000-0005-0000-0000-000071AA0000}"/>
    <cellStyle name="Note 2 2 4 2 3 2 3" xfId="16937" xr:uid="{00000000-0005-0000-0000-000072AA0000}"/>
    <cellStyle name="Note 2 2 4 2 3 2 3 2" xfId="39539" xr:uid="{00000000-0005-0000-0000-000073AA0000}"/>
    <cellStyle name="Note 2 2 4 2 3 2 4" xfId="28238" xr:uid="{00000000-0005-0000-0000-000074AA0000}"/>
    <cellStyle name="Note 2 2 4 2 3 3" xfId="8453" xr:uid="{00000000-0005-0000-0000-000075AA0000}"/>
    <cellStyle name="Note 2 2 4 2 3 3 2" xfId="19754" xr:uid="{00000000-0005-0000-0000-000076AA0000}"/>
    <cellStyle name="Note 2 2 4 2 3 3 2 2" xfId="42356" xr:uid="{00000000-0005-0000-0000-000077AA0000}"/>
    <cellStyle name="Note 2 2 4 2 3 3 3" xfId="31055" xr:uid="{00000000-0005-0000-0000-000078AA0000}"/>
    <cellStyle name="Note 2 2 4 2 3 4" xfId="14104" xr:uid="{00000000-0005-0000-0000-000079AA0000}"/>
    <cellStyle name="Note 2 2 4 2 3 4 2" xfId="36706" xr:uid="{00000000-0005-0000-0000-00007AAA0000}"/>
    <cellStyle name="Note 2 2 4 2 3 5" xfId="25405" xr:uid="{00000000-0005-0000-0000-00007BAA0000}"/>
    <cellStyle name="Note 2 2 4 2 4" xfId="4402" xr:uid="{00000000-0005-0000-0000-00007CAA0000}"/>
    <cellStyle name="Note 2 2 4 2 4 2" xfId="10052" xr:uid="{00000000-0005-0000-0000-00007DAA0000}"/>
    <cellStyle name="Note 2 2 4 2 4 2 2" xfId="21353" xr:uid="{00000000-0005-0000-0000-00007EAA0000}"/>
    <cellStyle name="Note 2 2 4 2 4 2 2 2" xfId="43955" xr:uid="{00000000-0005-0000-0000-00007FAA0000}"/>
    <cellStyle name="Note 2 2 4 2 4 2 3" xfId="32654" xr:uid="{00000000-0005-0000-0000-000080AA0000}"/>
    <cellStyle name="Note 2 2 4 2 4 3" xfId="15703" xr:uid="{00000000-0005-0000-0000-000081AA0000}"/>
    <cellStyle name="Note 2 2 4 2 4 3 2" xfId="38305" xr:uid="{00000000-0005-0000-0000-000082AA0000}"/>
    <cellStyle name="Note 2 2 4 2 4 4" xfId="27004" xr:uid="{00000000-0005-0000-0000-000083AA0000}"/>
    <cellStyle name="Note 2 2 4 2 5" xfId="7198" xr:uid="{00000000-0005-0000-0000-000084AA0000}"/>
    <cellStyle name="Note 2 2 4 2 5 2" xfId="18499" xr:uid="{00000000-0005-0000-0000-000085AA0000}"/>
    <cellStyle name="Note 2 2 4 2 5 2 2" xfId="41101" xr:uid="{00000000-0005-0000-0000-000086AA0000}"/>
    <cellStyle name="Note 2 2 4 2 5 3" xfId="29800" xr:uid="{00000000-0005-0000-0000-000087AA0000}"/>
    <cellStyle name="Note 2 2 4 2 6" xfId="12849" xr:uid="{00000000-0005-0000-0000-000088AA0000}"/>
    <cellStyle name="Note 2 2 4 2 6 2" xfId="35451" xr:uid="{00000000-0005-0000-0000-000089AA0000}"/>
    <cellStyle name="Note 2 2 4 2 7" xfId="24150" xr:uid="{00000000-0005-0000-0000-00008AAA0000}"/>
    <cellStyle name="Note 2 2 4 3" xfId="916" xr:uid="{00000000-0005-0000-0000-00008BAA0000}"/>
    <cellStyle name="Note 2 2 4 3 2" xfId="2980" xr:uid="{00000000-0005-0000-0000-00008CAA0000}"/>
    <cellStyle name="Note 2 2 4 3 2 2" xfId="5952" xr:uid="{00000000-0005-0000-0000-00008DAA0000}"/>
    <cellStyle name="Note 2 2 4 3 2 2 2" xfId="11602" xr:uid="{00000000-0005-0000-0000-00008EAA0000}"/>
    <cellStyle name="Note 2 2 4 3 2 2 2 2" xfId="22903" xr:uid="{00000000-0005-0000-0000-00008FAA0000}"/>
    <cellStyle name="Note 2 2 4 3 2 2 2 2 2" xfId="45505" xr:uid="{00000000-0005-0000-0000-000090AA0000}"/>
    <cellStyle name="Note 2 2 4 3 2 2 2 3" xfId="34204" xr:uid="{00000000-0005-0000-0000-000091AA0000}"/>
    <cellStyle name="Note 2 2 4 3 2 2 3" xfId="17253" xr:uid="{00000000-0005-0000-0000-000092AA0000}"/>
    <cellStyle name="Note 2 2 4 3 2 2 3 2" xfId="39855" xr:uid="{00000000-0005-0000-0000-000093AA0000}"/>
    <cellStyle name="Note 2 2 4 3 2 2 4" xfId="28554" xr:uid="{00000000-0005-0000-0000-000094AA0000}"/>
    <cellStyle name="Note 2 2 4 3 2 3" xfId="8770" xr:uid="{00000000-0005-0000-0000-000095AA0000}"/>
    <cellStyle name="Note 2 2 4 3 2 3 2" xfId="20071" xr:uid="{00000000-0005-0000-0000-000096AA0000}"/>
    <cellStyle name="Note 2 2 4 3 2 3 2 2" xfId="42673" xr:uid="{00000000-0005-0000-0000-000097AA0000}"/>
    <cellStyle name="Note 2 2 4 3 2 3 3" xfId="31372" xr:uid="{00000000-0005-0000-0000-000098AA0000}"/>
    <cellStyle name="Note 2 2 4 3 2 4" xfId="14421" xr:uid="{00000000-0005-0000-0000-000099AA0000}"/>
    <cellStyle name="Note 2 2 4 3 2 4 2" xfId="37023" xr:uid="{00000000-0005-0000-0000-00009AAA0000}"/>
    <cellStyle name="Note 2 2 4 3 2 5" xfId="25722" xr:uid="{00000000-0005-0000-0000-00009BAA0000}"/>
    <cellStyle name="Note 2 2 4 3 3" xfId="4718" xr:uid="{00000000-0005-0000-0000-00009CAA0000}"/>
    <cellStyle name="Note 2 2 4 3 3 2" xfId="10368" xr:uid="{00000000-0005-0000-0000-00009DAA0000}"/>
    <cellStyle name="Note 2 2 4 3 3 2 2" xfId="21669" xr:uid="{00000000-0005-0000-0000-00009EAA0000}"/>
    <cellStyle name="Note 2 2 4 3 3 2 2 2" xfId="44271" xr:uid="{00000000-0005-0000-0000-00009FAA0000}"/>
    <cellStyle name="Note 2 2 4 3 3 2 3" xfId="32970" xr:uid="{00000000-0005-0000-0000-0000A0AA0000}"/>
    <cellStyle name="Note 2 2 4 3 3 3" xfId="16019" xr:uid="{00000000-0005-0000-0000-0000A1AA0000}"/>
    <cellStyle name="Note 2 2 4 3 3 3 2" xfId="38621" xr:uid="{00000000-0005-0000-0000-0000A2AA0000}"/>
    <cellStyle name="Note 2 2 4 3 3 4" xfId="27320" xr:uid="{00000000-0005-0000-0000-0000A3AA0000}"/>
    <cellStyle name="Note 2 2 4 3 4" xfId="6905" xr:uid="{00000000-0005-0000-0000-0000A4AA0000}"/>
    <cellStyle name="Note 2 2 4 3 4 2" xfId="18206" xr:uid="{00000000-0005-0000-0000-0000A5AA0000}"/>
    <cellStyle name="Note 2 2 4 3 4 2 2" xfId="40808" xr:uid="{00000000-0005-0000-0000-0000A6AA0000}"/>
    <cellStyle name="Note 2 2 4 3 4 3" xfId="29507" xr:uid="{00000000-0005-0000-0000-0000A7AA0000}"/>
    <cellStyle name="Note 2 2 4 3 5" xfId="12556" xr:uid="{00000000-0005-0000-0000-0000A8AA0000}"/>
    <cellStyle name="Note 2 2 4 3 5 2" xfId="35158" xr:uid="{00000000-0005-0000-0000-0000A9AA0000}"/>
    <cellStyle name="Note 2 2 4 3 6" xfId="23857" xr:uid="{00000000-0005-0000-0000-0000AAAA0000}"/>
    <cellStyle name="Note 2 2 4 4" xfId="2073" xr:uid="{00000000-0005-0000-0000-0000ABAA0000}"/>
    <cellStyle name="Note 2 2 4 4 2" xfId="3814" xr:uid="{00000000-0005-0000-0000-0000ACAA0000}"/>
    <cellStyle name="Note 2 2 4 4 2 2" xfId="9522" xr:uid="{00000000-0005-0000-0000-0000ADAA0000}"/>
    <cellStyle name="Note 2 2 4 4 2 2 2" xfId="20823" xr:uid="{00000000-0005-0000-0000-0000AEAA0000}"/>
    <cellStyle name="Note 2 2 4 4 2 2 2 2" xfId="43425" xr:uid="{00000000-0005-0000-0000-0000AFAA0000}"/>
    <cellStyle name="Note 2 2 4 4 2 2 3" xfId="32124" xr:uid="{00000000-0005-0000-0000-0000B0AA0000}"/>
    <cellStyle name="Note 2 2 4 4 2 3" xfId="15173" xr:uid="{00000000-0005-0000-0000-0000B1AA0000}"/>
    <cellStyle name="Note 2 2 4 4 2 3 2" xfId="37775" xr:uid="{00000000-0005-0000-0000-0000B2AA0000}"/>
    <cellStyle name="Note 2 2 4 4 2 4" xfId="26474" xr:uid="{00000000-0005-0000-0000-0000B3AA0000}"/>
    <cellStyle name="Note 2 2 4 4 3" xfId="5328" xr:uid="{00000000-0005-0000-0000-0000B4AA0000}"/>
    <cellStyle name="Note 2 2 4 4 3 2" xfId="10978" xr:uid="{00000000-0005-0000-0000-0000B5AA0000}"/>
    <cellStyle name="Note 2 2 4 4 3 2 2" xfId="22279" xr:uid="{00000000-0005-0000-0000-0000B6AA0000}"/>
    <cellStyle name="Note 2 2 4 4 3 2 2 2" xfId="44881" xr:uid="{00000000-0005-0000-0000-0000B7AA0000}"/>
    <cellStyle name="Note 2 2 4 4 3 2 3" xfId="33580" xr:uid="{00000000-0005-0000-0000-0000B8AA0000}"/>
    <cellStyle name="Note 2 2 4 4 3 3" xfId="16629" xr:uid="{00000000-0005-0000-0000-0000B9AA0000}"/>
    <cellStyle name="Note 2 2 4 4 3 3 2" xfId="39231" xr:uid="{00000000-0005-0000-0000-0000BAAA0000}"/>
    <cellStyle name="Note 2 2 4 4 3 4" xfId="27930" xr:uid="{00000000-0005-0000-0000-0000BBAA0000}"/>
    <cellStyle name="Note 2 2 4 4 4" xfId="7929" xr:uid="{00000000-0005-0000-0000-0000BCAA0000}"/>
    <cellStyle name="Note 2 2 4 4 4 2" xfId="19230" xr:uid="{00000000-0005-0000-0000-0000BDAA0000}"/>
    <cellStyle name="Note 2 2 4 4 4 2 2" xfId="41832" xr:uid="{00000000-0005-0000-0000-0000BEAA0000}"/>
    <cellStyle name="Note 2 2 4 4 4 3" xfId="30531" xr:uid="{00000000-0005-0000-0000-0000BFAA0000}"/>
    <cellStyle name="Note 2 2 4 4 5" xfId="13580" xr:uid="{00000000-0005-0000-0000-0000C0AA0000}"/>
    <cellStyle name="Note 2 2 4 4 5 2" xfId="36182" xr:uid="{00000000-0005-0000-0000-0000C1AA0000}"/>
    <cellStyle name="Note 2 2 4 4 6" xfId="24881" xr:uid="{00000000-0005-0000-0000-0000C2AA0000}"/>
    <cellStyle name="Note 2 2 4 5" xfId="2309" xr:uid="{00000000-0005-0000-0000-0000C3AA0000}"/>
    <cellStyle name="Note 2 2 4 5 2" xfId="8145" xr:uid="{00000000-0005-0000-0000-0000C4AA0000}"/>
    <cellStyle name="Note 2 2 4 5 2 2" xfId="19446" xr:uid="{00000000-0005-0000-0000-0000C5AA0000}"/>
    <cellStyle name="Note 2 2 4 5 2 2 2" xfId="42048" xr:uid="{00000000-0005-0000-0000-0000C6AA0000}"/>
    <cellStyle name="Note 2 2 4 5 2 3" xfId="30747" xr:uid="{00000000-0005-0000-0000-0000C7AA0000}"/>
    <cellStyle name="Note 2 2 4 5 3" xfId="13796" xr:uid="{00000000-0005-0000-0000-0000C8AA0000}"/>
    <cellStyle name="Note 2 2 4 5 3 2" xfId="36398" xr:uid="{00000000-0005-0000-0000-0000C9AA0000}"/>
    <cellStyle name="Note 2 2 4 5 4" xfId="25097" xr:uid="{00000000-0005-0000-0000-0000CAAA0000}"/>
    <cellStyle name="Note 2 2 4 6" xfId="4094" xr:uid="{00000000-0005-0000-0000-0000CBAA0000}"/>
    <cellStyle name="Note 2 2 4 6 2" xfId="9744" xr:uid="{00000000-0005-0000-0000-0000CCAA0000}"/>
    <cellStyle name="Note 2 2 4 6 2 2" xfId="21045" xr:uid="{00000000-0005-0000-0000-0000CDAA0000}"/>
    <cellStyle name="Note 2 2 4 6 2 2 2" xfId="43647" xr:uid="{00000000-0005-0000-0000-0000CEAA0000}"/>
    <cellStyle name="Note 2 2 4 6 2 3" xfId="32346" xr:uid="{00000000-0005-0000-0000-0000CFAA0000}"/>
    <cellStyle name="Note 2 2 4 6 3" xfId="15395" xr:uid="{00000000-0005-0000-0000-0000D0AA0000}"/>
    <cellStyle name="Note 2 2 4 6 3 2" xfId="37997" xr:uid="{00000000-0005-0000-0000-0000D1AA0000}"/>
    <cellStyle name="Note 2 2 4 6 4" xfId="26696" xr:uid="{00000000-0005-0000-0000-0000D2AA0000}"/>
    <cellStyle name="Note 2 2 4 7" xfId="6545" xr:uid="{00000000-0005-0000-0000-0000D3AA0000}"/>
    <cellStyle name="Note 2 2 4 7 2" xfId="17846" xr:uid="{00000000-0005-0000-0000-0000D4AA0000}"/>
    <cellStyle name="Note 2 2 4 7 2 2" xfId="40448" xr:uid="{00000000-0005-0000-0000-0000D5AA0000}"/>
    <cellStyle name="Note 2 2 4 7 3" xfId="29147" xr:uid="{00000000-0005-0000-0000-0000D6AA0000}"/>
    <cellStyle name="Note 2 2 4 8" xfId="12196" xr:uid="{00000000-0005-0000-0000-0000D7AA0000}"/>
    <cellStyle name="Note 2 2 4 8 2" xfId="34798" xr:uid="{00000000-0005-0000-0000-0000D8AA0000}"/>
    <cellStyle name="Note 2 2 4 9" xfId="23497" xr:uid="{00000000-0005-0000-0000-0000D9AA0000}"/>
    <cellStyle name="Note 2 2 5" xfId="1052" xr:uid="{00000000-0005-0000-0000-0000DAAA0000}"/>
    <cellStyle name="Note 2 2 5 2" xfId="2075" xr:uid="{00000000-0005-0000-0000-0000DBAA0000}"/>
    <cellStyle name="Note 2 2 5 2 2" xfId="3119" xr:uid="{00000000-0005-0000-0000-0000DCAA0000}"/>
    <cellStyle name="Note 2 2 5 2 2 2" xfId="6091" xr:uid="{00000000-0005-0000-0000-0000DDAA0000}"/>
    <cellStyle name="Note 2 2 5 2 2 2 2" xfId="11741" xr:uid="{00000000-0005-0000-0000-0000DEAA0000}"/>
    <cellStyle name="Note 2 2 5 2 2 2 2 2" xfId="23042" xr:uid="{00000000-0005-0000-0000-0000DFAA0000}"/>
    <cellStyle name="Note 2 2 5 2 2 2 2 2 2" xfId="45644" xr:uid="{00000000-0005-0000-0000-0000E0AA0000}"/>
    <cellStyle name="Note 2 2 5 2 2 2 2 3" xfId="34343" xr:uid="{00000000-0005-0000-0000-0000E1AA0000}"/>
    <cellStyle name="Note 2 2 5 2 2 2 3" xfId="17392" xr:uid="{00000000-0005-0000-0000-0000E2AA0000}"/>
    <cellStyle name="Note 2 2 5 2 2 2 3 2" xfId="39994" xr:uid="{00000000-0005-0000-0000-0000E3AA0000}"/>
    <cellStyle name="Note 2 2 5 2 2 2 4" xfId="28693" xr:uid="{00000000-0005-0000-0000-0000E4AA0000}"/>
    <cellStyle name="Note 2 2 5 2 2 3" xfId="8909" xr:uid="{00000000-0005-0000-0000-0000E5AA0000}"/>
    <cellStyle name="Note 2 2 5 2 2 3 2" xfId="20210" xr:uid="{00000000-0005-0000-0000-0000E6AA0000}"/>
    <cellStyle name="Note 2 2 5 2 2 3 2 2" xfId="42812" xr:uid="{00000000-0005-0000-0000-0000E7AA0000}"/>
    <cellStyle name="Note 2 2 5 2 2 3 3" xfId="31511" xr:uid="{00000000-0005-0000-0000-0000E8AA0000}"/>
    <cellStyle name="Note 2 2 5 2 2 4" xfId="14560" xr:uid="{00000000-0005-0000-0000-0000E9AA0000}"/>
    <cellStyle name="Note 2 2 5 2 2 4 2" xfId="37162" xr:uid="{00000000-0005-0000-0000-0000EAAA0000}"/>
    <cellStyle name="Note 2 2 5 2 2 5" xfId="25861" xr:uid="{00000000-0005-0000-0000-0000EBAA0000}"/>
    <cellStyle name="Note 2 2 5 2 3" xfId="4857" xr:uid="{00000000-0005-0000-0000-0000ECAA0000}"/>
    <cellStyle name="Note 2 2 5 2 3 2" xfId="10507" xr:uid="{00000000-0005-0000-0000-0000EDAA0000}"/>
    <cellStyle name="Note 2 2 5 2 3 2 2" xfId="21808" xr:uid="{00000000-0005-0000-0000-0000EEAA0000}"/>
    <cellStyle name="Note 2 2 5 2 3 2 2 2" xfId="44410" xr:uid="{00000000-0005-0000-0000-0000EFAA0000}"/>
    <cellStyle name="Note 2 2 5 2 3 2 3" xfId="33109" xr:uid="{00000000-0005-0000-0000-0000F0AA0000}"/>
    <cellStyle name="Note 2 2 5 2 3 3" xfId="16158" xr:uid="{00000000-0005-0000-0000-0000F1AA0000}"/>
    <cellStyle name="Note 2 2 5 2 3 3 2" xfId="38760" xr:uid="{00000000-0005-0000-0000-0000F2AA0000}"/>
    <cellStyle name="Note 2 2 5 2 3 4" xfId="27459" xr:uid="{00000000-0005-0000-0000-0000F3AA0000}"/>
    <cellStyle name="Note 2 2 5 2 4" xfId="7931" xr:uid="{00000000-0005-0000-0000-0000F4AA0000}"/>
    <cellStyle name="Note 2 2 5 2 4 2" xfId="19232" xr:uid="{00000000-0005-0000-0000-0000F5AA0000}"/>
    <cellStyle name="Note 2 2 5 2 4 2 2" xfId="41834" xr:uid="{00000000-0005-0000-0000-0000F6AA0000}"/>
    <cellStyle name="Note 2 2 5 2 4 3" xfId="30533" xr:uid="{00000000-0005-0000-0000-0000F7AA0000}"/>
    <cellStyle name="Note 2 2 5 2 5" xfId="13582" xr:uid="{00000000-0005-0000-0000-0000F8AA0000}"/>
    <cellStyle name="Note 2 2 5 2 5 2" xfId="36184" xr:uid="{00000000-0005-0000-0000-0000F9AA0000}"/>
    <cellStyle name="Note 2 2 5 2 6" xfId="24883" xr:uid="{00000000-0005-0000-0000-0000FAAA0000}"/>
    <cellStyle name="Note 2 2 5 3" xfId="2448" xr:uid="{00000000-0005-0000-0000-0000FBAA0000}"/>
    <cellStyle name="Note 2 2 5 3 2" xfId="5467" xr:uid="{00000000-0005-0000-0000-0000FCAA0000}"/>
    <cellStyle name="Note 2 2 5 3 2 2" xfId="11117" xr:uid="{00000000-0005-0000-0000-0000FDAA0000}"/>
    <cellStyle name="Note 2 2 5 3 2 2 2" xfId="22418" xr:uid="{00000000-0005-0000-0000-0000FEAA0000}"/>
    <cellStyle name="Note 2 2 5 3 2 2 2 2" xfId="45020" xr:uid="{00000000-0005-0000-0000-0000FFAA0000}"/>
    <cellStyle name="Note 2 2 5 3 2 2 3" xfId="33719" xr:uid="{00000000-0005-0000-0000-000000AB0000}"/>
    <cellStyle name="Note 2 2 5 3 2 3" xfId="16768" xr:uid="{00000000-0005-0000-0000-000001AB0000}"/>
    <cellStyle name="Note 2 2 5 3 2 3 2" xfId="39370" xr:uid="{00000000-0005-0000-0000-000002AB0000}"/>
    <cellStyle name="Note 2 2 5 3 2 4" xfId="28069" xr:uid="{00000000-0005-0000-0000-000003AB0000}"/>
    <cellStyle name="Note 2 2 5 3 3" xfId="8284" xr:uid="{00000000-0005-0000-0000-000004AB0000}"/>
    <cellStyle name="Note 2 2 5 3 3 2" xfId="19585" xr:uid="{00000000-0005-0000-0000-000005AB0000}"/>
    <cellStyle name="Note 2 2 5 3 3 2 2" xfId="42187" xr:uid="{00000000-0005-0000-0000-000006AB0000}"/>
    <cellStyle name="Note 2 2 5 3 3 3" xfId="30886" xr:uid="{00000000-0005-0000-0000-000007AB0000}"/>
    <cellStyle name="Note 2 2 5 3 4" xfId="13935" xr:uid="{00000000-0005-0000-0000-000008AB0000}"/>
    <cellStyle name="Note 2 2 5 3 4 2" xfId="36537" xr:uid="{00000000-0005-0000-0000-000009AB0000}"/>
    <cellStyle name="Note 2 2 5 3 5" xfId="25236" xr:uid="{00000000-0005-0000-0000-00000AAB0000}"/>
    <cellStyle name="Note 2 2 5 4" xfId="4233" xr:uid="{00000000-0005-0000-0000-00000BAB0000}"/>
    <cellStyle name="Note 2 2 5 4 2" xfId="9883" xr:uid="{00000000-0005-0000-0000-00000CAB0000}"/>
    <cellStyle name="Note 2 2 5 4 2 2" xfId="21184" xr:uid="{00000000-0005-0000-0000-00000DAB0000}"/>
    <cellStyle name="Note 2 2 5 4 2 2 2" xfId="43786" xr:uid="{00000000-0005-0000-0000-00000EAB0000}"/>
    <cellStyle name="Note 2 2 5 4 2 3" xfId="32485" xr:uid="{00000000-0005-0000-0000-00000FAB0000}"/>
    <cellStyle name="Note 2 2 5 4 3" xfId="15534" xr:uid="{00000000-0005-0000-0000-000010AB0000}"/>
    <cellStyle name="Note 2 2 5 4 3 2" xfId="38136" xr:uid="{00000000-0005-0000-0000-000011AB0000}"/>
    <cellStyle name="Note 2 2 5 4 4" xfId="26835" xr:uid="{00000000-0005-0000-0000-000012AB0000}"/>
    <cellStyle name="Note 2 2 5 5" xfId="7031" xr:uid="{00000000-0005-0000-0000-000013AB0000}"/>
    <cellStyle name="Note 2 2 5 5 2" xfId="18332" xr:uid="{00000000-0005-0000-0000-000014AB0000}"/>
    <cellStyle name="Note 2 2 5 5 2 2" xfId="40934" xr:uid="{00000000-0005-0000-0000-000015AB0000}"/>
    <cellStyle name="Note 2 2 5 5 3" xfId="29633" xr:uid="{00000000-0005-0000-0000-000016AB0000}"/>
    <cellStyle name="Note 2 2 5 6" xfId="12682" xr:uid="{00000000-0005-0000-0000-000017AB0000}"/>
    <cellStyle name="Note 2 2 5 6 2" xfId="35284" xr:uid="{00000000-0005-0000-0000-000018AB0000}"/>
    <cellStyle name="Note 2 2 5 7" xfId="23983" xr:uid="{00000000-0005-0000-0000-000019AB0000}"/>
    <cellStyle name="Note 2 2 6" xfId="715" xr:uid="{00000000-0005-0000-0000-00001AAB0000}"/>
    <cellStyle name="Note 2 2 6 2" xfId="2813" xr:uid="{00000000-0005-0000-0000-00001BAB0000}"/>
    <cellStyle name="Note 2 2 6 2 2" xfId="5785" xr:uid="{00000000-0005-0000-0000-00001CAB0000}"/>
    <cellStyle name="Note 2 2 6 2 2 2" xfId="11435" xr:uid="{00000000-0005-0000-0000-00001DAB0000}"/>
    <cellStyle name="Note 2 2 6 2 2 2 2" xfId="22736" xr:uid="{00000000-0005-0000-0000-00001EAB0000}"/>
    <cellStyle name="Note 2 2 6 2 2 2 2 2" xfId="45338" xr:uid="{00000000-0005-0000-0000-00001FAB0000}"/>
    <cellStyle name="Note 2 2 6 2 2 2 3" xfId="34037" xr:uid="{00000000-0005-0000-0000-000020AB0000}"/>
    <cellStyle name="Note 2 2 6 2 2 3" xfId="17086" xr:uid="{00000000-0005-0000-0000-000021AB0000}"/>
    <cellStyle name="Note 2 2 6 2 2 3 2" xfId="39688" xr:uid="{00000000-0005-0000-0000-000022AB0000}"/>
    <cellStyle name="Note 2 2 6 2 2 4" xfId="28387" xr:uid="{00000000-0005-0000-0000-000023AB0000}"/>
    <cellStyle name="Note 2 2 6 2 3" xfId="8603" xr:uid="{00000000-0005-0000-0000-000024AB0000}"/>
    <cellStyle name="Note 2 2 6 2 3 2" xfId="19904" xr:uid="{00000000-0005-0000-0000-000025AB0000}"/>
    <cellStyle name="Note 2 2 6 2 3 2 2" xfId="42506" xr:uid="{00000000-0005-0000-0000-000026AB0000}"/>
    <cellStyle name="Note 2 2 6 2 3 3" xfId="31205" xr:uid="{00000000-0005-0000-0000-000027AB0000}"/>
    <cellStyle name="Note 2 2 6 2 4" xfId="14254" xr:uid="{00000000-0005-0000-0000-000028AB0000}"/>
    <cellStyle name="Note 2 2 6 2 4 2" xfId="36856" xr:uid="{00000000-0005-0000-0000-000029AB0000}"/>
    <cellStyle name="Note 2 2 6 2 5" xfId="25555" xr:uid="{00000000-0005-0000-0000-00002AAB0000}"/>
    <cellStyle name="Note 2 2 6 3" xfId="4551" xr:uid="{00000000-0005-0000-0000-00002BAB0000}"/>
    <cellStyle name="Note 2 2 6 3 2" xfId="10201" xr:uid="{00000000-0005-0000-0000-00002CAB0000}"/>
    <cellStyle name="Note 2 2 6 3 2 2" xfId="21502" xr:uid="{00000000-0005-0000-0000-00002DAB0000}"/>
    <cellStyle name="Note 2 2 6 3 2 2 2" xfId="44104" xr:uid="{00000000-0005-0000-0000-00002EAB0000}"/>
    <cellStyle name="Note 2 2 6 3 2 3" xfId="32803" xr:uid="{00000000-0005-0000-0000-00002FAB0000}"/>
    <cellStyle name="Note 2 2 6 3 3" xfId="15852" xr:uid="{00000000-0005-0000-0000-000030AB0000}"/>
    <cellStyle name="Note 2 2 6 3 3 2" xfId="38454" xr:uid="{00000000-0005-0000-0000-000031AB0000}"/>
    <cellStyle name="Note 2 2 6 3 4" xfId="27153" xr:uid="{00000000-0005-0000-0000-000032AB0000}"/>
    <cellStyle name="Note 2 2 6 4" xfId="6733" xr:uid="{00000000-0005-0000-0000-000033AB0000}"/>
    <cellStyle name="Note 2 2 6 4 2" xfId="18034" xr:uid="{00000000-0005-0000-0000-000034AB0000}"/>
    <cellStyle name="Note 2 2 6 4 2 2" xfId="40636" xr:uid="{00000000-0005-0000-0000-000035AB0000}"/>
    <cellStyle name="Note 2 2 6 4 3" xfId="29335" xr:uid="{00000000-0005-0000-0000-000036AB0000}"/>
    <cellStyle name="Note 2 2 6 5" xfId="12384" xr:uid="{00000000-0005-0000-0000-000037AB0000}"/>
    <cellStyle name="Note 2 2 6 5 2" xfId="34986" xr:uid="{00000000-0005-0000-0000-000038AB0000}"/>
    <cellStyle name="Note 2 2 6 6" xfId="23685" xr:uid="{00000000-0005-0000-0000-000039AB0000}"/>
    <cellStyle name="Note 2 2 7" xfId="2066" xr:uid="{00000000-0005-0000-0000-00003AAB0000}"/>
    <cellStyle name="Note 2 2 7 2" xfId="3810" xr:uid="{00000000-0005-0000-0000-00003BAB0000}"/>
    <cellStyle name="Note 2 2 7 2 2" xfId="9518" xr:uid="{00000000-0005-0000-0000-00003CAB0000}"/>
    <cellStyle name="Note 2 2 7 2 2 2" xfId="20819" xr:uid="{00000000-0005-0000-0000-00003DAB0000}"/>
    <cellStyle name="Note 2 2 7 2 2 2 2" xfId="43421" xr:uid="{00000000-0005-0000-0000-00003EAB0000}"/>
    <cellStyle name="Note 2 2 7 2 2 3" xfId="32120" xr:uid="{00000000-0005-0000-0000-00003FAB0000}"/>
    <cellStyle name="Note 2 2 7 2 3" xfId="15169" xr:uid="{00000000-0005-0000-0000-000040AB0000}"/>
    <cellStyle name="Note 2 2 7 2 3 2" xfId="37771" xr:uid="{00000000-0005-0000-0000-000041AB0000}"/>
    <cellStyle name="Note 2 2 7 2 4" xfId="26470" xr:uid="{00000000-0005-0000-0000-000042AB0000}"/>
    <cellStyle name="Note 2 2 7 3" xfId="5161" xr:uid="{00000000-0005-0000-0000-000043AB0000}"/>
    <cellStyle name="Note 2 2 7 3 2" xfId="10811" xr:uid="{00000000-0005-0000-0000-000044AB0000}"/>
    <cellStyle name="Note 2 2 7 3 2 2" xfId="22112" xr:uid="{00000000-0005-0000-0000-000045AB0000}"/>
    <cellStyle name="Note 2 2 7 3 2 2 2" xfId="44714" xr:uid="{00000000-0005-0000-0000-000046AB0000}"/>
    <cellStyle name="Note 2 2 7 3 2 3" xfId="33413" xr:uid="{00000000-0005-0000-0000-000047AB0000}"/>
    <cellStyle name="Note 2 2 7 3 3" xfId="16462" xr:uid="{00000000-0005-0000-0000-000048AB0000}"/>
    <cellStyle name="Note 2 2 7 3 3 2" xfId="39064" xr:uid="{00000000-0005-0000-0000-000049AB0000}"/>
    <cellStyle name="Note 2 2 7 3 4" xfId="27763" xr:uid="{00000000-0005-0000-0000-00004AAB0000}"/>
    <cellStyle name="Note 2 2 7 4" xfId="7922" xr:uid="{00000000-0005-0000-0000-00004BAB0000}"/>
    <cellStyle name="Note 2 2 7 4 2" xfId="19223" xr:uid="{00000000-0005-0000-0000-00004CAB0000}"/>
    <cellStyle name="Note 2 2 7 4 2 2" xfId="41825" xr:uid="{00000000-0005-0000-0000-00004DAB0000}"/>
    <cellStyle name="Note 2 2 7 4 3" xfId="30524" xr:uid="{00000000-0005-0000-0000-00004EAB0000}"/>
    <cellStyle name="Note 2 2 7 5" xfId="13573" xr:uid="{00000000-0005-0000-0000-00004FAB0000}"/>
    <cellStyle name="Note 2 2 7 5 2" xfId="36175" xr:uid="{00000000-0005-0000-0000-000050AB0000}"/>
    <cellStyle name="Note 2 2 7 6" xfId="24874" xr:uid="{00000000-0005-0000-0000-000051AB0000}"/>
    <cellStyle name="Note 2 2 8" xfId="2131" xr:uid="{00000000-0005-0000-0000-000052AB0000}"/>
    <cellStyle name="Note 2 2 8 2" xfId="7975" xr:uid="{00000000-0005-0000-0000-000053AB0000}"/>
    <cellStyle name="Note 2 2 8 2 2" xfId="19276" xr:uid="{00000000-0005-0000-0000-000054AB0000}"/>
    <cellStyle name="Note 2 2 8 2 2 2" xfId="41878" xr:uid="{00000000-0005-0000-0000-000055AB0000}"/>
    <cellStyle name="Note 2 2 8 2 3" xfId="30577" xr:uid="{00000000-0005-0000-0000-000056AB0000}"/>
    <cellStyle name="Note 2 2 8 3" xfId="13626" xr:uid="{00000000-0005-0000-0000-000057AB0000}"/>
    <cellStyle name="Note 2 2 8 3 2" xfId="36228" xr:uid="{00000000-0005-0000-0000-000058AB0000}"/>
    <cellStyle name="Note 2 2 8 4" xfId="24927" xr:uid="{00000000-0005-0000-0000-000059AB0000}"/>
    <cellStyle name="Note 2 2 9" xfId="3927" xr:uid="{00000000-0005-0000-0000-00005AAB0000}"/>
    <cellStyle name="Note 2 2 9 2" xfId="9577" xr:uid="{00000000-0005-0000-0000-00005BAB0000}"/>
    <cellStyle name="Note 2 2 9 2 2" xfId="20878" xr:uid="{00000000-0005-0000-0000-00005CAB0000}"/>
    <cellStyle name="Note 2 2 9 2 2 2" xfId="43480" xr:uid="{00000000-0005-0000-0000-00005DAB0000}"/>
    <cellStyle name="Note 2 2 9 2 3" xfId="32179" xr:uid="{00000000-0005-0000-0000-00005EAB0000}"/>
    <cellStyle name="Note 2 2 9 3" xfId="15228" xr:uid="{00000000-0005-0000-0000-00005FAB0000}"/>
    <cellStyle name="Note 2 2 9 3 2" xfId="37830" xr:uid="{00000000-0005-0000-0000-000060AB0000}"/>
    <cellStyle name="Note 2 2 9 4" xfId="26529" xr:uid="{00000000-0005-0000-0000-000061AB0000}"/>
    <cellStyle name="Note 2 3" xfId="276" xr:uid="{00000000-0005-0000-0000-000062AB0000}"/>
    <cellStyle name="Note 2 4" xfId="344" xr:uid="{00000000-0005-0000-0000-000063AB0000}"/>
    <cellStyle name="Note 2 4 10" xfId="23439" xr:uid="{00000000-0005-0000-0000-000064AB0000}"/>
    <cellStyle name="Note 2 4 2" xfId="589" xr:uid="{00000000-0005-0000-0000-000065AB0000}"/>
    <cellStyle name="Note 2 4 2 2" xfId="1299" xr:uid="{00000000-0005-0000-0000-000066AB0000}"/>
    <cellStyle name="Note 2 4 2 2 2" xfId="2078" xr:uid="{00000000-0005-0000-0000-000067AB0000}"/>
    <cellStyle name="Note 2 4 2 2 2 2" xfId="3368" xr:uid="{00000000-0005-0000-0000-000068AB0000}"/>
    <cellStyle name="Note 2 4 2 2 2 2 2" xfId="6340" xr:uid="{00000000-0005-0000-0000-000069AB0000}"/>
    <cellStyle name="Note 2 4 2 2 2 2 2 2" xfId="11990" xr:uid="{00000000-0005-0000-0000-00006AAB0000}"/>
    <cellStyle name="Note 2 4 2 2 2 2 2 2 2" xfId="23291" xr:uid="{00000000-0005-0000-0000-00006BAB0000}"/>
    <cellStyle name="Note 2 4 2 2 2 2 2 2 2 2" xfId="45893" xr:uid="{00000000-0005-0000-0000-00006CAB0000}"/>
    <cellStyle name="Note 2 4 2 2 2 2 2 2 3" xfId="34592" xr:uid="{00000000-0005-0000-0000-00006DAB0000}"/>
    <cellStyle name="Note 2 4 2 2 2 2 2 3" xfId="17641" xr:uid="{00000000-0005-0000-0000-00006EAB0000}"/>
    <cellStyle name="Note 2 4 2 2 2 2 2 3 2" xfId="40243" xr:uid="{00000000-0005-0000-0000-00006FAB0000}"/>
    <cellStyle name="Note 2 4 2 2 2 2 2 4" xfId="28942" xr:uid="{00000000-0005-0000-0000-000070AB0000}"/>
    <cellStyle name="Note 2 4 2 2 2 2 3" xfId="9158" xr:uid="{00000000-0005-0000-0000-000071AB0000}"/>
    <cellStyle name="Note 2 4 2 2 2 2 3 2" xfId="20459" xr:uid="{00000000-0005-0000-0000-000072AB0000}"/>
    <cellStyle name="Note 2 4 2 2 2 2 3 2 2" xfId="43061" xr:uid="{00000000-0005-0000-0000-000073AB0000}"/>
    <cellStyle name="Note 2 4 2 2 2 2 3 3" xfId="31760" xr:uid="{00000000-0005-0000-0000-000074AB0000}"/>
    <cellStyle name="Note 2 4 2 2 2 2 4" xfId="14809" xr:uid="{00000000-0005-0000-0000-000075AB0000}"/>
    <cellStyle name="Note 2 4 2 2 2 2 4 2" xfId="37411" xr:uid="{00000000-0005-0000-0000-000076AB0000}"/>
    <cellStyle name="Note 2 4 2 2 2 2 5" xfId="26110" xr:uid="{00000000-0005-0000-0000-000077AB0000}"/>
    <cellStyle name="Note 2 4 2 2 2 3" xfId="5106" xr:uid="{00000000-0005-0000-0000-000078AB0000}"/>
    <cellStyle name="Note 2 4 2 2 2 3 2" xfId="10756" xr:uid="{00000000-0005-0000-0000-000079AB0000}"/>
    <cellStyle name="Note 2 4 2 2 2 3 2 2" xfId="22057" xr:uid="{00000000-0005-0000-0000-00007AAB0000}"/>
    <cellStyle name="Note 2 4 2 2 2 3 2 2 2" xfId="44659" xr:uid="{00000000-0005-0000-0000-00007BAB0000}"/>
    <cellStyle name="Note 2 4 2 2 2 3 2 3" xfId="33358" xr:uid="{00000000-0005-0000-0000-00007CAB0000}"/>
    <cellStyle name="Note 2 4 2 2 2 3 3" xfId="16407" xr:uid="{00000000-0005-0000-0000-00007DAB0000}"/>
    <cellStyle name="Note 2 4 2 2 2 3 3 2" xfId="39009" xr:uid="{00000000-0005-0000-0000-00007EAB0000}"/>
    <cellStyle name="Note 2 4 2 2 2 3 4" xfId="27708" xr:uid="{00000000-0005-0000-0000-00007FAB0000}"/>
    <cellStyle name="Note 2 4 2 2 2 4" xfId="7934" xr:uid="{00000000-0005-0000-0000-000080AB0000}"/>
    <cellStyle name="Note 2 4 2 2 2 4 2" xfId="19235" xr:uid="{00000000-0005-0000-0000-000081AB0000}"/>
    <cellStyle name="Note 2 4 2 2 2 4 2 2" xfId="41837" xr:uid="{00000000-0005-0000-0000-000082AB0000}"/>
    <cellStyle name="Note 2 4 2 2 2 4 3" xfId="30536" xr:uid="{00000000-0005-0000-0000-000083AB0000}"/>
    <cellStyle name="Note 2 4 2 2 2 5" xfId="13585" xr:uid="{00000000-0005-0000-0000-000084AB0000}"/>
    <cellStyle name="Note 2 4 2 2 2 5 2" xfId="36187" xr:uid="{00000000-0005-0000-0000-000085AB0000}"/>
    <cellStyle name="Note 2 4 2 2 2 6" xfId="24886" xr:uid="{00000000-0005-0000-0000-000086AB0000}"/>
    <cellStyle name="Note 2 4 2 2 3" xfId="2697" xr:uid="{00000000-0005-0000-0000-000087AB0000}"/>
    <cellStyle name="Note 2 4 2 2 3 2" xfId="5716" xr:uid="{00000000-0005-0000-0000-000088AB0000}"/>
    <cellStyle name="Note 2 4 2 2 3 2 2" xfId="11366" xr:uid="{00000000-0005-0000-0000-000089AB0000}"/>
    <cellStyle name="Note 2 4 2 2 3 2 2 2" xfId="22667" xr:uid="{00000000-0005-0000-0000-00008AAB0000}"/>
    <cellStyle name="Note 2 4 2 2 3 2 2 2 2" xfId="45269" xr:uid="{00000000-0005-0000-0000-00008BAB0000}"/>
    <cellStyle name="Note 2 4 2 2 3 2 2 3" xfId="33968" xr:uid="{00000000-0005-0000-0000-00008CAB0000}"/>
    <cellStyle name="Note 2 4 2 2 3 2 3" xfId="17017" xr:uid="{00000000-0005-0000-0000-00008DAB0000}"/>
    <cellStyle name="Note 2 4 2 2 3 2 3 2" xfId="39619" xr:uid="{00000000-0005-0000-0000-00008EAB0000}"/>
    <cellStyle name="Note 2 4 2 2 3 2 4" xfId="28318" xr:uid="{00000000-0005-0000-0000-00008FAB0000}"/>
    <cellStyle name="Note 2 4 2 2 3 3" xfId="8533" xr:uid="{00000000-0005-0000-0000-000090AB0000}"/>
    <cellStyle name="Note 2 4 2 2 3 3 2" xfId="19834" xr:uid="{00000000-0005-0000-0000-000091AB0000}"/>
    <cellStyle name="Note 2 4 2 2 3 3 2 2" xfId="42436" xr:uid="{00000000-0005-0000-0000-000092AB0000}"/>
    <cellStyle name="Note 2 4 2 2 3 3 3" xfId="31135" xr:uid="{00000000-0005-0000-0000-000093AB0000}"/>
    <cellStyle name="Note 2 4 2 2 3 4" xfId="14184" xr:uid="{00000000-0005-0000-0000-000094AB0000}"/>
    <cellStyle name="Note 2 4 2 2 3 4 2" xfId="36786" xr:uid="{00000000-0005-0000-0000-000095AB0000}"/>
    <cellStyle name="Note 2 4 2 2 3 5" xfId="25485" xr:uid="{00000000-0005-0000-0000-000096AB0000}"/>
    <cellStyle name="Note 2 4 2 2 4" xfId="4482" xr:uid="{00000000-0005-0000-0000-000097AB0000}"/>
    <cellStyle name="Note 2 4 2 2 4 2" xfId="10132" xr:uid="{00000000-0005-0000-0000-000098AB0000}"/>
    <cellStyle name="Note 2 4 2 2 4 2 2" xfId="21433" xr:uid="{00000000-0005-0000-0000-000099AB0000}"/>
    <cellStyle name="Note 2 4 2 2 4 2 2 2" xfId="44035" xr:uid="{00000000-0005-0000-0000-00009AAB0000}"/>
    <cellStyle name="Note 2 4 2 2 4 2 3" xfId="32734" xr:uid="{00000000-0005-0000-0000-00009BAB0000}"/>
    <cellStyle name="Note 2 4 2 2 4 3" xfId="15783" xr:uid="{00000000-0005-0000-0000-00009CAB0000}"/>
    <cellStyle name="Note 2 4 2 2 4 3 2" xfId="38385" xr:uid="{00000000-0005-0000-0000-00009DAB0000}"/>
    <cellStyle name="Note 2 4 2 2 4 4" xfId="27084" xr:uid="{00000000-0005-0000-0000-00009EAB0000}"/>
    <cellStyle name="Note 2 4 2 2 5" xfId="7278" xr:uid="{00000000-0005-0000-0000-00009FAB0000}"/>
    <cellStyle name="Note 2 4 2 2 5 2" xfId="18579" xr:uid="{00000000-0005-0000-0000-0000A0AB0000}"/>
    <cellStyle name="Note 2 4 2 2 5 2 2" xfId="41181" xr:uid="{00000000-0005-0000-0000-0000A1AB0000}"/>
    <cellStyle name="Note 2 4 2 2 5 3" xfId="29880" xr:uid="{00000000-0005-0000-0000-0000A2AB0000}"/>
    <cellStyle name="Note 2 4 2 2 6" xfId="12929" xr:uid="{00000000-0005-0000-0000-0000A3AB0000}"/>
    <cellStyle name="Note 2 4 2 2 6 2" xfId="35531" xr:uid="{00000000-0005-0000-0000-0000A4AB0000}"/>
    <cellStyle name="Note 2 4 2 2 7" xfId="24230" xr:uid="{00000000-0005-0000-0000-0000A5AB0000}"/>
    <cellStyle name="Note 2 4 2 3" xfId="997" xr:uid="{00000000-0005-0000-0000-0000A6AB0000}"/>
    <cellStyle name="Note 2 4 2 3 2" xfId="3060" xr:uid="{00000000-0005-0000-0000-0000A7AB0000}"/>
    <cellStyle name="Note 2 4 2 3 2 2" xfId="6032" xr:uid="{00000000-0005-0000-0000-0000A8AB0000}"/>
    <cellStyle name="Note 2 4 2 3 2 2 2" xfId="11682" xr:uid="{00000000-0005-0000-0000-0000A9AB0000}"/>
    <cellStyle name="Note 2 4 2 3 2 2 2 2" xfId="22983" xr:uid="{00000000-0005-0000-0000-0000AAAB0000}"/>
    <cellStyle name="Note 2 4 2 3 2 2 2 2 2" xfId="45585" xr:uid="{00000000-0005-0000-0000-0000ABAB0000}"/>
    <cellStyle name="Note 2 4 2 3 2 2 2 3" xfId="34284" xr:uid="{00000000-0005-0000-0000-0000ACAB0000}"/>
    <cellStyle name="Note 2 4 2 3 2 2 3" xfId="17333" xr:uid="{00000000-0005-0000-0000-0000ADAB0000}"/>
    <cellStyle name="Note 2 4 2 3 2 2 3 2" xfId="39935" xr:uid="{00000000-0005-0000-0000-0000AEAB0000}"/>
    <cellStyle name="Note 2 4 2 3 2 2 4" xfId="28634" xr:uid="{00000000-0005-0000-0000-0000AFAB0000}"/>
    <cellStyle name="Note 2 4 2 3 2 3" xfId="8850" xr:uid="{00000000-0005-0000-0000-0000B0AB0000}"/>
    <cellStyle name="Note 2 4 2 3 2 3 2" xfId="20151" xr:uid="{00000000-0005-0000-0000-0000B1AB0000}"/>
    <cellStyle name="Note 2 4 2 3 2 3 2 2" xfId="42753" xr:uid="{00000000-0005-0000-0000-0000B2AB0000}"/>
    <cellStyle name="Note 2 4 2 3 2 3 3" xfId="31452" xr:uid="{00000000-0005-0000-0000-0000B3AB0000}"/>
    <cellStyle name="Note 2 4 2 3 2 4" xfId="14501" xr:uid="{00000000-0005-0000-0000-0000B4AB0000}"/>
    <cellStyle name="Note 2 4 2 3 2 4 2" xfId="37103" xr:uid="{00000000-0005-0000-0000-0000B5AB0000}"/>
    <cellStyle name="Note 2 4 2 3 2 5" xfId="25802" xr:uid="{00000000-0005-0000-0000-0000B6AB0000}"/>
    <cellStyle name="Note 2 4 2 3 3" xfId="4798" xr:uid="{00000000-0005-0000-0000-0000B7AB0000}"/>
    <cellStyle name="Note 2 4 2 3 3 2" xfId="10448" xr:uid="{00000000-0005-0000-0000-0000B8AB0000}"/>
    <cellStyle name="Note 2 4 2 3 3 2 2" xfId="21749" xr:uid="{00000000-0005-0000-0000-0000B9AB0000}"/>
    <cellStyle name="Note 2 4 2 3 3 2 2 2" xfId="44351" xr:uid="{00000000-0005-0000-0000-0000BAAB0000}"/>
    <cellStyle name="Note 2 4 2 3 3 2 3" xfId="33050" xr:uid="{00000000-0005-0000-0000-0000BBAB0000}"/>
    <cellStyle name="Note 2 4 2 3 3 3" xfId="16099" xr:uid="{00000000-0005-0000-0000-0000BCAB0000}"/>
    <cellStyle name="Note 2 4 2 3 3 3 2" xfId="38701" xr:uid="{00000000-0005-0000-0000-0000BDAB0000}"/>
    <cellStyle name="Note 2 4 2 3 3 4" xfId="27400" xr:uid="{00000000-0005-0000-0000-0000BEAB0000}"/>
    <cellStyle name="Note 2 4 2 3 4" xfId="6985" xr:uid="{00000000-0005-0000-0000-0000BFAB0000}"/>
    <cellStyle name="Note 2 4 2 3 4 2" xfId="18286" xr:uid="{00000000-0005-0000-0000-0000C0AB0000}"/>
    <cellStyle name="Note 2 4 2 3 4 2 2" xfId="40888" xr:uid="{00000000-0005-0000-0000-0000C1AB0000}"/>
    <cellStyle name="Note 2 4 2 3 4 3" xfId="29587" xr:uid="{00000000-0005-0000-0000-0000C2AB0000}"/>
    <cellStyle name="Note 2 4 2 3 5" xfId="12636" xr:uid="{00000000-0005-0000-0000-0000C3AB0000}"/>
    <cellStyle name="Note 2 4 2 3 5 2" xfId="35238" xr:uid="{00000000-0005-0000-0000-0000C4AB0000}"/>
    <cellStyle name="Note 2 4 2 3 6" xfId="23937" xr:uid="{00000000-0005-0000-0000-0000C5AB0000}"/>
    <cellStyle name="Note 2 4 2 4" xfId="2077" xr:uid="{00000000-0005-0000-0000-0000C6AB0000}"/>
    <cellStyle name="Note 2 4 2 4 2" xfId="3816" xr:uid="{00000000-0005-0000-0000-0000C7AB0000}"/>
    <cellStyle name="Note 2 4 2 4 2 2" xfId="9524" xr:uid="{00000000-0005-0000-0000-0000C8AB0000}"/>
    <cellStyle name="Note 2 4 2 4 2 2 2" xfId="20825" xr:uid="{00000000-0005-0000-0000-0000C9AB0000}"/>
    <cellStyle name="Note 2 4 2 4 2 2 2 2" xfId="43427" xr:uid="{00000000-0005-0000-0000-0000CAAB0000}"/>
    <cellStyle name="Note 2 4 2 4 2 2 3" xfId="32126" xr:uid="{00000000-0005-0000-0000-0000CBAB0000}"/>
    <cellStyle name="Note 2 4 2 4 2 3" xfId="15175" xr:uid="{00000000-0005-0000-0000-0000CCAB0000}"/>
    <cellStyle name="Note 2 4 2 4 2 3 2" xfId="37777" xr:uid="{00000000-0005-0000-0000-0000CDAB0000}"/>
    <cellStyle name="Note 2 4 2 4 2 4" xfId="26476" xr:uid="{00000000-0005-0000-0000-0000CEAB0000}"/>
    <cellStyle name="Note 2 4 2 4 3" xfId="5408" xr:uid="{00000000-0005-0000-0000-0000CFAB0000}"/>
    <cellStyle name="Note 2 4 2 4 3 2" xfId="11058" xr:uid="{00000000-0005-0000-0000-0000D0AB0000}"/>
    <cellStyle name="Note 2 4 2 4 3 2 2" xfId="22359" xr:uid="{00000000-0005-0000-0000-0000D1AB0000}"/>
    <cellStyle name="Note 2 4 2 4 3 2 2 2" xfId="44961" xr:uid="{00000000-0005-0000-0000-0000D2AB0000}"/>
    <cellStyle name="Note 2 4 2 4 3 2 3" xfId="33660" xr:uid="{00000000-0005-0000-0000-0000D3AB0000}"/>
    <cellStyle name="Note 2 4 2 4 3 3" xfId="16709" xr:uid="{00000000-0005-0000-0000-0000D4AB0000}"/>
    <cellStyle name="Note 2 4 2 4 3 3 2" xfId="39311" xr:uid="{00000000-0005-0000-0000-0000D5AB0000}"/>
    <cellStyle name="Note 2 4 2 4 3 4" xfId="28010" xr:uid="{00000000-0005-0000-0000-0000D6AB0000}"/>
    <cellStyle name="Note 2 4 2 4 4" xfId="7933" xr:uid="{00000000-0005-0000-0000-0000D7AB0000}"/>
    <cellStyle name="Note 2 4 2 4 4 2" xfId="19234" xr:uid="{00000000-0005-0000-0000-0000D8AB0000}"/>
    <cellStyle name="Note 2 4 2 4 4 2 2" xfId="41836" xr:uid="{00000000-0005-0000-0000-0000D9AB0000}"/>
    <cellStyle name="Note 2 4 2 4 4 3" xfId="30535" xr:uid="{00000000-0005-0000-0000-0000DAAB0000}"/>
    <cellStyle name="Note 2 4 2 4 5" xfId="13584" xr:uid="{00000000-0005-0000-0000-0000DBAB0000}"/>
    <cellStyle name="Note 2 4 2 4 5 2" xfId="36186" xr:uid="{00000000-0005-0000-0000-0000DCAB0000}"/>
    <cellStyle name="Note 2 4 2 4 6" xfId="24885" xr:uid="{00000000-0005-0000-0000-0000DDAB0000}"/>
    <cellStyle name="Note 2 4 2 5" xfId="2389" xr:uid="{00000000-0005-0000-0000-0000DEAB0000}"/>
    <cellStyle name="Note 2 4 2 5 2" xfId="8225" xr:uid="{00000000-0005-0000-0000-0000DFAB0000}"/>
    <cellStyle name="Note 2 4 2 5 2 2" xfId="19526" xr:uid="{00000000-0005-0000-0000-0000E0AB0000}"/>
    <cellStyle name="Note 2 4 2 5 2 2 2" xfId="42128" xr:uid="{00000000-0005-0000-0000-0000E1AB0000}"/>
    <cellStyle name="Note 2 4 2 5 2 3" xfId="30827" xr:uid="{00000000-0005-0000-0000-0000E2AB0000}"/>
    <cellStyle name="Note 2 4 2 5 3" xfId="13876" xr:uid="{00000000-0005-0000-0000-0000E3AB0000}"/>
    <cellStyle name="Note 2 4 2 5 3 2" xfId="36478" xr:uid="{00000000-0005-0000-0000-0000E4AB0000}"/>
    <cellStyle name="Note 2 4 2 5 4" xfId="25177" xr:uid="{00000000-0005-0000-0000-0000E5AB0000}"/>
    <cellStyle name="Note 2 4 2 6" xfId="4174" xr:uid="{00000000-0005-0000-0000-0000E6AB0000}"/>
    <cellStyle name="Note 2 4 2 6 2" xfId="9824" xr:uid="{00000000-0005-0000-0000-0000E7AB0000}"/>
    <cellStyle name="Note 2 4 2 6 2 2" xfId="21125" xr:uid="{00000000-0005-0000-0000-0000E8AB0000}"/>
    <cellStyle name="Note 2 4 2 6 2 2 2" xfId="43727" xr:uid="{00000000-0005-0000-0000-0000E9AB0000}"/>
    <cellStyle name="Note 2 4 2 6 2 3" xfId="32426" xr:uid="{00000000-0005-0000-0000-0000EAAB0000}"/>
    <cellStyle name="Note 2 4 2 6 3" xfId="15475" xr:uid="{00000000-0005-0000-0000-0000EBAB0000}"/>
    <cellStyle name="Note 2 4 2 6 3 2" xfId="38077" xr:uid="{00000000-0005-0000-0000-0000ECAB0000}"/>
    <cellStyle name="Note 2 4 2 6 4" xfId="26776" xr:uid="{00000000-0005-0000-0000-0000EDAB0000}"/>
    <cellStyle name="Note 2 4 2 7" xfId="6654" xr:uid="{00000000-0005-0000-0000-0000EEAB0000}"/>
    <cellStyle name="Note 2 4 2 7 2" xfId="17955" xr:uid="{00000000-0005-0000-0000-0000EFAB0000}"/>
    <cellStyle name="Note 2 4 2 7 2 2" xfId="40557" xr:uid="{00000000-0005-0000-0000-0000F0AB0000}"/>
    <cellStyle name="Note 2 4 2 7 3" xfId="29256" xr:uid="{00000000-0005-0000-0000-0000F1AB0000}"/>
    <cellStyle name="Note 2 4 2 8" xfId="12305" xr:uid="{00000000-0005-0000-0000-0000F2AB0000}"/>
    <cellStyle name="Note 2 4 2 8 2" xfId="34907" xr:uid="{00000000-0005-0000-0000-0000F3AB0000}"/>
    <cellStyle name="Note 2 4 2 9" xfId="23606" xr:uid="{00000000-0005-0000-0000-0000F4AB0000}"/>
    <cellStyle name="Note 2 4 3" xfId="1161" xr:uid="{00000000-0005-0000-0000-0000F5AB0000}"/>
    <cellStyle name="Note 2 4 3 2" xfId="2079" xr:uid="{00000000-0005-0000-0000-0000F6AB0000}"/>
    <cellStyle name="Note 2 4 3 2 2" xfId="3229" xr:uid="{00000000-0005-0000-0000-0000F7AB0000}"/>
    <cellStyle name="Note 2 4 3 2 2 2" xfId="6201" xr:uid="{00000000-0005-0000-0000-0000F8AB0000}"/>
    <cellStyle name="Note 2 4 3 2 2 2 2" xfId="11851" xr:uid="{00000000-0005-0000-0000-0000F9AB0000}"/>
    <cellStyle name="Note 2 4 3 2 2 2 2 2" xfId="23152" xr:uid="{00000000-0005-0000-0000-0000FAAB0000}"/>
    <cellStyle name="Note 2 4 3 2 2 2 2 2 2" xfId="45754" xr:uid="{00000000-0005-0000-0000-0000FBAB0000}"/>
    <cellStyle name="Note 2 4 3 2 2 2 2 3" xfId="34453" xr:uid="{00000000-0005-0000-0000-0000FCAB0000}"/>
    <cellStyle name="Note 2 4 3 2 2 2 3" xfId="17502" xr:uid="{00000000-0005-0000-0000-0000FDAB0000}"/>
    <cellStyle name="Note 2 4 3 2 2 2 3 2" xfId="40104" xr:uid="{00000000-0005-0000-0000-0000FEAB0000}"/>
    <cellStyle name="Note 2 4 3 2 2 2 4" xfId="28803" xr:uid="{00000000-0005-0000-0000-0000FFAB0000}"/>
    <cellStyle name="Note 2 4 3 2 2 3" xfId="9019" xr:uid="{00000000-0005-0000-0000-000000AC0000}"/>
    <cellStyle name="Note 2 4 3 2 2 3 2" xfId="20320" xr:uid="{00000000-0005-0000-0000-000001AC0000}"/>
    <cellStyle name="Note 2 4 3 2 2 3 2 2" xfId="42922" xr:uid="{00000000-0005-0000-0000-000002AC0000}"/>
    <cellStyle name="Note 2 4 3 2 2 3 3" xfId="31621" xr:uid="{00000000-0005-0000-0000-000003AC0000}"/>
    <cellStyle name="Note 2 4 3 2 2 4" xfId="14670" xr:uid="{00000000-0005-0000-0000-000004AC0000}"/>
    <cellStyle name="Note 2 4 3 2 2 4 2" xfId="37272" xr:uid="{00000000-0005-0000-0000-000005AC0000}"/>
    <cellStyle name="Note 2 4 3 2 2 5" xfId="25971" xr:uid="{00000000-0005-0000-0000-000006AC0000}"/>
    <cellStyle name="Note 2 4 3 2 3" xfId="4967" xr:uid="{00000000-0005-0000-0000-000007AC0000}"/>
    <cellStyle name="Note 2 4 3 2 3 2" xfId="10617" xr:uid="{00000000-0005-0000-0000-000008AC0000}"/>
    <cellStyle name="Note 2 4 3 2 3 2 2" xfId="21918" xr:uid="{00000000-0005-0000-0000-000009AC0000}"/>
    <cellStyle name="Note 2 4 3 2 3 2 2 2" xfId="44520" xr:uid="{00000000-0005-0000-0000-00000AAC0000}"/>
    <cellStyle name="Note 2 4 3 2 3 2 3" xfId="33219" xr:uid="{00000000-0005-0000-0000-00000BAC0000}"/>
    <cellStyle name="Note 2 4 3 2 3 3" xfId="16268" xr:uid="{00000000-0005-0000-0000-00000CAC0000}"/>
    <cellStyle name="Note 2 4 3 2 3 3 2" xfId="38870" xr:uid="{00000000-0005-0000-0000-00000DAC0000}"/>
    <cellStyle name="Note 2 4 3 2 3 4" xfId="27569" xr:uid="{00000000-0005-0000-0000-00000EAC0000}"/>
    <cellStyle name="Note 2 4 3 2 4" xfId="7935" xr:uid="{00000000-0005-0000-0000-00000FAC0000}"/>
    <cellStyle name="Note 2 4 3 2 4 2" xfId="19236" xr:uid="{00000000-0005-0000-0000-000010AC0000}"/>
    <cellStyle name="Note 2 4 3 2 4 2 2" xfId="41838" xr:uid="{00000000-0005-0000-0000-000011AC0000}"/>
    <cellStyle name="Note 2 4 3 2 4 3" xfId="30537" xr:uid="{00000000-0005-0000-0000-000012AC0000}"/>
    <cellStyle name="Note 2 4 3 2 5" xfId="13586" xr:uid="{00000000-0005-0000-0000-000013AC0000}"/>
    <cellStyle name="Note 2 4 3 2 5 2" xfId="36188" xr:uid="{00000000-0005-0000-0000-000014AC0000}"/>
    <cellStyle name="Note 2 4 3 2 6" xfId="24887" xr:uid="{00000000-0005-0000-0000-000015AC0000}"/>
    <cellStyle name="Note 2 4 3 3" xfId="2558" xr:uid="{00000000-0005-0000-0000-000016AC0000}"/>
    <cellStyle name="Note 2 4 3 3 2" xfId="5577" xr:uid="{00000000-0005-0000-0000-000017AC0000}"/>
    <cellStyle name="Note 2 4 3 3 2 2" xfId="11227" xr:uid="{00000000-0005-0000-0000-000018AC0000}"/>
    <cellStyle name="Note 2 4 3 3 2 2 2" xfId="22528" xr:uid="{00000000-0005-0000-0000-000019AC0000}"/>
    <cellStyle name="Note 2 4 3 3 2 2 2 2" xfId="45130" xr:uid="{00000000-0005-0000-0000-00001AAC0000}"/>
    <cellStyle name="Note 2 4 3 3 2 2 3" xfId="33829" xr:uid="{00000000-0005-0000-0000-00001BAC0000}"/>
    <cellStyle name="Note 2 4 3 3 2 3" xfId="16878" xr:uid="{00000000-0005-0000-0000-00001CAC0000}"/>
    <cellStyle name="Note 2 4 3 3 2 3 2" xfId="39480" xr:uid="{00000000-0005-0000-0000-00001DAC0000}"/>
    <cellStyle name="Note 2 4 3 3 2 4" xfId="28179" xr:uid="{00000000-0005-0000-0000-00001EAC0000}"/>
    <cellStyle name="Note 2 4 3 3 3" xfId="8394" xr:uid="{00000000-0005-0000-0000-00001FAC0000}"/>
    <cellStyle name="Note 2 4 3 3 3 2" xfId="19695" xr:uid="{00000000-0005-0000-0000-000020AC0000}"/>
    <cellStyle name="Note 2 4 3 3 3 2 2" xfId="42297" xr:uid="{00000000-0005-0000-0000-000021AC0000}"/>
    <cellStyle name="Note 2 4 3 3 3 3" xfId="30996" xr:uid="{00000000-0005-0000-0000-000022AC0000}"/>
    <cellStyle name="Note 2 4 3 3 4" xfId="14045" xr:uid="{00000000-0005-0000-0000-000023AC0000}"/>
    <cellStyle name="Note 2 4 3 3 4 2" xfId="36647" xr:uid="{00000000-0005-0000-0000-000024AC0000}"/>
    <cellStyle name="Note 2 4 3 3 5" xfId="25346" xr:uid="{00000000-0005-0000-0000-000025AC0000}"/>
    <cellStyle name="Note 2 4 3 4" xfId="4343" xr:uid="{00000000-0005-0000-0000-000026AC0000}"/>
    <cellStyle name="Note 2 4 3 4 2" xfId="9993" xr:uid="{00000000-0005-0000-0000-000027AC0000}"/>
    <cellStyle name="Note 2 4 3 4 2 2" xfId="21294" xr:uid="{00000000-0005-0000-0000-000028AC0000}"/>
    <cellStyle name="Note 2 4 3 4 2 2 2" xfId="43896" xr:uid="{00000000-0005-0000-0000-000029AC0000}"/>
    <cellStyle name="Note 2 4 3 4 2 3" xfId="32595" xr:uid="{00000000-0005-0000-0000-00002AAC0000}"/>
    <cellStyle name="Note 2 4 3 4 3" xfId="15644" xr:uid="{00000000-0005-0000-0000-00002BAC0000}"/>
    <cellStyle name="Note 2 4 3 4 3 2" xfId="38246" xr:uid="{00000000-0005-0000-0000-00002CAC0000}"/>
    <cellStyle name="Note 2 4 3 4 4" xfId="26945" xr:uid="{00000000-0005-0000-0000-00002DAC0000}"/>
    <cellStyle name="Note 2 4 3 5" xfId="7140" xr:uid="{00000000-0005-0000-0000-00002EAC0000}"/>
    <cellStyle name="Note 2 4 3 5 2" xfId="18441" xr:uid="{00000000-0005-0000-0000-00002FAC0000}"/>
    <cellStyle name="Note 2 4 3 5 2 2" xfId="41043" xr:uid="{00000000-0005-0000-0000-000030AC0000}"/>
    <cellStyle name="Note 2 4 3 5 3" xfId="29742" xr:uid="{00000000-0005-0000-0000-000031AC0000}"/>
    <cellStyle name="Note 2 4 3 6" xfId="12791" xr:uid="{00000000-0005-0000-0000-000032AC0000}"/>
    <cellStyle name="Note 2 4 3 6 2" xfId="35393" xr:uid="{00000000-0005-0000-0000-000033AC0000}"/>
    <cellStyle name="Note 2 4 3 7" xfId="24092" xr:uid="{00000000-0005-0000-0000-000034AC0000}"/>
    <cellStyle name="Note 2 4 4" xfId="852" xr:uid="{00000000-0005-0000-0000-000035AC0000}"/>
    <cellStyle name="Note 2 4 4 2" xfId="2922" xr:uid="{00000000-0005-0000-0000-000036AC0000}"/>
    <cellStyle name="Note 2 4 4 2 2" xfId="5894" xr:uid="{00000000-0005-0000-0000-000037AC0000}"/>
    <cellStyle name="Note 2 4 4 2 2 2" xfId="11544" xr:uid="{00000000-0005-0000-0000-000038AC0000}"/>
    <cellStyle name="Note 2 4 4 2 2 2 2" xfId="22845" xr:uid="{00000000-0005-0000-0000-000039AC0000}"/>
    <cellStyle name="Note 2 4 4 2 2 2 2 2" xfId="45447" xr:uid="{00000000-0005-0000-0000-00003AAC0000}"/>
    <cellStyle name="Note 2 4 4 2 2 2 3" xfId="34146" xr:uid="{00000000-0005-0000-0000-00003BAC0000}"/>
    <cellStyle name="Note 2 4 4 2 2 3" xfId="17195" xr:uid="{00000000-0005-0000-0000-00003CAC0000}"/>
    <cellStyle name="Note 2 4 4 2 2 3 2" xfId="39797" xr:uid="{00000000-0005-0000-0000-00003DAC0000}"/>
    <cellStyle name="Note 2 4 4 2 2 4" xfId="28496" xr:uid="{00000000-0005-0000-0000-00003EAC0000}"/>
    <cellStyle name="Note 2 4 4 2 3" xfId="8712" xr:uid="{00000000-0005-0000-0000-00003FAC0000}"/>
    <cellStyle name="Note 2 4 4 2 3 2" xfId="20013" xr:uid="{00000000-0005-0000-0000-000040AC0000}"/>
    <cellStyle name="Note 2 4 4 2 3 2 2" xfId="42615" xr:uid="{00000000-0005-0000-0000-000041AC0000}"/>
    <cellStyle name="Note 2 4 4 2 3 3" xfId="31314" xr:uid="{00000000-0005-0000-0000-000042AC0000}"/>
    <cellStyle name="Note 2 4 4 2 4" xfId="14363" xr:uid="{00000000-0005-0000-0000-000043AC0000}"/>
    <cellStyle name="Note 2 4 4 2 4 2" xfId="36965" xr:uid="{00000000-0005-0000-0000-000044AC0000}"/>
    <cellStyle name="Note 2 4 4 2 5" xfId="25664" xr:uid="{00000000-0005-0000-0000-000045AC0000}"/>
    <cellStyle name="Note 2 4 4 3" xfId="4660" xr:uid="{00000000-0005-0000-0000-000046AC0000}"/>
    <cellStyle name="Note 2 4 4 3 2" xfId="10310" xr:uid="{00000000-0005-0000-0000-000047AC0000}"/>
    <cellStyle name="Note 2 4 4 3 2 2" xfId="21611" xr:uid="{00000000-0005-0000-0000-000048AC0000}"/>
    <cellStyle name="Note 2 4 4 3 2 2 2" xfId="44213" xr:uid="{00000000-0005-0000-0000-000049AC0000}"/>
    <cellStyle name="Note 2 4 4 3 2 3" xfId="32912" xr:uid="{00000000-0005-0000-0000-00004AAC0000}"/>
    <cellStyle name="Note 2 4 4 3 3" xfId="15961" xr:uid="{00000000-0005-0000-0000-00004BAC0000}"/>
    <cellStyle name="Note 2 4 4 3 3 2" xfId="38563" xr:uid="{00000000-0005-0000-0000-00004CAC0000}"/>
    <cellStyle name="Note 2 4 4 3 4" xfId="27262" xr:uid="{00000000-0005-0000-0000-00004DAC0000}"/>
    <cellStyle name="Note 2 4 4 4" xfId="6847" xr:uid="{00000000-0005-0000-0000-00004EAC0000}"/>
    <cellStyle name="Note 2 4 4 4 2" xfId="18148" xr:uid="{00000000-0005-0000-0000-00004FAC0000}"/>
    <cellStyle name="Note 2 4 4 4 2 2" xfId="40750" xr:uid="{00000000-0005-0000-0000-000050AC0000}"/>
    <cellStyle name="Note 2 4 4 4 3" xfId="29449" xr:uid="{00000000-0005-0000-0000-000051AC0000}"/>
    <cellStyle name="Note 2 4 4 5" xfId="12498" xr:uid="{00000000-0005-0000-0000-000052AC0000}"/>
    <cellStyle name="Note 2 4 4 5 2" xfId="35100" xr:uid="{00000000-0005-0000-0000-000053AC0000}"/>
    <cellStyle name="Note 2 4 4 6" xfId="23799" xr:uid="{00000000-0005-0000-0000-000054AC0000}"/>
    <cellStyle name="Note 2 4 5" xfId="2076" xr:uid="{00000000-0005-0000-0000-000055AC0000}"/>
    <cellStyle name="Note 2 4 5 2" xfId="3815" xr:uid="{00000000-0005-0000-0000-000056AC0000}"/>
    <cellStyle name="Note 2 4 5 2 2" xfId="9523" xr:uid="{00000000-0005-0000-0000-000057AC0000}"/>
    <cellStyle name="Note 2 4 5 2 2 2" xfId="20824" xr:uid="{00000000-0005-0000-0000-000058AC0000}"/>
    <cellStyle name="Note 2 4 5 2 2 2 2" xfId="43426" xr:uid="{00000000-0005-0000-0000-000059AC0000}"/>
    <cellStyle name="Note 2 4 5 2 2 3" xfId="32125" xr:uid="{00000000-0005-0000-0000-00005AAC0000}"/>
    <cellStyle name="Note 2 4 5 2 3" xfId="15174" xr:uid="{00000000-0005-0000-0000-00005BAC0000}"/>
    <cellStyle name="Note 2 4 5 2 3 2" xfId="37776" xr:uid="{00000000-0005-0000-0000-00005CAC0000}"/>
    <cellStyle name="Note 2 4 5 2 4" xfId="26475" xr:uid="{00000000-0005-0000-0000-00005DAC0000}"/>
    <cellStyle name="Note 2 4 5 3" xfId="5270" xr:uid="{00000000-0005-0000-0000-00005EAC0000}"/>
    <cellStyle name="Note 2 4 5 3 2" xfId="10920" xr:uid="{00000000-0005-0000-0000-00005FAC0000}"/>
    <cellStyle name="Note 2 4 5 3 2 2" xfId="22221" xr:uid="{00000000-0005-0000-0000-000060AC0000}"/>
    <cellStyle name="Note 2 4 5 3 2 2 2" xfId="44823" xr:uid="{00000000-0005-0000-0000-000061AC0000}"/>
    <cellStyle name="Note 2 4 5 3 2 3" xfId="33522" xr:uid="{00000000-0005-0000-0000-000062AC0000}"/>
    <cellStyle name="Note 2 4 5 3 3" xfId="16571" xr:uid="{00000000-0005-0000-0000-000063AC0000}"/>
    <cellStyle name="Note 2 4 5 3 3 2" xfId="39173" xr:uid="{00000000-0005-0000-0000-000064AC0000}"/>
    <cellStyle name="Note 2 4 5 3 4" xfId="27872" xr:uid="{00000000-0005-0000-0000-000065AC0000}"/>
    <cellStyle name="Note 2 4 5 4" xfId="7932" xr:uid="{00000000-0005-0000-0000-000066AC0000}"/>
    <cellStyle name="Note 2 4 5 4 2" xfId="19233" xr:uid="{00000000-0005-0000-0000-000067AC0000}"/>
    <cellStyle name="Note 2 4 5 4 2 2" xfId="41835" xr:uid="{00000000-0005-0000-0000-000068AC0000}"/>
    <cellStyle name="Note 2 4 5 4 3" xfId="30534" xr:uid="{00000000-0005-0000-0000-000069AC0000}"/>
    <cellStyle name="Note 2 4 5 5" xfId="13583" xr:uid="{00000000-0005-0000-0000-00006AAC0000}"/>
    <cellStyle name="Note 2 4 5 5 2" xfId="36185" xr:uid="{00000000-0005-0000-0000-00006BAC0000}"/>
    <cellStyle name="Note 2 4 5 6" xfId="24884" xr:uid="{00000000-0005-0000-0000-00006CAC0000}"/>
    <cellStyle name="Note 2 4 6" xfId="2249" xr:uid="{00000000-0005-0000-0000-00006DAC0000}"/>
    <cellStyle name="Note 2 4 6 2" xfId="8085" xr:uid="{00000000-0005-0000-0000-00006EAC0000}"/>
    <cellStyle name="Note 2 4 6 2 2" xfId="19386" xr:uid="{00000000-0005-0000-0000-00006FAC0000}"/>
    <cellStyle name="Note 2 4 6 2 2 2" xfId="41988" xr:uid="{00000000-0005-0000-0000-000070AC0000}"/>
    <cellStyle name="Note 2 4 6 2 3" xfId="30687" xr:uid="{00000000-0005-0000-0000-000071AC0000}"/>
    <cellStyle name="Note 2 4 6 3" xfId="13736" xr:uid="{00000000-0005-0000-0000-000072AC0000}"/>
    <cellStyle name="Note 2 4 6 3 2" xfId="36338" xr:uid="{00000000-0005-0000-0000-000073AC0000}"/>
    <cellStyle name="Note 2 4 6 4" xfId="25037" xr:uid="{00000000-0005-0000-0000-000074AC0000}"/>
    <cellStyle name="Note 2 4 7" xfId="4036" xr:uid="{00000000-0005-0000-0000-000075AC0000}"/>
    <cellStyle name="Note 2 4 7 2" xfId="9686" xr:uid="{00000000-0005-0000-0000-000076AC0000}"/>
    <cellStyle name="Note 2 4 7 2 2" xfId="20987" xr:uid="{00000000-0005-0000-0000-000077AC0000}"/>
    <cellStyle name="Note 2 4 7 2 2 2" xfId="43589" xr:uid="{00000000-0005-0000-0000-000078AC0000}"/>
    <cellStyle name="Note 2 4 7 2 3" xfId="32288" xr:uid="{00000000-0005-0000-0000-000079AC0000}"/>
    <cellStyle name="Note 2 4 7 3" xfId="15337" xr:uid="{00000000-0005-0000-0000-00007AAC0000}"/>
    <cellStyle name="Note 2 4 7 3 2" xfId="37939" xr:uid="{00000000-0005-0000-0000-00007BAC0000}"/>
    <cellStyle name="Note 2 4 7 4" xfId="26638" xr:uid="{00000000-0005-0000-0000-00007CAC0000}"/>
    <cellStyle name="Note 2 4 8" xfId="6487" xr:uid="{00000000-0005-0000-0000-00007DAC0000}"/>
    <cellStyle name="Note 2 4 8 2" xfId="17788" xr:uid="{00000000-0005-0000-0000-00007EAC0000}"/>
    <cellStyle name="Note 2 4 8 2 2" xfId="40390" xr:uid="{00000000-0005-0000-0000-00007FAC0000}"/>
    <cellStyle name="Note 2 4 8 3" xfId="29089" xr:uid="{00000000-0005-0000-0000-000080AC0000}"/>
    <cellStyle name="Note 2 4 9" xfId="12138" xr:uid="{00000000-0005-0000-0000-000081AC0000}"/>
    <cellStyle name="Note 2 4 9 2" xfId="34740" xr:uid="{00000000-0005-0000-0000-000082AC0000}"/>
    <cellStyle name="Note 2 5" xfId="649" xr:uid="{00000000-0005-0000-0000-000083AC0000}"/>
    <cellStyle name="Note 2 5 2" xfId="655" xr:uid="{00000000-0005-0000-0000-000084AC0000}"/>
    <cellStyle name="Note 2 5 2 2" xfId="2752" xr:uid="{00000000-0005-0000-0000-000085AC0000}"/>
    <cellStyle name="Note 2 5 2 2 2" xfId="8585" xr:uid="{00000000-0005-0000-0000-000086AC0000}"/>
    <cellStyle name="Note 2 5 2 2 2 2" xfId="19886" xr:uid="{00000000-0005-0000-0000-000087AC0000}"/>
    <cellStyle name="Note 2 5 2 2 2 2 2" xfId="42488" xr:uid="{00000000-0005-0000-0000-000088AC0000}"/>
    <cellStyle name="Note 2 5 2 2 2 3" xfId="31187" xr:uid="{00000000-0005-0000-0000-000089AC0000}"/>
    <cellStyle name="Note 2 5 2 2 3" xfId="14236" xr:uid="{00000000-0005-0000-0000-00008AAC0000}"/>
    <cellStyle name="Note 2 5 2 2 3 2" xfId="36838" xr:uid="{00000000-0005-0000-0000-00008BAC0000}"/>
    <cellStyle name="Note 2 5 2 2 4" xfId="25537" xr:uid="{00000000-0005-0000-0000-00008CAC0000}"/>
    <cellStyle name="Note 2 5 2 3" xfId="5781" xr:uid="{00000000-0005-0000-0000-00008DAC0000}"/>
    <cellStyle name="Note 2 5 2 3 2" xfId="11431" xr:uid="{00000000-0005-0000-0000-00008EAC0000}"/>
    <cellStyle name="Note 2 5 2 3 2 2" xfId="22732" xr:uid="{00000000-0005-0000-0000-00008FAC0000}"/>
    <cellStyle name="Note 2 5 2 3 2 2 2" xfId="45334" xr:uid="{00000000-0005-0000-0000-000090AC0000}"/>
    <cellStyle name="Note 2 5 2 3 2 3" xfId="34033" xr:uid="{00000000-0005-0000-0000-000091AC0000}"/>
    <cellStyle name="Note 2 5 2 3 3" xfId="17082" xr:uid="{00000000-0005-0000-0000-000092AC0000}"/>
    <cellStyle name="Note 2 5 2 3 3 2" xfId="39684" xr:uid="{00000000-0005-0000-0000-000093AC0000}"/>
    <cellStyle name="Note 2 5 2 3 4" xfId="28383" xr:uid="{00000000-0005-0000-0000-000094AC0000}"/>
    <cellStyle name="Note 2 5 2 4" xfId="6714" xr:uid="{00000000-0005-0000-0000-000095AC0000}"/>
    <cellStyle name="Note 2 5 2 4 2" xfId="18015" xr:uid="{00000000-0005-0000-0000-000096AC0000}"/>
    <cellStyle name="Note 2 5 2 4 2 2" xfId="40617" xr:uid="{00000000-0005-0000-0000-000097AC0000}"/>
    <cellStyle name="Note 2 5 2 4 3" xfId="29316" xr:uid="{00000000-0005-0000-0000-000098AC0000}"/>
    <cellStyle name="Note 2 5 2 5" xfId="12365" xr:uid="{00000000-0005-0000-0000-000099AC0000}"/>
    <cellStyle name="Note 2 5 2 5 2" xfId="34967" xr:uid="{00000000-0005-0000-0000-00009AAC0000}"/>
    <cellStyle name="Note 2 5 2 6" xfId="23666" xr:uid="{00000000-0005-0000-0000-00009BAC0000}"/>
    <cellStyle name="Note 2 5 3" xfId="2766" xr:uid="{00000000-0005-0000-0000-00009CAC0000}"/>
    <cellStyle name="Note 2 5 3 2" xfId="8599" xr:uid="{00000000-0005-0000-0000-00009DAC0000}"/>
    <cellStyle name="Note 2 5 3 2 2" xfId="19900" xr:uid="{00000000-0005-0000-0000-00009EAC0000}"/>
    <cellStyle name="Note 2 5 3 2 2 2" xfId="42502" xr:uid="{00000000-0005-0000-0000-00009FAC0000}"/>
    <cellStyle name="Note 2 5 3 2 3" xfId="31201" xr:uid="{00000000-0005-0000-0000-0000A0AC0000}"/>
    <cellStyle name="Note 2 5 3 3" xfId="14250" xr:uid="{00000000-0005-0000-0000-0000A1AC0000}"/>
    <cellStyle name="Note 2 5 3 3 2" xfId="36852" xr:uid="{00000000-0005-0000-0000-0000A2AC0000}"/>
    <cellStyle name="Note 2 5 3 4" xfId="25551" xr:uid="{00000000-0005-0000-0000-0000A3AC0000}"/>
    <cellStyle name="Note 2 5 4" xfId="4547" xr:uid="{00000000-0005-0000-0000-0000A4AC0000}"/>
    <cellStyle name="Note 2 5 4 2" xfId="10197" xr:uid="{00000000-0005-0000-0000-0000A5AC0000}"/>
    <cellStyle name="Note 2 5 4 2 2" xfId="21498" xr:uid="{00000000-0005-0000-0000-0000A6AC0000}"/>
    <cellStyle name="Note 2 5 4 2 2 2" xfId="44100" xr:uid="{00000000-0005-0000-0000-0000A7AC0000}"/>
    <cellStyle name="Note 2 5 4 2 3" xfId="32799" xr:uid="{00000000-0005-0000-0000-0000A8AC0000}"/>
    <cellStyle name="Note 2 5 4 3" xfId="15848" xr:uid="{00000000-0005-0000-0000-0000A9AC0000}"/>
    <cellStyle name="Note 2 5 4 3 2" xfId="38450" xr:uid="{00000000-0005-0000-0000-0000AAAC0000}"/>
    <cellStyle name="Note 2 5 4 4" xfId="27149" xr:uid="{00000000-0005-0000-0000-0000ABAC0000}"/>
    <cellStyle name="Note 2 5 5" xfId="6712" xr:uid="{00000000-0005-0000-0000-0000ACAC0000}"/>
    <cellStyle name="Note 2 5 5 2" xfId="18013" xr:uid="{00000000-0005-0000-0000-0000ADAC0000}"/>
    <cellStyle name="Note 2 5 5 2 2" xfId="40615" xr:uid="{00000000-0005-0000-0000-0000AEAC0000}"/>
    <cellStyle name="Note 2 5 5 3" xfId="29314" xr:uid="{00000000-0005-0000-0000-0000AFAC0000}"/>
    <cellStyle name="Note 2 5 6" xfId="12363" xr:uid="{00000000-0005-0000-0000-0000B0AC0000}"/>
    <cellStyle name="Note 2 5 6 2" xfId="34965" xr:uid="{00000000-0005-0000-0000-0000B1AC0000}"/>
    <cellStyle name="Note 2 5 7" xfId="23664" xr:uid="{00000000-0005-0000-0000-0000B2AC0000}"/>
    <cellStyle name="Note 2 6" xfId="2805" xr:uid="{00000000-0005-0000-0000-0000B3AC0000}"/>
    <cellStyle name="Note 2 7" xfId="3483" xr:uid="{00000000-0005-0000-0000-0000B4AC0000}"/>
    <cellStyle name="Note 2 7 2" xfId="9231" xr:uid="{00000000-0005-0000-0000-0000B5AC0000}"/>
    <cellStyle name="Note 2 7 2 2" xfId="20532" xr:uid="{00000000-0005-0000-0000-0000B6AC0000}"/>
    <cellStyle name="Note 2 7 2 2 2" xfId="43134" xr:uid="{00000000-0005-0000-0000-0000B7AC0000}"/>
    <cellStyle name="Note 2 7 2 3" xfId="31833" xr:uid="{00000000-0005-0000-0000-0000B8AC0000}"/>
    <cellStyle name="Note 2 7 3" xfId="14882" xr:uid="{00000000-0005-0000-0000-0000B9AC0000}"/>
    <cellStyle name="Note 2 7 3 2" xfId="37484" xr:uid="{00000000-0005-0000-0000-0000BAAC0000}"/>
    <cellStyle name="Note 2 7 4" xfId="26183" xr:uid="{00000000-0005-0000-0000-0000BBAC0000}"/>
    <cellStyle name="Note 2 8" xfId="3871" xr:uid="{00000000-0005-0000-0000-0000BCAC0000}"/>
    <cellStyle name="Note 3" xfId="146" xr:uid="{00000000-0005-0000-0000-0000BDAC0000}"/>
    <cellStyle name="Note 3 2" xfId="281" xr:uid="{00000000-0005-0000-0000-0000BEAC0000}"/>
    <cellStyle name="Note 3 2 10" xfId="23392" xr:uid="{00000000-0005-0000-0000-0000BFAC0000}"/>
    <cellStyle name="Note 3 2 2" xfId="542" xr:uid="{00000000-0005-0000-0000-0000C0AC0000}"/>
    <cellStyle name="Note 3 2 2 2" xfId="1252" xr:uid="{00000000-0005-0000-0000-0000C1AC0000}"/>
    <cellStyle name="Note 3 2 2 2 2" xfId="2082" xr:uid="{00000000-0005-0000-0000-0000C2AC0000}"/>
    <cellStyle name="Note 3 2 2 2 2 2" xfId="3321" xr:uid="{00000000-0005-0000-0000-0000C3AC0000}"/>
    <cellStyle name="Note 3 2 2 2 2 2 2" xfId="6293" xr:uid="{00000000-0005-0000-0000-0000C4AC0000}"/>
    <cellStyle name="Note 3 2 2 2 2 2 2 2" xfId="11943" xr:uid="{00000000-0005-0000-0000-0000C5AC0000}"/>
    <cellStyle name="Note 3 2 2 2 2 2 2 2 2" xfId="23244" xr:uid="{00000000-0005-0000-0000-0000C6AC0000}"/>
    <cellStyle name="Note 3 2 2 2 2 2 2 2 2 2" xfId="45846" xr:uid="{00000000-0005-0000-0000-0000C7AC0000}"/>
    <cellStyle name="Note 3 2 2 2 2 2 2 2 3" xfId="34545" xr:uid="{00000000-0005-0000-0000-0000C8AC0000}"/>
    <cellStyle name="Note 3 2 2 2 2 2 2 3" xfId="17594" xr:uid="{00000000-0005-0000-0000-0000C9AC0000}"/>
    <cellStyle name="Note 3 2 2 2 2 2 2 3 2" xfId="40196" xr:uid="{00000000-0005-0000-0000-0000CAAC0000}"/>
    <cellStyle name="Note 3 2 2 2 2 2 2 4" xfId="28895" xr:uid="{00000000-0005-0000-0000-0000CBAC0000}"/>
    <cellStyle name="Note 3 2 2 2 2 2 3" xfId="9111" xr:uid="{00000000-0005-0000-0000-0000CCAC0000}"/>
    <cellStyle name="Note 3 2 2 2 2 2 3 2" xfId="20412" xr:uid="{00000000-0005-0000-0000-0000CDAC0000}"/>
    <cellStyle name="Note 3 2 2 2 2 2 3 2 2" xfId="43014" xr:uid="{00000000-0005-0000-0000-0000CEAC0000}"/>
    <cellStyle name="Note 3 2 2 2 2 2 3 3" xfId="31713" xr:uid="{00000000-0005-0000-0000-0000CFAC0000}"/>
    <cellStyle name="Note 3 2 2 2 2 2 4" xfId="14762" xr:uid="{00000000-0005-0000-0000-0000D0AC0000}"/>
    <cellStyle name="Note 3 2 2 2 2 2 4 2" xfId="37364" xr:uid="{00000000-0005-0000-0000-0000D1AC0000}"/>
    <cellStyle name="Note 3 2 2 2 2 2 5" xfId="26063" xr:uid="{00000000-0005-0000-0000-0000D2AC0000}"/>
    <cellStyle name="Note 3 2 2 2 2 3" xfId="5059" xr:uid="{00000000-0005-0000-0000-0000D3AC0000}"/>
    <cellStyle name="Note 3 2 2 2 2 3 2" xfId="10709" xr:uid="{00000000-0005-0000-0000-0000D4AC0000}"/>
    <cellStyle name="Note 3 2 2 2 2 3 2 2" xfId="22010" xr:uid="{00000000-0005-0000-0000-0000D5AC0000}"/>
    <cellStyle name="Note 3 2 2 2 2 3 2 2 2" xfId="44612" xr:uid="{00000000-0005-0000-0000-0000D6AC0000}"/>
    <cellStyle name="Note 3 2 2 2 2 3 2 3" xfId="33311" xr:uid="{00000000-0005-0000-0000-0000D7AC0000}"/>
    <cellStyle name="Note 3 2 2 2 2 3 3" xfId="16360" xr:uid="{00000000-0005-0000-0000-0000D8AC0000}"/>
    <cellStyle name="Note 3 2 2 2 2 3 3 2" xfId="38962" xr:uid="{00000000-0005-0000-0000-0000D9AC0000}"/>
    <cellStyle name="Note 3 2 2 2 2 3 4" xfId="27661" xr:uid="{00000000-0005-0000-0000-0000DAAC0000}"/>
    <cellStyle name="Note 3 2 2 2 2 4" xfId="7938" xr:uid="{00000000-0005-0000-0000-0000DBAC0000}"/>
    <cellStyle name="Note 3 2 2 2 2 4 2" xfId="19239" xr:uid="{00000000-0005-0000-0000-0000DCAC0000}"/>
    <cellStyle name="Note 3 2 2 2 2 4 2 2" xfId="41841" xr:uid="{00000000-0005-0000-0000-0000DDAC0000}"/>
    <cellStyle name="Note 3 2 2 2 2 4 3" xfId="30540" xr:uid="{00000000-0005-0000-0000-0000DEAC0000}"/>
    <cellStyle name="Note 3 2 2 2 2 5" xfId="13589" xr:uid="{00000000-0005-0000-0000-0000DFAC0000}"/>
    <cellStyle name="Note 3 2 2 2 2 5 2" xfId="36191" xr:uid="{00000000-0005-0000-0000-0000E0AC0000}"/>
    <cellStyle name="Note 3 2 2 2 2 6" xfId="24890" xr:uid="{00000000-0005-0000-0000-0000E1AC0000}"/>
    <cellStyle name="Note 3 2 2 2 3" xfId="2650" xr:uid="{00000000-0005-0000-0000-0000E2AC0000}"/>
    <cellStyle name="Note 3 2 2 2 3 2" xfId="5669" xr:uid="{00000000-0005-0000-0000-0000E3AC0000}"/>
    <cellStyle name="Note 3 2 2 2 3 2 2" xfId="11319" xr:uid="{00000000-0005-0000-0000-0000E4AC0000}"/>
    <cellStyle name="Note 3 2 2 2 3 2 2 2" xfId="22620" xr:uid="{00000000-0005-0000-0000-0000E5AC0000}"/>
    <cellStyle name="Note 3 2 2 2 3 2 2 2 2" xfId="45222" xr:uid="{00000000-0005-0000-0000-0000E6AC0000}"/>
    <cellStyle name="Note 3 2 2 2 3 2 2 3" xfId="33921" xr:uid="{00000000-0005-0000-0000-0000E7AC0000}"/>
    <cellStyle name="Note 3 2 2 2 3 2 3" xfId="16970" xr:uid="{00000000-0005-0000-0000-0000E8AC0000}"/>
    <cellStyle name="Note 3 2 2 2 3 2 3 2" xfId="39572" xr:uid="{00000000-0005-0000-0000-0000E9AC0000}"/>
    <cellStyle name="Note 3 2 2 2 3 2 4" xfId="28271" xr:uid="{00000000-0005-0000-0000-0000EAAC0000}"/>
    <cellStyle name="Note 3 2 2 2 3 3" xfId="8486" xr:uid="{00000000-0005-0000-0000-0000EBAC0000}"/>
    <cellStyle name="Note 3 2 2 2 3 3 2" xfId="19787" xr:uid="{00000000-0005-0000-0000-0000ECAC0000}"/>
    <cellStyle name="Note 3 2 2 2 3 3 2 2" xfId="42389" xr:uid="{00000000-0005-0000-0000-0000EDAC0000}"/>
    <cellStyle name="Note 3 2 2 2 3 3 3" xfId="31088" xr:uid="{00000000-0005-0000-0000-0000EEAC0000}"/>
    <cellStyle name="Note 3 2 2 2 3 4" xfId="14137" xr:uid="{00000000-0005-0000-0000-0000EFAC0000}"/>
    <cellStyle name="Note 3 2 2 2 3 4 2" xfId="36739" xr:uid="{00000000-0005-0000-0000-0000F0AC0000}"/>
    <cellStyle name="Note 3 2 2 2 3 5" xfId="25438" xr:uid="{00000000-0005-0000-0000-0000F1AC0000}"/>
    <cellStyle name="Note 3 2 2 2 4" xfId="4435" xr:uid="{00000000-0005-0000-0000-0000F2AC0000}"/>
    <cellStyle name="Note 3 2 2 2 4 2" xfId="10085" xr:uid="{00000000-0005-0000-0000-0000F3AC0000}"/>
    <cellStyle name="Note 3 2 2 2 4 2 2" xfId="21386" xr:uid="{00000000-0005-0000-0000-0000F4AC0000}"/>
    <cellStyle name="Note 3 2 2 2 4 2 2 2" xfId="43988" xr:uid="{00000000-0005-0000-0000-0000F5AC0000}"/>
    <cellStyle name="Note 3 2 2 2 4 2 3" xfId="32687" xr:uid="{00000000-0005-0000-0000-0000F6AC0000}"/>
    <cellStyle name="Note 3 2 2 2 4 3" xfId="15736" xr:uid="{00000000-0005-0000-0000-0000F7AC0000}"/>
    <cellStyle name="Note 3 2 2 2 4 3 2" xfId="38338" xr:uid="{00000000-0005-0000-0000-0000F8AC0000}"/>
    <cellStyle name="Note 3 2 2 2 4 4" xfId="27037" xr:uid="{00000000-0005-0000-0000-0000F9AC0000}"/>
    <cellStyle name="Note 3 2 2 2 5" xfId="7231" xr:uid="{00000000-0005-0000-0000-0000FAAC0000}"/>
    <cellStyle name="Note 3 2 2 2 5 2" xfId="18532" xr:uid="{00000000-0005-0000-0000-0000FBAC0000}"/>
    <cellStyle name="Note 3 2 2 2 5 2 2" xfId="41134" xr:uid="{00000000-0005-0000-0000-0000FCAC0000}"/>
    <cellStyle name="Note 3 2 2 2 5 3" xfId="29833" xr:uid="{00000000-0005-0000-0000-0000FDAC0000}"/>
    <cellStyle name="Note 3 2 2 2 6" xfId="12882" xr:uid="{00000000-0005-0000-0000-0000FEAC0000}"/>
    <cellStyle name="Note 3 2 2 2 6 2" xfId="35484" xr:uid="{00000000-0005-0000-0000-0000FFAC0000}"/>
    <cellStyle name="Note 3 2 2 2 7" xfId="24183" xr:uid="{00000000-0005-0000-0000-000000AD0000}"/>
    <cellStyle name="Note 3 2 2 3" xfId="950" xr:uid="{00000000-0005-0000-0000-000001AD0000}"/>
    <cellStyle name="Note 3 2 2 3 2" xfId="3013" xr:uid="{00000000-0005-0000-0000-000002AD0000}"/>
    <cellStyle name="Note 3 2 2 3 2 2" xfId="5985" xr:uid="{00000000-0005-0000-0000-000003AD0000}"/>
    <cellStyle name="Note 3 2 2 3 2 2 2" xfId="11635" xr:uid="{00000000-0005-0000-0000-000004AD0000}"/>
    <cellStyle name="Note 3 2 2 3 2 2 2 2" xfId="22936" xr:uid="{00000000-0005-0000-0000-000005AD0000}"/>
    <cellStyle name="Note 3 2 2 3 2 2 2 2 2" xfId="45538" xr:uid="{00000000-0005-0000-0000-000006AD0000}"/>
    <cellStyle name="Note 3 2 2 3 2 2 2 3" xfId="34237" xr:uid="{00000000-0005-0000-0000-000007AD0000}"/>
    <cellStyle name="Note 3 2 2 3 2 2 3" xfId="17286" xr:uid="{00000000-0005-0000-0000-000008AD0000}"/>
    <cellStyle name="Note 3 2 2 3 2 2 3 2" xfId="39888" xr:uid="{00000000-0005-0000-0000-000009AD0000}"/>
    <cellStyle name="Note 3 2 2 3 2 2 4" xfId="28587" xr:uid="{00000000-0005-0000-0000-00000AAD0000}"/>
    <cellStyle name="Note 3 2 2 3 2 3" xfId="8803" xr:uid="{00000000-0005-0000-0000-00000BAD0000}"/>
    <cellStyle name="Note 3 2 2 3 2 3 2" xfId="20104" xr:uid="{00000000-0005-0000-0000-00000CAD0000}"/>
    <cellStyle name="Note 3 2 2 3 2 3 2 2" xfId="42706" xr:uid="{00000000-0005-0000-0000-00000DAD0000}"/>
    <cellStyle name="Note 3 2 2 3 2 3 3" xfId="31405" xr:uid="{00000000-0005-0000-0000-00000EAD0000}"/>
    <cellStyle name="Note 3 2 2 3 2 4" xfId="14454" xr:uid="{00000000-0005-0000-0000-00000FAD0000}"/>
    <cellStyle name="Note 3 2 2 3 2 4 2" xfId="37056" xr:uid="{00000000-0005-0000-0000-000010AD0000}"/>
    <cellStyle name="Note 3 2 2 3 2 5" xfId="25755" xr:uid="{00000000-0005-0000-0000-000011AD0000}"/>
    <cellStyle name="Note 3 2 2 3 3" xfId="4751" xr:uid="{00000000-0005-0000-0000-000012AD0000}"/>
    <cellStyle name="Note 3 2 2 3 3 2" xfId="10401" xr:uid="{00000000-0005-0000-0000-000013AD0000}"/>
    <cellStyle name="Note 3 2 2 3 3 2 2" xfId="21702" xr:uid="{00000000-0005-0000-0000-000014AD0000}"/>
    <cellStyle name="Note 3 2 2 3 3 2 2 2" xfId="44304" xr:uid="{00000000-0005-0000-0000-000015AD0000}"/>
    <cellStyle name="Note 3 2 2 3 3 2 3" xfId="33003" xr:uid="{00000000-0005-0000-0000-000016AD0000}"/>
    <cellStyle name="Note 3 2 2 3 3 3" xfId="16052" xr:uid="{00000000-0005-0000-0000-000017AD0000}"/>
    <cellStyle name="Note 3 2 2 3 3 3 2" xfId="38654" xr:uid="{00000000-0005-0000-0000-000018AD0000}"/>
    <cellStyle name="Note 3 2 2 3 3 4" xfId="27353" xr:uid="{00000000-0005-0000-0000-000019AD0000}"/>
    <cellStyle name="Note 3 2 2 3 4" xfId="6938" xr:uid="{00000000-0005-0000-0000-00001AAD0000}"/>
    <cellStyle name="Note 3 2 2 3 4 2" xfId="18239" xr:uid="{00000000-0005-0000-0000-00001BAD0000}"/>
    <cellStyle name="Note 3 2 2 3 4 2 2" xfId="40841" xr:uid="{00000000-0005-0000-0000-00001CAD0000}"/>
    <cellStyle name="Note 3 2 2 3 4 3" xfId="29540" xr:uid="{00000000-0005-0000-0000-00001DAD0000}"/>
    <cellStyle name="Note 3 2 2 3 5" xfId="12589" xr:uid="{00000000-0005-0000-0000-00001EAD0000}"/>
    <cellStyle name="Note 3 2 2 3 5 2" xfId="35191" xr:uid="{00000000-0005-0000-0000-00001FAD0000}"/>
    <cellStyle name="Note 3 2 2 3 6" xfId="23890" xr:uid="{00000000-0005-0000-0000-000020AD0000}"/>
    <cellStyle name="Note 3 2 2 4" xfId="2081" xr:uid="{00000000-0005-0000-0000-000021AD0000}"/>
    <cellStyle name="Note 3 2 2 4 2" xfId="3818" xr:uid="{00000000-0005-0000-0000-000022AD0000}"/>
    <cellStyle name="Note 3 2 2 4 2 2" xfId="9526" xr:uid="{00000000-0005-0000-0000-000023AD0000}"/>
    <cellStyle name="Note 3 2 2 4 2 2 2" xfId="20827" xr:uid="{00000000-0005-0000-0000-000024AD0000}"/>
    <cellStyle name="Note 3 2 2 4 2 2 2 2" xfId="43429" xr:uid="{00000000-0005-0000-0000-000025AD0000}"/>
    <cellStyle name="Note 3 2 2 4 2 2 3" xfId="32128" xr:uid="{00000000-0005-0000-0000-000026AD0000}"/>
    <cellStyle name="Note 3 2 2 4 2 3" xfId="15177" xr:uid="{00000000-0005-0000-0000-000027AD0000}"/>
    <cellStyle name="Note 3 2 2 4 2 3 2" xfId="37779" xr:uid="{00000000-0005-0000-0000-000028AD0000}"/>
    <cellStyle name="Note 3 2 2 4 2 4" xfId="26478" xr:uid="{00000000-0005-0000-0000-000029AD0000}"/>
    <cellStyle name="Note 3 2 2 4 3" xfId="5361" xr:uid="{00000000-0005-0000-0000-00002AAD0000}"/>
    <cellStyle name="Note 3 2 2 4 3 2" xfId="11011" xr:uid="{00000000-0005-0000-0000-00002BAD0000}"/>
    <cellStyle name="Note 3 2 2 4 3 2 2" xfId="22312" xr:uid="{00000000-0005-0000-0000-00002CAD0000}"/>
    <cellStyle name="Note 3 2 2 4 3 2 2 2" xfId="44914" xr:uid="{00000000-0005-0000-0000-00002DAD0000}"/>
    <cellStyle name="Note 3 2 2 4 3 2 3" xfId="33613" xr:uid="{00000000-0005-0000-0000-00002EAD0000}"/>
    <cellStyle name="Note 3 2 2 4 3 3" xfId="16662" xr:uid="{00000000-0005-0000-0000-00002FAD0000}"/>
    <cellStyle name="Note 3 2 2 4 3 3 2" xfId="39264" xr:uid="{00000000-0005-0000-0000-000030AD0000}"/>
    <cellStyle name="Note 3 2 2 4 3 4" xfId="27963" xr:uid="{00000000-0005-0000-0000-000031AD0000}"/>
    <cellStyle name="Note 3 2 2 4 4" xfId="7937" xr:uid="{00000000-0005-0000-0000-000032AD0000}"/>
    <cellStyle name="Note 3 2 2 4 4 2" xfId="19238" xr:uid="{00000000-0005-0000-0000-000033AD0000}"/>
    <cellStyle name="Note 3 2 2 4 4 2 2" xfId="41840" xr:uid="{00000000-0005-0000-0000-000034AD0000}"/>
    <cellStyle name="Note 3 2 2 4 4 3" xfId="30539" xr:uid="{00000000-0005-0000-0000-000035AD0000}"/>
    <cellStyle name="Note 3 2 2 4 5" xfId="13588" xr:uid="{00000000-0005-0000-0000-000036AD0000}"/>
    <cellStyle name="Note 3 2 2 4 5 2" xfId="36190" xr:uid="{00000000-0005-0000-0000-000037AD0000}"/>
    <cellStyle name="Note 3 2 2 4 6" xfId="24889" xr:uid="{00000000-0005-0000-0000-000038AD0000}"/>
    <cellStyle name="Note 3 2 2 5" xfId="2342" xr:uid="{00000000-0005-0000-0000-000039AD0000}"/>
    <cellStyle name="Note 3 2 2 5 2" xfId="8178" xr:uid="{00000000-0005-0000-0000-00003AAD0000}"/>
    <cellStyle name="Note 3 2 2 5 2 2" xfId="19479" xr:uid="{00000000-0005-0000-0000-00003BAD0000}"/>
    <cellStyle name="Note 3 2 2 5 2 2 2" xfId="42081" xr:uid="{00000000-0005-0000-0000-00003CAD0000}"/>
    <cellStyle name="Note 3 2 2 5 2 3" xfId="30780" xr:uid="{00000000-0005-0000-0000-00003DAD0000}"/>
    <cellStyle name="Note 3 2 2 5 3" xfId="13829" xr:uid="{00000000-0005-0000-0000-00003EAD0000}"/>
    <cellStyle name="Note 3 2 2 5 3 2" xfId="36431" xr:uid="{00000000-0005-0000-0000-00003FAD0000}"/>
    <cellStyle name="Note 3 2 2 5 4" xfId="25130" xr:uid="{00000000-0005-0000-0000-000040AD0000}"/>
    <cellStyle name="Note 3 2 2 6" xfId="4127" xr:uid="{00000000-0005-0000-0000-000041AD0000}"/>
    <cellStyle name="Note 3 2 2 6 2" xfId="9777" xr:uid="{00000000-0005-0000-0000-000042AD0000}"/>
    <cellStyle name="Note 3 2 2 6 2 2" xfId="21078" xr:uid="{00000000-0005-0000-0000-000043AD0000}"/>
    <cellStyle name="Note 3 2 2 6 2 2 2" xfId="43680" xr:uid="{00000000-0005-0000-0000-000044AD0000}"/>
    <cellStyle name="Note 3 2 2 6 2 3" xfId="32379" xr:uid="{00000000-0005-0000-0000-000045AD0000}"/>
    <cellStyle name="Note 3 2 2 6 3" xfId="15428" xr:uid="{00000000-0005-0000-0000-000046AD0000}"/>
    <cellStyle name="Note 3 2 2 6 3 2" xfId="38030" xr:uid="{00000000-0005-0000-0000-000047AD0000}"/>
    <cellStyle name="Note 3 2 2 6 4" xfId="26729" xr:uid="{00000000-0005-0000-0000-000048AD0000}"/>
    <cellStyle name="Note 3 2 2 7" xfId="6607" xr:uid="{00000000-0005-0000-0000-000049AD0000}"/>
    <cellStyle name="Note 3 2 2 7 2" xfId="17908" xr:uid="{00000000-0005-0000-0000-00004AAD0000}"/>
    <cellStyle name="Note 3 2 2 7 2 2" xfId="40510" xr:uid="{00000000-0005-0000-0000-00004BAD0000}"/>
    <cellStyle name="Note 3 2 2 7 3" xfId="29209" xr:uid="{00000000-0005-0000-0000-00004CAD0000}"/>
    <cellStyle name="Note 3 2 2 8" xfId="12258" xr:uid="{00000000-0005-0000-0000-00004DAD0000}"/>
    <cellStyle name="Note 3 2 2 8 2" xfId="34860" xr:uid="{00000000-0005-0000-0000-00004EAD0000}"/>
    <cellStyle name="Note 3 2 2 9" xfId="23559" xr:uid="{00000000-0005-0000-0000-00004FAD0000}"/>
    <cellStyle name="Note 3 2 3" xfId="1114" xr:uid="{00000000-0005-0000-0000-000050AD0000}"/>
    <cellStyle name="Note 3 2 3 2" xfId="2083" xr:uid="{00000000-0005-0000-0000-000051AD0000}"/>
    <cellStyle name="Note 3 2 3 2 2" xfId="3182" xr:uid="{00000000-0005-0000-0000-000052AD0000}"/>
    <cellStyle name="Note 3 2 3 2 2 2" xfId="6154" xr:uid="{00000000-0005-0000-0000-000053AD0000}"/>
    <cellStyle name="Note 3 2 3 2 2 2 2" xfId="11804" xr:uid="{00000000-0005-0000-0000-000054AD0000}"/>
    <cellStyle name="Note 3 2 3 2 2 2 2 2" xfId="23105" xr:uid="{00000000-0005-0000-0000-000055AD0000}"/>
    <cellStyle name="Note 3 2 3 2 2 2 2 2 2" xfId="45707" xr:uid="{00000000-0005-0000-0000-000056AD0000}"/>
    <cellStyle name="Note 3 2 3 2 2 2 2 3" xfId="34406" xr:uid="{00000000-0005-0000-0000-000057AD0000}"/>
    <cellStyle name="Note 3 2 3 2 2 2 3" xfId="17455" xr:uid="{00000000-0005-0000-0000-000058AD0000}"/>
    <cellStyle name="Note 3 2 3 2 2 2 3 2" xfId="40057" xr:uid="{00000000-0005-0000-0000-000059AD0000}"/>
    <cellStyle name="Note 3 2 3 2 2 2 4" xfId="28756" xr:uid="{00000000-0005-0000-0000-00005AAD0000}"/>
    <cellStyle name="Note 3 2 3 2 2 3" xfId="8972" xr:uid="{00000000-0005-0000-0000-00005BAD0000}"/>
    <cellStyle name="Note 3 2 3 2 2 3 2" xfId="20273" xr:uid="{00000000-0005-0000-0000-00005CAD0000}"/>
    <cellStyle name="Note 3 2 3 2 2 3 2 2" xfId="42875" xr:uid="{00000000-0005-0000-0000-00005DAD0000}"/>
    <cellStyle name="Note 3 2 3 2 2 3 3" xfId="31574" xr:uid="{00000000-0005-0000-0000-00005EAD0000}"/>
    <cellStyle name="Note 3 2 3 2 2 4" xfId="14623" xr:uid="{00000000-0005-0000-0000-00005FAD0000}"/>
    <cellStyle name="Note 3 2 3 2 2 4 2" xfId="37225" xr:uid="{00000000-0005-0000-0000-000060AD0000}"/>
    <cellStyle name="Note 3 2 3 2 2 5" xfId="25924" xr:uid="{00000000-0005-0000-0000-000061AD0000}"/>
    <cellStyle name="Note 3 2 3 2 3" xfId="4920" xr:uid="{00000000-0005-0000-0000-000062AD0000}"/>
    <cellStyle name="Note 3 2 3 2 3 2" xfId="10570" xr:uid="{00000000-0005-0000-0000-000063AD0000}"/>
    <cellStyle name="Note 3 2 3 2 3 2 2" xfId="21871" xr:uid="{00000000-0005-0000-0000-000064AD0000}"/>
    <cellStyle name="Note 3 2 3 2 3 2 2 2" xfId="44473" xr:uid="{00000000-0005-0000-0000-000065AD0000}"/>
    <cellStyle name="Note 3 2 3 2 3 2 3" xfId="33172" xr:uid="{00000000-0005-0000-0000-000066AD0000}"/>
    <cellStyle name="Note 3 2 3 2 3 3" xfId="16221" xr:uid="{00000000-0005-0000-0000-000067AD0000}"/>
    <cellStyle name="Note 3 2 3 2 3 3 2" xfId="38823" xr:uid="{00000000-0005-0000-0000-000068AD0000}"/>
    <cellStyle name="Note 3 2 3 2 3 4" xfId="27522" xr:uid="{00000000-0005-0000-0000-000069AD0000}"/>
    <cellStyle name="Note 3 2 3 2 4" xfId="7939" xr:uid="{00000000-0005-0000-0000-00006AAD0000}"/>
    <cellStyle name="Note 3 2 3 2 4 2" xfId="19240" xr:uid="{00000000-0005-0000-0000-00006BAD0000}"/>
    <cellStyle name="Note 3 2 3 2 4 2 2" xfId="41842" xr:uid="{00000000-0005-0000-0000-00006CAD0000}"/>
    <cellStyle name="Note 3 2 3 2 4 3" xfId="30541" xr:uid="{00000000-0005-0000-0000-00006DAD0000}"/>
    <cellStyle name="Note 3 2 3 2 5" xfId="13590" xr:uid="{00000000-0005-0000-0000-00006EAD0000}"/>
    <cellStyle name="Note 3 2 3 2 5 2" xfId="36192" xr:uid="{00000000-0005-0000-0000-00006FAD0000}"/>
    <cellStyle name="Note 3 2 3 2 6" xfId="24891" xr:uid="{00000000-0005-0000-0000-000070AD0000}"/>
    <cellStyle name="Note 3 2 3 3" xfId="2511" xr:uid="{00000000-0005-0000-0000-000071AD0000}"/>
    <cellStyle name="Note 3 2 3 3 2" xfId="5530" xr:uid="{00000000-0005-0000-0000-000072AD0000}"/>
    <cellStyle name="Note 3 2 3 3 2 2" xfId="11180" xr:uid="{00000000-0005-0000-0000-000073AD0000}"/>
    <cellStyle name="Note 3 2 3 3 2 2 2" xfId="22481" xr:uid="{00000000-0005-0000-0000-000074AD0000}"/>
    <cellStyle name="Note 3 2 3 3 2 2 2 2" xfId="45083" xr:uid="{00000000-0005-0000-0000-000075AD0000}"/>
    <cellStyle name="Note 3 2 3 3 2 2 3" xfId="33782" xr:uid="{00000000-0005-0000-0000-000076AD0000}"/>
    <cellStyle name="Note 3 2 3 3 2 3" xfId="16831" xr:uid="{00000000-0005-0000-0000-000077AD0000}"/>
    <cellStyle name="Note 3 2 3 3 2 3 2" xfId="39433" xr:uid="{00000000-0005-0000-0000-000078AD0000}"/>
    <cellStyle name="Note 3 2 3 3 2 4" xfId="28132" xr:uid="{00000000-0005-0000-0000-000079AD0000}"/>
    <cellStyle name="Note 3 2 3 3 3" xfId="8347" xr:uid="{00000000-0005-0000-0000-00007AAD0000}"/>
    <cellStyle name="Note 3 2 3 3 3 2" xfId="19648" xr:uid="{00000000-0005-0000-0000-00007BAD0000}"/>
    <cellStyle name="Note 3 2 3 3 3 2 2" xfId="42250" xr:uid="{00000000-0005-0000-0000-00007CAD0000}"/>
    <cellStyle name="Note 3 2 3 3 3 3" xfId="30949" xr:uid="{00000000-0005-0000-0000-00007DAD0000}"/>
    <cellStyle name="Note 3 2 3 3 4" xfId="13998" xr:uid="{00000000-0005-0000-0000-00007EAD0000}"/>
    <cellStyle name="Note 3 2 3 3 4 2" xfId="36600" xr:uid="{00000000-0005-0000-0000-00007FAD0000}"/>
    <cellStyle name="Note 3 2 3 3 5" xfId="25299" xr:uid="{00000000-0005-0000-0000-000080AD0000}"/>
    <cellStyle name="Note 3 2 3 4" xfId="4296" xr:uid="{00000000-0005-0000-0000-000081AD0000}"/>
    <cellStyle name="Note 3 2 3 4 2" xfId="9946" xr:uid="{00000000-0005-0000-0000-000082AD0000}"/>
    <cellStyle name="Note 3 2 3 4 2 2" xfId="21247" xr:uid="{00000000-0005-0000-0000-000083AD0000}"/>
    <cellStyle name="Note 3 2 3 4 2 2 2" xfId="43849" xr:uid="{00000000-0005-0000-0000-000084AD0000}"/>
    <cellStyle name="Note 3 2 3 4 2 3" xfId="32548" xr:uid="{00000000-0005-0000-0000-000085AD0000}"/>
    <cellStyle name="Note 3 2 3 4 3" xfId="15597" xr:uid="{00000000-0005-0000-0000-000086AD0000}"/>
    <cellStyle name="Note 3 2 3 4 3 2" xfId="38199" xr:uid="{00000000-0005-0000-0000-000087AD0000}"/>
    <cellStyle name="Note 3 2 3 4 4" xfId="26898" xr:uid="{00000000-0005-0000-0000-000088AD0000}"/>
    <cellStyle name="Note 3 2 3 5" xfId="7093" xr:uid="{00000000-0005-0000-0000-000089AD0000}"/>
    <cellStyle name="Note 3 2 3 5 2" xfId="18394" xr:uid="{00000000-0005-0000-0000-00008AAD0000}"/>
    <cellStyle name="Note 3 2 3 5 2 2" xfId="40996" xr:uid="{00000000-0005-0000-0000-00008BAD0000}"/>
    <cellStyle name="Note 3 2 3 5 3" xfId="29695" xr:uid="{00000000-0005-0000-0000-00008CAD0000}"/>
    <cellStyle name="Note 3 2 3 6" xfId="12744" xr:uid="{00000000-0005-0000-0000-00008DAD0000}"/>
    <cellStyle name="Note 3 2 3 6 2" xfId="35346" xr:uid="{00000000-0005-0000-0000-00008EAD0000}"/>
    <cellStyle name="Note 3 2 3 7" xfId="24045" xr:uid="{00000000-0005-0000-0000-00008FAD0000}"/>
    <cellStyle name="Note 3 2 4" xfId="803" xr:uid="{00000000-0005-0000-0000-000090AD0000}"/>
    <cellStyle name="Note 3 2 4 2" xfId="2875" xr:uid="{00000000-0005-0000-0000-000091AD0000}"/>
    <cellStyle name="Note 3 2 4 2 2" xfId="5847" xr:uid="{00000000-0005-0000-0000-000092AD0000}"/>
    <cellStyle name="Note 3 2 4 2 2 2" xfId="11497" xr:uid="{00000000-0005-0000-0000-000093AD0000}"/>
    <cellStyle name="Note 3 2 4 2 2 2 2" xfId="22798" xr:uid="{00000000-0005-0000-0000-000094AD0000}"/>
    <cellStyle name="Note 3 2 4 2 2 2 2 2" xfId="45400" xr:uid="{00000000-0005-0000-0000-000095AD0000}"/>
    <cellStyle name="Note 3 2 4 2 2 2 3" xfId="34099" xr:uid="{00000000-0005-0000-0000-000096AD0000}"/>
    <cellStyle name="Note 3 2 4 2 2 3" xfId="17148" xr:uid="{00000000-0005-0000-0000-000097AD0000}"/>
    <cellStyle name="Note 3 2 4 2 2 3 2" xfId="39750" xr:uid="{00000000-0005-0000-0000-000098AD0000}"/>
    <cellStyle name="Note 3 2 4 2 2 4" xfId="28449" xr:uid="{00000000-0005-0000-0000-000099AD0000}"/>
    <cellStyle name="Note 3 2 4 2 3" xfId="8665" xr:uid="{00000000-0005-0000-0000-00009AAD0000}"/>
    <cellStyle name="Note 3 2 4 2 3 2" xfId="19966" xr:uid="{00000000-0005-0000-0000-00009BAD0000}"/>
    <cellStyle name="Note 3 2 4 2 3 2 2" xfId="42568" xr:uid="{00000000-0005-0000-0000-00009CAD0000}"/>
    <cellStyle name="Note 3 2 4 2 3 3" xfId="31267" xr:uid="{00000000-0005-0000-0000-00009DAD0000}"/>
    <cellStyle name="Note 3 2 4 2 4" xfId="14316" xr:uid="{00000000-0005-0000-0000-00009EAD0000}"/>
    <cellStyle name="Note 3 2 4 2 4 2" xfId="36918" xr:uid="{00000000-0005-0000-0000-00009FAD0000}"/>
    <cellStyle name="Note 3 2 4 2 5" xfId="25617" xr:uid="{00000000-0005-0000-0000-0000A0AD0000}"/>
    <cellStyle name="Note 3 2 4 3" xfId="4613" xr:uid="{00000000-0005-0000-0000-0000A1AD0000}"/>
    <cellStyle name="Note 3 2 4 3 2" xfId="10263" xr:uid="{00000000-0005-0000-0000-0000A2AD0000}"/>
    <cellStyle name="Note 3 2 4 3 2 2" xfId="21564" xr:uid="{00000000-0005-0000-0000-0000A3AD0000}"/>
    <cellStyle name="Note 3 2 4 3 2 2 2" xfId="44166" xr:uid="{00000000-0005-0000-0000-0000A4AD0000}"/>
    <cellStyle name="Note 3 2 4 3 2 3" xfId="32865" xr:uid="{00000000-0005-0000-0000-0000A5AD0000}"/>
    <cellStyle name="Note 3 2 4 3 3" xfId="15914" xr:uid="{00000000-0005-0000-0000-0000A6AD0000}"/>
    <cellStyle name="Note 3 2 4 3 3 2" xfId="38516" xr:uid="{00000000-0005-0000-0000-0000A7AD0000}"/>
    <cellStyle name="Note 3 2 4 3 4" xfId="27215" xr:uid="{00000000-0005-0000-0000-0000A8AD0000}"/>
    <cellStyle name="Note 3 2 4 4" xfId="6800" xr:uid="{00000000-0005-0000-0000-0000A9AD0000}"/>
    <cellStyle name="Note 3 2 4 4 2" xfId="18101" xr:uid="{00000000-0005-0000-0000-0000AAAD0000}"/>
    <cellStyle name="Note 3 2 4 4 2 2" xfId="40703" xr:uid="{00000000-0005-0000-0000-0000ABAD0000}"/>
    <cellStyle name="Note 3 2 4 4 3" xfId="29402" xr:uid="{00000000-0005-0000-0000-0000ACAD0000}"/>
    <cellStyle name="Note 3 2 4 5" xfId="12451" xr:uid="{00000000-0005-0000-0000-0000ADAD0000}"/>
    <cellStyle name="Note 3 2 4 5 2" xfId="35053" xr:uid="{00000000-0005-0000-0000-0000AEAD0000}"/>
    <cellStyle name="Note 3 2 4 6" xfId="23752" xr:uid="{00000000-0005-0000-0000-0000AFAD0000}"/>
    <cellStyle name="Note 3 2 5" xfId="2080" xr:uid="{00000000-0005-0000-0000-0000B0AD0000}"/>
    <cellStyle name="Note 3 2 5 2" xfId="3817" xr:uid="{00000000-0005-0000-0000-0000B1AD0000}"/>
    <cellStyle name="Note 3 2 5 2 2" xfId="9525" xr:uid="{00000000-0005-0000-0000-0000B2AD0000}"/>
    <cellStyle name="Note 3 2 5 2 2 2" xfId="20826" xr:uid="{00000000-0005-0000-0000-0000B3AD0000}"/>
    <cellStyle name="Note 3 2 5 2 2 2 2" xfId="43428" xr:uid="{00000000-0005-0000-0000-0000B4AD0000}"/>
    <cellStyle name="Note 3 2 5 2 2 3" xfId="32127" xr:uid="{00000000-0005-0000-0000-0000B5AD0000}"/>
    <cellStyle name="Note 3 2 5 2 3" xfId="15176" xr:uid="{00000000-0005-0000-0000-0000B6AD0000}"/>
    <cellStyle name="Note 3 2 5 2 3 2" xfId="37778" xr:uid="{00000000-0005-0000-0000-0000B7AD0000}"/>
    <cellStyle name="Note 3 2 5 2 4" xfId="26477" xr:uid="{00000000-0005-0000-0000-0000B8AD0000}"/>
    <cellStyle name="Note 3 2 5 3" xfId="5223" xr:uid="{00000000-0005-0000-0000-0000B9AD0000}"/>
    <cellStyle name="Note 3 2 5 3 2" xfId="10873" xr:uid="{00000000-0005-0000-0000-0000BAAD0000}"/>
    <cellStyle name="Note 3 2 5 3 2 2" xfId="22174" xr:uid="{00000000-0005-0000-0000-0000BBAD0000}"/>
    <cellStyle name="Note 3 2 5 3 2 2 2" xfId="44776" xr:uid="{00000000-0005-0000-0000-0000BCAD0000}"/>
    <cellStyle name="Note 3 2 5 3 2 3" xfId="33475" xr:uid="{00000000-0005-0000-0000-0000BDAD0000}"/>
    <cellStyle name="Note 3 2 5 3 3" xfId="16524" xr:uid="{00000000-0005-0000-0000-0000BEAD0000}"/>
    <cellStyle name="Note 3 2 5 3 3 2" xfId="39126" xr:uid="{00000000-0005-0000-0000-0000BFAD0000}"/>
    <cellStyle name="Note 3 2 5 3 4" xfId="27825" xr:uid="{00000000-0005-0000-0000-0000C0AD0000}"/>
    <cellStyle name="Note 3 2 5 4" xfId="7936" xr:uid="{00000000-0005-0000-0000-0000C1AD0000}"/>
    <cellStyle name="Note 3 2 5 4 2" xfId="19237" xr:uid="{00000000-0005-0000-0000-0000C2AD0000}"/>
    <cellStyle name="Note 3 2 5 4 2 2" xfId="41839" xr:uid="{00000000-0005-0000-0000-0000C3AD0000}"/>
    <cellStyle name="Note 3 2 5 4 3" xfId="30538" xr:uid="{00000000-0005-0000-0000-0000C4AD0000}"/>
    <cellStyle name="Note 3 2 5 5" xfId="13587" xr:uid="{00000000-0005-0000-0000-0000C5AD0000}"/>
    <cellStyle name="Note 3 2 5 5 2" xfId="36189" xr:uid="{00000000-0005-0000-0000-0000C6AD0000}"/>
    <cellStyle name="Note 3 2 5 6" xfId="24888" xr:uid="{00000000-0005-0000-0000-0000C7AD0000}"/>
    <cellStyle name="Note 3 2 6" xfId="2201" xr:uid="{00000000-0005-0000-0000-0000C8AD0000}"/>
    <cellStyle name="Note 3 2 6 2" xfId="8037" xr:uid="{00000000-0005-0000-0000-0000C9AD0000}"/>
    <cellStyle name="Note 3 2 6 2 2" xfId="19338" xr:uid="{00000000-0005-0000-0000-0000CAAD0000}"/>
    <cellStyle name="Note 3 2 6 2 2 2" xfId="41940" xr:uid="{00000000-0005-0000-0000-0000CBAD0000}"/>
    <cellStyle name="Note 3 2 6 2 3" xfId="30639" xr:uid="{00000000-0005-0000-0000-0000CCAD0000}"/>
    <cellStyle name="Note 3 2 6 3" xfId="13688" xr:uid="{00000000-0005-0000-0000-0000CDAD0000}"/>
    <cellStyle name="Note 3 2 6 3 2" xfId="36290" xr:uid="{00000000-0005-0000-0000-0000CEAD0000}"/>
    <cellStyle name="Note 3 2 6 4" xfId="24989" xr:uid="{00000000-0005-0000-0000-0000CFAD0000}"/>
    <cellStyle name="Note 3 2 7" xfId="3989" xr:uid="{00000000-0005-0000-0000-0000D0AD0000}"/>
    <cellStyle name="Note 3 2 7 2" xfId="9639" xr:uid="{00000000-0005-0000-0000-0000D1AD0000}"/>
    <cellStyle name="Note 3 2 7 2 2" xfId="20940" xr:uid="{00000000-0005-0000-0000-0000D2AD0000}"/>
    <cellStyle name="Note 3 2 7 2 2 2" xfId="43542" xr:uid="{00000000-0005-0000-0000-0000D3AD0000}"/>
    <cellStyle name="Note 3 2 7 2 3" xfId="32241" xr:uid="{00000000-0005-0000-0000-0000D4AD0000}"/>
    <cellStyle name="Note 3 2 7 3" xfId="15290" xr:uid="{00000000-0005-0000-0000-0000D5AD0000}"/>
    <cellStyle name="Note 3 2 7 3 2" xfId="37892" xr:uid="{00000000-0005-0000-0000-0000D6AD0000}"/>
    <cellStyle name="Note 3 2 7 4" xfId="26591" xr:uid="{00000000-0005-0000-0000-0000D7AD0000}"/>
    <cellStyle name="Note 3 2 8" xfId="6440" xr:uid="{00000000-0005-0000-0000-0000D8AD0000}"/>
    <cellStyle name="Note 3 2 8 2" xfId="17741" xr:uid="{00000000-0005-0000-0000-0000D9AD0000}"/>
    <cellStyle name="Note 3 2 8 2 2" xfId="40343" xr:uid="{00000000-0005-0000-0000-0000DAAD0000}"/>
    <cellStyle name="Note 3 2 8 3" xfId="29042" xr:uid="{00000000-0005-0000-0000-0000DBAD0000}"/>
    <cellStyle name="Note 3 2 9" xfId="12091" xr:uid="{00000000-0005-0000-0000-0000DCAD0000}"/>
    <cellStyle name="Note 3 2 9 2" xfId="34693" xr:uid="{00000000-0005-0000-0000-0000DDAD0000}"/>
    <cellStyle name="Note 3 3" xfId="346" xr:uid="{00000000-0005-0000-0000-0000DEAD0000}"/>
    <cellStyle name="Note 3 3 10" xfId="23441" xr:uid="{00000000-0005-0000-0000-0000DFAD0000}"/>
    <cellStyle name="Note 3 3 2" xfId="591" xr:uid="{00000000-0005-0000-0000-0000E0AD0000}"/>
    <cellStyle name="Note 3 3 2 2" xfId="1301" xr:uid="{00000000-0005-0000-0000-0000E1AD0000}"/>
    <cellStyle name="Note 3 3 2 2 2" xfId="2086" xr:uid="{00000000-0005-0000-0000-0000E2AD0000}"/>
    <cellStyle name="Note 3 3 2 2 2 2" xfId="3370" xr:uid="{00000000-0005-0000-0000-0000E3AD0000}"/>
    <cellStyle name="Note 3 3 2 2 2 2 2" xfId="6342" xr:uid="{00000000-0005-0000-0000-0000E4AD0000}"/>
    <cellStyle name="Note 3 3 2 2 2 2 2 2" xfId="11992" xr:uid="{00000000-0005-0000-0000-0000E5AD0000}"/>
    <cellStyle name="Note 3 3 2 2 2 2 2 2 2" xfId="23293" xr:uid="{00000000-0005-0000-0000-0000E6AD0000}"/>
    <cellStyle name="Note 3 3 2 2 2 2 2 2 2 2" xfId="45895" xr:uid="{00000000-0005-0000-0000-0000E7AD0000}"/>
    <cellStyle name="Note 3 3 2 2 2 2 2 2 3" xfId="34594" xr:uid="{00000000-0005-0000-0000-0000E8AD0000}"/>
    <cellStyle name="Note 3 3 2 2 2 2 2 3" xfId="17643" xr:uid="{00000000-0005-0000-0000-0000E9AD0000}"/>
    <cellStyle name="Note 3 3 2 2 2 2 2 3 2" xfId="40245" xr:uid="{00000000-0005-0000-0000-0000EAAD0000}"/>
    <cellStyle name="Note 3 3 2 2 2 2 2 4" xfId="28944" xr:uid="{00000000-0005-0000-0000-0000EBAD0000}"/>
    <cellStyle name="Note 3 3 2 2 2 2 3" xfId="9160" xr:uid="{00000000-0005-0000-0000-0000ECAD0000}"/>
    <cellStyle name="Note 3 3 2 2 2 2 3 2" xfId="20461" xr:uid="{00000000-0005-0000-0000-0000EDAD0000}"/>
    <cellStyle name="Note 3 3 2 2 2 2 3 2 2" xfId="43063" xr:uid="{00000000-0005-0000-0000-0000EEAD0000}"/>
    <cellStyle name="Note 3 3 2 2 2 2 3 3" xfId="31762" xr:uid="{00000000-0005-0000-0000-0000EFAD0000}"/>
    <cellStyle name="Note 3 3 2 2 2 2 4" xfId="14811" xr:uid="{00000000-0005-0000-0000-0000F0AD0000}"/>
    <cellStyle name="Note 3 3 2 2 2 2 4 2" xfId="37413" xr:uid="{00000000-0005-0000-0000-0000F1AD0000}"/>
    <cellStyle name="Note 3 3 2 2 2 2 5" xfId="26112" xr:uid="{00000000-0005-0000-0000-0000F2AD0000}"/>
    <cellStyle name="Note 3 3 2 2 2 3" xfId="5108" xr:uid="{00000000-0005-0000-0000-0000F3AD0000}"/>
    <cellStyle name="Note 3 3 2 2 2 3 2" xfId="10758" xr:uid="{00000000-0005-0000-0000-0000F4AD0000}"/>
    <cellStyle name="Note 3 3 2 2 2 3 2 2" xfId="22059" xr:uid="{00000000-0005-0000-0000-0000F5AD0000}"/>
    <cellStyle name="Note 3 3 2 2 2 3 2 2 2" xfId="44661" xr:uid="{00000000-0005-0000-0000-0000F6AD0000}"/>
    <cellStyle name="Note 3 3 2 2 2 3 2 3" xfId="33360" xr:uid="{00000000-0005-0000-0000-0000F7AD0000}"/>
    <cellStyle name="Note 3 3 2 2 2 3 3" xfId="16409" xr:uid="{00000000-0005-0000-0000-0000F8AD0000}"/>
    <cellStyle name="Note 3 3 2 2 2 3 3 2" xfId="39011" xr:uid="{00000000-0005-0000-0000-0000F9AD0000}"/>
    <cellStyle name="Note 3 3 2 2 2 3 4" xfId="27710" xr:uid="{00000000-0005-0000-0000-0000FAAD0000}"/>
    <cellStyle name="Note 3 3 2 2 2 4" xfId="7942" xr:uid="{00000000-0005-0000-0000-0000FBAD0000}"/>
    <cellStyle name="Note 3 3 2 2 2 4 2" xfId="19243" xr:uid="{00000000-0005-0000-0000-0000FCAD0000}"/>
    <cellStyle name="Note 3 3 2 2 2 4 2 2" xfId="41845" xr:uid="{00000000-0005-0000-0000-0000FDAD0000}"/>
    <cellStyle name="Note 3 3 2 2 2 4 3" xfId="30544" xr:uid="{00000000-0005-0000-0000-0000FEAD0000}"/>
    <cellStyle name="Note 3 3 2 2 2 5" xfId="13593" xr:uid="{00000000-0005-0000-0000-0000FFAD0000}"/>
    <cellStyle name="Note 3 3 2 2 2 5 2" xfId="36195" xr:uid="{00000000-0005-0000-0000-000000AE0000}"/>
    <cellStyle name="Note 3 3 2 2 2 6" xfId="24894" xr:uid="{00000000-0005-0000-0000-000001AE0000}"/>
    <cellStyle name="Note 3 3 2 2 3" xfId="2699" xr:uid="{00000000-0005-0000-0000-000002AE0000}"/>
    <cellStyle name="Note 3 3 2 2 3 2" xfId="5718" xr:uid="{00000000-0005-0000-0000-000003AE0000}"/>
    <cellStyle name="Note 3 3 2 2 3 2 2" xfId="11368" xr:uid="{00000000-0005-0000-0000-000004AE0000}"/>
    <cellStyle name="Note 3 3 2 2 3 2 2 2" xfId="22669" xr:uid="{00000000-0005-0000-0000-000005AE0000}"/>
    <cellStyle name="Note 3 3 2 2 3 2 2 2 2" xfId="45271" xr:uid="{00000000-0005-0000-0000-000006AE0000}"/>
    <cellStyle name="Note 3 3 2 2 3 2 2 3" xfId="33970" xr:uid="{00000000-0005-0000-0000-000007AE0000}"/>
    <cellStyle name="Note 3 3 2 2 3 2 3" xfId="17019" xr:uid="{00000000-0005-0000-0000-000008AE0000}"/>
    <cellStyle name="Note 3 3 2 2 3 2 3 2" xfId="39621" xr:uid="{00000000-0005-0000-0000-000009AE0000}"/>
    <cellStyle name="Note 3 3 2 2 3 2 4" xfId="28320" xr:uid="{00000000-0005-0000-0000-00000AAE0000}"/>
    <cellStyle name="Note 3 3 2 2 3 3" xfId="8535" xr:uid="{00000000-0005-0000-0000-00000BAE0000}"/>
    <cellStyle name="Note 3 3 2 2 3 3 2" xfId="19836" xr:uid="{00000000-0005-0000-0000-00000CAE0000}"/>
    <cellStyle name="Note 3 3 2 2 3 3 2 2" xfId="42438" xr:uid="{00000000-0005-0000-0000-00000DAE0000}"/>
    <cellStyle name="Note 3 3 2 2 3 3 3" xfId="31137" xr:uid="{00000000-0005-0000-0000-00000EAE0000}"/>
    <cellStyle name="Note 3 3 2 2 3 4" xfId="14186" xr:uid="{00000000-0005-0000-0000-00000FAE0000}"/>
    <cellStyle name="Note 3 3 2 2 3 4 2" xfId="36788" xr:uid="{00000000-0005-0000-0000-000010AE0000}"/>
    <cellStyle name="Note 3 3 2 2 3 5" xfId="25487" xr:uid="{00000000-0005-0000-0000-000011AE0000}"/>
    <cellStyle name="Note 3 3 2 2 4" xfId="4484" xr:uid="{00000000-0005-0000-0000-000012AE0000}"/>
    <cellStyle name="Note 3 3 2 2 4 2" xfId="10134" xr:uid="{00000000-0005-0000-0000-000013AE0000}"/>
    <cellStyle name="Note 3 3 2 2 4 2 2" xfId="21435" xr:uid="{00000000-0005-0000-0000-000014AE0000}"/>
    <cellStyle name="Note 3 3 2 2 4 2 2 2" xfId="44037" xr:uid="{00000000-0005-0000-0000-000015AE0000}"/>
    <cellStyle name="Note 3 3 2 2 4 2 3" xfId="32736" xr:uid="{00000000-0005-0000-0000-000016AE0000}"/>
    <cellStyle name="Note 3 3 2 2 4 3" xfId="15785" xr:uid="{00000000-0005-0000-0000-000017AE0000}"/>
    <cellStyle name="Note 3 3 2 2 4 3 2" xfId="38387" xr:uid="{00000000-0005-0000-0000-000018AE0000}"/>
    <cellStyle name="Note 3 3 2 2 4 4" xfId="27086" xr:uid="{00000000-0005-0000-0000-000019AE0000}"/>
    <cellStyle name="Note 3 3 2 2 5" xfId="7280" xr:uid="{00000000-0005-0000-0000-00001AAE0000}"/>
    <cellStyle name="Note 3 3 2 2 5 2" xfId="18581" xr:uid="{00000000-0005-0000-0000-00001BAE0000}"/>
    <cellStyle name="Note 3 3 2 2 5 2 2" xfId="41183" xr:uid="{00000000-0005-0000-0000-00001CAE0000}"/>
    <cellStyle name="Note 3 3 2 2 5 3" xfId="29882" xr:uid="{00000000-0005-0000-0000-00001DAE0000}"/>
    <cellStyle name="Note 3 3 2 2 6" xfId="12931" xr:uid="{00000000-0005-0000-0000-00001EAE0000}"/>
    <cellStyle name="Note 3 3 2 2 6 2" xfId="35533" xr:uid="{00000000-0005-0000-0000-00001FAE0000}"/>
    <cellStyle name="Note 3 3 2 2 7" xfId="24232" xr:uid="{00000000-0005-0000-0000-000020AE0000}"/>
    <cellStyle name="Note 3 3 2 3" xfId="999" xr:uid="{00000000-0005-0000-0000-000021AE0000}"/>
    <cellStyle name="Note 3 3 2 3 2" xfId="3062" xr:uid="{00000000-0005-0000-0000-000022AE0000}"/>
    <cellStyle name="Note 3 3 2 3 2 2" xfId="6034" xr:uid="{00000000-0005-0000-0000-000023AE0000}"/>
    <cellStyle name="Note 3 3 2 3 2 2 2" xfId="11684" xr:uid="{00000000-0005-0000-0000-000024AE0000}"/>
    <cellStyle name="Note 3 3 2 3 2 2 2 2" xfId="22985" xr:uid="{00000000-0005-0000-0000-000025AE0000}"/>
    <cellStyle name="Note 3 3 2 3 2 2 2 2 2" xfId="45587" xr:uid="{00000000-0005-0000-0000-000026AE0000}"/>
    <cellStyle name="Note 3 3 2 3 2 2 2 3" xfId="34286" xr:uid="{00000000-0005-0000-0000-000027AE0000}"/>
    <cellStyle name="Note 3 3 2 3 2 2 3" xfId="17335" xr:uid="{00000000-0005-0000-0000-000028AE0000}"/>
    <cellStyle name="Note 3 3 2 3 2 2 3 2" xfId="39937" xr:uid="{00000000-0005-0000-0000-000029AE0000}"/>
    <cellStyle name="Note 3 3 2 3 2 2 4" xfId="28636" xr:uid="{00000000-0005-0000-0000-00002AAE0000}"/>
    <cellStyle name="Note 3 3 2 3 2 3" xfId="8852" xr:uid="{00000000-0005-0000-0000-00002BAE0000}"/>
    <cellStyle name="Note 3 3 2 3 2 3 2" xfId="20153" xr:uid="{00000000-0005-0000-0000-00002CAE0000}"/>
    <cellStyle name="Note 3 3 2 3 2 3 2 2" xfId="42755" xr:uid="{00000000-0005-0000-0000-00002DAE0000}"/>
    <cellStyle name="Note 3 3 2 3 2 3 3" xfId="31454" xr:uid="{00000000-0005-0000-0000-00002EAE0000}"/>
    <cellStyle name="Note 3 3 2 3 2 4" xfId="14503" xr:uid="{00000000-0005-0000-0000-00002FAE0000}"/>
    <cellStyle name="Note 3 3 2 3 2 4 2" xfId="37105" xr:uid="{00000000-0005-0000-0000-000030AE0000}"/>
    <cellStyle name="Note 3 3 2 3 2 5" xfId="25804" xr:uid="{00000000-0005-0000-0000-000031AE0000}"/>
    <cellStyle name="Note 3 3 2 3 3" xfId="4800" xr:uid="{00000000-0005-0000-0000-000032AE0000}"/>
    <cellStyle name="Note 3 3 2 3 3 2" xfId="10450" xr:uid="{00000000-0005-0000-0000-000033AE0000}"/>
    <cellStyle name="Note 3 3 2 3 3 2 2" xfId="21751" xr:uid="{00000000-0005-0000-0000-000034AE0000}"/>
    <cellStyle name="Note 3 3 2 3 3 2 2 2" xfId="44353" xr:uid="{00000000-0005-0000-0000-000035AE0000}"/>
    <cellStyle name="Note 3 3 2 3 3 2 3" xfId="33052" xr:uid="{00000000-0005-0000-0000-000036AE0000}"/>
    <cellStyle name="Note 3 3 2 3 3 3" xfId="16101" xr:uid="{00000000-0005-0000-0000-000037AE0000}"/>
    <cellStyle name="Note 3 3 2 3 3 3 2" xfId="38703" xr:uid="{00000000-0005-0000-0000-000038AE0000}"/>
    <cellStyle name="Note 3 3 2 3 3 4" xfId="27402" xr:uid="{00000000-0005-0000-0000-000039AE0000}"/>
    <cellStyle name="Note 3 3 2 3 4" xfId="6987" xr:uid="{00000000-0005-0000-0000-00003AAE0000}"/>
    <cellStyle name="Note 3 3 2 3 4 2" xfId="18288" xr:uid="{00000000-0005-0000-0000-00003BAE0000}"/>
    <cellStyle name="Note 3 3 2 3 4 2 2" xfId="40890" xr:uid="{00000000-0005-0000-0000-00003CAE0000}"/>
    <cellStyle name="Note 3 3 2 3 4 3" xfId="29589" xr:uid="{00000000-0005-0000-0000-00003DAE0000}"/>
    <cellStyle name="Note 3 3 2 3 5" xfId="12638" xr:uid="{00000000-0005-0000-0000-00003EAE0000}"/>
    <cellStyle name="Note 3 3 2 3 5 2" xfId="35240" xr:uid="{00000000-0005-0000-0000-00003FAE0000}"/>
    <cellStyle name="Note 3 3 2 3 6" xfId="23939" xr:uid="{00000000-0005-0000-0000-000040AE0000}"/>
    <cellStyle name="Note 3 3 2 4" xfId="2085" xr:uid="{00000000-0005-0000-0000-000041AE0000}"/>
    <cellStyle name="Note 3 3 2 4 2" xfId="3820" xr:uid="{00000000-0005-0000-0000-000042AE0000}"/>
    <cellStyle name="Note 3 3 2 4 2 2" xfId="9528" xr:uid="{00000000-0005-0000-0000-000043AE0000}"/>
    <cellStyle name="Note 3 3 2 4 2 2 2" xfId="20829" xr:uid="{00000000-0005-0000-0000-000044AE0000}"/>
    <cellStyle name="Note 3 3 2 4 2 2 2 2" xfId="43431" xr:uid="{00000000-0005-0000-0000-000045AE0000}"/>
    <cellStyle name="Note 3 3 2 4 2 2 3" xfId="32130" xr:uid="{00000000-0005-0000-0000-000046AE0000}"/>
    <cellStyle name="Note 3 3 2 4 2 3" xfId="15179" xr:uid="{00000000-0005-0000-0000-000047AE0000}"/>
    <cellStyle name="Note 3 3 2 4 2 3 2" xfId="37781" xr:uid="{00000000-0005-0000-0000-000048AE0000}"/>
    <cellStyle name="Note 3 3 2 4 2 4" xfId="26480" xr:uid="{00000000-0005-0000-0000-000049AE0000}"/>
    <cellStyle name="Note 3 3 2 4 3" xfId="5410" xr:uid="{00000000-0005-0000-0000-00004AAE0000}"/>
    <cellStyle name="Note 3 3 2 4 3 2" xfId="11060" xr:uid="{00000000-0005-0000-0000-00004BAE0000}"/>
    <cellStyle name="Note 3 3 2 4 3 2 2" xfId="22361" xr:uid="{00000000-0005-0000-0000-00004CAE0000}"/>
    <cellStyle name="Note 3 3 2 4 3 2 2 2" xfId="44963" xr:uid="{00000000-0005-0000-0000-00004DAE0000}"/>
    <cellStyle name="Note 3 3 2 4 3 2 3" xfId="33662" xr:uid="{00000000-0005-0000-0000-00004EAE0000}"/>
    <cellStyle name="Note 3 3 2 4 3 3" xfId="16711" xr:uid="{00000000-0005-0000-0000-00004FAE0000}"/>
    <cellStyle name="Note 3 3 2 4 3 3 2" xfId="39313" xr:uid="{00000000-0005-0000-0000-000050AE0000}"/>
    <cellStyle name="Note 3 3 2 4 3 4" xfId="28012" xr:uid="{00000000-0005-0000-0000-000051AE0000}"/>
    <cellStyle name="Note 3 3 2 4 4" xfId="7941" xr:uid="{00000000-0005-0000-0000-000052AE0000}"/>
    <cellStyle name="Note 3 3 2 4 4 2" xfId="19242" xr:uid="{00000000-0005-0000-0000-000053AE0000}"/>
    <cellStyle name="Note 3 3 2 4 4 2 2" xfId="41844" xr:uid="{00000000-0005-0000-0000-000054AE0000}"/>
    <cellStyle name="Note 3 3 2 4 4 3" xfId="30543" xr:uid="{00000000-0005-0000-0000-000055AE0000}"/>
    <cellStyle name="Note 3 3 2 4 5" xfId="13592" xr:uid="{00000000-0005-0000-0000-000056AE0000}"/>
    <cellStyle name="Note 3 3 2 4 5 2" xfId="36194" xr:uid="{00000000-0005-0000-0000-000057AE0000}"/>
    <cellStyle name="Note 3 3 2 4 6" xfId="24893" xr:uid="{00000000-0005-0000-0000-000058AE0000}"/>
    <cellStyle name="Note 3 3 2 5" xfId="2391" xr:uid="{00000000-0005-0000-0000-000059AE0000}"/>
    <cellStyle name="Note 3 3 2 5 2" xfId="8227" xr:uid="{00000000-0005-0000-0000-00005AAE0000}"/>
    <cellStyle name="Note 3 3 2 5 2 2" xfId="19528" xr:uid="{00000000-0005-0000-0000-00005BAE0000}"/>
    <cellStyle name="Note 3 3 2 5 2 2 2" xfId="42130" xr:uid="{00000000-0005-0000-0000-00005CAE0000}"/>
    <cellStyle name="Note 3 3 2 5 2 3" xfId="30829" xr:uid="{00000000-0005-0000-0000-00005DAE0000}"/>
    <cellStyle name="Note 3 3 2 5 3" xfId="13878" xr:uid="{00000000-0005-0000-0000-00005EAE0000}"/>
    <cellStyle name="Note 3 3 2 5 3 2" xfId="36480" xr:uid="{00000000-0005-0000-0000-00005FAE0000}"/>
    <cellStyle name="Note 3 3 2 5 4" xfId="25179" xr:uid="{00000000-0005-0000-0000-000060AE0000}"/>
    <cellStyle name="Note 3 3 2 6" xfId="4176" xr:uid="{00000000-0005-0000-0000-000061AE0000}"/>
    <cellStyle name="Note 3 3 2 6 2" xfId="9826" xr:uid="{00000000-0005-0000-0000-000062AE0000}"/>
    <cellStyle name="Note 3 3 2 6 2 2" xfId="21127" xr:uid="{00000000-0005-0000-0000-000063AE0000}"/>
    <cellStyle name="Note 3 3 2 6 2 2 2" xfId="43729" xr:uid="{00000000-0005-0000-0000-000064AE0000}"/>
    <cellStyle name="Note 3 3 2 6 2 3" xfId="32428" xr:uid="{00000000-0005-0000-0000-000065AE0000}"/>
    <cellStyle name="Note 3 3 2 6 3" xfId="15477" xr:uid="{00000000-0005-0000-0000-000066AE0000}"/>
    <cellStyle name="Note 3 3 2 6 3 2" xfId="38079" xr:uid="{00000000-0005-0000-0000-000067AE0000}"/>
    <cellStyle name="Note 3 3 2 6 4" xfId="26778" xr:uid="{00000000-0005-0000-0000-000068AE0000}"/>
    <cellStyle name="Note 3 3 2 7" xfId="6656" xr:uid="{00000000-0005-0000-0000-000069AE0000}"/>
    <cellStyle name="Note 3 3 2 7 2" xfId="17957" xr:uid="{00000000-0005-0000-0000-00006AAE0000}"/>
    <cellStyle name="Note 3 3 2 7 2 2" xfId="40559" xr:uid="{00000000-0005-0000-0000-00006BAE0000}"/>
    <cellStyle name="Note 3 3 2 7 3" xfId="29258" xr:uid="{00000000-0005-0000-0000-00006CAE0000}"/>
    <cellStyle name="Note 3 3 2 8" xfId="12307" xr:uid="{00000000-0005-0000-0000-00006DAE0000}"/>
    <cellStyle name="Note 3 3 2 8 2" xfId="34909" xr:uid="{00000000-0005-0000-0000-00006EAE0000}"/>
    <cellStyle name="Note 3 3 2 9" xfId="23608" xr:uid="{00000000-0005-0000-0000-00006FAE0000}"/>
    <cellStyle name="Note 3 3 3" xfId="1163" xr:uid="{00000000-0005-0000-0000-000070AE0000}"/>
    <cellStyle name="Note 3 3 3 2" xfId="2087" xr:uid="{00000000-0005-0000-0000-000071AE0000}"/>
    <cellStyle name="Note 3 3 3 2 2" xfId="3231" xr:uid="{00000000-0005-0000-0000-000072AE0000}"/>
    <cellStyle name="Note 3 3 3 2 2 2" xfId="6203" xr:uid="{00000000-0005-0000-0000-000073AE0000}"/>
    <cellStyle name="Note 3 3 3 2 2 2 2" xfId="11853" xr:uid="{00000000-0005-0000-0000-000074AE0000}"/>
    <cellStyle name="Note 3 3 3 2 2 2 2 2" xfId="23154" xr:uid="{00000000-0005-0000-0000-000075AE0000}"/>
    <cellStyle name="Note 3 3 3 2 2 2 2 2 2" xfId="45756" xr:uid="{00000000-0005-0000-0000-000076AE0000}"/>
    <cellStyle name="Note 3 3 3 2 2 2 2 3" xfId="34455" xr:uid="{00000000-0005-0000-0000-000077AE0000}"/>
    <cellStyle name="Note 3 3 3 2 2 2 3" xfId="17504" xr:uid="{00000000-0005-0000-0000-000078AE0000}"/>
    <cellStyle name="Note 3 3 3 2 2 2 3 2" xfId="40106" xr:uid="{00000000-0005-0000-0000-000079AE0000}"/>
    <cellStyle name="Note 3 3 3 2 2 2 4" xfId="28805" xr:uid="{00000000-0005-0000-0000-00007AAE0000}"/>
    <cellStyle name="Note 3 3 3 2 2 3" xfId="9021" xr:uid="{00000000-0005-0000-0000-00007BAE0000}"/>
    <cellStyle name="Note 3 3 3 2 2 3 2" xfId="20322" xr:uid="{00000000-0005-0000-0000-00007CAE0000}"/>
    <cellStyle name="Note 3 3 3 2 2 3 2 2" xfId="42924" xr:uid="{00000000-0005-0000-0000-00007DAE0000}"/>
    <cellStyle name="Note 3 3 3 2 2 3 3" xfId="31623" xr:uid="{00000000-0005-0000-0000-00007EAE0000}"/>
    <cellStyle name="Note 3 3 3 2 2 4" xfId="14672" xr:uid="{00000000-0005-0000-0000-00007FAE0000}"/>
    <cellStyle name="Note 3 3 3 2 2 4 2" xfId="37274" xr:uid="{00000000-0005-0000-0000-000080AE0000}"/>
    <cellStyle name="Note 3 3 3 2 2 5" xfId="25973" xr:uid="{00000000-0005-0000-0000-000081AE0000}"/>
    <cellStyle name="Note 3 3 3 2 3" xfId="4969" xr:uid="{00000000-0005-0000-0000-000082AE0000}"/>
    <cellStyle name="Note 3 3 3 2 3 2" xfId="10619" xr:uid="{00000000-0005-0000-0000-000083AE0000}"/>
    <cellStyle name="Note 3 3 3 2 3 2 2" xfId="21920" xr:uid="{00000000-0005-0000-0000-000084AE0000}"/>
    <cellStyle name="Note 3 3 3 2 3 2 2 2" xfId="44522" xr:uid="{00000000-0005-0000-0000-000085AE0000}"/>
    <cellStyle name="Note 3 3 3 2 3 2 3" xfId="33221" xr:uid="{00000000-0005-0000-0000-000086AE0000}"/>
    <cellStyle name="Note 3 3 3 2 3 3" xfId="16270" xr:uid="{00000000-0005-0000-0000-000087AE0000}"/>
    <cellStyle name="Note 3 3 3 2 3 3 2" xfId="38872" xr:uid="{00000000-0005-0000-0000-000088AE0000}"/>
    <cellStyle name="Note 3 3 3 2 3 4" xfId="27571" xr:uid="{00000000-0005-0000-0000-000089AE0000}"/>
    <cellStyle name="Note 3 3 3 2 4" xfId="7943" xr:uid="{00000000-0005-0000-0000-00008AAE0000}"/>
    <cellStyle name="Note 3 3 3 2 4 2" xfId="19244" xr:uid="{00000000-0005-0000-0000-00008BAE0000}"/>
    <cellStyle name="Note 3 3 3 2 4 2 2" xfId="41846" xr:uid="{00000000-0005-0000-0000-00008CAE0000}"/>
    <cellStyle name="Note 3 3 3 2 4 3" xfId="30545" xr:uid="{00000000-0005-0000-0000-00008DAE0000}"/>
    <cellStyle name="Note 3 3 3 2 5" xfId="13594" xr:uid="{00000000-0005-0000-0000-00008EAE0000}"/>
    <cellStyle name="Note 3 3 3 2 5 2" xfId="36196" xr:uid="{00000000-0005-0000-0000-00008FAE0000}"/>
    <cellStyle name="Note 3 3 3 2 6" xfId="24895" xr:uid="{00000000-0005-0000-0000-000090AE0000}"/>
    <cellStyle name="Note 3 3 3 3" xfId="2560" xr:uid="{00000000-0005-0000-0000-000091AE0000}"/>
    <cellStyle name="Note 3 3 3 3 2" xfId="5579" xr:uid="{00000000-0005-0000-0000-000092AE0000}"/>
    <cellStyle name="Note 3 3 3 3 2 2" xfId="11229" xr:uid="{00000000-0005-0000-0000-000093AE0000}"/>
    <cellStyle name="Note 3 3 3 3 2 2 2" xfId="22530" xr:uid="{00000000-0005-0000-0000-000094AE0000}"/>
    <cellStyle name="Note 3 3 3 3 2 2 2 2" xfId="45132" xr:uid="{00000000-0005-0000-0000-000095AE0000}"/>
    <cellStyle name="Note 3 3 3 3 2 2 3" xfId="33831" xr:uid="{00000000-0005-0000-0000-000096AE0000}"/>
    <cellStyle name="Note 3 3 3 3 2 3" xfId="16880" xr:uid="{00000000-0005-0000-0000-000097AE0000}"/>
    <cellStyle name="Note 3 3 3 3 2 3 2" xfId="39482" xr:uid="{00000000-0005-0000-0000-000098AE0000}"/>
    <cellStyle name="Note 3 3 3 3 2 4" xfId="28181" xr:uid="{00000000-0005-0000-0000-000099AE0000}"/>
    <cellStyle name="Note 3 3 3 3 3" xfId="8396" xr:uid="{00000000-0005-0000-0000-00009AAE0000}"/>
    <cellStyle name="Note 3 3 3 3 3 2" xfId="19697" xr:uid="{00000000-0005-0000-0000-00009BAE0000}"/>
    <cellStyle name="Note 3 3 3 3 3 2 2" xfId="42299" xr:uid="{00000000-0005-0000-0000-00009CAE0000}"/>
    <cellStyle name="Note 3 3 3 3 3 3" xfId="30998" xr:uid="{00000000-0005-0000-0000-00009DAE0000}"/>
    <cellStyle name="Note 3 3 3 3 4" xfId="14047" xr:uid="{00000000-0005-0000-0000-00009EAE0000}"/>
    <cellStyle name="Note 3 3 3 3 4 2" xfId="36649" xr:uid="{00000000-0005-0000-0000-00009FAE0000}"/>
    <cellStyle name="Note 3 3 3 3 5" xfId="25348" xr:uid="{00000000-0005-0000-0000-0000A0AE0000}"/>
    <cellStyle name="Note 3 3 3 4" xfId="4345" xr:uid="{00000000-0005-0000-0000-0000A1AE0000}"/>
    <cellStyle name="Note 3 3 3 4 2" xfId="9995" xr:uid="{00000000-0005-0000-0000-0000A2AE0000}"/>
    <cellStyle name="Note 3 3 3 4 2 2" xfId="21296" xr:uid="{00000000-0005-0000-0000-0000A3AE0000}"/>
    <cellStyle name="Note 3 3 3 4 2 2 2" xfId="43898" xr:uid="{00000000-0005-0000-0000-0000A4AE0000}"/>
    <cellStyle name="Note 3 3 3 4 2 3" xfId="32597" xr:uid="{00000000-0005-0000-0000-0000A5AE0000}"/>
    <cellStyle name="Note 3 3 3 4 3" xfId="15646" xr:uid="{00000000-0005-0000-0000-0000A6AE0000}"/>
    <cellStyle name="Note 3 3 3 4 3 2" xfId="38248" xr:uid="{00000000-0005-0000-0000-0000A7AE0000}"/>
    <cellStyle name="Note 3 3 3 4 4" xfId="26947" xr:uid="{00000000-0005-0000-0000-0000A8AE0000}"/>
    <cellStyle name="Note 3 3 3 5" xfId="7142" xr:uid="{00000000-0005-0000-0000-0000A9AE0000}"/>
    <cellStyle name="Note 3 3 3 5 2" xfId="18443" xr:uid="{00000000-0005-0000-0000-0000AAAE0000}"/>
    <cellStyle name="Note 3 3 3 5 2 2" xfId="41045" xr:uid="{00000000-0005-0000-0000-0000ABAE0000}"/>
    <cellStyle name="Note 3 3 3 5 3" xfId="29744" xr:uid="{00000000-0005-0000-0000-0000ACAE0000}"/>
    <cellStyle name="Note 3 3 3 6" xfId="12793" xr:uid="{00000000-0005-0000-0000-0000ADAE0000}"/>
    <cellStyle name="Note 3 3 3 6 2" xfId="35395" xr:uid="{00000000-0005-0000-0000-0000AEAE0000}"/>
    <cellStyle name="Note 3 3 3 7" xfId="24094" xr:uid="{00000000-0005-0000-0000-0000AFAE0000}"/>
    <cellStyle name="Note 3 3 4" xfId="854" xr:uid="{00000000-0005-0000-0000-0000B0AE0000}"/>
    <cellStyle name="Note 3 3 4 2" xfId="2924" xr:uid="{00000000-0005-0000-0000-0000B1AE0000}"/>
    <cellStyle name="Note 3 3 4 2 2" xfId="5896" xr:uid="{00000000-0005-0000-0000-0000B2AE0000}"/>
    <cellStyle name="Note 3 3 4 2 2 2" xfId="11546" xr:uid="{00000000-0005-0000-0000-0000B3AE0000}"/>
    <cellStyle name="Note 3 3 4 2 2 2 2" xfId="22847" xr:uid="{00000000-0005-0000-0000-0000B4AE0000}"/>
    <cellStyle name="Note 3 3 4 2 2 2 2 2" xfId="45449" xr:uid="{00000000-0005-0000-0000-0000B5AE0000}"/>
    <cellStyle name="Note 3 3 4 2 2 2 3" xfId="34148" xr:uid="{00000000-0005-0000-0000-0000B6AE0000}"/>
    <cellStyle name="Note 3 3 4 2 2 3" xfId="17197" xr:uid="{00000000-0005-0000-0000-0000B7AE0000}"/>
    <cellStyle name="Note 3 3 4 2 2 3 2" xfId="39799" xr:uid="{00000000-0005-0000-0000-0000B8AE0000}"/>
    <cellStyle name="Note 3 3 4 2 2 4" xfId="28498" xr:uid="{00000000-0005-0000-0000-0000B9AE0000}"/>
    <cellStyle name="Note 3 3 4 2 3" xfId="8714" xr:uid="{00000000-0005-0000-0000-0000BAAE0000}"/>
    <cellStyle name="Note 3 3 4 2 3 2" xfId="20015" xr:uid="{00000000-0005-0000-0000-0000BBAE0000}"/>
    <cellStyle name="Note 3 3 4 2 3 2 2" xfId="42617" xr:uid="{00000000-0005-0000-0000-0000BCAE0000}"/>
    <cellStyle name="Note 3 3 4 2 3 3" xfId="31316" xr:uid="{00000000-0005-0000-0000-0000BDAE0000}"/>
    <cellStyle name="Note 3 3 4 2 4" xfId="14365" xr:uid="{00000000-0005-0000-0000-0000BEAE0000}"/>
    <cellStyle name="Note 3 3 4 2 4 2" xfId="36967" xr:uid="{00000000-0005-0000-0000-0000BFAE0000}"/>
    <cellStyle name="Note 3 3 4 2 5" xfId="25666" xr:uid="{00000000-0005-0000-0000-0000C0AE0000}"/>
    <cellStyle name="Note 3 3 4 3" xfId="4662" xr:uid="{00000000-0005-0000-0000-0000C1AE0000}"/>
    <cellStyle name="Note 3 3 4 3 2" xfId="10312" xr:uid="{00000000-0005-0000-0000-0000C2AE0000}"/>
    <cellStyle name="Note 3 3 4 3 2 2" xfId="21613" xr:uid="{00000000-0005-0000-0000-0000C3AE0000}"/>
    <cellStyle name="Note 3 3 4 3 2 2 2" xfId="44215" xr:uid="{00000000-0005-0000-0000-0000C4AE0000}"/>
    <cellStyle name="Note 3 3 4 3 2 3" xfId="32914" xr:uid="{00000000-0005-0000-0000-0000C5AE0000}"/>
    <cellStyle name="Note 3 3 4 3 3" xfId="15963" xr:uid="{00000000-0005-0000-0000-0000C6AE0000}"/>
    <cellStyle name="Note 3 3 4 3 3 2" xfId="38565" xr:uid="{00000000-0005-0000-0000-0000C7AE0000}"/>
    <cellStyle name="Note 3 3 4 3 4" xfId="27264" xr:uid="{00000000-0005-0000-0000-0000C8AE0000}"/>
    <cellStyle name="Note 3 3 4 4" xfId="6849" xr:uid="{00000000-0005-0000-0000-0000C9AE0000}"/>
    <cellStyle name="Note 3 3 4 4 2" xfId="18150" xr:uid="{00000000-0005-0000-0000-0000CAAE0000}"/>
    <cellStyle name="Note 3 3 4 4 2 2" xfId="40752" xr:uid="{00000000-0005-0000-0000-0000CBAE0000}"/>
    <cellStyle name="Note 3 3 4 4 3" xfId="29451" xr:uid="{00000000-0005-0000-0000-0000CCAE0000}"/>
    <cellStyle name="Note 3 3 4 5" xfId="12500" xr:uid="{00000000-0005-0000-0000-0000CDAE0000}"/>
    <cellStyle name="Note 3 3 4 5 2" xfId="35102" xr:uid="{00000000-0005-0000-0000-0000CEAE0000}"/>
    <cellStyle name="Note 3 3 4 6" xfId="23801" xr:uid="{00000000-0005-0000-0000-0000CFAE0000}"/>
    <cellStyle name="Note 3 3 5" xfId="2084" xr:uid="{00000000-0005-0000-0000-0000D0AE0000}"/>
    <cellStyle name="Note 3 3 5 2" xfId="3819" xr:uid="{00000000-0005-0000-0000-0000D1AE0000}"/>
    <cellStyle name="Note 3 3 5 2 2" xfId="9527" xr:uid="{00000000-0005-0000-0000-0000D2AE0000}"/>
    <cellStyle name="Note 3 3 5 2 2 2" xfId="20828" xr:uid="{00000000-0005-0000-0000-0000D3AE0000}"/>
    <cellStyle name="Note 3 3 5 2 2 2 2" xfId="43430" xr:uid="{00000000-0005-0000-0000-0000D4AE0000}"/>
    <cellStyle name="Note 3 3 5 2 2 3" xfId="32129" xr:uid="{00000000-0005-0000-0000-0000D5AE0000}"/>
    <cellStyle name="Note 3 3 5 2 3" xfId="15178" xr:uid="{00000000-0005-0000-0000-0000D6AE0000}"/>
    <cellStyle name="Note 3 3 5 2 3 2" xfId="37780" xr:uid="{00000000-0005-0000-0000-0000D7AE0000}"/>
    <cellStyle name="Note 3 3 5 2 4" xfId="26479" xr:uid="{00000000-0005-0000-0000-0000D8AE0000}"/>
    <cellStyle name="Note 3 3 5 3" xfId="5272" xr:uid="{00000000-0005-0000-0000-0000D9AE0000}"/>
    <cellStyle name="Note 3 3 5 3 2" xfId="10922" xr:uid="{00000000-0005-0000-0000-0000DAAE0000}"/>
    <cellStyle name="Note 3 3 5 3 2 2" xfId="22223" xr:uid="{00000000-0005-0000-0000-0000DBAE0000}"/>
    <cellStyle name="Note 3 3 5 3 2 2 2" xfId="44825" xr:uid="{00000000-0005-0000-0000-0000DCAE0000}"/>
    <cellStyle name="Note 3 3 5 3 2 3" xfId="33524" xr:uid="{00000000-0005-0000-0000-0000DDAE0000}"/>
    <cellStyle name="Note 3 3 5 3 3" xfId="16573" xr:uid="{00000000-0005-0000-0000-0000DEAE0000}"/>
    <cellStyle name="Note 3 3 5 3 3 2" xfId="39175" xr:uid="{00000000-0005-0000-0000-0000DFAE0000}"/>
    <cellStyle name="Note 3 3 5 3 4" xfId="27874" xr:uid="{00000000-0005-0000-0000-0000E0AE0000}"/>
    <cellStyle name="Note 3 3 5 4" xfId="7940" xr:uid="{00000000-0005-0000-0000-0000E1AE0000}"/>
    <cellStyle name="Note 3 3 5 4 2" xfId="19241" xr:uid="{00000000-0005-0000-0000-0000E2AE0000}"/>
    <cellStyle name="Note 3 3 5 4 2 2" xfId="41843" xr:uid="{00000000-0005-0000-0000-0000E3AE0000}"/>
    <cellStyle name="Note 3 3 5 4 3" xfId="30542" xr:uid="{00000000-0005-0000-0000-0000E4AE0000}"/>
    <cellStyle name="Note 3 3 5 5" xfId="13591" xr:uid="{00000000-0005-0000-0000-0000E5AE0000}"/>
    <cellStyle name="Note 3 3 5 5 2" xfId="36193" xr:uid="{00000000-0005-0000-0000-0000E6AE0000}"/>
    <cellStyle name="Note 3 3 5 6" xfId="24892" xr:uid="{00000000-0005-0000-0000-0000E7AE0000}"/>
    <cellStyle name="Note 3 3 6" xfId="2251" xr:uid="{00000000-0005-0000-0000-0000E8AE0000}"/>
    <cellStyle name="Note 3 3 6 2" xfId="8087" xr:uid="{00000000-0005-0000-0000-0000E9AE0000}"/>
    <cellStyle name="Note 3 3 6 2 2" xfId="19388" xr:uid="{00000000-0005-0000-0000-0000EAAE0000}"/>
    <cellStyle name="Note 3 3 6 2 2 2" xfId="41990" xr:uid="{00000000-0005-0000-0000-0000EBAE0000}"/>
    <cellStyle name="Note 3 3 6 2 3" xfId="30689" xr:uid="{00000000-0005-0000-0000-0000ECAE0000}"/>
    <cellStyle name="Note 3 3 6 3" xfId="13738" xr:uid="{00000000-0005-0000-0000-0000EDAE0000}"/>
    <cellStyle name="Note 3 3 6 3 2" xfId="36340" xr:uid="{00000000-0005-0000-0000-0000EEAE0000}"/>
    <cellStyle name="Note 3 3 6 4" xfId="25039" xr:uid="{00000000-0005-0000-0000-0000EFAE0000}"/>
    <cellStyle name="Note 3 3 7" xfId="4038" xr:uid="{00000000-0005-0000-0000-0000F0AE0000}"/>
    <cellStyle name="Note 3 3 7 2" xfId="9688" xr:uid="{00000000-0005-0000-0000-0000F1AE0000}"/>
    <cellStyle name="Note 3 3 7 2 2" xfId="20989" xr:uid="{00000000-0005-0000-0000-0000F2AE0000}"/>
    <cellStyle name="Note 3 3 7 2 2 2" xfId="43591" xr:uid="{00000000-0005-0000-0000-0000F3AE0000}"/>
    <cellStyle name="Note 3 3 7 2 3" xfId="32290" xr:uid="{00000000-0005-0000-0000-0000F4AE0000}"/>
    <cellStyle name="Note 3 3 7 3" xfId="15339" xr:uid="{00000000-0005-0000-0000-0000F5AE0000}"/>
    <cellStyle name="Note 3 3 7 3 2" xfId="37941" xr:uid="{00000000-0005-0000-0000-0000F6AE0000}"/>
    <cellStyle name="Note 3 3 7 4" xfId="26640" xr:uid="{00000000-0005-0000-0000-0000F7AE0000}"/>
    <cellStyle name="Note 3 3 8" xfId="6489" xr:uid="{00000000-0005-0000-0000-0000F8AE0000}"/>
    <cellStyle name="Note 3 3 8 2" xfId="17790" xr:uid="{00000000-0005-0000-0000-0000F9AE0000}"/>
    <cellStyle name="Note 3 3 8 2 2" xfId="40392" xr:uid="{00000000-0005-0000-0000-0000FAAE0000}"/>
    <cellStyle name="Note 3 3 8 3" xfId="29091" xr:uid="{00000000-0005-0000-0000-0000FBAE0000}"/>
    <cellStyle name="Note 3 3 9" xfId="12140" xr:uid="{00000000-0005-0000-0000-0000FCAE0000}"/>
    <cellStyle name="Note 3 3 9 2" xfId="34742" xr:uid="{00000000-0005-0000-0000-0000FDAE0000}"/>
    <cellStyle name="Note 3 4" xfId="479" xr:uid="{00000000-0005-0000-0000-0000FEAE0000}"/>
    <cellStyle name="Note 3 4 2" xfId="1067" xr:uid="{00000000-0005-0000-0000-0000FFAE0000}"/>
    <cellStyle name="Note 3 4 2 2" xfId="2089" xr:uid="{00000000-0005-0000-0000-000000AF0000}"/>
    <cellStyle name="Note 3 4 2 2 2" xfId="3134" xr:uid="{00000000-0005-0000-0000-000001AF0000}"/>
    <cellStyle name="Note 3 4 2 2 2 2" xfId="6106" xr:uid="{00000000-0005-0000-0000-000002AF0000}"/>
    <cellStyle name="Note 3 4 2 2 2 2 2" xfId="11756" xr:uid="{00000000-0005-0000-0000-000003AF0000}"/>
    <cellStyle name="Note 3 4 2 2 2 2 2 2" xfId="23057" xr:uid="{00000000-0005-0000-0000-000004AF0000}"/>
    <cellStyle name="Note 3 4 2 2 2 2 2 2 2" xfId="45659" xr:uid="{00000000-0005-0000-0000-000005AF0000}"/>
    <cellStyle name="Note 3 4 2 2 2 2 2 3" xfId="34358" xr:uid="{00000000-0005-0000-0000-000006AF0000}"/>
    <cellStyle name="Note 3 4 2 2 2 2 3" xfId="17407" xr:uid="{00000000-0005-0000-0000-000007AF0000}"/>
    <cellStyle name="Note 3 4 2 2 2 2 3 2" xfId="40009" xr:uid="{00000000-0005-0000-0000-000008AF0000}"/>
    <cellStyle name="Note 3 4 2 2 2 2 4" xfId="28708" xr:uid="{00000000-0005-0000-0000-000009AF0000}"/>
    <cellStyle name="Note 3 4 2 2 2 3" xfId="8924" xr:uid="{00000000-0005-0000-0000-00000AAF0000}"/>
    <cellStyle name="Note 3 4 2 2 2 3 2" xfId="20225" xr:uid="{00000000-0005-0000-0000-00000BAF0000}"/>
    <cellStyle name="Note 3 4 2 2 2 3 2 2" xfId="42827" xr:uid="{00000000-0005-0000-0000-00000CAF0000}"/>
    <cellStyle name="Note 3 4 2 2 2 3 3" xfId="31526" xr:uid="{00000000-0005-0000-0000-00000DAF0000}"/>
    <cellStyle name="Note 3 4 2 2 2 4" xfId="14575" xr:uid="{00000000-0005-0000-0000-00000EAF0000}"/>
    <cellStyle name="Note 3 4 2 2 2 4 2" xfId="37177" xr:uid="{00000000-0005-0000-0000-00000FAF0000}"/>
    <cellStyle name="Note 3 4 2 2 2 5" xfId="25876" xr:uid="{00000000-0005-0000-0000-000010AF0000}"/>
    <cellStyle name="Note 3 4 2 2 3" xfId="4872" xr:uid="{00000000-0005-0000-0000-000011AF0000}"/>
    <cellStyle name="Note 3 4 2 2 3 2" xfId="10522" xr:uid="{00000000-0005-0000-0000-000012AF0000}"/>
    <cellStyle name="Note 3 4 2 2 3 2 2" xfId="21823" xr:uid="{00000000-0005-0000-0000-000013AF0000}"/>
    <cellStyle name="Note 3 4 2 2 3 2 2 2" xfId="44425" xr:uid="{00000000-0005-0000-0000-000014AF0000}"/>
    <cellStyle name="Note 3 4 2 2 3 2 3" xfId="33124" xr:uid="{00000000-0005-0000-0000-000015AF0000}"/>
    <cellStyle name="Note 3 4 2 2 3 3" xfId="16173" xr:uid="{00000000-0005-0000-0000-000016AF0000}"/>
    <cellStyle name="Note 3 4 2 2 3 3 2" xfId="38775" xr:uid="{00000000-0005-0000-0000-000017AF0000}"/>
    <cellStyle name="Note 3 4 2 2 3 4" xfId="27474" xr:uid="{00000000-0005-0000-0000-000018AF0000}"/>
    <cellStyle name="Note 3 4 2 2 4" xfId="7945" xr:uid="{00000000-0005-0000-0000-000019AF0000}"/>
    <cellStyle name="Note 3 4 2 2 4 2" xfId="19246" xr:uid="{00000000-0005-0000-0000-00001AAF0000}"/>
    <cellStyle name="Note 3 4 2 2 4 2 2" xfId="41848" xr:uid="{00000000-0005-0000-0000-00001BAF0000}"/>
    <cellStyle name="Note 3 4 2 2 4 3" xfId="30547" xr:uid="{00000000-0005-0000-0000-00001CAF0000}"/>
    <cellStyle name="Note 3 4 2 2 5" xfId="13596" xr:uid="{00000000-0005-0000-0000-00001DAF0000}"/>
    <cellStyle name="Note 3 4 2 2 5 2" xfId="36198" xr:uid="{00000000-0005-0000-0000-00001EAF0000}"/>
    <cellStyle name="Note 3 4 2 2 6" xfId="24897" xr:uid="{00000000-0005-0000-0000-00001FAF0000}"/>
    <cellStyle name="Note 3 4 2 3" xfId="2463" xr:uid="{00000000-0005-0000-0000-000020AF0000}"/>
    <cellStyle name="Note 3 4 2 3 2" xfId="5482" xr:uid="{00000000-0005-0000-0000-000021AF0000}"/>
    <cellStyle name="Note 3 4 2 3 2 2" xfId="11132" xr:uid="{00000000-0005-0000-0000-000022AF0000}"/>
    <cellStyle name="Note 3 4 2 3 2 2 2" xfId="22433" xr:uid="{00000000-0005-0000-0000-000023AF0000}"/>
    <cellStyle name="Note 3 4 2 3 2 2 2 2" xfId="45035" xr:uid="{00000000-0005-0000-0000-000024AF0000}"/>
    <cellStyle name="Note 3 4 2 3 2 2 3" xfId="33734" xr:uid="{00000000-0005-0000-0000-000025AF0000}"/>
    <cellStyle name="Note 3 4 2 3 2 3" xfId="16783" xr:uid="{00000000-0005-0000-0000-000026AF0000}"/>
    <cellStyle name="Note 3 4 2 3 2 3 2" xfId="39385" xr:uid="{00000000-0005-0000-0000-000027AF0000}"/>
    <cellStyle name="Note 3 4 2 3 2 4" xfId="28084" xr:uid="{00000000-0005-0000-0000-000028AF0000}"/>
    <cellStyle name="Note 3 4 2 3 3" xfId="8299" xr:uid="{00000000-0005-0000-0000-000029AF0000}"/>
    <cellStyle name="Note 3 4 2 3 3 2" xfId="19600" xr:uid="{00000000-0005-0000-0000-00002AAF0000}"/>
    <cellStyle name="Note 3 4 2 3 3 2 2" xfId="42202" xr:uid="{00000000-0005-0000-0000-00002BAF0000}"/>
    <cellStyle name="Note 3 4 2 3 3 3" xfId="30901" xr:uid="{00000000-0005-0000-0000-00002CAF0000}"/>
    <cellStyle name="Note 3 4 2 3 4" xfId="13950" xr:uid="{00000000-0005-0000-0000-00002DAF0000}"/>
    <cellStyle name="Note 3 4 2 3 4 2" xfId="36552" xr:uid="{00000000-0005-0000-0000-00002EAF0000}"/>
    <cellStyle name="Note 3 4 2 3 5" xfId="25251" xr:uid="{00000000-0005-0000-0000-00002FAF0000}"/>
    <cellStyle name="Note 3 4 2 4" xfId="4248" xr:uid="{00000000-0005-0000-0000-000030AF0000}"/>
    <cellStyle name="Note 3 4 2 4 2" xfId="9898" xr:uid="{00000000-0005-0000-0000-000031AF0000}"/>
    <cellStyle name="Note 3 4 2 4 2 2" xfId="21199" xr:uid="{00000000-0005-0000-0000-000032AF0000}"/>
    <cellStyle name="Note 3 4 2 4 2 2 2" xfId="43801" xr:uid="{00000000-0005-0000-0000-000033AF0000}"/>
    <cellStyle name="Note 3 4 2 4 2 3" xfId="32500" xr:uid="{00000000-0005-0000-0000-000034AF0000}"/>
    <cellStyle name="Note 3 4 2 4 3" xfId="15549" xr:uid="{00000000-0005-0000-0000-000035AF0000}"/>
    <cellStyle name="Note 3 4 2 4 3 2" xfId="38151" xr:uid="{00000000-0005-0000-0000-000036AF0000}"/>
    <cellStyle name="Note 3 4 2 4 4" xfId="26850" xr:uid="{00000000-0005-0000-0000-000037AF0000}"/>
    <cellStyle name="Note 3 4 2 5" xfId="7046" xr:uid="{00000000-0005-0000-0000-000038AF0000}"/>
    <cellStyle name="Note 3 4 2 5 2" xfId="18347" xr:uid="{00000000-0005-0000-0000-000039AF0000}"/>
    <cellStyle name="Note 3 4 2 5 2 2" xfId="40949" xr:uid="{00000000-0005-0000-0000-00003AAF0000}"/>
    <cellStyle name="Note 3 4 2 5 3" xfId="29648" xr:uid="{00000000-0005-0000-0000-00003BAF0000}"/>
    <cellStyle name="Note 3 4 2 6" xfId="12697" xr:uid="{00000000-0005-0000-0000-00003CAF0000}"/>
    <cellStyle name="Note 3 4 2 6 2" xfId="35299" xr:uid="{00000000-0005-0000-0000-00003DAF0000}"/>
    <cellStyle name="Note 3 4 2 7" xfId="23998" xr:uid="{00000000-0005-0000-0000-00003EAF0000}"/>
    <cellStyle name="Note 3 4 3" xfId="737" xr:uid="{00000000-0005-0000-0000-00003FAF0000}"/>
    <cellStyle name="Note 3 4 3 2" xfId="2828" xr:uid="{00000000-0005-0000-0000-000040AF0000}"/>
    <cellStyle name="Note 3 4 3 2 2" xfId="5800" xr:uid="{00000000-0005-0000-0000-000041AF0000}"/>
    <cellStyle name="Note 3 4 3 2 2 2" xfId="11450" xr:uid="{00000000-0005-0000-0000-000042AF0000}"/>
    <cellStyle name="Note 3 4 3 2 2 2 2" xfId="22751" xr:uid="{00000000-0005-0000-0000-000043AF0000}"/>
    <cellStyle name="Note 3 4 3 2 2 2 2 2" xfId="45353" xr:uid="{00000000-0005-0000-0000-000044AF0000}"/>
    <cellStyle name="Note 3 4 3 2 2 2 3" xfId="34052" xr:uid="{00000000-0005-0000-0000-000045AF0000}"/>
    <cellStyle name="Note 3 4 3 2 2 3" xfId="17101" xr:uid="{00000000-0005-0000-0000-000046AF0000}"/>
    <cellStyle name="Note 3 4 3 2 2 3 2" xfId="39703" xr:uid="{00000000-0005-0000-0000-000047AF0000}"/>
    <cellStyle name="Note 3 4 3 2 2 4" xfId="28402" xr:uid="{00000000-0005-0000-0000-000048AF0000}"/>
    <cellStyle name="Note 3 4 3 2 3" xfId="8618" xr:uid="{00000000-0005-0000-0000-000049AF0000}"/>
    <cellStyle name="Note 3 4 3 2 3 2" xfId="19919" xr:uid="{00000000-0005-0000-0000-00004AAF0000}"/>
    <cellStyle name="Note 3 4 3 2 3 2 2" xfId="42521" xr:uid="{00000000-0005-0000-0000-00004BAF0000}"/>
    <cellStyle name="Note 3 4 3 2 3 3" xfId="31220" xr:uid="{00000000-0005-0000-0000-00004CAF0000}"/>
    <cellStyle name="Note 3 4 3 2 4" xfId="14269" xr:uid="{00000000-0005-0000-0000-00004DAF0000}"/>
    <cellStyle name="Note 3 4 3 2 4 2" xfId="36871" xr:uid="{00000000-0005-0000-0000-00004EAF0000}"/>
    <cellStyle name="Note 3 4 3 2 5" xfId="25570" xr:uid="{00000000-0005-0000-0000-00004FAF0000}"/>
    <cellStyle name="Note 3 4 3 3" xfId="4566" xr:uid="{00000000-0005-0000-0000-000050AF0000}"/>
    <cellStyle name="Note 3 4 3 3 2" xfId="10216" xr:uid="{00000000-0005-0000-0000-000051AF0000}"/>
    <cellStyle name="Note 3 4 3 3 2 2" xfId="21517" xr:uid="{00000000-0005-0000-0000-000052AF0000}"/>
    <cellStyle name="Note 3 4 3 3 2 2 2" xfId="44119" xr:uid="{00000000-0005-0000-0000-000053AF0000}"/>
    <cellStyle name="Note 3 4 3 3 2 3" xfId="32818" xr:uid="{00000000-0005-0000-0000-000054AF0000}"/>
    <cellStyle name="Note 3 4 3 3 3" xfId="15867" xr:uid="{00000000-0005-0000-0000-000055AF0000}"/>
    <cellStyle name="Note 3 4 3 3 3 2" xfId="38469" xr:uid="{00000000-0005-0000-0000-000056AF0000}"/>
    <cellStyle name="Note 3 4 3 3 4" xfId="27168" xr:uid="{00000000-0005-0000-0000-000057AF0000}"/>
    <cellStyle name="Note 3 4 3 4" xfId="6748" xr:uid="{00000000-0005-0000-0000-000058AF0000}"/>
    <cellStyle name="Note 3 4 3 4 2" xfId="18049" xr:uid="{00000000-0005-0000-0000-000059AF0000}"/>
    <cellStyle name="Note 3 4 3 4 2 2" xfId="40651" xr:uid="{00000000-0005-0000-0000-00005AAF0000}"/>
    <cellStyle name="Note 3 4 3 4 3" xfId="29350" xr:uid="{00000000-0005-0000-0000-00005BAF0000}"/>
    <cellStyle name="Note 3 4 3 5" xfId="12399" xr:uid="{00000000-0005-0000-0000-00005CAF0000}"/>
    <cellStyle name="Note 3 4 3 5 2" xfId="35001" xr:uid="{00000000-0005-0000-0000-00005DAF0000}"/>
    <cellStyle name="Note 3 4 3 6" xfId="23700" xr:uid="{00000000-0005-0000-0000-00005EAF0000}"/>
    <cellStyle name="Note 3 4 4" xfId="2088" xr:uid="{00000000-0005-0000-0000-00005FAF0000}"/>
    <cellStyle name="Note 3 4 4 2" xfId="3821" xr:uid="{00000000-0005-0000-0000-000060AF0000}"/>
    <cellStyle name="Note 3 4 4 2 2" xfId="9529" xr:uid="{00000000-0005-0000-0000-000061AF0000}"/>
    <cellStyle name="Note 3 4 4 2 2 2" xfId="20830" xr:uid="{00000000-0005-0000-0000-000062AF0000}"/>
    <cellStyle name="Note 3 4 4 2 2 2 2" xfId="43432" xr:uid="{00000000-0005-0000-0000-000063AF0000}"/>
    <cellStyle name="Note 3 4 4 2 2 3" xfId="32131" xr:uid="{00000000-0005-0000-0000-000064AF0000}"/>
    <cellStyle name="Note 3 4 4 2 3" xfId="15180" xr:uid="{00000000-0005-0000-0000-000065AF0000}"/>
    <cellStyle name="Note 3 4 4 2 3 2" xfId="37782" xr:uid="{00000000-0005-0000-0000-000066AF0000}"/>
    <cellStyle name="Note 3 4 4 2 4" xfId="26481" xr:uid="{00000000-0005-0000-0000-000067AF0000}"/>
    <cellStyle name="Note 3 4 4 3" xfId="5176" xr:uid="{00000000-0005-0000-0000-000068AF0000}"/>
    <cellStyle name="Note 3 4 4 3 2" xfId="10826" xr:uid="{00000000-0005-0000-0000-000069AF0000}"/>
    <cellStyle name="Note 3 4 4 3 2 2" xfId="22127" xr:uid="{00000000-0005-0000-0000-00006AAF0000}"/>
    <cellStyle name="Note 3 4 4 3 2 2 2" xfId="44729" xr:uid="{00000000-0005-0000-0000-00006BAF0000}"/>
    <cellStyle name="Note 3 4 4 3 2 3" xfId="33428" xr:uid="{00000000-0005-0000-0000-00006CAF0000}"/>
    <cellStyle name="Note 3 4 4 3 3" xfId="16477" xr:uid="{00000000-0005-0000-0000-00006DAF0000}"/>
    <cellStyle name="Note 3 4 4 3 3 2" xfId="39079" xr:uid="{00000000-0005-0000-0000-00006EAF0000}"/>
    <cellStyle name="Note 3 4 4 3 4" xfId="27778" xr:uid="{00000000-0005-0000-0000-00006FAF0000}"/>
    <cellStyle name="Note 3 4 4 4" xfId="7944" xr:uid="{00000000-0005-0000-0000-000070AF0000}"/>
    <cellStyle name="Note 3 4 4 4 2" xfId="19245" xr:uid="{00000000-0005-0000-0000-000071AF0000}"/>
    <cellStyle name="Note 3 4 4 4 2 2" xfId="41847" xr:uid="{00000000-0005-0000-0000-000072AF0000}"/>
    <cellStyle name="Note 3 4 4 4 3" xfId="30546" xr:uid="{00000000-0005-0000-0000-000073AF0000}"/>
    <cellStyle name="Note 3 4 4 5" xfId="13595" xr:uid="{00000000-0005-0000-0000-000074AF0000}"/>
    <cellStyle name="Note 3 4 4 5 2" xfId="36197" xr:uid="{00000000-0005-0000-0000-000075AF0000}"/>
    <cellStyle name="Note 3 4 4 6" xfId="24896" xr:uid="{00000000-0005-0000-0000-000076AF0000}"/>
    <cellStyle name="Note 3 4 5" xfId="2147" xr:uid="{00000000-0005-0000-0000-000077AF0000}"/>
    <cellStyle name="Note 3 4 5 2" xfId="7990" xr:uid="{00000000-0005-0000-0000-000078AF0000}"/>
    <cellStyle name="Note 3 4 5 2 2" xfId="19291" xr:uid="{00000000-0005-0000-0000-000079AF0000}"/>
    <cellStyle name="Note 3 4 5 2 2 2" xfId="41893" xr:uid="{00000000-0005-0000-0000-00007AAF0000}"/>
    <cellStyle name="Note 3 4 5 2 3" xfId="30592" xr:uid="{00000000-0005-0000-0000-00007BAF0000}"/>
    <cellStyle name="Note 3 4 5 3" xfId="13641" xr:uid="{00000000-0005-0000-0000-00007CAF0000}"/>
    <cellStyle name="Note 3 4 5 3 2" xfId="36243" xr:uid="{00000000-0005-0000-0000-00007DAF0000}"/>
    <cellStyle name="Note 3 4 5 4" xfId="24942" xr:uid="{00000000-0005-0000-0000-00007EAF0000}"/>
    <cellStyle name="Note 3 4 6" xfId="3942" xr:uid="{00000000-0005-0000-0000-00007FAF0000}"/>
    <cellStyle name="Note 3 4 6 2" xfId="9592" xr:uid="{00000000-0005-0000-0000-000080AF0000}"/>
    <cellStyle name="Note 3 4 6 2 2" xfId="20893" xr:uid="{00000000-0005-0000-0000-000081AF0000}"/>
    <cellStyle name="Note 3 4 6 2 2 2" xfId="43495" xr:uid="{00000000-0005-0000-0000-000082AF0000}"/>
    <cellStyle name="Note 3 4 6 2 3" xfId="32194" xr:uid="{00000000-0005-0000-0000-000083AF0000}"/>
    <cellStyle name="Note 3 4 6 3" xfId="15243" xr:uid="{00000000-0005-0000-0000-000084AF0000}"/>
    <cellStyle name="Note 3 4 6 3 2" xfId="37845" xr:uid="{00000000-0005-0000-0000-000085AF0000}"/>
    <cellStyle name="Note 3 4 6 4" xfId="26544" xr:uid="{00000000-0005-0000-0000-000086AF0000}"/>
    <cellStyle name="Note 3 4 7" xfId="6560" xr:uid="{00000000-0005-0000-0000-000087AF0000}"/>
    <cellStyle name="Note 3 4 7 2" xfId="17861" xr:uid="{00000000-0005-0000-0000-000088AF0000}"/>
    <cellStyle name="Note 3 4 7 2 2" xfId="40463" xr:uid="{00000000-0005-0000-0000-000089AF0000}"/>
    <cellStyle name="Note 3 4 7 3" xfId="29162" xr:uid="{00000000-0005-0000-0000-00008AAF0000}"/>
    <cellStyle name="Note 3 4 8" xfId="12211" xr:uid="{00000000-0005-0000-0000-00008BAF0000}"/>
    <cellStyle name="Note 3 4 8 2" xfId="34813" xr:uid="{00000000-0005-0000-0000-00008CAF0000}"/>
    <cellStyle name="Note 3 4 9" xfId="23512" xr:uid="{00000000-0005-0000-0000-00008DAF0000}"/>
    <cellStyle name="Note 3 5" xfId="425" xr:uid="{00000000-0005-0000-0000-00008EAF0000}"/>
    <cellStyle name="Note 3 6" xfId="793" xr:uid="{00000000-0005-0000-0000-00008FAF0000}"/>
    <cellStyle name="Note 3 7" xfId="6393" xr:uid="{00000000-0005-0000-0000-000090AF0000}"/>
    <cellStyle name="Note 3 7 2" xfId="17694" xr:uid="{00000000-0005-0000-0000-000091AF0000}"/>
    <cellStyle name="Note 3 7 2 2" xfId="40296" xr:uid="{00000000-0005-0000-0000-000092AF0000}"/>
    <cellStyle name="Note 3 7 3" xfId="28995" xr:uid="{00000000-0005-0000-0000-000093AF0000}"/>
    <cellStyle name="Note 3 8" xfId="12044" xr:uid="{00000000-0005-0000-0000-000094AF0000}"/>
    <cellStyle name="Note 3 8 2" xfId="34646" xr:uid="{00000000-0005-0000-0000-000095AF0000}"/>
    <cellStyle name="Note 3 9" xfId="23345" xr:uid="{00000000-0005-0000-0000-000096AF0000}"/>
    <cellStyle name="Note 4" xfId="175" xr:uid="{00000000-0005-0000-0000-000097AF0000}"/>
    <cellStyle name="Note 4 10" xfId="6407" xr:uid="{00000000-0005-0000-0000-000098AF0000}"/>
    <cellStyle name="Note 4 10 2" xfId="17708" xr:uid="{00000000-0005-0000-0000-000099AF0000}"/>
    <cellStyle name="Note 4 10 2 2" xfId="40310" xr:uid="{00000000-0005-0000-0000-00009AAF0000}"/>
    <cellStyle name="Note 4 10 3" xfId="29009" xr:uid="{00000000-0005-0000-0000-00009BAF0000}"/>
    <cellStyle name="Note 4 11" xfId="12058" xr:uid="{00000000-0005-0000-0000-00009CAF0000}"/>
    <cellStyle name="Note 4 11 2" xfId="34660" xr:uid="{00000000-0005-0000-0000-00009DAF0000}"/>
    <cellStyle name="Note 4 12" xfId="23359" xr:uid="{00000000-0005-0000-0000-00009EAF0000}"/>
    <cellStyle name="Note 4 2" xfId="298" xr:uid="{00000000-0005-0000-0000-00009FAF0000}"/>
    <cellStyle name="Note 4 2 10" xfId="23406" xr:uid="{00000000-0005-0000-0000-0000A0AF0000}"/>
    <cellStyle name="Note 4 2 2" xfId="556" xr:uid="{00000000-0005-0000-0000-0000A1AF0000}"/>
    <cellStyle name="Note 4 2 2 2" xfId="1266" xr:uid="{00000000-0005-0000-0000-0000A2AF0000}"/>
    <cellStyle name="Note 4 2 2 2 2" xfId="2093" xr:uid="{00000000-0005-0000-0000-0000A3AF0000}"/>
    <cellStyle name="Note 4 2 2 2 2 2" xfId="3335" xr:uid="{00000000-0005-0000-0000-0000A4AF0000}"/>
    <cellStyle name="Note 4 2 2 2 2 2 2" xfId="6307" xr:uid="{00000000-0005-0000-0000-0000A5AF0000}"/>
    <cellStyle name="Note 4 2 2 2 2 2 2 2" xfId="11957" xr:uid="{00000000-0005-0000-0000-0000A6AF0000}"/>
    <cellStyle name="Note 4 2 2 2 2 2 2 2 2" xfId="23258" xr:uid="{00000000-0005-0000-0000-0000A7AF0000}"/>
    <cellStyle name="Note 4 2 2 2 2 2 2 2 2 2" xfId="45860" xr:uid="{00000000-0005-0000-0000-0000A8AF0000}"/>
    <cellStyle name="Note 4 2 2 2 2 2 2 2 3" xfId="34559" xr:uid="{00000000-0005-0000-0000-0000A9AF0000}"/>
    <cellStyle name="Note 4 2 2 2 2 2 2 3" xfId="17608" xr:uid="{00000000-0005-0000-0000-0000AAAF0000}"/>
    <cellStyle name="Note 4 2 2 2 2 2 2 3 2" xfId="40210" xr:uid="{00000000-0005-0000-0000-0000ABAF0000}"/>
    <cellStyle name="Note 4 2 2 2 2 2 2 4" xfId="28909" xr:uid="{00000000-0005-0000-0000-0000ACAF0000}"/>
    <cellStyle name="Note 4 2 2 2 2 2 3" xfId="9125" xr:uid="{00000000-0005-0000-0000-0000ADAF0000}"/>
    <cellStyle name="Note 4 2 2 2 2 2 3 2" xfId="20426" xr:uid="{00000000-0005-0000-0000-0000AEAF0000}"/>
    <cellStyle name="Note 4 2 2 2 2 2 3 2 2" xfId="43028" xr:uid="{00000000-0005-0000-0000-0000AFAF0000}"/>
    <cellStyle name="Note 4 2 2 2 2 2 3 3" xfId="31727" xr:uid="{00000000-0005-0000-0000-0000B0AF0000}"/>
    <cellStyle name="Note 4 2 2 2 2 2 4" xfId="14776" xr:uid="{00000000-0005-0000-0000-0000B1AF0000}"/>
    <cellStyle name="Note 4 2 2 2 2 2 4 2" xfId="37378" xr:uid="{00000000-0005-0000-0000-0000B2AF0000}"/>
    <cellStyle name="Note 4 2 2 2 2 2 5" xfId="26077" xr:uid="{00000000-0005-0000-0000-0000B3AF0000}"/>
    <cellStyle name="Note 4 2 2 2 2 3" xfId="5073" xr:uid="{00000000-0005-0000-0000-0000B4AF0000}"/>
    <cellStyle name="Note 4 2 2 2 2 3 2" xfId="10723" xr:uid="{00000000-0005-0000-0000-0000B5AF0000}"/>
    <cellStyle name="Note 4 2 2 2 2 3 2 2" xfId="22024" xr:uid="{00000000-0005-0000-0000-0000B6AF0000}"/>
    <cellStyle name="Note 4 2 2 2 2 3 2 2 2" xfId="44626" xr:uid="{00000000-0005-0000-0000-0000B7AF0000}"/>
    <cellStyle name="Note 4 2 2 2 2 3 2 3" xfId="33325" xr:uid="{00000000-0005-0000-0000-0000B8AF0000}"/>
    <cellStyle name="Note 4 2 2 2 2 3 3" xfId="16374" xr:uid="{00000000-0005-0000-0000-0000B9AF0000}"/>
    <cellStyle name="Note 4 2 2 2 2 3 3 2" xfId="38976" xr:uid="{00000000-0005-0000-0000-0000BAAF0000}"/>
    <cellStyle name="Note 4 2 2 2 2 3 4" xfId="27675" xr:uid="{00000000-0005-0000-0000-0000BBAF0000}"/>
    <cellStyle name="Note 4 2 2 2 2 4" xfId="7949" xr:uid="{00000000-0005-0000-0000-0000BCAF0000}"/>
    <cellStyle name="Note 4 2 2 2 2 4 2" xfId="19250" xr:uid="{00000000-0005-0000-0000-0000BDAF0000}"/>
    <cellStyle name="Note 4 2 2 2 2 4 2 2" xfId="41852" xr:uid="{00000000-0005-0000-0000-0000BEAF0000}"/>
    <cellStyle name="Note 4 2 2 2 2 4 3" xfId="30551" xr:uid="{00000000-0005-0000-0000-0000BFAF0000}"/>
    <cellStyle name="Note 4 2 2 2 2 5" xfId="13600" xr:uid="{00000000-0005-0000-0000-0000C0AF0000}"/>
    <cellStyle name="Note 4 2 2 2 2 5 2" xfId="36202" xr:uid="{00000000-0005-0000-0000-0000C1AF0000}"/>
    <cellStyle name="Note 4 2 2 2 2 6" xfId="24901" xr:uid="{00000000-0005-0000-0000-0000C2AF0000}"/>
    <cellStyle name="Note 4 2 2 2 3" xfId="2664" xr:uid="{00000000-0005-0000-0000-0000C3AF0000}"/>
    <cellStyle name="Note 4 2 2 2 3 2" xfId="5683" xr:uid="{00000000-0005-0000-0000-0000C4AF0000}"/>
    <cellStyle name="Note 4 2 2 2 3 2 2" xfId="11333" xr:uid="{00000000-0005-0000-0000-0000C5AF0000}"/>
    <cellStyle name="Note 4 2 2 2 3 2 2 2" xfId="22634" xr:uid="{00000000-0005-0000-0000-0000C6AF0000}"/>
    <cellStyle name="Note 4 2 2 2 3 2 2 2 2" xfId="45236" xr:uid="{00000000-0005-0000-0000-0000C7AF0000}"/>
    <cellStyle name="Note 4 2 2 2 3 2 2 3" xfId="33935" xr:uid="{00000000-0005-0000-0000-0000C8AF0000}"/>
    <cellStyle name="Note 4 2 2 2 3 2 3" xfId="16984" xr:uid="{00000000-0005-0000-0000-0000C9AF0000}"/>
    <cellStyle name="Note 4 2 2 2 3 2 3 2" xfId="39586" xr:uid="{00000000-0005-0000-0000-0000CAAF0000}"/>
    <cellStyle name="Note 4 2 2 2 3 2 4" xfId="28285" xr:uid="{00000000-0005-0000-0000-0000CBAF0000}"/>
    <cellStyle name="Note 4 2 2 2 3 3" xfId="8500" xr:uid="{00000000-0005-0000-0000-0000CCAF0000}"/>
    <cellStyle name="Note 4 2 2 2 3 3 2" xfId="19801" xr:uid="{00000000-0005-0000-0000-0000CDAF0000}"/>
    <cellStyle name="Note 4 2 2 2 3 3 2 2" xfId="42403" xr:uid="{00000000-0005-0000-0000-0000CEAF0000}"/>
    <cellStyle name="Note 4 2 2 2 3 3 3" xfId="31102" xr:uid="{00000000-0005-0000-0000-0000CFAF0000}"/>
    <cellStyle name="Note 4 2 2 2 3 4" xfId="14151" xr:uid="{00000000-0005-0000-0000-0000D0AF0000}"/>
    <cellStyle name="Note 4 2 2 2 3 4 2" xfId="36753" xr:uid="{00000000-0005-0000-0000-0000D1AF0000}"/>
    <cellStyle name="Note 4 2 2 2 3 5" xfId="25452" xr:uid="{00000000-0005-0000-0000-0000D2AF0000}"/>
    <cellStyle name="Note 4 2 2 2 4" xfId="4449" xr:uid="{00000000-0005-0000-0000-0000D3AF0000}"/>
    <cellStyle name="Note 4 2 2 2 4 2" xfId="10099" xr:uid="{00000000-0005-0000-0000-0000D4AF0000}"/>
    <cellStyle name="Note 4 2 2 2 4 2 2" xfId="21400" xr:uid="{00000000-0005-0000-0000-0000D5AF0000}"/>
    <cellStyle name="Note 4 2 2 2 4 2 2 2" xfId="44002" xr:uid="{00000000-0005-0000-0000-0000D6AF0000}"/>
    <cellStyle name="Note 4 2 2 2 4 2 3" xfId="32701" xr:uid="{00000000-0005-0000-0000-0000D7AF0000}"/>
    <cellStyle name="Note 4 2 2 2 4 3" xfId="15750" xr:uid="{00000000-0005-0000-0000-0000D8AF0000}"/>
    <cellStyle name="Note 4 2 2 2 4 3 2" xfId="38352" xr:uid="{00000000-0005-0000-0000-0000D9AF0000}"/>
    <cellStyle name="Note 4 2 2 2 4 4" xfId="27051" xr:uid="{00000000-0005-0000-0000-0000DAAF0000}"/>
    <cellStyle name="Note 4 2 2 2 5" xfId="7245" xr:uid="{00000000-0005-0000-0000-0000DBAF0000}"/>
    <cellStyle name="Note 4 2 2 2 5 2" xfId="18546" xr:uid="{00000000-0005-0000-0000-0000DCAF0000}"/>
    <cellStyle name="Note 4 2 2 2 5 2 2" xfId="41148" xr:uid="{00000000-0005-0000-0000-0000DDAF0000}"/>
    <cellStyle name="Note 4 2 2 2 5 3" xfId="29847" xr:uid="{00000000-0005-0000-0000-0000DEAF0000}"/>
    <cellStyle name="Note 4 2 2 2 6" xfId="12896" xr:uid="{00000000-0005-0000-0000-0000DFAF0000}"/>
    <cellStyle name="Note 4 2 2 2 6 2" xfId="35498" xr:uid="{00000000-0005-0000-0000-0000E0AF0000}"/>
    <cellStyle name="Note 4 2 2 2 7" xfId="24197" xr:uid="{00000000-0005-0000-0000-0000E1AF0000}"/>
    <cellStyle name="Note 4 2 2 3" xfId="964" xr:uid="{00000000-0005-0000-0000-0000E2AF0000}"/>
    <cellStyle name="Note 4 2 2 3 2" xfId="3027" xr:uid="{00000000-0005-0000-0000-0000E3AF0000}"/>
    <cellStyle name="Note 4 2 2 3 2 2" xfId="5999" xr:uid="{00000000-0005-0000-0000-0000E4AF0000}"/>
    <cellStyle name="Note 4 2 2 3 2 2 2" xfId="11649" xr:uid="{00000000-0005-0000-0000-0000E5AF0000}"/>
    <cellStyle name="Note 4 2 2 3 2 2 2 2" xfId="22950" xr:uid="{00000000-0005-0000-0000-0000E6AF0000}"/>
    <cellStyle name="Note 4 2 2 3 2 2 2 2 2" xfId="45552" xr:uid="{00000000-0005-0000-0000-0000E7AF0000}"/>
    <cellStyle name="Note 4 2 2 3 2 2 2 3" xfId="34251" xr:uid="{00000000-0005-0000-0000-0000E8AF0000}"/>
    <cellStyle name="Note 4 2 2 3 2 2 3" xfId="17300" xr:uid="{00000000-0005-0000-0000-0000E9AF0000}"/>
    <cellStyle name="Note 4 2 2 3 2 2 3 2" xfId="39902" xr:uid="{00000000-0005-0000-0000-0000EAAF0000}"/>
    <cellStyle name="Note 4 2 2 3 2 2 4" xfId="28601" xr:uid="{00000000-0005-0000-0000-0000EBAF0000}"/>
    <cellStyle name="Note 4 2 2 3 2 3" xfId="8817" xr:uid="{00000000-0005-0000-0000-0000ECAF0000}"/>
    <cellStyle name="Note 4 2 2 3 2 3 2" xfId="20118" xr:uid="{00000000-0005-0000-0000-0000EDAF0000}"/>
    <cellStyle name="Note 4 2 2 3 2 3 2 2" xfId="42720" xr:uid="{00000000-0005-0000-0000-0000EEAF0000}"/>
    <cellStyle name="Note 4 2 2 3 2 3 3" xfId="31419" xr:uid="{00000000-0005-0000-0000-0000EFAF0000}"/>
    <cellStyle name="Note 4 2 2 3 2 4" xfId="14468" xr:uid="{00000000-0005-0000-0000-0000F0AF0000}"/>
    <cellStyle name="Note 4 2 2 3 2 4 2" xfId="37070" xr:uid="{00000000-0005-0000-0000-0000F1AF0000}"/>
    <cellStyle name="Note 4 2 2 3 2 5" xfId="25769" xr:uid="{00000000-0005-0000-0000-0000F2AF0000}"/>
    <cellStyle name="Note 4 2 2 3 3" xfId="4765" xr:uid="{00000000-0005-0000-0000-0000F3AF0000}"/>
    <cellStyle name="Note 4 2 2 3 3 2" xfId="10415" xr:uid="{00000000-0005-0000-0000-0000F4AF0000}"/>
    <cellStyle name="Note 4 2 2 3 3 2 2" xfId="21716" xr:uid="{00000000-0005-0000-0000-0000F5AF0000}"/>
    <cellStyle name="Note 4 2 2 3 3 2 2 2" xfId="44318" xr:uid="{00000000-0005-0000-0000-0000F6AF0000}"/>
    <cellStyle name="Note 4 2 2 3 3 2 3" xfId="33017" xr:uid="{00000000-0005-0000-0000-0000F7AF0000}"/>
    <cellStyle name="Note 4 2 2 3 3 3" xfId="16066" xr:uid="{00000000-0005-0000-0000-0000F8AF0000}"/>
    <cellStyle name="Note 4 2 2 3 3 3 2" xfId="38668" xr:uid="{00000000-0005-0000-0000-0000F9AF0000}"/>
    <cellStyle name="Note 4 2 2 3 3 4" xfId="27367" xr:uid="{00000000-0005-0000-0000-0000FAAF0000}"/>
    <cellStyle name="Note 4 2 2 3 4" xfId="6952" xr:uid="{00000000-0005-0000-0000-0000FBAF0000}"/>
    <cellStyle name="Note 4 2 2 3 4 2" xfId="18253" xr:uid="{00000000-0005-0000-0000-0000FCAF0000}"/>
    <cellStyle name="Note 4 2 2 3 4 2 2" xfId="40855" xr:uid="{00000000-0005-0000-0000-0000FDAF0000}"/>
    <cellStyle name="Note 4 2 2 3 4 3" xfId="29554" xr:uid="{00000000-0005-0000-0000-0000FEAF0000}"/>
    <cellStyle name="Note 4 2 2 3 5" xfId="12603" xr:uid="{00000000-0005-0000-0000-0000FFAF0000}"/>
    <cellStyle name="Note 4 2 2 3 5 2" xfId="35205" xr:uid="{00000000-0005-0000-0000-000000B00000}"/>
    <cellStyle name="Note 4 2 2 3 6" xfId="23904" xr:uid="{00000000-0005-0000-0000-000001B00000}"/>
    <cellStyle name="Note 4 2 2 4" xfId="2092" xr:uid="{00000000-0005-0000-0000-000002B00000}"/>
    <cellStyle name="Note 4 2 2 4 2" xfId="3824" xr:uid="{00000000-0005-0000-0000-000003B00000}"/>
    <cellStyle name="Note 4 2 2 4 2 2" xfId="9532" xr:uid="{00000000-0005-0000-0000-000004B00000}"/>
    <cellStyle name="Note 4 2 2 4 2 2 2" xfId="20833" xr:uid="{00000000-0005-0000-0000-000005B00000}"/>
    <cellStyle name="Note 4 2 2 4 2 2 2 2" xfId="43435" xr:uid="{00000000-0005-0000-0000-000006B00000}"/>
    <cellStyle name="Note 4 2 2 4 2 2 3" xfId="32134" xr:uid="{00000000-0005-0000-0000-000007B00000}"/>
    <cellStyle name="Note 4 2 2 4 2 3" xfId="15183" xr:uid="{00000000-0005-0000-0000-000008B00000}"/>
    <cellStyle name="Note 4 2 2 4 2 3 2" xfId="37785" xr:uid="{00000000-0005-0000-0000-000009B00000}"/>
    <cellStyle name="Note 4 2 2 4 2 4" xfId="26484" xr:uid="{00000000-0005-0000-0000-00000AB00000}"/>
    <cellStyle name="Note 4 2 2 4 3" xfId="5375" xr:uid="{00000000-0005-0000-0000-00000BB00000}"/>
    <cellStyle name="Note 4 2 2 4 3 2" xfId="11025" xr:uid="{00000000-0005-0000-0000-00000CB00000}"/>
    <cellStyle name="Note 4 2 2 4 3 2 2" xfId="22326" xr:uid="{00000000-0005-0000-0000-00000DB00000}"/>
    <cellStyle name="Note 4 2 2 4 3 2 2 2" xfId="44928" xr:uid="{00000000-0005-0000-0000-00000EB00000}"/>
    <cellStyle name="Note 4 2 2 4 3 2 3" xfId="33627" xr:uid="{00000000-0005-0000-0000-00000FB00000}"/>
    <cellStyle name="Note 4 2 2 4 3 3" xfId="16676" xr:uid="{00000000-0005-0000-0000-000010B00000}"/>
    <cellStyle name="Note 4 2 2 4 3 3 2" xfId="39278" xr:uid="{00000000-0005-0000-0000-000011B00000}"/>
    <cellStyle name="Note 4 2 2 4 3 4" xfId="27977" xr:uid="{00000000-0005-0000-0000-000012B00000}"/>
    <cellStyle name="Note 4 2 2 4 4" xfId="7948" xr:uid="{00000000-0005-0000-0000-000013B00000}"/>
    <cellStyle name="Note 4 2 2 4 4 2" xfId="19249" xr:uid="{00000000-0005-0000-0000-000014B00000}"/>
    <cellStyle name="Note 4 2 2 4 4 2 2" xfId="41851" xr:uid="{00000000-0005-0000-0000-000015B00000}"/>
    <cellStyle name="Note 4 2 2 4 4 3" xfId="30550" xr:uid="{00000000-0005-0000-0000-000016B00000}"/>
    <cellStyle name="Note 4 2 2 4 5" xfId="13599" xr:uid="{00000000-0005-0000-0000-000017B00000}"/>
    <cellStyle name="Note 4 2 2 4 5 2" xfId="36201" xr:uid="{00000000-0005-0000-0000-000018B00000}"/>
    <cellStyle name="Note 4 2 2 4 6" xfId="24900" xr:uid="{00000000-0005-0000-0000-000019B00000}"/>
    <cellStyle name="Note 4 2 2 5" xfId="2356" xr:uid="{00000000-0005-0000-0000-00001AB00000}"/>
    <cellStyle name="Note 4 2 2 5 2" xfId="8192" xr:uid="{00000000-0005-0000-0000-00001BB00000}"/>
    <cellStyle name="Note 4 2 2 5 2 2" xfId="19493" xr:uid="{00000000-0005-0000-0000-00001CB00000}"/>
    <cellStyle name="Note 4 2 2 5 2 2 2" xfId="42095" xr:uid="{00000000-0005-0000-0000-00001DB00000}"/>
    <cellStyle name="Note 4 2 2 5 2 3" xfId="30794" xr:uid="{00000000-0005-0000-0000-00001EB00000}"/>
    <cellStyle name="Note 4 2 2 5 3" xfId="13843" xr:uid="{00000000-0005-0000-0000-00001FB00000}"/>
    <cellStyle name="Note 4 2 2 5 3 2" xfId="36445" xr:uid="{00000000-0005-0000-0000-000020B00000}"/>
    <cellStyle name="Note 4 2 2 5 4" xfId="25144" xr:uid="{00000000-0005-0000-0000-000021B00000}"/>
    <cellStyle name="Note 4 2 2 6" xfId="4141" xr:uid="{00000000-0005-0000-0000-000022B00000}"/>
    <cellStyle name="Note 4 2 2 6 2" xfId="9791" xr:uid="{00000000-0005-0000-0000-000023B00000}"/>
    <cellStyle name="Note 4 2 2 6 2 2" xfId="21092" xr:uid="{00000000-0005-0000-0000-000024B00000}"/>
    <cellStyle name="Note 4 2 2 6 2 2 2" xfId="43694" xr:uid="{00000000-0005-0000-0000-000025B00000}"/>
    <cellStyle name="Note 4 2 2 6 2 3" xfId="32393" xr:uid="{00000000-0005-0000-0000-000026B00000}"/>
    <cellStyle name="Note 4 2 2 6 3" xfId="15442" xr:uid="{00000000-0005-0000-0000-000027B00000}"/>
    <cellStyle name="Note 4 2 2 6 3 2" xfId="38044" xr:uid="{00000000-0005-0000-0000-000028B00000}"/>
    <cellStyle name="Note 4 2 2 6 4" xfId="26743" xr:uid="{00000000-0005-0000-0000-000029B00000}"/>
    <cellStyle name="Note 4 2 2 7" xfId="6621" xr:uid="{00000000-0005-0000-0000-00002AB00000}"/>
    <cellStyle name="Note 4 2 2 7 2" xfId="17922" xr:uid="{00000000-0005-0000-0000-00002BB00000}"/>
    <cellStyle name="Note 4 2 2 7 2 2" xfId="40524" xr:uid="{00000000-0005-0000-0000-00002CB00000}"/>
    <cellStyle name="Note 4 2 2 7 3" xfId="29223" xr:uid="{00000000-0005-0000-0000-00002DB00000}"/>
    <cellStyle name="Note 4 2 2 8" xfId="12272" xr:uid="{00000000-0005-0000-0000-00002EB00000}"/>
    <cellStyle name="Note 4 2 2 8 2" xfId="34874" xr:uid="{00000000-0005-0000-0000-00002FB00000}"/>
    <cellStyle name="Note 4 2 2 9" xfId="23573" xr:uid="{00000000-0005-0000-0000-000030B00000}"/>
    <cellStyle name="Note 4 2 3" xfId="1128" xr:uid="{00000000-0005-0000-0000-000031B00000}"/>
    <cellStyle name="Note 4 2 3 2" xfId="2094" xr:uid="{00000000-0005-0000-0000-000032B00000}"/>
    <cellStyle name="Note 4 2 3 2 2" xfId="3196" xr:uid="{00000000-0005-0000-0000-000033B00000}"/>
    <cellStyle name="Note 4 2 3 2 2 2" xfId="6168" xr:uid="{00000000-0005-0000-0000-000034B00000}"/>
    <cellStyle name="Note 4 2 3 2 2 2 2" xfId="11818" xr:uid="{00000000-0005-0000-0000-000035B00000}"/>
    <cellStyle name="Note 4 2 3 2 2 2 2 2" xfId="23119" xr:uid="{00000000-0005-0000-0000-000036B00000}"/>
    <cellStyle name="Note 4 2 3 2 2 2 2 2 2" xfId="45721" xr:uid="{00000000-0005-0000-0000-000037B00000}"/>
    <cellStyle name="Note 4 2 3 2 2 2 2 3" xfId="34420" xr:uid="{00000000-0005-0000-0000-000038B00000}"/>
    <cellStyle name="Note 4 2 3 2 2 2 3" xfId="17469" xr:uid="{00000000-0005-0000-0000-000039B00000}"/>
    <cellStyle name="Note 4 2 3 2 2 2 3 2" xfId="40071" xr:uid="{00000000-0005-0000-0000-00003AB00000}"/>
    <cellStyle name="Note 4 2 3 2 2 2 4" xfId="28770" xr:uid="{00000000-0005-0000-0000-00003BB00000}"/>
    <cellStyle name="Note 4 2 3 2 2 3" xfId="8986" xr:uid="{00000000-0005-0000-0000-00003CB00000}"/>
    <cellStyle name="Note 4 2 3 2 2 3 2" xfId="20287" xr:uid="{00000000-0005-0000-0000-00003DB00000}"/>
    <cellStyle name="Note 4 2 3 2 2 3 2 2" xfId="42889" xr:uid="{00000000-0005-0000-0000-00003EB00000}"/>
    <cellStyle name="Note 4 2 3 2 2 3 3" xfId="31588" xr:uid="{00000000-0005-0000-0000-00003FB00000}"/>
    <cellStyle name="Note 4 2 3 2 2 4" xfId="14637" xr:uid="{00000000-0005-0000-0000-000040B00000}"/>
    <cellStyle name="Note 4 2 3 2 2 4 2" xfId="37239" xr:uid="{00000000-0005-0000-0000-000041B00000}"/>
    <cellStyle name="Note 4 2 3 2 2 5" xfId="25938" xr:uid="{00000000-0005-0000-0000-000042B00000}"/>
    <cellStyle name="Note 4 2 3 2 3" xfId="4934" xr:uid="{00000000-0005-0000-0000-000043B00000}"/>
    <cellStyle name="Note 4 2 3 2 3 2" xfId="10584" xr:uid="{00000000-0005-0000-0000-000044B00000}"/>
    <cellStyle name="Note 4 2 3 2 3 2 2" xfId="21885" xr:uid="{00000000-0005-0000-0000-000045B00000}"/>
    <cellStyle name="Note 4 2 3 2 3 2 2 2" xfId="44487" xr:uid="{00000000-0005-0000-0000-000046B00000}"/>
    <cellStyle name="Note 4 2 3 2 3 2 3" xfId="33186" xr:uid="{00000000-0005-0000-0000-000047B00000}"/>
    <cellStyle name="Note 4 2 3 2 3 3" xfId="16235" xr:uid="{00000000-0005-0000-0000-000048B00000}"/>
    <cellStyle name="Note 4 2 3 2 3 3 2" xfId="38837" xr:uid="{00000000-0005-0000-0000-000049B00000}"/>
    <cellStyle name="Note 4 2 3 2 3 4" xfId="27536" xr:uid="{00000000-0005-0000-0000-00004AB00000}"/>
    <cellStyle name="Note 4 2 3 2 4" xfId="7950" xr:uid="{00000000-0005-0000-0000-00004BB00000}"/>
    <cellStyle name="Note 4 2 3 2 4 2" xfId="19251" xr:uid="{00000000-0005-0000-0000-00004CB00000}"/>
    <cellStyle name="Note 4 2 3 2 4 2 2" xfId="41853" xr:uid="{00000000-0005-0000-0000-00004DB00000}"/>
    <cellStyle name="Note 4 2 3 2 4 3" xfId="30552" xr:uid="{00000000-0005-0000-0000-00004EB00000}"/>
    <cellStyle name="Note 4 2 3 2 5" xfId="13601" xr:uid="{00000000-0005-0000-0000-00004FB00000}"/>
    <cellStyle name="Note 4 2 3 2 5 2" xfId="36203" xr:uid="{00000000-0005-0000-0000-000050B00000}"/>
    <cellStyle name="Note 4 2 3 2 6" xfId="24902" xr:uid="{00000000-0005-0000-0000-000051B00000}"/>
    <cellStyle name="Note 4 2 3 3" xfId="2525" xr:uid="{00000000-0005-0000-0000-000052B00000}"/>
    <cellStyle name="Note 4 2 3 3 2" xfId="5544" xr:uid="{00000000-0005-0000-0000-000053B00000}"/>
    <cellStyle name="Note 4 2 3 3 2 2" xfId="11194" xr:uid="{00000000-0005-0000-0000-000054B00000}"/>
    <cellStyle name="Note 4 2 3 3 2 2 2" xfId="22495" xr:uid="{00000000-0005-0000-0000-000055B00000}"/>
    <cellStyle name="Note 4 2 3 3 2 2 2 2" xfId="45097" xr:uid="{00000000-0005-0000-0000-000056B00000}"/>
    <cellStyle name="Note 4 2 3 3 2 2 3" xfId="33796" xr:uid="{00000000-0005-0000-0000-000057B00000}"/>
    <cellStyle name="Note 4 2 3 3 2 3" xfId="16845" xr:uid="{00000000-0005-0000-0000-000058B00000}"/>
    <cellStyle name="Note 4 2 3 3 2 3 2" xfId="39447" xr:uid="{00000000-0005-0000-0000-000059B00000}"/>
    <cellStyle name="Note 4 2 3 3 2 4" xfId="28146" xr:uid="{00000000-0005-0000-0000-00005AB00000}"/>
    <cellStyle name="Note 4 2 3 3 3" xfId="8361" xr:uid="{00000000-0005-0000-0000-00005BB00000}"/>
    <cellStyle name="Note 4 2 3 3 3 2" xfId="19662" xr:uid="{00000000-0005-0000-0000-00005CB00000}"/>
    <cellStyle name="Note 4 2 3 3 3 2 2" xfId="42264" xr:uid="{00000000-0005-0000-0000-00005DB00000}"/>
    <cellStyle name="Note 4 2 3 3 3 3" xfId="30963" xr:uid="{00000000-0005-0000-0000-00005EB00000}"/>
    <cellStyle name="Note 4 2 3 3 4" xfId="14012" xr:uid="{00000000-0005-0000-0000-00005FB00000}"/>
    <cellStyle name="Note 4 2 3 3 4 2" xfId="36614" xr:uid="{00000000-0005-0000-0000-000060B00000}"/>
    <cellStyle name="Note 4 2 3 3 5" xfId="25313" xr:uid="{00000000-0005-0000-0000-000061B00000}"/>
    <cellStyle name="Note 4 2 3 4" xfId="4310" xr:uid="{00000000-0005-0000-0000-000062B00000}"/>
    <cellStyle name="Note 4 2 3 4 2" xfId="9960" xr:uid="{00000000-0005-0000-0000-000063B00000}"/>
    <cellStyle name="Note 4 2 3 4 2 2" xfId="21261" xr:uid="{00000000-0005-0000-0000-000064B00000}"/>
    <cellStyle name="Note 4 2 3 4 2 2 2" xfId="43863" xr:uid="{00000000-0005-0000-0000-000065B00000}"/>
    <cellStyle name="Note 4 2 3 4 2 3" xfId="32562" xr:uid="{00000000-0005-0000-0000-000066B00000}"/>
    <cellStyle name="Note 4 2 3 4 3" xfId="15611" xr:uid="{00000000-0005-0000-0000-000067B00000}"/>
    <cellStyle name="Note 4 2 3 4 3 2" xfId="38213" xr:uid="{00000000-0005-0000-0000-000068B00000}"/>
    <cellStyle name="Note 4 2 3 4 4" xfId="26912" xr:uid="{00000000-0005-0000-0000-000069B00000}"/>
    <cellStyle name="Note 4 2 3 5" xfId="7107" xr:uid="{00000000-0005-0000-0000-00006AB00000}"/>
    <cellStyle name="Note 4 2 3 5 2" xfId="18408" xr:uid="{00000000-0005-0000-0000-00006BB00000}"/>
    <cellStyle name="Note 4 2 3 5 2 2" xfId="41010" xr:uid="{00000000-0005-0000-0000-00006CB00000}"/>
    <cellStyle name="Note 4 2 3 5 3" xfId="29709" xr:uid="{00000000-0005-0000-0000-00006DB00000}"/>
    <cellStyle name="Note 4 2 3 6" xfId="12758" xr:uid="{00000000-0005-0000-0000-00006EB00000}"/>
    <cellStyle name="Note 4 2 3 6 2" xfId="35360" xr:uid="{00000000-0005-0000-0000-00006FB00000}"/>
    <cellStyle name="Note 4 2 3 7" xfId="24059" xr:uid="{00000000-0005-0000-0000-000070B00000}"/>
    <cellStyle name="Note 4 2 4" xfId="818" xr:uid="{00000000-0005-0000-0000-000071B00000}"/>
    <cellStyle name="Note 4 2 4 2" xfId="2889" xr:uid="{00000000-0005-0000-0000-000072B00000}"/>
    <cellStyle name="Note 4 2 4 2 2" xfId="5861" xr:uid="{00000000-0005-0000-0000-000073B00000}"/>
    <cellStyle name="Note 4 2 4 2 2 2" xfId="11511" xr:uid="{00000000-0005-0000-0000-000074B00000}"/>
    <cellStyle name="Note 4 2 4 2 2 2 2" xfId="22812" xr:uid="{00000000-0005-0000-0000-000075B00000}"/>
    <cellStyle name="Note 4 2 4 2 2 2 2 2" xfId="45414" xr:uid="{00000000-0005-0000-0000-000076B00000}"/>
    <cellStyle name="Note 4 2 4 2 2 2 3" xfId="34113" xr:uid="{00000000-0005-0000-0000-000077B00000}"/>
    <cellStyle name="Note 4 2 4 2 2 3" xfId="17162" xr:uid="{00000000-0005-0000-0000-000078B00000}"/>
    <cellStyle name="Note 4 2 4 2 2 3 2" xfId="39764" xr:uid="{00000000-0005-0000-0000-000079B00000}"/>
    <cellStyle name="Note 4 2 4 2 2 4" xfId="28463" xr:uid="{00000000-0005-0000-0000-00007AB00000}"/>
    <cellStyle name="Note 4 2 4 2 3" xfId="8679" xr:uid="{00000000-0005-0000-0000-00007BB00000}"/>
    <cellStyle name="Note 4 2 4 2 3 2" xfId="19980" xr:uid="{00000000-0005-0000-0000-00007CB00000}"/>
    <cellStyle name="Note 4 2 4 2 3 2 2" xfId="42582" xr:uid="{00000000-0005-0000-0000-00007DB00000}"/>
    <cellStyle name="Note 4 2 4 2 3 3" xfId="31281" xr:uid="{00000000-0005-0000-0000-00007EB00000}"/>
    <cellStyle name="Note 4 2 4 2 4" xfId="14330" xr:uid="{00000000-0005-0000-0000-00007FB00000}"/>
    <cellStyle name="Note 4 2 4 2 4 2" xfId="36932" xr:uid="{00000000-0005-0000-0000-000080B00000}"/>
    <cellStyle name="Note 4 2 4 2 5" xfId="25631" xr:uid="{00000000-0005-0000-0000-000081B00000}"/>
    <cellStyle name="Note 4 2 4 3" xfId="4627" xr:uid="{00000000-0005-0000-0000-000082B00000}"/>
    <cellStyle name="Note 4 2 4 3 2" xfId="10277" xr:uid="{00000000-0005-0000-0000-000083B00000}"/>
    <cellStyle name="Note 4 2 4 3 2 2" xfId="21578" xr:uid="{00000000-0005-0000-0000-000084B00000}"/>
    <cellStyle name="Note 4 2 4 3 2 2 2" xfId="44180" xr:uid="{00000000-0005-0000-0000-000085B00000}"/>
    <cellStyle name="Note 4 2 4 3 2 3" xfId="32879" xr:uid="{00000000-0005-0000-0000-000086B00000}"/>
    <cellStyle name="Note 4 2 4 3 3" xfId="15928" xr:uid="{00000000-0005-0000-0000-000087B00000}"/>
    <cellStyle name="Note 4 2 4 3 3 2" xfId="38530" xr:uid="{00000000-0005-0000-0000-000088B00000}"/>
    <cellStyle name="Note 4 2 4 3 4" xfId="27229" xr:uid="{00000000-0005-0000-0000-000089B00000}"/>
    <cellStyle name="Note 4 2 4 4" xfId="6814" xr:uid="{00000000-0005-0000-0000-00008AB00000}"/>
    <cellStyle name="Note 4 2 4 4 2" xfId="18115" xr:uid="{00000000-0005-0000-0000-00008BB00000}"/>
    <cellStyle name="Note 4 2 4 4 2 2" xfId="40717" xr:uid="{00000000-0005-0000-0000-00008CB00000}"/>
    <cellStyle name="Note 4 2 4 4 3" xfId="29416" xr:uid="{00000000-0005-0000-0000-00008DB00000}"/>
    <cellStyle name="Note 4 2 4 5" xfId="12465" xr:uid="{00000000-0005-0000-0000-00008EB00000}"/>
    <cellStyle name="Note 4 2 4 5 2" xfId="35067" xr:uid="{00000000-0005-0000-0000-00008FB00000}"/>
    <cellStyle name="Note 4 2 4 6" xfId="23766" xr:uid="{00000000-0005-0000-0000-000090B00000}"/>
    <cellStyle name="Note 4 2 5" xfId="2091" xr:uid="{00000000-0005-0000-0000-000091B00000}"/>
    <cellStyle name="Note 4 2 5 2" xfId="3823" xr:uid="{00000000-0005-0000-0000-000092B00000}"/>
    <cellStyle name="Note 4 2 5 2 2" xfId="9531" xr:uid="{00000000-0005-0000-0000-000093B00000}"/>
    <cellStyle name="Note 4 2 5 2 2 2" xfId="20832" xr:uid="{00000000-0005-0000-0000-000094B00000}"/>
    <cellStyle name="Note 4 2 5 2 2 2 2" xfId="43434" xr:uid="{00000000-0005-0000-0000-000095B00000}"/>
    <cellStyle name="Note 4 2 5 2 2 3" xfId="32133" xr:uid="{00000000-0005-0000-0000-000096B00000}"/>
    <cellStyle name="Note 4 2 5 2 3" xfId="15182" xr:uid="{00000000-0005-0000-0000-000097B00000}"/>
    <cellStyle name="Note 4 2 5 2 3 2" xfId="37784" xr:uid="{00000000-0005-0000-0000-000098B00000}"/>
    <cellStyle name="Note 4 2 5 2 4" xfId="26483" xr:uid="{00000000-0005-0000-0000-000099B00000}"/>
    <cellStyle name="Note 4 2 5 3" xfId="5237" xr:uid="{00000000-0005-0000-0000-00009AB00000}"/>
    <cellStyle name="Note 4 2 5 3 2" xfId="10887" xr:uid="{00000000-0005-0000-0000-00009BB00000}"/>
    <cellStyle name="Note 4 2 5 3 2 2" xfId="22188" xr:uid="{00000000-0005-0000-0000-00009CB00000}"/>
    <cellStyle name="Note 4 2 5 3 2 2 2" xfId="44790" xr:uid="{00000000-0005-0000-0000-00009DB00000}"/>
    <cellStyle name="Note 4 2 5 3 2 3" xfId="33489" xr:uid="{00000000-0005-0000-0000-00009EB00000}"/>
    <cellStyle name="Note 4 2 5 3 3" xfId="16538" xr:uid="{00000000-0005-0000-0000-00009FB00000}"/>
    <cellStyle name="Note 4 2 5 3 3 2" xfId="39140" xr:uid="{00000000-0005-0000-0000-0000A0B00000}"/>
    <cellStyle name="Note 4 2 5 3 4" xfId="27839" xr:uid="{00000000-0005-0000-0000-0000A1B00000}"/>
    <cellStyle name="Note 4 2 5 4" xfId="7947" xr:uid="{00000000-0005-0000-0000-0000A2B00000}"/>
    <cellStyle name="Note 4 2 5 4 2" xfId="19248" xr:uid="{00000000-0005-0000-0000-0000A3B00000}"/>
    <cellStyle name="Note 4 2 5 4 2 2" xfId="41850" xr:uid="{00000000-0005-0000-0000-0000A4B00000}"/>
    <cellStyle name="Note 4 2 5 4 3" xfId="30549" xr:uid="{00000000-0005-0000-0000-0000A5B00000}"/>
    <cellStyle name="Note 4 2 5 5" xfId="13598" xr:uid="{00000000-0005-0000-0000-0000A6B00000}"/>
    <cellStyle name="Note 4 2 5 5 2" xfId="36200" xr:uid="{00000000-0005-0000-0000-0000A7B00000}"/>
    <cellStyle name="Note 4 2 5 6" xfId="24899" xr:uid="{00000000-0005-0000-0000-0000A8B00000}"/>
    <cellStyle name="Note 4 2 6" xfId="2216" xr:uid="{00000000-0005-0000-0000-0000A9B00000}"/>
    <cellStyle name="Note 4 2 6 2" xfId="8052" xr:uid="{00000000-0005-0000-0000-0000AAB00000}"/>
    <cellStyle name="Note 4 2 6 2 2" xfId="19353" xr:uid="{00000000-0005-0000-0000-0000ABB00000}"/>
    <cellStyle name="Note 4 2 6 2 2 2" xfId="41955" xr:uid="{00000000-0005-0000-0000-0000ACB00000}"/>
    <cellStyle name="Note 4 2 6 2 3" xfId="30654" xr:uid="{00000000-0005-0000-0000-0000ADB00000}"/>
    <cellStyle name="Note 4 2 6 3" xfId="13703" xr:uid="{00000000-0005-0000-0000-0000AEB00000}"/>
    <cellStyle name="Note 4 2 6 3 2" xfId="36305" xr:uid="{00000000-0005-0000-0000-0000AFB00000}"/>
    <cellStyle name="Note 4 2 6 4" xfId="25004" xr:uid="{00000000-0005-0000-0000-0000B0B00000}"/>
    <cellStyle name="Note 4 2 7" xfId="4003" xr:uid="{00000000-0005-0000-0000-0000B1B00000}"/>
    <cellStyle name="Note 4 2 7 2" xfId="9653" xr:uid="{00000000-0005-0000-0000-0000B2B00000}"/>
    <cellStyle name="Note 4 2 7 2 2" xfId="20954" xr:uid="{00000000-0005-0000-0000-0000B3B00000}"/>
    <cellStyle name="Note 4 2 7 2 2 2" xfId="43556" xr:uid="{00000000-0005-0000-0000-0000B4B00000}"/>
    <cellStyle name="Note 4 2 7 2 3" xfId="32255" xr:uid="{00000000-0005-0000-0000-0000B5B00000}"/>
    <cellStyle name="Note 4 2 7 3" xfId="15304" xr:uid="{00000000-0005-0000-0000-0000B6B00000}"/>
    <cellStyle name="Note 4 2 7 3 2" xfId="37906" xr:uid="{00000000-0005-0000-0000-0000B7B00000}"/>
    <cellStyle name="Note 4 2 7 4" xfId="26605" xr:uid="{00000000-0005-0000-0000-0000B8B00000}"/>
    <cellStyle name="Note 4 2 8" xfId="6454" xr:uid="{00000000-0005-0000-0000-0000B9B00000}"/>
    <cellStyle name="Note 4 2 8 2" xfId="17755" xr:uid="{00000000-0005-0000-0000-0000BAB00000}"/>
    <cellStyle name="Note 4 2 8 2 2" xfId="40357" xr:uid="{00000000-0005-0000-0000-0000BBB00000}"/>
    <cellStyle name="Note 4 2 8 3" xfId="29056" xr:uid="{00000000-0005-0000-0000-0000BCB00000}"/>
    <cellStyle name="Note 4 2 9" xfId="12105" xr:uid="{00000000-0005-0000-0000-0000BDB00000}"/>
    <cellStyle name="Note 4 2 9 2" xfId="34707" xr:uid="{00000000-0005-0000-0000-0000BEB00000}"/>
    <cellStyle name="Note 4 3" xfId="360" xr:uid="{00000000-0005-0000-0000-0000BFB00000}"/>
    <cellStyle name="Note 4 3 10" xfId="23455" xr:uid="{00000000-0005-0000-0000-0000C0B00000}"/>
    <cellStyle name="Note 4 3 2" xfId="605" xr:uid="{00000000-0005-0000-0000-0000C1B00000}"/>
    <cellStyle name="Note 4 3 2 2" xfId="1315" xr:uid="{00000000-0005-0000-0000-0000C2B00000}"/>
    <cellStyle name="Note 4 3 2 2 2" xfId="2097" xr:uid="{00000000-0005-0000-0000-0000C3B00000}"/>
    <cellStyle name="Note 4 3 2 2 2 2" xfId="3384" xr:uid="{00000000-0005-0000-0000-0000C4B00000}"/>
    <cellStyle name="Note 4 3 2 2 2 2 2" xfId="6356" xr:uid="{00000000-0005-0000-0000-0000C5B00000}"/>
    <cellStyle name="Note 4 3 2 2 2 2 2 2" xfId="12006" xr:uid="{00000000-0005-0000-0000-0000C6B00000}"/>
    <cellStyle name="Note 4 3 2 2 2 2 2 2 2" xfId="23307" xr:uid="{00000000-0005-0000-0000-0000C7B00000}"/>
    <cellStyle name="Note 4 3 2 2 2 2 2 2 2 2" xfId="45909" xr:uid="{00000000-0005-0000-0000-0000C8B00000}"/>
    <cellStyle name="Note 4 3 2 2 2 2 2 2 3" xfId="34608" xr:uid="{00000000-0005-0000-0000-0000C9B00000}"/>
    <cellStyle name="Note 4 3 2 2 2 2 2 3" xfId="17657" xr:uid="{00000000-0005-0000-0000-0000CAB00000}"/>
    <cellStyle name="Note 4 3 2 2 2 2 2 3 2" xfId="40259" xr:uid="{00000000-0005-0000-0000-0000CBB00000}"/>
    <cellStyle name="Note 4 3 2 2 2 2 2 4" xfId="28958" xr:uid="{00000000-0005-0000-0000-0000CCB00000}"/>
    <cellStyle name="Note 4 3 2 2 2 2 3" xfId="9174" xr:uid="{00000000-0005-0000-0000-0000CDB00000}"/>
    <cellStyle name="Note 4 3 2 2 2 2 3 2" xfId="20475" xr:uid="{00000000-0005-0000-0000-0000CEB00000}"/>
    <cellStyle name="Note 4 3 2 2 2 2 3 2 2" xfId="43077" xr:uid="{00000000-0005-0000-0000-0000CFB00000}"/>
    <cellStyle name="Note 4 3 2 2 2 2 3 3" xfId="31776" xr:uid="{00000000-0005-0000-0000-0000D0B00000}"/>
    <cellStyle name="Note 4 3 2 2 2 2 4" xfId="14825" xr:uid="{00000000-0005-0000-0000-0000D1B00000}"/>
    <cellStyle name="Note 4 3 2 2 2 2 4 2" xfId="37427" xr:uid="{00000000-0005-0000-0000-0000D2B00000}"/>
    <cellStyle name="Note 4 3 2 2 2 2 5" xfId="26126" xr:uid="{00000000-0005-0000-0000-0000D3B00000}"/>
    <cellStyle name="Note 4 3 2 2 2 3" xfId="5122" xr:uid="{00000000-0005-0000-0000-0000D4B00000}"/>
    <cellStyle name="Note 4 3 2 2 2 3 2" xfId="10772" xr:uid="{00000000-0005-0000-0000-0000D5B00000}"/>
    <cellStyle name="Note 4 3 2 2 2 3 2 2" xfId="22073" xr:uid="{00000000-0005-0000-0000-0000D6B00000}"/>
    <cellStyle name="Note 4 3 2 2 2 3 2 2 2" xfId="44675" xr:uid="{00000000-0005-0000-0000-0000D7B00000}"/>
    <cellStyle name="Note 4 3 2 2 2 3 2 3" xfId="33374" xr:uid="{00000000-0005-0000-0000-0000D8B00000}"/>
    <cellStyle name="Note 4 3 2 2 2 3 3" xfId="16423" xr:uid="{00000000-0005-0000-0000-0000D9B00000}"/>
    <cellStyle name="Note 4 3 2 2 2 3 3 2" xfId="39025" xr:uid="{00000000-0005-0000-0000-0000DAB00000}"/>
    <cellStyle name="Note 4 3 2 2 2 3 4" xfId="27724" xr:uid="{00000000-0005-0000-0000-0000DBB00000}"/>
    <cellStyle name="Note 4 3 2 2 2 4" xfId="7953" xr:uid="{00000000-0005-0000-0000-0000DCB00000}"/>
    <cellStyle name="Note 4 3 2 2 2 4 2" xfId="19254" xr:uid="{00000000-0005-0000-0000-0000DDB00000}"/>
    <cellStyle name="Note 4 3 2 2 2 4 2 2" xfId="41856" xr:uid="{00000000-0005-0000-0000-0000DEB00000}"/>
    <cellStyle name="Note 4 3 2 2 2 4 3" xfId="30555" xr:uid="{00000000-0005-0000-0000-0000DFB00000}"/>
    <cellStyle name="Note 4 3 2 2 2 5" xfId="13604" xr:uid="{00000000-0005-0000-0000-0000E0B00000}"/>
    <cellStyle name="Note 4 3 2 2 2 5 2" xfId="36206" xr:uid="{00000000-0005-0000-0000-0000E1B00000}"/>
    <cellStyle name="Note 4 3 2 2 2 6" xfId="24905" xr:uid="{00000000-0005-0000-0000-0000E2B00000}"/>
    <cellStyle name="Note 4 3 2 2 3" xfId="2713" xr:uid="{00000000-0005-0000-0000-0000E3B00000}"/>
    <cellStyle name="Note 4 3 2 2 3 2" xfId="5732" xr:uid="{00000000-0005-0000-0000-0000E4B00000}"/>
    <cellStyle name="Note 4 3 2 2 3 2 2" xfId="11382" xr:uid="{00000000-0005-0000-0000-0000E5B00000}"/>
    <cellStyle name="Note 4 3 2 2 3 2 2 2" xfId="22683" xr:uid="{00000000-0005-0000-0000-0000E6B00000}"/>
    <cellStyle name="Note 4 3 2 2 3 2 2 2 2" xfId="45285" xr:uid="{00000000-0005-0000-0000-0000E7B00000}"/>
    <cellStyle name="Note 4 3 2 2 3 2 2 3" xfId="33984" xr:uid="{00000000-0005-0000-0000-0000E8B00000}"/>
    <cellStyle name="Note 4 3 2 2 3 2 3" xfId="17033" xr:uid="{00000000-0005-0000-0000-0000E9B00000}"/>
    <cellStyle name="Note 4 3 2 2 3 2 3 2" xfId="39635" xr:uid="{00000000-0005-0000-0000-0000EAB00000}"/>
    <cellStyle name="Note 4 3 2 2 3 2 4" xfId="28334" xr:uid="{00000000-0005-0000-0000-0000EBB00000}"/>
    <cellStyle name="Note 4 3 2 2 3 3" xfId="8549" xr:uid="{00000000-0005-0000-0000-0000ECB00000}"/>
    <cellStyle name="Note 4 3 2 2 3 3 2" xfId="19850" xr:uid="{00000000-0005-0000-0000-0000EDB00000}"/>
    <cellStyle name="Note 4 3 2 2 3 3 2 2" xfId="42452" xr:uid="{00000000-0005-0000-0000-0000EEB00000}"/>
    <cellStyle name="Note 4 3 2 2 3 3 3" xfId="31151" xr:uid="{00000000-0005-0000-0000-0000EFB00000}"/>
    <cellStyle name="Note 4 3 2 2 3 4" xfId="14200" xr:uid="{00000000-0005-0000-0000-0000F0B00000}"/>
    <cellStyle name="Note 4 3 2 2 3 4 2" xfId="36802" xr:uid="{00000000-0005-0000-0000-0000F1B00000}"/>
    <cellStyle name="Note 4 3 2 2 3 5" xfId="25501" xr:uid="{00000000-0005-0000-0000-0000F2B00000}"/>
    <cellStyle name="Note 4 3 2 2 4" xfId="4498" xr:uid="{00000000-0005-0000-0000-0000F3B00000}"/>
    <cellStyle name="Note 4 3 2 2 4 2" xfId="10148" xr:uid="{00000000-0005-0000-0000-0000F4B00000}"/>
    <cellStyle name="Note 4 3 2 2 4 2 2" xfId="21449" xr:uid="{00000000-0005-0000-0000-0000F5B00000}"/>
    <cellStyle name="Note 4 3 2 2 4 2 2 2" xfId="44051" xr:uid="{00000000-0005-0000-0000-0000F6B00000}"/>
    <cellStyle name="Note 4 3 2 2 4 2 3" xfId="32750" xr:uid="{00000000-0005-0000-0000-0000F7B00000}"/>
    <cellStyle name="Note 4 3 2 2 4 3" xfId="15799" xr:uid="{00000000-0005-0000-0000-0000F8B00000}"/>
    <cellStyle name="Note 4 3 2 2 4 3 2" xfId="38401" xr:uid="{00000000-0005-0000-0000-0000F9B00000}"/>
    <cellStyle name="Note 4 3 2 2 4 4" xfId="27100" xr:uid="{00000000-0005-0000-0000-0000FAB00000}"/>
    <cellStyle name="Note 4 3 2 2 5" xfId="7294" xr:uid="{00000000-0005-0000-0000-0000FBB00000}"/>
    <cellStyle name="Note 4 3 2 2 5 2" xfId="18595" xr:uid="{00000000-0005-0000-0000-0000FCB00000}"/>
    <cellStyle name="Note 4 3 2 2 5 2 2" xfId="41197" xr:uid="{00000000-0005-0000-0000-0000FDB00000}"/>
    <cellStyle name="Note 4 3 2 2 5 3" xfId="29896" xr:uid="{00000000-0005-0000-0000-0000FEB00000}"/>
    <cellStyle name="Note 4 3 2 2 6" xfId="12945" xr:uid="{00000000-0005-0000-0000-0000FFB00000}"/>
    <cellStyle name="Note 4 3 2 2 6 2" xfId="35547" xr:uid="{00000000-0005-0000-0000-000000B10000}"/>
    <cellStyle name="Note 4 3 2 2 7" xfId="24246" xr:uid="{00000000-0005-0000-0000-000001B10000}"/>
    <cellStyle name="Note 4 3 2 3" xfId="1013" xr:uid="{00000000-0005-0000-0000-000002B10000}"/>
    <cellStyle name="Note 4 3 2 3 2" xfId="3076" xr:uid="{00000000-0005-0000-0000-000003B10000}"/>
    <cellStyle name="Note 4 3 2 3 2 2" xfId="6048" xr:uid="{00000000-0005-0000-0000-000004B10000}"/>
    <cellStyle name="Note 4 3 2 3 2 2 2" xfId="11698" xr:uid="{00000000-0005-0000-0000-000005B10000}"/>
    <cellStyle name="Note 4 3 2 3 2 2 2 2" xfId="22999" xr:uid="{00000000-0005-0000-0000-000006B10000}"/>
    <cellStyle name="Note 4 3 2 3 2 2 2 2 2" xfId="45601" xr:uid="{00000000-0005-0000-0000-000007B10000}"/>
    <cellStyle name="Note 4 3 2 3 2 2 2 3" xfId="34300" xr:uid="{00000000-0005-0000-0000-000008B10000}"/>
    <cellStyle name="Note 4 3 2 3 2 2 3" xfId="17349" xr:uid="{00000000-0005-0000-0000-000009B10000}"/>
    <cellStyle name="Note 4 3 2 3 2 2 3 2" xfId="39951" xr:uid="{00000000-0005-0000-0000-00000AB10000}"/>
    <cellStyle name="Note 4 3 2 3 2 2 4" xfId="28650" xr:uid="{00000000-0005-0000-0000-00000BB10000}"/>
    <cellStyle name="Note 4 3 2 3 2 3" xfId="8866" xr:uid="{00000000-0005-0000-0000-00000CB10000}"/>
    <cellStyle name="Note 4 3 2 3 2 3 2" xfId="20167" xr:uid="{00000000-0005-0000-0000-00000DB10000}"/>
    <cellStyle name="Note 4 3 2 3 2 3 2 2" xfId="42769" xr:uid="{00000000-0005-0000-0000-00000EB10000}"/>
    <cellStyle name="Note 4 3 2 3 2 3 3" xfId="31468" xr:uid="{00000000-0005-0000-0000-00000FB10000}"/>
    <cellStyle name="Note 4 3 2 3 2 4" xfId="14517" xr:uid="{00000000-0005-0000-0000-000010B10000}"/>
    <cellStyle name="Note 4 3 2 3 2 4 2" xfId="37119" xr:uid="{00000000-0005-0000-0000-000011B10000}"/>
    <cellStyle name="Note 4 3 2 3 2 5" xfId="25818" xr:uid="{00000000-0005-0000-0000-000012B10000}"/>
    <cellStyle name="Note 4 3 2 3 3" xfId="4814" xr:uid="{00000000-0005-0000-0000-000013B10000}"/>
    <cellStyle name="Note 4 3 2 3 3 2" xfId="10464" xr:uid="{00000000-0005-0000-0000-000014B10000}"/>
    <cellStyle name="Note 4 3 2 3 3 2 2" xfId="21765" xr:uid="{00000000-0005-0000-0000-000015B10000}"/>
    <cellStyle name="Note 4 3 2 3 3 2 2 2" xfId="44367" xr:uid="{00000000-0005-0000-0000-000016B10000}"/>
    <cellStyle name="Note 4 3 2 3 3 2 3" xfId="33066" xr:uid="{00000000-0005-0000-0000-000017B10000}"/>
    <cellStyle name="Note 4 3 2 3 3 3" xfId="16115" xr:uid="{00000000-0005-0000-0000-000018B10000}"/>
    <cellStyle name="Note 4 3 2 3 3 3 2" xfId="38717" xr:uid="{00000000-0005-0000-0000-000019B10000}"/>
    <cellStyle name="Note 4 3 2 3 3 4" xfId="27416" xr:uid="{00000000-0005-0000-0000-00001AB10000}"/>
    <cellStyle name="Note 4 3 2 3 4" xfId="7001" xr:uid="{00000000-0005-0000-0000-00001BB10000}"/>
    <cellStyle name="Note 4 3 2 3 4 2" xfId="18302" xr:uid="{00000000-0005-0000-0000-00001CB10000}"/>
    <cellStyle name="Note 4 3 2 3 4 2 2" xfId="40904" xr:uid="{00000000-0005-0000-0000-00001DB10000}"/>
    <cellStyle name="Note 4 3 2 3 4 3" xfId="29603" xr:uid="{00000000-0005-0000-0000-00001EB10000}"/>
    <cellStyle name="Note 4 3 2 3 5" xfId="12652" xr:uid="{00000000-0005-0000-0000-00001FB10000}"/>
    <cellStyle name="Note 4 3 2 3 5 2" xfId="35254" xr:uid="{00000000-0005-0000-0000-000020B10000}"/>
    <cellStyle name="Note 4 3 2 3 6" xfId="23953" xr:uid="{00000000-0005-0000-0000-000021B10000}"/>
    <cellStyle name="Note 4 3 2 4" xfId="2096" xr:uid="{00000000-0005-0000-0000-000022B10000}"/>
    <cellStyle name="Note 4 3 2 4 2" xfId="3826" xr:uid="{00000000-0005-0000-0000-000023B10000}"/>
    <cellStyle name="Note 4 3 2 4 2 2" xfId="9534" xr:uid="{00000000-0005-0000-0000-000024B10000}"/>
    <cellStyle name="Note 4 3 2 4 2 2 2" xfId="20835" xr:uid="{00000000-0005-0000-0000-000025B10000}"/>
    <cellStyle name="Note 4 3 2 4 2 2 2 2" xfId="43437" xr:uid="{00000000-0005-0000-0000-000026B10000}"/>
    <cellStyle name="Note 4 3 2 4 2 2 3" xfId="32136" xr:uid="{00000000-0005-0000-0000-000027B10000}"/>
    <cellStyle name="Note 4 3 2 4 2 3" xfId="15185" xr:uid="{00000000-0005-0000-0000-000028B10000}"/>
    <cellStyle name="Note 4 3 2 4 2 3 2" xfId="37787" xr:uid="{00000000-0005-0000-0000-000029B10000}"/>
    <cellStyle name="Note 4 3 2 4 2 4" xfId="26486" xr:uid="{00000000-0005-0000-0000-00002AB10000}"/>
    <cellStyle name="Note 4 3 2 4 3" xfId="5424" xr:uid="{00000000-0005-0000-0000-00002BB10000}"/>
    <cellStyle name="Note 4 3 2 4 3 2" xfId="11074" xr:uid="{00000000-0005-0000-0000-00002CB10000}"/>
    <cellStyle name="Note 4 3 2 4 3 2 2" xfId="22375" xr:uid="{00000000-0005-0000-0000-00002DB10000}"/>
    <cellStyle name="Note 4 3 2 4 3 2 2 2" xfId="44977" xr:uid="{00000000-0005-0000-0000-00002EB10000}"/>
    <cellStyle name="Note 4 3 2 4 3 2 3" xfId="33676" xr:uid="{00000000-0005-0000-0000-00002FB10000}"/>
    <cellStyle name="Note 4 3 2 4 3 3" xfId="16725" xr:uid="{00000000-0005-0000-0000-000030B10000}"/>
    <cellStyle name="Note 4 3 2 4 3 3 2" xfId="39327" xr:uid="{00000000-0005-0000-0000-000031B10000}"/>
    <cellStyle name="Note 4 3 2 4 3 4" xfId="28026" xr:uid="{00000000-0005-0000-0000-000032B10000}"/>
    <cellStyle name="Note 4 3 2 4 4" xfId="7952" xr:uid="{00000000-0005-0000-0000-000033B10000}"/>
    <cellStyle name="Note 4 3 2 4 4 2" xfId="19253" xr:uid="{00000000-0005-0000-0000-000034B10000}"/>
    <cellStyle name="Note 4 3 2 4 4 2 2" xfId="41855" xr:uid="{00000000-0005-0000-0000-000035B10000}"/>
    <cellStyle name="Note 4 3 2 4 4 3" xfId="30554" xr:uid="{00000000-0005-0000-0000-000036B10000}"/>
    <cellStyle name="Note 4 3 2 4 5" xfId="13603" xr:uid="{00000000-0005-0000-0000-000037B10000}"/>
    <cellStyle name="Note 4 3 2 4 5 2" xfId="36205" xr:uid="{00000000-0005-0000-0000-000038B10000}"/>
    <cellStyle name="Note 4 3 2 4 6" xfId="24904" xr:uid="{00000000-0005-0000-0000-000039B10000}"/>
    <cellStyle name="Note 4 3 2 5" xfId="2405" xr:uid="{00000000-0005-0000-0000-00003AB10000}"/>
    <cellStyle name="Note 4 3 2 5 2" xfId="8241" xr:uid="{00000000-0005-0000-0000-00003BB10000}"/>
    <cellStyle name="Note 4 3 2 5 2 2" xfId="19542" xr:uid="{00000000-0005-0000-0000-00003CB10000}"/>
    <cellStyle name="Note 4 3 2 5 2 2 2" xfId="42144" xr:uid="{00000000-0005-0000-0000-00003DB10000}"/>
    <cellStyle name="Note 4 3 2 5 2 3" xfId="30843" xr:uid="{00000000-0005-0000-0000-00003EB10000}"/>
    <cellStyle name="Note 4 3 2 5 3" xfId="13892" xr:uid="{00000000-0005-0000-0000-00003FB10000}"/>
    <cellStyle name="Note 4 3 2 5 3 2" xfId="36494" xr:uid="{00000000-0005-0000-0000-000040B10000}"/>
    <cellStyle name="Note 4 3 2 5 4" xfId="25193" xr:uid="{00000000-0005-0000-0000-000041B10000}"/>
    <cellStyle name="Note 4 3 2 6" xfId="4190" xr:uid="{00000000-0005-0000-0000-000042B10000}"/>
    <cellStyle name="Note 4 3 2 6 2" xfId="9840" xr:uid="{00000000-0005-0000-0000-000043B10000}"/>
    <cellStyle name="Note 4 3 2 6 2 2" xfId="21141" xr:uid="{00000000-0005-0000-0000-000044B10000}"/>
    <cellStyle name="Note 4 3 2 6 2 2 2" xfId="43743" xr:uid="{00000000-0005-0000-0000-000045B10000}"/>
    <cellStyle name="Note 4 3 2 6 2 3" xfId="32442" xr:uid="{00000000-0005-0000-0000-000046B10000}"/>
    <cellStyle name="Note 4 3 2 6 3" xfId="15491" xr:uid="{00000000-0005-0000-0000-000047B10000}"/>
    <cellStyle name="Note 4 3 2 6 3 2" xfId="38093" xr:uid="{00000000-0005-0000-0000-000048B10000}"/>
    <cellStyle name="Note 4 3 2 6 4" xfId="26792" xr:uid="{00000000-0005-0000-0000-000049B10000}"/>
    <cellStyle name="Note 4 3 2 7" xfId="6670" xr:uid="{00000000-0005-0000-0000-00004AB10000}"/>
    <cellStyle name="Note 4 3 2 7 2" xfId="17971" xr:uid="{00000000-0005-0000-0000-00004BB10000}"/>
    <cellStyle name="Note 4 3 2 7 2 2" xfId="40573" xr:uid="{00000000-0005-0000-0000-00004CB10000}"/>
    <cellStyle name="Note 4 3 2 7 3" xfId="29272" xr:uid="{00000000-0005-0000-0000-00004DB10000}"/>
    <cellStyle name="Note 4 3 2 8" xfId="12321" xr:uid="{00000000-0005-0000-0000-00004EB10000}"/>
    <cellStyle name="Note 4 3 2 8 2" xfId="34923" xr:uid="{00000000-0005-0000-0000-00004FB10000}"/>
    <cellStyle name="Note 4 3 2 9" xfId="23622" xr:uid="{00000000-0005-0000-0000-000050B10000}"/>
    <cellStyle name="Note 4 3 3" xfId="1177" xr:uid="{00000000-0005-0000-0000-000051B10000}"/>
    <cellStyle name="Note 4 3 3 2" xfId="2098" xr:uid="{00000000-0005-0000-0000-000052B10000}"/>
    <cellStyle name="Note 4 3 3 2 2" xfId="3245" xr:uid="{00000000-0005-0000-0000-000053B10000}"/>
    <cellStyle name="Note 4 3 3 2 2 2" xfId="6217" xr:uid="{00000000-0005-0000-0000-000054B10000}"/>
    <cellStyle name="Note 4 3 3 2 2 2 2" xfId="11867" xr:uid="{00000000-0005-0000-0000-000055B10000}"/>
    <cellStyle name="Note 4 3 3 2 2 2 2 2" xfId="23168" xr:uid="{00000000-0005-0000-0000-000056B10000}"/>
    <cellStyle name="Note 4 3 3 2 2 2 2 2 2" xfId="45770" xr:uid="{00000000-0005-0000-0000-000057B10000}"/>
    <cellStyle name="Note 4 3 3 2 2 2 2 3" xfId="34469" xr:uid="{00000000-0005-0000-0000-000058B10000}"/>
    <cellStyle name="Note 4 3 3 2 2 2 3" xfId="17518" xr:uid="{00000000-0005-0000-0000-000059B10000}"/>
    <cellStyle name="Note 4 3 3 2 2 2 3 2" xfId="40120" xr:uid="{00000000-0005-0000-0000-00005AB10000}"/>
    <cellStyle name="Note 4 3 3 2 2 2 4" xfId="28819" xr:uid="{00000000-0005-0000-0000-00005BB10000}"/>
    <cellStyle name="Note 4 3 3 2 2 3" xfId="9035" xr:uid="{00000000-0005-0000-0000-00005CB10000}"/>
    <cellStyle name="Note 4 3 3 2 2 3 2" xfId="20336" xr:uid="{00000000-0005-0000-0000-00005DB10000}"/>
    <cellStyle name="Note 4 3 3 2 2 3 2 2" xfId="42938" xr:uid="{00000000-0005-0000-0000-00005EB10000}"/>
    <cellStyle name="Note 4 3 3 2 2 3 3" xfId="31637" xr:uid="{00000000-0005-0000-0000-00005FB10000}"/>
    <cellStyle name="Note 4 3 3 2 2 4" xfId="14686" xr:uid="{00000000-0005-0000-0000-000060B10000}"/>
    <cellStyle name="Note 4 3 3 2 2 4 2" xfId="37288" xr:uid="{00000000-0005-0000-0000-000061B10000}"/>
    <cellStyle name="Note 4 3 3 2 2 5" xfId="25987" xr:uid="{00000000-0005-0000-0000-000062B10000}"/>
    <cellStyle name="Note 4 3 3 2 3" xfId="4983" xr:uid="{00000000-0005-0000-0000-000063B10000}"/>
    <cellStyle name="Note 4 3 3 2 3 2" xfId="10633" xr:uid="{00000000-0005-0000-0000-000064B10000}"/>
    <cellStyle name="Note 4 3 3 2 3 2 2" xfId="21934" xr:uid="{00000000-0005-0000-0000-000065B10000}"/>
    <cellStyle name="Note 4 3 3 2 3 2 2 2" xfId="44536" xr:uid="{00000000-0005-0000-0000-000066B10000}"/>
    <cellStyle name="Note 4 3 3 2 3 2 3" xfId="33235" xr:uid="{00000000-0005-0000-0000-000067B10000}"/>
    <cellStyle name="Note 4 3 3 2 3 3" xfId="16284" xr:uid="{00000000-0005-0000-0000-000068B10000}"/>
    <cellStyle name="Note 4 3 3 2 3 3 2" xfId="38886" xr:uid="{00000000-0005-0000-0000-000069B10000}"/>
    <cellStyle name="Note 4 3 3 2 3 4" xfId="27585" xr:uid="{00000000-0005-0000-0000-00006AB10000}"/>
    <cellStyle name="Note 4 3 3 2 4" xfId="7954" xr:uid="{00000000-0005-0000-0000-00006BB10000}"/>
    <cellStyle name="Note 4 3 3 2 4 2" xfId="19255" xr:uid="{00000000-0005-0000-0000-00006CB10000}"/>
    <cellStyle name="Note 4 3 3 2 4 2 2" xfId="41857" xr:uid="{00000000-0005-0000-0000-00006DB10000}"/>
    <cellStyle name="Note 4 3 3 2 4 3" xfId="30556" xr:uid="{00000000-0005-0000-0000-00006EB10000}"/>
    <cellStyle name="Note 4 3 3 2 5" xfId="13605" xr:uid="{00000000-0005-0000-0000-00006FB10000}"/>
    <cellStyle name="Note 4 3 3 2 5 2" xfId="36207" xr:uid="{00000000-0005-0000-0000-000070B10000}"/>
    <cellStyle name="Note 4 3 3 2 6" xfId="24906" xr:uid="{00000000-0005-0000-0000-000071B10000}"/>
    <cellStyle name="Note 4 3 3 3" xfId="2574" xr:uid="{00000000-0005-0000-0000-000072B10000}"/>
    <cellStyle name="Note 4 3 3 3 2" xfId="5593" xr:uid="{00000000-0005-0000-0000-000073B10000}"/>
    <cellStyle name="Note 4 3 3 3 2 2" xfId="11243" xr:uid="{00000000-0005-0000-0000-000074B10000}"/>
    <cellStyle name="Note 4 3 3 3 2 2 2" xfId="22544" xr:uid="{00000000-0005-0000-0000-000075B10000}"/>
    <cellStyle name="Note 4 3 3 3 2 2 2 2" xfId="45146" xr:uid="{00000000-0005-0000-0000-000076B10000}"/>
    <cellStyle name="Note 4 3 3 3 2 2 3" xfId="33845" xr:uid="{00000000-0005-0000-0000-000077B10000}"/>
    <cellStyle name="Note 4 3 3 3 2 3" xfId="16894" xr:uid="{00000000-0005-0000-0000-000078B10000}"/>
    <cellStyle name="Note 4 3 3 3 2 3 2" xfId="39496" xr:uid="{00000000-0005-0000-0000-000079B10000}"/>
    <cellStyle name="Note 4 3 3 3 2 4" xfId="28195" xr:uid="{00000000-0005-0000-0000-00007AB10000}"/>
    <cellStyle name="Note 4 3 3 3 3" xfId="8410" xr:uid="{00000000-0005-0000-0000-00007BB10000}"/>
    <cellStyle name="Note 4 3 3 3 3 2" xfId="19711" xr:uid="{00000000-0005-0000-0000-00007CB10000}"/>
    <cellStyle name="Note 4 3 3 3 3 2 2" xfId="42313" xr:uid="{00000000-0005-0000-0000-00007DB10000}"/>
    <cellStyle name="Note 4 3 3 3 3 3" xfId="31012" xr:uid="{00000000-0005-0000-0000-00007EB10000}"/>
    <cellStyle name="Note 4 3 3 3 4" xfId="14061" xr:uid="{00000000-0005-0000-0000-00007FB10000}"/>
    <cellStyle name="Note 4 3 3 3 4 2" xfId="36663" xr:uid="{00000000-0005-0000-0000-000080B10000}"/>
    <cellStyle name="Note 4 3 3 3 5" xfId="25362" xr:uid="{00000000-0005-0000-0000-000081B10000}"/>
    <cellStyle name="Note 4 3 3 4" xfId="4359" xr:uid="{00000000-0005-0000-0000-000082B10000}"/>
    <cellStyle name="Note 4 3 3 4 2" xfId="10009" xr:uid="{00000000-0005-0000-0000-000083B10000}"/>
    <cellStyle name="Note 4 3 3 4 2 2" xfId="21310" xr:uid="{00000000-0005-0000-0000-000084B10000}"/>
    <cellStyle name="Note 4 3 3 4 2 2 2" xfId="43912" xr:uid="{00000000-0005-0000-0000-000085B10000}"/>
    <cellStyle name="Note 4 3 3 4 2 3" xfId="32611" xr:uid="{00000000-0005-0000-0000-000086B10000}"/>
    <cellStyle name="Note 4 3 3 4 3" xfId="15660" xr:uid="{00000000-0005-0000-0000-000087B10000}"/>
    <cellStyle name="Note 4 3 3 4 3 2" xfId="38262" xr:uid="{00000000-0005-0000-0000-000088B10000}"/>
    <cellStyle name="Note 4 3 3 4 4" xfId="26961" xr:uid="{00000000-0005-0000-0000-000089B10000}"/>
    <cellStyle name="Note 4 3 3 5" xfId="7156" xr:uid="{00000000-0005-0000-0000-00008AB10000}"/>
    <cellStyle name="Note 4 3 3 5 2" xfId="18457" xr:uid="{00000000-0005-0000-0000-00008BB10000}"/>
    <cellStyle name="Note 4 3 3 5 2 2" xfId="41059" xr:uid="{00000000-0005-0000-0000-00008CB10000}"/>
    <cellStyle name="Note 4 3 3 5 3" xfId="29758" xr:uid="{00000000-0005-0000-0000-00008DB10000}"/>
    <cellStyle name="Note 4 3 3 6" xfId="12807" xr:uid="{00000000-0005-0000-0000-00008EB10000}"/>
    <cellStyle name="Note 4 3 3 6 2" xfId="35409" xr:uid="{00000000-0005-0000-0000-00008FB10000}"/>
    <cellStyle name="Note 4 3 3 7" xfId="24108" xr:uid="{00000000-0005-0000-0000-000090B10000}"/>
    <cellStyle name="Note 4 3 4" xfId="868" xr:uid="{00000000-0005-0000-0000-000091B10000}"/>
    <cellStyle name="Note 4 3 4 2" xfId="2938" xr:uid="{00000000-0005-0000-0000-000092B10000}"/>
    <cellStyle name="Note 4 3 4 2 2" xfId="5910" xr:uid="{00000000-0005-0000-0000-000093B10000}"/>
    <cellStyle name="Note 4 3 4 2 2 2" xfId="11560" xr:uid="{00000000-0005-0000-0000-000094B10000}"/>
    <cellStyle name="Note 4 3 4 2 2 2 2" xfId="22861" xr:uid="{00000000-0005-0000-0000-000095B10000}"/>
    <cellStyle name="Note 4 3 4 2 2 2 2 2" xfId="45463" xr:uid="{00000000-0005-0000-0000-000096B10000}"/>
    <cellStyle name="Note 4 3 4 2 2 2 3" xfId="34162" xr:uid="{00000000-0005-0000-0000-000097B10000}"/>
    <cellStyle name="Note 4 3 4 2 2 3" xfId="17211" xr:uid="{00000000-0005-0000-0000-000098B10000}"/>
    <cellStyle name="Note 4 3 4 2 2 3 2" xfId="39813" xr:uid="{00000000-0005-0000-0000-000099B10000}"/>
    <cellStyle name="Note 4 3 4 2 2 4" xfId="28512" xr:uid="{00000000-0005-0000-0000-00009AB10000}"/>
    <cellStyle name="Note 4 3 4 2 3" xfId="8728" xr:uid="{00000000-0005-0000-0000-00009BB10000}"/>
    <cellStyle name="Note 4 3 4 2 3 2" xfId="20029" xr:uid="{00000000-0005-0000-0000-00009CB10000}"/>
    <cellStyle name="Note 4 3 4 2 3 2 2" xfId="42631" xr:uid="{00000000-0005-0000-0000-00009DB10000}"/>
    <cellStyle name="Note 4 3 4 2 3 3" xfId="31330" xr:uid="{00000000-0005-0000-0000-00009EB10000}"/>
    <cellStyle name="Note 4 3 4 2 4" xfId="14379" xr:uid="{00000000-0005-0000-0000-00009FB10000}"/>
    <cellStyle name="Note 4 3 4 2 4 2" xfId="36981" xr:uid="{00000000-0005-0000-0000-0000A0B10000}"/>
    <cellStyle name="Note 4 3 4 2 5" xfId="25680" xr:uid="{00000000-0005-0000-0000-0000A1B10000}"/>
    <cellStyle name="Note 4 3 4 3" xfId="4676" xr:uid="{00000000-0005-0000-0000-0000A2B10000}"/>
    <cellStyle name="Note 4 3 4 3 2" xfId="10326" xr:uid="{00000000-0005-0000-0000-0000A3B10000}"/>
    <cellStyle name="Note 4 3 4 3 2 2" xfId="21627" xr:uid="{00000000-0005-0000-0000-0000A4B10000}"/>
    <cellStyle name="Note 4 3 4 3 2 2 2" xfId="44229" xr:uid="{00000000-0005-0000-0000-0000A5B10000}"/>
    <cellStyle name="Note 4 3 4 3 2 3" xfId="32928" xr:uid="{00000000-0005-0000-0000-0000A6B10000}"/>
    <cellStyle name="Note 4 3 4 3 3" xfId="15977" xr:uid="{00000000-0005-0000-0000-0000A7B10000}"/>
    <cellStyle name="Note 4 3 4 3 3 2" xfId="38579" xr:uid="{00000000-0005-0000-0000-0000A8B10000}"/>
    <cellStyle name="Note 4 3 4 3 4" xfId="27278" xr:uid="{00000000-0005-0000-0000-0000A9B10000}"/>
    <cellStyle name="Note 4 3 4 4" xfId="6863" xr:uid="{00000000-0005-0000-0000-0000AAB10000}"/>
    <cellStyle name="Note 4 3 4 4 2" xfId="18164" xr:uid="{00000000-0005-0000-0000-0000ABB10000}"/>
    <cellStyle name="Note 4 3 4 4 2 2" xfId="40766" xr:uid="{00000000-0005-0000-0000-0000ACB10000}"/>
    <cellStyle name="Note 4 3 4 4 3" xfId="29465" xr:uid="{00000000-0005-0000-0000-0000ADB10000}"/>
    <cellStyle name="Note 4 3 4 5" xfId="12514" xr:uid="{00000000-0005-0000-0000-0000AEB10000}"/>
    <cellStyle name="Note 4 3 4 5 2" xfId="35116" xr:uid="{00000000-0005-0000-0000-0000AFB10000}"/>
    <cellStyle name="Note 4 3 4 6" xfId="23815" xr:uid="{00000000-0005-0000-0000-0000B0B10000}"/>
    <cellStyle name="Note 4 3 5" xfId="2095" xr:uid="{00000000-0005-0000-0000-0000B1B10000}"/>
    <cellStyle name="Note 4 3 5 2" xfId="3825" xr:uid="{00000000-0005-0000-0000-0000B2B10000}"/>
    <cellStyle name="Note 4 3 5 2 2" xfId="9533" xr:uid="{00000000-0005-0000-0000-0000B3B10000}"/>
    <cellStyle name="Note 4 3 5 2 2 2" xfId="20834" xr:uid="{00000000-0005-0000-0000-0000B4B10000}"/>
    <cellStyle name="Note 4 3 5 2 2 2 2" xfId="43436" xr:uid="{00000000-0005-0000-0000-0000B5B10000}"/>
    <cellStyle name="Note 4 3 5 2 2 3" xfId="32135" xr:uid="{00000000-0005-0000-0000-0000B6B10000}"/>
    <cellStyle name="Note 4 3 5 2 3" xfId="15184" xr:uid="{00000000-0005-0000-0000-0000B7B10000}"/>
    <cellStyle name="Note 4 3 5 2 3 2" xfId="37786" xr:uid="{00000000-0005-0000-0000-0000B8B10000}"/>
    <cellStyle name="Note 4 3 5 2 4" xfId="26485" xr:uid="{00000000-0005-0000-0000-0000B9B10000}"/>
    <cellStyle name="Note 4 3 5 3" xfId="5286" xr:uid="{00000000-0005-0000-0000-0000BAB10000}"/>
    <cellStyle name="Note 4 3 5 3 2" xfId="10936" xr:uid="{00000000-0005-0000-0000-0000BBB10000}"/>
    <cellStyle name="Note 4 3 5 3 2 2" xfId="22237" xr:uid="{00000000-0005-0000-0000-0000BCB10000}"/>
    <cellStyle name="Note 4 3 5 3 2 2 2" xfId="44839" xr:uid="{00000000-0005-0000-0000-0000BDB10000}"/>
    <cellStyle name="Note 4 3 5 3 2 3" xfId="33538" xr:uid="{00000000-0005-0000-0000-0000BEB10000}"/>
    <cellStyle name="Note 4 3 5 3 3" xfId="16587" xr:uid="{00000000-0005-0000-0000-0000BFB10000}"/>
    <cellStyle name="Note 4 3 5 3 3 2" xfId="39189" xr:uid="{00000000-0005-0000-0000-0000C0B10000}"/>
    <cellStyle name="Note 4 3 5 3 4" xfId="27888" xr:uid="{00000000-0005-0000-0000-0000C1B10000}"/>
    <cellStyle name="Note 4 3 5 4" xfId="7951" xr:uid="{00000000-0005-0000-0000-0000C2B10000}"/>
    <cellStyle name="Note 4 3 5 4 2" xfId="19252" xr:uid="{00000000-0005-0000-0000-0000C3B10000}"/>
    <cellStyle name="Note 4 3 5 4 2 2" xfId="41854" xr:uid="{00000000-0005-0000-0000-0000C4B10000}"/>
    <cellStyle name="Note 4 3 5 4 3" xfId="30553" xr:uid="{00000000-0005-0000-0000-0000C5B10000}"/>
    <cellStyle name="Note 4 3 5 5" xfId="13602" xr:uid="{00000000-0005-0000-0000-0000C6B10000}"/>
    <cellStyle name="Note 4 3 5 5 2" xfId="36204" xr:uid="{00000000-0005-0000-0000-0000C7B10000}"/>
    <cellStyle name="Note 4 3 5 6" xfId="24903" xr:uid="{00000000-0005-0000-0000-0000C8B10000}"/>
    <cellStyle name="Note 4 3 6" xfId="2265" xr:uid="{00000000-0005-0000-0000-0000C9B10000}"/>
    <cellStyle name="Note 4 3 6 2" xfId="8101" xr:uid="{00000000-0005-0000-0000-0000CAB10000}"/>
    <cellStyle name="Note 4 3 6 2 2" xfId="19402" xr:uid="{00000000-0005-0000-0000-0000CBB10000}"/>
    <cellStyle name="Note 4 3 6 2 2 2" xfId="42004" xr:uid="{00000000-0005-0000-0000-0000CCB10000}"/>
    <cellStyle name="Note 4 3 6 2 3" xfId="30703" xr:uid="{00000000-0005-0000-0000-0000CDB10000}"/>
    <cellStyle name="Note 4 3 6 3" xfId="13752" xr:uid="{00000000-0005-0000-0000-0000CEB10000}"/>
    <cellStyle name="Note 4 3 6 3 2" xfId="36354" xr:uid="{00000000-0005-0000-0000-0000CFB10000}"/>
    <cellStyle name="Note 4 3 6 4" xfId="25053" xr:uid="{00000000-0005-0000-0000-0000D0B10000}"/>
    <cellStyle name="Note 4 3 7" xfId="4052" xr:uid="{00000000-0005-0000-0000-0000D1B10000}"/>
    <cellStyle name="Note 4 3 7 2" xfId="9702" xr:uid="{00000000-0005-0000-0000-0000D2B10000}"/>
    <cellStyle name="Note 4 3 7 2 2" xfId="21003" xr:uid="{00000000-0005-0000-0000-0000D3B10000}"/>
    <cellStyle name="Note 4 3 7 2 2 2" xfId="43605" xr:uid="{00000000-0005-0000-0000-0000D4B10000}"/>
    <cellStyle name="Note 4 3 7 2 3" xfId="32304" xr:uid="{00000000-0005-0000-0000-0000D5B10000}"/>
    <cellStyle name="Note 4 3 7 3" xfId="15353" xr:uid="{00000000-0005-0000-0000-0000D6B10000}"/>
    <cellStyle name="Note 4 3 7 3 2" xfId="37955" xr:uid="{00000000-0005-0000-0000-0000D7B10000}"/>
    <cellStyle name="Note 4 3 7 4" xfId="26654" xr:uid="{00000000-0005-0000-0000-0000D8B10000}"/>
    <cellStyle name="Note 4 3 8" xfId="6503" xr:uid="{00000000-0005-0000-0000-0000D9B10000}"/>
    <cellStyle name="Note 4 3 8 2" xfId="17804" xr:uid="{00000000-0005-0000-0000-0000DAB10000}"/>
    <cellStyle name="Note 4 3 8 2 2" xfId="40406" xr:uid="{00000000-0005-0000-0000-0000DBB10000}"/>
    <cellStyle name="Note 4 3 8 3" xfId="29105" xr:uid="{00000000-0005-0000-0000-0000DCB10000}"/>
    <cellStyle name="Note 4 3 9" xfId="12154" xr:uid="{00000000-0005-0000-0000-0000DDB10000}"/>
    <cellStyle name="Note 4 3 9 2" xfId="34756" xr:uid="{00000000-0005-0000-0000-0000DEB10000}"/>
    <cellStyle name="Note 4 4" xfId="507" xr:uid="{00000000-0005-0000-0000-0000DFB10000}"/>
    <cellStyle name="Note 4 4 2" xfId="1233" xr:uid="{00000000-0005-0000-0000-0000E0B10000}"/>
    <cellStyle name="Note 4 4 2 2" xfId="2100" xr:uid="{00000000-0005-0000-0000-0000E1B10000}"/>
    <cellStyle name="Note 4 4 2 2 2" xfId="3302" xr:uid="{00000000-0005-0000-0000-0000E2B10000}"/>
    <cellStyle name="Note 4 4 2 2 2 2" xfId="6274" xr:uid="{00000000-0005-0000-0000-0000E3B10000}"/>
    <cellStyle name="Note 4 4 2 2 2 2 2" xfId="11924" xr:uid="{00000000-0005-0000-0000-0000E4B10000}"/>
    <cellStyle name="Note 4 4 2 2 2 2 2 2" xfId="23225" xr:uid="{00000000-0005-0000-0000-0000E5B10000}"/>
    <cellStyle name="Note 4 4 2 2 2 2 2 2 2" xfId="45827" xr:uid="{00000000-0005-0000-0000-0000E6B10000}"/>
    <cellStyle name="Note 4 4 2 2 2 2 2 3" xfId="34526" xr:uid="{00000000-0005-0000-0000-0000E7B10000}"/>
    <cellStyle name="Note 4 4 2 2 2 2 3" xfId="17575" xr:uid="{00000000-0005-0000-0000-0000E8B10000}"/>
    <cellStyle name="Note 4 4 2 2 2 2 3 2" xfId="40177" xr:uid="{00000000-0005-0000-0000-0000E9B10000}"/>
    <cellStyle name="Note 4 4 2 2 2 2 4" xfId="28876" xr:uid="{00000000-0005-0000-0000-0000EAB10000}"/>
    <cellStyle name="Note 4 4 2 2 2 3" xfId="9092" xr:uid="{00000000-0005-0000-0000-0000EBB10000}"/>
    <cellStyle name="Note 4 4 2 2 2 3 2" xfId="20393" xr:uid="{00000000-0005-0000-0000-0000ECB10000}"/>
    <cellStyle name="Note 4 4 2 2 2 3 2 2" xfId="42995" xr:uid="{00000000-0005-0000-0000-0000EDB10000}"/>
    <cellStyle name="Note 4 4 2 2 2 3 3" xfId="31694" xr:uid="{00000000-0005-0000-0000-0000EEB10000}"/>
    <cellStyle name="Note 4 4 2 2 2 4" xfId="14743" xr:uid="{00000000-0005-0000-0000-0000EFB10000}"/>
    <cellStyle name="Note 4 4 2 2 2 4 2" xfId="37345" xr:uid="{00000000-0005-0000-0000-0000F0B10000}"/>
    <cellStyle name="Note 4 4 2 2 2 5" xfId="26044" xr:uid="{00000000-0005-0000-0000-0000F1B10000}"/>
    <cellStyle name="Note 4 4 2 2 3" xfId="5040" xr:uid="{00000000-0005-0000-0000-0000F2B10000}"/>
    <cellStyle name="Note 4 4 2 2 3 2" xfId="10690" xr:uid="{00000000-0005-0000-0000-0000F3B10000}"/>
    <cellStyle name="Note 4 4 2 2 3 2 2" xfId="21991" xr:uid="{00000000-0005-0000-0000-0000F4B10000}"/>
    <cellStyle name="Note 4 4 2 2 3 2 2 2" xfId="44593" xr:uid="{00000000-0005-0000-0000-0000F5B10000}"/>
    <cellStyle name="Note 4 4 2 2 3 2 3" xfId="33292" xr:uid="{00000000-0005-0000-0000-0000F6B10000}"/>
    <cellStyle name="Note 4 4 2 2 3 3" xfId="16341" xr:uid="{00000000-0005-0000-0000-0000F7B10000}"/>
    <cellStyle name="Note 4 4 2 2 3 3 2" xfId="38943" xr:uid="{00000000-0005-0000-0000-0000F8B10000}"/>
    <cellStyle name="Note 4 4 2 2 3 4" xfId="27642" xr:uid="{00000000-0005-0000-0000-0000F9B10000}"/>
    <cellStyle name="Note 4 4 2 2 4" xfId="7956" xr:uid="{00000000-0005-0000-0000-0000FAB10000}"/>
    <cellStyle name="Note 4 4 2 2 4 2" xfId="19257" xr:uid="{00000000-0005-0000-0000-0000FBB10000}"/>
    <cellStyle name="Note 4 4 2 2 4 2 2" xfId="41859" xr:uid="{00000000-0005-0000-0000-0000FCB10000}"/>
    <cellStyle name="Note 4 4 2 2 4 3" xfId="30558" xr:uid="{00000000-0005-0000-0000-0000FDB10000}"/>
    <cellStyle name="Note 4 4 2 2 5" xfId="13607" xr:uid="{00000000-0005-0000-0000-0000FEB10000}"/>
    <cellStyle name="Note 4 4 2 2 5 2" xfId="36209" xr:uid="{00000000-0005-0000-0000-0000FFB10000}"/>
    <cellStyle name="Note 4 4 2 2 6" xfId="24908" xr:uid="{00000000-0005-0000-0000-000000B20000}"/>
    <cellStyle name="Note 4 4 2 3" xfId="2631" xr:uid="{00000000-0005-0000-0000-000001B20000}"/>
    <cellStyle name="Note 4 4 2 3 2" xfId="5650" xr:uid="{00000000-0005-0000-0000-000002B20000}"/>
    <cellStyle name="Note 4 4 2 3 2 2" xfId="11300" xr:uid="{00000000-0005-0000-0000-000003B20000}"/>
    <cellStyle name="Note 4 4 2 3 2 2 2" xfId="22601" xr:uid="{00000000-0005-0000-0000-000004B20000}"/>
    <cellStyle name="Note 4 4 2 3 2 2 2 2" xfId="45203" xr:uid="{00000000-0005-0000-0000-000005B20000}"/>
    <cellStyle name="Note 4 4 2 3 2 2 3" xfId="33902" xr:uid="{00000000-0005-0000-0000-000006B20000}"/>
    <cellStyle name="Note 4 4 2 3 2 3" xfId="16951" xr:uid="{00000000-0005-0000-0000-000007B20000}"/>
    <cellStyle name="Note 4 4 2 3 2 3 2" xfId="39553" xr:uid="{00000000-0005-0000-0000-000008B20000}"/>
    <cellStyle name="Note 4 4 2 3 2 4" xfId="28252" xr:uid="{00000000-0005-0000-0000-000009B20000}"/>
    <cellStyle name="Note 4 4 2 3 3" xfId="8467" xr:uid="{00000000-0005-0000-0000-00000AB20000}"/>
    <cellStyle name="Note 4 4 2 3 3 2" xfId="19768" xr:uid="{00000000-0005-0000-0000-00000BB20000}"/>
    <cellStyle name="Note 4 4 2 3 3 2 2" xfId="42370" xr:uid="{00000000-0005-0000-0000-00000CB20000}"/>
    <cellStyle name="Note 4 4 2 3 3 3" xfId="31069" xr:uid="{00000000-0005-0000-0000-00000DB20000}"/>
    <cellStyle name="Note 4 4 2 3 4" xfId="14118" xr:uid="{00000000-0005-0000-0000-00000EB20000}"/>
    <cellStyle name="Note 4 4 2 3 4 2" xfId="36720" xr:uid="{00000000-0005-0000-0000-00000FB20000}"/>
    <cellStyle name="Note 4 4 2 3 5" xfId="25419" xr:uid="{00000000-0005-0000-0000-000010B20000}"/>
    <cellStyle name="Note 4 4 2 4" xfId="4416" xr:uid="{00000000-0005-0000-0000-000011B20000}"/>
    <cellStyle name="Note 4 4 2 4 2" xfId="10066" xr:uid="{00000000-0005-0000-0000-000012B20000}"/>
    <cellStyle name="Note 4 4 2 4 2 2" xfId="21367" xr:uid="{00000000-0005-0000-0000-000013B20000}"/>
    <cellStyle name="Note 4 4 2 4 2 2 2" xfId="43969" xr:uid="{00000000-0005-0000-0000-000014B20000}"/>
    <cellStyle name="Note 4 4 2 4 2 3" xfId="32668" xr:uid="{00000000-0005-0000-0000-000015B20000}"/>
    <cellStyle name="Note 4 4 2 4 3" xfId="15717" xr:uid="{00000000-0005-0000-0000-000016B20000}"/>
    <cellStyle name="Note 4 4 2 4 3 2" xfId="38319" xr:uid="{00000000-0005-0000-0000-000017B20000}"/>
    <cellStyle name="Note 4 4 2 4 4" xfId="27018" xr:uid="{00000000-0005-0000-0000-000018B20000}"/>
    <cellStyle name="Note 4 4 2 5" xfId="7212" xr:uid="{00000000-0005-0000-0000-000019B20000}"/>
    <cellStyle name="Note 4 4 2 5 2" xfId="18513" xr:uid="{00000000-0005-0000-0000-00001AB20000}"/>
    <cellStyle name="Note 4 4 2 5 2 2" xfId="41115" xr:uid="{00000000-0005-0000-0000-00001BB20000}"/>
    <cellStyle name="Note 4 4 2 5 3" xfId="29814" xr:uid="{00000000-0005-0000-0000-00001CB20000}"/>
    <cellStyle name="Note 4 4 2 6" xfId="12863" xr:uid="{00000000-0005-0000-0000-00001DB20000}"/>
    <cellStyle name="Note 4 4 2 6 2" xfId="35465" xr:uid="{00000000-0005-0000-0000-00001EB20000}"/>
    <cellStyle name="Note 4 4 2 7" xfId="24164" xr:uid="{00000000-0005-0000-0000-00001FB20000}"/>
    <cellStyle name="Note 4 4 3" xfId="931" xr:uid="{00000000-0005-0000-0000-000020B20000}"/>
    <cellStyle name="Note 4 4 3 2" xfId="2994" xr:uid="{00000000-0005-0000-0000-000021B20000}"/>
    <cellStyle name="Note 4 4 3 2 2" xfId="5966" xr:uid="{00000000-0005-0000-0000-000022B20000}"/>
    <cellStyle name="Note 4 4 3 2 2 2" xfId="11616" xr:uid="{00000000-0005-0000-0000-000023B20000}"/>
    <cellStyle name="Note 4 4 3 2 2 2 2" xfId="22917" xr:uid="{00000000-0005-0000-0000-000024B20000}"/>
    <cellStyle name="Note 4 4 3 2 2 2 2 2" xfId="45519" xr:uid="{00000000-0005-0000-0000-000025B20000}"/>
    <cellStyle name="Note 4 4 3 2 2 2 3" xfId="34218" xr:uid="{00000000-0005-0000-0000-000026B20000}"/>
    <cellStyle name="Note 4 4 3 2 2 3" xfId="17267" xr:uid="{00000000-0005-0000-0000-000027B20000}"/>
    <cellStyle name="Note 4 4 3 2 2 3 2" xfId="39869" xr:uid="{00000000-0005-0000-0000-000028B20000}"/>
    <cellStyle name="Note 4 4 3 2 2 4" xfId="28568" xr:uid="{00000000-0005-0000-0000-000029B20000}"/>
    <cellStyle name="Note 4 4 3 2 3" xfId="8784" xr:uid="{00000000-0005-0000-0000-00002AB20000}"/>
    <cellStyle name="Note 4 4 3 2 3 2" xfId="20085" xr:uid="{00000000-0005-0000-0000-00002BB20000}"/>
    <cellStyle name="Note 4 4 3 2 3 2 2" xfId="42687" xr:uid="{00000000-0005-0000-0000-00002CB20000}"/>
    <cellStyle name="Note 4 4 3 2 3 3" xfId="31386" xr:uid="{00000000-0005-0000-0000-00002DB20000}"/>
    <cellStyle name="Note 4 4 3 2 4" xfId="14435" xr:uid="{00000000-0005-0000-0000-00002EB20000}"/>
    <cellStyle name="Note 4 4 3 2 4 2" xfId="37037" xr:uid="{00000000-0005-0000-0000-00002FB20000}"/>
    <cellStyle name="Note 4 4 3 2 5" xfId="25736" xr:uid="{00000000-0005-0000-0000-000030B20000}"/>
    <cellStyle name="Note 4 4 3 3" xfId="4732" xr:uid="{00000000-0005-0000-0000-000031B20000}"/>
    <cellStyle name="Note 4 4 3 3 2" xfId="10382" xr:uid="{00000000-0005-0000-0000-000032B20000}"/>
    <cellStyle name="Note 4 4 3 3 2 2" xfId="21683" xr:uid="{00000000-0005-0000-0000-000033B20000}"/>
    <cellStyle name="Note 4 4 3 3 2 2 2" xfId="44285" xr:uid="{00000000-0005-0000-0000-000034B20000}"/>
    <cellStyle name="Note 4 4 3 3 2 3" xfId="32984" xr:uid="{00000000-0005-0000-0000-000035B20000}"/>
    <cellStyle name="Note 4 4 3 3 3" xfId="16033" xr:uid="{00000000-0005-0000-0000-000036B20000}"/>
    <cellStyle name="Note 4 4 3 3 3 2" xfId="38635" xr:uid="{00000000-0005-0000-0000-000037B20000}"/>
    <cellStyle name="Note 4 4 3 3 4" xfId="27334" xr:uid="{00000000-0005-0000-0000-000038B20000}"/>
    <cellStyle name="Note 4 4 3 4" xfId="6919" xr:uid="{00000000-0005-0000-0000-000039B20000}"/>
    <cellStyle name="Note 4 4 3 4 2" xfId="18220" xr:uid="{00000000-0005-0000-0000-00003AB20000}"/>
    <cellStyle name="Note 4 4 3 4 2 2" xfId="40822" xr:uid="{00000000-0005-0000-0000-00003BB20000}"/>
    <cellStyle name="Note 4 4 3 4 3" xfId="29521" xr:uid="{00000000-0005-0000-0000-00003CB20000}"/>
    <cellStyle name="Note 4 4 3 5" xfId="12570" xr:uid="{00000000-0005-0000-0000-00003DB20000}"/>
    <cellStyle name="Note 4 4 3 5 2" xfId="35172" xr:uid="{00000000-0005-0000-0000-00003EB20000}"/>
    <cellStyle name="Note 4 4 3 6" xfId="23871" xr:uid="{00000000-0005-0000-0000-00003FB20000}"/>
    <cellStyle name="Note 4 4 4" xfId="2099" xr:uid="{00000000-0005-0000-0000-000040B20000}"/>
    <cellStyle name="Note 4 4 4 2" xfId="3827" xr:uid="{00000000-0005-0000-0000-000041B20000}"/>
    <cellStyle name="Note 4 4 4 2 2" xfId="9535" xr:uid="{00000000-0005-0000-0000-000042B20000}"/>
    <cellStyle name="Note 4 4 4 2 2 2" xfId="20836" xr:uid="{00000000-0005-0000-0000-000043B20000}"/>
    <cellStyle name="Note 4 4 4 2 2 2 2" xfId="43438" xr:uid="{00000000-0005-0000-0000-000044B20000}"/>
    <cellStyle name="Note 4 4 4 2 2 3" xfId="32137" xr:uid="{00000000-0005-0000-0000-000045B20000}"/>
    <cellStyle name="Note 4 4 4 2 3" xfId="15186" xr:uid="{00000000-0005-0000-0000-000046B20000}"/>
    <cellStyle name="Note 4 4 4 2 3 2" xfId="37788" xr:uid="{00000000-0005-0000-0000-000047B20000}"/>
    <cellStyle name="Note 4 4 4 2 4" xfId="26487" xr:uid="{00000000-0005-0000-0000-000048B20000}"/>
    <cellStyle name="Note 4 4 4 3" xfId="5342" xr:uid="{00000000-0005-0000-0000-000049B20000}"/>
    <cellStyle name="Note 4 4 4 3 2" xfId="10992" xr:uid="{00000000-0005-0000-0000-00004AB20000}"/>
    <cellStyle name="Note 4 4 4 3 2 2" xfId="22293" xr:uid="{00000000-0005-0000-0000-00004BB20000}"/>
    <cellStyle name="Note 4 4 4 3 2 2 2" xfId="44895" xr:uid="{00000000-0005-0000-0000-00004CB20000}"/>
    <cellStyle name="Note 4 4 4 3 2 3" xfId="33594" xr:uid="{00000000-0005-0000-0000-00004DB20000}"/>
    <cellStyle name="Note 4 4 4 3 3" xfId="16643" xr:uid="{00000000-0005-0000-0000-00004EB20000}"/>
    <cellStyle name="Note 4 4 4 3 3 2" xfId="39245" xr:uid="{00000000-0005-0000-0000-00004FB20000}"/>
    <cellStyle name="Note 4 4 4 3 4" xfId="27944" xr:uid="{00000000-0005-0000-0000-000050B20000}"/>
    <cellStyle name="Note 4 4 4 4" xfId="7955" xr:uid="{00000000-0005-0000-0000-000051B20000}"/>
    <cellStyle name="Note 4 4 4 4 2" xfId="19256" xr:uid="{00000000-0005-0000-0000-000052B20000}"/>
    <cellStyle name="Note 4 4 4 4 2 2" xfId="41858" xr:uid="{00000000-0005-0000-0000-000053B20000}"/>
    <cellStyle name="Note 4 4 4 4 3" xfId="30557" xr:uid="{00000000-0005-0000-0000-000054B20000}"/>
    <cellStyle name="Note 4 4 4 5" xfId="13606" xr:uid="{00000000-0005-0000-0000-000055B20000}"/>
    <cellStyle name="Note 4 4 4 5 2" xfId="36208" xr:uid="{00000000-0005-0000-0000-000056B20000}"/>
    <cellStyle name="Note 4 4 4 6" xfId="24907" xr:uid="{00000000-0005-0000-0000-000057B20000}"/>
    <cellStyle name="Note 4 4 5" xfId="2323" xr:uid="{00000000-0005-0000-0000-000058B20000}"/>
    <cellStyle name="Note 4 4 5 2" xfId="8159" xr:uid="{00000000-0005-0000-0000-000059B20000}"/>
    <cellStyle name="Note 4 4 5 2 2" xfId="19460" xr:uid="{00000000-0005-0000-0000-00005AB20000}"/>
    <cellStyle name="Note 4 4 5 2 2 2" xfId="42062" xr:uid="{00000000-0005-0000-0000-00005BB20000}"/>
    <cellStyle name="Note 4 4 5 2 3" xfId="30761" xr:uid="{00000000-0005-0000-0000-00005CB20000}"/>
    <cellStyle name="Note 4 4 5 3" xfId="13810" xr:uid="{00000000-0005-0000-0000-00005DB20000}"/>
    <cellStyle name="Note 4 4 5 3 2" xfId="36412" xr:uid="{00000000-0005-0000-0000-00005EB20000}"/>
    <cellStyle name="Note 4 4 5 4" xfId="25111" xr:uid="{00000000-0005-0000-0000-00005FB20000}"/>
    <cellStyle name="Note 4 4 6" xfId="4108" xr:uid="{00000000-0005-0000-0000-000060B20000}"/>
    <cellStyle name="Note 4 4 6 2" xfId="9758" xr:uid="{00000000-0005-0000-0000-000061B20000}"/>
    <cellStyle name="Note 4 4 6 2 2" xfId="21059" xr:uid="{00000000-0005-0000-0000-000062B20000}"/>
    <cellStyle name="Note 4 4 6 2 2 2" xfId="43661" xr:uid="{00000000-0005-0000-0000-000063B20000}"/>
    <cellStyle name="Note 4 4 6 2 3" xfId="32360" xr:uid="{00000000-0005-0000-0000-000064B20000}"/>
    <cellStyle name="Note 4 4 6 3" xfId="15409" xr:uid="{00000000-0005-0000-0000-000065B20000}"/>
    <cellStyle name="Note 4 4 6 3 2" xfId="38011" xr:uid="{00000000-0005-0000-0000-000066B20000}"/>
    <cellStyle name="Note 4 4 6 4" xfId="26710" xr:uid="{00000000-0005-0000-0000-000067B20000}"/>
    <cellStyle name="Note 4 4 7" xfId="6574" xr:uid="{00000000-0005-0000-0000-000068B20000}"/>
    <cellStyle name="Note 4 4 7 2" xfId="17875" xr:uid="{00000000-0005-0000-0000-000069B20000}"/>
    <cellStyle name="Note 4 4 7 2 2" xfId="40477" xr:uid="{00000000-0005-0000-0000-00006AB20000}"/>
    <cellStyle name="Note 4 4 7 3" xfId="29176" xr:uid="{00000000-0005-0000-0000-00006BB20000}"/>
    <cellStyle name="Note 4 4 8" xfId="12225" xr:uid="{00000000-0005-0000-0000-00006CB20000}"/>
    <cellStyle name="Note 4 4 8 2" xfId="34827" xr:uid="{00000000-0005-0000-0000-00006DB20000}"/>
    <cellStyle name="Note 4 4 9" xfId="23526" xr:uid="{00000000-0005-0000-0000-00006EB20000}"/>
    <cellStyle name="Note 4 5" xfId="1081" xr:uid="{00000000-0005-0000-0000-00006FB20000}"/>
    <cellStyle name="Note 4 5 2" xfId="2101" xr:uid="{00000000-0005-0000-0000-000070B20000}"/>
    <cellStyle name="Note 4 5 2 2" xfId="3149" xr:uid="{00000000-0005-0000-0000-000071B20000}"/>
    <cellStyle name="Note 4 5 2 2 2" xfId="6121" xr:uid="{00000000-0005-0000-0000-000072B20000}"/>
    <cellStyle name="Note 4 5 2 2 2 2" xfId="11771" xr:uid="{00000000-0005-0000-0000-000073B20000}"/>
    <cellStyle name="Note 4 5 2 2 2 2 2" xfId="23072" xr:uid="{00000000-0005-0000-0000-000074B20000}"/>
    <cellStyle name="Note 4 5 2 2 2 2 2 2" xfId="45674" xr:uid="{00000000-0005-0000-0000-000075B20000}"/>
    <cellStyle name="Note 4 5 2 2 2 2 3" xfId="34373" xr:uid="{00000000-0005-0000-0000-000076B20000}"/>
    <cellStyle name="Note 4 5 2 2 2 3" xfId="17422" xr:uid="{00000000-0005-0000-0000-000077B20000}"/>
    <cellStyle name="Note 4 5 2 2 2 3 2" xfId="40024" xr:uid="{00000000-0005-0000-0000-000078B20000}"/>
    <cellStyle name="Note 4 5 2 2 2 4" xfId="28723" xr:uid="{00000000-0005-0000-0000-000079B20000}"/>
    <cellStyle name="Note 4 5 2 2 3" xfId="8939" xr:uid="{00000000-0005-0000-0000-00007AB20000}"/>
    <cellStyle name="Note 4 5 2 2 3 2" xfId="20240" xr:uid="{00000000-0005-0000-0000-00007BB20000}"/>
    <cellStyle name="Note 4 5 2 2 3 2 2" xfId="42842" xr:uid="{00000000-0005-0000-0000-00007CB20000}"/>
    <cellStyle name="Note 4 5 2 2 3 3" xfId="31541" xr:uid="{00000000-0005-0000-0000-00007DB20000}"/>
    <cellStyle name="Note 4 5 2 2 4" xfId="14590" xr:uid="{00000000-0005-0000-0000-00007EB20000}"/>
    <cellStyle name="Note 4 5 2 2 4 2" xfId="37192" xr:uid="{00000000-0005-0000-0000-00007FB20000}"/>
    <cellStyle name="Note 4 5 2 2 5" xfId="25891" xr:uid="{00000000-0005-0000-0000-000080B20000}"/>
    <cellStyle name="Note 4 5 2 3" xfId="4887" xr:uid="{00000000-0005-0000-0000-000081B20000}"/>
    <cellStyle name="Note 4 5 2 3 2" xfId="10537" xr:uid="{00000000-0005-0000-0000-000082B20000}"/>
    <cellStyle name="Note 4 5 2 3 2 2" xfId="21838" xr:uid="{00000000-0005-0000-0000-000083B20000}"/>
    <cellStyle name="Note 4 5 2 3 2 2 2" xfId="44440" xr:uid="{00000000-0005-0000-0000-000084B20000}"/>
    <cellStyle name="Note 4 5 2 3 2 3" xfId="33139" xr:uid="{00000000-0005-0000-0000-000085B20000}"/>
    <cellStyle name="Note 4 5 2 3 3" xfId="16188" xr:uid="{00000000-0005-0000-0000-000086B20000}"/>
    <cellStyle name="Note 4 5 2 3 3 2" xfId="38790" xr:uid="{00000000-0005-0000-0000-000087B20000}"/>
    <cellStyle name="Note 4 5 2 3 4" xfId="27489" xr:uid="{00000000-0005-0000-0000-000088B20000}"/>
    <cellStyle name="Note 4 5 2 4" xfId="7957" xr:uid="{00000000-0005-0000-0000-000089B20000}"/>
    <cellStyle name="Note 4 5 2 4 2" xfId="19258" xr:uid="{00000000-0005-0000-0000-00008AB20000}"/>
    <cellStyle name="Note 4 5 2 4 2 2" xfId="41860" xr:uid="{00000000-0005-0000-0000-00008BB20000}"/>
    <cellStyle name="Note 4 5 2 4 3" xfId="30559" xr:uid="{00000000-0005-0000-0000-00008CB20000}"/>
    <cellStyle name="Note 4 5 2 5" xfId="13608" xr:uid="{00000000-0005-0000-0000-00008DB20000}"/>
    <cellStyle name="Note 4 5 2 5 2" xfId="36210" xr:uid="{00000000-0005-0000-0000-00008EB20000}"/>
    <cellStyle name="Note 4 5 2 6" xfId="24909" xr:uid="{00000000-0005-0000-0000-00008FB20000}"/>
    <cellStyle name="Note 4 5 3" xfId="2478" xr:uid="{00000000-0005-0000-0000-000090B20000}"/>
    <cellStyle name="Note 4 5 3 2" xfId="5497" xr:uid="{00000000-0005-0000-0000-000091B20000}"/>
    <cellStyle name="Note 4 5 3 2 2" xfId="11147" xr:uid="{00000000-0005-0000-0000-000092B20000}"/>
    <cellStyle name="Note 4 5 3 2 2 2" xfId="22448" xr:uid="{00000000-0005-0000-0000-000093B20000}"/>
    <cellStyle name="Note 4 5 3 2 2 2 2" xfId="45050" xr:uid="{00000000-0005-0000-0000-000094B20000}"/>
    <cellStyle name="Note 4 5 3 2 2 3" xfId="33749" xr:uid="{00000000-0005-0000-0000-000095B20000}"/>
    <cellStyle name="Note 4 5 3 2 3" xfId="16798" xr:uid="{00000000-0005-0000-0000-000096B20000}"/>
    <cellStyle name="Note 4 5 3 2 3 2" xfId="39400" xr:uid="{00000000-0005-0000-0000-000097B20000}"/>
    <cellStyle name="Note 4 5 3 2 4" xfId="28099" xr:uid="{00000000-0005-0000-0000-000098B20000}"/>
    <cellStyle name="Note 4 5 3 3" xfId="8314" xr:uid="{00000000-0005-0000-0000-000099B20000}"/>
    <cellStyle name="Note 4 5 3 3 2" xfId="19615" xr:uid="{00000000-0005-0000-0000-00009AB20000}"/>
    <cellStyle name="Note 4 5 3 3 2 2" xfId="42217" xr:uid="{00000000-0005-0000-0000-00009BB20000}"/>
    <cellStyle name="Note 4 5 3 3 3" xfId="30916" xr:uid="{00000000-0005-0000-0000-00009CB20000}"/>
    <cellStyle name="Note 4 5 3 4" xfId="13965" xr:uid="{00000000-0005-0000-0000-00009DB20000}"/>
    <cellStyle name="Note 4 5 3 4 2" xfId="36567" xr:uid="{00000000-0005-0000-0000-00009EB20000}"/>
    <cellStyle name="Note 4 5 3 5" xfId="25266" xr:uid="{00000000-0005-0000-0000-00009FB20000}"/>
    <cellStyle name="Note 4 5 4" xfId="4263" xr:uid="{00000000-0005-0000-0000-0000A0B20000}"/>
    <cellStyle name="Note 4 5 4 2" xfId="9913" xr:uid="{00000000-0005-0000-0000-0000A1B20000}"/>
    <cellStyle name="Note 4 5 4 2 2" xfId="21214" xr:uid="{00000000-0005-0000-0000-0000A2B20000}"/>
    <cellStyle name="Note 4 5 4 2 2 2" xfId="43816" xr:uid="{00000000-0005-0000-0000-0000A3B20000}"/>
    <cellStyle name="Note 4 5 4 2 3" xfId="32515" xr:uid="{00000000-0005-0000-0000-0000A4B20000}"/>
    <cellStyle name="Note 4 5 4 3" xfId="15564" xr:uid="{00000000-0005-0000-0000-0000A5B20000}"/>
    <cellStyle name="Note 4 5 4 3 2" xfId="38166" xr:uid="{00000000-0005-0000-0000-0000A6B20000}"/>
    <cellStyle name="Note 4 5 4 4" xfId="26865" xr:uid="{00000000-0005-0000-0000-0000A7B20000}"/>
    <cellStyle name="Note 4 5 5" xfId="7060" xr:uid="{00000000-0005-0000-0000-0000A8B20000}"/>
    <cellStyle name="Note 4 5 5 2" xfId="18361" xr:uid="{00000000-0005-0000-0000-0000A9B20000}"/>
    <cellStyle name="Note 4 5 5 2 2" xfId="40963" xr:uid="{00000000-0005-0000-0000-0000AAB20000}"/>
    <cellStyle name="Note 4 5 5 3" xfId="29662" xr:uid="{00000000-0005-0000-0000-0000ABB20000}"/>
    <cellStyle name="Note 4 5 6" xfId="12711" xr:uid="{00000000-0005-0000-0000-0000ACB20000}"/>
    <cellStyle name="Note 4 5 6 2" xfId="35313" xr:uid="{00000000-0005-0000-0000-0000ADB20000}"/>
    <cellStyle name="Note 4 5 7" xfId="24012" xr:uid="{00000000-0005-0000-0000-0000AEB20000}"/>
    <cellStyle name="Note 4 6" xfId="755" xr:uid="{00000000-0005-0000-0000-0000AFB20000}"/>
    <cellStyle name="Note 4 6 2" xfId="2842" xr:uid="{00000000-0005-0000-0000-0000B0B20000}"/>
    <cellStyle name="Note 4 6 2 2" xfId="5814" xr:uid="{00000000-0005-0000-0000-0000B1B20000}"/>
    <cellStyle name="Note 4 6 2 2 2" xfId="11464" xr:uid="{00000000-0005-0000-0000-0000B2B20000}"/>
    <cellStyle name="Note 4 6 2 2 2 2" xfId="22765" xr:uid="{00000000-0005-0000-0000-0000B3B20000}"/>
    <cellStyle name="Note 4 6 2 2 2 2 2" xfId="45367" xr:uid="{00000000-0005-0000-0000-0000B4B20000}"/>
    <cellStyle name="Note 4 6 2 2 2 3" xfId="34066" xr:uid="{00000000-0005-0000-0000-0000B5B20000}"/>
    <cellStyle name="Note 4 6 2 2 3" xfId="17115" xr:uid="{00000000-0005-0000-0000-0000B6B20000}"/>
    <cellStyle name="Note 4 6 2 2 3 2" xfId="39717" xr:uid="{00000000-0005-0000-0000-0000B7B20000}"/>
    <cellStyle name="Note 4 6 2 2 4" xfId="28416" xr:uid="{00000000-0005-0000-0000-0000B8B20000}"/>
    <cellStyle name="Note 4 6 2 3" xfId="8632" xr:uid="{00000000-0005-0000-0000-0000B9B20000}"/>
    <cellStyle name="Note 4 6 2 3 2" xfId="19933" xr:uid="{00000000-0005-0000-0000-0000BAB20000}"/>
    <cellStyle name="Note 4 6 2 3 2 2" xfId="42535" xr:uid="{00000000-0005-0000-0000-0000BBB20000}"/>
    <cellStyle name="Note 4 6 2 3 3" xfId="31234" xr:uid="{00000000-0005-0000-0000-0000BCB20000}"/>
    <cellStyle name="Note 4 6 2 4" xfId="14283" xr:uid="{00000000-0005-0000-0000-0000BDB20000}"/>
    <cellStyle name="Note 4 6 2 4 2" xfId="36885" xr:uid="{00000000-0005-0000-0000-0000BEB20000}"/>
    <cellStyle name="Note 4 6 2 5" xfId="25584" xr:uid="{00000000-0005-0000-0000-0000BFB20000}"/>
    <cellStyle name="Note 4 6 3" xfId="4580" xr:uid="{00000000-0005-0000-0000-0000C0B20000}"/>
    <cellStyle name="Note 4 6 3 2" xfId="10230" xr:uid="{00000000-0005-0000-0000-0000C1B20000}"/>
    <cellStyle name="Note 4 6 3 2 2" xfId="21531" xr:uid="{00000000-0005-0000-0000-0000C2B20000}"/>
    <cellStyle name="Note 4 6 3 2 2 2" xfId="44133" xr:uid="{00000000-0005-0000-0000-0000C3B20000}"/>
    <cellStyle name="Note 4 6 3 2 3" xfId="32832" xr:uid="{00000000-0005-0000-0000-0000C4B20000}"/>
    <cellStyle name="Note 4 6 3 3" xfId="15881" xr:uid="{00000000-0005-0000-0000-0000C5B20000}"/>
    <cellStyle name="Note 4 6 3 3 2" xfId="38483" xr:uid="{00000000-0005-0000-0000-0000C6B20000}"/>
    <cellStyle name="Note 4 6 3 4" xfId="27182" xr:uid="{00000000-0005-0000-0000-0000C7B20000}"/>
    <cellStyle name="Note 4 6 4" xfId="6763" xr:uid="{00000000-0005-0000-0000-0000C8B20000}"/>
    <cellStyle name="Note 4 6 4 2" xfId="18064" xr:uid="{00000000-0005-0000-0000-0000C9B20000}"/>
    <cellStyle name="Note 4 6 4 2 2" xfId="40666" xr:uid="{00000000-0005-0000-0000-0000CAB20000}"/>
    <cellStyle name="Note 4 6 4 3" xfId="29365" xr:uid="{00000000-0005-0000-0000-0000CBB20000}"/>
    <cellStyle name="Note 4 6 5" xfId="12414" xr:uid="{00000000-0005-0000-0000-0000CCB20000}"/>
    <cellStyle name="Note 4 6 5 2" xfId="35016" xr:uid="{00000000-0005-0000-0000-0000CDB20000}"/>
    <cellStyle name="Note 4 6 6" xfId="23715" xr:uid="{00000000-0005-0000-0000-0000CEB20000}"/>
    <cellStyle name="Note 4 7" xfId="2090" xr:uid="{00000000-0005-0000-0000-0000CFB20000}"/>
    <cellStyle name="Note 4 7 2" xfId="3822" xr:uid="{00000000-0005-0000-0000-0000D0B20000}"/>
    <cellStyle name="Note 4 7 2 2" xfId="9530" xr:uid="{00000000-0005-0000-0000-0000D1B20000}"/>
    <cellStyle name="Note 4 7 2 2 2" xfId="20831" xr:uid="{00000000-0005-0000-0000-0000D2B20000}"/>
    <cellStyle name="Note 4 7 2 2 2 2" xfId="43433" xr:uid="{00000000-0005-0000-0000-0000D3B20000}"/>
    <cellStyle name="Note 4 7 2 2 3" xfId="32132" xr:uid="{00000000-0005-0000-0000-0000D4B20000}"/>
    <cellStyle name="Note 4 7 2 3" xfId="15181" xr:uid="{00000000-0005-0000-0000-0000D5B20000}"/>
    <cellStyle name="Note 4 7 2 3 2" xfId="37783" xr:uid="{00000000-0005-0000-0000-0000D6B20000}"/>
    <cellStyle name="Note 4 7 2 4" xfId="26482" xr:uid="{00000000-0005-0000-0000-0000D7B20000}"/>
    <cellStyle name="Note 4 7 3" xfId="5190" xr:uid="{00000000-0005-0000-0000-0000D8B20000}"/>
    <cellStyle name="Note 4 7 3 2" xfId="10840" xr:uid="{00000000-0005-0000-0000-0000D9B20000}"/>
    <cellStyle name="Note 4 7 3 2 2" xfId="22141" xr:uid="{00000000-0005-0000-0000-0000DAB20000}"/>
    <cellStyle name="Note 4 7 3 2 2 2" xfId="44743" xr:uid="{00000000-0005-0000-0000-0000DBB20000}"/>
    <cellStyle name="Note 4 7 3 2 3" xfId="33442" xr:uid="{00000000-0005-0000-0000-0000DCB20000}"/>
    <cellStyle name="Note 4 7 3 3" xfId="16491" xr:uid="{00000000-0005-0000-0000-0000DDB20000}"/>
    <cellStyle name="Note 4 7 3 3 2" xfId="39093" xr:uid="{00000000-0005-0000-0000-0000DEB20000}"/>
    <cellStyle name="Note 4 7 3 4" xfId="27792" xr:uid="{00000000-0005-0000-0000-0000DFB20000}"/>
    <cellStyle name="Note 4 7 4" xfId="7946" xr:uid="{00000000-0005-0000-0000-0000E0B20000}"/>
    <cellStyle name="Note 4 7 4 2" xfId="19247" xr:uid="{00000000-0005-0000-0000-0000E1B20000}"/>
    <cellStyle name="Note 4 7 4 2 2" xfId="41849" xr:uid="{00000000-0005-0000-0000-0000E2B20000}"/>
    <cellStyle name="Note 4 7 4 3" xfId="30548" xr:uid="{00000000-0005-0000-0000-0000E3B20000}"/>
    <cellStyle name="Note 4 7 5" xfId="13597" xr:uid="{00000000-0005-0000-0000-0000E4B20000}"/>
    <cellStyle name="Note 4 7 5 2" xfId="36199" xr:uid="{00000000-0005-0000-0000-0000E5B20000}"/>
    <cellStyle name="Note 4 7 6" xfId="24898" xr:uid="{00000000-0005-0000-0000-0000E6B20000}"/>
    <cellStyle name="Note 4 8" xfId="2162" xr:uid="{00000000-0005-0000-0000-0000E7B20000}"/>
    <cellStyle name="Note 4 8 2" xfId="8004" xr:uid="{00000000-0005-0000-0000-0000E8B20000}"/>
    <cellStyle name="Note 4 8 2 2" xfId="19305" xr:uid="{00000000-0005-0000-0000-0000E9B20000}"/>
    <cellStyle name="Note 4 8 2 2 2" xfId="41907" xr:uid="{00000000-0005-0000-0000-0000EAB20000}"/>
    <cellStyle name="Note 4 8 2 3" xfId="30606" xr:uid="{00000000-0005-0000-0000-0000EBB20000}"/>
    <cellStyle name="Note 4 8 3" xfId="13655" xr:uid="{00000000-0005-0000-0000-0000ECB20000}"/>
    <cellStyle name="Note 4 8 3 2" xfId="36257" xr:uid="{00000000-0005-0000-0000-0000EDB20000}"/>
    <cellStyle name="Note 4 8 4" xfId="24956" xr:uid="{00000000-0005-0000-0000-0000EEB20000}"/>
    <cellStyle name="Note 4 9" xfId="3956" xr:uid="{00000000-0005-0000-0000-0000EFB20000}"/>
    <cellStyle name="Note 4 9 2" xfId="9606" xr:uid="{00000000-0005-0000-0000-0000F0B20000}"/>
    <cellStyle name="Note 4 9 2 2" xfId="20907" xr:uid="{00000000-0005-0000-0000-0000F1B20000}"/>
    <cellStyle name="Note 4 9 2 2 2" xfId="43509" xr:uid="{00000000-0005-0000-0000-0000F2B20000}"/>
    <cellStyle name="Note 4 9 2 3" xfId="32208" xr:uid="{00000000-0005-0000-0000-0000F3B20000}"/>
    <cellStyle name="Note 4 9 3" xfId="15257" xr:uid="{00000000-0005-0000-0000-0000F4B20000}"/>
    <cellStyle name="Note 4 9 3 2" xfId="37859" xr:uid="{00000000-0005-0000-0000-0000F5B20000}"/>
    <cellStyle name="Note 4 9 4" xfId="26558" xr:uid="{00000000-0005-0000-0000-0000F6B20000}"/>
    <cellStyle name="Note 5" xfId="264" xr:uid="{00000000-0005-0000-0000-0000F7B20000}"/>
    <cellStyle name="Note 6" xfId="1471" xr:uid="{00000000-0005-0000-0000-0000F8B20000}"/>
    <cellStyle name="Note 7" xfId="3436" xr:uid="{00000000-0005-0000-0000-0000F9B20000}"/>
    <cellStyle name="Note 8" xfId="83" xr:uid="{00000000-0005-0000-0000-0000FAB20000}"/>
    <cellStyle name="Output 10" xfId="84" xr:uid="{00000000-0005-0000-0000-0000FBB20000}"/>
    <cellStyle name="Output 2" xfId="126" xr:uid="{00000000-0005-0000-0000-0000FCB20000}"/>
    <cellStyle name="Output 2 2" xfId="279" xr:uid="{00000000-0005-0000-0000-0000FDB20000}"/>
    <cellStyle name="Output 2 3" xfId="2806" xr:uid="{00000000-0005-0000-0000-0000FEB20000}"/>
    <cellStyle name="Output 2 4" xfId="3477" xr:uid="{00000000-0005-0000-0000-0000FFB20000}"/>
    <cellStyle name="Output 3" xfId="141" xr:uid="{00000000-0005-0000-0000-000000B30000}"/>
    <cellStyle name="Output 3 2" xfId="474" xr:uid="{00000000-0005-0000-0000-000001B30000}"/>
    <cellStyle name="Output 3 3" xfId="426" xr:uid="{00000000-0005-0000-0000-000002B30000}"/>
    <cellStyle name="Output 3 4" xfId="1404" xr:uid="{00000000-0005-0000-0000-000003B30000}"/>
    <cellStyle name="Output 4" xfId="265" xr:uid="{00000000-0005-0000-0000-000004B30000}"/>
    <cellStyle name="Output 5" xfId="683" xr:uid="{00000000-0005-0000-0000-000005B30000}"/>
    <cellStyle name="Output 6" xfId="1453" xr:uid="{00000000-0005-0000-0000-000006B30000}"/>
    <cellStyle name="Output 7" xfId="1356" xr:uid="{00000000-0005-0000-0000-000007B30000}"/>
    <cellStyle name="Output 8" xfId="897" xr:uid="{00000000-0005-0000-0000-000008B30000}"/>
    <cellStyle name="Output 8 2" xfId="3878" xr:uid="{00000000-0005-0000-0000-000009B30000}"/>
    <cellStyle name="Output 9" xfId="2110" xr:uid="{00000000-0005-0000-0000-00000AB30000}"/>
    <cellStyle name="p-blue" xfId="13" xr:uid="{00000000-0005-0000-0000-00000BB30000}"/>
    <cellStyle name="Percent" xfId="14" builtinId="5"/>
    <cellStyle name="Percent 2" xfId="33" xr:uid="{00000000-0005-0000-0000-00000DB30000}"/>
    <cellStyle name="Percent 2 2" xfId="127" xr:uid="{00000000-0005-0000-0000-00000EB30000}"/>
    <cellStyle name="Percent 3" xfId="266" xr:uid="{00000000-0005-0000-0000-00000FB30000}"/>
    <cellStyle name="Percent 3 2" xfId="538" xr:uid="{00000000-0005-0000-0000-000010B30000}"/>
    <cellStyle name="Percent 3 3" xfId="431" xr:uid="{00000000-0005-0000-0000-000011B30000}"/>
    <cellStyle name="Percent 3 4" xfId="1363" xr:uid="{00000000-0005-0000-0000-000012B30000}"/>
    <cellStyle name="Percent 4" xfId="387" xr:uid="{00000000-0005-0000-0000-000013B30000}"/>
    <cellStyle name="Percent 4 2" xfId="632" xr:uid="{00000000-0005-0000-0000-000014B30000}"/>
    <cellStyle name="Percent 4 3" xfId="449" xr:uid="{00000000-0005-0000-0000-000015B30000}"/>
    <cellStyle name="Percent 5" xfId="1040" xr:uid="{00000000-0005-0000-0000-000016B30000}"/>
    <cellStyle name="Percent 5 2" xfId="1342" xr:uid="{00000000-0005-0000-0000-000017B30000}"/>
    <cellStyle name="Percent 6" xfId="1456" xr:uid="{00000000-0005-0000-0000-000018B30000}"/>
    <cellStyle name="Percent 7" xfId="1466" xr:uid="{00000000-0005-0000-0000-000019B30000}"/>
    <cellStyle name="Percent 8" xfId="3457" xr:uid="{00000000-0005-0000-0000-00001AB30000}"/>
    <cellStyle name="Percent 9" xfId="3909" xr:uid="{00000000-0005-0000-0000-00001BB30000}"/>
    <cellStyle name="Percent(0)" xfId="15" xr:uid="{00000000-0005-0000-0000-00001CB30000}"/>
    <cellStyle name="Percent(0) 2" xfId="34" xr:uid="{00000000-0005-0000-0000-00001DB30000}"/>
    <cellStyle name="Percent(0) 2 2" xfId="744" xr:uid="{00000000-0005-0000-0000-00001EB30000}"/>
    <cellStyle name="Percent(0) 2 3" xfId="199" xr:uid="{00000000-0005-0000-0000-00001FB30000}"/>
    <cellStyle name="Percent(0) 3" xfId="1046" xr:uid="{00000000-0005-0000-0000-000020B30000}"/>
    <cellStyle name="Percent(0) 3 2" xfId="1348" xr:uid="{00000000-0005-0000-0000-000021B30000}"/>
    <cellStyle name="Percent(0) 4" xfId="1354" xr:uid="{00000000-0005-0000-0000-000022B30000}"/>
    <cellStyle name="Percent(0) 5" xfId="3910" xr:uid="{00000000-0005-0000-0000-000023B30000}"/>
    <cellStyle name="p-green" xfId="16" xr:uid="{00000000-0005-0000-0000-000024B30000}"/>
    <cellStyle name="p-green 2" xfId="35" xr:uid="{00000000-0005-0000-0000-000025B30000}"/>
    <cellStyle name="p-green 2 2" xfId="1465" xr:uid="{00000000-0005-0000-0000-000026B30000}"/>
    <cellStyle name="p-green 2 3" xfId="200" xr:uid="{00000000-0005-0000-0000-000027B30000}"/>
    <cellStyle name="p-green 3" xfId="1047" xr:uid="{00000000-0005-0000-0000-000028B30000}"/>
    <cellStyle name="p-green 3 2" xfId="1349" xr:uid="{00000000-0005-0000-0000-000029B30000}"/>
    <cellStyle name="p-green 4" xfId="1445" xr:uid="{00000000-0005-0000-0000-00002AB30000}"/>
    <cellStyle name="p-green 5" xfId="3911" xr:uid="{00000000-0005-0000-0000-00002BB30000}"/>
    <cellStyle name="p-red" xfId="17" xr:uid="{00000000-0005-0000-0000-00002CB30000}"/>
    <cellStyle name="p-red 2" xfId="427" xr:uid="{00000000-0005-0000-0000-00002DB30000}"/>
    <cellStyle name="p-red 3" xfId="450" xr:uid="{00000000-0005-0000-0000-00002EB30000}"/>
    <cellStyle name="p-red 4" xfId="388" xr:uid="{00000000-0005-0000-0000-00002FB30000}"/>
    <cellStyle name="p-red 5" xfId="654" xr:uid="{00000000-0005-0000-0000-000030B30000}"/>
    <cellStyle name="p-red 6" xfId="1357" xr:uid="{00000000-0005-0000-0000-000031B30000}"/>
    <cellStyle name="p-red 7" xfId="1375" xr:uid="{00000000-0005-0000-0000-000032B30000}"/>
    <cellStyle name="p-red 8" xfId="2104" xr:uid="{00000000-0005-0000-0000-000033B30000}"/>
    <cellStyle name="p-red 9" xfId="3764" xr:uid="{00000000-0005-0000-0000-000034B30000}"/>
    <cellStyle name="p-white" xfId="18" xr:uid="{00000000-0005-0000-0000-000035B30000}"/>
    <cellStyle name="p-yellow" xfId="19" xr:uid="{00000000-0005-0000-0000-000036B30000}"/>
    <cellStyle name="Title" xfId="43" builtinId="15" customBuiltin="1"/>
    <cellStyle name="Title 2" xfId="128" xr:uid="{00000000-0005-0000-0000-000038B30000}"/>
    <cellStyle name="Title 2 2" xfId="323" xr:uid="{00000000-0005-0000-0000-000039B30000}"/>
    <cellStyle name="Title 2 3" xfId="2807" xr:uid="{00000000-0005-0000-0000-00003AB30000}"/>
    <cellStyle name="Title 2 4" xfId="3891" xr:uid="{00000000-0005-0000-0000-00003BB30000}"/>
    <cellStyle name="Title 3" xfId="132" xr:uid="{00000000-0005-0000-0000-00003CB30000}"/>
    <cellStyle name="Title 3 2" xfId="465" xr:uid="{00000000-0005-0000-0000-00003DB30000}"/>
    <cellStyle name="Title 3 3" xfId="428" xr:uid="{00000000-0005-0000-0000-00003EB30000}"/>
    <cellStyle name="Title 3 4" xfId="1407" xr:uid="{00000000-0005-0000-0000-00003FB30000}"/>
    <cellStyle name="Title 4" xfId="267" xr:uid="{00000000-0005-0000-0000-000040B30000}"/>
    <cellStyle name="Title 5" xfId="1472" xr:uid="{00000000-0005-0000-0000-000041B30000}"/>
    <cellStyle name="Title 6" xfId="3475" xr:uid="{00000000-0005-0000-0000-000042B30000}"/>
    <cellStyle name="Title 7" xfId="85" xr:uid="{00000000-0005-0000-0000-000043B30000}"/>
    <cellStyle name="Total 10" xfId="2200" xr:uid="{00000000-0005-0000-0000-000044B30000}"/>
    <cellStyle name="Total 11" xfId="86" xr:uid="{00000000-0005-0000-0000-000045B30000}"/>
    <cellStyle name="Total 2" xfId="129" xr:uid="{00000000-0005-0000-0000-000046B30000}"/>
    <cellStyle name="Total 2 2" xfId="293" xr:uid="{00000000-0005-0000-0000-000047B30000}"/>
    <cellStyle name="Total 2 3" xfId="2808" xr:uid="{00000000-0005-0000-0000-000048B30000}"/>
    <cellStyle name="Total 2 4" xfId="3519" xr:uid="{00000000-0005-0000-0000-000049B30000}"/>
    <cellStyle name="Total 3" xfId="148" xr:uid="{00000000-0005-0000-0000-00004AB30000}"/>
    <cellStyle name="Total 3 2" xfId="481" xr:uid="{00000000-0005-0000-0000-00004BB30000}"/>
    <cellStyle name="Total 3 3" xfId="429" xr:uid="{00000000-0005-0000-0000-00004CB30000}"/>
    <cellStyle name="Total 3 4" xfId="1426" xr:uid="{00000000-0005-0000-0000-00004DB30000}"/>
    <cellStyle name="Total 4" xfId="268" xr:uid="{00000000-0005-0000-0000-00004EB30000}"/>
    <cellStyle name="Total 5" xfId="689" xr:uid="{00000000-0005-0000-0000-00004FB30000}"/>
    <cellStyle name="Total 6" xfId="1417" xr:uid="{00000000-0005-0000-0000-000050B30000}"/>
    <cellStyle name="Total 7" xfId="1463" xr:uid="{00000000-0005-0000-0000-000051B30000}"/>
    <cellStyle name="Total 8" xfId="1403" xr:uid="{00000000-0005-0000-0000-000052B30000}"/>
    <cellStyle name="Total 8 2" xfId="3884" xr:uid="{00000000-0005-0000-0000-000053B30000}"/>
    <cellStyle name="Total 9" xfId="2751" xr:uid="{00000000-0005-0000-0000-000054B30000}"/>
    <cellStyle name="Warning Text 10" xfId="87" xr:uid="{00000000-0005-0000-0000-000055B30000}"/>
    <cellStyle name="Warning Text 2" xfId="130" xr:uid="{00000000-0005-0000-0000-000056B30000}"/>
    <cellStyle name="Warning Text 2 2" xfId="317" xr:uid="{00000000-0005-0000-0000-000057B30000}"/>
    <cellStyle name="Warning Text 2 3" xfId="2809" xr:uid="{00000000-0005-0000-0000-000058B30000}"/>
    <cellStyle name="Warning Text 2 4" xfId="3877" xr:uid="{00000000-0005-0000-0000-000059B30000}"/>
    <cellStyle name="Warning Text 3" xfId="145" xr:uid="{00000000-0005-0000-0000-00005AB30000}"/>
    <cellStyle name="Warning Text 3 2" xfId="478" xr:uid="{00000000-0005-0000-0000-00005BB30000}"/>
    <cellStyle name="Warning Text 3 3" xfId="430" xr:uid="{00000000-0005-0000-0000-00005CB30000}"/>
    <cellStyle name="Warning Text 3 4" xfId="1405" xr:uid="{00000000-0005-0000-0000-00005DB30000}"/>
    <cellStyle name="Warning Text 4" xfId="269" xr:uid="{00000000-0005-0000-0000-00005EB30000}"/>
    <cellStyle name="Warning Text 5" xfId="687" xr:uid="{00000000-0005-0000-0000-00005FB30000}"/>
    <cellStyle name="Warning Text 6" xfId="743" xr:uid="{00000000-0005-0000-0000-000060B30000}"/>
    <cellStyle name="Warning Text 7" xfId="1451" xr:uid="{00000000-0005-0000-0000-000061B30000}"/>
    <cellStyle name="Warning Text 8" xfId="770" xr:uid="{00000000-0005-0000-0000-000062B30000}"/>
    <cellStyle name="Warning Text 8 2" xfId="3892" xr:uid="{00000000-0005-0000-0000-000063B30000}"/>
    <cellStyle name="Warning Text 9" xfId="3423" xr:uid="{00000000-0005-0000-0000-000064B30000}"/>
    <cellStyle name="x-Courier" xfId="2108" xr:uid="{00000000-0005-0000-0000-000065B30000}"/>
    <cellStyle name="y-Blk-on-Grn" xfId="3537" xr:uid="{00000000-0005-0000-0000-000066B30000}"/>
    <cellStyle name="y-Blk-on-Grn 2" xfId="3868" xr:uid="{00000000-0005-0000-0000-000067B30000}"/>
    <cellStyle name="y-Blk-on-Pnk" xfId="20" xr:uid="{00000000-0005-0000-0000-000068B30000}"/>
    <cellStyle name="y-Blk-on-Pnk 2" xfId="3444" xr:uid="{00000000-0005-0000-0000-000069B30000}"/>
    <cellStyle name="y-Blk-on-Pnk 3" xfId="3449" xr:uid="{00000000-0005-0000-0000-00006AB30000}"/>
    <cellStyle name="y-Blk-on-Wht" xfId="3504" xr:uid="{00000000-0005-0000-0000-00006BB30000}"/>
    <cellStyle name="y-Blu-on-Yel" xfId="21" xr:uid="{00000000-0005-0000-0000-00006CB30000}"/>
    <cellStyle name="y-Blu-on-Yel 2" xfId="433" xr:uid="{00000000-0005-0000-0000-00006DB30000}"/>
    <cellStyle name="y-Blu-on-Yel 3" xfId="2113" xr:uid="{00000000-0005-0000-0000-00006EB30000}"/>
    <cellStyle name="y-Blu-on-Yel 4" xfId="3511" xr:uid="{00000000-0005-0000-0000-00006FB30000}"/>
    <cellStyle name="y-Blu-on-Yel 5" xfId="173" xr:uid="{00000000-0005-0000-0000-000070B30000}"/>
    <cellStyle name="y-Wht-on-Red" xfId="22" xr:uid="{00000000-0005-0000-0000-000071B30000}"/>
    <cellStyle name="y-Wht-on-Red 2" xfId="3535" xr:uid="{00000000-0005-0000-0000-000072B30000}"/>
    <cellStyle name="y-Wht-on-Red 3" xfId="3463" xr:uid="{00000000-0005-0000-0000-000073B30000}"/>
    <cellStyle name="y-Yel-on-Blu" xfId="23" xr:uid="{00000000-0005-0000-0000-000074B30000}"/>
    <cellStyle name="y-Yel-on-Blu 2" xfId="3421" xr:uid="{00000000-0005-0000-0000-000075B30000}"/>
    <cellStyle name="y-Yel-on-Blu 3" xfId="3536" xr:uid="{00000000-0005-0000-0000-000076B30000}"/>
    <cellStyle name="zCurrency0" xfId="3424" xr:uid="{00000000-0005-0000-0000-000077B30000}"/>
    <cellStyle name="zCurrency2" xfId="3470" xr:uid="{00000000-0005-0000-0000-000078B30000}"/>
    <cellStyle name="zDate" xfId="3441" xr:uid="{00000000-0005-0000-0000-000079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FFC0"/>
      <rgbColor rgb="00A0A0FF"/>
      <rgbColor rgb="00FFC460"/>
      <rgbColor rgb="000000FF"/>
      <rgbColor rgb="00D0FFD0"/>
      <rgbColor rgb="00FF0000"/>
      <rgbColor rgb="00FFFF80"/>
      <rgbColor rgb="008080FF"/>
      <rgbColor rgb="00FF9620"/>
      <rgbColor rgb="00FFC0FF"/>
      <rgbColor rgb="00A0FFA0"/>
      <rgbColor rgb="00808080"/>
      <rgbColor rgb="00FFFF00"/>
      <rgbColor rgb="00FF005B"/>
      <rgbColor rgb="00FF8000"/>
      <rgbColor rgb="0000FF80"/>
      <rgbColor rgb="0080FF00"/>
      <rgbColor rgb="000080FF"/>
      <rgbColor rgb="008000FF"/>
      <rgbColor rgb="00BEFFBE"/>
      <rgbColor rgb="00C0C0FF"/>
      <rgbColor rgb="00B44180"/>
      <rgbColor rgb="000000A0"/>
      <rgbColor rgb="0000A000"/>
      <rgbColor rgb="00B40000"/>
      <rgbColor rgb="0000A0A0"/>
      <rgbColor rgb="00BEBE00"/>
      <rgbColor rgb="00A000A0"/>
      <rgbColor rgb="00B2B2B2"/>
      <rgbColor rgb="00D0D0FF"/>
      <rgbColor rgb="00E0FFE0"/>
      <rgbColor rgb="00FFFFE0"/>
      <rgbColor rgb="00FFE480"/>
      <rgbColor rgb="00E4E4FA"/>
      <rgbColor rgb="00E4E4E4"/>
      <rgbColor rgb="00FFE4FF"/>
      <rgbColor rgb="00FFF0F0"/>
      <rgbColor rgb="00C0C0FF"/>
      <rgbColor rgb="00C0FFC0"/>
      <rgbColor rgb="00FFA440"/>
      <rgbColor rgb="00FFE0E0"/>
      <rgbColor rgb="00FFD0D0"/>
      <rgbColor rgb="00FFC0C0"/>
      <rgbColor rgb="00FFA0FF"/>
      <rgbColor rgb="0000FFFF"/>
      <rgbColor rgb="0080FF80"/>
      <rgbColor rgb="00FFFFA0"/>
      <rgbColor rgb="00FFFF00"/>
      <rgbColor rgb="00FF8000"/>
      <rgbColor rgb="00FF8080"/>
      <rgbColor rgb="00FFD0FF"/>
      <rgbColor rgb="00FF80FF"/>
      <rgbColor rgb="00FF00FF"/>
    </indexedColors>
    <mruColors>
      <color rgb="FF66FFCC"/>
      <color rgb="FF00FFFF"/>
      <color rgb="FFFF99FF"/>
      <color rgb="FF99FF99"/>
      <color rgb="FF9999FF"/>
      <color rgb="FF9966FF"/>
      <color rgb="FF66FF66"/>
      <color rgb="FFFFFFCC"/>
      <color rgb="FF99CC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92182410423453"/>
          <c:y val="3.0100367218383692E-2"/>
          <c:w val="0.79967426710099065"/>
          <c:h val="0.9152741291218999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B44180"/>
              </a:solidFill>
              <a:ln>
                <a:solidFill>
                  <a:srgbClr val="B44180"/>
                </a:solidFill>
                <a:prstDash val="solid"/>
              </a:ln>
            </c:spPr>
          </c:marker>
          <c:xVal>
            <c:numLit>
              <c:formatCode>General</c:formatCode>
              <c:ptCount val="60"/>
              <c:pt idx="0">
                <c:v>54.151666666656226</c:v>
              </c:pt>
              <c:pt idx="1">
                <c:v>54.111666666659794</c:v>
              </c:pt>
              <c:pt idx="2">
                <c:v>54.782666666665975</c:v>
              </c:pt>
              <c:pt idx="3">
                <c:v>54.783333333333331</c:v>
              </c:pt>
              <c:pt idx="4">
                <c:v>54.146666666665944</c:v>
              </c:pt>
              <c:pt idx="5">
                <c:v>54.148333333333333</c:v>
              </c:pt>
              <c:pt idx="6">
                <c:v>54.785000000000011</c:v>
              </c:pt>
              <c:pt idx="7">
                <c:v>54.783333333333331</c:v>
              </c:pt>
              <c:pt idx="8">
                <c:v>54.15</c:v>
              </c:pt>
              <c:pt idx="9">
                <c:v>54.783333333333331</c:v>
              </c:pt>
              <c:pt idx="10">
                <c:v>54.785000000000011</c:v>
              </c:pt>
              <c:pt idx="11">
                <c:v>54.781666666659994</c:v>
              </c:pt>
              <c:pt idx="12">
                <c:v>54.15</c:v>
              </c:pt>
              <c:pt idx="13">
                <c:v>54.788333333333362</c:v>
              </c:pt>
              <c:pt idx="14">
                <c:v>54.785000000000011</c:v>
              </c:pt>
              <c:pt idx="15">
                <c:v>54.783333333333331</c:v>
              </c:pt>
              <c:pt idx="16">
                <c:v>54.001599999999996</c:v>
              </c:pt>
              <c:pt idx="17">
                <c:v>54.002416666665994</c:v>
              </c:pt>
              <c:pt idx="18">
                <c:v>54.003366666665997</c:v>
              </c:pt>
              <c:pt idx="19">
                <c:v>54.007266666659994</c:v>
              </c:pt>
              <c:pt idx="20">
                <c:v>53.997800000000005</c:v>
              </c:pt>
              <c:pt idx="21">
                <c:v>54.001883333331975</c:v>
              </c:pt>
              <c:pt idx="22">
                <c:v>54.002416666665994</c:v>
              </c:pt>
              <c:pt idx="23">
                <c:v>53.994366666665996</c:v>
              </c:pt>
              <c:pt idx="24">
                <c:v>54.006283333333194</c:v>
              </c:pt>
              <c:pt idx="25">
                <c:v>53.996200000000002</c:v>
              </c:pt>
              <c:pt idx="26">
                <c:v>54.000766666665974</c:v>
              </c:pt>
              <c:pt idx="27">
                <c:v>53.992083333333326</c:v>
              </c:pt>
              <c:pt idx="28">
                <c:v>54.583333333333336</c:v>
              </c:pt>
              <c:pt idx="29">
                <c:v>54.449999999999996</c:v>
              </c:pt>
              <c:pt idx="30">
                <c:v>54.791666666665975</c:v>
              </c:pt>
              <c:pt idx="31">
                <c:v>54.795000000000513</c:v>
              </c:pt>
              <c:pt idx="32">
                <c:v>54.230000000000011</c:v>
              </c:pt>
              <c:pt idx="33">
                <c:v>54.783333333333331</c:v>
              </c:pt>
              <c:pt idx="34">
                <c:v>54.779716666666644</c:v>
              </c:pt>
              <c:pt idx="35">
                <c:v>54.778900000000213</c:v>
              </c:pt>
              <c:pt idx="36">
                <c:v>54.776666666665975</c:v>
              </c:pt>
              <c:pt idx="37">
                <c:v>54.563333333333333</c:v>
              </c:pt>
              <c:pt idx="38">
                <c:v>54.781666666659994</c:v>
              </c:pt>
              <c:pt idx="39">
                <c:v>54.55833333333333</c:v>
              </c:pt>
              <c:pt idx="40">
                <c:v>54.563333333333333</c:v>
              </c:pt>
              <c:pt idx="41">
                <c:v>54.460766666665997</c:v>
              </c:pt>
              <c:pt idx="42">
                <c:v>54.777183333333326</c:v>
              </c:pt>
              <c:pt idx="43">
                <c:v>54.775116666666655</c:v>
              </c:pt>
              <c:pt idx="44">
                <c:v>54.344999999999999</c:v>
              </c:pt>
              <c:pt idx="45">
                <c:v>54.339333333333336</c:v>
              </c:pt>
              <c:pt idx="46">
                <c:v>54.423333333333332</c:v>
              </c:pt>
              <c:pt idx="47">
                <c:v>54.573333333333331</c:v>
              </c:pt>
              <c:pt idx="48">
                <c:v>54.421666666659995</c:v>
              </c:pt>
              <c:pt idx="49">
                <c:v>57.316666666655728</c:v>
              </c:pt>
              <c:pt idx="50">
                <c:v>57.334416666665994</c:v>
              </c:pt>
              <c:pt idx="51">
                <c:v>57.314999999999998</c:v>
              </c:pt>
              <c:pt idx="52">
                <c:v>53.333611111111104</c:v>
              </c:pt>
              <c:pt idx="53">
                <c:v>53.914666666655023</c:v>
              </c:pt>
              <c:pt idx="54">
                <c:v>53.833333333333336</c:v>
              </c:pt>
              <c:pt idx="55">
                <c:v>55.118888888888911</c:v>
              </c:pt>
              <c:pt idx="56">
                <c:v>53.977980555554844</c:v>
              </c:pt>
              <c:pt idx="57">
                <c:v>57.196758333333413</c:v>
              </c:pt>
              <c:pt idx="58">
                <c:v>54.537433333333325</c:v>
              </c:pt>
            </c:numLit>
          </c:xVal>
          <c:yVal>
            <c:numLit>
              <c:formatCode>General</c:formatCode>
              <c:ptCount val="60"/>
              <c:pt idx="0">
                <c:v>18.403333333327915</c:v>
              </c:pt>
              <c:pt idx="1">
                <c:v>18.226666666666667</c:v>
              </c:pt>
              <c:pt idx="2">
                <c:v>19.321999999999999</c:v>
              </c:pt>
              <c:pt idx="3">
                <c:v>19.326666666666668</c:v>
              </c:pt>
              <c:pt idx="4">
                <c:v>18.403333333327915</c:v>
              </c:pt>
              <c:pt idx="5">
                <c:v>18.401666666666667</c:v>
              </c:pt>
              <c:pt idx="6">
                <c:v>19.326666666666668</c:v>
              </c:pt>
              <c:pt idx="7">
                <c:v>19.329999999999988</c:v>
              </c:pt>
              <c:pt idx="8">
                <c:v>18.403333333327915</c:v>
              </c:pt>
              <c:pt idx="9">
                <c:v>19.329999999999988</c:v>
              </c:pt>
              <c:pt idx="10">
                <c:v>19.328333333328459</c:v>
              </c:pt>
              <c:pt idx="11">
                <c:v>19.328333333328459</c:v>
              </c:pt>
              <c:pt idx="12">
                <c:v>18.403333333327915</c:v>
              </c:pt>
              <c:pt idx="13">
                <c:v>19.332666666666668</c:v>
              </c:pt>
              <c:pt idx="14">
                <c:v>19.332833333332989</c:v>
              </c:pt>
              <c:pt idx="15">
                <c:v>19.326666666666668</c:v>
              </c:pt>
              <c:pt idx="16">
                <c:v>18.248349999998489</c:v>
              </c:pt>
              <c:pt idx="17">
                <c:v>18.248616666666589</c:v>
              </c:pt>
              <c:pt idx="18">
                <c:v>18.248566666666662</c:v>
              </c:pt>
              <c:pt idx="19">
                <c:v>18.249416666666662</c:v>
              </c:pt>
              <c:pt idx="20">
                <c:v>18.244700000000002</c:v>
              </c:pt>
              <c:pt idx="21">
                <c:v>18.246666666666666</c:v>
              </c:pt>
              <c:pt idx="22">
                <c:v>18.2468</c:v>
              </c:pt>
              <c:pt idx="23">
                <c:v>18.249599999999589</c:v>
              </c:pt>
              <c:pt idx="24">
                <c:v>18.247216666666667</c:v>
              </c:pt>
              <c:pt idx="25">
                <c:v>18.2469</c:v>
              </c:pt>
              <c:pt idx="26">
                <c:v>18.253766666666667</c:v>
              </c:pt>
              <c:pt idx="27">
                <c:v>18.256499999999889</c:v>
              </c:pt>
              <c:pt idx="28">
                <c:v>19.416666666666668</c:v>
              </c:pt>
              <c:pt idx="29">
                <c:v>18.716666666666665</c:v>
              </c:pt>
              <c:pt idx="30">
                <c:v>19.324999999999999</c:v>
              </c:pt>
              <c:pt idx="31">
                <c:v>19.333333333332789</c:v>
              </c:pt>
              <c:pt idx="32">
                <c:v>18.588333333326876</c:v>
              </c:pt>
              <c:pt idx="33">
                <c:v>19.331666666666695</c:v>
              </c:pt>
              <c:pt idx="34">
                <c:v>19.330150000000035</c:v>
              </c:pt>
              <c:pt idx="35">
                <c:v>19.331733333332789</c:v>
              </c:pt>
              <c:pt idx="36">
                <c:v>19.331666666666695</c:v>
              </c:pt>
              <c:pt idx="37">
                <c:v>19.396666666666668</c:v>
              </c:pt>
              <c:pt idx="38">
                <c:v>19.324999999999999</c:v>
              </c:pt>
              <c:pt idx="39">
                <c:v>19.396666666666668</c:v>
              </c:pt>
              <c:pt idx="40">
                <c:v>19.398333333328594</c:v>
              </c:pt>
              <c:pt idx="41">
                <c:v>18.722099999999589</c:v>
              </c:pt>
              <c:pt idx="42">
                <c:v>19.328099999999989</c:v>
              </c:pt>
              <c:pt idx="43">
                <c:v>19.326750000000001</c:v>
              </c:pt>
              <c:pt idx="44">
                <c:v>18.914444444444445</c:v>
              </c:pt>
              <c:pt idx="45">
                <c:v>18.890666666666668</c:v>
              </c:pt>
              <c:pt idx="46">
                <c:v>18.423333333327573</c:v>
              </c:pt>
              <c:pt idx="47">
                <c:v>19.291666666666668</c:v>
              </c:pt>
              <c:pt idx="48">
                <c:v>18.416666666666668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9BC-4193-A273-5C751C9C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80128"/>
        <c:axId val="115286016"/>
      </c:scatterChart>
      <c:valAx>
        <c:axId val="115280128"/>
        <c:scaling>
          <c:orientation val="minMax"/>
          <c:max val="55.77"/>
          <c:min val="54.7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86016"/>
        <c:crosses val="autoZero"/>
        <c:crossBetween val="midCat"/>
      </c:valAx>
      <c:valAx>
        <c:axId val="115286016"/>
        <c:scaling>
          <c:orientation val="minMax"/>
          <c:max val="19.350000000000001"/>
          <c:min val="19.309999999999999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80128"/>
        <c:crosses val="autoZero"/>
        <c:crossBetween val="midCat"/>
      </c:valAx>
      <c:spPr>
        <a:solidFill>
          <a:srgbClr val="FFFFFF"/>
        </a:solidFill>
        <a:ln w="12700">
          <a:solidFill>
            <a:srgbClr val="FFFF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859625929561"/>
          <c:y val="3.7533512064348212E-2"/>
          <c:w val="0.81632761523120645"/>
          <c:h val="0.8954423592493295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B44180"/>
              </a:solidFill>
              <a:ln>
                <a:solidFill>
                  <a:srgbClr val="B44180"/>
                </a:solidFill>
                <a:prstDash val="solid"/>
              </a:ln>
            </c:spPr>
          </c:marker>
          <c:xVal>
            <c:numLit>
              <c:formatCode>General</c:formatCode>
              <c:ptCount val="50"/>
              <c:pt idx="0">
                <c:v>54.151666666656226</c:v>
              </c:pt>
              <c:pt idx="1">
                <c:v>54.111666666659794</c:v>
              </c:pt>
              <c:pt idx="2">
                <c:v>54.782666666665975</c:v>
              </c:pt>
              <c:pt idx="3">
                <c:v>54.783333333333331</c:v>
              </c:pt>
              <c:pt idx="4">
                <c:v>54.146666666665944</c:v>
              </c:pt>
              <c:pt idx="5">
                <c:v>54.148333333333333</c:v>
              </c:pt>
              <c:pt idx="6">
                <c:v>54.785000000000011</c:v>
              </c:pt>
              <c:pt idx="7">
                <c:v>54.783333333333331</c:v>
              </c:pt>
              <c:pt idx="8">
                <c:v>54.15</c:v>
              </c:pt>
              <c:pt idx="9">
                <c:v>54.783333333333331</c:v>
              </c:pt>
              <c:pt idx="10">
                <c:v>54.785000000000011</c:v>
              </c:pt>
              <c:pt idx="11">
                <c:v>54.781666666659994</c:v>
              </c:pt>
              <c:pt idx="12">
                <c:v>54.15</c:v>
              </c:pt>
              <c:pt idx="13">
                <c:v>54.788333333333362</c:v>
              </c:pt>
              <c:pt idx="14">
                <c:v>54.785000000000011</c:v>
              </c:pt>
              <c:pt idx="15">
                <c:v>54.783333333333331</c:v>
              </c:pt>
              <c:pt idx="16">
                <c:v>54.001599999999996</c:v>
              </c:pt>
              <c:pt idx="17">
                <c:v>54.002416666665994</c:v>
              </c:pt>
              <c:pt idx="18">
                <c:v>54.003366666665997</c:v>
              </c:pt>
              <c:pt idx="19">
                <c:v>54.007266666659994</c:v>
              </c:pt>
              <c:pt idx="20">
                <c:v>53.997800000000005</c:v>
              </c:pt>
              <c:pt idx="21">
                <c:v>54.001883333331975</c:v>
              </c:pt>
              <c:pt idx="22">
                <c:v>54.002416666665994</c:v>
              </c:pt>
              <c:pt idx="23">
                <c:v>53.994366666665996</c:v>
              </c:pt>
              <c:pt idx="24">
                <c:v>54.006283333333194</c:v>
              </c:pt>
              <c:pt idx="25">
                <c:v>53.996200000000002</c:v>
              </c:pt>
              <c:pt idx="26">
                <c:v>54.000766666665974</c:v>
              </c:pt>
              <c:pt idx="27">
                <c:v>53.992083333333326</c:v>
              </c:pt>
              <c:pt idx="28">
                <c:v>54.583333333333336</c:v>
              </c:pt>
              <c:pt idx="29">
                <c:v>54.449999999999996</c:v>
              </c:pt>
              <c:pt idx="30">
                <c:v>54.791666666665975</c:v>
              </c:pt>
              <c:pt idx="31">
                <c:v>54.795000000000513</c:v>
              </c:pt>
              <c:pt idx="32">
                <c:v>54.230000000000011</c:v>
              </c:pt>
              <c:pt idx="33">
                <c:v>54.783333333333331</c:v>
              </c:pt>
              <c:pt idx="34">
                <c:v>54.779716666666644</c:v>
              </c:pt>
              <c:pt idx="35">
                <c:v>54.778900000000213</c:v>
              </c:pt>
              <c:pt idx="36">
                <c:v>54.776666666665975</c:v>
              </c:pt>
              <c:pt idx="37">
                <c:v>54.563333333333333</c:v>
              </c:pt>
              <c:pt idx="38">
                <c:v>54.781666666659994</c:v>
              </c:pt>
              <c:pt idx="39">
                <c:v>54.55833333333333</c:v>
              </c:pt>
              <c:pt idx="40">
                <c:v>54.563333333333333</c:v>
              </c:pt>
              <c:pt idx="41">
                <c:v>54.460766666665997</c:v>
              </c:pt>
              <c:pt idx="42">
                <c:v>54.777183333333326</c:v>
              </c:pt>
              <c:pt idx="43">
                <c:v>54.775116666666655</c:v>
              </c:pt>
              <c:pt idx="44">
                <c:v>54.344999999999999</c:v>
              </c:pt>
              <c:pt idx="45">
                <c:v>54.339333333333336</c:v>
              </c:pt>
              <c:pt idx="46">
                <c:v>54.423333333333332</c:v>
              </c:pt>
              <c:pt idx="47">
                <c:v>54.573333333333331</c:v>
              </c:pt>
              <c:pt idx="48">
                <c:v>54.421666666659995</c:v>
              </c:pt>
              <c:pt idx="49">
                <c:v>57.316666666655728</c:v>
              </c:pt>
            </c:numLit>
          </c:xVal>
          <c:yVal>
            <c:numLit>
              <c:formatCode>General</c:formatCode>
              <c:ptCount val="50"/>
              <c:pt idx="0">
                <c:v>18.403333333327915</c:v>
              </c:pt>
              <c:pt idx="1">
                <c:v>18.226666666666667</c:v>
              </c:pt>
              <c:pt idx="2">
                <c:v>19.321999999999999</c:v>
              </c:pt>
              <c:pt idx="3">
                <c:v>19.326666666666668</c:v>
              </c:pt>
              <c:pt idx="4">
                <c:v>18.403333333327915</c:v>
              </c:pt>
              <c:pt idx="5">
                <c:v>18.401666666666667</c:v>
              </c:pt>
              <c:pt idx="6">
                <c:v>19.326666666666668</c:v>
              </c:pt>
              <c:pt idx="7">
                <c:v>19.329999999999988</c:v>
              </c:pt>
              <c:pt idx="8">
                <c:v>18.403333333327915</c:v>
              </c:pt>
              <c:pt idx="9">
                <c:v>19.329999999999988</c:v>
              </c:pt>
              <c:pt idx="10">
                <c:v>19.328333333328459</c:v>
              </c:pt>
              <c:pt idx="11">
                <c:v>19.328333333328459</c:v>
              </c:pt>
              <c:pt idx="12">
                <c:v>18.403333333327915</c:v>
              </c:pt>
              <c:pt idx="13">
                <c:v>19.332666666666668</c:v>
              </c:pt>
              <c:pt idx="14">
                <c:v>19.332833333332989</c:v>
              </c:pt>
              <c:pt idx="15">
                <c:v>19.326666666666668</c:v>
              </c:pt>
              <c:pt idx="16">
                <c:v>18.248349999998489</c:v>
              </c:pt>
              <c:pt idx="17">
                <c:v>18.248616666666589</c:v>
              </c:pt>
              <c:pt idx="18">
                <c:v>18.248566666666662</c:v>
              </c:pt>
              <c:pt idx="19">
                <c:v>18.249416666666662</c:v>
              </c:pt>
              <c:pt idx="20">
                <c:v>18.244700000000002</c:v>
              </c:pt>
              <c:pt idx="21">
                <c:v>18.246666666666666</c:v>
              </c:pt>
              <c:pt idx="22">
                <c:v>18.2468</c:v>
              </c:pt>
              <c:pt idx="23">
                <c:v>18.249599999999589</c:v>
              </c:pt>
              <c:pt idx="24">
                <c:v>18.247216666666667</c:v>
              </c:pt>
              <c:pt idx="25">
                <c:v>18.2469</c:v>
              </c:pt>
              <c:pt idx="26">
                <c:v>18.253766666666667</c:v>
              </c:pt>
              <c:pt idx="27">
                <c:v>18.256499999999889</c:v>
              </c:pt>
              <c:pt idx="28">
                <c:v>19.416666666666668</c:v>
              </c:pt>
              <c:pt idx="29">
                <c:v>18.716666666666665</c:v>
              </c:pt>
              <c:pt idx="30">
                <c:v>19.324999999999999</c:v>
              </c:pt>
              <c:pt idx="31">
                <c:v>19.333333333332789</c:v>
              </c:pt>
              <c:pt idx="32">
                <c:v>18.588333333326876</c:v>
              </c:pt>
              <c:pt idx="33">
                <c:v>19.331666666666695</c:v>
              </c:pt>
              <c:pt idx="34">
                <c:v>19.330150000000035</c:v>
              </c:pt>
              <c:pt idx="35">
                <c:v>19.331733333332789</c:v>
              </c:pt>
              <c:pt idx="36">
                <c:v>19.331666666666695</c:v>
              </c:pt>
              <c:pt idx="37">
                <c:v>19.396666666666668</c:v>
              </c:pt>
              <c:pt idx="38">
                <c:v>19.324999999999999</c:v>
              </c:pt>
              <c:pt idx="39">
                <c:v>19.396666666666668</c:v>
              </c:pt>
              <c:pt idx="40">
                <c:v>19.398333333328594</c:v>
              </c:pt>
              <c:pt idx="41">
                <c:v>18.722099999999589</c:v>
              </c:pt>
              <c:pt idx="42">
                <c:v>19.328099999999989</c:v>
              </c:pt>
              <c:pt idx="43">
                <c:v>19.326750000000001</c:v>
              </c:pt>
              <c:pt idx="44">
                <c:v>18.914444444444445</c:v>
              </c:pt>
              <c:pt idx="45">
                <c:v>18.890666666666668</c:v>
              </c:pt>
              <c:pt idx="46">
                <c:v>18.423333333327573</c:v>
              </c:pt>
              <c:pt idx="47">
                <c:v>19.291666666666668</c:v>
              </c:pt>
              <c:pt idx="48">
                <c:v>18.416666666666668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4BC-4A71-BA7F-39367F66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22240"/>
        <c:axId val="115340416"/>
      </c:scatterChart>
      <c:valAx>
        <c:axId val="115322240"/>
        <c:scaling>
          <c:orientation val="minMax"/>
          <c:max val="58"/>
          <c:min val="53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40416"/>
        <c:crosses val="autoZero"/>
        <c:crossBetween val="midCat"/>
      </c:valAx>
      <c:valAx>
        <c:axId val="115340416"/>
        <c:scaling>
          <c:orientation val="minMax"/>
          <c:max val="22"/>
          <c:min val="18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22240"/>
        <c:crosses val="autoZero"/>
        <c:crossBetween val="midCat"/>
      </c:valAx>
      <c:spPr>
        <a:solidFill>
          <a:srgbClr val="FFFFFF"/>
        </a:solidFill>
        <a:ln w="12700">
          <a:solidFill>
            <a:srgbClr val="FFFF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135263055293344"/>
          <c:y val="2.0003221080734612E-2"/>
          <c:w val="0.746077266797609"/>
          <c:h val="0.88149158750757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Oman!$L$1</c:f>
              <c:strCache>
                <c:ptCount val="1"/>
                <c:pt idx="0">
                  <c:v>Dhofar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Oman!$L$2:$L$110</c:f>
              <c:numCache>
                <c:formatCode>0.0000</c:formatCode>
                <c:ptCount val="109"/>
                <c:pt idx="8">
                  <c:v>18.256499999999999</c:v>
                </c:pt>
                <c:pt idx="9">
                  <c:v>18.249600000000001</c:v>
                </c:pt>
                <c:pt idx="10">
                  <c:v>18.2469</c:v>
                </c:pt>
                <c:pt idx="11">
                  <c:v>18.244700000000002</c:v>
                </c:pt>
                <c:pt idx="12">
                  <c:v>18.253766666666667</c:v>
                </c:pt>
                <c:pt idx="13">
                  <c:v>18.248349999999999</c:v>
                </c:pt>
                <c:pt idx="14">
                  <c:v>18.246666666666666</c:v>
                </c:pt>
                <c:pt idx="15">
                  <c:v>18.248616666666667</c:v>
                </c:pt>
                <c:pt idx="16">
                  <c:v>18.2468</c:v>
                </c:pt>
                <c:pt idx="17">
                  <c:v>18.248566666666665</c:v>
                </c:pt>
                <c:pt idx="18">
                  <c:v>18.247216666666667</c:v>
                </c:pt>
                <c:pt idx="19">
                  <c:v>18.249416666666665</c:v>
                </c:pt>
                <c:pt idx="20">
                  <c:v>18.248925000000003</c:v>
                </c:pt>
                <c:pt idx="23">
                  <c:v>18.226666666666667</c:v>
                </c:pt>
                <c:pt idx="24">
                  <c:v>18.425000000000001</c:v>
                </c:pt>
                <c:pt idx="29">
                  <c:v>18.46</c:v>
                </c:pt>
                <c:pt idx="31">
                  <c:v>18.403333333333332</c:v>
                </c:pt>
                <c:pt idx="32">
                  <c:v>18.401666666666667</c:v>
                </c:pt>
                <c:pt idx="33">
                  <c:v>18.403333333333332</c:v>
                </c:pt>
                <c:pt idx="34">
                  <c:v>18.403333333333332</c:v>
                </c:pt>
                <c:pt idx="35">
                  <c:v>18.403333333333332</c:v>
                </c:pt>
                <c:pt idx="37">
                  <c:v>18.711500000000001</c:v>
                </c:pt>
                <c:pt idx="38">
                  <c:v>18.71136111111111</c:v>
                </c:pt>
                <c:pt idx="39">
                  <c:v>18.711222222222222</c:v>
                </c:pt>
                <c:pt idx="40">
                  <c:v>18.711361111111113</c:v>
                </c:pt>
                <c:pt idx="42">
                  <c:v>18.468783333333334</c:v>
                </c:pt>
                <c:pt idx="43">
                  <c:v>18.34</c:v>
                </c:pt>
                <c:pt idx="44">
                  <c:v>18.588333333333335</c:v>
                </c:pt>
                <c:pt idx="45">
                  <c:v>18.591999999999999</c:v>
                </c:pt>
                <c:pt idx="49">
                  <c:v>18.890666666666668</c:v>
                </c:pt>
                <c:pt idx="50">
                  <c:v>18.914444444444445</c:v>
                </c:pt>
                <c:pt idx="53">
                  <c:v>18.416666666666668</c:v>
                </c:pt>
                <c:pt idx="54">
                  <c:v>18.423333333333332</c:v>
                </c:pt>
                <c:pt idx="55">
                  <c:v>18.420000000000002</c:v>
                </c:pt>
                <c:pt idx="57">
                  <c:v>18.716666666666665</c:v>
                </c:pt>
                <c:pt idx="58">
                  <c:v>18.722100000000001</c:v>
                </c:pt>
                <c:pt idx="59">
                  <c:v>18.719383333333333</c:v>
                </c:pt>
                <c:pt idx="61">
                  <c:v>19.389513888888889</c:v>
                </c:pt>
                <c:pt idx="64">
                  <c:v>19.010716666666667</c:v>
                </c:pt>
                <c:pt idx="65">
                  <c:v>19.010750000000002</c:v>
                </c:pt>
                <c:pt idx="66">
                  <c:v>19.059861111111111</c:v>
                </c:pt>
                <c:pt idx="67">
                  <c:v>19.027109259259259</c:v>
                </c:pt>
                <c:pt idx="69">
                  <c:v>19.396666666666668</c:v>
                </c:pt>
                <c:pt idx="70">
                  <c:v>19.396666666666668</c:v>
                </c:pt>
                <c:pt idx="71">
                  <c:v>19.398333333333333</c:v>
                </c:pt>
                <c:pt idx="72">
                  <c:v>19.397222222222222</c:v>
                </c:pt>
                <c:pt idx="75">
                  <c:v>19.291666666666668</c:v>
                </c:pt>
                <c:pt idx="77">
                  <c:v>19.416666666666668</c:v>
                </c:pt>
                <c:pt idx="78">
                  <c:v>19.326750000000001</c:v>
                </c:pt>
                <c:pt idx="79">
                  <c:v>19.331666666666667</c:v>
                </c:pt>
                <c:pt idx="80">
                  <c:v>19.328099999999999</c:v>
                </c:pt>
                <c:pt idx="81">
                  <c:v>19.331733333333332</c:v>
                </c:pt>
                <c:pt idx="82">
                  <c:v>19.33015</c:v>
                </c:pt>
                <c:pt idx="83">
                  <c:v>19.324999999999999</c:v>
                </c:pt>
                <c:pt idx="84">
                  <c:v>19.328333333333333</c:v>
                </c:pt>
                <c:pt idx="85">
                  <c:v>19.321999999999999</c:v>
                </c:pt>
                <c:pt idx="86">
                  <c:v>19.326666666666668</c:v>
                </c:pt>
                <c:pt idx="87">
                  <c:v>19.326666666666668</c:v>
                </c:pt>
                <c:pt idx="88">
                  <c:v>19.329999999999998</c:v>
                </c:pt>
                <c:pt idx="89">
                  <c:v>19.329999999999998</c:v>
                </c:pt>
                <c:pt idx="90">
                  <c:v>19.331666666666667</c:v>
                </c:pt>
                <c:pt idx="91">
                  <c:v>19.326666666666668</c:v>
                </c:pt>
                <c:pt idx="92">
                  <c:v>19.328333333333333</c:v>
                </c:pt>
                <c:pt idx="93">
                  <c:v>19.332833333333333</c:v>
                </c:pt>
                <c:pt idx="94">
                  <c:v>19.331666666666667</c:v>
                </c:pt>
                <c:pt idx="95">
                  <c:v>19.332666666666668</c:v>
                </c:pt>
                <c:pt idx="96">
                  <c:v>19.324999999999999</c:v>
                </c:pt>
                <c:pt idx="97">
                  <c:v>19.333333333333332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9D-4537-9BA8-D6E2447800DC}"/>
            </c:ext>
          </c:extLst>
        </c:ser>
        <c:ser>
          <c:idx val="1"/>
          <c:order val="1"/>
          <c:tx>
            <c:strRef>
              <c:f>Oman!$M$1</c:f>
              <c:strCache>
                <c:ptCount val="1"/>
                <c:pt idx="0">
                  <c:v>SaU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noFill/>
            </c:spPr>
          </c:marke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Oman!$M$2:$M$110</c:f>
              <c:numCache>
                <c:formatCode>General</c:formatCode>
                <c:ptCount val="109"/>
                <c:pt idx="100" formatCode="0.0000">
                  <c:v>21.04</c:v>
                </c:pt>
                <c:pt idx="101" formatCode="0.0000">
                  <c:v>20.573183333333333</c:v>
                </c:pt>
                <c:pt idx="102" formatCode="0.0000">
                  <c:v>21.006555555555554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9D-4537-9BA8-D6E2447800DC}"/>
            </c:ext>
          </c:extLst>
        </c:ser>
        <c:ser>
          <c:idx val="2"/>
          <c:order val="2"/>
          <c:tx>
            <c:strRef>
              <c:f>Oman!$N$1</c:f>
              <c:strCache>
                <c:ptCount val="1"/>
                <c:pt idx="0">
                  <c:v>Shişr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Oman!$N$2:$N$110</c:f>
              <c:numCache>
                <c:formatCode>0.0000</c:formatCode>
                <c:ptCount val="109"/>
                <c:pt idx="1">
                  <c:v>18.336388888888887</c:v>
                </c:pt>
                <c:pt idx="2">
                  <c:v>18.566666666666666</c:v>
                </c:pt>
                <c:pt idx="3">
                  <c:v>18.604166666666668</c:v>
                </c:pt>
                <c:pt idx="4">
                  <c:v>18.549077777777779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9D-4537-9BA8-D6E2447800DC}"/>
            </c:ext>
          </c:extLst>
        </c:ser>
        <c:ser>
          <c:idx val="3"/>
          <c:order val="3"/>
          <c:tx>
            <c:strRef>
              <c:f>Oman!$O$1</c:f>
              <c:strCache>
                <c:ptCount val="1"/>
                <c:pt idx="0">
                  <c:v>JaH</c:v>
                </c:pt>
              </c:strCache>
            </c:strRef>
          </c:tx>
          <c:spPr>
            <a:ln w="28575">
              <a:noFill/>
            </a:ln>
          </c:spP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Oman!$O$2:$O$110</c:f>
              <c:numCache>
                <c:formatCode>General</c:formatCode>
                <c:ptCount val="109"/>
                <c:pt idx="98" formatCode="0.0000">
                  <c:v>19.53361111111111</c:v>
                </c:pt>
                <c:pt idx="99" formatCode="0.0000">
                  <c:v>19.3674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9D-4537-9BA8-D6E2447800DC}"/>
            </c:ext>
          </c:extLst>
        </c:ser>
        <c:ser>
          <c:idx val="4"/>
          <c:order val="4"/>
          <c:tx>
            <c:strRef>
              <c:f>Oman!$P$1</c:f>
              <c:strCache>
                <c:ptCount val="1"/>
                <c:pt idx="0">
                  <c:v>AaU</c:v>
                </c:pt>
              </c:strCache>
            </c:strRef>
          </c:tx>
          <c:spPr>
            <a:ln w="28575">
              <a:noFill/>
            </a:ln>
          </c:spP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Oman!$P$2:$P$110</c:f>
              <c:numCache>
                <c:formatCode>General</c:formatCode>
                <c:ptCount val="109"/>
                <c:pt idx="0" formatCode="0.0000">
                  <c:v>22.399983333333335</c:v>
                </c:pt>
                <c:pt idx="43" formatCode="0.0000">
                  <c:v>18.34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D9D-4537-9BA8-D6E24478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11648"/>
        <c:axId val="116813184"/>
      </c:scatterChart>
      <c:valAx>
        <c:axId val="116811648"/>
        <c:scaling>
          <c:orientation val="minMax"/>
          <c:max val="58"/>
          <c:min val="53"/>
        </c:scaling>
        <c:delete val="0"/>
        <c:axPos val="b"/>
        <c:numFmt formatCode="0.0" sourceLinked="0"/>
        <c:majorTickMark val="out"/>
        <c:minorTickMark val="none"/>
        <c:tickLblPos val="nextTo"/>
        <c:crossAx val="116813184"/>
        <c:crosses val="autoZero"/>
        <c:crossBetween val="midCat"/>
      </c:valAx>
      <c:valAx>
        <c:axId val="116813184"/>
        <c:scaling>
          <c:orientation val="minMax"/>
          <c:max val="21.5"/>
          <c:min val="18"/>
        </c:scaling>
        <c:delete val="0"/>
        <c:axPos val="l"/>
        <c:numFmt formatCode="#,##0.0" sourceLinked="0"/>
        <c:majorTickMark val="out"/>
        <c:minorTickMark val="none"/>
        <c:tickLblPos val="nextTo"/>
        <c:crossAx val="116811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79947871958548"/>
          <c:y val="7.2674418604651167E-2"/>
          <c:w val="0.74429389691672065"/>
          <c:h val="0.8052325581395348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B4418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A0A0FF"/>
              </a:solidFill>
              <a:ln>
                <a:solidFill>
                  <a:srgbClr val="A0A0FF"/>
                </a:solidFill>
                <a:prstDash val="solid"/>
              </a:ln>
            </c:spPr>
          </c:marker>
          <c:xVal>
            <c:numRef>
              <c:f>FUpCr!$AD$60:$AD$74</c:f>
              <c:numCache>
                <c:formatCode>General</c:formatCode>
                <c:ptCount val="15"/>
                <c:pt idx="0">
                  <c:v>57</c:v>
                </c:pt>
                <c:pt idx="1">
                  <c:v>58</c:v>
                </c:pt>
                <c:pt idx="2">
                  <c:v>59</c:v>
                </c:pt>
                <c:pt idx="3">
                  <c:v>60</c:v>
                </c:pt>
                <c:pt idx="4">
                  <c:v>61</c:v>
                </c:pt>
                <c:pt idx="5">
                  <c:v>62</c:v>
                </c:pt>
                <c:pt idx="6">
                  <c:v>63</c:v>
                </c:pt>
                <c:pt idx="7">
                  <c:v>64</c:v>
                </c:pt>
                <c:pt idx="8">
                  <c:v>65</c:v>
                </c:pt>
                <c:pt idx="9">
                  <c:v>66</c:v>
                </c:pt>
                <c:pt idx="10">
                  <c:v>67</c:v>
                </c:pt>
                <c:pt idx="11">
                  <c:v>68</c:v>
                </c:pt>
                <c:pt idx="12">
                  <c:v>69</c:v>
                </c:pt>
                <c:pt idx="13">
                  <c:v>70</c:v>
                </c:pt>
                <c:pt idx="14">
                  <c:v>71</c:v>
                </c:pt>
              </c:numCache>
            </c:numRef>
          </c:xVal>
          <c:yVal>
            <c:numRef>
              <c:f>FUpCr!$AJ$60:$AJ$74</c:f>
              <c:numCache>
                <c:formatCode>0.0000</c:formatCode>
                <c:ptCount val="15"/>
                <c:pt idx="0">
                  <c:v>7.3692293500640131</c:v>
                </c:pt>
                <c:pt idx="1">
                  <c:v>6.8263379622405989</c:v>
                </c:pt>
                <c:pt idx="2">
                  <c:v>6.4130670189331731</c:v>
                </c:pt>
                <c:pt idx="3">
                  <c:v>5.9175046832504519</c:v>
                </c:pt>
                <c:pt idx="4">
                  <c:v>5.6910238230541941</c:v>
                </c:pt>
                <c:pt idx="5">
                  <c:v>5.4645429628579363</c:v>
                </c:pt>
                <c:pt idx="6">
                  <c:v>10.587111789932271</c:v>
                </c:pt>
                <c:pt idx="7">
                  <c:v>4.8415277279995612</c:v>
                </c:pt>
                <c:pt idx="8">
                  <c:v>4.6443818419172107</c:v>
                </c:pt>
                <c:pt idx="9">
                  <c:v>4.5861329590303974</c:v>
                </c:pt>
                <c:pt idx="10">
                  <c:v>4.4683433996996946</c:v>
                </c:pt>
                <c:pt idx="11">
                  <c:v>4.3886384202753312</c:v>
                </c:pt>
                <c:pt idx="12">
                  <c:v>4.2861243994492391</c:v>
                </c:pt>
                <c:pt idx="13">
                  <c:v>4.1458092436252585</c:v>
                </c:pt>
                <c:pt idx="14">
                  <c:v>4.033498154360772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04-440A-86E2-A9D646C2E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52384"/>
        <c:axId val="118754304"/>
      </c:scatterChart>
      <c:valAx>
        <c:axId val="118752384"/>
        <c:scaling>
          <c:orientation val="minMax"/>
          <c:max val="72"/>
          <c:min val="56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REE atomic number</a:t>
                </a:r>
              </a:p>
            </c:rich>
          </c:tx>
          <c:layout>
            <c:manualLayout>
              <c:xMode val="edge"/>
              <c:yMode val="edge"/>
              <c:x val="0.50000119848032698"/>
              <c:y val="0.956395348837208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754304"/>
        <c:crosses val="autoZero"/>
        <c:crossBetween val="midCat"/>
        <c:majorUnit val="1"/>
        <c:minorUnit val="1"/>
      </c:valAx>
      <c:valAx>
        <c:axId val="118754304"/>
        <c:scaling>
          <c:logBase val="10"/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CI-normalized concentration</a:t>
                </a:r>
              </a:p>
            </c:rich>
          </c:tx>
          <c:layout>
            <c:manualLayout>
              <c:xMode val="edge"/>
              <c:yMode val="edge"/>
              <c:x val="9.5890650654969503E-2"/>
              <c:y val="0.386627906976796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752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57142857144194"/>
          <c:y val="4.7210349896842634E-2"/>
          <c:w val="0.74857142857144165"/>
          <c:h val="0.85622407312922444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B4418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A0A0FF"/>
              </a:solidFill>
              <a:ln>
                <a:solidFill>
                  <a:srgbClr val="A0A0FF"/>
                </a:solidFill>
                <a:prstDash val="solid"/>
              </a:ln>
            </c:spPr>
          </c:marker>
          <c:xVal>
            <c:numRef>
              <c:f>FUpCr!$AD$60:$AD$74</c:f>
              <c:numCache>
                <c:formatCode>General</c:formatCode>
                <c:ptCount val="15"/>
                <c:pt idx="0">
                  <c:v>57</c:v>
                </c:pt>
                <c:pt idx="1">
                  <c:v>58</c:v>
                </c:pt>
                <c:pt idx="2">
                  <c:v>59</c:v>
                </c:pt>
                <c:pt idx="3">
                  <c:v>60</c:v>
                </c:pt>
                <c:pt idx="4">
                  <c:v>61</c:v>
                </c:pt>
                <c:pt idx="5">
                  <c:v>62</c:v>
                </c:pt>
                <c:pt idx="6">
                  <c:v>63</c:v>
                </c:pt>
                <c:pt idx="7">
                  <c:v>64</c:v>
                </c:pt>
                <c:pt idx="8">
                  <c:v>65</c:v>
                </c:pt>
                <c:pt idx="9">
                  <c:v>66</c:v>
                </c:pt>
                <c:pt idx="10">
                  <c:v>67</c:v>
                </c:pt>
                <c:pt idx="11">
                  <c:v>68</c:v>
                </c:pt>
                <c:pt idx="12">
                  <c:v>69</c:v>
                </c:pt>
                <c:pt idx="13">
                  <c:v>70</c:v>
                </c:pt>
                <c:pt idx="14">
                  <c:v>71</c:v>
                </c:pt>
              </c:numCache>
            </c:numRef>
          </c:xVal>
          <c:yVal>
            <c:numRef>
              <c:f>FUpCr!$BE$60:$BE$74</c:f>
              <c:numCache>
                <c:formatCode>0.00</c:formatCode>
                <c:ptCount val="15"/>
                <c:pt idx="0">
                  <c:v>10.174472208178642</c:v>
                </c:pt>
                <c:pt idx="1">
                  <c:v>10.831277504243015</c:v>
                </c:pt>
                <c:pt idx="2">
                  <c:v>8.5366612251213621</c:v>
                </c:pt>
                <c:pt idx="3">
                  <c:v>7.8243317500493843</c:v>
                </c:pt>
                <c:pt idx="4">
                  <c:v>7.6530055161211212</c:v>
                </c:pt>
                <c:pt idx="5">
                  <c:v>7.481679282192859</c:v>
                </c:pt>
                <c:pt idx="6">
                  <c:v>13.441177531465565</c:v>
                </c:pt>
                <c:pt idx="7">
                  <c:v>6.538569199039002</c:v>
                </c:pt>
                <c:pt idx="8">
                  <c:v>6.2104013745008189</c:v>
                </c:pt>
                <c:pt idx="9">
                  <c:v>6.1912605393125348</c:v>
                </c:pt>
                <c:pt idx="10">
                  <c:v>5.9785686104753077</c:v>
                </c:pt>
                <c:pt idx="11">
                  <c:v>5.773539469213266</c:v>
                </c:pt>
                <c:pt idx="12">
                  <c:v>5.5758875434964299</c:v>
                </c:pt>
                <c:pt idx="13">
                  <c:v>5.3853381693303986</c:v>
                </c:pt>
                <c:pt idx="14">
                  <c:v>5.2474081080708794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C2-4331-B80A-B6A02DFB2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86368"/>
        <c:axId val="118793344"/>
      </c:scatterChart>
      <c:valAx>
        <c:axId val="118586368"/>
        <c:scaling>
          <c:orientation val="minMax"/>
          <c:max val="72"/>
          <c:min val="5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ZapfHumnst Dm BT"/>
                    <a:ea typeface="ZapfHumnst Dm BT"/>
                    <a:cs typeface="ZapfHumnst Dm BT"/>
                  </a:defRPr>
                </a:pPr>
                <a:r>
                  <a:rPr lang="en-US"/>
                  <a:t>X  (µg/g)</a:t>
                </a:r>
              </a:p>
            </c:rich>
          </c:tx>
          <c:layout>
            <c:manualLayout>
              <c:xMode val="edge"/>
              <c:yMode val="edge"/>
              <c:x val="0.46"/>
              <c:y val="0.93562321877152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793344"/>
        <c:crosses val="autoZero"/>
        <c:crossBetween val="midCat"/>
        <c:majorUnit val="1"/>
        <c:minorUnit val="0.5"/>
      </c:valAx>
      <c:valAx>
        <c:axId val="118793344"/>
        <c:scaling>
          <c:logBase val="10"/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ZapfHumnst Dm BT"/>
                    <a:ea typeface="ZapfHumnst Dm BT"/>
                    <a:cs typeface="ZapfHumnst Dm BT"/>
                  </a:defRPr>
                </a:pPr>
                <a:r>
                  <a:rPr lang="en-US"/>
                  <a:t>Y  (µg/g)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0.409871695222735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5863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38100</xdr:colOff>
      <xdr:row>1</xdr:row>
      <xdr:rowOff>38100</xdr:rowOff>
    </xdr:to>
    <xdr:pic>
      <xdr:nvPicPr>
        <xdr:cNvPr id="13323" name="Picture 1" descr="x">
          <a:extLst>
            <a:ext uri="{FF2B5EF4-FFF2-40B4-BE49-F238E27FC236}">
              <a16:creationId xmlns:a16="http://schemas.microsoft.com/office/drawing/2014/main" id="{00000000-0008-0000-0800-00000B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81700" y="17145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38100</xdr:colOff>
      <xdr:row>5</xdr:row>
      <xdr:rowOff>9525</xdr:rowOff>
    </xdr:to>
    <xdr:pic>
      <xdr:nvPicPr>
        <xdr:cNvPr id="13324" name="Picture 2" descr="s">
          <a:extLst>
            <a:ext uri="{FF2B5EF4-FFF2-40B4-BE49-F238E27FC236}">
              <a16:creationId xmlns:a16="http://schemas.microsoft.com/office/drawing/2014/main" id="{00000000-0008-0000-0800-00000C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81700" y="857250"/>
          <a:ext cx="381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47625</xdr:colOff>
      <xdr:row>5</xdr:row>
      <xdr:rowOff>0</xdr:rowOff>
    </xdr:from>
    <xdr:to>
      <xdr:col>12</xdr:col>
      <xdr:colOff>85725</xdr:colOff>
      <xdr:row>5</xdr:row>
      <xdr:rowOff>38100</xdr:rowOff>
    </xdr:to>
    <xdr:pic>
      <xdr:nvPicPr>
        <xdr:cNvPr id="13325" name="Picture 3" descr="x">
          <a:extLst>
            <a:ext uri="{FF2B5EF4-FFF2-40B4-BE49-F238E27FC236}">
              <a16:creationId xmlns:a16="http://schemas.microsoft.com/office/drawing/2014/main" id="{00000000-0008-0000-0800-00000D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29325" y="85725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38100</xdr:colOff>
      <xdr:row>6</xdr:row>
      <xdr:rowOff>38100</xdr:rowOff>
    </xdr:to>
    <xdr:pic>
      <xdr:nvPicPr>
        <xdr:cNvPr id="13326" name="Picture 4" descr="x">
          <a:extLst>
            <a:ext uri="{FF2B5EF4-FFF2-40B4-BE49-F238E27FC236}">
              <a16:creationId xmlns:a16="http://schemas.microsoft.com/office/drawing/2014/main" id="{00000000-0008-0000-0800-00000E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81700" y="102870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12</xdr:col>
      <xdr:colOff>38100</xdr:colOff>
      <xdr:row>32</xdr:row>
      <xdr:rowOff>38100</xdr:rowOff>
    </xdr:to>
    <xdr:pic>
      <xdr:nvPicPr>
        <xdr:cNvPr id="13327" name="Picture 5" descr="s">
          <a:extLst>
            <a:ext uri="{FF2B5EF4-FFF2-40B4-BE49-F238E27FC236}">
              <a16:creationId xmlns:a16="http://schemas.microsoft.com/office/drawing/2014/main" id="{00000000-0008-0000-0800-00000F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81700" y="548640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57150</xdr:colOff>
      <xdr:row>1</xdr:row>
      <xdr:rowOff>85725</xdr:rowOff>
    </xdr:from>
    <xdr:to>
      <xdr:col>39</xdr:col>
      <xdr:colOff>38100</xdr:colOff>
      <xdr:row>87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466725</xdr:colOff>
      <xdr:row>46</xdr:row>
      <xdr:rowOff>76200</xdr:rowOff>
    </xdr:from>
    <xdr:to>
      <xdr:col>53</xdr:col>
      <xdr:colOff>0</xdr:colOff>
      <xdr:row>86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348273</xdr:colOff>
      <xdr:row>88</xdr:row>
      <xdr:rowOff>101112</xdr:rowOff>
    </xdr:from>
    <xdr:to>
      <xdr:col>25</xdr:col>
      <xdr:colOff>107950</xdr:colOff>
      <xdr:row>117</xdr:row>
      <xdr:rowOff>13188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0.69109</cdr:x>
      <cdr:y>0.05476</cdr:y>
    </cdr:from>
    <cdr:to>
      <cdr:x>0.88612</cdr:x>
      <cdr:y>0.1539</cdr:y>
    </cdr:to>
    <cdr:sp macro="" textlink="">
      <cdr:nvSpPr>
        <cdr:cNvPr id="12291" name="Text Box 3">
          <a:extLst xmlns:a="http://schemas.openxmlformats.org/drawingml/2006/main">
            <a:ext uri="{FF2B5EF4-FFF2-40B4-BE49-F238E27FC236}">
              <a16:creationId xmlns:a16="http://schemas.microsoft.com/office/drawing/2014/main" id="{EB9C10E7-EFAE-47AC-84CD-7FB8FDF9C5C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1502" y="471595"/>
          <a:ext cx="1142441" cy="8479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081, 280,  302,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303, 305, 306, 307,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309, 310, 311,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730, 731,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908, 909, 910, 911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142875</xdr:colOff>
      <xdr:row>63</xdr:row>
      <xdr:rowOff>0</xdr:rowOff>
    </xdr:from>
    <xdr:to>
      <xdr:col>53</xdr:col>
      <xdr:colOff>47625</xdr:colOff>
      <xdr:row>83</xdr:row>
      <xdr:rowOff>38100</xdr:rowOff>
    </xdr:to>
    <xdr:graphicFrame macro="">
      <xdr:nvGraphicFramePr>
        <xdr:cNvPr id="1035" name="Chart 1">
          <a:extLst>
            <a:ext uri="{FF2B5EF4-FFF2-40B4-BE49-F238E27FC236}">
              <a16:creationId xmlns:a16="http://schemas.microsoft.com/office/drawing/2014/main" id="{00000000-0008-0000-0C00-00000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133350</xdr:colOff>
      <xdr:row>53</xdr:row>
      <xdr:rowOff>9525</xdr:rowOff>
    </xdr:from>
    <xdr:to>
      <xdr:col>63</xdr:col>
      <xdr:colOff>266700</xdr:colOff>
      <xdr:row>80</xdr:row>
      <xdr:rowOff>76200</xdr:rowOff>
    </xdr:to>
    <xdr:graphicFrame macro="">
      <xdr:nvGraphicFramePr>
        <xdr:cNvPr id="1036" name="Chart 4">
          <a:extLst>
            <a:ext uri="{FF2B5EF4-FFF2-40B4-BE49-F238E27FC236}">
              <a16:creationId xmlns:a16="http://schemas.microsoft.com/office/drawing/2014/main" id="{00000000-0008-0000-0C00-00000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cgi.ebay.com/ws/eBayISAPI.dll?ViewItem&amp;item=6578695132&amp;ru=http://search.ebay.com:80/search/search.dll?from=R40&amp;satitle=6578695132&amp;fvi=1" TargetMode="External"/><Relationship Id="rId2" Type="http://schemas.openxmlformats.org/officeDocument/2006/relationships/hyperlink" Target="http://cgi.ebay.com/ws/eBayISAPI.dll?ViewItem&amp;item=6578694497&amp;ru=http://search.ebay.com:80/search/search.dll?from=R40&amp;satitle=6578694497&amp;fvi=1" TargetMode="External"/><Relationship Id="rId1" Type="http://schemas.openxmlformats.org/officeDocument/2006/relationships/hyperlink" Target="http://www.meteorite.fr/en/forsale/nwa479.htm" TargetMode="Externa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://cgi.ebay.com/ws/eBayISAPI.dll?ViewItem&amp;item=6578695592&amp;ru=http://search.ebay.com:80/search/search.dll?from=R40&amp;satitle=6578695592&amp;fvi=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researchgate.net/profile/Luigi-Folco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cgi.ebay.com/Dhofar-306-Meteorite-LUNAR-Part-Slice-0-132-gram_W0QQitemZ6570563382QQcategoryZ3239QQssPageNameZWDVWQQrdZ1QQcmdZViewItem" TargetMode="External"/><Relationship Id="rId13" Type="http://schemas.openxmlformats.org/officeDocument/2006/relationships/hyperlink" Target="http://cgi.ebay.com/Dhofar-908-Lunar-Meteorite-Slice-228mg_W0QQitemZ6571503636QQcategoryZ3239QQrdZ1QQcmdZViewItem" TargetMode="External"/><Relationship Id="rId18" Type="http://schemas.openxmlformats.org/officeDocument/2006/relationships/hyperlink" Target="http://cgi.ebay.com/RARE-LUNAR-METEORITE-DHOFAR-305-0-548g-SLICE_W0QQitemZ6576407371QQcategoryZ3239QQssPageNameZWDVWQQrdZ1QQcmdZViewItem" TargetMode="External"/><Relationship Id="rId26" Type="http://schemas.openxmlformats.org/officeDocument/2006/relationships/hyperlink" Target="http://cgi.ebay.com/Lunar-Meteorite-Dar-al-Gani-400-A-LUNA_W0QQitemZ6596092095QQcategoryZ3239QQssPageNameZWDVWQQrdZ1QQcmdZViewItem" TargetMode="External"/><Relationship Id="rId3" Type="http://schemas.openxmlformats.org/officeDocument/2006/relationships/hyperlink" Target="http://cgi.ebay.com/NEA-001-New-Very-Rare-Lunar-Moon-Meteorite-030g_W0QQitemZ6569193578QQcategoryZ3239QQssPageNameZWDVWQQrdZ1QQcmdZViewItem" TargetMode="External"/><Relationship Id="rId21" Type="http://schemas.openxmlformats.org/officeDocument/2006/relationships/hyperlink" Target="http://cgi.ebay.com/RARE-LUNAR-METEORITE-DHOFAR-305-0-798g-COMPLETE-SLICE_W0QQitemZ6578648553QQcategoryZ3239QQssPageNameZWDVWQQrdZ1QQcmdZViewItem" TargetMode="External"/><Relationship Id="rId7" Type="http://schemas.openxmlformats.org/officeDocument/2006/relationships/hyperlink" Target="http://cgi.ebay.com/Dhofar-911-Rare-lunar-meteorite-beauty-50-mg_W0QQitemZ6570938167QQcategoryZ3239QQssPageNameZWDVWQQrdZ1QQcmdZViewItem" TargetMode="External"/><Relationship Id="rId12" Type="http://schemas.openxmlformats.org/officeDocument/2006/relationships/hyperlink" Target="http://cgi.ebay.com/Dhofar-306-Meteorite-LUNAR-Part-Slice-0-088-gram_W0QQitemZ6570872506QQcategoryZ3239QQssPageNameZWDVWQQrdZ1QQcmdZViewItem" TargetMode="External"/><Relationship Id="rId17" Type="http://schemas.openxmlformats.org/officeDocument/2006/relationships/hyperlink" Target="http://cgi.ebay.com/Dhofar-908-Lunar-Meteorite-Slice-206mg_W0QQitemZ6575454562QQcategoryZ3239QQssPageNameZWDVWQQrdZ1QQcmdZViewItem" TargetMode="External"/><Relationship Id="rId25" Type="http://schemas.openxmlformats.org/officeDocument/2006/relationships/hyperlink" Target="http://cgi.ebay.com/Dhofar-908-Lunar-Meteorite-Slice-102mg_W0QQitemZ6592552371QQcategoryZ3239QQrdZ1QQcmdZViewItem" TargetMode="External"/><Relationship Id="rId2" Type="http://schemas.openxmlformats.org/officeDocument/2006/relationships/hyperlink" Target="http://cgi.ebay.com/Dhofar-908-Vial-of-Very-Rare-Lunar-Moon-Meteorite-100mg_W0QQitemZ6569192769QQcategoryZ3239QQssPageNameZWDVWQQrdZ1QQcmdZViewItem" TargetMode="External"/><Relationship Id="rId16" Type="http://schemas.openxmlformats.org/officeDocument/2006/relationships/hyperlink" Target="http://cgi.ebay.com/Dhofar-908-Lunar-Meteorite-Slice-40mg_W0QQitemZ6573543809QQcategoryZ3239QQssPageNameZWDVWQQrdZ1QQcmdZViewItem" TargetMode="External"/><Relationship Id="rId20" Type="http://schemas.openxmlformats.org/officeDocument/2006/relationships/hyperlink" Target="http://cgi.ebay.com/RARE-Dhofar-025-LUNAR-METEORITE-0-689g-partslice_W0QQitemZ6579595838QQcategoryZ3239QQssPageNameZWDVWQQrdZ1QQcmdZViewItem" TargetMode="External"/><Relationship Id="rId29" Type="http://schemas.openxmlformats.org/officeDocument/2006/relationships/hyperlink" Target="http://cgi.ebay.com/NWA-032-Lunar-0-152-g-Meteorite_W0QQitemZ6598507715QQcategoryZ3239QQssPageNameZWDVWQQrdZ1QQcmdZViewItem" TargetMode="External"/><Relationship Id="rId1" Type="http://schemas.openxmlformats.org/officeDocument/2006/relationships/hyperlink" Target="http://cgi.ebay.com/Dhofar-908-Lunar-Meteorite-Slice-216mg_W0QQitemZ6569463027QQcategoryZ3239QQssPageNameZWDVWQQrdZ1QQcmdZViewItem" TargetMode="External"/><Relationship Id="rId6" Type="http://schemas.openxmlformats.org/officeDocument/2006/relationships/hyperlink" Target="http://cgi.ebay.com/Dhofar-910-Rare-Lunar-Meteorite-slice-70-mg_W0QQitemZ6570928715QQcategoryZ3239QQssPageNameZWDVWQQrdZ1QQcmdZViewItem" TargetMode="External"/><Relationship Id="rId11" Type="http://schemas.openxmlformats.org/officeDocument/2006/relationships/hyperlink" Target="http://cgi.ebay.com/Dhofar-306-Meteorite-LUNAR-Part-Slice-0-190-gram_W0QQitemZ6570562444QQcategoryZ3239QQssPageNameZWDVWQQrdZ1QQcmdZViewItem" TargetMode="External"/><Relationship Id="rId24" Type="http://schemas.openxmlformats.org/officeDocument/2006/relationships/hyperlink" Target="http://cgi.ebay.com/Dhofar-461-Lunar-Melt-Breccia-Meteorite-Slice-80mg_W0QQitemZ6588391654QQcategoryZ3239QQssPageNameZWDVWQQrdZ1QQcmdZViewItem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http://cgi.ebay.com/Dhofar-306-Meteorite-LUNAR-Part-Slice-0-028-gram_W0QQitemZ6570872004QQcategoryZ3239QQssPageNameZWDVWQQrdZ1QQcmdZViewItem" TargetMode="External"/><Relationship Id="rId15" Type="http://schemas.openxmlformats.org/officeDocument/2006/relationships/hyperlink" Target="http://cgi.ebay.com/RARE-LUNAR-METEORITE-DHOFAR-301-1-434g-ENDCUT_W0QQitemZ6574483771QQcategoryZ3239QQssPageNameZWDVWQQrdZ1QQcmdZViewItem" TargetMode="External"/><Relationship Id="rId23" Type="http://schemas.openxmlformats.org/officeDocument/2006/relationships/hyperlink" Target="http://cgi.ebay.com/Rare-Dhofar-301-LUNAR-METEORITE-0-72g-fullslice-TKW-9g_W0QQitemZ6587519659QQcategoryZ3239QQssPageNameZWDVWQQrdZ1QQcmdZViewItem" TargetMode="External"/><Relationship Id="rId28" Type="http://schemas.openxmlformats.org/officeDocument/2006/relationships/hyperlink" Target="http://cgi.ebay.com/RARE-LUNAR-METEORITE-DHOFAR-025-7-338g-COMPLETE-SLICE_W0QQitemZ6599754425QQcategoryZ3239QQssPageNameZWDVWQQrdZ1QQcmdZViewItem" TargetMode="External"/><Relationship Id="rId10" Type="http://schemas.openxmlformats.org/officeDocument/2006/relationships/hyperlink" Target="http://cgi.ebay.com/Dhofar-306-Meteorite-LUNAR-Part-Slice-0-022-gram_W0QQitemZ6570561782QQcategoryZ3239QQssPageNameZWDVWQQrdZ1QQcmdZViewItem" TargetMode="External"/><Relationship Id="rId19" Type="http://schemas.openxmlformats.org/officeDocument/2006/relationships/hyperlink" Target="http://cgi.ebay.com/Dhofar-908-Lunar-Meteorite-Slice-180mg_W0QQitemZ6579027368QQcategoryZ3239QQssPageNameZWDVWQQrdZ1QQcmdZViewItem" TargetMode="External"/><Relationship Id="rId31" Type="http://schemas.openxmlformats.org/officeDocument/2006/relationships/printerSettings" Target="../printerSettings/printerSettings9.bin"/><Relationship Id="rId4" Type="http://schemas.openxmlformats.org/officeDocument/2006/relationships/hyperlink" Target="http://cgi.ebay.com/NEA-001-Provisional-New-Lunar-Meteorite-228mg_W0QQitemZ6569463215QQcategoryZ3239QQssPageNameZWDVWQQrdZ1QQcmdZViewItem" TargetMode="External"/><Relationship Id="rId9" Type="http://schemas.openxmlformats.org/officeDocument/2006/relationships/hyperlink" Target="http://cgi.ebay.com/Dhofar-306-Meteorite-LUNAR-Part-Slice-0-056-gram_W0QQitemZ6570563775QQcategoryZ3239QQssPageNameZWDVWQQrdZ1QQcmdZViewItem" TargetMode="External"/><Relationship Id="rId14" Type="http://schemas.openxmlformats.org/officeDocument/2006/relationships/hyperlink" Target="http://cgi.ebay.com/RARE-LUNAR-METEORITE-DHOFAR-304-0-258g-SLICE_W0QQitemZ6572617363QQcategoryZ3239QQssPageNameZWDVWQQrdZ1QQcmdZViewItem" TargetMode="External"/><Relationship Id="rId22" Type="http://schemas.openxmlformats.org/officeDocument/2006/relationships/hyperlink" Target="http://cgi.ebay.com/RARE-LUNAR-METEORITE-DHOFAR-303-0-41g-ENDCUT_W0QQitemZ6588598208QQcategoryZ3239QQssPageNameZWDVWQQrdZ1QQcmdZViewItem" TargetMode="External"/><Relationship Id="rId27" Type="http://schemas.openxmlformats.org/officeDocument/2006/relationships/hyperlink" Target="http://cgi.ebay.com/Dhofar-908-Lunar-Meteorite-Slice-56mg_W0QQitemZ6596494265QQcategoryZ3239QQssPageNameZWDVWQQrdZ1QQcmdZViewItem" TargetMode="External"/><Relationship Id="rId30" Type="http://schemas.openxmlformats.org/officeDocument/2006/relationships/hyperlink" Target="mailto:comet1995-2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U876"/>
  <sheetViews>
    <sheetView tabSelected="1" zoomScale="130" zoomScaleNormal="130" workbookViewId="0">
      <pane xSplit="3" ySplit="1" topLeftCell="D765" activePane="bottomRight" state="frozen"/>
      <selection pane="topRight" activeCell="C1" sqref="C1"/>
      <selection pane="bottomLeft" activeCell="A2" sqref="A2"/>
      <selection pane="bottomRight" activeCell="E789" sqref="E789"/>
    </sheetView>
  </sheetViews>
  <sheetFormatPr defaultColWidth="7.83203125" defaultRowHeight="12.75" customHeight="1" x14ac:dyDescent="0.2"/>
  <cols>
    <col min="1" max="1" width="7.83203125" style="527"/>
    <col min="2" max="2" width="0.6640625" style="527" customWidth="1"/>
    <col min="3" max="3" width="21.33203125" style="533" bestFit="1" customWidth="1"/>
    <col min="4" max="4" width="10.1640625" style="613" customWidth="1"/>
    <col min="5" max="5" width="32" style="527" customWidth="1"/>
    <col min="6" max="6" width="9" style="533" customWidth="1"/>
    <col min="7" max="7" width="13.83203125" style="632" customWidth="1"/>
    <col min="8" max="8" width="10" style="632" customWidth="1"/>
    <col min="9" max="9" width="7.6640625" style="613" customWidth="1"/>
    <col min="10" max="10" width="11.83203125" style="612" customWidth="1"/>
    <col min="11" max="11" width="11.5" style="533" customWidth="1"/>
    <col min="12" max="12" width="12" style="527" customWidth="1"/>
    <col min="13" max="13" width="9.1640625" style="527" customWidth="1"/>
    <col min="14" max="14" width="12.5" style="527" customWidth="1"/>
    <col min="15" max="15" width="23.1640625" style="638" customWidth="1"/>
    <col min="16" max="20" width="7.83203125" style="911" customWidth="1"/>
    <col min="21" max="25" width="7.83203125" style="613" customWidth="1"/>
    <col min="26" max="34" width="12.83203125" style="613" customWidth="1"/>
    <col min="35" max="35" width="13.1640625" style="527" customWidth="1"/>
    <col min="36" max="36" width="7.83203125" style="527"/>
    <col min="37" max="37" width="13" style="778" bestFit="1" customWidth="1"/>
    <col min="38" max="39" width="21.5" style="778" customWidth="1"/>
    <col min="40" max="41" width="36" style="778" customWidth="1"/>
    <col min="42" max="42" width="16.1640625" style="631" customWidth="1"/>
    <col min="43" max="43" width="7.83203125" style="902"/>
    <col min="44" max="47" width="7.83203125" style="778"/>
    <col min="48" max="16384" width="7.83203125" style="527"/>
  </cols>
  <sheetData>
    <row r="1" spans="1:47" s="638" customFormat="1" ht="12.75" customHeight="1" x14ac:dyDescent="0.2">
      <c r="A1" s="714" t="s">
        <v>3530</v>
      </c>
      <c r="C1" s="678"/>
      <c r="D1" s="643" t="s">
        <v>1563</v>
      </c>
      <c r="E1" s="713" t="s">
        <v>1554</v>
      </c>
      <c r="F1" s="678" t="s">
        <v>2284</v>
      </c>
      <c r="G1" s="716" t="s">
        <v>123</v>
      </c>
      <c r="H1" s="716" t="s">
        <v>785</v>
      </c>
      <c r="I1" s="643" t="s">
        <v>1608</v>
      </c>
      <c r="J1" s="714" t="s">
        <v>1616</v>
      </c>
      <c r="K1" s="643" t="s">
        <v>1102</v>
      </c>
      <c r="L1" s="714" t="s">
        <v>1851</v>
      </c>
      <c r="M1" s="713" t="s">
        <v>1796</v>
      </c>
      <c r="N1" s="713" t="s">
        <v>1852</v>
      </c>
      <c r="O1" s="713" t="s">
        <v>786</v>
      </c>
      <c r="P1" s="910" t="s">
        <v>1006</v>
      </c>
      <c r="Q1" s="910" t="s">
        <v>1007</v>
      </c>
      <c r="R1" s="910" t="s">
        <v>493</v>
      </c>
      <c r="S1" s="910" t="s">
        <v>2822</v>
      </c>
      <c r="T1" s="910" t="s">
        <v>586</v>
      </c>
      <c r="U1" s="910" t="s">
        <v>3871</v>
      </c>
      <c r="V1" s="910" t="s">
        <v>3874</v>
      </c>
      <c r="W1" s="910" t="s">
        <v>2823</v>
      </c>
      <c r="X1" s="914" t="s">
        <v>2635</v>
      </c>
      <c r="Y1" s="643" t="s">
        <v>1102</v>
      </c>
      <c r="Z1" s="643" t="s">
        <v>2633</v>
      </c>
      <c r="AA1" s="643"/>
      <c r="AB1" s="968" t="s">
        <v>1006</v>
      </c>
      <c r="AC1" s="968" t="s">
        <v>1007</v>
      </c>
      <c r="AD1" s="968" t="s">
        <v>493</v>
      </c>
      <c r="AE1" s="968" t="s">
        <v>2822</v>
      </c>
      <c r="AF1" s="968" t="s">
        <v>586</v>
      </c>
      <c r="AG1" s="968" t="s">
        <v>1044</v>
      </c>
      <c r="AH1" s="968" t="s">
        <v>3874</v>
      </c>
      <c r="AI1" s="716" t="s">
        <v>2815</v>
      </c>
      <c r="AK1" s="896" t="s">
        <v>3856</v>
      </c>
      <c r="AL1" s="896"/>
      <c r="AM1" s="896"/>
      <c r="AN1" s="899"/>
      <c r="AO1" s="899"/>
      <c r="AP1" s="899"/>
      <c r="AQ1" s="900"/>
      <c r="AR1" s="901"/>
      <c r="AS1" s="901"/>
      <c r="AT1" s="901"/>
      <c r="AU1" s="901"/>
    </row>
    <row r="2" spans="1:47" ht="12.75" customHeight="1" x14ac:dyDescent="0.25">
      <c r="A2" s="527">
        <v>1</v>
      </c>
      <c r="C2" s="907" t="s">
        <v>195</v>
      </c>
      <c r="G2" s="632">
        <v>31.4</v>
      </c>
      <c r="H2" s="615">
        <v>80</v>
      </c>
      <c r="I2" s="613" t="s">
        <v>1650</v>
      </c>
      <c r="K2" s="533" t="s">
        <v>519</v>
      </c>
      <c r="L2" s="874">
        <v>29969</v>
      </c>
      <c r="N2" s="527">
        <v>1982</v>
      </c>
      <c r="P2" s="911">
        <v>1</v>
      </c>
      <c r="W2" s="613">
        <f>SUM(P2:V2)</f>
        <v>1</v>
      </c>
      <c r="AB2" s="527">
        <f>IF(P2=1,$G2,0)</f>
        <v>31.4</v>
      </c>
      <c r="AC2" s="527">
        <f t="shared" ref="AC2:AC65" si="0">IF(Q2=1,$G2,0)</f>
        <v>0</v>
      </c>
      <c r="AD2" s="527">
        <f t="shared" ref="AD2:AD65" si="1">IF(R2=1,$G2,0)</f>
        <v>0</v>
      </c>
      <c r="AE2" s="527">
        <f t="shared" ref="AE2:AE65" si="2">IF(S2=1,$G2,0)</f>
        <v>0</v>
      </c>
      <c r="AF2" s="527">
        <f t="shared" ref="AF2:AF65" si="3">IF(T2=1,$G2,0)</f>
        <v>0</v>
      </c>
      <c r="AG2" s="527">
        <f t="shared" ref="AG2:AG65" si="4">IF(U2=1,$G2,0)</f>
        <v>0</v>
      </c>
      <c r="AH2" s="527"/>
      <c r="AI2" s="639">
        <f t="shared" ref="AI2:AI7" si="5">G2</f>
        <v>31.4</v>
      </c>
      <c r="AM2" s="894"/>
      <c r="AN2" s="895"/>
      <c r="AO2" s="895"/>
      <c r="AR2" s="903"/>
      <c r="AS2" s="904"/>
      <c r="AT2" s="904"/>
      <c r="AU2" s="904"/>
    </row>
    <row r="3" spans="1:47" ht="12.75" customHeight="1" x14ac:dyDescent="0.2">
      <c r="A3" s="527">
        <v>2</v>
      </c>
      <c r="C3" s="907" t="s">
        <v>207</v>
      </c>
      <c r="G3" s="632">
        <v>52.4</v>
      </c>
      <c r="H3" s="632">
        <v>42</v>
      </c>
      <c r="I3" s="613" t="s">
        <v>1649</v>
      </c>
      <c r="K3" s="533" t="s">
        <v>517</v>
      </c>
      <c r="L3" s="874">
        <v>29179</v>
      </c>
      <c r="N3" s="527">
        <v>1984</v>
      </c>
      <c r="P3" s="911">
        <v>1</v>
      </c>
      <c r="W3" s="613">
        <f t="shared" ref="W3:W7" si="6">SUM(P3:V3)</f>
        <v>1</v>
      </c>
      <c r="AB3" s="527">
        <f t="shared" ref="AB3:AB66" si="7">IF(P3=1,$G3,0)</f>
        <v>52.4</v>
      </c>
      <c r="AC3" s="527">
        <f t="shared" si="0"/>
        <v>0</v>
      </c>
      <c r="AD3" s="527">
        <f t="shared" si="1"/>
        <v>0</v>
      </c>
      <c r="AE3" s="527">
        <f t="shared" si="2"/>
        <v>0</v>
      </c>
      <c r="AF3" s="527">
        <f t="shared" si="3"/>
        <v>0</v>
      </c>
      <c r="AG3" s="527">
        <f t="shared" si="4"/>
        <v>0</v>
      </c>
      <c r="AH3" s="527"/>
      <c r="AI3" s="639">
        <f t="shared" si="5"/>
        <v>52.4</v>
      </c>
    </row>
    <row r="4" spans="1:47" ht="12.75" customHeight="1" x14ac:dyDescent="0.2">
      <c r="A4" s="527">
        <v>3</v>
      </c>
      <c r="C4" s="907" t="s">
        <v>216</v>
      </c>
      <c r="G4" s="632">
        <v>36.67</v>
      </c>
      <c r="I4" s="613" t="s">
        <v>1628</v>
      </c>
      <c r="K4" s="533" t="s">
        <v>517</v>
      </c>
      <c r="L4" s="964" t="s">
        <v>3551</v>
      </c>
      <c r="N4" s="527">
        <v>1984</v>
      </c>
      <c r="P4" s="911">
        <v>1</v>
      </c>
      <c r="W4" s="613">
        <f t="shared" si="6"/>
        <v>1</v>
      </c>
      <c r="AB4" s="527">
        <f t="shared" si="7"/>
        <v>36.67</v>
      </c>
      <c r="AC4" s="527">
        <f t="shared" si="0"/>
        <v>0</v>
      </c>
      <c r="AD4" s="527">
        <f t="shared" si="1"/>
        <v>0</v>
      </c>
      <c r="AE4" s="527">
        <f t="shared" si="2"/>
        <v>0</v>
      </c>
      <c r="AF4" s="527">
        <f t="shared" si="3"/>
        <v>0</v>
      </c>
      <c r="AG4" s="527">
        <f t="shared" si="4"/>
        <v>0</v>
      </c>
      <c r="AH4" s="527"/>
      <c r="AI4" s="639">
        <f t="shared" si="5"/>
        <v>36.67</v>
      </c>
    </row>
    <row r="5" spans="1:47" ht="12.75" customHeight="1" x14ac:dyDescent="0.2">
      <c r="A5" s="527">
        <v>4</v>
      </c>
      <c r="C5" s="907" t="s">
        <v>221</v>
      </c>
      <c r="G5" s="632">
        <v>27.04</v>
      </c>
      <c r="I5" s="613" t="s">
        <v>1628</v>
      </c>
      <c r="K5" s="533" t="s">
        <v>517</v>
      </c>
      <c r="L5" s="964" t="s">
        <v>3551</v>
      </c>
      <c r="N5" s="527">
        <v>1984</v>
      </c>
      <c r="P5" s="911">
        <v>1</v>
      </c>
      <c r="W5" s="613">
        <f t="shared" si="6"/>
        <v>1</v>
      </c>
      <c r="AB5" s="527">
        <f t="shared" si="7"/>
        <v>27.04</v>
      </c>
      <c r="AC5" s="527">
        <f t="shared" si="0"/>
        <v>0</v>
      </c>
      <c r="AD5" s="527">
        <f t="shared" si="1"/>
        <v>0</v>
      </c>
      <c r="AE5" s="527">
        <f t="shared" si="2"/>
        <v>0</v>
      </c>
      <c r="AF5" s="527">
        <f t="shared" si="3"/>
        <v>0</v>
      </c>
      <c r="AG5" s="527">
        <f t="shared" si="4"/>
        <v>0</v>
      </c>
      <c r="AH5" s="527"/>
      <c r="AI5" s="639">
        <f t="shared" si="5"/>
        <v>27.04</v>
      </c>
    </row>
    <row r="6" spans="1:47" ht="12.75" customHeight="1" x14ac:dyDescent="0.2">
      <c r="A6" s="527">
        <v>5</v>
      </c>
      <c r="C6" s="907" t="s">
        <v>275</v>
      </c>
      <c r="G6" s="632">
        <v>8.6999999999999993</v>
      </c>
      <c r="K6" s="533" t="s">
        <v>527</v>
      </c>
      <c r="L6" s="874">
        <v>29223</v>
      </c>
      <c r="N6" s="527">
        <v>1987</v>
      </c>
      <c r="P6" s="911">
        <v>1</v>
      </c>
      <c r="W6" s="613">
        <f t="shared" si="6"/>
        <v>1</v>
      </c>
      <c r="AB6" s="527">
        <f t="shared" si="7"/>
        <v>8.6999999999999993</v>
      </c>
      <c r="AC6" s="527">
        <f t="shared" si="0"/>
        <v>0</v>
      </c>
      <c r="AD6" s="527">
        <f t="shared" si="1"/>
        <v>0</v>
      </c>
      <c r="AE6" s="527">
        <f t="shared" si="2"/>
        <v>0</v>
      </c>
      <c r="AF6" s="527">
        <f t="shared" si="3"/>
        <v>0</v>
      </c>
      <c r="AG6" s="527">
        <f t="shared" si="4"/>
        <v>0</v>
      </c>
      <c r="AH6" s="527"/>
      <c r="AI6" s="639">
        <f t="shared" si="5"/>
        <v>8.6999999999999993</v>
      </c>
    </row>
    <row r="7" spans="1:47" ht="12.75" customHeight="1" x14ac:dyDescent="0.2">
      <c r="A7" s="527">
        <v>6</v>
      </c>
      <c r="C7" s="907" t="s">
        <v>228</v>
      </c>
      <c r="F7" s="28"/>
      <c r="G7" s="632">
        <v>648.42999999999995</v>
      </c>
      <c r="H7" s="632" t="s">
        <v>798</v>
      </c>
      <c r="I7" s="613" t="s">
        <v>1648</v>
      </c>
      <c r="K7" s="533" t="s">
        <v>518</v>
      </c>
      <c r="L7" s="874">
        <v>31756</v>
      </c>
      <c r="N7" s="527">
        <v>1989</v>
      </c>
      <c r="O7" s="638" t="s">
        <v>799</v>
      </c>
      <c r="P7" s="911">
        <v>1</v>
      </c>
      <c r="W7" s="613">
        <f t="shared" si="6"/>
        <v>1</v>
      </c>
      <c r="AB7" s="527">
        <f t="shared" si="7"/>
        <v>648.42999999999995</v>
      </c>
      <c r="AC7" s="527">
        <f t="shared" si="0"/>
        <v>0</v>
      </c>
      <c r="AD7" s="527">
        <f t="shared" si="1"/>
        <v>0</v>
      </c>
      <c r="AE7" s="527">
        <f t="shared" si="2"/>
        <v>0</v>
      </c>
      <c r="AF7" s="527">
        <f t="shared" si="3"/>
        <v>0</v>
      </c>
      <c r="AG7" s="527">
        <f t="shared" si="4"/>
        <v>0</v>
      </c>
      <c r="AH7" s="527"/>
      <c r="AI7" s="639">
        <f t="shared" si="5"/>
        <v>648.42999999999995</v>
      </c>
    </row>
    <row r="8" spans="1:47" ht="12.75" customHeight="1" x14ac:dyDescent="0.2">
      <c r="A8" s="527">
        <v>6.1</v>
      </c>
      <c r="C8" s="533" t="s">
        <v>228</v>
      </c>
      <c r="F8" s="28"/>
      <c r="I8" s="613" t="s">
        <v>1648</v>
      </c>
      <c r="K8" s="533" t="s">
        <v>520</v>
      </c>
      <c r="L8" s="874">
        <v>31756</v>
      </c>
      <c r="AB8" s="527">
        <f t="shared" si="7"/>
        <v>0</v>
      </c>
      <c r="AC8" s="527">
        <f t="shared" si="0"/>
        <v>0</v>
      </c>
      <c r="AD8" s="527">
        <f t="shared" si="1"/>
        <v>0</v>
      </c>
      <c r="AE8" s="527">
        <f t="shared" si="2"/>
        <v>0</v>
      </c>
      <c r="AF8" s="527">
        <f t="shared" si="3"/>
        <v>0</v>
      </c>
      <c r="AG8" s="527">
        <f t="shared" si="4"/>
        <v>0</v>
      </c>
      <c r="AH8" s="527"/>
      <c r="AI8" s="639"/>
    </row>
    <row r="9" spans="1:47" ht="12.75" customHeight="1" x14ac:dyDescent="0.2">
      <c r="A9" s="527">
        <v>7</v>
      </c>
      <c r="C9" s="907" t="s">
        <v>267</v>
      </c>
      <c r="F9" s="28"/>
      <c r="G9" s="632">
        <v>30.7</v>
      </c>
      <c r="H9" s="615">
        <f>209+180</f>
        <v>389</v>
      </c>
      <c r="I9" s="613" t="s">
        <v>1642</v>
      </c>
      <c r="K9" s="533" t="s">
        <v>521</v>
      </c>
      <c r="L9" s="874">
        <v>32131</v>
      </c>
      <c r="N9" s="527">
        <v>1989</v>
      </c>
      <c r="P9" s="911">
        <v>1</v>
      </c>
      <c r="W9" s="613">
        <f t="shared" ref="W9:W11" si="8">SUM(P9:V9)</f>
        <v>1</v>
      </c>
      <c r="AB9" s="527">
        <f t="shared" si="7"/>
        <v>30.7</v>
      </c>
      <c r="AC9" s="527">
        <f t="shared" si="0"/>
        <v>0</v>
      </c>
      <c r="AD9" s="527">
        <f t="shared" si="1"/>
        <v>0</v>
      </c>
      <c r="AE9" s="527">
        <f t="shared" si="2"/>
        <v>0</v>
      </c>
      <c r="AF9" s="527">
        <f t="shared" si="3"/>
        <v>0</v>
      </c>
      <c r="AG9" s="527">
        <f t="shared" si="4"/>
        <v>0</v>
      </c>
      <c r="AH9" s="527"/>
      <c r="AI9" s="639">
        <f>G9</f>
        <v>30.7</v>
      </c>
    </row>
    <row r="10" spans="1:47" ht="12.75" customHeight="1" x14ac:dyDescent="0.2">
      <c r="A10" s="527">
        <v>8</v>
      </c>
      <c r="C10" s="907" t="s">
        <v>1607</v>
      </c>
      <c r="F10" s="28"/>
      <c r="G10" s="632">
        <f>61.2</f>
        <v>61.2</v>
      </c>
      <c r="H10" s="615">
        <v>240</v>
      </c>
      <c r="I10" s="613" t="s">
        <v>1647</v>
      </c>
      <c r="K10" s="533" t="s">
        <v>545</v>
      </c>
      <c r="L10" s="874">
        <v>32521</v>
      </c>
      <c r="N10" s="527">
        <v>1989</v>
      </c>
      <c r="P10" s="911">
        <v>1</v>
      </c>
      <c r="W10" s="613">
        <f t="shared" si="8"/>
        <v>1</v>
      </c>
      <c r="AB10" s="527">
        <f t="shared" si="7"/>
        <v>61.2</v>
      </c>
      <c r="AC10" s="527">
        <f t="shared" si="0"/>
        <v>0</v>
      </c>
      <c r="AD10" s="527">
        <f t="shared" si="1"/>
        <v>0</v>
      </c>
      <c r="AE10" s="527">
        <f t="shared" si="2"/>
        <v>0</v>
      </c>
      <c r="AF10" s="527">
        <f t="shared" si="3"/>
        <v>0</v>
      </c>
      <c r="AG10" s="527">
        <f t="shared" si="4"/>
        <v>0</v>
      </c>
      <c r="AH10" s="527"/>
      <c r="AI10" s="639">
        <f>G10</f>
        <v>61.2</v>
      </c>
    </row>
    <row r="11" spans="1:47" ht="12.75" customHeight="1" x14ac:dyDescent="0.2">
      <c r="A11" s="527">
        <v>9</v>
      </c>
      <c r="C11" s="907" t="s">
        <v>347</v>
      </c>
      <c r="F11" s="28"/>
      <c r="G11" s="632">
        <v>662.5</v>
      </c>
      <c r="H11" s="615">
        <v>1475</v>
      </c>
      <c r="I11" s="613" t="s">
        <v>1647</v>
      </c>
      <c r="K11" s="533" t="s">
        <v>544</v>
      </c>
      <c r="L11" s="874">
        <v>32521</v>
      </c>
      <c r="N11" s="527">
        <v>1989</v>
      </c>
      <c r="P11" s="911">
        <v>1</v>
      </c>
      <c r="W11" s="613">
        <f t="shared" si="8"/>
        <v>1</v>
      </c>
      <c r="AB11" s="527">
        <f t="shared" si="7"/>
        <v>662.5</v>
      </c>
      <c r="AC11" s="527">
        <f t="shared" si="0"/>
        <v>0</v>
      </c>
      <c r="AD11" s="527">
        <f t="shared" si="1"/>
        <v>0</v>
      </c>
      <c r="AE11" s="527">
        <f t="shared" si="2"/>
        <v>0</v>
      </c>
      <c r="AF11" s="527">
        <f t="shared" si="3"/>
        <v>0</v>
      </c>
      <c r="AG11" s="527">
        <f t="shared" si="4"/>
        <v>0</v>
      </c>
      <c r="AH11" s="527"/>
      <c r="AI11" s="639">
        <f>G11</f>
        <v>662.5</v>
      </c>
    </row>
    <row r="12" spans="1:47" ht="12.75" customHeight="1" x14ac:dyDescent="0.2">
      <c r="A12" s="527">
        <v>9.1</v>
      </c>
      <c r="C12" s="533" t="s">
        <v>252</v>
      </c>
      <c r="F12" s="28"/>
      <c r="I12" s="613" t="s">
        <v>1647</v>
      </c>
      <c r="K12" s="533" t="s">
        <v>524</v>
      </c>
      <c r="L12" s="874">
        <v>32521</v>
      </c>
      <c r="AB12" s="527">
        <f t="shared" si="7"/>
        <v>0</v>
      </c>
      <c r="AC12" s="527">
        <f t="shared" si="0"/>
        <v>0</v>
      </c>
      <c r="AD12" s="527">
        <f t="shared" si="1"/>
        <v>0</v>
      </c>
      <c r="AE12" s="527">
        <f t="shared" si="2"/>
        <v>0</v>
      </c>
      <c r="AF12" s="527">
        <f t="shared" si="3"/>
        <v>0</v>
      </c>
      <c r="AG12" s="527">
        <f t="shared" si="4"/>
        <v>0</v>
      </c>
      <c r="AH12" s="527"/>
      <c r="AI12" s="639"/>
    </row>
    <row r="13" spans="1:47" ht="12.75" customHeight="1" x14ac:dyDescent="0.2">
      <c r="A13" s="527">
        <v>9.1999999999999993</v>
      </c>
      <c r="C13" s="533" t="s">
        <v>252</v>
      </c>
      <c r="I13" s="613" t="s">
        <v>1647</v>
      </c>
      <c r="K13" s="533" t="s">
        <v>523</v>
      </c>
      <c r="L13" s="874">
        <v>32521</v>
      </c>
      <c r="AB13" s="527">
        <f t="shared" si="7"/>
        <v>0</v>
      </c>
      <c r="AC13" s="527">
        <f t="shared" si="0"/>
        <v>0</v>
      </c>
      <c r="AD13" s="527">
        <f t="shared" si="1"/>
        <v>0</v>
      </c>
      <c r="AE13" s="527">
        <f t="shared" si="2"/>
        <v>0</v>
      </c>
      <c r="AF13" s="527">
        <f t="shared" si="3"/>
        <v>0</v>
      </c>
      <c r="AG13" s="527">
        <f t="shared" si="4"/>
        <v>0</v>
      </c>
      <c r="AH13" s="527"/>
      <c r="AI13" s="639"/>
    </row>
    <row r="14" spans="1:47" ht="12.75" customHeight="1" x14ac:dyDescent="0.25">
      <c r="A14" s="527">
        <v>10</v>
      </c>
      <c r="C14" s="907" t="s">
        <v>526</v>
      </c>
      <c r="G14" s="632">
        <v>442</v>
      </c>
      <c r="I14" s="613" t="s">
        <v>1646</v>
      </c>
      <c r="K14" s="533" t="s">
        <v>522</v>
      </c>
      <c r="L14" s="874">
        <v>32862</v>
      </c>
      <c r="N14" s="527">
        <v>1990</v>
      </c>
      <c r="P14" s="911">
        <v>1</v>
      </c>
      <c r="W14" s="613">
        <f t="shared" ref="W14:W17" si="9">SUM(P14:V14)</f>
        <v>1</v>
      </c>
      <c r="Y14" s="613">
        <v>1</v>
      </c>
      <c r="AB14" s="527">
        <f t="shared" si="7"/>
        <v>442</v>
      </c>
      <c r="AC14" s="527">
        <f t="shared" si="0"/>
        <v>0</v>
      </c>
      <c r="AD14" s="527">
        <f t="shared" si="1"/>
        <v>0</v>
      </c>
      <c r="AE14" s="527">
        <f t="shared" si="2"/>
        <v>0</v>
      </c>
      <c r="AF14" s="527">
        <f t="shared" si="3"/>
        <v>0</v>
      </c>
      <c r="AG14" s="527">
        <f t="shared" si="4"/>
        <v>0</v>
      </c>
      <c r="AH14" s="527"/>
      <c r="AI14" s="639">
        <f>G14</f>
        <v>442</v>
      </c>
      <c r="AK14" s="778">
        <v>1</v>
      </c>
      <c r="AN14" s="895"/>
      <c r="AO14" s="895"/>
      <c r="AP14" s="897"/>
      <c r="AR14" s="903"/>
      <c r="AS14" s="904"/>
      <c r="AT14" s="904"/>
      <c r="AU14" s="904"/>
    </row>
    <row r="15" spans="1:47" ht="12.75" customHeight="1" x14ac:dyDescent="0.25">
      <c r="A15" s="527">
        <v>11</v>
      </c>
      <c r="C15" s="907" t="s">
        <v>142</v>
      </c>
      <c r="G15" s="632">
        <v>19</v>
      </c>
      <c r="H15" s="632">
        <v>212</v>
      </c>
      <c r="I15" s="613" t="s">
        <v>1628</v>
      </c>
      <c r="K15" s="533" t="s">
        <v>525</v>
      </c>
      <c r="L15" s="527">
        <v>1991</v>
      </c>
      <c r="N15" s="527">
        <v>1991</v>
      </c>
      <c r="O15" s="638" t="s">
        <v>812</v>
      </c>
      <c r="Q15" s="911">
        <v>1</v>
      </c>
      <c r="W15" s="613">
        <f t="shared" si="9"/>
        <v>1</v>
      </c>
      <c r="AB15" s="527">
        <f t="shared" si="7"/>
        <v>0</v>
      </c>
      <c r="AC15" s="527">
        <f t="shared" si="0"/>
        <v>19</v>
      </c>
      <c r="AD15" s="527">
        <f t="shared" si="1"/>
        <v>0</v>
      </c>
      <c r="AE15" s="527">
        <f t="shared" si="2"/>
        <v>0</v>
      </c>
      <c r="AF15" s="527">
        <f t="shared" si="3"/>
        <v>0</v>
      </c>
      <c r="AG15" s="527">
        <f t="shared" si="4"/>
        <v>0</v>
      </c>
      <c r="AH15" s="527"/>
      <c r="AI15" s="639">
        <f>G15</f>
        <v>19</v>
      </c>
      <c r="AM15" s="894"/>
      <c r="AN15" s="895"/>
      <c r="AO15" s="895"/>
      <c r="AP15" s="898"/>
      <c r="AR15" s="903"/>
      <c r="AS15" s="904"/>
      <c r="AT15" s="904"/>
      <c r="AU15" s="904"/>
    </row>
    <row r="16" spans="1:47" ht="12.75" customHeight="1" x14ac:dyDescent="0.2">
      <c r="A16" s="527">
        <v>12</v>
      </c>
      <c r="C16" s="907" t="s">
        <v>289</v>
      </c>
      <c r="G16" s="632">
        <v>6.1</v>
      </c>
      <c r="I16" s="613" t="s">
        <v>1645</v>
      </c>
      <c r="K16" s="533" t="s">
        <v>528</v>
      </c>
      <c r="L16" s="874">
        <v>29223</v>
      </c>
      <c r="N16" s="527">
        <v>1992</v>
      </c>
      <c r="P16" s="911">
        <v>1</v>
      </c>
      <c r="W16" s="613">
        <f t="shared" si="9"/>
        <v>1</v>
      </c>
      <c r="Y16" s="613">
        <v>1</v>
      </c>
      <c r="AB16" s="527">
        <f t="shared" si="7"/>
        <v>6.1</v>
      </c>
      <c r="AC16" s="527">
        <f t="shared" si="0"/>
        <v>0</v>
      </c>
      <c r="AD16" s="527">
        <f t="shared" si="1"/>
        <v>0</v>
      </c>
      <c r="AE16" s="527">
        <f t="shared" si="2"/>
        <v>0</v>
      </c>
      <c r="AF16" s="527">
        <f t="shared" si="3"/>
        <v>0</v>
      </c>
      <c r="AG16" s="527">
        <f t="shared" si="4"/>
        <v>0</v>
      </c>
      <c r="AH16" s="527"/>
      <c r="AI16" s="639">
        <f>G16</f>
        <v>6.1</v>
      </c>
      <c r="AK16" s="778">
        <v>1</v>
      </c>
    </row>
    <row r="17" spans="1:47" ht="12.75" customHeight="1" x14ac:dyDescent="0.2">
      <c r="A17" s="527">
        <v>13</v>
      </c>
      <c r="C17" s="907" t="s">
        <v>260</v>
      </c>
      <c r="G17" s="632">
        <v>21.4</v>
      </c>
      <c r="H17" s="615">
        <v>282</v>
      </c>
      <c r="I17" s="613" t="s">
        <v>1644</v>
      </c>
      <c r="K17" s="533" t="s">
        <v>546</v>
      </c>
      <c r="L17" s="874">
        <v>34314</v>
      </c>
      <c r="N17" s="889">
        <v>1994</v>
      </c>
      <c r="P17" s="911">
        <v>1</v>
      </c>
      <c r="W17" s="613">
        <f t="shared" si="9"/>
        <v>1</v>
      </c>
      <c r="AB17" s="527">
        <f t="shared" si="7"/>
        <v>21.4</v>
      </c>
      <c r="AC17" s="527">
        <f t="shared" si="0"/>
        <v>0</v>
      </c>
      <c r="AD17" s="527">
        <f t="shared" si="1"/>
        <v>0</v>
      </c>
      <c r="AE17" s="527">
        <f t="shared" si="2"/>
        <v>0</v>
      </c>
      <c r="AF17" s="527">
        <f t="shared" si="3"/>
        <v>0</v>
      </c>
      <c r="AG17" s="527">
        <f t="shared" si="4"/>
        <v>0</v>
      </c>
      <c r="AH17" s="527"/>
      <c r="AI17" s="639">
        <f>G17</f>
        <v>21.4</v>
      </c>
    </row>
    <row r="18" spans="1:47" ht="12.75" customHeight="1" x14ac:dyDescent="0.2">
      <c r="A18" s="527">
        <v>13.1</v>
      </c>
      <c r="C18" s="533" t="s">
        <v>260</v>
      </c>
      <c r="H18" s="615"/>
      <c r="I18" s="613" t="s">
        <v>1644</v>
      </c>
      <c r="K18" s="533" t="s">
        <v>529</v>
      </c>
      <c r="L18" s="874">
        <v>34314</v>
      </c>
      <c r="AB18" s="527">
        <f t="shared" si="7"/>
        <v>0</v>
      </c>
      <c r="AC18" s="527">
        <f t="shared" si="0"/>
        <v>0</v>
      </c>
      <c r="AD18" s="527">
        <f t="shared" si="1"/>
        <v>0</v>
      </c>
      <c r="AE18" s="527">
        <f t="shared" si="2"/>
        <v>0</v>
      </c>
      <c r="AF18" s="527">
        <f t="shared" si="3"/>
        <v>0</v>
      </c>
      <c r="AG18" s="527">
        <f t="shared" si="4"/>
        <v>0</v>
      </c>
      <c r="AH18" s="527"/>
      <c r="AI18" s="639"/>
    </row>
    <row r="19" spans="1:47" ht="12.75" customHeight="1" x14ac:dyDescent="0.2">
      <c r="A19" s="527">
        <v>14</v>
      </c>
      <c r="C19" s="907" t="s">
        <v>143</v>
      </c>
      <c r="G19" s="632">
        <v>23.4</v>
      </c>
      <c r="H19" s="615">
        <v>548</v>
      </c>
      <c r="I19" s="613" t="s">
        <v>1643</v>
      </c>
      <c r="K19" s="533" t="s">
        <v>541</v>
      </c>
      <c r="L19" s="874">
        <v>34678</v>
      </c>
      <c r="N19" s="527">
        <v>1995</v>
      </c>
      <c r="P19" s="911">
        <v>1</v>
      </c>
      <c r="W19" s="613">
        <f>SUM(P19:V19)</f>
        <v>1</v>
      </c>
      <c r="AB19" s="527">
        <f t="shared" si="7"/>
        <v>23.4</v>
      </c>
      <c r="AC19" s="527">
        <f t="shared" si="0"/>
        <v>0</v>
      </c>
      <c r="AD19" s="527">
        <f t="shared" si="1"/>
        <v>0</v>
      </c>
      <c r="AE19" s="527">
        <f t="shared" si="2"/>
        <v>0</v>
      </c>
      <c r="AF19" s="527">
        <f t="shared" si="3"/>
        <v>0</v>
      </c>
      <c r="AG19" s="527">
        <f t="shared" si="4"/>
        <v>0</v>
      </c>
      <c r="AH19" s="527"/>
      <c r="AI19" s="639">
        <f>G19</f>
        <v>23.4</v>
      </c>
    </row>
    <row r="20" spans="1:47" ht="12.75" customHeight="1" x14ac:dyDescent="0.2">
      <c r="A20" s="527">
        <v>14.1</v>
      </c>
      <c r="C20" s="533" t="s">
        <v>143</v>
      </c>
      <c r="H20" s="615"/>
      <c r="I20" s="613" t="s">
        <v>1643</v>
      </c>
      <c r="K20" s="533" t="s">
        <v>531</v>
      </c>
      <c r="L20" s="874">
        <v>34678</v>
      </c>
      <c r="AB20" s="527">
        <f t="shared" si="7"/>
        <v>0</v>
      </c>
      <c r="AC20" s="527">
        <f t="shared" si="0"/>
        <v>0</v>
      </c>
      <c r="AD20" s="527">
        <f t="shared" si="1"/>
        <v>0</v>
      </c>
      <c r="AE20" s="527">
        <f t="shared" si="2"/>
        <v>0</v>
      </c>
      <c r="AF20" s="527">
        <f t="shared" si="3"/>
        <v>0</v>
      </c>
      <c r="AG20" s="527">
        <f t="shared" si="4"/>
        <v>0</v>
      </c>
      <c r="AH20" s="527"/>
      <c r="AI20" s="639"/>
    </row>
    <row r="21" spans="1:47" ht="12.75" customHeight="1" x14ac:dyDescent="0.2">
      <c r="A21" s="527">
        <v>15</v>
      </c>
      <c r="C21" s="533" t="s">
        <v>298</v>
      </c>
      <c r="G21" s="632">
        <v>3.2</v>
      </c>
      <c r="H21" s="615">
        <v>228</v>
      </c>
      <c r="I21" s="613" t="s">
        <v>875</v>
      </c>
      <c r="K21" s="533" t="s">
        <v>541</v>
      </c>
      <c r="L21" s="527">
        <v>1995</v>
      </c>
      <c r="N21" s="527">
        <v>1995</v>
      </c>
      <c r="P21" s="911">
        <v>1</v>
      </c>
      <c r="W21" s="613">
        <f t="shared" ref="W21:W24" si="10">SUM(P21:V21)</f>
        <v>1</v>
      </c>
      <c r="AB21" s="527">
        <f t="shared" si="7"/>
        <v>3.2</v>
      </c>
      <c r="AC21" s="527">
        <f t="shared" si="0"/>
        <v>0</v>
      </c>
      <c r="AD21" s="527">
        <f t="shared" si="1"/>
        <v>0</v>
      </c>
      <c r="AE21" s="527">
        <f t="shared" si="2"/>
        <v>0</v>
      </c>
      <c r="AF21" s="527">
        <f t="shared" si="3"/>
        <v>0</v>
      </c>
      <c r="AG21" s="527">
        <f t="shared" si="4"/>
        <v>0</v>
      </c>
      <c r="AH21" s="527"/>
      <c r="AI21" s="639">
        <f>G21</f>
        <v>3.2</v>
      </c>
    </row>
    <row r="22" spans="1:47" ht="12.75" customHeight="1" x14ac:dyDescent="0.25">
      <c r="A22" s="527">
        <v>16</v>
      </c>
      <c r="C22" s="907" t="s">
        <v>301</v>
      </c>
      <c r="G22" s="632">
        <v>513</v>
      </c>
      <c r="H22" s="632">
        <v>48</v>
      </c>
      <c r="I22" s="613" t="s">
        <v>1642</v>
      </c>
      <c r="K22" s="533" t="s">
        <v>530</v>
      </c>
      <c r="L22" s="624">
        <v>35512</v>
      </c>
      <c r="M22" s="527" t="s">
        <v>543</v>
      </c>
      <c r="N22" s="527">
        <v>1997</v>
      </c>
      <c r="O22" s="638" t="s">
        <v>595</v>
      </c>
      <c r="U22" s="613">
        <v>1</v>
      </c>
      <c r="W22" s="613">
        <f t="shared" si="10"/>
        <v>1</v>
      </c>
      <c r="X22" s="613">
        <v>1</v>
      </c>
      <c r="AB22" s="527">
        <f t="shared" si="7"/>
        <v>0</v>
      </c>
      <c r="AC22" s="527">
        <f t="shared" si="0"/>
        <v>0</v>
      </c>
      <c r="AD22" s="527">
        <f t="shared" si="1"/>
        <v>0</v>
      </c>
      <c r="AE22" s="527">
        <f t="shared" si="2"/>
        <v>0</v>
      </c>
      <c r="AF22" s="527">
        <f t="shared" si="3"/>
        <v>0</v>
      </c>
      <c r="AG22" s="527">
        <f t="shared" si="4"/>
        <v>513</v>
      </c>
      <c r="AH22" s="527"/>
      <c r="AI22" s="639">
        <f>G22</f>
        <v>513</v>
      </c>
      <c r="AK22" s="895"/>
      <c r="AM22" s="894"/>
      <c r="AN22" s="895"/>
      <c r="AP22" s="897"/>
      <c r="AR22" s="903"/>
      <c r="AS22" s="904"/>
      <c r="AT22" s="904"/>
      <c r="AU22" s="904"/>
    </row>
    <row r="23" spans="1:47" ht="12.75" customHeight="1" x14ac:dyDescent="0.25">
      <c r="A23" s="527">
        <v>17</v>
      </c>
      <c r="C23" s="533" t="s">
        <v>376</v>
      </c>
      <c r="G23" s="632">
        <v>1425</v>
      </c>
      <c r="H23" s="632">
        <f>102+369+472</f>
        <v>943</v>
      </c>
      <c r="I23" s="613" t="s">
        <v>1249</v>
      </c>
      <c r="K23" s="533" t="s">
        <v>377</v>
      </c>
      <c r="L23" s="874">
        <v>35864</v>
      </c>
      <c r="M23" s="527" t="s">
        <v>533</v>
      </c>
      <c r="N23" s="527">
        <v>1998</v>
      </c>
      <c r="O23" s="638" t="s">
        <v>573</v>
      </c>
      <c r="U23" s="613">
        <v>1</v>
      </c>
      <c r="W23" s="613">
        <f t="shared" si="10"/>
        <v>1</v>
      </c>
      <c r="X23" s="613">
        <v>1</v>
      </c>
      <c r="AB23" s="527">
        <f t="shared" si="7"/>
        <v>0</v>
      </c>
      <c r="AC23" s="527">
        <f t="shared" si="0"/>
        <v>0</v>
      </c>
      <c r="AD23" s="527">
        <f t="shared" si="1"/>
        <v>0</v>
      </c>
      <c r="AE23" s="527">
        <f t="shared" si="2"/>
        <v>0</v>
      </c>
      <c r="AF23" s="527">
        <f t="shared" si="3"/>
        <v>0</v>
      </c>
      <c r="AG23" s="527">
        <f t="shared" si="4"/>
        <v>1425</v>
      </c>
      <c r="AH23" s="527"/>
      <c r="AI23" s="639">
        <f>G23</f>
        <v>1425</v>
      </c>
      <c r="AM23" s="894"/>
      <c r="AN23" s="895"/>
      <c r="AO23" s="895"/>
      <c r="AP23" s="897"/>
      <c r="AR23" s="903"/>
      <c r="AS23" s="904"/>
      <c r="AT23" s="904"/>
      <c r="AU23" s="904"/>
    </row>
    <row r="24" spans="1:47" ht="12.75" customHeight="1" x14ac:dyDescent="0.2">
      <c r="A24" s="527">
        <v>18</v>
      </c>
      <c r="C24" s="907" t="s">
        <v>375</v>
      </c>
      <c r="G24" s="632">
        <v>52.97</v>
      </c>
      <c r="I24" s="613" t="s">
        <v>1642</v>
      </c>
      <c r="K24" s="533" t="s">
        <v>542</v>
      </c>
      <c r="L24" s="874">
        <v>35413</v>
      </c>
      <c r="N24" s="527">
        <v>1998</v>
      </c>
      <c r="P24" s="911">
        <v>1</v>
      </c>
      <c r="W24" s="613">
        <f t="shared" si="10"/>
        <v>1</v>
      </c>
      <c r="AB24" s="527">
        <f t="shared" si="7"/>
        <v>52.97</v>
      </c>
      <c r="AC24" s="527">
        <f t="shared" si="0"/>
        <v>0</v>
      </c>
      <c r="AD24" s="527">
        <f t="shared" si="1"/>
        <v>0</v>
      </c>
      <c r="AE24" s="527">
        <f t="shared" si="2"/>
        <v>0</v>
      </c>
      <c r="AF24" s="527">
        <f t="shared" si="3"/>
        <v>0</v>
      </c>
      <c r="AG24" s="527">
        <f t="shared" si="4"/>
        <v>0</v>
      </c>
      <c r="AH24" s="527"/>
      <c r="AI24" s="639">
        <f>G24</f>
        <v>52.97</v>
      </c>
    </row>
    <row r="25" spans="1:47" ht="12.75" customHeight="1" x14ac:dyDescent="0.2">
      <c r="A25" s="527">
        <v>18.100000000000001</v>
      </c>
      <c r="C25" s="533" t="s">
        <v>375</v>
      </c>
      <c r="I25" s="613" t="s">
        <v>1642</v>
      </c>
      <c r="K25" s="533" t="s">
        <v>535</v>
      </c>
      <c r="L25" s="874">
        <v>35413</v>
      </c>
      <c r="M25" s="527" t="s">
        <v>533</v>
      </c>
      <c r="AB25" s="527">
        <f t="shared" si="7"/>
        <v>0</v>
      </c>
      <c r="AC25" s="527">
        <f t="shared" si="0"/>
        <v>0</v>
      </c>
      <c r="AD25" s="527">
        <f t="shared" si="1"/>
        <v>0</v>
      </c>
      <c r="AE25" s="527">
        <f t="shared" si="2"/>
        <v>0</v>
      </c>
      <c r="AF25" s="527">
        <f t="shared" si="3"/>
        <v>0</v>
      </c>
      <c r="AG25" s="527">
        <f t="shared" si="4"/>
        <v>0</v>
      </c>
      <c r="AH25" s="527"/>
      <c r="AI25" s="639"/>
    </row>
    <row r="26" spans="1:47" ht="12.75" customHeight="1" x14ac:dyDescent="0.25">
      <c r="A26" s="527">
        <v>19</v>
      </c>
      <c r="C26" s="533" t="s">
        <v>455</v>
      </c>
      <c r="G26" s="632">
        <v>751</v>
      </c>
      <c r="H26" s="632">
        <v>150</v>
      </c>
      <c r="I26" s="613" t="s">
        <v>1639</v>
      </c>
      <c r="K26" s="533" t="s">
        <v>536</v>
      </c>
      <c r="L26" s="527">
        <v>2000</v>
      </c>
      <c r="M26" s="527" t="s">
        <v>534</v>
      </c>
      <c r="N26" s="527">
        <v>2000</v>
      </c>
      <c r="O26" s="638" t="s">
        <v>849</v>
      </c>
      <c r="R26" s="911">
        <v>1</v>
      </c>
      <c r="W26" s="613">
        <f t="shared" ref="W26:W30" si="11">SUM(P26:V26)</f>
        <v>1</v>
      </c>
      <c r="AB26" s="527">
        <f t="shared" si="7"/>
        <v>0</v>
      </c>
      <c r="AC26" s="527">
        <f t="shared" si="0"/>
        <v>0</v>
      </c>
      <c r="AD26" s="527">
        <f t="shared" si="1"/>
        <v>751</v>
      </c>
      <c r="AE26" s="527">
        <f t="shared" si="2"/>
        <v>0</v>
      </c>
      <c r="AF26" s="527">
        <f t="shared" si="3"/>
        <v>0</v>
      </c>
      <c r="AG26" s="527">
        <f t="shared" si="4"/>
        <v>0</v>
      </c>
      <c r="AH26" s="527"/>
      <c r="AI26" s="639">
        <f>G26</f>
        <v>751</v>
      </c>
      <c r="AM26" s="894"/>
      <c r="AR26" s="903"/>
      <c r="AS26" s="904"/>
      <c r="AT26" s="904"/>
      <c r="AU26" s="904"/>
    </row>
    <row r="27" spans="1:47" ht="12.75" customHeight="1" x14ac:dyDescent="0.35">
      <c r="A27" s="527">
        <v>20</v>
      </c>
      <c r="C27" s="533" t="s">
        <v>456</v>
      </c>
      <c r="G27" s="632">
        <v>148</v>
      </c>
      <c r="H27" s="632">
        <v>178</v>
      </c>
      <c r="I27" s="613" t="s">
        <v>1249</v>
      </c>
      <c r="K27" s="533" t="s">
        <v>536</v>
      </c>
      <c r="L27" s="527">
        <v>2000</v>
      </c>
      <c r="M27" s="527" t="s">
        <v>534</v>
      </c>
      <c r="N27" s="527">
        <v>2000</v>
      </c>
      <c r="O27" s="638" t="s">
        <v>813</v>
      </c>
      <c r="R27" s="911">
        <v>1</v>
      </c>
      <c r="W27" s="613">
        <f t="shared" si="11"/>
        <v>1</v>
      </c>
      <c r="AB27" s="527">
        <f t="shared" si="7"/>
        <v>0</v>
      </c>
      <c r="AC27" s="527">
        <f t="shared" si="0"/>
        <v>0</v>
      </c>
      <c r="AD27" s="527">
        <f t="shared" si="1"/>
        <v>148</v>
      </c>
      <c r="AE27" s="527">
        <f t="shared" si="2"/>
        <v>0</v>
      </c>
      <c r="AF27" s="527">
        <f t="shared" si="3"/>
        <v>0</v>
      </c>
      <c r="AG27" s="527">
        <f t="shared" si="4"/>
        <v>0</v>
      </c>
      <c r="AH27" s="527"/>
      <c r="AI27" s="639">
        <f>G27</f>
        <v>148</v>
      </c>
      <c r="AK27" s="891"/>
      <c r="AM27" s="892"/>
      <c r="AR27" s="903"/>
      <c r="AS27" s="904"/>
      <c r="AT27" s="904"/>
      <c r="AU27" s="904"/>
    </row>
    <row r="28" spans="1:47" ht="12.75" customHeight="1" x14ac:dyDescent="0.2">
      <c r="A28" s="527">
        <v>21</v>
      </c>
      <c r="C28" s="533" t="s">
        <v>454</v>
      </c>
      <c r="G28" s="632">
        <v>300</v>
      </c>
      <c r="H28" s="632">
        <f>59.3+41.8+34.1</f>
        <v>135.19999999999999</v>
      </c>
      <c r="I28" s="634" t="s">
        <v>1641</v>
      </c>
      <c r="J28" s="615"/>
      <c r="L28" s="527">
        <v>2000</v>
      </c>
      <c r="M28" s="527" t="s">
        <v>534</v>
      </c>
      <c r="N28" s="527">
        <v>2000</v>
      </c>
      <c r="O28" s="638" t="s">
        <v>848</v>
      </c>
      <c r="U28" s="613">
        <v>1</v>
      </c>
      <c r="W28" s="613">
        <f t="shared" si="11"/>
        <v>1</v>
      </c>
      <c r="X28" s="613">
        <v>1</v>
      </c>
      <c r="Y28" s="613">
        <v>1</v>
      </c>
      <c r="AB28" s="527">
        <f t="shared" si="7"/>
        <v>0</v>
      </c>
      <c r="AC28" s="527">
        <f t="shared" si="0"/>
        <v>0</v>
      </c>
      <c r="AD28" s="527">
        <f t="shared" si="1"/>
        <v>0</v>
      </c>
      <c r="AE28" s="527">
        <f t="shared" si="2"/>
        <v>0</v>
      </c>
      <c r="AF28" s="527">
        <f t="shared" si="3"/>
        <v>0</v>
      </c>
      <c r="AG28" s="527">
        <f t="shared" si="4"/>
        <v>300</v>
      </c>
      <c r="AH28" s="527"/>
      <c r="AI28" s="639">
        <f>G28</f>
        <v>300</v>
      </c>
      <c r="AK28" s="778">
        <v>1</v>
      </c>
    </row>
    <row r="29" spans="1:47" ht="12.75" customHeight="1" x14ac:dyDescent="0.2">
      <c r="A29" s="527">
        <v>22</v>
      </c>
      <c r="C29" s="533" t="s">
        <v>453</v>
      </c>
      <c r="G29" s="632">
        <v>185.8</v>
      </c>
      <c r="H29" s="632">
        <v>320</v>
      </c>
      <c r="I29" s="613" t="s">
        <v>1640</v>
      </c>
      <c r="K29" s="533" t="s">
        <v>539</v>
      </c>
      <c r="L29" s="527">
        <v>2000</v>
      </c>
      <c r="N29" s="527">
        <v>2000</v>
      </c>
      <c r="P29" s="911">
        <v>1</v>
      </c>
      <c r="W29" s="613">
        <f t="shared" si="11"/>
        <v>1</v>
      </c>
      <c r="AB29" s="527">
        <f t="shared" si="7"/>
        <v>185.8</v>
      </c>
      <c r="AC29" s="527">
        <f t="shared" si="0"/>
        <v>0</v>
      </c>
      <c r="AD29" s="527">
        <f t="shared" si="1"/>
        <v>0</v>
      </c>
      <c r="AE29" s="527">
        <f t="shared" si="2"/>
        <v>0</v>
      </c>
      <c r="AF29" s="527">
        <f t="shared" si="3"/>
        <v>0</v>
      </c>
      <c r="AG29" s="527">
        <f t="shared" si="4"/>
        <v>0</v>
      </c>
      <c r="AH29" s="527"/>
      <c r="AI29" s="639">
        <f>G29</f>
        <v>185.8</v>
      </c>
    </row>
    <row r="30" spans="1:47" ht="12.75" customHeight="1" x14ac:dyDescent="0.35">
      <c r="A30" s="527">
        <v>23</v>
      </c>
      <c r="C30" s="533" t="s">
        <v>457</v>
      </c>
      <c r="G30" s="632">
        <v>174</v>
      </c>
      <c r="H30" s="632">
        <v>790</v>
      </c>
      <c r="I30" s="613" t="s">
        <v>1629</v>
      </c>
      <c r="K30" s="533" t="s">
        <v>537</v>
      </c>
      <c r="L30" s="527">
        <v>2001</v>
      </c>
      <c r="M30" s="527" t="s">
        <v>532</v>
      </c>
      <c r="N30" s="527">
        <v>2002</v>
      </c>
      <c r="O30" s="638" t="s">
        <v>810</v>
      </c>
      <c r="R30" s="911">
        <v>1</v>
      </c>
      <c r="W30" s="613">
        <f t="shared" si="11"/>
        <v>1</v>
      </c>
      <c r="AB30" s="527">
        <f t="shared" si="7"/>
        <v>0</v>
      </c>
      <c r="AC30" s="527">
        <f t="shared" si="0"/>
        <v>0</v>
      </c>
      <c r="AD30" s="527">
        <f t="shared" si="1"/>
        <v>174</v>
      </c>
      <c r="AE30" s="527">
        <f t="shared" si="2"/>
        <v>0</v>
      </c>
      <c r="AF30" s="527">
        <f t="shared" si="3"/>
        <v>0</v>
      </c>
      <c r="AG30" s="527">
        <f t="shared" si="4"/>
        <v>0</v>
      </c>
      <c r="AH30" s="527"/>
      <c r="AI30" s="639">
        <f>G30</f>
        <v>174</v>
      </c>
      <c r="AK30" s="891"/>
      <c r="AL30" s="891"/>
      <c r="AM30" s="892"/>
      <c r="AR30" s="903"/>
      <c r="AS30" s="904"/>
      <c r="AT30" s="904"/>
      <c r="AU30" s="904"/>
    </row>
    <row r="31" spans="1:47" ht="12.75" customHeight="1" x14ac:dyDescent="0.25">
      <c r="A31" s="527">
        <v>23.1</v>
      </c>
      <c r="C31" s="533" t="s">
        <v>457</v>
      </c>
      <c r="I31" s="613" t="s">
        <v>1629</v>
      </c>
      <c r="K31" s="533" t="s">
        <v>536</v>
      </c>
      <c r="L31" s="527">
        <v>2001</v>
      </c>
      <c r="N31" s="527">
        <v>2002</v>
      </c>
      <c r="AB31" s="527">
        <f t="shared" si="7"/>
        <v>0</v>
      </c>
      <c r="AC31" s="527">
        <f t="shared" si="0"/>
        <v>0</v>
      </c>
      <c r="AD31" s="527">
        <f t="shared" si="1"/>
        <v>0</v>
      </c>
      <c r="AE31" s="527">
        <f t="shared" si="2"/>
        <v>0</v>
      </c>
      <c r="AF31" s="527">
        <f t="shared" si="3"/>
        <v>0</v>
      </c>
      <c r="AG31" s="527">
        <f t="shared" si="4"/>
        <v>0</v>
      </c>
      <c r="AH31" s="527"/>
      <c r="AI31" s="639"/>
      <c r="AR31" s="903"/>
      <c r="AS31" s="904"/>
      <c r="AT31" s="904"/>
      <c r="AU31" s="904"/>
    </row>
    <row r="32" spans="1:47" ht="12.75" customHeight="1" x14ac:dyDescent="0.35">
      <c r="A32" s="527">
        <v>24</v>
      </c>
      <c r="C32" s="533" t="s">
        <v>506</v>
      </c>
      <c r="G32" s="632">
        <v>251.2</v>
      </c>
      <c r="H32" s="632">
        <v>257</v>
      </c>
      <c r="I32" s="613" t="s">
        <v>1041</v>
      </c>
      <c r="L32" s="527">
        <v>2001</v>
      </c>
      <c r="M32" s="527" t="s">
        <v>532</v>
      </c>
      <c r="N32" s="527">
        <v>2001</v>
      </c>
      <c r="O32" s="638" t="s">
        <v>838</v>
      </c>
      <c r="R32" s="911">
        <v>1</v>
      </c>
      <c r="W32" s="613">
        <f t="shared" ref="W32:W95" si="12">SUM(P32:V32)</f>
        <v>1</v>
      </c>
      <c r="AB32" s="527">
        <f t="shared" si="7"/>
        <v>0</v>
      </c>
      <c r="AC32" s="527">
        <f t="shared" si="0"/>
        <v>0</v>
      </c>
      <c r="AD32" s="527">
        <f t="shared" si="1"/>
        <v>251.2</v>
      </c>
      <c r="AE32" s="527">
        <f t="shared" si="2"/>
        <v>0</v>
      </c>
      <c r="AF32" s="527">
        <f t="shared" si="3"/>
        <v>0</v>
      </c>
      <c r="AG32" s="527">
        <f t="shared" si="4"/>
        <v>0</v>
      </c>
      <c r="AH32" s="527"/>
      <c r="AI32" s="639">
        <f t="shared" ref="AI32:AI95" si="13">G32</f>
        <v>251.2</v>
      </c>
      <c r="AM32" s="892"/>
      <c r="AR32" s="903"/>
      <c r="AS32" s="904"/>
      <c r="AT32" s="904"/>
      <c r="AU32" s="904"/>
    </row>
    <row r="33" spans="1:47" ht="12.75" customHeight="1" x14ac:dyDescent="0.25">
      <c r="A33" s="527">
        <v>25</v>
      </c>
      <c r="C33" s="533" t="s">
        <v>501</v>
      </c>
      <c r="G33" s="632">
        <v>154</v>
      </c>
      <c r="H33" s="632">
        <v>276</v>
      </c>
      <c r="I33" s="613" t="s">
        <v>1631</v>
      </c>
      <c r="L33" s="527">
        <v>2001</v>
      </c>
      <c r="M33" s="527" t="s">
        <v>532</v>
      </c>
      <c r="N33" s="527">
        <v>2001</v>
      </c>
      <c r="O33" s="638" t="s">
        <v>830</v>
      </c>
      <c r="R33" s="911">
        <v>1</v>
      </c>
      <c r="W33" s="613">
        <f t="shared" si="12"/>
        <v>1</v>
      </c>
      <c r="Z33" s="613">
        <v>1</v>
      </c>
      <c r="AB33" s="527">
        <f t="shared" si="7"/>
        <v>0</v>
      </c>
      <c r="AC33" s="527">
        <f t="shared" si="0"/>
        <v>0</v>
      </c>
      <c r="AD33" s="527">
        <f t="shared" si="1"/>
        <v>154</v>
      </c>
      <c r="AE33" s="527">
        <f t="shared" si="2"/>
        <v>0</v>
      </c>
      <c r="AF33" s="527">
        <f t="shared" si="3"/>
        <v>0</v>
      </c>
      <c r="AG33" s="527">
        <f t="shared" si="4"/>
        <v>0</v>
      </c>
      <c r="AH33" s="527"/>
      <c r="AI33" s="639">
        <f t="shared" si="13"/>
        <v>154</v>
      </c>
      <c r="AK33" s="778">
        <v>1</v>
      </c>
      <c r="AR33" s="903"/>
      <c r="AS33" s="904"/>
      <c r="AT33" s="904"/>
      <c r="AU33" s="904"/>
    </row>
    <row r="34" spans="1:47" ht="12.75" customHeight="1" x14ac:dyDescent="0.2">
      <c r="A34" s="527">
        <v>26</v>
      </c>
      <c r="C34" s="533" t="s">
        <v>510</v>
      </c>
      <c r="G34" s="632">
        <v>156</v>
      </c>
      <c r="H34" s="632">
        <v>214</v>
      </c>
      <c r="I34" s="613" t="s">
        <v>1632</v>
      </c>
      <c r="L34" s="527">
        <v>2001</v>
      </c>
      <c r="M34" s="527" t="s">
        <v>532</v>
      </c>
      <c r="N34" s="527">
        <v>2001</v>
      </c>
      <c r="O34" s="638" t="s">
        <v>820</v>
      </c>
      <c r="U34" s="613">
        <v>1</v>
      </c>
      <c r="W34" s="613">
        <f t="shared" si="12"/>
        <v>1</v>
      </c>
      <c r="X34" s="613">
        <v>1</v>
      </c>
      <c r="Y34" s="613">
        <v>1</v>
      </c>
      <c r="AB34" s="527">
        <f t="shared" si="7"/>
        <v>0</v>
      </c>
      <c r="AC34" s="527">
        <f t="shared" si="0"/>
        <v>0</v>
      </c>
      <c r="AD34" s="527">
        <f t="shared" si="1"/>
        <v>0</v>
      </c>
      <c r="AE34" s="527">
        <f t="shared" si="2"/>
        <v>0</v>
      </c>
      <c r="AF34" s="527">
        <f t="shared" si="3"/>
        <v>0</v>
      </c>
      <c r="AG34" s="527">
        <f t="shared" si="4"/>
        <v>156</v>
      </c>
      <c r="AH34" s="527"/>
      <c r="AI34" s="639">
        <f t="shared" si="13"/>
        <v>156</v>
      </c>
      <c r="AK34" s="778">
        <v>1</v>
      </c>
    </row>
    <row r="35" spans="1:47" ht="12.75" customHeight="1" x14ac:dyDescent="0.2">
      <c r="A35" s="527">
        <v>27</v>
      </c>
      <c r="C35" s="533" t="s">
        <v>475</v>
      </c>
      <c r="G35" s="632">
        <v>1015</v>
      </c>
      <c r="H35" s="632">
        <f>142.3+61.5+133.4+107.8</f>
        <v>445.00000000000006</v>
      </c>
      <c r="I35" s="613" t="s">
        <v>1639</v>
      </c>
      <c r="K35" s="533" t="s">
        <v>476</v>
      </c>
      <c r="L35" s="527">
        <v>2001</v>
      </c>
      <c r="M35" s="527" t="s">
        <v>532</v>
      </c>
      <c r="N35" s="527">
        <v>2001</v>
      </c>
      <c r="O35" s="638" t="s">
        <v>847</v>
      </c>
      <c r="U35" s="613">
        <v>1</v>
      </c>
      <c r="W35" s="613">
        <f t="shared" si="12"/>
        <v>1</v>
      </c>
      <c r="X35" s="613">
        <v>1</v>
      </c>
      <c r="AB35" s="527">
        <f t="shared" si="7"/>
        <v>0</v>
      </c>
      <c r="AC35" s="527">
        <f t="shared" si="0"/>
        <v>0</v>
      </c>
      <c r="AD35" s="527">
        <f t="shared" si="1"/>
        <v>0</v>
      </c>
      <c r="AE35" s="527">
        <f t="shared" si="2"/>
        <v>0</v>
      </c>
      <c r="AF35" s="527">
        <f t="shared" si="3"/>
        <v>0</v>
      </c>
      <c r="AG35" s="527">
        <f t="shared" si="4"/>
        <v>1015</v>
      </c>
      <c r="AH35" s="527"/>
      <c r="AI35" s="639">
        <f t="shared" si="13"/>
        <v>1015</v>
      </c>
    </row>
    <row r="36" spans="1:47" ht="12.75" customHeight="1" x14ac:dyDescent="0.2">
      <c r="A36" s="527">
        <v>28</v>
      </c>
      <c r="C36" s="820" t="s">
        <v>478</v>
      </c>
      <c r="G36" s="632">
        <f>359+224+50</f>
        <v>633</v>
      </c>
      <c r="H36" s="632">
        <f>283.6+408.2+50</f>
        <v>741.8</v>
      </c>
      <c r="I36" s="634" t="s">
        <v>1638</v>
      </c>
      <c r="J36" s="615"/>
      <c r="L36" s="527">
        <v>2001</v>
      </c>
      <c r="M36" s="527" t="s">
        <v>532</v>
      </c>
      <c r="N36" s="527">
        <v>2001</v>
      </c>
      <c r="O36" s="638" t="s">
        <v>846</v>
      </c>
      <c r="U36" s="613">
        <v>1</v>
      </c>
      <c r="W36" s="613">
        <f t="shared" si="12"/>
        <v>1</v>
      </c>
      <c r="X36" s="613">
        <v>1</v>
      </c>
      <c r="Z36" s="613">
        <v>1</v>
      </c>
      <c r="AB36" s="527">
        <f t="shared" si="7"/>
        <v>0</v>
      </c>
      <c r="AC36" s="527">
        <f t="shared" si="0"/>
        <v>0</v>
      </c>
      <c r="AD36" s="527">
        <f t="shared" si="1"/>
        <v>0</v>
      </c>
      <c r="AE36" s="527">
        <f t="shared" si="2"/>
        <v>0</v>
      </c>
      <c r="AF36" s="527">
        <f t="shared" si="3"/>
        <v>0</v>
      </c>
      <c r="AG36" s="527">
        <f t="shared" si="4"/>
        <v>633</v>
      </c>
      <c r="AH36" s="527"/>
      <c r="AI36" s="639">
        <f t="shared" si="13"/>
        <v>633</v>
      </c>
    </row>
    <row r="37" spans="1:47" ht="12.75" customHeight="1" x14ac:dyDescent="0.2">
      <c r="A37" s="527">
        <v>29</v>
      </c>
      <c r="C37" s="533" t="s">
        <v>505</v>
      </c>
      <c r="G37" s="639">
        <v>289.70999999999998</v>
      </c>
      <c r="H37" s="639">
        <f>62+31+22</f>
        <v>115</v>
      </c>
      <c r="I37" s="613" t="s">
        <v>1637</v>
      </c>
      <c r="J37" s="527"/>
      <c r="K37" s="533" t="s">
        <v>540</v>
      </c>
      <c r="L37" s="874">
        <v>36171</v>
      </c>
      <c r="N37" s="527">
        <v>2001</v>
      </c>
      <c r="P37" s="911">
        <v>1</v>
      </c>
      <c r="W37" s="613">
        <f t="shared" si="12"/>
        <v>1</v>
      </c>
      <c r="AB37" s="527">
        <f t="shared" si="7"/>
        <v>289.70999999999998</v>
      </c>
      <c r="AC37" s="527">
        <f t="shared" si="0"/>
        <v>0</v>
      </c>
      <c r="AD37" s="527">
        <f t="shared" si="1"/>
        <v>0</v>
      </c>
      <c r="AE37" s="527">
        <f t="shared" si="2"/>
        <v>0</v>
      </c>
      <c r="AF37" s="527">
        <f t="shared" si="3"/>
        <v>0</v>
      </c>
      <c r="AG37" s="527">
        <f t="shared" si="4"/>
        <v>0</v>
      </c>
      <c r="AH37" s="527"/>
      <c r="AI37" s="639">
        <f t="shared" si="13"/>
        <v>289.70999999999998</v>
      </c>
    </row>
    <row r="38" spans="1:47" ht="12.75" customHeight="1" x14ac:dyDescent="0.25">
      <c r="A38" s="527">
        <v>30</v>
      </c>
      <c r="C38" s="533" t="s">
        <v>507</v>
      </c>
      <c r="G38" s="632">
        <v>9</v>
      </c>
      <c r="H38" s="632">
        <v>720</v>
      </c>
      <c r="I38" s="613" t="s">
        <v>1636</v>
      </c>
      <c r="K38" s="533" t="s">
        <v>538</v>
      </c>
      <c r="L38" s="527">
        <v>2002</v>
      </c>
      <c r="M38" s="527" t="s">
        <v>757</v>
      </c>
      <c r="N38" s="527">
        <v>2003</v>
      </c>
      <c r="O38" s="638" t="s">
        <v>804</v>
      </c>
      <c r="R38" s="911">
        <v>1</v>
      </c>
      <c r="W38" s="613">
        <f t="shared" si="12"/>
        <v>1</v>
      </c>
      <c r="AB38" s="527">
        <f t="shared" si="7"/>
        <v>0</v>
      </c>
      <c r="AC38" s="527">
        <f t="shared" si="0"/>
        <v>0</v>
      </c>
      <c r="AD38" s="527">
        <f t="shared" si="1"/>
        <v>9</v>
      </c>
      <c r="AE38" s="527">
        <f t="shared" si="2"/>
        <v>0</v>
      </c>
      <c r="AF38" s="527">
        <f t="shared" si="3"/>
        <v>0</v>
      </c>
      <c r="AG38" s="527">
        <f t="shared" si="4"/>
        <v>0</v>
      </c>
      <c r="AH38" s="527"/>
      <c r="AI38" s="639">
        <f t="shared" si="13"/>
        <v>9</v>
      </c>
      <c r="AK38" s="893"/>
      <c r="AM38" s="894"/>
      <c r="AR38" s="903"/>
      <c r="AS38" s="904"/>
      <c r="AT38" s="904"/>
      <c r="AU38" s="904"/>
    </row>
    <row r="39" spans="1:47" ht="12.75" customHeight="1" x14ac:dyDescent="0.25">
      <c r="A39" s="527">
        <v>31</v>
      </c>
      <c r="C39" s="533" t="s">
        <v>508</v>
      </c>
      <c r="G39" s="632">
        <v>3.83</v>
      </c>
      <c r="H39" s="632">
        <f>88.1+ 46.5</f>
        <v>134.6</v>
      </c>
      <c r="I39" s="613" t="s">
        <v>1636</v>
      </c>
      <c r="K39" s="533" t="s">
        <v>538</v>
      </c>
      <c r="L39" s="527">
        <v>2002</v>
      </c>
      <c r="M39" s="527" t="s">
        <v>757</v>
      </c>
      <c r="N39" s="527">
        <v>2003</v>
      </c>
      <c r="O39" s="638" t="s">
        <v>580</v>
      </c>
      <c r="R39" s="911">
        <v>1</v>
      </c>
      <c r="W39" s="613">
        <f t="shared" si="12"/>
        <v>1</v>
      </c>
      <c r="AB39" s="527">
        <f t="shared" si="7"/>
        <v>0</v>
      </c>
      <c r="AC39" s="527">
        <f t="shared" si="0"/>
        <v>0</v>
      </c>
      <c r="AD39" s="527">
        <f t="shared" si="1"/>
        <v>3.83</v>
      </c>
      <c r="AE39" s="527">
        <f t="shared" si="2"/>
        <v>0</v>
      </c>
      <c r="AF39" s="527">
        <f t="shared" si="3"/>
        <v>0</v>
      </c>
      <c r="AG39" s="527">
        <f t="shared" si="4"/>
        <v>0</v>
      </c>
      <c r="AH39" s="527"/>
      <c r="AI39" s="639">
        <f t="shared" si="13"/>
        <v>3.83</v>
      </c>
      <c r="AR39" s="903"/>
      <c r="AS39" s="904"/>
      <c r="AT39" s="904"/>
      <c r="AU39" s="904"/>
    </row>
    <row r="40" spans="1:47" ht="12.75" customHeight="1" x14ac:dyDescent="0.25">
      <c r="A40" s="527">
        <v>32</v>
      </c>
      <c r="C40" s="533" t="s">
        <v>509</v>
      </c>
      <c r="G40" s="632">
        <v>4.1500000000000004</v>
      </c>
      <c r="H40" s="632">
        <v>69</v>
      </c>
      <c r="I40" s="613" t="s">
        <v>1041</v>
      </c>
      <c r="K40" s="533" t="s">
        <v>538</v>
      </c>
      <c r="L40" s="527">
        <v>2002</v>
      </c>
      <c r="M40" s="527" t="s">
        <v>757</v>
      </c>
      <c r="N40" s="527">
        <v>2003</v>
      </c>
      <c r="O40" s="638" t="s">
        <v>836</v>
      </c>
      <c r="R40" s="911">
        <v>1</v>
      </c>
      <c r="W40" s="613">
        <f t="shared" si="12"/>
        <v>1</v>
      </c>
      <c r="AB40" s="527">
        <f t="shared" si="7"/>
        <v>0</v>
      </c>
      <c r="AC40" s="527">
        <f t="shared" si="0"/>
        <v>0</v>
      </c>
      <c r="AD40" s="527">
        <f t="shared" si="1"/>
        <v>4.1500000000000004</v>
      </c>
      <c r="AE40" s="527">
        <f t="shared" si="2"/>
        <v>0</v>
      </c>
      <c r="AF40" s="527">
        <f t="shared" si="3"/>
        <v>0</v>
      </c>
      <c r="AG40" s="527">
        <f t="shared" si="4"/>
        <v>0</v>
      </c>
      <c r="AH40" s="527"/>
      <c r="AI40" s="639">
        <f t="shared" si="13"/>
        <v>4.1500000000000004</v>
      </c>
      <c r="AR40" s="903"/>
      <c r="AS40" s="904"/>
      <c r="AT40" s="904"/>
      <c r="AU40" s="904"/>
    </row>
    <row r="41" spans="1:47" ht="12.75" customHeight="1" x14ac:dyDescent="0.2">
      <c r="A41" s="527">
        <v>33</v>
      </c>
      <c r="C41" s="533" t="s">
        <v>635</v>
      </c>
      <c r="G41" s="632">
        <v>34.4</v>
      </c>
      <c r="H41" s="632">
        <v>384</v>
      </c>
      <c r="I41" s="613" t="s">
        <v>1636</v>
      </c>
      <c r="K41" s="533" t="s">
        <v>636</v>
      </c>
      <c r="L41" s="527">
        <v>2002</v>
      </c>
      <c r="M41" s="527" t="s">
        <v>757</v>
      </c>
      <c r="N41" s="527">
        <v>2003</v>
      </c>
      <c r="O41" s="638" t="s">
        <v>815</v>
      </c>
      <c r="R41" s="911">
        <v>1</v>
      </c>
      <c r="W41" s="613">
        <f t="shared" si="12"/>
        <v>1</v>
      </c>
      <c r="AB41" s="527">
        <f t="shared" si="7"/>
        <v>0</v>
      </c>
      <c r="AC41" s="527">
        <f t="shared" si="0"/>
        <v>0</v>
      </c>
      <c r="AD41" s="527">
        <f t="shared" si="1"/>
        <v>34.4</v>
      </c>
      <c r="AE41" s="527">
        <f t="shared" si="2"/>
        <v>0</v>
      </c>
      <c r="AF41" s="527">
        <f t="shared" si="3"/>
        <v>0</v>
      </c>
      <c r="AG41" s="527">
        <f t="shared" si="4"/>
        <v>0</v>
      </c>
      <c r="AH41" s="527"/>
      <c r="AI41" s="639">
        <f t="shared" si="13"/>
        <v>34.4</v>
      </c>
    </row>
    <row r="42" spans="1:47" ht="12.75" customHeight="1" x14ac:dyDescent="0.25">
      <c r="A42" s="527">
        <v>34</v>
      </c>
      <c r="C42" s="533" t="s">
        <v>665</v>
      </c>
      <c r="G42" s="632">
        <v>10</v>
      </c>
      <c r="H42" s="632">
        <v>28.7</v>
      </c>
      <c r="I42" s="613" t="s">
        <v>1636</v>
      </c>
      <c r="K42" s="533" t="s">
        <v>753</v>
      </c>
      <c r="L42" s="527">
        <v>2003</v>
      </c>
      <c r="M42" s="527" t="s">
        <v>757</v>
      </c>
      <c r="N42" s="527">
        <v>2003</v>
      </c>
      <c r="O42" s="638" t="s">
        <v>832</v>
      </c>
      <c r="R42" s="911">
        <v>1</v>
      </c>
      <c r="W42" s="613">
        <f t="shared" si="12"/>
        <v>1</v>
      </c>
      <c r="AB42" s="527">
        <f t="shared" si="7"/>
        <v>0</v>
      </c>
      <c r="AC42" s="527">
        <f t="shared" si="0"/>
        <v>0</v>
      </c>
      <c r="AD42" s="527">
        <f t="shared" si="1"/>
        <v>10</v>
      </c>
      <c r="AE42" s="527">
        <f t="shared" si="2"/>
        <v>0</v>
      </c>
      <c r="AF42" s="527">
        <f t="shared" si="3"/>
        <v>0</v>
      </c>
      <c r="AG42" s="527">
        <f t="shared" si="4"/>
        <v>0</v>
      </c>
      <c r="AH42" s="527"/>
      <c r="AI42" s="639">
        <f t="shared" si="13"/>
        <v>10</v>
      </c>
      <c r="AK42" s="893"/>
      <c r="AM42" s="894"/>
      <c r="AR42" s="903"/>
      <c r="AS42" s="904"/>
      <c r="AT42" s="904"/>
      <c r="AU42" s="904"/>
    </row>
    <row r="43" spans="1:47" ht="12.75" customHeight="1" x14ac:dyDescent="0.25">
      <c r="A43" s="527">
        <v>35</v>
      </c>
      <c r="C43" s="533" t="s">
        <v>662</v>
      </c>
      <c r="G43" s="632">
        <v>34.11</v>
      </c>
      <c r="H43" s="632">
        <f>44+547+38</f>
        <v>629</v>
      </c>
      <c r="I43" s="613" t="s">
        <v>1634</v>
      </c>
      <c r="K43" s="533" t="s">
        <v>753</v>
      </c>
      <c r="L43" s="527">
        <v>2003</v>
      </c>
      <c r="M43" s="527" t="s">
        <v>757</v>
      </c>
      <c r="N43" s="527">
        <v>2003</v>
      </c>
      <c r="O43" s="638" t="s">
        <v>589</v>
      </c>
      <c r="R43" s="911">
        <v>1</v>
      </c>
      <c r="W43" s="613">
        <f t="shared" si="12"/>
        <v>1</v>
      </c>
      <c r="AB43" s="527">
        <f t="shared" si="7"/>
        <v>0</v>
      </c>
      <c r="AC43" s="527">
        <f t="shared" si="0"/>
        <v>0</v>
      </c>
      <c r="AD43" s="527">
        <f t="shared" si="1"/>
        <v>34.11</v>
      </c>
      <c r="AE43" s="527">
        <f t="shared" si="2"/>
        <v>0</v>
      </c>
      <c r="AF43" s="527">
        <f t="shared" si="3"/>
        <v>0</v>
      </c>
      <c r="AG43" s="527">
        <f t="shared" si="4"/>
        <v>0</v>
      </c>
      <c r="AH43" s="527"/>
      <c r="AI43" s="639">
        <f t="shared" si="13"/>
        <v>34.11</v>
      </c>
      <c r="AR43" s="903"/>
      <c r="AS43" s="904"/>
      <c r="AT43" s="904"/>
      <c r="AU43" s="904"/>
    </row>
    <row r="44" spans="1:47" ht="12.75" customHeight="1" x14ac:dyDescent="0.25">
      <c r="A44" s="527">
        <v>36</v>
      </c>
      <c r="C44" s="533" t="s">
        <v>663</v>
      </c>
      <c r="G44" s="632">
        <v>12.86</v>
      </c>
      <c r="H44" s="632">
        <v>142</v>
      </c>
      <c r="I44" s="613" t="s">
        <v>1041</v>
      </c>
      <c r="K44" s="533" t="s">
        <v>753</v>
      </c>
      <c r="L44" s="527">
        <v>2003</v>
      </c>
      <c r="M44" s="527" t="s">
        <v>757</v>
      </c>
      <c r="N44" s="527">
        <v>2003</v>
      </c>
      <c r="O44" s="638" t="s">
        <v>837</v>
      </c>
      <c r="R44" s="911">
        <v>1</v>
      </c>
      <c r="W44" s="613">
        <f t="shared" si="12"/>
        <v>1</v>
      </c>
      <c r="AB44" s="527">
        <f t="shared" si="7"/>
        <v>0</v>
      </c>
      <c r="AC44" s="527">
        <f t="shared" si="0"/>
        <v>0</v>
      </c>
      <c r="AD44" s="527">
        <f t="shared" si="1"/>
        <v>12.86</v>
      </c>
      <c r="AE44" s="527">
        <f t="shared" si="2"/>
        <v>0</v>
      </c>
      <c r="AF44" s="527">
        <f t="shared" si="3"/>
        <v>0</v>
      </c>
      <c r="AG44" s="527">
        <f t="shared" si="4"/>
        <v>0</v>
      </c>
      <c r="AH44" s="527"/>
      <c r="AI44" s="639">
        <f t="shared" si="13"/>
        <v>12.86</v>
      </c>
      <c r="AR44" s="903"/>
      <c r="AS44" s="904"/>
      <c r="AT44" s="904"/>
      <c r="AU44" s="904"/>
    </row>
    <row r="45" spans="1:47" ht="12.75" customHeight="1" x14ac:dyDescent="0.25">
      <c r="A45" s="527">
        <v>37</v>
      </c>
      <c r="C45" s="533" t="s">
        <v>664</v>
      </c>
      <c r="G45" s="632">
        <v>50</v>
      </c>
      <c r="H45" s="635" t="s">
        <v>565</v>
      </c>
      <c r="J45" s="613"/>
      <c r="K45" s="533" t="s">
        <v>753</v>
      </c>
      <c r="L45" s="527">
        <v>2003</v>
      </c>
      <c r="M45" s="527" t="s">
        <v>757</v>
      </c>
      <c r="N45" s="527">
        <v>2003</v>
      </c>
      <c r="R45" s="911">
        <v>1</v>
      </c>
      <c r="W45" s="613">
        <f t="shared" si="12"/>
        <v>1</v>
      </c>
      <c r="AB45" s="527">
        <f t="shared" si="7"/>
        <v>0</v>
      </c>
      <c r="AC45" s="527">
        <f t="shared" si="0"/>
        <v>0</v>
      </c>
      <c r="AD45" s="527">
        <f t="shared" si="1"/>
        <v>50</v>
      </c>
      <c r="AE45" s="527">
        <f t="shared" si="2"/>
        <v>0</v>
      </c>
      <c r="AF45" s="527">
        <f t="shared" si="3"/>
        <v>0</v>
      </c>
      <c r="AG45" s="527">
        <f t="shared" si="4"/>
        <v>0</v>
      </c>
      <c r="AH45" s="527"/>
      <c r="AI45" s="639">
        <f t="shared" si="13"/>
        <v>50</v>
      </c>
      <c r="AR45" s="903"/>
      <c r="AS45" s="904"/>
      <c r="AT45" s="904"/>
      <c r="AU45" s="904"/>
    </row>
    <row r="46" spans="1:47" ht="12.75" customHeight="1" x14ac:dyDescent="0.25">
      <c r="A46" s="527">
        <v>38</v>
      </c>
      <c r="C46" s="533" t="s">
        <v>754</v>
      </c>
      <c r="E46" s="527" t="s">
        <v>2205</v>
      </c>
      <c r="G46" s="632">
        <v>2</v>
      </c>
      <c r="H46" s="632">
        <v>120</v>
      </c>
      <c r="K46" s="533" t="s">
        <v>753</v>
      </c>
      <c r="L46" s="527">
        <v>2003</v>
      </c>
      <c r="M46" s="527" t="s">
        <v>757</v>
      </c>
      <c r="N46" s="527">
        <v>2003</v>
      </c>
      <c r="O46" s="638" t="s">
        <v>816</v>
      </c>
      <c r="R46" s="911">
        <v>1</v>
      </c>
      <c r="W46" s="613">
        <f t="shared" si="12"/>
        <v>1</v>
      </c>
      <c r="AB46" s="527">
        <f t="shared" si="7"/>
        <v>0</v>
      </c>
      <c r="AC46" s="527">
        <f t="shared" si="0"/>
        <v>0</v>
      </c>
      <c r="AD46" s="527">
        <f t="shared" si="1"/>
        <v>2</v>
      </c>
      <c r="AE46" s="527">
        <f t="shared" si="2"/>
        <v>0</v>
      </c>
      <c r="AF46" s="527">
        <f t="shared" si="3"/>
        <v>0</v>
      </c>
      <c r="AG46" s="527">
        <f t="shared" si="4"/>
        <v>0</v>
      </c>
      <c r="AH46" s="527"/>
      <c r="AI46" s="639">
        <f t="shared" si="13"/>
        <v>2</v>
      </c>
      <c r="AK46" s="893"/>
      <c r="AM46" s="894"/>
      <c r="AR46" s="903"/>
      <c r="AS46" s="904"/>
      <c r="AT46" s="904"/>
      <c r="AU46" s="904"/>
    </row>
    <row r="47" spans="1:47" ht="12.75" customHeight="1" x14ac:dyDescent="0.2">
      <c r="A47" s="527">
        <v>39</v>
      </c>
      <c r="C47" s="533" t="s">
        <v>690</v>
      </c>
      <c r="G47" s="632">
        <v>34.049999999999997</v>
      </c>
      <c r="H47" s="632">
        <v>99</v>
      </c>
      <c r="I47" s="613" t="s">
        <v>1636</v>
      </c>
      <c r="K47" s="533" t="s">
        <v>753</v>
      </c>
      <c r="L47" s="527">
        <v>2003</v>
      </c>
      <c r="M47" s="527" t="s">
        <v>757</v>
      </c>
      <c r="N47" s="527">
        <v>2003</v>
      </c>
      <c r="O47" s="638" t="s">
        <v>581</v>
      </c>
      <c r="R47" s="911">
        <v>1</v>
      </c>
      <c r="W47" s="613">
        <f t="shared" si="12"/>
        <v>1</v>
      </c>
      <c r="AB47" s="527">
        <f t="shared" si="7"/>
        <v>0</v>
      </c>
      <c r="AC47" s="527">
        <f t="shared" si="0"/>
        <v>0</v>
      </c>
      <c r="AD47" s="527">
        <f t="shared" si="1"/>
        <v>34.049999999999997</v>
      </c>
      <c r="AE47" s="527">
        <f t="shared" si="2"/>
        <v>0</v>
      </c>
      <c r="AF47" s="527">
        <f t="shared" si="3"/>
        <v>0</v>
      </c>
      <c r="AG47" s="527">
        <f t="shared" si="4"/>
        <v>0</v>
      </c>
      <c r="AH47" s="527"/>
      <c r="AI47" s="639">
        <f t="shared" si="13"/>
        <v>34.049999999999997</v>
      </c>
    </row>
    <row r="48" spans="1:47" ht="12.75" customHeight="1" x14ac:dyDescent="0.25">
      <c r="A48" s="527">
        <v>40</v>
      </c>
      <c r="C48" s="533" t="s">
        <v>758</v>
      </c>
      <c r="G48" s="632">
        <v>12.31</v>
      </c>
      <c r="H48" s="632">
        <v>438</v>
      </c>
      <c r="I48" s="613" t="s">
        <v>1027</v>
      </c>
      <c r="K48" s="533" t="s">
        <v>759</v>
      </c>
      <c r="L48" s="527">
        <v>2003</v>
      </c>
      <c r="M48" s="527" t="s">
        <v>757</v>
      </c>
      <c r="N48" s="527">
        <v>2003</v>
      </c>
      <c r="O48" s="638" t="s">
        <v>833</v>
      </c>
      <c r="U48" s="613">
        <v>1</v>
      </c>
      <c r="W48" s="613">
        <f t="shared" si="12"/>
        <v>1</v>
      </c>
      <c r="X48" s="613">
        <v>1</v>
      </c>
      <c r="AB48" s="527">
        <f t="shared" si="7"/>
        <v>0</v>
      </c>
      <c r="AC48" s="527">
        <f t="shared" si="0"/>
        <v>0</v>
      </c>
      <c r="AD48" s="527">
        <f t="shared" si="1"/>
        <v>0</v>
      </c>
      <c r="AE48" s="527">
        <f t="shared" si="2"/>
        <v>0</v>
      </c>
      <c r="AF48" s="527">
        <f t="shared" si="3"/>
        <v>0</v>
      </c>
      <c r="AG48" s="527">
        <f t="shared" si="4"/>
        <v>12.31</v>
      </c>
      <c r="AH48" s="527"/>
      <c r="AI48" s="639">
        <f t="shared" si="13"/>
        <v>12.31</v>
      </c>
      <c r="AM48" s="894"/>
      <c r="AN48" s="895"/>
      <c r="AO48" s="895"/>
      <c r="AP48" s="897"/>
      <c r="AR48" s="903"/>
      <c r="AS48" s="904"/>
      <c r="AT48" s="904"/>
      <c r="AU48" s="904"/>
    </row>
    <row r="49" spans="1:47" ht="12.75" customHeight="1" x14ac:dyDescent="0.25">
      <c r="A49" s="527">
        <v>41</v>
      </c>
      <c r="C49" s="533" t="s">
        <v>760</v>
      </c>
      <c r="G49" s="632">
        <v>81.3</v>
      </c>
      <c r="H49" s="632">
        <v>100.5</v>
      </c>
      <c r="I49" s="613" t="s">
        <v>1041</v>
      </c>
      <c r="K49" s="533" t="s">
        <v>759</v>
      </c>
      <c r="L49" s="527">
        <v>2003</v>
      </c>
      <c r="M49" s="527" t="s">
        <v>757</v>
      </c>
      <c r="N49" s="527">
        <v>2003</v>
      </c>
      <c r="O49" s="638" t="s">
        <v>585</v>
      </c>
      <c r="R49" s="911">
        <v>1</v>
      </c>
      <c r="W49" s="613">
        <f t="shared" si="12"/>
        <v>1</v>
      </c>
      <c r="AB49" s="527">
        <f t="shared" si="7"/>
        <v>0</v>
      </c>
      <c r="AC49" s="527">
        <f t="shared" si="0"/>
        <v>0</v>
      </c>
      <c r="AD49" s="527">
        <f t="shared" si="1"/>
        <v>81.3</v>
      </c>
      <c r="AE49" s="527">
        <f t="shared" si="2"/>
        <v>0</v>
      </c>
      <c r="AF49" s="527">
        <f t="shared" si="3"/>
        <v>0</v>
      </c>
      <c r="AG49" s="527">
        <f t="shared" si="4"/>
        <v>0</v>
      </c>
      <c r="AH49" s="527"/>
      <c r="AI49" s="639">
        <f t="shared" si="13"/>
        <v>81.3</v>
      </c>
      <c r="AR49" s="903"/>
      <c r="AS49" s="904"/>
      <c r="AT49" s="904"/>
      <c r="AU49" s="904"/>
    </row>
    <row r="50" spans="1:47" ht="12.75" customHeight="1" x14ac:dyDescent="0.25">
      <c r="A50" s="527">
        <v>42</v>
      </c>
      <c r="C50" s="533" t="s">
        <v>761</v>
      </c>
      <c r="G50" s="632">
        <v>10.8</v>
      </c>
      <c r="H50" s="632">
        <v>295</v>
      </c>
      <c r="I50" s="613" t="s">
        <v>1636</v>
      </c>
      <c r="K50" s="533" t="s">
        <v>759</v>
      </c>
      <c r="L50" s="527">
        <v>2003</v>
      </c>
      <c r="M50" s="527" t="s">
        <v>757</v>
      </c>
      <c r="N50" s="527">
        <v>2003</v>
      </c>
      <c r="O50" s="638" t="s">
        <v>582</v>
      </c>
      <c r="R50" s="911">
        <v>1</v>
      </c>
      <c r="W50" s="613">
        <f t="shared" si="12"/>
        <v>1</v>
      </c>
      <c r="AB50" s="527">
        <f t="shared" si="7"/>
        <v>0</v>
      </c>
      <c r="AC50" s="527">
        <f t="shared" si="0"/>
        <v>0</v>
      </c>
      <c r="AD50" s="527">
        <f t="shared" si="1"/>
        <v>10.8</v>
      </c>
      <c r="AE50" s="527">
        <f t="shared" si="2"/>
        <v>0</v>
      </c>
      <c r="AF50" s="527">
        <f t="shared" si="3"/>
        <v>0</v>
      </c>
      <c r="AG50" s="527">
        <f t="shared" si="4"/>
        <v>0</v>
      </c>
      <c r="AH50" s="527"/>
      <c r="AI50" s="639">
        <f t="shared" si="13"/>
        <v>10.8</v>
      </c>
      <c r="AR50" s="903"/>
      <c r="AS50" s="904"/>
      <c r="AT50" s="904"/>
      <c r="AU50" s="904"/>
    </row>
    <row r="51" spans="1:47" ht="12.75" customHeight="1" x14ac:dyDescent="0.25">
      <c r="A51" s="527">
        <v>43</v>
      </c>
      <c r="C51" s="533" t="s">
        <v>762</v>
      </c>
      <c r="G51" s="632">
        <v>4</v>
      </c>
      <c r="H51" s="635" t="s">
        <v>565</v>
      </c>
      <c r="J51" s="613"/>
      <c r="K51" s="533" t="s">
        <v>759</v>
      </c>
      <c r="L51" s="527">
        <v>2003</v>
      </c>
      <c r="M51" s="527" t="s">
        <v>757</v>
      </c>
      <c r="N51" s="527">
        <v>2003</v>
      </c>
      <c r="R51" s="911">
        <v>1</v>
      </c>
      <c r="W51" s="613">
        <f t="shared" si="12"/>
        <v>1</v>
      </c>
      <c r="AB51" s="527">
        <f t="shared" si="7"/>
        <v>0</v>
      </c>
      <c r="AC51" s="527">
        <f t="shared" si="0"/>
        <v>0</v>
      </c>
      <c r="AD51" s="527">
        <f t="shared" si="1"/>
        <v>4</v>
      </c>
      <c r="AE51" s="527">
        <f t="shared" si="2"/>
        <v>0</v>
      </c>
      <c r="AF51" s="527">
        <f t="shared" si="3"/>
        <v>0</v>
      </c>
      <c r="AG51" s="527">
        <f t="shared" si="4"/>
        <v>0</v>
      </c>
      <c r="AH51" s="527"/>
      <c r="AI51" s="639">
        <f t="shared" si="13"/>
        <v>4</v>
      </c>
      <c r="AR51" s="903"/>
      <c r="AS51" s="904"/>
      <c r="AT51" s="904"/>
      <c r="AU51" s="904"/>
    </row>
    <row r="52" spans="1:47" ht="12.75" customHeight="1" x14ac:dyDescent="0.2">
      <c r="A52" s="527">
        <v>44</v>
      </c>
      <c r="C52" s="533" t="s">
        <v>763</v>
      </c>
      <c r="G52" s="632">
        <v>108</v>
      </c>
      <c r="H52" s="635" t="s">
        <v>565</v>
      </c>
      <c r="J52" s="613"/>
      <c r="K52" s="533" t="s">
        <v>759</v>
      </c>
      <c r="L52" s="527">
        <v>2003</v>
      </c>
      <c r="M52" s="527" t="s">
        <v>757</v>
      </c>
      <c r="N52" s="527">
        <v>2003</v>
      </c>
      <c r="R52" s="911">
        <v>1</v>
      </c>
      <c r="W52" s="613">
        <f t="shared" si="12"/>
        <v>1</v>
      </c>
      <c r="AB52" s="527">
        <f t="shared" si="7"/>
        <v>0</v>
      </c>
      <c r="AC52" s="527">
        <f t="shared" si="0"/>
        <v>0</v>
      </c>
      <c r="AD52" s="527">
        <f t="shared" si="1"/>
        <v>108</v>
      </c>
      <c r="AE52" s="527">
        <f t="shared" si="2"/>
        <v>0</v>
      </c>
      <c r="AF52" s="527">
        <f t="shared" si="3"/>
        <v>0</v>
      </c>
      <c r="AG52" s="527">
        <f t="shared" si="4"/>
        <v>0</v>
      </c>
      <c r="AH52" s="527"/>
      <c r="AI52" s="639">
        <f t="shared" si="13"/>
        <v>108</v>
      </c>
    </row>
    <row r="53" spans="1:47" ht="12.75" customHeight="1" x14ac:dyDescent="0.2">
      <c r="A53" s="527">
        <v>45</v>
      </c>
      <c r="C53" s="533" t="s">
        <v>764</v>
      </c>
      <c r="G53" s="632">
        <v>36</v>
      </c>
      <c r="H53" s="635" t="s">
        <v>565</v>
      </c>
      <c r="J53" s="613"/>
      <c r="K53" s="533" t="s">
        <v>759</v>
      </c>
      <c r="L53" s="527">
        <v>2003</v>
      </c>
      <c r="M53" s="527" t="s">
        <v>757</v>
      </c>
      <c r="N53" s="527">
        <v>2003</v>
      </c>
      <c r="R53" s="911">
        <v>1</v>
      </c>
      <c r="W53" s="613">
        <f t="shared" si="12"/>
        <v>1</v>
      </c>
      <c r="AB53" s="527">
        <f t="shared" si="7"/>
        <v>0</v>
      </c>
      <c r="AC53" s="527">
        <f t="shared" si="0"/>
        <v>0</v>
      </c>
      <c r="AD53" s="527">
        <f t="shared" si="1"/>
        <v>36</v>
      </c>
      <c r="AE53" s="527">
        <f t="shared" si="2"/>
        <v>0</v>
      </c>
      <c r="AF53" s="527">
        <f t="shared" si="3"/>
        <v>0</v>
      </c>
      <c r="AG53" s="527">
        <f t="shared" si="4"/>
        <v>0</v>
      </c>
      <c r="AH53" s="527"/>
      <c r="AI53" s="639">
        <f t="shared" si="13"/>
        <v>36</v>
      </c>
    </row>
    <row r="54" spans="1:47" ht="12.75" customHeight="1" x14ac:dyDescent="0.2">
      <c r="A54" s="527">
        <v>46</v>
      </c>
      <c r="C54" s="533" t="s">
        <v>765</v>
      </c>
      <c r="G54" s="632">
        <v>98</v>
      </c>
      <c r="H54" s="632">
        <v>32</v>
      </c>
      <c r="I54" s="613" t="s">
        <v>1636</v>
      </c>
      <c r="K54" s="533" t="s">
        <v>759</v>
      </c>
      <c r="L54" s="527">
        <v>2003</v>
      </c>
      <c r="M54" s="527" t="s">
        <v>757</v>
      </c>
      <c r="N54" s="527">
        <v>2003</v>
      </c>
      <c r="O54" s="638" t="s">
        <v>579</v>
      </c>
      <c r="R54" s="911">
        <v>1</v>
      </c>
      <c r="W54" s="613">
        <f t="shared" si="12"/>
        <v>1</v>
      </c>
      <c r="AB54" s="527">
        <f t="shared" si="7"/>
        <v>0</v>
      </c>
      <c r="AC54" s="527">
        <f t="shared" si="0"/>
        <v>0</v>
      </c>
      <c r="AD54" s="527">
        <f t="shared" si="1"/>
        <v>98</v>
      </c>
      <c r="AE54" s="527">
        <f t="shared" si="2"/>
        <v>0</v>
      </c>
      <c r="AF54" s="527">
        <f t="shared" si="3"/>
        <v>0</v>
      </c>
      <c r="AG54" s="527">
        <f t="shared" si="4"/>
        <v>0</v>
      </c>
      <c r="AH54" s="527"/>
      <c r="AI54" s="639">
        <f t="shared" si="13"/>
        <v>98</v>
      </c>
    </row>
    <row r="55" spans="1:47" ht="12.75" customHeight="1" x14ac:dyDescent="0.2">
      <c r="A55" s="527">
        <v>47</v>
      </c>
      <c r="C55" s="533" t="s">
        <v>1012</v>
      </c>
      <c r="G55" s="639">
        <v>206.45400000000001</v>
      </c>
      <c r="H55" s="639">
        <f>308+187+106+242</f>
        <v>843</v>
      </c>
      <c r="I55" s="613" t="s">
        <v>1619</v>
      </c>
      <c r="J55" s="527"/>
      <c r="K55" s="533" t="s">
        <v>759</v>
      </c>
      <c r="L55" s="527">
        <v>2003</v>
      </c>
      <c r="M55" s="527" t="s">
        <v>757</v>
      </c>
      <c r="N55" s="527">
        <v>2003</v>
      </c>
      <c r="O55" s="638" t="s">
        <v>814</v>
      </c>
      <c r="R55" s="911">
        <v>1</v>
      </c>
      <c r="W55" s="613">
        <f t="shared" si="12"/>
        <v>1</v>
      </c>
      <c r="AB55" s="527">
        <f t="shared" si="7"/>
        <v>0</v>
      </c>
      <c r="AC55" s="527">
        <f t="shared" si="0"/>
        <v>0</v>
      </c>
      <c r="AD55" s="527">
        <f t="shared" si="1"/>
        <v>206.45400000000001</v>
      </c>
      <c r="AE55" s="527">
        <f t="shared" si="2"/>
        <v>0</v>
      </c>
      <c r="AF55" s="527">
        <f t="shared" si="3"/>
        <v>0</v>
      </c>
      <c r="AG55" s="527">
        <f t="shared" si="4"/>
        <v>0</v>
      </c>
      <c r="AH55" s="527"/>
      <c r="AI55" s="639">
        <f t="shared" si="13"/>
        <v>206.45400000000001</v>
      </c>
    </row>
    <row r="56" spans="1:47" ht="12.75" customHeight="1" x14ac:dyDescent="0.2">
      <c r="A56" s="527">
        <v>48</v>
      </c>
      <c r="C56" s="533" t="s">
        <v>768</v>
      </c>
      <c r="G56" s="632">
        <v>1226.3</v>
      </c>
      <c r="I56" s="613" t="s">
        <v>1635</v>
      </c>
      <c r="K56" s="533" t="s">
        <v>908</v>
      </c>
      <c r="L56" s="527">
        <v>2003</v>
      </c>
      <c r="N56" s="527">
        <v>2003</v>
      </c>
      <c r="P56" s="911">
        <v>1</v>
      </c>
      <c r="W56" s="613">
        <f t="shared" si="12"/>
        <v>1</v>
      </c>
      <c r="Y56" s="613">
        <v>1</v>
      </c>
      <c r="AB56" s="527">
        <f t="shared" si="7"/>
        <v>1226.3</v>
      </c>
      <c r="AC56" s="527">
        <f t="shared" si="0"/>
        <v>0</v>
      </c>
      <c r="AD56" s="527">
        <f t="shared" si="1"/>
        <v>0</v>
      </c>
      <c r="AE56" s="527">
        <f t="shared" si="2"/>
        <v>0</v>
      </c>
      <c r="AF56" s="527">
        <f t="shared" si="3"/>
        <v>0</v>
      </c>
      <c r="AG56" s="527">
        <f t="shared" si="4"/>
        <v>0</v>
      </c>
      <c r="AH56" s="527"/>
      <c r="AI56" s="639">
        <f t="shared" si="13"/>
        <v>1226.3</v>
      </c>
      <c r="AK56" s="778">
        <v>1</v>
      </c>
    </row>
    <row r="57" spans="1:47" ht="12.75" customHeight="1" x14ac:dyDescent="0.2">
      <c r="A57" s="527">
        <v>49</v>
      </c>
      <c r="C57" s="533" t="s">
        <v>769</v>
      </c>
      <c r="G57" s="639">
        <v>22.372</v>
      </c>
      <c r="H57" s="619">
        <v>607</v>
      </c>
      <c r="I57" s="613" t="s">
        <v>1635</v>
      </c>
      <c r="J57" s="527"/>
      <c r="K57" s="533" t="s">
        <v>908</v>
      </c>
      <c r="L57" s="874">
        <v>37626</v>
      </c>
      <c r="N57" s="527">
        <v>2003</v>
      </c>
      <c r="P57" s="911">
        <v>1</v>
      </c>
      <c r="W57" s="613">
        <f t="shared" si="12"/>
        <v>1</v>
      </c>
      <c r="AB57" s="527">
        <f t="shared" si="7"/>
        <v>22.372</v>
      </c>
      <c r="AC57" s="527">
        <f t="shared" si="0"/>
        <v>0</v>
      </c>
      <c r="AD57" s="527">
        <f t="shared" si="1"/>
        <v>0</v>
      </c>
      <c r="AE57" s="527">
        <f t="shared" si="2"/>
        <v>0</v>
      </c>
      <c r="AF57" s="527">
        <f t="shared" si="3"/>
        <v>0</v>
      </c>
      <c r="AG57" s="527">
        <f t="shared" si="4"/>
        <v>0</v>
      </c>
      <c r="AH57" s="527"/>
      <c r="AI57" s="639">
        <f t="shared" si="13"/>
        <v>22.372</v>
      </c>
    </row>
    <row r="58" spans="1:47" ht="12.75" customHeight="1" x14ac:dyDescent="0.2">
      <c r="A58" s="527">
        <v>50</v>
      </c>
      <c r="C58" s="533" t="s">
        <v>856</v>
      </c>
      <c r="G58" s="632">
        <v>22.83</v>
      </c>
      <c r="H58" s="615">
        <f>61+87+97</f>
        <v>245</v>
      </c>
      <c r="I58" s="613" t="s">
        <v>875</v>
      </c>
      <c r="K58" s="533" t="s">
        <v>909</v>
      </c>
      <c r="L58" s="874">
        <v>37248</v>
      </c>
      <c r="N58" s="527">
        <v>2004</v>
      </c>
      <c r="P58" s="911">
        <v>1</v>
      </c>
      <c r="W58" s="613">
        <f t="shared" si="12"/>
        <v>1</v>
      </c>
      <c r="AB58" s="527">
        <f t="shared" si="7"/>
        <v>22.83</v>
      </c>
      <c r="AC58" s="527">
        <f t="shared" si="0"/>
        <v>0</v>
      </c>
      <c r="AD58" s="527">
        <f t="shared" si="1"/>
        <v>0</v>
      </c>
      <c r="AE58" s="527">
        <f t="shared" si="2"/>
        <v>0</v>
      </c>
      <c r="AF58" s="527">
        <f t="shared" si="3"/>
        <v>0</v>
      </c>
      <c r="AG58" s="527">
        <f t="shared" si="4"/>
        <v>0</v>
      </c>
      <c r="AH58" s="527"/>
      <c r="AI58" s="639">
        <f t="shared" si="13"/>
        <v>22.83</v>
      </c>
    </row>
    <row r="59" spans="1:47" ht="12.75" customHeight="1" x14ac:dyDescent="0.2">
      <c r="A59" s="527">
        <v>51</v>
      </c>
      <c r="C59" s="533" t="s">
        <v>852</v>
      </c>
      <c r="G59" s="632">
        <v>252.5</v>
      </c>
      <c r="H59" s="615">
        <f>122+183+181</f>
        <v>486</v>
      </c>
      <c r="I59" s="613" t="s">
        <v>875</v>
      </c>
      <c r="K59" s="533" t="s">
        <v>909</v>
      </c>
      <c r="L59" s="527">
        <v>2004</v>
      </c>
      <c r="N59" s="527">
        <v>2004</v>
      </c>
      <c r="P59" s="911">
        <v>1</v>
      </c>
      <c r="W59" s="613">
        <f t="shared" si="12"/>
        <v>1</v>
      </c>
      <c r="Y59" s="613">
        <v>1</v>
      </c>
      <c r="AB59" s="527">
        <f t="shared" si="7"/>
        <v>252.5</v>
      </c>
      <c r="AC59" s="527">
        <f t="shared" si="0"/>
        <v>0</v>
      </c>
      <c r="AD59" s="527">
        <f t="shared" si="1"/>
        <v>0</v>
      </c>
      <c r="AE59" s="527">
        <f t="shared" si="2"/>
        <v>0</v>
      </c>
      <c r="AF59" s="527">
        <f t="shared" si="3"/>
        <v>0</v>
      </c>
      <c r="AG59" s="527">
        <f t="shared" si="4"/>
        <v>0</v>
      </c>
      <c r="AH59" s="527"/>
      <c r="AI59" s="639">
        <f t="shared" si="13"/>
        <v>252.5</v>
      </c>
      <c r="AK59" s="778">
        <v>1</v>
      </c>
    </row>
    <row r="60" spans="1:47" ht="12.75" customHeight="1" x14ac:dyDescent="0.2">
      <c r="A60" s="527">
        <v>52</v>
      </c>
      <c r="C60" s="533" t="s">
        <v>853</v>
      </c>
      <c r="G60" s="632">
        <v>244.1</v>
      </c>
      <c r="H60" s="615">
        <f>220+111+126</f>
        <v>457</v>
      </c>
      <c r="I60" s="613" t="s">
        <v>875</v>
      </c>
      <c r="K60" s="533" t="s">
        <v>909</v>
      </c>
      <c r="L60" s="527">
        <v>2004</v>
      </c>
      <c r="N60" s="527">
        <v>2004</v>
      </c>
      <c r="P60" s="911">
        <v>1</v>
      </c>
      <c r="W60" s="613">
        <f t="shared" si="12"/>
        <v>1</v>
      </c>
      <c r="Y60" s="613">
        <v>1</v>
      </c>
      <c r="AB60" s="527">
        <f t="shared" si="7"/>
        <v>244.1</v>
      </c>
      <c r="AC60" s="527">
        <f t="shared" si="0"/>
        <v>0</v>
      </c>
      <c r="AD60" s="527">
        <f t="shared" si="1"/>
        <v>0</v>
      </c>
      <c r="AE60" s="527">
        <f t="shared" si="2"/>
        <v>0</v>
      </c>
      <c r="AF60" s="527">
        <f t="shared" si="3"/>
        <v>0</v>
      </c>
      <c r="AG60" s="527">
        <f t="shared" si="4"/>
        <v>0</v>
      </c>
      <c r="AH60" s="527"/>
      <c r="AI60" s="639">
        <f t="shared" si="13"/>
        <v>244.1</v>
      </c>
      <c r="AK60" s="778">
        <v>1</v>
      </c>
    </row>
    <row r="61" spans="1:47" ht="12.75" customHeight="1" x14ac:dyDescent="0.2">
      <c r="A61" s="527">
        <v>53</v>
      </c>
      <c r="C61" s="533" t="s">
        <v>854</v>
      </c>
      <c r="G61" s="632">
        <v>58.97</v>
      </c>
      <c r="H61" s="615">
        <f>120+112+135</f>
        <v>367</v>
      </c>
      <c r="I61" s="613" t="s">
        <v>875</v>
      </c>
      <c r="K61" s="533" t="s">
        <v>909</v>
      </c>
      <c r="L61" s="527">
        <v>2004</v>
      </c>
      <c r="N61" s="527">
        <v>2004</v>
      </c>
      <c r="P61" s="911">
        <v>1</v>
      </c>
      <c r="W61" s="613">
        <f t="shared" si="12"/>
        <v>1</v>
      </c>
      <c r="Y61" s="613">
        <v>1</v>
      </c>
      <c r="AB61" s="527">
        <f t="shared" si="7"/>
        <v>58.97</v>
      </c>
      <c r="AC61" s="527">
        <f t="shared" si="0"/>
        <v>0</v>
      </c>
      <c r="AD61" s="527">
        <f t="shared" si="1"/>
        <v>0</v>
      </c>
      <c r="AE61" s="527">
        <f t="shared" si="2"/>
        <v>0</v>
      </c>
      <c r="AF61" s="527">
        <f t="shared" si="3"/>
        <v>0</v>
      </c>
      <c r="AG61" s="527">
        <f t="shared" si="4"/>
        <v>0</v>
      </c>
      <c r="AH61" s="527"/>
      <c r="AI61" s="639">
        <f t="shared" si="13"/>
        <v>58.97</v>
      </c>
      <c r="AK61" s="778">
        <v>1</v>
      </c>
    </row>
    <row r="62" spans="1:47" ht="12.75" customHeight="1" x14ac:dyDescent="0.2">
      <c r="A62" s="527">
        <v>54</v>
      </c>
      <c r="C62" s="533" t="s">
        <v>858</v>
      </c>
      <c r="G62" s="632">
        <v>245</v>
      </c>
      <c r="H62" s="632">
        <v>122</v>
      </c>
      <c r="I62" s="613" t="s">
        <v>1041</v>
      </c>
      <c r="K62" s="533" t="s">
        <v>862</v>
      </c>
      <c r="L62" s="527">
        <v>2004</v>
      </c>
      <c r="N62" s="527">
        <v>2004</v>
      </c>
      <c r="O62" s="638" t="s">
        <v>587</v>
      </c>
      <c r="R62" s="911">
        <v>1</v>
      </c>
      <c r="W62" s="613">
        <f t="shared" si="12"/>
        <v>1</v>
      </c>
      <c r="AB62" s="527">
        <f t="shared" si="7"/>
        <v>0</v>
      </c>
      <c r="AC62" s="527">
        <f t="shared" si="0"/>
        <v>0</v>
      </c>
      <c r="AD62" s="527">
        <f t="shared" si="1"/>
        <v>245</v>
      </c>
      <c r="AE62" s="527">
        <f t="shared" si="2"/>
        <v>0</v>
      </c>
      <c r="AF62" s="527">
        <f t="shared" si="3"/>
        <v>0</v>
      </c>
      <c r="AG62" s="527">
        <f t="shared" si="4"/>
        <v>0</v>
      </c>
      <c r="AH62" s="527"/>
      <c r="AI62" s="639">
        <f t="shared" si="13"/>
        <v>245</v>
      </c>
    </row>
    <row r="63" spans="1:47" ht="12.75" customHeight="1" x14ac:dyDescent="0.2">
      <c r="A63" s="527">
        <v>55</v>
      </c>
      <c r="C63" s="533" t="s">
        <v>859</v>
      </c>
      <c r="G63" s="632">
        <v>3.9</v>
      </c>
      <c r="H63" s="632">
        <v>100</v>
      </c>
      <c r="I63" s="613" t="s">
        <v>1027</v>
      </c>
      <c r="K63" s="533" t="s">
        <v>862</v>
      </c>
      <c r="L63" s="527">
        <v>2004</v>
      </c>
      <c r="N63" s="527">
        <v>2004</v>
      </c>
      <c r="O63" s="638" t="s">
        <v>817</v>
      </c>
      <c r="R63" s="911">
        <v>1</v>
      </c>
      <c r="W63" s="613">
        <f t="shared" si="12"/>
        <v>1</v>
      </c>
      <c r="AB63" s="527">
        <f t="shared" si="7"/>
        <v>0</v>
      </c>
      <c r="AC63" s="527">
        <f t="shared" si="0"/>
        <v>0</v>
      </c>
      <c r="AD63" s="527">
        <f t="shared" si="1"/>
        <v>3.9</v>
      </c>
      <c r="AE63" s="527">
        <f t="shared" si="2"/>
        <v>0</v>
      </c>
      <c r="AF63" s="527">
        <f t="shared" si="3"/>
        <v>0</v>
      </c>
      <c r="AG63" s="527">
        <f t="shared" si="4"/>
        <v>0</v>
      </c>
      <c r="AH63" s="527"/>
      <c r="AI63" s="639">
        <f t="shared" si="13"/>
        <v>3.9</v>
      </c>
    </row>
    <row r="64" spans="1:47" ht="12.75" customHeight="1" x14ac:dyDescent="0.2">
      <c r="A64" s="527">
        <v>56</v>
      </c>
      <c r="C64" s="533" t="s">
        <v>860</v>
      </c>
      <c r="G64" s="632">
        <v>142</v>
      </c>
      <c r="H64" s="632">
        <f>145+402+584</f>
        <v>1131</v>
      </c>
      <c r="I64" s="613" t="s">
        <v>1027</v>
      </c>
      <c r="K64" s="533" t="s">
        <v>862</v>
      </c>
      <c r="L64" s="527">
        <v>2004</v>
      </c>
      <c r="N64" s="527">
        <v>2004</v>
      </c>
      <c r="O64" s="638" t="s">
        <v>840</v>
      </c>
      <c r="R64" s="911">
        <v>1</v>
      </c>
      <c r="W64" s="613">
        <f t="shared" si="12"/>
        <v>1</v>
      </c>
      <c r="AB64" s="527">
        <f t="shared" si="7"/>
        <v>0</v>
      </c>
      <c r="AC64" s="527">
        <f t="shared" si="0"/>
        <v>0</v>
      </c>
      <c r="AD64" s="527">
        <f t="shared" si="1"/>
        <v>142</v>
      </c>
      <c r="AE64" s="527">
        <f t="shared" si="2"/>
        <v>0</v>
      </c>
      <c r="AF64" s="527">
        <f t="shared" si="3"/>
        <v>0</v>
      </c>
      <c r="AG64" s="527">
        <f t="shared" si="4"/>
        <v>0</v>
      </c>
      <c r="AH64" s="527"/>
      <c r="AI64" s="639">
        <f t="shared" si="13"/>
        <v>142</v>
      </c>
    </row>
    <row r="65" spans="1:47" ht="12.75" customHeight="1" x14ac:dyDescent="0.2">
      <c r="A65" s="527">
        <v>57</v>
      </c>
      <c r="C65" s="533" t="s">
        <v>861</v>
      </c>
      <c r="G65" s="632">
        <v>194</v>
      </c>
      <c r="H65" s="632">
        <f>150+684</f>
        <v>834</v>
      </c>
      <c r="I65" s="613" t="s">
        <v>1027</v>
      </c>
      <c r="K65" s="533" t="s">
        <v>862</v>
      </c>
      <c r="L65" s="527">
        <v>2004</v>
      </c>
      <c r="N65" s="527">
        <v>2004</v>
      </c>
      <c r="O65" s="638" t="s">
        <v>839</v>
      </c>
      <c r="R65" s="911">
        <v>1</v>
      </c>
      <c r="W65" s="613">
        <f t="shared" si="12"/>
        <v>1</v>
      </c>
      <c r="AB65" s="527">
        <f t="shared" si="7"/>
        <v>0</v>
      </c>
      <c r="AC65" s="527">
        <f t="shared" si="0"/>
        <v>0</v>
      </c>
      <c r="AD65" s="527">
        <f t="shared" si="1"/>
        <v>194</v>
      </c>
      <c r="AE65" s="527">
        <f t="shared" si="2"/>
        <v>0</v>
      </c>
      <c r="AF65" s="527">
        <f t="shared" si="3"/>
        <v>0</v>
      </c>
      <c r="AG65" s="527">
        <f t="shared" si="4"/>
        <v>0</v>
      </c>
      <c r="AH65" s="527"/>
      <c r="AI65" s="639">
        <f t="shared" si="13"/>
        <v>194</v>
      </c>
    </row>
    <row r="66" spans="1:47" ht="12.75" customHeight="1" x14ac:dyDescent="0.25">
      <c r="A66" s="527">
        <v>58</v>
      </c>
      <c r="C66" s="533" t="s">
        <v>886</v>
      </c>
      <c r="G66" s="632">
        <v>90</v>
      </c>
      <c r="H66" s="632">
        <f>26.4+137.1</f>
        <v>163.5</v>
      </c>
      <c r="I66" s="613" t="s">
        <v>1041</v>
      </c>
      <c r="K66" s="533" t="s">
        <v>862</v>
      </c>
      <c r="L66" s="527">
        <v>2004</v>
      </c>
      <c r="N66" s="527">
        <v>2004</v>
      </c>
      <c r="O66" s="638" t="s">
        <v>818</v>
      </c>
      <c r="R66" s="911">
        <v>1</v>
      </c>
      <c r="W66" s="613">
        <f t="shared" si="12"/>
        <v>1</v>
      </c>
      <c r="AB66" s="527">
        <f t="shared" si="7"/>
        <v>0</v>
      </c>
      <c r="AC66" s="527">
        <f t="shared" ref="AC66:AC129" si="14">IF(Q66=1,$G66,0)</f>
        <v>0</v>
      </c>
      <c r="AD66" s="527">
        <f t="shared" ref="AD66:AD129" si="15">IF(R66=1,$G66,0)</f>
        <v>90</v>
      </c>
      <c r="AE66" s="527">
        <f t="shared" ref="AE66:AE129" si="16">IF(S66=1,$G66,0)</f>
        <v>0</v>
      </c>
      <c r="AF66" s="527">
        <f t="shared" ref="AF66:AF129" si="17">IF(T66=1,$G66,0)</f>
        <v>0</v>
      </c>
      <c r="AG66" s="527">
        <f t="shared" ref="AG66:AG129" si="18">IF(U66=1,$G66,0)</f>
        <v>0</v>
      </c>
      <c r="AH66" s="527"/>
      <c r="AI66" s="639">
        <f t="shared" si="13"/>
        <v>90</v>
      </c>
      <c r="AR66" s="903"/>
      <c r="AS66" s="904"/>
      <c r="AT66" s="904"/>
      <c r="AU66" s="904"/>
    </row>
    <row r="67" spans="1:47" ht="12.75" customHeight="1" x14ac:dyDescent="0.25">
      <c r="A67" s="527">
        <v>59</v>
      </c>
      <c r="C67" s="533" t="s">
        <v>887</v>
      </c>
      <c r="G67" s="632">
        <v>197</v>
      </c>
      <c r="H67" s="632">
        <f>108.5+1120</f>
        <v>1228.5</v>
      </c>
      <c r="I67" s="613" t="s">
        <v>1041</v>
      </c>
      <c r="K67" s="533" t="s">
        <v>862</v>
      </c>
      <c r="L67" s="527">
        <v>2004</v>
      </c>
      <c r="N67" s="527">
        <v>2004</v>
      </c>
      <c r="O67" s="638" t="s">
        <v>584</v>
      </c>
      <c r="R67" s="911">
        <v>1</v>
      </c>
      <c r="W67" s="613">
        <f t="shared" si="12"/>
        <v>1</v>
      </c>
      <c r="AB67" s="527">
        <f t="shared" ref="AB67:AB130" si="19">IF(P67=1,$G67,0)</f>
        <v>0</v>
      </c>
      <c r="AC67" s="527">
        <f t="shared" si="14"/>
        <v>0</v>
      </c>
      <c r="AD67" s="527">
        <f t="shared" si="15"/>
        <v>197</v>
      </c>
      <c r="AE67" s="527">
        <f t="shared" si="16"/>
        <v>0</v>
      </c>
      <c r="AF67" s="527">
        <f t="shared" si="17"/>
        <v>0</v>
      </c>
      <c r="AG67" s="527">
        <f t="shared" si="18"/>
        <v>0</v>
      </c>
      <c r="AH67" s="527"/>
      <c r="AI67" s="639">
        <f t="shared" si="13"/>
        <v>197</v>
      </c>
      <c r="AR67" s="903"/>
      <c r="AS67" s="904"/>
      <c r="AT67" s="904"/>
      <c r="AU67" s="904"/>
    </row>
    <row r="68" spans="1:47" ht="12.75" customHeight="1" x14ac:dyDescent="0.2">
      <c r="A68" s="527">
        <v>60</v>
      </c>
      <c r="C68" s="533" t="s">
        <v>867</v>
      </c>
      <c r="G68" s="632">
        <v>49</v>
      </c>
      <c r="H68" s="632">
        <v>52</v>
      </c>
      <c r="I68" s="613" t="s">
        <v>1631</v>
      </c>
      <c r="K68" s="533" t="s">
        <v>868</v>
      </c>
      <c r="L68" s="527">
        <v>2004</v>
      </c>
      <c r="N68" s="527">
        <v>2004</v>
      </c>
      <c r="O68" s="638" t="s">
        <v>578</v>
      </c>
      <c r="R68" s="911">
        <v>1</v>
      </c>
      <c r="W68" s="613">
        <f t="shared" si="12"/>
        <v>1</v>
      </c>
      <c r="AB68" s="527">
        <f t="shared" si="19"/>
        <v>0</v>
      </c>
      <c r="AC68" s="527">
        <f t="shared" si="14"/>
        <v>0</v>
      </c>
      <c r="AD68" s="527">
        <f t="shared" si="15"/>
        <v>49</v>
      </c>
      <c r="AE68" s="527">
        <f t="shared" si="16"/>
        <v>0</v>
      </c>
      <c r="AF68" s="527">
        <f t="shared" si="17"/>
        <v>0</v>
      </c>
      <c r="AG68" s="527">
        <f t="shared" si="18"/>
        <v>0</v>
      </c>
      <c r="AH68" s="527"/>
      <c r="AI68" s="639">
        <f t="shared" si="13"/>
        <v>49</v>
      </c>
    </row>
    <row r="69" spans="1:47" ht="12.75" customHeight="1" x14ac:dyDescent="0.2">
      <c r="A69" s="527">
        <v>61</v>
      </c>
      <c r="C69" s="533" t="s">
        <v>874</v>
      </c>
      <c r="G69" s="632">
        <v>92.566000000000003</v>
      </c>
      <c r="H69" s="632">
        <f>246+226</f>
        <v>472</v>
      </c>
      <c r="I69" s="613" t="s">
        <v>1633</v>
      </c>
      <c r="K69" s="533" t="s">
        <v>912</v>
      </c>
      <c r="L69" s="527">
        <v>2004</v>
      </c>
      <c r="N69" s="527">
        <v>2004</v>
      </c>
      <c r="P69" s="911">
        <v>1</v>
      </c>
      <c r="W69" s="613">
        <f t="shared" si="12"/>
        <v>1</v>
      </c>
      <c r="Y69" s="613">
        <v>1</v>
      </c>
      <c r="AB69" s="527">
        <f t="shared" si="19"/>
        <v>92.566000000000003</v>
      </c>
      <c r="AC69" s="527">
        <f t="shared" si="14"/>
        <v>0</v>
      </c>
      <c r="AD69" s="527">
        <f t="shared" si="15"/>
        <v>0</v>
      </c>
      <c r="AE69" s="527">
        <f t="shared" si="16"/>
        <v>0</v>
      </c>
      <c r="AF69" s="527">
        <f t="shared" si="17"/>
        <v>0</v>
      </c>
      <c r="AG69" s="527">
        <f t="shared" si="18"/>
        <v>0</v>
      </c>
      <c r="AH69" s="527"/>
      <c r="AI69" s="639">
        <f t="shared" si="13"/>
        <v>92.566000000000003</v>
      </c>
      <c r="AK69" s="778">
        <v>1</v>
      </c>
    </row>
    <row r="70" spans="1:47" ht="12.75" customHeight="1" x14ac:dyDescent="0.2">
      <c r="A70" s="527">
        <v>62</v>
      </c>
      <c r="C70" s="533" t="s">
        <v>889</v>
      </c>
      <c r="G70" s="632">
        <v>262</v>
      </c>
      <c r="H70" s="632">
        <f>1003-760+174</f>
        <v>417</v>
      </c>
      <c r="I70" s="613" t="s">
        <v>875</v>
      </c>
      <c r="K70" s="821" t="s">
        <v>910</v>
      </c>
      <c r="L70" s="527">
        <v>2004</v>
      </c>
      <c r="N70" s="616">
        <v>2005</v>
      </c>
      <c r="O70" s="638" t="s">
        <v>845</v>
      </c>
      <c r="U70" s="613">
        <v>1</v>
      </c>
      <c r="W70" s="613">
        <f t="shared" si="12"/>
        <v>1</v>
      </c>
      <c r="X70" s="613">
        <v>1</v>
      </c>
      <c r="AB70" s="527">
        <f t="shared" si="19"/>
        <v>0</v>
      </c>
      <c r="AC70" s="527">
        <f t="shared" si="14"/>
        <v>0</v>
      </c>
      <c r="AD70" s="527">
        <f t="shared" si="15"/>
        <v>0</v>
      </c>
      <c r="AE70" s="527">
        <f t="shared" si="16"/>
        <v>0</v>
      </c>
      <c r="AF70" s="527">
        <f t="shared" si="17"/>
        <v>0</v>
      </c>
      <c r="AG70" s="527">
        <f t="shared" si="18"/>
        <v>262</v>
      </c>
      <c r="AH70" s="527"/>
      <c r="AI70" s="639">
        <f t="shared" si="13"/>
        <v>262</v>
      </c>
    </row>
    <row r="71" spans="1:47" ht="12.75" customHeight="1" x14ac:dyDescent="0.2">
      <c r="A71" s="527">
        <v>63</v>
      </c>
      <c r="C71" s="533" t="s">
        <v>876</v>
      </c>
      <c r="G71" s="632">
        <v>95.1</v>
      </c>
      <c r="H71" s="632">
        <f>1738-1408</f>
        <v>330</v>
      </c>
      <c r="I71" s="613" t="s">
        <v>875</v>
      </c>
      <c r="K71" s="821" t="s">
        <v>910</v>
      </c>
      <c r="L71" s="527">
        <v>2005</v>
      </c>
      <c r="N71" s="616">
        <v>2005</v>
      </c>
      <c r="O71" s="638" t="s">
        <v>844</v>
      </c>
      <c r="U71" s="613">
        <v>1</v>
      </c>
      <c r="W71" s="613">
        <f t="shared" si="12"/>
        <v>1</v>
      </c>
      <c r="X71" s="613">
        <v>1</v>
      </c>
      <c r="AB71" s="527">
        <f t="shared" si="19"/>
        <v>0</v>
      </c>
      <c r="AC71" s="527">
        <f t="shared" si="14"/>
        <v>0</v>
      </c>
      <c r="AD71" s="527">
        <f t="shared" si="15"/>
        <v>0</v>
      </c>
      <c r="AE71" s="527">
        <f t="shared" si="16"/>
        <v>0</v>
      </c>
      <c r="AF71" s="527">
        <f t="shared" si="17"/>
        <v>0</v>
      </c>
      <c r="AG71" s="527">
        <f t="shared" si="18"/>
        <v>95.1</v>
      </c>
      <c r="AH71" s="527"/>
      <c r="AI71" s="639">
        <f t="shared" si="13"/>
        <v>95.1</v>
      </c>
    </row>
    <row r="72" spans="1:47" ht="12.75" customHeight="1" x14ac:dyDescent="0.25">
      <c r="A72" s="527">
        <v>64</v>
      </c>
      <c r="C72" s="533" t="s">
        <v>923</v>
      </c>
      <c r="G72" s="632">
        <v>99.5</v>
      </c>
      <c r="H72" s="635" t="s">
        <v>565</v>
      </c>
      <c r="J72" s="613"/>
      <c r="K72" s="821" t="s">
        <v>911</v>
      </c>
      <c r="L72" s="527">
        <v>2001</v>
      </c>
      <c r="N72" s="616">
        <v>2005</v>
      </c>
      <c r="R72" s="911">
        <v>1</v>
      </c>
      <c r="W72" s="613">
        <f t="shared" si="12"/>
        <v>1</v>
      </c>
      <c r="AB72" s="527">
        <f t="shared" si="19"/>
        <v>0</v>
      </c>
      <c r="AC72" s="527">
        <f t="shared" si="14"/>
        <v>0</v>
      </c>
      <c r="AD72" s="527">
        <f t="shared" si="15"/>
        <v>99.5</v>
      </c>
      <c r="AE72" s="527">
        <f t="shared" si="16"/>
        <v>0</v>
      </c>
      <c r="AF72" s="527">
        <f t="shared" si="17"/>
        <v>0</v>
      </c>
      <c r="AG72" s="527">
        <f t="shared" si="18"/>
        <v>0</v>
      </c>
      <c r="AH72" s="527"/>
      <c r="AI72" s="639">
        <f t="shared" si="13"/>
        <v>99.5</v>
      </c>
      <c r="AR72" s="903"/>
      <c r="AS72" s="904"/>
      <c r="AT72" s="904"/>
      <c r="AU72" s="904"/>
    </row>
    <row r="73" spans="1:47" ht="12.75" customHeight="1" x14ac:dyDescent="0.25">
      <c r="A73" s="527">
        <v>65</v>
      </c>
      <c r="C73" s="533" t="s">
        <v>924</v>
      </c>
      <c r="G73" s="632">
        <v>36.700000000000003</v>
      </c>
      <c r="H73" s="635">
        <v>113</v>
      </c>
      <c r="J73" s="613"/>
      <c r="K73" s="821" t="s">
        <v>911</v>
      </c>
      <c r="L73" s="527">
        <v>2001</v>
      </c>
      <c r="N73" s="616">
        <v>2005</v>
      </c>
      <c r="O73" s="638" t="s">
        <v>590</v>
      </c>
      <c r="R73" s="911">
        <v>1</v>
      </c>
      <c r="W73" s="613">
        <f t="shared" si="12"/>
        <v>1</v>
      </c>
      <c r="AB73" s="527">
        <f t="shared" si="19"/>
        <v>0</v>
      </c>
      <c r="AC73" s="527">
        <f t="shared" si="14"/>
        <v>0</v>
      </c>
      <c r="AD73" s="527">
        <f t="shared" si="15"/>
        <v>36.700000000000003</v>
      </c>
      <c r="AE73" s="527">
        <f t="shared" si="16"/>
        <v>0</v>
      </c>
      <c r="AF73" s="527">
        <f t="shared" si="17"/>
        <v>0</v>
      </c>
      <c r="AG73" s="527">
        <f t="shared" si="18"/>
        <v>0</v>
      </c>
      <c r="AH73" s="527"/>
      <c r="AI73" s="639">
        <f t="shared" si="13"/>
        <v>36.700000000000003</v>
      </c>
      <c r="AR73" s="903"/>
      <c r="AS73" s="904"/>
      <c r="AT73" s="904"/>
      <c r="AU73" s="904"/>
    </row>
    <row r="74" spans="1:47" ht="12.75" customHeight="1" x14ac:dyDescent="0.25">
      <c r="A74" s="527">
        <v>66</v>
      </c>
      <c r="C74" s="533" t="s">
        <v>925</v>
      </c>
      <c r="G74" s="632">
        <v>31.5</v>
      </c>
      <c r="H74" s="635" t="s">
        <v>565</v>
      </c>
      <c r="J74" s="613"/>
      <c r="K74" s="821" t="s">
        <v>911</v>
      </c>
      <c r="L74" s="527">
        <v>2001</v>
      </c>
      <c r="N74" s="616">
        <v>2005</v>
      </c>
      <c r="R74" s="911">
        <v>1</v>
      </c>
      <c r="W74" s="613">
        <f t="shared" si="12"/>
        <v>1</v>
      </c>
      <c r="AB74" s="527">
        <f t="shared" si="19"/>
        <v>0</v>
      </c>
      <c r="AC74" s="527">
        <f t="shared" si="14"/>
        <v>0</v>
      </c>
      <c r="AD74" s="527">
        <f t="shared" si="15"/>
        <v>31.5</v>
      </c>
      <c r="AE74" s="527">
        <f t="shared" si="16"/>
        <v>0</v>
      </c>
      <c r="AF74" s="527">
        <f t="shared" si="17"/>
        <v>0</v>
      </c>
      <c r="AG74" s="527">
        <f t="shared" si="18"/>
        <v>0</v>
      </c>
      <c r="AH74" s="527"/>
      <c r="AI74" s="639">
        <f t="shared" si="13"/>
        <v>31.5</v>
      </c>
      <c r="AR74" s="903"/>
      <c r="AS74" s="904"/>
      <c r="AT74" s="904"/>
      <c r="AU74" s="904"/>
    </row>
    <row r="75" spans="1:47" ht="12.75" customHeight="1" x14ac:dyDescent="0.25">
      <c r="A75" s="527">
        <v>67</v>
      </c>
      <c r="C75" s="533" t="s">
        <v>926</v>
      </c>
      <c r="G75" s="632">
        <v>73.099999999999994</v>
      </c>
      <c r="H75" s="635" t="s">
        <v>565</v>
      </c>
      <c r="J75" s="613"/>
      <c r="K75" s="821" t="s">
        <v>911</v>
      </c>
      <c r="L75" s="527">
        <v>2001</v>
      </c>
      <c r="N75" s="616">
        <v>2005</v>
      </c>
      <c r="R75" s="911">
        <v>1</v>
      </c>
      <c r="W75" s="613">
        <f t="shared" si="12"/>
        <v>1</v>
      </c>
      <c r="AB75" s="527">
        <f t="shared" si="19"/>
        <v>0</v>
      </c>
      <c r="AC75" s="527">
        <f t="shared" si="14"/>
        <v>0</v>
      </c>
      <c r="AD75" s="527">
        <f t="shared" si="15"/>
        <v>73.099999999999994</v>
      </c>
      <c r="AE75" s="527">
        <f t="shared" si="16"/>
        <v>0</v>
      </c>
      <c r="AF75" s="527">
        <f t="shared" si="17"/>
        <v>0</v>
      </c>
      <c r="AG75" s="527">
        <f t="shared" si="18"/>
        <v>0</v>
      </c>
      <c r="AH75" s="527"/>
      <c r="AI75" s="639">
        <f t="shared" si="13"/>
        <v>73.099999999999994</v>
      </c>
      <c r="AR75" s="903"/>
      <c r="AS75" s="904"/>
      <c r="AT75" s="904"/>
      <c r="AU75" s="904"/>
    </row>
    <row r="76" spans="1:47" ht="12.75" customHeight="1" x14ac:dyDescent="0.25">
      <c r="A76" s="527">
        <v>68</v>
      </c>
      <c r="C76" s="533" t="s">
        <v>661</v>
      </c>
      <c r="G76" s="632">
        <v>33.700000000000003</v>
      </c>
      <c r="H76" s="632">
        <f>64+29</f>
        <v>93</v>
      </c>
      <c r="I76" s="613" t="s">
        <v>875</v>
      </c>
      <c r="K76" s="821" t="s">
        <v>911</v>
      </c>
      <c r="L76" s="527">
        <v>2001</v>
      </c>
      <c r="N76" s="616">
        <v>2005</v>
      </c>
      <c r="O76" s="638" t="s">
        <v>843</v>
      </c>
      <c r="R76" s="911">
        <v>1</v>
      </c>
      <c r="W76" s="613">
        <f t="shared" si="12"/>
        <v>1</v>
      </c>
      <c r="AB76" s="527">
        <f t="shared" si="19"/>
        <v>0</v>
      </c>
      <c r="AC76" s="527">
        <f t="shared" si="14"/>
        <v>0</v>
      </c>
      <c r="AD76" s="527">
        <f t="shared" si="15"/>
        <v>33.700000000000003</v>
      </c>
      <c r="AE76" s="527">
        <f t="shared" si="16"/>
        <v>0</v>
      </c>
      <c r="AF76" s="527">
        <f t="shared" si="17"/>
        <v>0</v>
      </c>
      <c r="AG76" s="527">
        <f t="shared" si="18"/>
        <v>0</v>
      </c>
      <c r="AH76" s="527"/>
      <c r="AI76" s="639">
        <f t="shared" si="13"/>
        <v>33.700000000000003</v>
      </c>
      <c r="AR76" s="903"/>
      <c r="AS76" s="904"/>
      <c r="AT76" s="904"/>
      <c r="AU76" s="904"/>
    </row>
    <row r="77" spans="1:47" ht="12.75" customHeight="1" x14ac:dyDescent="0.25">
      <c r="A77" s="527">
        <v>69</v>
      </c>
      <c r="C77" s="533" t="s">
        <v>927</v>
      </c>
      <c r="G77" s="632">
        <v>44.7</v>
      </c>
      <c r="H77" s="635" t="s">
        <v>565</v>
      </c>
      <c r="J77" s="613"/>
      <c r="K77" s="821" t="s">
        <v>911</v>
      </c>
      <c r="L77" s="527">
        <v>2001</v>
      </c>
      <c r="N77" s="616">
        <v>2005</v>
      </c>
      <c r="R77" s="911">
        <v>1</v>
      </c>
      <c r="W77" s="613">
        <f t="shared" si="12"/>
        <v>1</v>
      </c>
      <c r="AB77" s="527">
        <f t="shared" si="19"/>
        <v>0</v>
      </c>
      <c r="AC77" s="527">
        <f t="shared" si="14"/>
        <v>0</v>
      </c>
      <c r="AD77" s="527">
        <f t="shared" si="15"/>
        <v>44.7</v>
      </c>
      <c r="AE77" s="527">
        <f t="shared" si="16"/>
        <v>0</v>
      </c>
      <c r="AF77" s="527">
        <f t="shared" si="17"/>
        <v>0</v>
      </c>
      <c r="AG77" s="527">
        <f t="shared" si="18"/>
        <v>0</v>
      </c>
      <c r="AH77" s="527"/>
      <c r="AI77" s="639">
        <f t="shared" si="13"/>
        <v>44.7</v>
      </c>
      <c r="AR77" s="903"/>
      <c r="AS77" s="904"/>
      <c r="AT77" s="904"/>
      <c r="AU77" s="904"/>
    </row>
    <row r="78" spans="1:47" ht="12.75" customHeight="1" x14ac:dyDescent="0.25">
      <c r="A78" s="527">
        <v>70</v>
      </c>
      <c r="C78" s="533" t="s">
        <v>928</v>
      </c>
      <c r="G78" s="632">
        <v>24.3</v>
      </c>
      <c r="H78" s="635" t="s">
        <v>565</v>
      </c>
      <c r="J78" s="613"/>
      <c r="K78" s="821" t="s">
        <v>911</v>
      </c>
      <c r="L78" s="527">
        <v>2001</v>
      </c>
      <c r="N78" s="616">
        <v>2005</v>
      </c>
      <c r="R78" s="911">
        <v>1</v>
      </c>
      <c r="W78" s="613">
        <f t="shared" si="12"/>
        <v>1</v>
      </c>
      <c r="AB78" s="527">
        <f t="shared" si="19"/>
        <v>0</v>
      </c>
      <c r="AC78" s="527">
        <f t="shared" si="14"/>
        <v>0</v>
      </c>
      <c r="AD78" s="527">
        <f t="shared" si="15"/>
        <v>24.3</v>
      </c>
      <c r="AE78" s="527">
        <f t="shared" si="16"/>
        <v>0</v>
      </c>
      <c r="AF78" s="527">
        <f t="shared" si="17"/>
        <v>0</v>
      </c>
      <c r="AG78" s="527">
        <f t="shared" si="18"/>
        <v>0</v>
      </c>
      <c r="AH78" s="527"/>
      <c r="AI78" s="639">
        <f t="shared" si="13"/>
        <v>24.3</v>
      </c>
      <c r="AR78" s="903"/>
      <c r="AS78" s="904"/>
      <c r="AT78" s="904"/>
      <c r="AU78" s="904"/>
    </row>
    <row r="79" spans="1:47" ht="12.75" customHeight="1" x14ac:dyDescent="0.2">
      <c r="A79" s="527">
        <v>71</v>
      </c>
      <c r="C79" s="533" t="s">
        <v>929</v>
      </c>
      <c r="G79" s="632">
        <v>22.3</v>
      </c>
      <c r="H79" s="635" t="s">
        <v>565</v>
      </c>
      <c r="J79" s="613"/>
      <c r="K79" s="821" t="s">
        <v>911</v>
      </c>
      <c r="L79" s="527">
        <v>2001</v>
      </c>
      <c r="N79" s="616">
        <v>2005</v>
      </c>
      <c r="R79" s="911">
        <v>1</v>
      </c>
      <c r="W79" s="613">
        <f t="shared" si="12"/>
        <v>1</v>
      </c>
      <c r="AB79" s="527">
        <f t="shared" si="19"/>
        <v>0</v>
      </c>
      <c r="AC79" s="527">
        <f t="shared" si="14"/>
        <v>0</v>
      </c>
      <c r="AD79" s="527">
        <f t="shared" si="15"/>
        <v>22.3</v>
      </c>
      <c r="AE79" s="527">
        <f t="shared" si="16"/>
        <v>0</v>
      </c>
      <c r="AF79" s="527">
        <f t="shared" si="17"/>
        <v>0</v>
      </c>
      <c r="AG79" s="527">
        <f t="shared" si="18"/>
        <v>0</v>
      </c>
      <c r="AH79" s="527"/>
      <c r="AI79" s="639">
        <f t="shared" si="13"/>
        <v>22.3</v>
      </c>
    </row>
    <row r="80" spans="1:47" ht="12.75" customHeight="1" x14ac:dyDescent="0.2">
      <c r="A80" s="527">
        <v>72</v>
      </c>
      <c r="C80" s="533" t="s">
        <v>930</v>
      </c>
      <c r="G80" s="632">
        <v>70.7</v>
      </c>
      <c r="H80" s="635" t="s">
        <v>565</v>
      </c>
      <c r="J80" s="613"/>
      <c r="K80" s="821" t="s">
        <v>911</v>
      </c>
      <c r="L80" s="527">
        <v>2001</v>
      </c>
      <c r="N80" s="616">
        <v>2005</v>
      </c>
      <c r="R80" s="911">
        <v>1</v>
      </c>
      <c r="W80" s="613">
        <f t="shared" si="12"/>
        <v>1</v>
      </c>
      <c r="AB80" s="527">
        <f t="shared" si="19"/>
        <v>0</v>
      </c>
      <c r="AC80" s="527">
        <f t="shared" si="14"/>
        <v>0</v>
      </c>
      <c r="AD80" s="527">
        <f t="shared" si="15"/>
        <v>70.7</v>
      </c>
      <c r="AE80" s="527">
        <f t="shared" si="16"/>
        <v>0</v>
      </c>
      <c r="AF80" s="527">
        <f t="shared" si="17"/>
        <v>0</v>
      </c>
      <c r="AG80" s="527">
        <f t="shared" si="18"/>
        <v>0</v>
      </c>
      <c r="AH80" s="527"/>
      <c r="AI80" s="639">
        <f t="shared" si="13"/>
        <v>70.7</v>
      </c>
    </row>
    <row r="81" spans="1:47" ht="12.75" customHeight="1" x14ac:dyDescent="0.2">
      <c r="A81" s="527">
        <v>73</v>
      </c>
      <c r="C81" s="533" t="s">
        <v>931</v>
      </c>
      <c r="G81" s="632">
        <v>69.2</v>
      </c>
      <c r="H81" s="635" t="s">
        <v>565</v>
      </c>
      <c r="J81" s="613"/>
      <c r="K81" s="821" t="s">
        <v>911</v>
      </c>
      <c r="L81" s="527">
        <v>2001</v>
      </c>
      <c r="N81" s="616">
        <v>2005</v>
      </c>
      <c r="R81" s="911">
        <v>1</v>
      </c>
      <c r="W81" s="613">
        <f t="shared" si="12"/>
        <v>1</v>
      </c>
      <c r="AB81" s="527">
        <f t="shared" si="19"/>
        <v>0</v>
      </c>
      <c r="AC81" s="527">
        <f t="shared" si="14"/>
        <v>0</v>
      </c>
      <c r="AD81" s="527">
        <f t="shared" si="15"/>
        <v>69.2</v>
      </c>
      <c r="AE81" s="527">
        <f t="shared" si="16"/>
        <v>0</v>
      </c>
      <c r="AF81" s="527">
        <f t="shared" si="17"/>
        <v>0</v>
      </c>
      <c r="AG81" s="527">
        <f t="shared" si="18"/>
        <v>0</v>
      </c>
      <c r="AH81" s="527"/>
      <c r="AI81" s="639">
        <f t="shared" si="13"/>
        <v>69.2</v>
      </c>
    </row>
    <row r="82" spans="1:47" ht="12.75" customHeight="1" x14ac:dyDescent="0.2">
      <c r="A82" s="527">
        <v>74</v>
      </c>
      <c r="C82" s="533" t="s">
        <v>932</v>
      </c>
      <c r="G82" s="632">
        <v>36.200000000000003</v>
      </c>
      <c r="H82" s="635" t="s">
        <v>565</v>
      </c>
      <c r="J82" s="613"/>
      <c r="K82" s="821" t="s">
        <v>911</v>
      </c>
      <c r="L82" s="527">
        <v>2001</v>
      </c>
      <c r="N82" s="616">
        <v>2005</v>
      </c>
      <c r="R82" s="911">
        <v>1</v>
      </c>
      <c r="W82" s="613">
        <f t="shared" si="12"/>
        <v>1</v>
      </c>
      <c r="AB82" s="527">
        <f t="shared" si="19"/>
        <v>0</v>
      </c>
      <c r="AC82" s="527">
        <f t="shared" si="14"/>
        <v>0</v>
      </c>
      <c r="AD82" s="527">
        <f t="shared" si="15"/>
        <v>36.200000000000003</v>
      </c>
      <c r="AE82" s="527">
        <f t="shared" si="16"/>
        <v>0</v>
      </c>
      <c r="AF82" s="527">
        <f t="shared" si="17"/>
        <v>0</v>
      </c>
      <c r="AG82" s="527">
        <f t="shared" si="18"/>
        <v>0</v>
      </c>
      <c r="AH82" s="527"/>
      <c r="AI82" s="639">
        <f t="shared" si="13"/>
        <v>36.200000000000003</v>
      </c>
    </row>
    <row r="83" spans="1:47" ht="12.75" customHeight="1" x14ac:dyDescent="0.2">
      <c r="A83" s="527">
        <v>75</v>
      </c>
      <c r="C83" s="533" t="s">
        <v>933</v>
      </c>
      <c r="G83" s="632">
        <v>18.899999999999999</v>
      </c>
      <c r="H83" s="635" t="s">
        <v>565</v>
      </c>
      <c r="J83" s="613"/>
      <c r="K83" s="821" t="s">
        <v>911</v>
      </c>
      <c r="L83" s="527">
        <v>2001</v>
      </c>
      <c r="N83" s="616">
        <v>2005</v>
      </c>
      <c r="R83" s="911">
        <v>1</v>
      </c>
      <c r="W83" s="613">
        <f t="shared" si="12"/>
        <v>1</v>
      </c>
      <c r="AB83" s="527">
        <f t="shared" si="19"/>
        <v>0</v>
      </c>
      <c r="AC83" s="527">
        <f t="shared" si="14"/>
        <v>0</v>
      </c>
      <c r="AD83" s="527">
        <f t="shared" si="15"/>
        <v>18.899999999999999</v>
      </c>
      <c r="AE83" s="527">
        <f t="shared" si="16"/>
        <v>0</v>
      </c>
      <c r="AF83" s="527">
        <f t="shared" si="17"/>
        <v>0</v>
      </c>
      <c r="AG83" s="527">
        <f t="shared" si="18"/>
        <v>0</v>
      </c>
      <c r="AH83" s="527"/>
      <c r="AI83" s="639">
        <f t="shared" si="13"/>
        <v>18.899999999999999</v>
      </c>
    </row>
    <row r="84" spans="1:47" ht="12.75" customHeight="1" x14ac:dyDescent="0.2">
      <c r="A84" s="527">
        <v>76</v>
      </c>
      <c r="C84" s="533" t="s">
        <v>902</v>
      </c>
      <c r="G84" s="632">
        <v>21.7</v>
      </c>
      <c r="H84" s="635" t="s">
        <v>565</v>
      </c>
      <c r="J84" s="613"/>
      <c r="K84" s="821" t="s">
        <v>911</v>
      </c>
      <c r="L84" s="527">
        <v>2005</v>
      </c>
      <c r="N84" s="616">
        <v>2005</v>
      </c>
      <c r="R84" s="911">
        <v>1</v>
      </c>
      <c r="W84" s="613">
        <f t="shared" si="12"/>
        <v>1</v>
      </c>
      <c r="AB84" s="527">
        <f t="shared" si="19"/>
        <v>0</v>
      </c>
      <c r="AC84" s="527">
        <f t="shared" si="14"/>
        <v>0</v>
      </c>
      <c r="AD84" s="527">
        <f t="shared" si="15"/>
        <v>21.7</v>
      </c>
      <c r="AE84" s="527">
        <f t="shared" si="16"/>
        <v>0</v>
      </c>
      <c r="AF84" s="527">
        <f t="shared" si="17"/>
        <v>0</v>
      </c>
      <c r="AG84" s="527">
        <f t="shared" si="18"/>
        <v>0</v>
      </c>
      <c r="AH84" s="527"/>
      <c r="AI84" s="639">
        <f t="shared" si="13"/>
        <v>21.7</v>
      </c>
    </row>
    <row r="85" spans="1:47" ht="12.75" customHeight="1" x14ac:dyDescent="0.2">
      <c r="A85" s="527">
        <v>77</v>
      </c>
      <c r="C85" s="533" t="s">
        <v>904</v>
      </c>
      <c r="G85" s="632">
        <v>35.4</v>
      </c>
      <c r="H85" s="632">
        <v>228</v>
      </c>
      <c r="I85" s="613" t="s">
        <v>1617</v>
      </c>
      <c r="J85" s="617">
        <v>40086</v>
      </c>
      <c r="K85" s="821" t="s">
        <v>911</v>
      </c>
      <c r="L85" s="527">
        <v>2005</v>
      </c>
      <c r="N85" s="616">
        <v>2005</v>
      </c>
      <c r="O85" s="638" t="s">
        <v>787</v>
      </c>
      <c r="R85" s="911">
        <v>1</v>
      </c>
      <c r="W85" s="613">
        <f t="shared" si="12"/>
        <v>1</v>
      </c>
      <c r="AB85" s="527">
        <f t="shared" si="19"/>
        <v>0</v>
      </c>
      <c r="AC85" s="527">
        <f t="shared" si="14"/>
        <v>0</v>
      </c>
      <c r="AD85" s="527">
        <f t="shared" si="15"/>
        <v>35.4</v>
      </c>
      <c r="AE85" s="527">
        <f t="shared" si="16"/>
        <v>0</v>
      </c>
      <c r="AF85" s="527">
        <f t="shared" si="17"/>
        <v>0</v>
      </c>
      <c r="AG85" s="527">
        <f t="shared" si="18"/>
        <v>0</v>
      </c>
      <c r="AH85" s="527"/>
      <c r="AI85" s="639">
        <f t="shared" si="13"/>
        <v>35.4</v>
      </c>
    </row>
    <row r="86" spans="1:47" ht="12.75" customHeight="1" x14ac:dyDescent="0.2">
      <c r="A86" s="527">
        <v>78</v>
      </c>
      <c r="C86" s="533" t="s">
        <v>905</v>
      </c>
      <c r="G86" s="632">
        <v>21.6</v>
      </c>
      <c r="H86" s="632" t="e">
        <f>542+212+qqq</f>
        <v>#NAME?</v>
      </c>
      <c r="I86" s="613" t="s">
        <v>1041</v>
      </c>
      <c r="K86" s="821" t="s">
        <v>911</v>
      </c>
      <c r="L86" s="527">
        <v>2005</v>
      </c>
      <c r="N86" s="616">
        <v>2005</v>
      </c>
      <c r="O86" s="638" t="s">
        <v>808</v>
      </c>
      <c r="R86" s="911">
        <v>1</v>
      </c>
      <c r="W86" s="613">
        <f t="shared" si="12"/>
        <v>1</v>
      </c>
      <c r="AB86" s="527">
        <f t="shared" si="19"/>
        <v>0</v>
      </c>
      <c r="AC86" s="527">
        <f t="shared" si="14"/>
        <v>0</v>
      </c>
      <c r="AD86" s="527">
        <f t="shared" si="15"/>
        <v>21.6</v>
      </c>
      <c r="AE86" s="527">
        <f t="shared" si="16"/>
        <v>0</v>
      </c>
      <c r="AF86" s="527">
        <f t="shared" si="17"/>
        <v>0</v>
      </c>
      <c r="AG86" s="527">
        <f t="shared" si="18"/>
        <v>0</v>
      </c>
      <c r="AH86" s="527"/>
      <c r="AI86" s="639">
        <f t="shared" si="13"/>
        <v>21.6</v>
      </c>
    </row>
    <row r="87" spans="1:47" ht="12.75" customHeight="1" x14ac:dyDescent="0.25">
      <c r="A87" s="527">
        <v>79</v>
      </c>
      <c r="C87" s="533" t="s">
        <v>903</v>
      </c>
      <c r="G87" s="632">
        <v>4.57</v>
      </c>
      <c r="H87" s="635" t="s">
        <v>565</v>
      </c>
      <c r="J87" s="613"/>
      <c r="K87" s="821" t="s">
        <v>911</v>
      </c>
      <c r="L87" s="527">
        <v>2005</v>
      </c>
      <c r="N87" s="616">
        <v>2005</v>
      </c>
      <c r="R87" s="911">
        <v>1</v>
      </c>
      <c r="W87" s="613">
        <f t="shared" si="12"/>
        <v>1</v>
      </c>
      <c r="AB87" s="527">
        <f t="shared" si="19"/>
        <v>0</v>
      </c>
      <c r="AC87" s="527">
        <f t="shared" si="14"/>
        <v>0</v>
      </c>
      <c r="AD87" s="527">
        <f t="shared" si="15"/>
        <v>4.57</v>
      </c>
      <c r="AE87" s="527">
        <f t="shared" si="16"/>
        <v>0</v>
      </c>
      <c r="AF87" s="527">
        <f t="shared" si="17"/>
        <v>0</v>
      </c>
      <c r="AG87" s="527">
        <f t="shared" si="18"/>
        <v>0</v>
      </c>
      <c r="AH87" s="527"/>
      <c r="AI87" s="639">
        <f t="shared" si="13"/>
        <v>4.57</v>
      </c>
      <c r="AR87" s="903"/>
      <c r="AS87" s="904"/>
      <c r="AT87" s="904"/>
      <c r="AU87" s="904"/>
    </row>
    <row r="88" spans="1:47" ht="12.75" customHeight="1" x14ac:dyDescent="0.2">
      <c r="A88" s="527">
        <v>80</v>
      </c>
      <c r="C88" s="533" t="s">
        <v>897</v>
      </c>
      <c r="G88" s="632">
        <v>585</v>
      </c>
      <c r="H88" s="632">
        <v>289</v>
      </c>
      <c r="I88" s="613" t="s">
        <v>1629</v>
      </c>
      <c r="K88" s="821" t="s">
        <v>911</v>
      </c>
      <c r="L88" s="527">
        <v>2005</v>
      </c>
      <c r="N88" s="616">
        <v>2005</v>
      </c>
      <c r="O88" s="638" t="s">
        <v>561</v>
      </c>
      <c r="T88" s="911">
        <v>1</v>
      </c>
      <c r="W88" s="613">
        <f t="shared" si="12"/>
        <v>1</v>
      </c>
      <c r="AB88" s="527">
        <f t="shared" si="19"/>
        <v>0</v>
      </c>
      <c r="AC88" s="527">
        <f t="shared" si="14"/>
        <v>0</v>
      </c>
      <c r="AD88" s="527">
        <f t="shared" si="15"/>
        <v>0</v>
      </c>
      <c r="AE88" s="527">
        <f t="shared" si="16"/>
        <v>0</v>
      </c>
      <c r="AF88" s="527">
        <f t="shared" si="17"/>
        <v>585</v>
      </c>
      <c r="AG88" s="527">
        <f t="shared" si="18"/>
        <v>0</v>
      </c>
      <c r="AH88" s="527"/>
      <c r="AI88" s="639">
        <f t="shared" si="13"/>
        <v>585</v>
      </c>
    </row>
    <row r="89" spans="1:47" ht="12.75" customHeight="1" x14ac:dyDescent="0.2">
      <c r="A89" s="527">
        <v>81</v>
      </c>
      <c r="C89" s="533" t="s">
        <v>898</v>
      </c>
      <c r="G89" s="632">
        <v>13500</v>
      </c>
      <c r="H89" s="632">
        <v>268</v>
      </c>
      <c r="I89" s="613" t="s">
        <v>1629</v>
      </c>
      <c r="K89" s="821" t="s">
        <v>911</v>
      </c>
      <c r="L89" s="527">
        <v>2005</v>
      </c>
      <c r="N89" s="616">
        <v>2005</v>
      </c>
      <c r="O89" s="638" t="s">
        <v>564</v>
      </c>
      <c r="T89" s="911">
        <v>1</v>
      </c>
      <c r="W89" s="613">
        <f t="shared" si="12"/>
        <v>1</v>
      </c>
      <c r="AB89" s="527">
        <f t="shared" si="19"/>
        <v>0</v>
      </c>
      <c r="AC89" s="527">
        <f t="shared" si="14"/>
        <v>0</v>
      </c>
      <c r="AD89" s="527">
        <f t="shared" si="15"/>
        <v>0</v>
      </c>
      <c r="AE89" s="527">
        <f t="shared" si="16"/>
        <v>0</v>
      </c>
      <c r="AF89" s="527">
        <f t="shared" si="17"/>
        <v>13500</v>
      </c>
      <c r="AG89" s="527">
        <f t="shared" si="18"/>
        <v>0</v>
      </c>
      <c r="AH89" s="527"/>
      <c r="AI89" s="639">
        <f t="shared" si="13"/>
        <v>13500</v>
      </c>
    </row>
    <row r="90" spans="1:47" ht="12.75" customHeight="1" x14ac:dyDescent="0.2">
      <c r="A90" s="527">
        <v>82</v>
      </c>
      <c r="C90" s="533" t="s">
        <v>884</v>
      </c>
      <c r="G90" s="632">
        <v>552</v>
      </c>
      <c r="H90" s="632">
        <v>499</v>
      </c>
      <c r="I90" s="613" t="s">
        <v>1634</v>
      </c>
      <c r="K90" s="821" t="s">
        <v>1106</v>
      </c>
      <c r="L90" s="527">
        <v>2004</v>
      </c>
      <c r="N90" s="623">
        <v>38528</v>
      </c>
      <c r="O90" s="638" t="s">
        <v>835</v>
      </c>
      <c r="U90" s="613">
        <v>1</v>
      </c>
      <c r="W90" s="613">
        <f t="shared" si="12"/>
        <v>1</v>
      </c>
      <c r="X90" s="613">
        <v>1</v>
      </c>
      <c r="AB90" s="527">
        <f t="shared" si="19"/>
        <v>0</v>
      </c>
      <c r="AC90" s="527">
        <f t="shared" si="14"/>
        <v>0</v>
      </c>
      <c r="AD90" s="527">
        <f t="shared" si="15"/>
        <v>0</v>
      </c>
      <c r="AE90" s="527">
        <f t="shared" si="16"/>
        <v>0</v>
      </c>
      <c r="AF90" s="527">
        <f t="shared" si="17"/>
        <v>0</v>
      </c>
      <c r="AG90" s="527">
        <f t="shared" si="18"/>
        <v>552</v>
      </c>
      <c r="AH90" s="527"/>
      <c r="AI90" s="639">
        <f t="shared" si="13"/>
        <v>552</v>
      </c>
    </row>
    <row r="91" spans="1:47" ht="12.75" customHeight="1" x14ac:dyDescent="0.2">
      <c r="A91" s="527">
        <v>83</v>
      </c>
      <c r="C91" s="533" t="s">
        <v>1090</v>
      </c>
      <c r="G91" s="632">
        <f>6+118</f>
        <v>124</v>
      </c>
      <c r="H91" s="632">
        <f>68+383</f>
        <v>451</v>
      </c>
      <c r="I91" s="613" t="s">
        <v>1027</v>
      </c>
      <c r="K91" s="822" t="s">
        <v>1230</v>
      </c>
      <c r="N91" s="618">
        <v>38733</v>
      </c>
      <c r="O91" s="638" t="s">
        <v>593</v>
      </c>
      <c r="U91" s="613">
        <v>1</v>
      </c>
      <c r="W91" s="613">
        <f t="shared" si="12"/>
        <v>1</v>
      </c>
      <c r="X91" s="613">
        <v>1</v>
      </c>
      <c r="Z91" s="613">
        <v>1</v>
      </c>
      <c r="AB91" s="527">
        <f t="shared" si="19"/>
        <v>0</v>
      </c>
      <c r="AC91" s="527">
        <f t="shared" si="14"/>
        <v>0</v>
      </c>
      <c r="AD91" s="527">
        <f t="shared" si="15"/>
        <v>0</v>
      </c>
      <c r="AE91" s="527">
        <f t="shared" si="16"/>
        <v>0</v>
      </c>
      <c r="AF91" s="527">
        <f t="shared" si="17"/>
        <v>0</v>
      </c>
      <c r="AG91" s="527">
        <f t="shared" si="18"/>
        <v>124</v>
      </c>
      <c r="AH91" s="527"/>
      <c r="AI91" s="639">
        <f t="shared" si="13"/>
        <v>124</v>
      </c>
      <c r="AK91" s="778">
        <v>1</v>
      </c>
    </row>
    <row r="92" spans="1:47" ht="12.75" customHeight="1" x14ac:dyDescent="0.2">
      <c r="A92" s="527">
        <v>84</v>
      </c>
      <c r="C92" s="820" t="s">
        <v>975</v>
      </c>
      <c r="G92" s="632">
        <f>30.6+11.6+64+85</f>
        <v>191.2</v>
      </c>
      <c r="H92" s="632">
        <f>1615+594+422</f>
        <v>2631</v>
      </c>
      <c r="I92" s="613" t="s">
        <v>1027</v>
      </c>
      <c r="K92" s="822" t="s">
        <v>1231</v>
      </c>
      <c r="N92" s="618">
        <v>38733</v>
      </c>
      <c r="O92" s="638" t="s">
        <v>841</v>
      </c>
      <c r="U92" s="613">
        <v>1</v>
      </c>
      <c r="W92" s="613">
        <f t="shared" si="12"/>
        <v>1</v>
      </c>
      <c r="X92" s="613">
        <v>1</v>
      </c>
      <c r="Z92" s="613">
        <v>1</v>
      </c>
      <c r="AB92" s="527">
        <f t="shared" si="19"/>
        <v>0</v>
      </c>
      <c r="AC92" s="527">
        <f t="shared" si="14"/>
        <v>0</v>
      </c>
      <c r="AD92" s="527">
        <f t="shared" si="15"/>
        <v>0</v>
      </c>
      <c r="AE92" s="527">
        <f t="shared" si="16"/>
        <v>0</v>
      </c>
      <c r="AF92" s="527">
        <f t="shared" si="17"/>
        <v>0</v>
      </c>
      <c r="AG92" s="527">
        <f t="shared" si="18"/>
        <v>191.2</v>
      </c>
      <c r="AH92" s="527"/>
      <c r="AI92" s="639">
        <f t="shared" si="13"/>
        <v>191.2</v>
      </c>
    </row>
    <row r="93" spans="1:47" ht="12.75" customHeight="1" x14ac:dyDescent="0.2">
      <c r="A93" s="527">
        <v>85</v>
      </c>
      <c r="C93" s="820" t="s">
        <v>1067</v>
      </c>
      <c r="G93" s="632">
        <v>233</v>
      </c>
      <c r="H93" s="632">
        <v>512</v>
      </c>
      <c r="I93" s="613" t="s">
        <v>1631</v>
      </c>
      <c r="K93" s="822" t="s">
        <v>1231</v>
      </c>
      <c r="N93" s="618">
        <v>38733</v>
      </c>
      <c r="O93" s="638" t="s">
        <v>834</v>
      </c>
      <c r="U93" s="613">
        <v>1</v>
      </c>
      <c r="W93" s="613">
        <f t="shared" si="12"/>
        <v>1</v>
      </c>
      <c r="X93" s="613">
        <v>1</v>
      </c>
      <c r="Y93" s="819">
        <v>1</v>
      </c>
      <c r="AB93" s="527">
        <f t="shared" si="19"/>
        <v>0</v>
      </c>
      <c r="AC93" s="527">
        <f t="shared" si="14"/>
        <v>0</v>
      </c>
      <c r="AD93" s="527">
        <f t="shared" si="15"/>
        <v>0</v>
      </c>
      <c r="AE93" s="527">
        <f t="shared" si="16"/>
        <v>0</v>
      </c>
      <c r="AF93" s="527">
        <f t="shared" si="17"/>
        <v>0</v>
      </c>
      <c r="AG93" s="527">
        <f t="shared" si="18"/>
        <v>233</v>
      </c>
      <c r="AH93" s="527"/>
      <c r="AI93" s="639">
        <f t="shared" si="13"/>
        <v>233</v>
      </c>
    </row>
    <row r="94" spans="1:47" ht="12.75" customHeight="1" x14ac:dyDescent="0.2">
      <c r="A94" s="527">
        <v>86</v>
      </c>
      <c r="C94" s="533" t="s">
        <v>1092</v>
      </c>
      <c r="G94" s="632">
        <v>538</v>
      </c>
      <c r="H94" s="632">
        <v>327</v>
      </c>
      <c r="I94" s="613" t="s">
        <v>1249</v>
      </c>
      <c r="K94" s="822" t="s">
        <v>1232</v>
      </c>
      <c r="N94" s="618">
        <v>38733</v>
      </c>
      <c r="O94" s="638" t="s">
        <v>583</v>
      </c>
      <c r="U94" s="613">
        <v>1</v>
      </c>
      <c r="W94" s="613">
        <f t="shared" si="12"/>
        <v>1</v>
      </c>
      <c r="X94" s="613">
        <v>1</v>
      </c>
      <c r="AB94" s="527">
        <f t="shared" si="19"/>
        <v>0</v>
      </c>
      <c r="AC94" s="527">
        <f t="shared" si="14"/>
        <v>0</v>
      </c>
      <c r="AD94" s="527">
        <f t="shared" si="15"/>
        <v>0</v>
      </c>
      <c r="AE94" s="527">
        <f t="shared" si="16"/>
        <v>0</v>
      </c>
      <c r="AF94" s="527">
        <f t="shared" si="17"/>
        <v>0</v>
      </c>
      <c r="AG94" s="527">
        <f t="shared" si="18"/>
        <v>538</v>
      </c>
      <c r="AH94" s="527"/>
      <c r="AI94" s="639">
        <f t="shared" si="13"/>
        <v>538</v>
      </c>
    </row>
    <row r="95" spans="1:47" ht="12.75" customHeight="1" x14ac:dyDescent="0.2">
      <c r="A95" s="527">
        <v>87</v>
      </c>
      <c r="C95" s="820" t="s">
        <v>974</v>
      </c>
      <c r="G95" s="632">
        <v>34</v>
      </c>
      <c r="H95" s="632">
        <v>1484</v>
      </c>
      <c r="I95" s="613" t="s">
        <v>1027</v>
      </c>
      <c r="K95" s="822" t="s">
        <v>1231</v>
      </c>
      <c r="N95" s="618">
        <v>38733</v>
      </c>
      <c r="O95" s="638" t="s">
        <v>842</v>
      </c>
      <c r="U95" s="613">
        <v>1</v>
      </c>
      <c r="W95" s="613">
        <f t="shared" si="12"/>
        <v>1</v>
      </c>
      <c r="X95" s="613">
        <v>1</v>
      </c>
      <c r="Z95" s="613">
        <v>1</v>
      </c>
      <c r="AB95" s="527">
        <f t="shared" si="19"/>
        <v>0</v>
      </c>
      <c r="AC95" s="527">
        <f t="shared" si="14"/>
        <v>0</v>
      </c>
      <c r="AD95" s="527">
        <f t="shared" si="15"/>
        <v>0</v>
      </c>
      <c r="AE95" s="527">
        <f t="shared" si="16"/>
        <v>0</v>
      </c>
      <c r="AF95" s="527">
        <f t="shared" si="17"/>
        <v>0</v>
      </c>
      <c r="AG95" s="527">
        <f t="shared" si="18"/>
        <v>34</v>
      </c>
      <c r="AH95" s="527"/>
      <c r="AI95" s="639">
        <f t="shared" si="13"/>
        <v>34</v>
      </c>
    </row>
    <row r="96" spans="1:47" ht="12.75" customHeight="1" x14ac:dyDescent="0.2">
      <c r="A96" s="527">
        <v>88</v>
      </c>
      <c r="C96" s="820" t="s">
        <v>1000</v>
      </c>
      <c r="G96" s="632">
        <v>1634</v>
      </c>
      <c r="H96" s="632">
        <f>304+104</f>
        <v>408</v>
      </c>
      <c r="I96" s="613" t="s">
        <v>1027</v>
      </c>
      <c r="K96" s="822" t="s">
        <v>1231</v>
      </c>
      <c r="N96" s="618">
        <v>38751</v>
      </c>
      <c r="O96" s="638" t="s">
        <v>588</v>
      </c>
      <c r="U96" s="613">
        <v>1</v>
      </c>
      <c r="W96" s="613">
        <f t="shared" ref="W96:W159" si="20">SUM(P96:V96)</f>
        <v>1</v>
      </c>
      <c r="X96" s="613">
        <v>1</v>
      </c>
      <c r="AB96" s="527">
        <f t="shared" si="19"/>
        <v>0</v>
      </c>
      <c r="AC96" s="527">
        <f t="shared" si="14"/>
        <v>0</v>
      </c>
      <c r="AD96" s="527">
        <f t="shared" si="15"/>
        <v>0</v>
      </c>
      <c r="AE96" s="527">
        <f t="shared" si="16"/>
        <v>0</v>
      </c>
      <c r="AF96" s="527">
        <f t="shared" si="17"/>
        <v>0</v>
      </c>
      <c r="AG96" s="527">
        <f t="shared" si="18"/>
        <v>1634</v>
      </c>
      <c r="AH96" s="527"/>
      <c r="AI96" s="639">
        <f t="shared" ref="AI96:AI159" si="21">G96</f>
        <v>1634</v>
      </c>
    </row>
    <row r="97" spans="1:47" ht="12.75" customHeight="1" x14ac:dyDescent="0.25">
      <c r="A97" s="527">
        <v>89</v>
      </c>
      <c r="C97" s="533" t="s">
        <v>1112</v>
      </c>
      <c r="G97" s="632">
        <v>213</v>
      </c>
      <c r="H97" s="632">
        <v>320</v>
      </c>
      <c r="I97" s="613" t="s">
        <v>1249</v>
      </c>
      <c r="K97" s="822" t="s">
        <v>1232</v>
      </c>
      <c r="N97" s="618">
        <v>38879</v>
      </c>
      <c r="O97" s="638" t="s">
        <v>825</v>
      </c>
      <c r="R97" s="911">
        <v>1</v>
      </c>
      <c r="W97" s="613">
        <f t="shared" si="20"/>
        <v>1</v>
      </c>
      <c r="AB97" s="527">
        <f t="shared" si="19"/>
        <v>0</v>
      </c>
      <c r="AC97" s="527">
        <f t="shared" si="14"/>
        <v>0</v>
      </c>
      <c r="AD97" s="527">
        <f t="shared" si="15"/>
        <v>213</v>
      </c>
      <c r="AE97" s="527">
        <f t="shared" si="16"/>
        <v>0</v>
      </c>
      <c r="AF97" s="527">
        <f t="shared" si="17"/>
        <v>0</v>
      </c>
      <c r="AG97" s="527">
        <f t="shared" si="18"/>
        <v>0</v>
      </c>
      <c r="AH97" s="527"/>
      <c r="AI97" s="639">
        <f t="shared" si="21"/>
        <v>213</v>
      </c>
      <c r="AR97" s="903"/>
      <c r="AS97" s="904"/>
      <c r="AT97" s="904"/>
      <c r="AU97" s="904"/>
    </row>
    <row r="98" spans="1:47" ht="12.75" customHeight="1" x14ac:dyDescent="0.25">
      <c r="A98" s="527">
        <v>90</v>
      </c>
      <c r="C98" s="533" t="s">
        <v>900</v>
      </c>
      <c r="G98" s="639">
        <v>115.2</v>
      </c>
      <c r="H98" s="639" t="s">
        <v>591</v>
      </c>
      <c r="I98" s="613" t="s">
        <v>1633</v>
      </c>
      <c r="J98" s="527"/>
      <c r="K98" s="822" t="s">
        <v>1233</v>
      </c>
      <c r="N98" s="618">
        <v>38961</v>
      </c>
      <c r="O98" s="638" t="s">
        <v>592</v>
      </c>
      <c r="R98" s="911">
        <v>1</v>
      </c>
      <c r="W98" s="613">
        <f t="shared" si="20"/>
        <v>1</v>
      </c>
      <c r="AB98" s="527">
        <f t="shared" si="19"/>
        <v>0</v>
      </c>
      <c r="AC98" s="527">
        <f t="shared" si="14"/>
        <v>0</v>
      </c>
      <c r="AD98" s="527">
        <f t="shared" si="15"/>
        <v>115.2</v>
      </c>
      <c r="AE98" s="527">
        <f t="shared" si="16"/>
        <v>0</v>
      </c>
      <c r="AF98" s="527">
        <f t="shared" si="17"/>
        <v>0</v>
      </c>
      <c r="AG98" s="527">
        <f t="shared" si="18"/>
        <v>0</v>
      </c>
      <c r="AH98" s="527"/>
      <c r="AI98" s="639">
        <f t="shared" si="21"/>
        <v>115.2</v>
      </c>
      <c r="AR98" s="903"/>
      <c r="AS98" s="904"/>
      <c r="AT98" s="904"/>
      <c r="AU98" s="904"/>
    </row>
    <row r="99" spans="1:47" ht="12.75" customHeight="1" x14ac:dyDescent="0.2">
      <c r="A99" s="527">
        <v>91</v>
      </c>
      <c r="C99" s="820" t="s">
        <v>1066</v>
      </c>
      <c r="G99" s="632">
        <v>31.7</v>
      </c>
      <c r="H99" s="632">
        <v>24.7</v>
      </c>
      <c r="I99" s="613" t="s">
        <v>1632</v>
      </c>
      <c r="K99" s="822" t="s">
        <v>1231</v>
      </c>
      <c r="N99" s="618">
        <v>38961</v>
      </c>
      <c r="O99" s="638" t="s">
        <v>577</v>
      </c>
      <c r="U99" s="613">
        <v>1</v>
      </c>
      <c r="W99" s="613">
        <f t="shared" si="20"/>
        <v>1</v>
      </c>
      <c r="X99" s="613">
        <v>1</v>
      </c>
      <c r="Z99" s="613">
        <v>1</v>
      </c>
      <c r="AB99" s="527">
        <f t="shared" si="19"/>
        <v>0</v>
      </c>
      <c r="AC99" s="527">
        <f t="shared" si="14"/>
        <v>0</v>
      </c>
      <c r="AD99" s="527">
        <f t="shared" si="15"/>
        <v>0</v>
      </c>
      <c r="AE99" s="527">
        <f t="shared" si="16"/>
        <v>0</v>
      </c>
      <c r="AF99" s="527">
        <f t="shared" si="17"/>
        <v>0</v>
      </c>
      <c r="AG99" s="527">
        <f t="shared" si="18"/>
        <v>31.7</v>
      </c>
      <c r="AH99" s="527"/>
      <c r="AI99" s="639">
        <f t="shared" si="21"/>
        <v>31.7</v>
      </c>
    </row>
    <row r="100" spans="1:47" ht="12.75" customHeight="1" x14ac:dyDescent="0.2">
      <c r="A100" s="527">
        <v>92</v>
      </c>
      <c r="C100" s="533" t="s">
        <v>1160</v>
      </c>
      <c r="G100" s="639">
        <v>55.991999999999997</v>
      </c>
      <c r="H100" s="615">
        <v>255</v>
      </c>
      <c r="I100" s="613" t="s">
        <v>1632</v>
      </c>
      <c r="K100" s="822" t="s">
        <v>104</v>
      </c>
      <c r="N100" s="618">
        <v>38962</v>
      </c>
      <c r="O100" s="638" t="s">
        <v>795</v>
      </c>
      <c r="P100" s="911">
        <v>1</v>
      </c>
      <c r="W100" s="613">
        <f t="shared" si="20"/>
        <v>1</v>
      </c>
      <c r="Y100" s="613">
        <v>1</v>
      </c>
      <c r="AB100" s="527">
        <f t="shared" si="19"/>
        <v>55.991999999999997</v>
      </c>
      <c r="AC100" s="527">
        <f t="shared" si="14"/>
        <v>0</v>
      </c>
      <c r="AD100" s="527">
        <f t="shared" si="15"/>
        <v>0</v>
      </c>
      <c r="AE100" s="527">
        <f t="shared" si="16"/>
        <v>0</v>
      </c>
      <c r="AF100" s="527">
        <f t="shared" si="17"/>
        <v>0</v>
      </c>
      <c r="AG100" s="527">
        <f t="shared" si="18"/>
        <v>0</v>
      </c>
      <c r="AH100" s="527"/>
      <c r="AI100" s="639">
        <f t="shared" si="21"/>
        <v>55.991999999999997</v>
      </c>
      <c r="AK100" s="778">
        <v>1</v>
      </c>
    </row>
    <row r="101" spans="1:47" ht="12.75" customHeight="1" x14ac:dyDescent="0.2">
      <c r="A101" s="527">
        <v>93</v>
      </c>
      <c r="C101" s="533" t="s">
        <v>1229</v>
      </c>
      <c r="G101" s="639">
        <v>142.21600000000001</v>
      </c>
      <c r="H101" s="615">
        <v>450</v>
      </c>
      <c r="I101" s="613" t="s">
        <v>1632</v>
      </c>
      <c r="K101" s="822" t="s">
        <v>104</v>
      </c>
      <c r="N101" s="618">
        <v>38962</v>
      </c>
      <c r="O101" s="638" t="s">
        <v>795</v>
      </c>
      <c r="P101" s="911">
        <v>1</v>
      </c>
      <c r="W101" s="613">
        <f t="shared" si="20"/>
        <v>1</v>
      </c>
      <c r="Y101" s="613">
        <v>1</v>
      </c>
      <c r="AB101" s="527">
        <f t="shared" si="19"/>
        <v>142.21600000000001</v>
      </c>
      <c r="AC101" s="527">
        <f t="shared" si="14"/>
        <v>0</v>
      </c>
      <c r="AD101" s="527">
        <f t="shared" si="15"/>
        <v>0</v>
      </c>
      <c r="AE101" s="527">
        <f t="shared" si="16"/>
        <v>0</v>
      </c>
      <c r="AF101" s="527">
        <f t="shared" si="17"/>
        <v>0</v>
      </c>
      <c r="AG101" s="527">
        <f t="shared" si="18"/>
        <v>0</v>
      </c>
      <c r="AH101" s="527"/>
      <c r="AI101" s="639">
        <f t="shared" si="21"/>
        <v>142.21600000000001</v>
      </c>
      <c r="AK101" s="778">
        <v>1</v>
      </c>
    </row>
    <row r="102" spans="1:47" ht="12.75" customHeight="1" x14ac:dyDescent="0.2">
      <c r="A102" s="527">
        <v>94</v>
      </c>
      <c r="C102" s="533" t="s">
        <v>899</v>
      </c>
      <c r="G102" s="639">
        <v>152.6</v>
      </c>
      <c r="H102" s="639">
        <f>646.1+323.7</f>
        <v>969.8</v>
      </c>
      <c r="I102" s="634" t="s">
        <v>1628</v>
      </c>
      <c r="J102" s="619"/>
      <c r="K102" s="533" t="s">
        <v>1266</v>
      </c>
      <c r="N102" s="620">
        <v>39169</v>
      </c>
      <c r="O102" s="638" t="s">
        <v>819</v>
      </c>
      <c r="R102" s="911">
        <v>1</v>
      </c>
      <c r="W102" s="613">
        <f t="shared" si="20"/>
        <v>1</v>
      </c>
      <c r="AB102" s="527">
        <f t="shared" si="19"/>
        <v>0</v>
      </c>
      <c r="AC102" s="527">
        <f t="shared" si="14"/>
        <v>0</v>
      </c>
      <c r="AD102" s="527">
        <f t="shared" si="15"/>
        <v>152.6</v>
      </c>
      <c r="AE102" s="527">
        <f t="shared" si="16"/>
        <v>0</v>
      </c>
      <c r="AF102" s="527">
        <f t="shared" si="17"/>
        <v>0</v>
      </c>
      <c r="AG102" s="527">
        <f t="shared" si="18"/>
        <v>0</v>
      </c>
      <c r="AH102" s="527"/>
      <c r="AI102" s="639">
        <f t="shared" si="21"/>
        <v>152.6</v>
      </c>
    </row>
    <row r="103" spans="1:47" ht="12.75" customHeight="1" x14ac:dyDescent="0.2">
      <c r="A103" s="527">
        <v>95</v>
      </c>
      <c r="C103" s="533" t="s">
        <v>1254</v>
      </c>
      <c r="G103" s="632">
        <v>64.3</v>
      </c>
      <c r="H103" s="632">
        <v>506.5</v>
      </c>
      <c r="I103" s="613" t="s">
        <v>1632</v>
      </c>
      <c r="K103" s="533" t="s">
        <v>1263</v>
      </c>
      <c r="L103" s="527" t="s">
        <v>1264</v>
      </c>
      <c r="N103" s="620">
        <v>39169</v>
      </c>
      <c r="O103" s="638" t="s">
        <v>822</v>
      </c>
      <c r="U103" s="613">
        <v>1</v>
      </c>
      <c r="W103" s="613">
        <f t="shared" si="20"/>
        <v>1</v>
      </c>
      <c r="X103" s="613">
        <v>1</v>
      </c>
      <c r="AB103" s="527">
        <f t="shared" si="19"/>
        <v>0</v>
      </c>
      <c r="AC103" s="527">
        <f t="shared" si="14"/>
        <v>0</v>
      </c>
      <c r="AD103" s="527">
        <f t="shared" si="15"/>
        <v>0</v>
      </c>
      <c r="AE103" s="527">
        <f t="shared" si="16"/>
        <v>0</v>
      </c>
      <c r="AF103" s="527">
        <f t="shared" si="17"/>
        <v>0</v>
      </c>
      <c r="AG103" s="527">
        <f t="shared" si="18"/>
        <v>64.3</v>
      </c>
      <c r="AH103" s="527"/>
      <c r="AI103" s="639">
        <f t="shared" si="21"/>
        <v>64.3</v>
      </c>
    </row>
    <row r="104" spans="1:47" ht="12.75" customHeight="1" x14ac:dyDescent="0.2">
      <c r="A104" s="527">
        <v>96</v>
      </c>
      <c r="C104" s="533" t="s">
        <v>1234</v>
      </c>
      <c r="G104" s="632">
        <v>188</v>
      </c>
      <c r="H104" s="632">
        <f>264+433</f>
        <v>697</v>
      </c>
      <c r="I104" s="613" t="s">
        <v>1632</v>
      </c>
      <c r="K104" s="533" t="s">
        <v>1263</v>
      </c>
      <c r="L104" s="527" t="s">
        <v>1265</v>
      </c>
      <c r="N104" s="620">
        <v>39169</v>
      </c>
      <c r="O104" s="638" t="s">
        <v>821</v>
      </c>
      <c r="U104" s="613">
        <v>1</v>
      </c>
      <c r="W104" s="613">
        <f t="shared" si="20"/>
        <v>1</v>
      </c>
      <c r="X104" s="613">
        <v>1</v>
      </c>
      <c r="AB104" s="527">
        <f t="shared" si="19"/>
        <v>0</v>
      </c>
      <c r="AC104" s="527">
        <f t="shared" si="14"/>
        <v>0</v>
      </c>
      <c r="AD104" s="527">
        <f t="shared" si="15"/>
        <v>0</v>
      </c>
      <c r="AE104" s="527">
        <f t="shared" si="16"/>
        <v>0</v>
      </c>
      <c r="AF104" s="527">
        <f t="shared" si="17"/>
        <v>0</v>
      </c>
      <c r="AG104" s="527">
        <f t="shared" si="18"/>
        <v>188</v>
      </c>
      <c r="AH104" s="527"/>
      <c r="AI104" s="639">
        <f t="shared" si="21"/>
        <v>188</v>
      </c>
    </row>
    <row r="105" spans="1:47" ht="12.75" customHeight="1" x14ac:dyDescent="0.2">
      <c r="A105" s="527">
        <v>97</v>
      </c>
      <c r="C105" s="533" t="s">
        <v>1153</v>
      </c>
      <c r="G105" s="632">
        <v>163</v>
      </c>
      <c r="H105" s="632">
        <v>247</v>
      </c>
      <c r="I105" s="613" t="s">
        <v>1249</v>
      </c>
      <c r="K105" s="533" t="s">
        <v>1263</v>
      </c>
      <c r="L105" s="621" t="s">
        <v>1262</v>
      </c>
      <c r="N105" s="620">
        <v>39169</v>
      </c>
      <c r="O105" s="638" t="s">
        <v>826</v>
      </c>
      <c r="U105" s="613">
        <v>1</v>
      </c>
      <c r="W105" s="613">
        <f t="shared" si="20"/>
        <v>1</v>
      </c>
      <c r="X105" s="613">
        <v>1</v>
      </c>
      <c r="AB105" s="527">
        <f t="shared" si="19"/>
        <v>0</v>
      </c>
      <c r="AC105" s="527">
        <f t="shared" si="14"/>
        <v>0</v>
      </c>
      <c r="AD105" s="527">
        <f t="shared" si="15"/>
        <v>0</v>
      </c>
      <c r="AE105" s="527">
        <f t="shared" si="16"/>
        <v>0</v>
      </c>
      <c r="AF105" s="527">
        <f t="shared" si="17"/>
        <v>0</v>
      </c>
      <c r="AG105" s="527">
        <f t="shared" si="18"/>
        <v>163</v>
      </c>
      <c r="AH105" s="527"/>
      <c r="AI105" s="639">
        <f t="shared" si="21"/>
        <v>163</v>
      </c>
    </row>
    <row r="106" spans="1:47" ht="12.75" customHeight="1" x14ac:dyDescent="0.25">
      <c r="A106" s="527">
        <v>98</v>
      </c>
      <c r="C106" s="533" t="s">
        <v>1260</v>
      </c>
      <c r="G106" s="632">
        <v>801</v>
      </c>
      <c r="H106" s="632">
        <v>233</v>
      </c>
      <c r="I106" s="613" t="s">
        <v>1630</v>
      </c>
      <c r="K106" s="533" t="s">
        <v>1261</v>
      </c>
      <c r="L106" s="527">
        <v>1999</v>
      </c>
      <c r="N106" s="620">
        <v>39169</v>
      </c>
      <c r="O106" s="638" t="s">
        <v>811</v>
      </c>
      <c r="U106" s="613">
        <v>1</v>
      </c>
      <c r="W106" s="613">
        <f t="shared" si="20"/>
        <v>1</v>
      </c>
      <c r="X106" s="613">
        <v>1</v>
      </c>
      <c r="AB106" s="527">
        <f t="shared" si="19"/>
        <v>0</v>
      </c>
      <c r="AC106" s="527">
        <f t="shared" si="14"/>
        <v>0</v>
      </c>
      <c r="AD106" s="527">
        <f t="shared" si="15"/>
        <v>0</v>
      </c>
      <c r="AE106" s="527">
        <f t="shared" si="16"/>
        <v>0</v>
      </c>
      <c r="AF106" s="527">
        <f t="shared" si="17"/>
        <v>0</v>
      </c>
      <c r="AG106" s="527">
        <f t="shared" si="18"/>
        <v>801</v>
      </c>
      <c r="AH106" s="527"/>
      <c r="AI106" s="639">
        <f t="shared" si="21"/>
        <v>801</v>
      </c>
      <c r="AM106" s="894"/>
      <c r="AN106" s="895"/>
      <c r="AO106" s="895"/>
      <c r="AP106" s="897"/>
      <c r="AR106" s="903"/>
      <c r="AS106" s="904"/>
      <c r="AT106" s="904"/>
      <c r="AU106" s="904"/>
    </row>
    <row r="107" spans="1:47" ht="12.75" customHeight="1" x14ac:dyDescent="0.25">
      <c r="A107" s="527">
        <v>99</v>
      </c>
      <c r="C107" s="533" t="s">
        <v>1297</v>
      </c>
      <c r="G107" s="884">
        <v>0.80100000000000005</v>
      </c>
      <c r="H107" s="635"/>
      <c r="J107" s="613"/>
      <c r="K107" s="533" t="s">
        <v>1298</v>
      </c>
      <c r="L107" s="527">
        <v>2001</v>
      </c>
      <c r="N107" s="620">
        <v>39287</v>
      </c>
      <c r="U107" s="613">
        <v>1</v>
      </c>
      <c r="W107" s="613">
        <f t="shared" si="20"/>
        <v>1</v>
      </c>
      <c r="AB107" s="527">
        <f t="shared" si="19"/>
        <v>0</v>
      </c>
      <c r="AC107" s="527">
        <f t="shared" si="14"/>
        <v>0</v>
      </c>
      <c r="AD107" s="527">
        <f t="shared" si="15"/>
        <v>0</v>
      </c>
      <c r="AE107" s="527">
        <f t="shared" si="16"/>
        <v>0</v>
      </c>
      <c r="AF107" s="527">
        <f t="shared" si="17"/>
        <v>0</v>
      </c>
      <c r="AG107" s="527">
        <f t="shared" si="18"/>
        <v>0.80100000000000005</v>
      </c>
      <c r="AH107" s="527"/>
      <c r="AI107" s="639">
        <f t="shared" si="21"/>
        <v>0.80100000000000005</v>
      </c>
      <c r="AK107" s="895"/>
      <c r="AL107" s="895"/>
      <c r="AM107" s="894"/>
      <c r="AN107" s="895"/>
      <c r="AO107" s="895"/>
      <c r="AP107" s="897"/>
      <c r="AR107" s="903"/>
      <c r="AS107" s="904"/>
      <c r="AT107" s="904"/>
      <c r="AU107" s="904"/>
    </row>
    <row r="108" spans="1:47" ht="12.75" customHeight="1" x14ac:dyDescent="0.2">
      <c r="A108" s="527">
        <v>100</v>
      </c>
      <c r="C108" s="533" t="s">
        <v>1301</v>
      </c>
      <c r="G108" s="884">
        <v>0.78800000000000003</v>
      </c>
      <c r="H108" s="632">
        <v>58</v>
      </c>
      <c r="I108" s="634" t="s">
        <v>1623</v>
      </c>
      <c r="J108" s="617">
        <v>39428</v>
      </c>
      <c r="K108" s="533" t="s">
        <v>1235</v>
      </c>
      <c r="L108" s="527">
        <v>39090</v>
      </c>
      <c r="N108" s="622" t="s">
        <v>1</v>
      </c>
      <c r="O108" s="638" t="s">
        <v>795</v>
      </c>
      <c r="P108" s="911">
        <v>1</v>
      </c>
      <c r="W108" s="613">
        <f t="shared" si="20"/>
        <v>1</v>
      </c>
      <c r="AB108" s="527">
        <f t="shared" si="19"/>
        <v>0.78800000000000003</v>
      </c>
      <c r="AC108" s="527">
        <f t="shared" si="14"/>
        <v>0</v>
      </c>
      <c r="AD108" s="527">
        <f t="shared" si="15"/>
        <v>0</v>
      </c>
      <c r="AE108" s="527">
        <f t="shared" si="16"/>
        <v>0</v>
      </c>
      <c r="AF108" s="527">
        <f t="shared" si="17"/>
        <v>0</v>
      </c>
      <c r="AG108" s="527">
        <f t="shared" si="18"/>
        <v>0</v>
      </c>
      <c r="AH108" s="527"/>
      <c r="AI108" s="639">
        <f t="shared" si="21"/>
        <v>0.78800000000000003</v>
      </c>
    </row>
    <row r="109" spans="1:47" ht="12.75" customHeight="1" x14ac:dyDescent="0.2">
      <c r="A109" s="527">
        <v>101</v>
      </c>
      <c r="C109" s="533" t="s">
        <v>1307</v>
      </c>
      <c r="G109" s="632">
        <v>5.2930000000000001</v>
      </c>
      <c r="H109" s="632">
        <f>155+170</f>
        <v>325</v>
      </c>
      <c r="I109" s="634" t="s">
        <v>1623</v>
      </c>
      <c r="J109" s="617">
        <v>39428</v>
      </c>
      <c r="K109" s="533" t="s">
        <v>1235</v>
      </c>
      <c r="L109" s="527">
        <v>2007</v>
      </c>
      <c r="N109" s="622" t="s">
        <v>1</v>
      </c>
      <c r="O109" s="638" t="s">
        <v>795</v>
      </c>
      <c r="P109" s="911">
        <v>1</v>
      </c>
      <c r="W109" s="613">
        <f t="shared" si="20"/>
        <v>1</v>
      </c>
      <c r="AB109" s="527">
        <f t="shared" si="19"/>
        <v>5.2930000000000001</v>
      </c>
      <c r="AC109" s="527">
        <f t="shared" si="14"/>
        <v>0</v>
      </c>
      <c r="AD109" s="527">
        <f t="shared" si="15"/>
        <v>0</v>
      </c>
      <c r="AE109" s="527">
        <f t="shared" si="16"/>
        <v>0</v>
      </c>
      <c r="AF109" s="527">
        <f t="shared" si="17"/>
        <v>0</v>
      </c>
      <c r="AG109" s="527">
        <f t="shared" si="18"/>
        <v>0</v>
      </c>
      <c r="AH109" s="527"/>
      <c r="AI109" s="639">
        <f t="shared" si="21"/>
        <v>5.2930000000000001</v>
      </c>
    </row>
    <row r="110" spans="1:47" ht="12.75" customHeight="1" x14ac:dyDescent="0.25">
      <c r="A110" s="527">
        <v>102</v>
      </c>
      <c r="C110" s="533" t="s">
        <v>2</v>
      </c>
      <c r="G110" s="632">
        <v>5.92</v>
      </c>
      <c r="H110" s="632">
        <v>102</v>
      </c>
      <c r="I110" s="613" t="s">
        <v>1617</v>
      </c>
      <c r="J110" s="617">
        <v>40086</v>
      </c>
      <c r="K110" s="533" t="s">
        <v>8</v>
      </c>
      <c r="N110" s="623">
        <v>39461</v>
      </c>
      <c r="O110" s="638" t="s">
        <v>805</v>
      </c>
      <c r="U110" s="613">
        <v>1</v>
      </c>
      <c r="W110" s="613">
        <f t="shared" si="20"/>
        <v>1</v>
      </c>
      <c r="X110" s="613">
        <v>1</v>
      </c>
      <c r="AB110" s="527">
        <f t="shared" si="19"/>
        <v>0</v>
      </c>
      <c r="AC110" s="527">
        <f t="shared" si="14"/>
        <v>0</v>
      </c>
      <c r="AD110" s="527">
        <f t="shared" si="15"/>
        <v>0</v>
      </c>
      <c r="AE110" s="527">
        <f t="shared" si="16"/>
        <v>0</v>
      </c>
      <c r="AF110" s="527">
        <f t="shared" si="17"/>
        <v>0</v>
      </c>
      <c r="AG110" s="527">
        <f t="shared" si="18"/>
        <v>5.92</v>
      </c>
      <c r="AH110" s="527"/>
      <c r="AI110" s="639">
        <f t="shared" si="21"/>
        <v>5.92</v>
      </c>
      <c r="AM110" s="894"/>
      <c r="AN110" s="895"/>
      <c r="AO110" s="895"/>
      <c r="AR110" s="903"/>
      <c r="AS110" s="904"/>
      <c r="AT110" s="904"/>
      <c r="AU110" s="904"/>
    </row>
    <row r="111" spans="1:47" ht="12.75" customHeight="1" x14ac:dyDescent="0.25">
      <c r="A111" s="527">
        <v>103</v>
      </c>
      <c r="C111" s="533" t="s">
        <v>1434</v>
      </c>
      <c r="E111" s="527" t="s">
        <v>613</v>
      </c>
      <c r="G111" s="632">
        <v>24.2</v>
      </c>
      <c r="H111" s="632">
        <v>275</v>
      </c>
      <c r="I111" s="613" t="s">
        <v>1632</v>
      </c>
      <c r="K111" s="533" t="s">
        <v>8</v>
      </c>
      <c r="N111" s="623">
        <v>39461</v>
      </c>
      <c r="O111" s="638" t="s">
        <v>823</v>
      </c>
      <c r="R111" s="911">
        <v>1</v>
      </c>
      <c r="W111" s="613">
        <f t="shared" si="20"/>
        <v>1</v>
      </c>
      <c r="AB111" s="527">
        <f t="shared" si="19"/>
        <v>0</v>
      </c>
      <c r="AC111" s="527">
        <f t="shared" si="14"/>
        <v>0</v>
      </c>
      <c r="AD111" s="527">
        <f t="shared" si="15"/>
        <v>24.2</v>
      </c>
      <c r="AE111" s="527">
        <f t="shared" si="16"/>
        <v>0</v>
      </c>
      <c r="AF111" s="527">
        <f t="shared" si="17"/>
        <v>0</v>
      </c>
      <c r="AG111" s="527">
        <f t="shared" si="18"/>
        <v>0</v>
      </c>
      <c r="AH111" s="527"/>
      <c r="AI111" s="639">
        <f t="shared" si="21"/>
        <v>24.2</v>
      </c>
      <c r="AR111" s="903"/>
      <c r="AS111" s="904"/>
      <c r="AT111" s="904"/>
      <c r="AU111" s="904"/>
    </row>
    <row r="112" spans="1:47" ht="12.75" customHeight="1" x14ac:dyDescent="0.2">
      <c r="A112" s="527">
        <v>104</v>
      </c>
      <c r="C112" s="533" t="s">
        <v>3</v>
      </c>
      <c r="E112" s="527" t="s">
        <v>1435</v>
      </c>
      <c r="G112" s="632">
        <v>40.700000000000003</v>
      </c>
      <c r="H112" s="632">
        <v>382</v>
      </c>
      <c r="I112" s="613" t="s">
        <v>1629</v>
      </c>
      <c r="K112" s="533" t="s">
        <v>8</v>
      </c>
      <c r="N112" s="623">
        <v>39461</v>
      </c>
      <c r="O112" s="638" t="s">
        <v>594</v>
      </c>
      <c r="U112" s="613">
        <v>1</v>
      </c>
      <c r="W112" s="613">
        <f t="shared" si="20"/>
        <v>1</v>
      </c>
      <c r="X112" s="613">
        <v>1</v>
      </c>
      <c r="AB112" s="527">
        <f t="shared" si="19"/>
        <v>0</v>
      </c>
      <c r="AC112" s="527">
        <f t="shared" si="14"/>
        <v>0</v>
      </c>
      <c r="AD112" s="527">
        <f t="shared" si="15"/>
        <v>0</v>
      </c>
      <c r="AE112" s="527">
        <f t="shared" si="16"/>
        <v>0</v>
      </c>
      <c r="AF112" s="527">
        <f t="shared" si="17"/>
        <v>0</v>
      </c>
      <c r="AG112" s="527">
        <f t="shared" si="18"/>
        <v>40.700000000000003</v>
      </c>
      <c r="AH112" s="527"/>
      <c r="AI112" s="639">
        <f t="shared" si="21"/>
        <v>40.700000000000003</v>
      </c>
    </row>
    <row r="113" spans="1:37" ht="12.75" customHeight="1" x14ac:dyDescent="0.2">
      <c r="A113" s="527">
        <v>105</v>
      </c>
      <c r="C113" s="533" t="s">
        <v>4</v>
      </c>
      <c r="G113" s="632">
        <v>70</v>
      </c>
      <c r="H113" s="632">
        <v>169</v>
      </c>
      <c r="I113" s="634" t="s">
        <v>1623</v>
      </c>
      <c r="J113" s="617">
        <v>39428</v>
      </c>
      <c r="K113" s="533" t="s">
        <v>8</v>
      </c>
      <c r="N113" s="623">
        <v>39461</v>
      </c>
      <c r="O113" s="638" t="s">
        <v>796</v>
      </c>
      <c r="U113" s="613">
        <v>1</v>
      </c>
      <c r="W113" s="613">
        <f t="shared" si="20"/>
        <v>1</v>
      </c>
      <c r="X113" s="613">
        <v>1</v>
      </c>
      <c r="AB113" s="527">
        <f t="shared" si="19"/>
        <v>0</v>
      </c>
      <c r="AC113" s="527">
        <f t="shared" si="14"/>
        <v>0</v>
      </c>
      <c r="AD113" s="527">
        <f t="shared" si="15"/>
        <v>0</v>
      </c>
      <c r="AE113" s="527">
        <f t="shared" si="16"/>
        <v>0</v>
      </c>
      <c r="AF113" s="527">
        <f t="shared" si="17"/>
        <v>0</v>
      </c>
      <c r="AG113" s="527">
        <f t="shared" si="18"/>
        <v>70</v>
      </c>
      <c r="AH113" s="527"/>
      <c r="AI113" s="639">
        <f t="shared" si="21"/>
        <v>70</v>
      </c>
    </row>
    <row r="114" spans="1:37" ht="12.75" customHeight="1" x14ac:dyDescent="0.2">
      <c r="A114" s="527">
        <v>106</v>
      </c>
      <c r="C114" s="533" t="s">
        <v>1335</v>
      </c>
      <c r="G114" s="632">
        <f>477+895</f>
        <v>1372</v>
      </c>
      <c r="H114" s="632">
        <f>40+258+154+16980</f>
        <v>17432</v>
      </c>
      <c r="I114" s="613" t="s">
        <v>1630</v>
      </c>
      <c r="K114" s="533" t="s">
        <v>8</v>
      </c>
      <c r="N114" s="623">
        <v>39461</v>
      </c>
      <c r="O114" s="638" t="s">
        <v>576</v>
      </c>
      <c r="U114" s="613">
        <v>1</v>
      </c>
      <c r="W114" s="613">
        <f t="shared" si="20"/>
        <v>1</v>
      </c>
      <c r="X114" s="613">
        <v>1</v>
      </c>
      <c r="Y114" s="613">
        <v>1</v>
      </c>
      <c r="AB114" s="527">
        <f t="shared" si="19"/>
        <v>0</v>
      </c>
      <c r="AC114" s="527">
        <f t="shared" si="14"/>
        <v>0</v>
      </c>
      <c r="AD114" s="527">
        <f t="shared" si="15"/>
        <v>0</v>
      </c>
      <c r="AE114" s="527">
        <f t="shared" si="16"/>
        <v>0</v>
      </c>
      <c r="AF114" s="527">
        <f t="shared" si="17"/>
        <v>0</v>
      </c>
      <c r="AG114" s="527">
        <f t="shared" si="18"/>
        <v>1372</v>
      </c>
      <c r="AH114" s="527"/>
      <c r="AI114" s="639">
        <f t="shared" si="21"/>
        <v>1372</v>
      </c>
      <c r="AK114" s="778">
        <v>1</v>
      </c>
    </row>
    <row r="115" spans="1:37" ht="12.75" customHeight="1" x14ac:dyDescent="0.2">
      <c r="A115" s="527">
        <v>107</v>
      </c>
      <c r="C115" s="533" t="s">
        <v>5</v>
      </c>
      <c r="E115" s="527" t="s">
        <v>1436</v>
      </c>
      <c r="G115" s="632">
        <v>234</v>
      </c>
      <c r="H115" s="632">
        <v>321</v>
      </c>
      <c r="I115" s="613" t="s">
        <v>1629</v>
      </c>
      <c r="K115" s="533" t="s">
        <v>8</v>
      </c>
      <c r="N115" s="623">
        <v>39461</v>
      </c>
      <c r="O115" s="638" t="s">
        <v>563</v>
      </c>
      <c r="U115" s="613">
        <v>1</v>
      </c>
      <c r="W115" s="613">
        <f t="shared" si="20"/>
        <v>1</v>
      </c>
      <c r="X115" s="613">
        <v>1</v>
      </c>
      <c r="AB115" s="527">
        <f t="shared" si="19"/>
        <v>0</v>
      </c>
      <c r="AC115" s="527">
        <f t="shared" si="14"/>
        <v>0</v>
      </c>
      <c r="AD115" s="527">
        <f t="shared" si="15"/>
        <v>0</v>
      </c>
      <c r="AE115" s="527">
        <f t="shared" si="16"/>
        <v>0</v>
      </c>
      <c r="AF115" s="527">
        <f t="shared" si="17"/>
        <v>0</v>
      </c>
      <c r="AG115" s="527">
        <f t="shared" si="18"/>
        <v>234</v>
      </c>
      <c r="AH115" s="527"/>
      <c r="AI115" s="639">
        <f t="shared" si="21"/>
        <v>234</v>
      </c>
    </row>
    <row r="116" spans="1:37" ht="12.75" customHeight="1" x14ac:dyDescent="0.2">
      <c r="A116" s="527">
        <v>108</v>
      </c>
      <c r="C116" s="533" t="s">
        <v>6</v>
      </c>
      <c r="G116" s="632">
        <v>606</v>
      </c>
      <c r="H116" s="632">
        <f>205+303</f>
        <v>508</v>
      </c>
      <c r="I116" s="613" t="s">
        <v>1622</v>
      </c>
      <c r="J116" s="617">
        <v>39485</v>
      </c>
      <c r="K116" s="533" t="s">
        <v>8</v>
      </c>
      <c r="N116" s="623">
        <v>39461</v>
      </c>
      <c r="O116" s="638" t="s">
        <v>793</v>
      </c>
      <c r="U116" s="613">
        <v>1</v>
      </c>
      <c r="W116" s="613">
        <f t="shared" si="20"/>
        <v>1</v>
      </c>
      <c r="X116" s="613">
        <v>1</v>
      </c>
      <c r="AB116" s="527">
        <f t="shared" si="19"/>
        <v>0</v>
      </c>
      <c r="AC116" s="527">
        <f t="shared" si="14"/>
        <v>0</v>
      </c>
      <c r="AD116" s="527">
        <f t="shared" si="15"/>
        <v>0</v>
      </c>
      <c r="AE116" s="527">
        <f t="shared" si="16"/>
        <v>0</v>
      </c>
      <c r="AF116" s="527">
        <f t="shared" si="17"/>
        <v>0</v>
      </c>
      <c r="AG116" s="527">
        <f t="shared" si="18"/>
        <v>606</v>
      </c>
      <c r="AH116" s="527"/>
      <c r="AI116" s="639">
        <f t="shared" si="21"/>
        <v>606</v>
      </c>
    </row>
    <row r="117" spans="1:37" ht="12.75" customHeight="1" x14ac:dyDescent="0.2">
      <c r="A117" s="527">
        <v>109</v>
      </c>
      <c r="C117" s="533" t="s">
        <v>1347</v>
      </c>
      <c r="G117" s="632">
        <v>42</v>
      </c>
      <c r="H117" s="632">
        <f>186+87</f>
        <v>273</v>
      </c>
      <c r="I117" s="613" t="s">
        <v>1630</v>
      </c>
      <c r="K117" s="533" t="s">
        <v>8</v>
      </c>
      <c r="N117" s="623">
        <v>39461</v>
      </c>
      <c r="O117" s="638" t="s">
        <v>802</v>
      </c>
      <c r="U117" s="613">
        <v>1</v>
      </c>
      <c r="W117" s="613">
        <f t="shared" si="20"/>
        <v>1</v>
      </c>
      <c r="X117" s="613">
        <v>1</v>
      </c>
      <c r="AB117" s="527">
        <f t="shared" si="19"/>
        <v>0</v>
      </c>
      <c r="AC117" s="527">
        <f t="shared" si="14"/>
        <v>0</v>
      </c>
      <c r="AD117" s="527">
        <f t="shared" si="15"/>
        <v>0</v>
      </c>
      <c r="AE117" s="527">
        <f t="shared" si="16"/>
        <v>0</v>
      </c>
      <c r="AF117" s="527">
        <f t="shared" si="17"/>
        <v>0</v>
      </c>
      <c r="AG117" s="527">
        <f t="shared" si="18"/>
        <v>42</v>
      </c>
      <c r="AH117" s="527"/>
      <c r="AI117" s="639">
        <f t="shared" si="21"/>
        <v>42</v>
      </c>
    </row>
    <row r="118" spans="1:37" ht="12.75" customHeight="1" x14ac:dyDescent="0.2">
      <c r="A118" s="527">
        <v>110</v>
      </c>
      <c r="C118" s="533" t="s">
        <v>7</v>
      </c>
      <c r="E118" s="527" t="s">
        <v>616</v>
      </c>
      <c r="G118" s="632">
        <v>137</v>
      </c>
      <c r="H118" s="632">
        <f>121+15</f>
        <v>136</v>
      </c>
      <c r="I118" s="613" t="s">
        <v>1630</v>
      </c>
      <c r="K118" s="533" t="s">
        <v>8</v>
      </c>
      <c r="N118" s="623">
        <v>39461</v>
      </c>
      <c r="O118" s="638" t="s">
        <v>566</v>
      </c>
      <c r="U118" s="613">
        <v>1</v>
      </c>
      <c r="W118" s="613">
        <f t="shared" si="20"/>
        <v>1</v>
      </c>
      <c r="X118" s="613">
        <v>1</v>
      </c>
      <c r="AB118" s="527">
        <f t="shared" si="19"/>
        <v>0</v>
      </c>
      <c r="AC118" s="527">
        <f t="shared" si="14"/>
        <v>0</v>
      </c>
      <c r="AD118" s="527">
        <f t="shared" si="15"/>
        <v>0</v>
      </c>
      <c r="AE118" s="527">
        <f t="shared" si="16"/>
        <v>0</v>
      </c>
      <c r="AF118" s="527">
        <f t="shared" si="17"/>
        <v>0</v>
      </c>
      <c r="AG118" s="527">
        <f t="shared" si="18"/>
        <v>137</v>
      </c>
      <c r="AH118" s="527"/>
      <c r="AI118" s="639">
        <f t="shared" si="21"/>
        <v>137</v>
      </c>
      <c r="AK118" s="778">
        <v>1</v>
      </c>
    </row>
    <row r="119" spans="1:37" ht="12.75" customHeight="1" x14ac:dyDescent="0.2">
      <c r="A119" s="527">
        <v>111</v>
      </c>
      <c r="C119" s="533" t="s">
        <v>10</v>
      </c>
      <c r="G119" s="632">
        <v>16.5</v>
      </c>
      <c r="H119" s="632">
        <v>353</v>
      </c>
      <c r="I119" s="613" t="s">
        <v>1620</v>
      </c>
      <c r="J119" s="617">
        <v>39694</v>
      </c>
      <c r="K119" s="533" t="s">
        <v>8</v>
      </c>
      <c r="N119" s="623">
        <v>39461</v>
      </c>
      <c r="O119" s="638" t="s">
        <v>809</v>
      </c>
      <c r="R119" s="911">
        <v>1</v>
      </c>
      <c r="W119" s="613">
        <f t="shared" si="20"/>
        <v>1</v>
      </c>
      <c r="AB119" s="527">
        <f t="shared" si="19"/>
        <v>0</v>
      </c>
      <c r="AC119" s="527">
        <f t="shared" si="14"/>
        <v>0</v>
      </c>
      <c r="AD119" s="527">
        <f t="shared" si="15"/>
        <v>16.5</v>
      </c>
      <c r="AE119" s="527">
        <f t="shared" si="16"/>
        <v>0</v>
      </c>
      <c r="AF119" s="527">
        <f t="shared" si="17"/>
        <v>0</v>
      </c>
      <c r="AG119" s="527">
        <f t="shared" si="18"/>
        <v>0</v>
      </c>
      <c r="AH119" s="527"/>
      <c r="AI119" s="639">
        <f t="shared" si="21"/>
        <v>16.5</v>
      </c>
    </row>
    <row r="120" spans="1:37" ht="12.75" customHeight="1" x14ac:dyDescent="0.2">
      <c r="A120" s="527">
        <v>112</v>
      </c>
      <c r="C120" s="533" t="s">
        <v>11</v>
      </c>
      <c r="G120" s="632">
        <v>11528</v>
      </c>
      <c r="H120" s="632">
        <f>592+254+869</f>
        <v>1715</v>
      </c>
      <c r="I120" s="634" t="s">
        <v>1623</v>
      </c>
      <c r="J120" s="617">
        <v>39428</v>
      </c>
      <c r="K120" s="533" t="s">
        <v>8</v>
      </c>
      <c r="N120" s="623">
        <v>39477</v>
      </c>
      <c r="O120" s="638" t="s">
        <v>806</v>
      </c>
      <c r="U120" s="613">
        <v>1</v>
      </c>
      <c r="W120" s="613">
        <f t="shared" si="20"/>
        <v>1</v>
      </c>
      <c r="X120" s="613">
        <v>1</v>
      </c>
      <c r="AB120" s="527">
        <f t="shared" si="19"/>
        <v>0</v>
      </c>
      <c r="AC120" s="527">
        <f t="shared" si="14"/>
        <v>0</v>
      </c>
      <c r="AD120" s="527">
        <f t="shared" si="15"/>
        <v>0</v>
      </c>
      <c r="AE120" s="527">
        <f t="shared" si="16"/>
        <v>0</v>
      </c>
      <c r="AF120" s="527">
        <f t="shared" si="17"/>
        <v>0</v>
      </c>
      <c r="AG120" s="527">
        <f t="shared" si="18"/>
        <v>11528</v>
      </c>
      <c r="AH120" s="527"/>
      <c r="AI120" s="639">
        <f t="shared" si="21"/>
        <v>11528</v>
      </c>
    </row>
    <row r="121" spans="1:37" ht="12.75" customHeight="1" x14ac:dyDescent="0.2">
      <c r="A121" s="527">
        <v>113</v>
      </c>
      <c r="C121" s="820" t="s">
        <v>976</v>
      </c>
      <c r="G121" s="632">
        <v>33</v>
      </c>
      <c r="H121" s="632">
        <v>1766</v>
      </c>
      <c r="I121" s="613" t="s">
        <v>1631</v>
      </c>
      <c r="K121" s="533" t="s">
        <v>63</v>
      </c>
      <c r="N121" s="623">
        <v>39678</v>
      </c>
      <c r="O121" s="638" t="s">
        <v>831</v>
      </c>
      <c r="U121" s="613">
        <v>1</v>
      </c>
      <c r="W121" s="613">
        <f t="shared" si="20"/>
        <v>1</v>
      </c>
      <c r="X121" s="613">
        <v>1</v>
      </c>
      <c r="Z121" s="613">
        <v>1</v>
      </c>
      <c r="AB121" s="527">
        <f t="shared" si="19"/>
        <v>0</v>
      </c>
      <c r="AC121" s="527">
        <f t="shared" si="14"/>
        <v>0</v>
      </c>
      <c r="AD121" s="527">
        <f t="shared" si="15"/>
        <v>0</v>
      </c>
      <c r="AE121" s="527">
        <f t="shared" si="16"/>
        <v>0</v>
      </c>
      <c r="AF121" s="527">
        <f t="shared" si="17"/>
        <v>0</v>
      </c>
      <c r="AG121" s="527">
        <f t="shared" si="18"/>
        <v>33</v>
      </c>
      <c r="AH121" s="527"/>
      <c r="AI121" s="639">
        <f t="shared" si="21"/>
        <v>33</v>
      </c>
    </row>
    <row r="122" spans="1:37" ht="12.75" customHeight="1" x14ac:dyDescent="0.2">
      <c r="A122" s="527">
        <v>114</v>
      </c>
      <c r="C122" s="533" t="s">
        <v>12</v>
      </c>
      <c r="G122" s="632">
        <v>93.3</v>
      </c>
      <c r="H122" s="632">
        <v>312</v>
      </c>
      <c r="I122" s="634" t="s">
        <v>1623</v>
      </c>
      <c r="J122" s="617">
        <v>39428</v>
      </c>
      <c r="K122" s="533" t="s">
        <v>63</v>
      </c>
      <c r="N122" s="623">
        <v>39678</v>
      </c>
      <c r="O122" s="638" t="s">
        <v>797</v>
      </c>
      <c r="U122" s="613">
        <v>1</v>
      </c>
      <c r="W122" s="613">
        <f t="shared" si="20"/>
        <v>1</v>
      </c>
      <c r="X122" s="613">
        <v>1</v>
      </c>
      <c r="AB122" s="527">
        <f t="shared" si="19"/>
        <v>0</v>
      </c>
      <c r="AC122" s="527">
        <f t="shared" si="14"/>
        <v>0</v>
      </c>
      <c r="AD122" s="527">
        <f t="shared" si="15"/>
        <v>0</v>
      </c>
      <c r="AE122" s="527">
        <f t="shared" si="16"/>
        <v>0</v>
      </c>
      <c r="AF122" s="527">
        <f t="shared" si="17"/>
        <v>0</v>
      </c>
      <c r="AG122" s="527">
        <f t="shared" si="18"/>
        <v>93.3</v>
      </c>
      <c r="AH122" s="527"/>
      <c r="AI122" s="639">
        <f t="shared" si="21"/>
        <v>93.3</v>
      </c>
    </row>
    <row r="123" spans="1:37" ht="12.75" customHeight="1" x14ac:dyDescent="0.2">
      <c r="A123" s="527">
        <v>115</v>
      </c>
      <c r="C123" s="533" t="s">
        <v>0</v>
      </c>
      <c r="G123" s="632">
        <f>72+107</f>
        <v>179</v>
      </c>
      <c r="H123" s="632">
        <v>309</v>
      </c>
      <c r="I123" s="634" t="s">
        <v>1623</v>
      </c>
      <c r="J123" s="617">
        <v>39428</v>
      </c>
      <c r="K123" s="533" t="s">
        <v>63</v>
      </c>
      <c r="N123" s="623">
        <v>39678</v>
      </c>
      <c r="O123" s="638" t="s">
        <v>794</v>
      </c>
      <c r="U123" s="613">
        <v>1</v>
      </c>
      <c r="W123" s="613">
        <f t="shared" si="20"/>
        <v>1</v>
      </c>
      <c r="X123" s="613">
        <v>1</v>
      </c>
      <c r="AB123" s="527">
        <f t="shared" si="19"/>
        <v>0</v>
      </c>
      <c r="AC123" s="527">
        <f t="shared" si="14"/>
        <v>0</v>
      </c>
      <c r="AD123" s="527">
        <f t="shared" si="15"/>
        <v>0</v>
      </c>
      <c r="AE123" s="527">
        <f t="shared" si="16"/>
        <v>0</v>
      </c>
      <c r="AF123" s="527">
        <f t="shared" si="17"/>
        <v>0</v>
      </c>
      <c r="AG123" s="527">
        <f t="shared" si="18"/>
        <v>179</v>
      </c>
      <c r="AH123" s="527"/>
      <c r="AI123" s="639">
        <f t="shared" si="21"/>
        <v>179</v>
      </c>
    </row>
    <row r="124" spans="1:37" ht="12.75" customHeight="1" x14ac:dyDescent="0.2">
      <c r="A124" s="527">
        <v>116</v>
      </c>
      <c r="C124" s="533" t="s">
        <v>617</v>
      </c>
      <c r="E124" s="527" t="s">
        <v>1437</v>
      </c>
      <c r="G124" s="632">
        <v>289</v>
      </c>
      <c r="H124" s="632">
        <v>360</v>
      </c>
      <c r="I124" s="634" t="s">
        <v>1623</v>
      </c>
      <c r="J124" s="617">
        <v>39428</v>
      </c>
      <c r="K124" s="533" t="s">
        <v>63</v>
      </c>
      <c r="N124" s="623">
        <v>39694</v>
      </c>
      <c r="O124" s="739" t="s">
        <v>800</v>
      </c>
      <c r="U124" s="613">
        <v>1</v>
      </c>
      <c r="W124" s="613">
        <f t="shared" si="20"/>
        <v>1</v>
      </c>
      <c r="X124" s="613">
        <v>1</v>
      </c>
      <c r="AB124" s="527">
        <f t="shared" si="19"/>
        <v>0</v>
      </c>
      <c r="AC124" s="527">
        <f t="shared" si="14"/>
        <v>0</v>
      </c>
      <c r="AD124" s="527">
        <f t="shared" si="15"/>
        <v>0</v>
      </c>
      <c r="AE124" s="527">
        <f t="shared" si="16"/>
        <v>0</v>
      </c>
      <c r="AF124" s="527">
        <f t="shared" si="17"/>
        <v>0</v>
      </c>
      <c r="AG124" s="527">
        <f t="shared" si="18"/>
        <v>289</v>
      </c>
      <c r="AH124" s="527"/>
      <c r="AI124" s="639">
        <f t="shared" si="21"/>
        <v>289</v>
      </c>
    </row>
    <row r="125" spans="1:37" ht="12.75" customHeight="1" x14ac:dyDescent="0.2">
      <c r="A125" s="527">
        <v>117</v>
      </c>
      <c r="C125" s="533" t="s">
        <v>619</v>
      </c>
      <c r="E125" s="527" t="s">
        <v>1438</v>
      </c>
      <c r="G125" s="632">
        <v>38</v>
      </c>
      <c r="H125" s="632">
        <v>478</v>
      </c>
      <c r="I125" s="634" t="s">
        <v>1623</v>
      </c>
      <c r="J125" s="617">
        <v>39428</v>
      </c>
      <c r="K125" s="533" t="s">
        <v>63</v>
      </c>
      <c r="N125" s="623">
        <v>39694</v>
      </c>
      <c r="O125" s="739" t="s">
        <v>801</v>
      </c>
      <c r="U125" s="613">
        <v>1</v>
      </c>
      <c r="W125" s="613">
        <f t="shared" si="20"/>
        <v>1</v>
      </c>
      <c r="X125" s="613">
        <v>1</v>
      </c>
      <c r="AB125" s="527">
        <f t="shared" si="19"/>
        <v>0</v>
      </c>
      <c r="AC125" s="527">
        <f t="shared" si="14"/>
        <v>0</v>
      </c>
      <c r="AD125" s="527">
        <f t="shared" si="15"/>
        <v>0</v>
      </c>
      <c r="AE125" s="527">
        <f t="shared" si="16"/>
        <v>0</v>
      </c>
      <c r="AF125" s="527">
        <f t="shared" si="17"/>
        <v>0</v>
      </c>
      <c r="AG125" s="527">
        <f t="shared" si="18"/>
        <v>38</v>
      </c>
      <c r="AH125" s="527"/>
      <c r="AI125" s="639">
        <f t="shared" si="21"/>
        <v>38</v>
      </c>
    </row>
    <row r="126" spans="1:37" ht="12.75" customHeight="1" x14ac:dyDescent="0.2">
      <c r="A126" s="527">
        <v>118</v>
      </c>
      <c r="C126" s="533" t="s">
        <v>49</v>
      </c>
      <c r="E126" s="527" t="s">
        <v>3679</v>
      </c>
      <c r="G126" s="632">
        <v>50.4</v>
      </c>
      <c r="H126" s="632">
        <v>214</v>
      </c>
      <c r="I126" s="613" t="s">
        <v>1622</v>
      </c>
      <c r="J126" s="617">
        <v>39485</v>
      </c>
      <c r="K126" s="533" t="s">
        <v>63</v>
      </c>
      <c r="N126" s="623">
        <v>39694</v>
      </c>
      <c r="O126" s="638" t="s">
        <v>791</v>
      </c>
      <c r="U126" s="613">
        <v>1</v>
      </c>
      <c r="W126" s="613">
        <f t="shared" si="20"/>
        <v>1</v>
      </c>
      <c r="X126" s="613">
        <v>1</v>
      </c>
      <c r="AB126" s="527">
        <f t="shared" si="19"/>
        <v>0</v>
      </c>
      <c r="AC126" s="527">
        <f t="shared" si="14"/>
        <v>0</v>
      </c>
      <c r="AD126" s="527">
        <f t="shared" si="15"/>
        <v>0</v>
      </c>
      <c r="AE126" s="527">
        <f t="shared" si="16"/>
        <v>0</v>
      </c>
      <c r="AF126" s="527">
        <f t="shared" si="17"/>
        <v>0</v>
      </c>
      <c r="AG126" s="527">
        <f t="shared" si="18"/>
        <v>50.4</v>
      </c>
      <c r="AH126" s="527"/>
      <c r="AI126" s="639">
        <f t="shared" si="21"/>
        <v>50.4</v>
      </c>
    </row>
    <row r="127" spans="1:37" ht="12.75" customHeight="1" x14ac:dyDescent="0.2">
      <c r="A127" s="527">
        <v>119</v>
      </c>
      <c r="C127" s="533" t="s">
        <v>48</v>
      </c>
      <c r="E127" s="527" t="s">
        <v>1439</v>
      </c>
      <c r="G127" s="632">
        <v>101</v>
      </c>
      <c r="H127" s="632">
        <v>278</v>
      </c>
      <c r="I127" s="613" t="s">
        <v>1622</v>
      </c>
      <c r="J127" s="617">
        <v>39485</v>
      </c>
      <c r="K127" s="533" t="s">
        <v>63</v>
      </c>
      <c r="N127" s="623">
        <v>39694</v>
      </c>
      <c r="O127" s="638" t="s">
        <v>792</v>
      </c>
      <c r="U127" s="613">
        <v>1</v>
      </c>
      <c r="W127" s="613">
        <f t="shared" si="20"/>
        <v>1</v>
      </c>
      <c r="X127" s="613">
        <v>1</v>
      </c>
      <c r="AB127" s="527">
        <f t="shared" si="19"/>
        <v>0</v>
      </c>
      <c r="AC127" s="527">
        <f t="shared" si="14"/>
        <v>0</v>
      </c>
      <c r="AD127" s="527">
        <f t="shared" si="15"/>
        <v>0</v>
      </c>
      <c r="AE127" s="527">
        <f t="shared" si="16"/>
        <v>0</v>
      </c>
      <c r="AF127" s="527">
        <f t="shared" si="17"/>
        <v>0</v>
      </c>
      <c r="AG127" s="527">
        <f t="shared" si="18"/>
        <v>101</v>
      </c>
      <c r="AH127" s="527"/>
      <c r="AI127" s="639">
        <f t="shared" si="21"/>
        <v>101</v>
      </c>
    </row>
    <row r="128" spans="1:37" ht="12.75" customHeight="1" x14ac:dyDescent="0.2">
      <c r="A128" s="527">
        <v>120</v>
      </c>
      <c r="C128" s="533" t="s">
        <v>1244</v>
      </c>
      <c r="G128" s="632">
        <v>968</v>
      </c>
      <c r="H128" s="632">
        <f>3.4+38.2+33.2+40.3+99.1+132</f>
        <v>346.2</v>
      </c>
      <c r="I128" s="613" t="s">
        <v>1629</v>
      </c>
      <c r="K128" s="533" t="s">
        <v>63</v>
      </c>
      <c r="N128" s="623">
        <v>39699</v>
      </c>
      <c r="O128" s="638" t="s">
        <v>562</v>
      </c>
      <c r="U128" s="613">
        <v>1</v>
      </c>
      <c r="W128" s="613">
        <f t="shared" si="20"/>
        <v>1</v>
      </c>
      <c r="X128" s="613">
        <v>1</v>
      </c>
      <c r="AB128" s="527">
        <f t="shared" si="19"/>
        <v>0</v>
      </c>
      <c r="AC128" s="527">
        <f t="shared" si="14"/>
        <v>0</v>
      </c>
      <c r="AD128" s="527">
        <f t="shared" si="15"/>
        <v>0</v>
      </c>
      <c r="AE128" s="527">
        <f t="shared" si="16"/>
        <v>0</v>
      </c>
      <c r="AF128" s="527">
        <f t="shared" si="17"/>
        <v>0</v>
      </c>
      <c r="AG128" s="527">
        <f t="shared" si="18"/>
        <v>968</v>
      </c>
      <c r="AH128" s="527"/>
      <c r="AI128" s="639">
        <f t="shared" si="21"/>
        <v>968</v>
      </c>
    </row>
    <row r="129" spans="1:47" ht="12.75" customHeight="1" x14ac:dyDescent="0.2">
      <c r="A129" s="527">
        <v>121</v>
      </c>
      <c r="C129" s="533" t="s">
        <v>1256</v>
      </c>
      <c r="G129" s="632">
        <v>208</v>
      </c>
      <c r="H129" s="632">
        <v>1233.4000000000001</v>
      </c>
      <c r="I129" s="613" t="s">
        <v>1628</v>
      </c>
      <c r="K129" s="533" t="s">
        <v>63</v>
      </c>
      <c r="N129" s="623">
        <v>39699</v>
      </c>
      <c r="O129" s="638" t="s">
        <v>575</v>
      </c>
      <c r="U129" s="613">
        <v>1</v>
      </c>
      <c r="W129" s="613">
        <f t="shared" si="20"/>
        <v>1</v>
      </c>
      <c r="X129" s="613">
        <v>1</v>
      </c>
      <c r="AB129" s="527">
        <f t="shared" si="19"/>
        <v>0</v>
      </c>
      <c r="AC129" s="527">
        <f t="shared" si="14"/>
        <v>0</v>
      </c>
      <c r="AD129" s="527">
        <f t="shared" si="15"/>
        <v>0</v>
      </c>
      <c r="AE129" s="527">
        <f t="shared" si="16"/>
        <v>0</v>
      </c>
      <c r="AF129" s="527">
        <f t="shared" si="17"/>
        <v>0</v>
      </c>
      <c r="AG129" s="527">
        <f t="shared" si="18"/>
        <v>208</v>
      </c>
      <c r="AH129" s="527"/>
      <c r="AI129" s="639">
        <f t="shared" si="21"/>
        <v>208</v>
      </c>
    </row>
    <row r="130" spans="1:47" ht="12.75" customHeight="1" x14ac:dyDescent="0.2">
      <c r="A130" s="527">
        <v>122</v>
      </c>
      <c r="C130" s="533" t="s">
        <v>62</v>
      </c>
      <c r="G130" s="639">
        <v>1.3680000000000001</v>
      </c>
      <c r="H130" s="639">
        <v>168</v>
      </c>
      <c r="I130" s="613" t="s">
        <v>1619</v>
      </c>
      <c r="J130" s="624">
        <v>39792</v>
      </c>
      <c r="K130" s="533" t="s">
        <v>1235</v>
      </c>
      <c r="N130" s="623">
        <v>39700</v>
      </c>
      <c r="O130" s="638" t="s">
        <v>795</v>
      </c>
      <c r="P130" s="911">
        <v>1</v>
      </c>
      <c r="W130" s="613">
        <f t="shared" si="20"/>
        <v>1</v>
      </c>
      <c r="AB130" s="527">
        <f t="shared" si="19"/>
        <v>1.3680000000000001</v>
      </c>
      <c r="AC130" s="527">
        <f t="shared" ref="AC130:AC193" si="22">IF(Q130=1,$G130,0)</f>
        <v>0</v>
      </c>
      <c r="AD130" s="527">
        <f t="shared" ref="AD130:AD193" si="23">IF(R130=1,$G130,0)</f>
        <v>0</v>
      </c>
      <c r="AE130" s="527">
        <f t="shared" ref="AE130:AE193" si="24">IF(S130=1,$G130,0)</f>
        <v>0</v>
      </c>
      <c r="AF130" s="527">
        <f t="shared" ref="AF130:AF193" si="25">IF(T130=1,$G130,0)</f>
        <v>0</v>
      </c>
      <c r="AG130" s="527">
        <f t="shared" ref="AG130:AG193" si="26">IF(U130=1,$G130,0)</f>
        <v>0</v>
      </c>
      <c r="AH130" s="527"/>
      <c r="AI130" s="639">
        <f t="shared" si="21"/>
        <v>1.3680000000000001</v>
      </c>
    </row>
    <row r="131" spans="1:47" ht="12.75" customHeight="1" x14ac:dyDescent="0.2">
      <c r="A131" s="527">
        <v>123</v>
      </c>
      <c r="C131" s="533" t="s">
        <v>60</v>
      </c>
      <c r="G131" s="632">
        <v>281</v>
      </c>
      <c r="H131" s="632">
        <v>294</v>
      </c>
      <c r="I131" s="613" t="s">
        <v>1620</v>
      </c>
      <c r="J131" s="617">
        <v>39694</v>
      </c>
      <c r="K131" s="533" t="s">
        <v>88</v>
      </c>
      <c r="N131" s="623">
        <v>39805</v>
      </c>
      <c r="O131" s="638" t="s">
        <v>788</v>
      </c>
      <c r="U131" s="613">
        <v>1</v>
      </c>
      <c r="W131" s="613">
        <f t="shared" si="20"/>
        <v>1</v>
      </c>
      <c r="X131" s="613">
        <v>1</v>
      </c>
      <c r="AB131" s="527">
        <f t="shared" ref="AB131:AB194" si="27">IF(P131=1,$G131,0)</f>
        <v>0</v>
      </c>
      <c r="AC131" s="527">
        <f t="shared" si="22"/>
        <v>0</v>
      </c>
      <c r="AD131" s="527">
        <f t="shared" si="23"/>
        <v>0</v>
      </c>
      <c r="AE131" s="527">
        <f t="shared" si="24"/>
        <v>0</v>
      </c>
      <c r="AF131" s="527">
        <f t="shared" si="25"/>
        <v>0</v>
      </c>
      <c r="AG131" s="527">
        <f t="shared" si="26"/>
        <v>281</v>
      </c>
      <c r="AH131" s="527"/>
      <c r="AI131" s="639">
        <f t="shared" si="21"/>
        <v>281</v>
      </c>
    </row>
    <row r="132" spans="1:47" ht="12.75" customHeight="1" x14ac:dyDescent="0.2">
      <c r="A132" s="527">
        <v>124</v>
      </c>
      <c r="C132" s="533" t="s">
        <v>53</v>
      </c>
      <c r="E132" s="527" t="s">
        <v>623</v>
      </c>
      <c r="G132" s="632">
        <v>57.2</v>
      </c>
      <c r="H132" s="632">
        <v>294</v>
      </c>
      <c r="I132" s="613" t="s">
        <v>1621</v>
      </c>
      <c r="J132" s="617">
        <v>39596</v>
      </c>
      <c r="K132" s="533" t="s">
        <v>88</v>
      </c>
      <c r="N132" s="623">
        <v>39805</v>
      </c>
      <c r="O132" s="638" t="s">
        <v>789</v>
      </c>
      <c r="R132" s="911">
        <v>1</v>
      </c>
      <c r="W132" s="613">
        <f t="shared" si="20"/>
        <v>1</v>
      </c>
      <c r="AB132" s="527">
        <f t="shared" si="27"/>
        <v>0</v>
      </c>
      <c r="AC132" s="527">
        <f t="shared" si="22"/>
        <v>0</v>
      </c>
      <c r="AD132" s="527">
        <f t="shared" si="23"/>
        <v>57.2</v>
      </c>
      <c r="AE132" s="527">
        <f t="shared" si="24"/>
        <v>0</v>
      </c>
      <c r="AF132" s="527">
        <f t="shared" si="25"/>
        <v>0</v>
      </c>
      <c r="AG132" s="527">
        <f t="shared" si="26"/>
        <v>0</v>
      </c>
      <c r="AH132" s="527"/>
      <c r="AI132" s="639">
        <f t="shared" si="21"/>
        <v>57.2</v>
      </c>
    </row>
    <row r="133" spans="1:47" ht="12.75" customHeight="1" x14ac:dyDescent="0.25">
      <c r="A133" s="527">
        <v>125</v>
      </c>
      <c r="C133" s="533" t="s">
        <v>69</v>
      </c>
      <c r="E133" s="527" t="s">
        <v>1463</v>
      </c>
      <c r="G133" s="639">
        <v>106.5</v>
      </c>
      <c r="H133" s="639">
        <f>581+43.6</f>
        <v>624.6</v>
      </c>
      <c r="I133" s="613" t="s">
        <v>1620</v>
      </c>
      <c r="J133" s="617">
        <v>39694</v>
      </c>
      <c r="K133" s="533" t="s">
        <v>88</v>
      </c>
      <c r="N133" s="625">
        <v>39822</v>
      </c>
      <c r="O133" s="638" t="s">
        <v>828</v>
      </c>
      <c r="R133" s="911">
        <v>1</v>
      </c>
      <c r="W133" s="613">
        <f t="shared" si="20"/>
        <v>1</v>
      </c>
      <c r="AB133" s="527">
        <f t="shared" si="27"/>
        <v>0</v>
      </c>
      <c r="AC133" s="527">
        <f t="shared" si="22"/>
        <v>0</v>
      </c>
      <c r="AD133" s="527">
        <f t="shared" si="23"/>
        <v>106.5</v>
      </c>
      <c r="AE133" s="527">
        <f t="shared" si="24"/>
        <v>0</v>
      </c>
      <c r="AF133" s="527">
        <f t="shared" si="25"/>
        <v>0</v>
      </c>
      <c r="AG133" s="527">
        <f t="shared" si="26"/>
        <v>0</v>
      </c>
      <c r="AH133" s="527"/>
      <c r="AI133" s="639">
        <f t="shared" si="21"/>
        <v>106.5</v>
      </c>
      <c r="AR133" s="903"/>
      <c r="AS133" s="904"/>
      <c r="AT133" s="904"/>
      <c r="AU133" s="904"/>
    </row>
    <row r="134" spans="1:47" ht="12.75" customHeight="1" x14ac:dyDescent="0.25">
      <c r="A134" s="527">
        <v>126</v>
      </c>
      <c r="C134" s="533" t="s">
        <v>90</v>
      </c>
      <c r="G134" s="632">
        <v>36.700000000000003</v>
      </c>
      <c r="H134" s="632">
        <v>396</v>
      </c>
      <c r="I134" s="613" t="s">
        <v>1617</v>
      </c>
      <c r="J134" s="617">
        <v>40086</v>
      </c>
      <c r="K134" s="533" t="s">
        <v>88</v>
      </c>
      <c r="N134" s="625">
        <v>39822</v>
      </c>
      <c r="O134" s="638" t="s">
        <v>829</v>
      </c>
      <c r="R134" s="911">
        <v>1</v>
      </c>
      <c r="W134" s="613">
        <f t="shared" si="20"/>
        <v>1</v>
      </c>
      <c r="AB134" s="527">
        <f t="shared" si="27"/>
        <v>0</v>
      </c>
      <c r="AC134" s="527">
        <f t="shared" si="22"/>
        <v>0</v>
      </c>
      <c r="AD134" s="527">
        <f t="shared" si="23"/>
        <v>36.700000000000003</v>
      </c>
      <c r="AE134" s="527">
        <f t="shared" si="24"/>
        <v>0</v>
      </c>
      <c r="AF134" s="527">
        <f t="shared" si="25"/>
        <v>0</v>
      </c>
      <c r="AG134" s="527">
        <f t="shared" si="26"/>
        <v>0</v>
      </c>
      <c r="AH134" s="527"/>
      <c r="AI134" s="639">
        <f t="shared" si="21"/>
        <v>36.700000000000003</v>
      </c>
      <c r="AR134" s="903"/>
      <c r="AS134" s="904"/>
      <c r="AT134" s="904"/>
      <c r="AU134" s="904"/>
    </row>
    <row r="135" spans="1:47" ht="12.75" customHeight="1" x14ac:dyDescent="0.2">
      <c r="A135" s="527">
        <v>127</v>
      </c>
      <c r="C135" s="533" t="s">
        <v>55</v>
      </c>
      <c r="E135" s="527" t="s">
        <v>1440</v>
      </c>
      <c r="G135" s="632">
        <v>18.399999999999999</v>
      </c>
      <c r="H135" s="632">
        <v>298.5</v>
      </c>
      <c r="I135" s="613" t="s">
        <v>1249</v>
      </c>
      <c r="K135" s="533" t="s">
        <v>88</v>
      </c>
      <c r="N135" s="625">
        <v>39822</v>
      </c>
      <c r="O135" s="638" t="s">
        <v>827</v>
      </c>
      <c r="R135" s="911">
        <v>1</v>
      </c>
      <c r="W135" s="613">
        <f t="shared" si="20"/>
        <v>1</v>
      </c>
      <c r="AB135" s="527">
        <f t="shared" si="27"/>
        <v>0</v>
      </c>
      <c r="AC135" s="527">
        <f t="shared" si="22"/>
        <v>0</v>
      </c>
      <c r="AD135" s="527">
        <f t="shared" si="23"/>
        <v>18.399999999999999</v>
      </c>
      <c r="AE135" s="527">
        <f t="shared" si="24"/>
        <v>0</v>
      </c>
      <c r="AF135" s="527">
        <f t="shared" si="25"/>
        <v>0</v>
      </c>
      <c r="AG135" s="527">
        <f t="shared" si="26"/>
        <v>0</v>
      </c>
      <c r="AH135" s="527"/>
      <c r="AI135" s="639">
        <f t="shared" si="21"/>
        <v>18.399999999999999</v>
      </c>
    </row>
    <row r="136" spans="1:47" ht="12.75" customHeight="1" x14ac:dyDescent="0.2">
      <c r="A136" s="527">
        <v>128</v>
      </c>
      <c r="C136" s="533" t="s">
        <v>52</v>
      </c>
      <c r="E136" s="527" t="s">
        <v>1441</v>
      </c>
      <c r="G136" s="632">
        <v>100.86</v>
      </c>
      <c r="H136" s="632">
        <v>171</v>
      </c>
      <c r="I136" s="613" t="s">
        <v>1621</v>
      </c>
      <c r="J136" s="617">
        <v>39596</v>
      </c>
      <c r="K136" s="533" t="s">
        <v>88</v>
      </c>
      <c r="N136" s="625">
        <v>39822</v>
      </c>
      <c r="O136" s="638" t="s">
        <v>574</v>
      </c>
      <c r="R136" s="911">
        <v>1</v>
      </c>
      <c r="W136" s="613">
        <f t="shared" si="20"/>
        <v>1</v>
      </c>
      <c r="AB136" s="527">
        <f t="shared" si="27"/>
        <v>0</v>
      </c>
      <c r="AC136" s="527">
        <f t="shared" si="22"/>
        <v>0</v>
      </c>
      <c r="AD136" s="527">
        <f t="shared" si="23"/>
        <v>100.86</v>
      </c>
      <c r="AE136" s="527">
        <f t="shared" si="24"/>
        <v>0</v>
      </c>
      <c r="AF136" s="527">
        <f t="shared" si="25"/>
        <v>0</v>
      </c>
      <c r="AG136" s="527">
        <f t="shared" si="26"/>
        <v>0</v>
      </c>
      <c r="AH136" s="527"/>
      <c r="AI136" s="639">
        <f t="shared" si="21"/>
        <v>100.86</v>
      </c>
    </row>
    <row r="137" spans="1:47" ht="12.75" customHeight="1" x14ac:dyDescent="0.2">
      <c r="A137" s="527">
        <v>129</v>
      </c>
      <c r="C137" s="533" t="s">
        <v>101</v>
      </c>
      <c r="G137" s="632">
        <v>170</v>
      </c>
      <c r="H137" s="632">
        <v>300</v>
      </c>
      <c r="I137" s="613" t="s">
        <v>1618</v>
      </c>
      <c r="J137" s="617">
        <v>39918</v>
      </c>
      <c r="K137" s="533" t="s">
        <v>105</v>
      </c>
      <c r="N137" s="625">
        <v>39919</v>
      </c>
      <c r="O137" s="638" t="s">
        <v>790</v>
      </c>
      <c r="U137" s="613">
        <v>1</v>
      </c>
      <c r="W137" s="613">
        <f t="shared" si="20"/>
        <v>1</v>
      </c>
      <c r="X137" s="613">
        <v>1</v>
      </c>
      <c r="AB137" s="527">
        <f t="shared" si="27"/>
        <v>0</v>
      </c>
      <c r="AC137" s="527">
        <f t="shared" si="22"/>
        <v>0</v>
      </c>
      <c r="AD137" s="527">
        <f t="shared" si="23"/>
        <v>0</v>
      </c>
      <c r="AE137" s="527">
        <f t="shared" si="24"/>
        <v>0</v>
      </c>
      <c r="AF137" s="527">
        <f t="shared" si="25"/>
        <v>0</v>
      </c>
      <c r="AG137" s="527">
        <f t="shared" si="26"/>
        <v>170</v>
      </c>
      <c r="AH137" s="527"/>
      <c r="AI137" s="639">
        <f t="shared" si="21"/>
        <v>170</v>
      </c>
    </row>
    <row r="138" spans="1:47" ht="12.75" customHeight="1" x14ac:dyDescent="0.2">
      <c r="A138" s="527">
        <v>130</v>
      </c>
      <c r="C138" s="533" t="s">
        <v>122</v>
      </c>
      <c r="G138" s="632">
        <v>128.80000000000001</v>
      </c>
      <c r="H138" s="632">
        <f>1330+17700+1034</f>
        <v>20064</v>
      </c>
      <c r="I138" s="613" t="s">
        <v>1620</v>
      </c>
      <c r="J138" s="617">
        <v>39694</v>
      </c>
      <c r="K138" s="533" t="s">
        <v>2810</v>
      </c>
      <c r="N138" s="626">
        <v>40270</v>
      </c>
      <c r="O138" s="638" t="s">
        <v>596</v>
      </c>
      <c r="R138" s="911">
        <v>1</v>
      </c>
      <c r="W138" s="613">
        <f t="shared" si="20"/>
        <v>1</v>
      </c>
      <c r="AB138" s="527">
        <f t="shared" si="27"/>
        <v>0</v>
      </c>
      <c r="AC138" s="527">
        <f t="shared" si="22"/>
        <v>0</v>
      </c>
      <c r="AD138" s="527">
        <f t="shared" si="23"/>
        <v>128.80000000000001</v>
      </c>
      <c r="AE138" s="527">
        <f t="shared" si="24"/>
        <v>0</v>
      </c>
      <c r="AF138" s="527">
        <f t="shared" si="25"/>
        <v>0</v>
      </c>
      <c r="AG138" s="527">
        <f t="shared" si="26"/>
        <v>0</v>
      </c>
      <c r="AH138" s="527"/>
      <c r="AI138" s="639">
        <f t="shared" si="21"/>
        <v>128.80000000000001</v>
      </c>
    </row>
    <row r="139" spans="1:47" ht="12.75" customHeight="1" x14ac:dyDescent="0.2">
      <c r="A139" s="527">
        <v>131</v>
      </c>
      <c r="C139" s="533" t="s">
        <v>242</v>
      </c>
      <c r="G139" s="639">
        <v>195.565</v>
      </c>
      <c r="I139" s="613" t="s">
        <v>1614</v>
      </c>
      <c r="J139" s="617">
        <v>40534</v>
      </c>
      <c r="K139" s="822" t="s">
        <v>248</v>
      </c>
      <c r="N139" s="626">
        <v>40431</v>
      </c>
      <c r="P139" s="911">
        <v>1</v>
      </c>
      <c r="W139" s="613">
        <f t="shared" si="20"/>
        <v>1</v>
      </c>
      <c r="AB139" s="527">
        <f t="shared" si="27"/>
        <v>195.565</v>
      </c>
      <c r="AC139" s="527">
        <f t="shared" si="22"/>
        <v>0</v>
      </c>
      <c r="AD139" s="527">
        <f t="shared" si="23"/>
        <v>0</v>
      </c>
      <c r="AE139" s="527">
        <f t="shared" si="24"/>
        <v>0</v>
      </c>
      <c r="AF139" s="527">
        <f t="shared" si="25"/>
        <v>0</v>
      </c>
      <c r="AG139" s="527">
        <f t="shared" si="26"/>
        <v>0</v>
      </c>
      <c r="AH139" s="527"/>
      <c r="AI139" s="639">
        <f t="shared" si="21"/>
        <v>195.565</v>
      </c>
    </row>
    <row r="140" spans="1:47" ht="12.75" customHeight="1" x14ac:dyDescent="0.2">
      <c r="A140" s="527">
        <v>132</v>
      </c>
      <c r="C140" s="533" t="s">
        <v>243</v>
      </c>
      <c r="G140" s="639">
        <v>244.83</v>
      </c>
      <c r="I140" s="613" t="s">
        <v>1614</v>
      </c>
      <c r="J140" s="617">
        <v>40534</v>
      </c>
      <c r="K140" s="822" t="s">
        <v>248</v>
      </c>
      <c r="N140" s="626">
        <v>40431</v>
      </c>
      <c r="P140" s="911">
        <v>1</v>
      </c>
      <c r="W140" s="613">
        <f t="shared" si="20"/>
        <v>1</v>
      </c>
      <c r="AB140" s="527">
        <f t="shared" si="27"/>
        <v>244.83</v>
      </c>
      <c r="AC140" s="527">
        <f t="shared" si="22"/>
        <v>0</v>
      </c>
      <c r="AD140" s="527">
        <f t="shared" si="23"/>
        <v>0</v>
      </c>
      <c r="AE140" s="527">
        <f t="shared" si="24"/>
        <v>0</v>
      </c>
      <c r="AF140" s="527">
        <f t="shared" si="25"/>
        <v>0</v>
      </c>
      <c r="AG140" s="527">
        <f t="shared" si="26"/>
        <v>0</v>
      </c>
      <c r="AH140" s="527"/>
      <c r="AI140" s="639">
        <f t="shared" si="21"/>
        <v>244.83</v>
      </c>
    </row>
    <row r="141" spans="1:47" ht="12.75" customHeight="1" x14ac:dyDescent="0.2">
      <c r="A141" s="527">
        <v>133</v>
      </c>
      <c r="C141" s="533" t="s">
        <v>244</v>
      </c>
      <c r="G141" s="632">
        <f>137.461</f>
        <v>137.46100000000001</v>
      </c>
      <c r="I141" s="613" t="s">
        <v>1614</v>
      </c>
      <c r="J141" s="617">
        <v>40534</v>
      </c>
      <c r="K141" s="822" t="s">
        <v>248</v>
      </c>
      <c r="N141" s="626">
        <v>40431</v>
      </c>
      <c r="P141" s="911">
        <v>1</v>
      </c>
      <c r="W141" s="613">
        <f t="shared" si="20"/>
        <v>1</v>
      </c>
      <c r="AB141" s="527">
        <f t="shared" si="27"/>
        <v>137.46100000000001</v>
      </c>
      <c r="AC141" s="527">
        <f t="shared" si="22"/>
        <v>0</v>
      </c>
      <c r="AD141" s="527">
        <f t="shared" si="23"/>
        <v>0</v>
      </c>
      <c r="AE141" s="527">
        <f t="shared" si="24"/>
        <v>0</v>
      </c>
      <c r="AF141" s="527">
        <f t="shared" si="25"/>
        <v>0</v>
      </c>
      <c r="AG141" s="527">
        <f t="shared" si="26"/>
        <v>0</v>
      </c>
      <c r="AH141" s="527"/>
      <c r="AI141" s="639">
        <f t="shared" si="21"/>
        <v>137.46100000000001</v>
      </c>
    </row>
    <row r="142" spans="1:47" ht="12.75" customHeight="1" x14ac:dyDescent="0.2">
      <c r="A142" s="527">
        <v>134</v>
      </c>
      <c r="C142" s="533" t="s">
        <v>247</v>
      </c>
      <c r="G142" s="632">
        <v>143.523</v>
      </c>
      <c r="I142" s="613" t="s">
        <v>1614</v>
      </c>
      <c r="J142" s="617">
        <v>40534</v>
      </c>
      <c r="K142" s="822" t="s">
        <v>248</v>
      </c>
      <c r="N142" s="626">
        <v>40431</v>
      </c>
      <c r="P142" s="911">
        <v>1</v>
      </c>
      <c r="W142" s="613">
        <f t="shared" si="20"/>
        <v>1</v>
      </c>
      <c r="AB142" s="527">
        <f t="shared" si="27"/>
        <v>143.523</v>
      </c>
      <c r="AC142" s="527">
        <f t="shared" si="22"/>
        <v>0</v>
      </c>
      <c r="AD142" s="527">
        <f t="shared" si="23"/>
        <v>0</v>
      </c>
      <c r="AE142" s="527">
        <f t="shared" si="24"/>
        <v>0</v>
      </c>
      <c r="AF142" s="527">
        <f t="shared" si="25"/>
        <v>0</v>
      </c>
      <c r="AG142" s="527">
        <f t="shared" si="26"/>
        <v>0</v>
      </c>
      <c r="AH142" s="527"/>
      <c r="AI142" s="639">
        <f t="shared" si="21"/>
        <v>143.523</v>
      </c>
    </row>
    <row r="143" spans="1:47" ht="12.75" customHeight="1" x14ac:dyDescent="0.2">
      <c r="A143" s="527">
        <v>135</v>
      </c>
      <c r="C143" s="533" t="s">
        <v>89</v>
      </c>
      <c r="D143" s="613">
        <v>19</v>
      </c>
      <c r="G143" s="632">
        <v>5525</v>
      </c>
      <c r="H143" s="632">
        <f>250+1251</f>
        <v>1501</v>
      </c>
      <c r="I143" s="613" t="s">
        <v>1620</v>
      </c>
      <c r="J143" s="617">
        <v>39694</v>
      </c>
      <c r="K143" s="533" t="s">
        <v>630</v>
      </c>
      <c r="N143" s="627">
        <v>40640</v>
      </c>
      <c r="O143" s="638" t="s">
        <v>560</v>
      </c>
      <c r="R143" s="911">
        <v>1</v>
      </c>
      <c r="W143" s="613">
        <f t="shared" si="20"/>
        <v>1</v>
      </c>
      <c r="AB143" s="527">
        <f t="shared" si="27"/>
        <v>0</v>
      </c>
      <c r="AC143" s="527">
        <f t="shared" si="22"/>
        <v>0</v>
      </c>
      <c r="AD143" s="527">
        <f t="shared" si="23"/>
        <v>5525</v>
      </c>
      <c r="AE143" s="527">
        <f t="shared" si="24"/>
        <v>0</v>
      </c>
      <c r="AF143" s="527">
        <f t="shared" si="25"/>
        <v>0</v>
      </c>
      <c r="AG143" s="527">
        <f t="shared" si="26"/>
        <v>0</v>
      </c>
      <c r="AH143" s="527"/>
      <c r="AI143" s="639">
        <f t="shared" si="21"/>
        <v>5525</v>
      </c>
    </row>
    <row r="144" spans="1:47" ht="12.75" customHeight="1" x14ac:dyDescent="0.2">
      <c r="A144" s="527">
        <v>136</v>
      </c>
      <c r="C144" s="533" t="s">
        <v>65</v>
      </c>
      <c r="D144" s="613">
        <v>26</v>
      </c>
      <c r="E144" s="527" t="s">
        <v>3273</v>
      </c>
      <c r="G144" s="632">
        <v>1.3</v>
      </c>
      <c r="H144" s="640">
        <v>106</v>
      </c>
      <c r="I144" s="613" t="s">
        <v>1674</v>
      </c>
      <c r="J144" s="617">
        <v>40534</v>
      </c>
      <c r="K144" s="533" t="s">
        <v>630</v>
      </c>
      <c r="N144" s="627">
        <v>40648</v>
      </c>
      <c r="U144" s="613">
        <v>1</v>
      </c>
      <c r="W144" s="613">
        <f t="shared" si="20"/>
        <v>1</v>
      </c>
      <c r="X144" s="613">
        <v>1</v>
      </c>
      <c r="AB144" s="527">
        <f t="shared" si="27"/>
        <v>0</v>
      </c>
      <c r="AC144" s="527">
        <f t="shared" si="22"/>
        <v>0</v>
      </c>
      <c r="AD144" s="527">
        <f t="shared" si="23"/>
        <v>0</v>
      </c>
      <c r="AE144" s="527">
        <f t="shared" si="24"/>
        <v>0</v>
      </c>
      <c r="AF144" s="527">
        <f t="shared" si="25"/>
        <v>0</v>
      </c>
      <c r="AG144" s="527">
        <f t="shared" si="26"/>
        <v>1.3</v>
      </c>
      <c r="AH144" s="527"/>
      <c r="AI144" s="639">
        <f t="shared" si="21"/>
        <v>1.3</v>
      </c>
    </row>
    <row r="145" spans="1:47" ht="12.75" customHeight="1" x14ac:dyDescent="0.2">
      <c r="A145" s="527">
        <v>137</v>
      </c>
      <c r="C145" s="533" t="s">
        <v>132</v>
      </c>
      <c r="D145" s="613">
        <v>27</v>
      </c>
      <c r="E145" s="527" t="s">
        <v>1556</v>
      </c>
      <c r="G145" s="632">
        <v>760</v>
      </c>
      <c r="H145" s="632">
        <v>798.9</v>
      </c>
      <c r="I145" s="613" t="s">
        <v>1674</v>
      </c>
      <c r="J145" s="617">
        <v>40534</v>
      </c>
      <c r="K145" s="533" t="s">
        <v>630</v>
      </c>
      <c r="N145" s="627">
        <v>40648</v>
      </c>
      <c r="U145" s="613">
        <v>1</v>
      </c>
      <c r="W145" s="613">
        <f t="shared" si="20"/>
        <v>1</v>
      </c>
      <c r="X145" s="613">
        <v>1</v>
      </c>
      <c r="AB145" s="527">
        <f t="shared" si="27"/>
        <v>0</v>
      </c>
      <c r="AC145" s="527">
        <f t="shared" si="22"/>
        <v>0</v>
      </c>
      <c r="AD145" s="527">
        <f t="shared" si="23"/>
        <v>0</v>
      </c>
      <c r="AE145" s="527">
        <f t="shared" si="24"/>
        <v>0</v>
      </c>
      <c r="AF145" s="527">
        <f t="shared" si="25"/>
        <v>0</v>
      </c>
      <c r="AG145" s="527">
        <f t="shared" si="26"/>
        <v>760</v>
      </c>
      <c r="AH145" s="527"/>
      <c r="AI145" s="639">
        <f t="shared" si="21"/>
        <v>760</v>
      </c>
    </row>
    <row r="146" spans="1:47" ht="12.75" customHeight="1" x14ac:dyDescent="0.2">
      <c r="A146" s="527">
        <v>138</v>
      </c>
      <c r="C146" s="533" t="s">
        <v>1302</v>
      </c>
      <c r="D146" s="613">
        <v>30</v>
      </c>
      <c r="E146" s="527" t="s">
        <v>1557</v>
      </c>
      <c r="G146" s="632">
        <v>96</v>
      </c>
      <c r="H146" s="632">
        <f>2000 + 933</f>
        <v>2933</v>
      </c>
      <c r="I146" s="613" t="s">
        <v>1674</v>
      </c>
      <c r="J146" s="617">
        <v>40534</v>
      </c>
      <c r="K146" s="533" t="s">
        <v>630</v>
      </c>
      <c r="N146" s="627">
        <v>40648</v>
      </c>
      <c r="O146" s="638" t="s">
        <v>570</v>
      </c>
      <c r="U146" s="613">
        <v>1</v>
      </c>
      <c r="W146" s="613">
        <f t="shared" si="20"/>
        <v>1</v>
      </c>
      <c r="X146" s="613">
        <v>1</v>
      </c>
      <c r="AB146" s="527">
        <f t="shared" si="27"/>
        <v>0</v>
      </c>
      <c r="AC146" s="527">
        <f t="shared" si="22"/>
        <v>0</v>
      </c>
      <c r="AD146" s="527">
        <f t="shared" si="23"/>
        <v>0</v>
      </c>
      <c r="AE146" s="527">
        <f t="shared" si="24"/>
        <v>0</v>
      </c>
      <c r="AF146" s="527">
        <f t="shared" si="25"/>
        <v>0</v>
      </c>
      <c r="AG146" s="527">
        <f t="shared" si="26"/>
        <v>96</v>
      </c>
      <c r="AH146" s="527"/>
      <c r="AI146" s="639">
        <f t="shared" si="21"/>
        <v>96</v>
      </c>
    </row>
    <row r="147" spans="1:47" ht="12.75" customHeight="1" x14ac:dyDescent="0.2">
      <c r="A147" s="527">
        <v>139</v>
      </c>
      <c r="C147" s="533" t="s">
        <v>1303</v>
      </c>
      <c r="D147" s="613">
        <v>32</v>
      </c>
      <c r="E147" s="527" t="s">
        <v>1304</v>
      </c>
      <c r="G147" s="632">
        <v>13.7</v>
      </c>
      <c r="H147" s="632">
        <v>618</v>
      </c>
      <c r="I147" s="613" t="s">
        <v>1674</v>
      </c>
      <c r="J147" s="617">
        <v>40534</v>
      </c>
      <c r="K147" s="533" t="s">
        <v>630</v>
      </c>
      <c r="N147" s="627">
        <v>40648</v>
      </c>
      <c r="U147" s="613">
        <v>1</v>
      </c>
      <c r="W147" s="613">
        <f t="shared" si="20"/>
        <v>1</v>
      </c>
      <c r="X147" s="613">
        <v>1</v>
      </c>
      <c r="AB147" s="527">
        <f t="shared" si="27"/>
        <v>0</v>
      </c>
      <c r="AC147" s="527">
        <f t="shared" si="22"/>
        <v>0</v>
      </c>
      <c r="AD147" s="527">
        <f t="shared" si="23"/>
        <v>0</v>
      </c>
      <c r="AE147" s="527">
        <f t="shared" si="24"/>
        <v>0</v>
      </c>
      <c r="AF147" s="527">
        <f t="shared" si="25"/>
        <v>0</v>
      </c>
      <c r="AG147" s="527">
        <f t="shared" si="26"/>
        <v>13.7</v>
      </c>
      <c r="AH147" s="527"/>
      <c r="AI147" s="639">
        <f t="shared" si="21"/>
        <v>13.7</v>
      </c>
    </row>
    <row r="148" spans="1:47" ht="12.75" customHeight="1" x14ac:dyDescent="0.2">
      <c r="A148" s="527">
        <v>140</v>
      </c>
      <c r="C148" s="533" t="s">
        <v>627</v>
      </c>
      <c r="D148" s="613">
        <v>33</v>
      </c>
      <c r="E148" s="527" t="s">
        <v>3274</v>
      </c>
      <c r="G148" s="632">
        <v>415</v>
      </c>
      <c r="H148" s="632">
        <v>282.89999999999998</v>
      </c>
      <c r="I148" s="613" t="s">
        <v>1613</v>
      </c>
      <c r="J148" s="617">
        <v>40828</v>
      </c>
      <c r="K148" s="533" t="s">
        <v>630</v>
      </c>
      <c r="N148" s="627">
        <v>40648</v>
      </c>
      <c r="U148" s="613">
        <v>1</v>
      </c>
      <c r="W148" s="613">
        <f t="shared" si="20"/>
        <v>1</v>
      </c>
      <c r="X148" s="613">
        <v>1</v>
      </c>
      <c r="AB148" s="527">
        <f t="shared" si="27"/>
        <v>0</v>
      </c>
      <c r="AC148" s="527">
        <f t="shared" si="22"/>
        <v>0</v>
      </c>
      <c r="AD148" s="527">
        <f t="shared" si="23"/>
        <v>0</v>
      </c>
      <c r="AE148" s="527">
        <f t="shared" si="24"/>
        <v>0</v>
      </c>
      <c r="AF148" s="527">
        <f t="shared" si="25"/>
        <v>0</v>
      </c>
      <c r="AG148" s="527">
        <f t="shared" si="26"/>
        <v>415</v>
      </c>
      <c r="AH148" s="527"/>
      <c r="AI148" s="639">
        <f t="shared" si="21"/>
        <v>415</v>
      </c>
    </row>
    <row r="149" spans="1:47" ht="12.75" customHeight="1" x14ac:dyDescent="0.2">
      <c r="A149" s="527">
        <v>141</v>
      </c>
      <c r="C149" s="533" t="s">
        <v>1454</v>
      </c>
      <c r="D149" s="613">
        <v>22</v>
      </c>
      <c r="E149" s="527" t="s">
        <v>1555</v>
      </c>
      <c r="G149" s="632">
        <v>113</v>
      </c>
      <c r="H149" s="632">
        <v>80</v>
      </c>
      <c r="I149" s="613" t="s">
        <v>1615</v>
      </c>
      <c r="J149" s="617">
        <v>40359</v>
      </c>
      <c r="K149" s="533" t="s">
        <v>630</v>
      </c>
      <c r="N149" s="627">
        <v>40661</v>
      </c>
      <c r="O149" s="638" t="s">
        <v>569</v>
      </c>
      <c r="U149" s="613">
        <v>1</v>
      </c>
      <c r="W149" s="613">
        <f t="shared" si="20"/>
        <v>1</v>
      </c>
      <c r="X149" s="613">
        <v>1</v>
      </c>
      <c r="AB149" s="527">
        <f t="shared" si="27"/>
        <v>0</v>
      </c>
      <c r="AC149" s="527">
        <f t="shared" si="22"/>
        <v>0</v>
      </c>
      <c r="AD149" s="527">
        <f t="shared" si="23"/>
        <v>0</v>
      </c>
      <c r="AE149" s="527">
        <f t="shared" si="24"/>
        <v>0</v>
      </c>
      <c r="AF149" s="527">
        <f t="shared" si="25"/>
        <v>0</v>
      </c>
      <c r="AG149" s="527">
        <f t="shared" si="26"/>
        <v>113</v>
      </c>
      <c r="AH149" s="527"/>
      <c r="AI149" s="639">
        <f t="shared" si="21"/>
        <v>113</v>
      </c>
    </row>
    <row r="150" spans="1:47" ht="12.75" customHeight="1" x14ac:dyDescent="0.2">
      <c r="A150" s="527">
        <v>142</v>
      </c>
      <c r="C150" s="533" t="s">
        <v>81</v>
      </c>
      <c r="D150" s="613">
        <v>23</v>
      </c>
      <c r="E150" s="527" t="s">
        <v>1558</v>
      </c>
      <c r="G150" s="632">
        <v>138</v>
      </c>
      <c r="H150" s="632">
        <v>178</v>
      </c>
      <c r="I150" s="613" t="s">
        <v>1615</v>
      </c>
      <c r="J150" s="617">
        <v>40359</v>
      </c>
      <c r="K150" s="533" t="s">
        <v>630</v>
      </c>
      <c r="N150" s="627">
        <v>40661</v>
      </c>
      <c r="O150" s="638" t="s">
        <v>572</v>
      </c>
      <c r="U150" s="613">
        <v>1</v>
      </c>
      <c r="W150" s="613">
        <f t="shared" si="20"/>
        <v>1</v>
      </c>
      <c r="X150" s="613">
        <v>1</v>
      </c>
      <c r="AB150" s="527">
        <f t="shared" si="27"/>
        <v>0</v>
      </c>
      <c r="AC150" s="527">
        <f t="shared" si="22"/>
        <v>0</v>
      </c>
      <c r="AD150" s="527">
        <f t="shared" si="23"/>
        <v>0</v>
      </c>
      <c r="AE150" s="527">
        <f t="shared" si="24"/>
        <v>0</v>
      </c>
      <c r="AF150" s="527">
        <f t="shared" si="25"/>
        <v>0</v>
      </c>
      <c r="AG150" s="527">
        <f t="shared" si="26"/>
        <v>138</v>
      </c>
      <c r="AH150" s="527"/>
      <c r="AI150" s="639">
        <f t="shared" si="21"/>
        <v>138</v>
      </c>
    </row>
    <row r="151" spans="1:47" ht="12.75" customHeight="1" x14ac:dyDescent="0.2">
      <c r="A151" s="527">
        <v>143</v>
      </c>
      <c r="C151" s="533" t="s">
        <v>82</v>
      </c>
      <c r="D151" s="613">
        <v>31</v>
      </c>
      <c r="E151" s="527" t="s">
        <v>1559</v>
      </c>
      <c r="G151" s="632">
        <v>29.72</v>
      </c>
      <c r="H151" s="632">
        <v>203.5</v>
      </c>
      <c r="I151" s="613" t="s">
        <v>1674</v>
      </c>
      <c r="J151" s="617">
        <v>40534</v>
      </c>
      <c r="K151" s="533" t="s">
        <v>630</v>
      </c>
      <c r="N151" s="627">
        <v>40661</v>
      </c>
      <c r="U151" s="613">
        <v>1</v>
      </c>
      <c r="W151" s="613">
        <f t="shared" si="20"/>
        <v>1</v>
      </c>
      <c r="X151" s="613">
        <v>1</v>
      </c>
      <c r="AB151" s="527">
        <f t="shared" si="27"/>
        <v>0</v>
      </c>
      <c r="AC151" s="527">
        <f t="shared" si="22"/>
        <v>0</v>
      </c>
      <c r="AD151" s="527">
        <f t="shared" si="23"/>
        <v>0</v>
      </c>
      <c r="AE151" s="527">
        <f t="shared" si="24"/>
        <v>0</v>
      </c>
      <c r="AF151" s="527">
        <f t="shared" si="25"/>
        <v>0</v>
      </c>
      <c r="AG151" s="527">
        <f t="shared" si="26"/>
        <v>29.72</v>
      </c>
      <c r="AH151" s="527"/>
      <c r="AI151" s="639">
        <f t="shared" si="21"/>
        <v>29.72</v>
      </c>
    </row>
    <row r="152" spans="1:47" ht="12.75" customHeight="1" x14ac:dyDescent="0.2">
      <c r="A152" s="527">
        <v>144</v>
      </c>
      <c r="C152" s="533" t="s">
        <v>217</v>
      </c>
      <c r="D152" s="613">
        <v>34</v>
      </c>
      <c r="E152" s="527" t="s">
        <v>1560</v>
      </c>
      <c r="G152" s="632">
        <v>1638</v>
      </c>
      <c r="H152" s="632">
        <v>267.2</v>
      </c>
      <c r="I152" s="613" t="s">
        <v>1613</v>
      </c>
      <c r="J152" s="617">
        <v>40828</v>
      </c>
      <c r="K152" s="533" t="s">
        <v>630</v>
      </c>
      <c r="N152" s="627">
        <v>40661</v>
      </c>
      <c r="U152" s="613">
        <v>1</v>
      </c>
      <c r="W152" s="613">
        <f t="shared" si="20"/>
        <v>1</v>
      </c>
      <c r="X152" s="613">
        <v>1</v>
      </c>
      <c r="AB152" s="527">
        <f t="shared" si="27"/>
        <v>0</v>
      </c>
      <c r="AC152" s="527">
        <f t="shared" si="22"/>
        <v>0</v>
      </c>
      <c r="AD152" s="527">
        <f t="shared" si="23"/>
        <v>0</v>
      </c>
      <c r="AE152" s="527">
        <f t="shared" si="24"/>
        <v>0</v>
      </c>
      <c r="AF152" s="527">
        <f t="shared" si="25"/>
        <v>0</v>
      </c>
      <c r="AG152" s="527">
        <f t="shared" si="26"/>
        <v>1638</v>
      </c>
      <c r="AH152" s="527"/>
      <c r="AI152" s="639">
        <f t="shared" si="21"/>
        <v>1638</v>
      </c>
    </row>
    <row r="153" spans="1:47" ht="12.75" customHeight="1" x14ac:dyDescent="0.2">
      <c r="A153" s="527">
        <v>145</v>
      </c>
      <c r="C153" s="533" t="s">
        <v>1443</v>
      </c>
      <c r="D153" s="613">
        <v>29</v>
      </c>
      <c r="E153" s="527" t="s">
        <v>135</v>
      </c>
      <c r="G153" s="632">
        <v>181</v>
      </c>
      <c r="H153" s="632">
        <f>75.7+112.8+151.6+119.3</f>
        <v>459.40000000000003</v>
      </c>
      <c r="I153" s="613" t="s">
        <v>1674</v>
      </c>
      <c r="J153" s="617">
        <v>40534</v>
      </c>
      <c r="K153" s="533" t="s">
        <v>1447</v>
      </c>
      <c r="N153" s="627">
        <v>40712</v>
      </c>
      <c r="O153" s="638" t="s">
        <v>1444</v>
      </c>
      <c r="U153" s="613">
        <v>1</v>
      </c>
      <c r="W153" s="613">
        <f t="shared" si="20"/>
        <v>1</v>
      </c>
      <c r="X153" s="613">
        <v>1</v>
      </c>
      <c r="AB153" s="527">
        <f t="shared" si="27"/>
        <v>0</v>
      </c>
      <c r="AC153" s="527">
        <f t="shared" si="22"/>
        <v>0</v>
      </c>
      <c r="AD153" s="527">
        <f t="shared" si="23"/>
        <v>0</v>
      </c>
      <c r="AE153" s="527">
        <f t="shared" si="24"/>
        <v>0</v>
      </c>
      <c r="AF153" s="527">
        <f t="shared" si="25"/>
        <v>0</v>
      </c>
      <c r="AG153" s="527">
        <f t="shared" si="26"/>
        <v>181</v>
      </c>
      <c r="AH153" s="527"/>
      <c r="AI153" s="639">
        <f t="shared" si="21"/>
        <v>181</v>
      </c>
    </row>
    <row r="154" spans="1:47" ht="12.75" customHeight="1" x14ac:dyDescent="0.2">
      <c r="A154" s="527">
        <v>146</v>
      </c>
      <c r="C154" s="533" t="s">
        <v>1446</v>
      </c>
      <c r="E154" s="527" t="s">
        <v>504</v>
      </c>
      <c r="G154" s="632">
        <v>208</v>
      </c>
      <c r="H154" s="632">
        <v>638.20000000000005</v>
      </c>
      <c r="I154" s="613" t="s">
        <v>1612</v>
      </c>
      <c r="J154" s="617">
        <v>40907</v>
      </c>
      <c r="K154" s="533" t="s">
        <v>1447</v>
      </c>
      <c r="N154" s="627">
        <v>40812</v>
      </c>
      <c r="O154" s="638" t="s">
        <v>1466</v>
      </c>
      <c r="U154" s="613">
        <v>1</v>
      </c>
      <c r="W154" s="613">
        <f t="shared" si="20"/>
        <v>1</v>
      </c>
      <c r="X154" s="613">
        <v>1</v>
      </c>
      <c r="AB154" s="527">
        <f t="shared" si="27"/>
        <v>0</v>
      </c>
      <c r="AC154" s="527">
        <f t="shared" si="22"/>
        <v>0</v>
      </c>
      <c r="AD154" s="527">
        <f t="shared" si="23"/>
        <v>0</v>
      </c>
      <c r="AE154" s="527">
        <f t="shared" si="24"/>
        <v>0</v>
      </c>
      <c r="AF154" s="527">
        <f t="shared" si="25"/>
        <v>0</v>
      </c>
      <c r="AG154" s="527">
        <f t="shared" si="26"/>
        <v>208</v>
      </c>
      <c r="AH154" s="527"/>
      <c r="AI154" s="639">
        <f t="shared" si="21"/>
        <v>208</v>
      </c>
    </row>
    <row r="155" spans="1:47" ht="12.75" customHeight="1" x14ac:dyDescent="0.2">
      <c r="A155" s="527">
        <v>147</v>
      </c>
      <c r="C155" s="533" t="s">
        <v>1465</v>
      </c>
      <c r="E155" s="527" t="s">
        <v>1730</v>
      </c>
      <c r="G155" s="632">
        <v>42.4</v>
      </c>
      <c r="I155" s="613" t="s">
        <v>1609</v>
      </c>
      <c r="J155" s="617">
        <v>41374</v>
      </c>
      <c r="K155" s="533" t="s">
        <v>1447</v>
      </c>
      <c r="N155" s="627">
        <v>40893</v>
      </c>
      <c r="U155" s="613">
        <v>1</v>
      </c>
      <c r="W155" s="613">
        <f t="shared" si="20"/>
        <v>1</v>
      </c>
      <c r="X155" s="613">
        <v>1</v>
      </c>
      <c r="AB155" s="527">
        <f t="shared" si="27"/>
        <v>0</v>
      </c>
      <c r="AC155" s="527">
        <f t="shared" si="22"/>
        <v>0</v>
      </c>
      <c r="AD155" s="527">
        <f t="shared" si="23"/>
        <v>0</v>
      </c>
      <c r="AE155" s="527">
        <f t="shared" si="24"/>
        <v>0</v>
      </c>
      <c r="AF155" s="527">
        <f t="shared" si="25"/>
        <v>0</v>
      </c>
      <c r="AG155" s="527">
        <f t="shared" si="26"/>
        <v>42.4</v>
      </c>
      <c r="AH155" s="527"/>
      <c r="AI155" s="639">
        <f t="shared" si="21"/>
        <v>42.4</v>
      </c>
    </row>
    <row r="156" spans="1:47" ht="12.75" customHeight="1" x14ac:dyDescent="0.2">
      <c r="A156" s="527">
        <v>148</v>
      </c>
      <c r="C156" s="820" t="s">
        <v>1450</v>
      </c>
      <c r="D156" s="613" t="s">
        <v>1451</v>
      </c>
      <c r="E156" s="527" t="s">
        <v>1445</v>
      </c>
      <c r="G156" s="632">
        <v>1649</v>
      </c>
      <c r="H156" s="632">
        <f>168.7+117.9</f>
        <v>286.60000000000002</v>
      </c>
      <c r="I156" s="613" t="s">
        <v>1613</v>
      </c>
      <c r="J156" s="617">
        <v>40828</v>
      </c>
      <c r="K156" s="533" t="s">
        <v>1447</v>
      </c>
      <c r="N156" s="627">
        <v>40893</v>
      </c>
      <c r="O156" s="638" t="s">
        <v>1444</v>
      </c>
      <c r="U156" s="613">
        <v>1</v>
      </c>
      <c r="W156" s="613">
        <f t="shared" si="20"/>
        <v>1</v>
      </c>
      <c r="X156" s="613">
        <v>1</v>
      </c>
      <c r="Z156" s="613">
        <v>1</v>
      </c>
      <c r="AB156" s="527">
        <f t="shared" si="27"/>
        <v>0</v>
      </c>
      <c r="AC156" s="527">
        <f t="shared" si="22"/>
        <v>0</v>
      </c>
      <c r="AD156" s="527">
        <f t="shared" si="23"/>
        <v>0</v>
      </c>
      <c r="AE156" s="527">
        <f t="shared" si="24"/>
        <v>0</v>
      </c>
      <c r="AF156" s="527">
        <f t="shared" si="25"/>
        <v>0</v>
      </c>
      <c r="AG156" s="527">
        <f t="shared" si="26"/>
        <v>1649</v>
      </c>
      <c r="AH156" s="527"/>
      <c r="AI156" s="639">
        <f t="shared" si="21"/>
        <v>1649</v>
      </c>
    </row>
    <row r="157" spans="1:47" ht="12.75" customHeight="1" x14ac:dyDescent="0.2">
      <c r="A157" s="527">
        <v>149</v>
      </c>
      <c r="C157" s="533" t="s">
        <v>1455</v>
      </c>
      <c r="G157" s="632">
        <v>91</v>
      </c>
      <c r="H157" s="632">
        <v>253.9</v>
      </c>
      <c r="I157" s="613" t="s">
        <v>1612</v>
      </c>
      <c r="J157" s="617">
        <v>40907</v>
      </c>
      <c r="K157" s="533" t="s">
        <v>1447</v>
      </c>
      <c r="N157" s="627">
        <v>40893</v>
      </c>
      <c r="O157" s="638" t="s">
        <v>1444</v>
      </c>
      <c r="U157" s="613">
        <v>1</v>
      </c>
      <c r="W157" s="613">
        <f t="shared" si="20"/>
        <v>1</v>
      </c>
      <c r="X157" s="613">
        <v>1</v>
      </c>
      <c r="AB157" s="527">
        <f t="shared" si="27"/>
        <v>0</v>
      </c>
      <c r="AC157" s="527">
        <f t="shared" si="22"/>
        <v>0</v>
      </c>
      <c r="AD157" s="527">
        <f t="shared" si="23"/>
        <v>0</v>
      </c>
      <c r="AE157" s="527">
        <f t="shared" si="24"/>
        <v>0</v>
      </c>
      <c r="AF157" s="527">
        <f t="shared" si="25"/>
        <v>0</v>
      </c>
      <c r="AG157" s="527">
        <f t="shared" si="26"/>
        <v>91</v>
      </c>
      <c r="AH157" s="527"/>
      <c r="AI157" s="639">
        <f t="shared" si="21"/>
        <v>91</v>
      </c>
    </row>
    <row r="158" spans="1:47" ht="12.75" customHeight="1" x14ac:dyDescent="0.2">
      <c r="A158" s="527">
        <v>150</v>
      </c>
      <c r="C158" s="533" t="s">
        <v>1457</v>
      </c>
      <c r="E158" s="527" t="s">
        <v>1467</v>
      </c>
      <c r="G158" s="632">
        <v>444</v>
      </c>
      <c r="H158" s="632">
        <f>189+251.3</f>
        <v>440.3</v>
      </c>
      <c r="I158" s="613" t="s">
        <v>1612</v>
      </c>
      <c r="J158" s="617">
        <v>40907</v>
      </c>
      <c r="K158" s="533" t="s">
        <v>1447</v>
      </c>
      <c r="N158" s="627">
        <v>40893</v>
      </c>
      <c r="O158" s="638" t="s">
        <v>1444</v>
      </c>
      <c r="U158" s="613">
        <v>1</v>
      </c>
      <c r="W158" s="613">
        <f t="shared" si="20"/>
        <v>1</v>
      </c>
      <c r="X158" s="613">
        <v>1</v>
      </c>
      <c r="AB158" s="527">
        <f t="shared" si="27"/>
        <v>0</v>
      </c>
      <c r="AC158" s="527">
        <f t="shared" si="22"/>
        <v>0</v>
      </c>
      <c r="AD158" s="527">
        <f t="shared" si="23"/>
        <v>0</v>
      </c>
      <c r="AE158" s="527">
        <f t="shared" si="24"/>
        <v>0</v>
      </c>
      <c r="AF158" s="527">
        <f t="shared" si="25"/>
        <v>0</v>
      </c>
      <c r="AG158" s="527">
        <f t="shared" si="26"/>
        <v>444</v>
      </c>
      <c r="AH158" s="527"/>
      <c r="AI158" s="639">
        <f t="shared" si="21"/>
        <v>444</v>
      </c>
    </row>
    <row r="159" spans="1:47" ht="12.75" customHeight="1" x14ac:dyDescent="0.25">
      <c r="A159" s="527">
        <v>151</v>
      </c>
      <c r="C159" s="533" t="s">
        <v>1459</v>
      </c>
      <c r="D159" s="613">
        <v>24</v>
      </c>
      <c r="E159" s="527" t="s">
        <v>626</v>
      </c>
      <c r="G159" s="632">
        <v>86.1</v>
      </c>
      <c r="H159" s="632">
        <v>17215</v>
      </c>
      <c r="I159" s="613" t="s">
        <v>1674</v>
      </c>
      <c r="J159" s="617">
        <v>40534</v>
      </c>
      <c r="K159" s="533" t="s">
        <v>1447</v>
      </c>
      <c r="N159" s="629">
        <v>40917</v>
      </c>
      <c r="R159" s="911">
        <v>1</v>
      </c>
      <c r="W159" s="613">
        <f t="shared" si="20"/>
        <v>1</v>
      </c>
      <c r="AB159" s="527">
        <f t="shared" si="27"/>
        <v>0</v>
      </c>
      <c r="AC159" s="527">
        <f t="shared" si="22"/>
        <v>0</v>
      </c>
      <c r="AD159" s="527">
        <f t="shared" si="23"/>
        <v>86.1</v>
      </c>
      <c r="AE159" s="527">
        <f t="shared" si="24"/>
        <v>0</v>
      </c>
      <c r="AF159" s="527">
        <f t="shared" si="25"/>
        <v>0</v>
      </c>
      <c r="AG159" s="527">
        <f t="shared" si="26"/>
        <v>0</v>
      </c>
      <c r="AH159" s="527"/>
      <c r="AI159" s="639">
        <f t="shared" si="21"/>
        <v>86.1</v>
      </c>
      <c r="AR159" s="903"/>
      <c r="AS159" s="904"/>
      <c r="AT159" s="904"/>
      <c r="AU159" s="904"/>
    </row>
    <row r="160" spans="1:47" ht="12.75" customHeight="1" x14ac:dyDescent="0.2">
      <c r="A160" s="527">
        <v>152</v>
      </c>
      <c r="C160" s="533" t="s">
        <v>1124</v>
      </c>
      <c r="D160" s="613">
        <v>25</v>
      </c>
      <c r="G160" s="632">
        <v>109.4</v>
      </c>
      <c r="H160" s="632">
        <f>234+149</f>
        <v>383</v>
      </c>
      <c r="I160" s="613" t="s">
        <v>1674</v>
      </c>
      <c r="J160" s="617">
        <v>40534</v>
      </c>
      <c r="K160" s="533" t="s">
        <v>1447</v>
      </c>
      <c r="N160" s="629">
        <v>40927</v>
      </c>
      <c r="O160" s="638" t="s">
        <v>807</v>
      </c>
      <c r="U160" s="613">
        <v>1</v>
      </c>
      <c r="W160" s="613">
        <f t="shared" ref="W160:W223" si="28">SUM(P160:V160)</f>
        <v>1</v>
      </c>
      <c r="X160" s="613">
        <v>1</v>
      </c>
      <c r="AB160" s="527">
        <f t="shared" si="27"/>
        <v>0</v>
      </c>
      <c r="AC160" s="527">
        <f t="shared" si="22"/>
        <v>0</v>
      </c>
      <c r="AD160" s="527">
        <f t="shared" si="23"/>
        <v>0</v>
      </c>
      <c r="AE160" s="527">
        <f t="shared" si="24"/>
        <v>0</v>
      </c>
      <c r="AF160" s="527">
        <f t="shared" si="25"/>
        <v>0</v>
      </c>
      <c r="AG160" s="527">
        <f t="shared" si="26"/>
        <v>109.4</v>
      </c>
      <c r="AH160" s="527"/>
      <c r="AI160" s="639">
        <f t="shared" ref="AI160:AI223" si="29">G160</f>
        <v>109.4</v>
      </c>
    </row>
    <row r="161" spans="1:47" ht="12.75" customHeight="1" x14ac:dyDescent="0.25">
      <c r="A161" s="527">
        <v>153</v>
      </c>
      <c r="C161" s="533" t="s">
        <v>120</v>
      </c>
      <c r="D161" s="613">
        <v>20</v>
      </c>
      <c r="E161" s="527" t="s">
        <v>1561</v>
      </c>
      <c r="F161" s="630"/>
      <c r="G161" s="632">
        <v>42.6</v>
      </c>
      <c r="H161" s="632">
        <v>170</v>
      </c>
      <c r="I161" s="613" t="s">
        <v>1615</v>
      </c>
      <c r="J161" s="617">
        <v>40359</v>
      </c>
      <c r="K161" s="533" t="s">
        <v>1447</v>
      </c>
      <c r="N161" s="629">
        <v>40960</v>
      </c>
      <c r="O161" s="638" t="s">
        <v>567</v>
      </c>
      <c r="R161" s="911">
        <v>1</v>
      </c>
      <c r="W161" s="613">
        <f t="shared" si="28"/>
        <v>1</v>
      </c>
      <c r="AB161" s="527">
        <f t="shared" si="27"/>
        <v>0</v>
      </c>
      <c r="AC161" s="527">
        <f t="shared" si="22"/>
        <v>0</v>
      </c>
      <c r="AD161" s="527">
        <f t="shared" si="23"/>
        <v>42.6</v>
      </c>
      <c r="AE161" s="527">
        <f t="shared" si="24"/>
        <v>0</v>
      </c>
      <c r="AF161" s="527">
        <f t="shared" si="25"/>
        <v>0</v>
      </c>
      <c r="AG161" s="527">
        <f t="shared" si="26"/>
        <v>0</v>
      </c>
      <c r="AH161" s="527"/>
      <c r="AI161" s="639">
        <f t="shared" si="29"/>
        <v>42.6</v>
      </c>
      <c r="AR161" s="903"/>
      <c r="AS161" s="904"/>
      <c r="AT161" s="904"/>
      <c r="AU161" s="904"/>
    </row>
    <row r="162" spans="1:47" ht="12.75" customHeight="1" x14ac:dyDescent="0.25">
      <c r="A162" s="527">
        <v>154</v>
      </c>
      <c r="C162" s="533" t="s">
        <v>121</v>
      </c>
      <c r="D162" s="613">
        <v>21</v>
      </c>
      <c r="E162" s="527" t="s">
        <v>997</v>
      </c>
      <c r="F162" s="630"/>
      <c r="G162" s="632">
        <v>213.2</v>
      </c>
      <c r="H162" s="632">
        <v>333</v>
      </c>
      <c r="I162" s="613" t="s">
        <v>1615</v>
      </c>
      <c r="J162" s="617">
        <v>40359</v>
      </c>
      <c r="K162" s="533" t="s">
        <v>1447</v>
      </c>
      <c r="N162" s="629">
        <v>40960</v>
      </c>
      <c r="O162" s="638" t="s">
        <v>568</v>
      </c>
      <c r="R162" s="911">
        <v>1</v>
      </c>
      <c r="W162" s="613">
        <f t="shared" si="28"/>
        <v>1</v>
      </c>
      <c r="AB162" s="527">
        <f t="shared" si="27"/>
        <v>0</v>
      </c>
      <c r="AC162" s="527">
        <f t="shared" si="22"/>
        <v>0</v>
      </c>
      <c r="AD162" s="527">
        <f t="shared" si="23"/>
        <v>213.2</v>
      </c>
      <c r="AE162" s="527">
        <f t="shared" si="24"/>
        <v>0</v>
      </c>
      <c r="AF162" s="527">
        <f t="shared" si="25"/>
        <v>0</v>
      </c>
      <c r="AG162" s="527">
        <f t="shared" si="26"/>
        <v>0</v>
      </c>
      <c r="AH162" s="527"/>
      <c r="AI162" s="639">
        <f t="shared" si="29"/>
        <v>213.2</v>
      </c>
      <c r="AR162" s="903"/>
      <c r="AS162" s="904"/>
      <c r="AT162" s="904"/>
      <c r="AU162" s="904"/>
    </row>
    <row r="163" spans="1:47" ht="12.75" customHeight="1" x14ac:dyDescent="0.2">
      <c r="A163" s="527">
        <v>155</v>
      </c>
      <c r="C163" s="533" t="s">
        <v>1523</v>
      </c>
      <c r="F163" s="631"/>
      <c r="G163" s="632">
        <v>36.54</v>
      </c>
      <c r="H163" s="639"/>
      <c r="I163" s="613" t="s">
        <v>1609</v>
      </c>
      <c r="J163" s="617">
        <v>41376</v>
      </c>
      <c r="K163" s="533" t="s">
        <v>1447</v>
      </c>
      <c r="N163" s="629">
        <v>41054</v>
      </c>
      <c r="Q163" s="911">
        <v>1</v>
      </c>
      <c r="W163" s="613">
        <f t="shared" si="28"/>
        <v>1</v>
      </c>
      <c r="AB163" s="527">
        <f t="shared" si="27"/>
        <v>0</v>
      </c>
      <c r="AC163" s="527">
        <f t="shared" si="22"/>
        <v>36.54</v>
      </c>
      <c r="AD163" s="527">
        <f t="shared" si="23"/>
        <v>0</v>
      </c>
      <c r="AE163" s="527">
        <f t="shared" si="24"/>
        <v>0</v>
      </c>
      <c r="AF163" s="527">
        <f t="shared" si="25"/>
        <v>0</v>
      </c>
      <c r="AG163" s="527">
        <f t="shared" si="26"/>
        <v>0</v>
      </c>
      <c r="AH163" s="527"/>
      <c r="AI163" s="639">
        <f t="shared" si="29"/>
        <v>36.54</v>
      </c>
    </row>
    <row r="164" spans="1:47" ht="12.75" customHeight="1" x14ac:dyDescent="0.25">
      <c r="A164" s="527">
        <v>156</v>
      </c>
      <c r="C164" s="533" t="s">
        <v>1535</v>
      </c>
      <c r="E164" s="533" t="s">
        <v>1530</v>
      </c>
      <c r="F164" s="630"/>
      <c r="G164" s="632">
        <v>15.1</v>
      </c>
      <c r="H164" s="632">
        <v>180.9</v>
      </c>
      <c r="I164" s="613" t="s">
        <v>1609</v>
      </c>
      <c r="J164" s="617">
        <v>41374</v>
      </c>
      <c r="K164" s="533" t="s">
        <v>1545</v>
      </c>
      <c r="N164" s="629">
        <v>41173</v>
      </c>
      <c r="R164" s="911">
        <v>1</v>
      </c>
      <c r="W164" s="613">
        <f t="shared" si="28"/>
        <v>1</v>
      </c>
      <c r="AB164" s="527">
        <f t="shared" si="27"/>
        <v>0</v>
      </c>
      <c r="AC164" s="527">
        <f t="shared" si="22"/>
        <v>0</v>
      </c>
      <c r="AD164" s="527">
        <f t="shared" si="23"/>
        <v>15.1</v>
      </c>
      <c r="AE164" s="527">
        <f t="shared" si="24"/>
        <v>0</v>
      </c>
      <c r="AF164" s="527">
        <f t="shared" si="25"/>
        <v>0</v>
      </c>
      <c r="AG164" s="527">
        <f t="shared" si="26"/>
        <v>0</v>
      </c>
      <c r="AH164" s="527"/>
      <c r="AI164" s="639">
        <f t="shared" si="29"/>
        <v>15.1</v>
      </c>
      <c r="AR164" s="903"/>
      <c r="AS164" s="904"/>
      <c r="AT164" s="904"/>
      <c r="AU164" s="904"/>
    </row>
    <row r="165" spans="1:47" ht="12.75" customHeight="1" x14ac:dyDescent="0.35">
      <c r="A165" s="527">
        <v>157</v>
      </c>
      <c r="C165" s="533" t="s">
        <v>1532</v>
      </c>
      <c r="D165" s="613">
        <v>39</v>
      </c>
      <c r="E165" s="533" t="s">
        <v>1533</v>
      </c>
      <c r="F165" s="630"/>
      <c r="G165" s="632">
        <v>3.3</v>
      </c>
      <c r="H165" s="632">
        <v>218.9</v>
      </c>
      <c r="I165" s="613" t="s">
        <v>1610</v>
      </c>
      <c r="J165" s="617">
        <v>41557</v>
      </c>
      <c r="K165" s="533" t="s">
        <v>1545</v>
      </c>
      <c r="N165" s="629">
        <v>41212</v>
      </c>
      <c r="R165" s="911">
        <v>1</v>
      </c>
      <c r="W165" s="613">
        <f t="shared" si="28"/>
        <v>1</v>
      </c>
      <c r="AB165" s="527">
        <f t="shared" si="27"/>
        <v>0</v>
      </c>
      <c r="AC165" s="527">
        <f t="shared" si="22"/>
        <v>0</v>
      </c>
      <c r="AD165" s="527">
        <f t="shared" si="23"/>
        <v>3.3</v>
      </c>
      <c r="AE165" s="527">
        <f t="shared" si="24"/>
        <v>0</v>
      </c>
      <c r="AF165" s="527">
        <f t="shared" si="25"/>
        <v>0</v>
      </c>
      <c r="AG165" s="527">
        <f t="shared" si="26"/>
        <v>0</v>
      </c>
      <c r="AH165" s="527"/>
      <c r="AI165" s="639">
        <f t="shared" si="29"/>
        <v>3.3</v>
      </c>
      <c r="AK165" s="891"/>
      <c r="AL165" s="891"/>
      <c r="AM165" s="892"/>
      <c r="AR165" s="903"/>
      <c r="AS165" s="904"/>
      <c r="AT165" s="904"/>
      <c r="AU165" s="904"/>
    </row>
    <row r="166" spans="1:47" ht="12.75" customHeight="1" x14ac:dyDescent="0.2">
      <c r="A166" s="527">
        <v>158</v>
      </c>
      <c r="C166" s="820" t="s">
        <v>1456</v>
      </c>
      <c r="E166" s="527" t="s">
        <v>3275</v>
      </c>
      <c r="F166" s="630"/>
      <c r="G166" s="632">
        <v>60</v>
      </c>
      <c r="H166" s="632">
        <v>56.5</v>
      </c>
      <c r="I166" s="613" t="s">
        <v>1612</v>
      </c>
      <c r="J166" s="617">
        <v>40907</v>
      </c>
      <c r="K166" s="533" t="s">
        <v>1545</v>
      </c>
      <c r="N166" s="629">
        <v>41212</v>
      </c>
      <c r="U166" s="613">
        <v>1</v>
      </c>
      <c r="W166" s="613">
        <f t="shared" si="28"/>
        <v>1</v>
      </c>
      <c r="X166" s="613">
        <v>1</v>
      </c>
      <c r="AB166" s="527">
        <f t="shared" si="27"/>
        <v>0</v>
      </c>
      <c r="AC166" s="527">
        <f t="shared" si="22"/>
        <v>0</v>
      </c>
      <c r="AD166" s="527">
        <f t="shared" si="23"/>
        <v>0</v>
      </c>
      <c r="AE166" s="527">
        <f t="shared" si="24"/>
        <v>0</v>
      </c>
      <c r="AF166" s="527">
        <f t="shared" si="25"/>
        <v>0</v>
      </c>
      <c r="AG166" s="527">
        <f t="shared" si="26"/>
        <v>60</v>
      </c>
      <c r="AH166" s="527"/>
      <c r="AI166" s="639">
        <f t="shared" si="29"/>
        <v>60</v>
      </c>
    </row>
    <row r="167" spans="1:47" ht="12.75" customHeight="1" x14ac:dyDescent="0.2">
      <c r="A167" s="527">
        <v>159</v>
      </c>
      <c r="C167" s="533" t="s">
        <v>1505</v>
      </c>
      <c r="E167" s="533" t="s">
        <v>61</v>
      </c>
      <c r="F167" s="630"/>
      <c r="G167" s="632">
        <v>5.28</v>
      </c>
      <c r="H167" s="632">
        <v>205.2</v>
      </c>
      <c r="I167" s="613" t="s">
        <v>1611</v>
      </c>
      <c r="J167" s="617">
        <v>41389</v>
      </c>
      <c r="K167" s="533" t="s">
        <v>1545</v>
      </c>
      <c r="N167" s="629">
        <v>41212</v>
      </c>
      <c r="U167" s="613">
        <v>1</v>
      </c>
      <c r="W167" s="613">
        <f t="shared" si="28"/>
        <v>1</v>
      </c>
      <c r="X167" s="613">
        <v>1</v>
      </c>
      <c r="AB167" s="527">
        <f t="shared" si="27"/>
        <v>0</v>
      </c>
      <c r="AC167" s="527">
        <f t="shared" si="22"/>
        <v>0</v>
      </c>
      <c r="AD167" s="527">
        <f t="shared" si="23"/>
        <v>0</v>
      </c>
      <c r="AE167" s="527">
        <f t="shared" si="24"/>
        <v>0</v>
      </c>
      <c r="AF167" s="527">
        <f t="shared" si="25"/>
        <v>0</v>
      </c>
      <c r="AG167" s="527">
        <f t="shared" si="26"/>
        <v>5.28</v>
      </c>
      <c r="AH167" s="527"/>
      <c r="AI167" s="639">
        <f t="shared" si="29"/>
        <v>5.28</v>
      </c>
    </row>
    <row r="168" spans="1:47" ht="12.75" customHeight="1" x14ac:dyDescent="0.2">
      <c r="A168" s="527">
        <v>160</v>
      </c>
      <c r="C168" s="533" t="s">
        <v>1515</v>
      </c>
      <c r="E168" s="533" t="s">
        <v>1519</v>
      </c>
      <c r="F168" s="630"/>
      <c r="G168" s="632">
        <v>413</v>
      </c>
      <c r="H168" s="632">
        <v>247.4</v>
      </c>
      <c r="I168" s="613" t="s">
        <v>1611</v>
      </c>
      <c r="J168" s="617">
        <v>41389</v>
      </c>
      <c r="K168" s="533" t="s">
        <v>1545</v>
      </c>
      <c r="N168" s="629">
        <v>41212</v>
      </c>
      <c r="U168" s="613">
        <v>1</v>
      </c>
      <c r="W168" s="613">
        <f t="shared" si="28"/>
        <v>1</v>
      </c>
      <c r="X168" s="613">
        <v>1</v>
      </c>
      <c r="AB168" s="527">
        <f t="shared" si="27"/>
        <v>0</v>
      </c>
      <c r="AC168" s="527">
        <f t="shared" si="22"/>
        <v>0</v>
      </c>
      <c r="AD168" s="527">
        <f t="shared" si="23"/>
        <v>0</v>
      </c>
      <c r="AE168" s="527">
        <f t="shared" si="24"/>
        <v>0</v>
      </c>
      <c r="AF168" s="527">
        <f t="shared" si="25"/>
        <v>0</v>
      </c>
      <c r="AG168" s="527">
        <f t="shared" si="26"/>
        <v>413</v>
      </c>
      <c r="AH168" s="527"/>
      <c r="AI168" s="639">
        <f t="shared" si="29"/>
        <v>413</v>
      </c>
    </row>
    <row r="169" spans="1:47" ht="12.75" customHeight="1" x14ac:dyDescent="0.2">
      <c r="A169" s="527">
        <v>161</v>
      </c>
      <c r="C169" s="533" t="s">
        <v>1512</v>
      </c>
      <c r="E169" s="533" t="s">
        <v>3681</v>
      </c>
      <c r="F169" s="630"/>
      <c r="G169" s="632">
        <v>372.6</v>
      </c>
      <c r="H169" s="632">
        <v>234</v>
      </c>
      <c r="I169" s="613" t="s">
        <v>1611</v>
      </c>
      <c r="J169" s="617">
        <v>41389</v>
      </c>
      <c r="K169" s="533" t="s">
        <v>1545</v>
      </c>
      <c r="N169" s="629">
        <v>41212</v>
      </c>
      <c r="U169" s="613">
        <v>1</v>
      </c>
      <c r="W169" s="613">
        <f t="shared" si="28"/>
        <v>1</v>
      </c>
      <c r="X169" s="613">
        <v>1</v>
      </c>
      <c r="AB169" s="527">
        <f t="shared" si="27"/>
        <v>0</v>
      </c>
      <c r="AC169" s="527">
        <f t="shared" si="22"/>
        <v>0</v>
      </c>
      <c r="AD169" s="527">
        <f t="shared" si="23"/>
        <v>0</v>
      </c>
      <c r="AE169" s="527">
        <f t="shared" si="24"/>
        <v>0</v>
      </c>
      <c r="AF169" s="527">
        <f t="shared" si="25"/>
        <v>0</v>
      </c>
      <c r="AG169" s="527">
        <f t="shared" si="26"/>
        <v>372.6</v>
      </c>
      <c r="AH169" s="527"/>
      <c r="AI169" s="639">
        <f t="shared" si="29"/>
        <v>372.6</v>
      </c>
    </row>
    <row r="170" spans="1:47" ht="12.75" customHeight="1" x14ac:dyDescent="0.25">
      <c r="A170" s="527">
        <v>162</v>
      </c>
      <c r="C170" s="533" t="s">
        <v>1458</v>
      </c>
      <c r="E170" s="527" t="s">
        <v>1464</v>
      </c>
      <c r="F170" s="630"/>
      <c r="G170" s="632">
        <v>1815</v>
      </c>
      <c r="H170" s="632">
        <v>337.5</v>
      </c>
      <c r="I170" s="613" t="s">
        <v>1612</v>
      </c>
      <c r="J170" s="617">
        <v>40907</v>
      </c>
      <c r="K170" s="533" t="s">
        <v>1545</v>
      </c>
      <c r="N170" s="629">
        <v>41222</v>
      </c>
      <c r="U170" s="613">
        <v>1</v>
      </c>
      <c r="W170" s="613">
        <f t="shared" si="28"/>
        <v>1</v>
      </c>
      <c r="X170" s="613">
        <v>1</v>
      </c>
      <c r="AB170" s="527">
        <f t="shared" si="27"/>
        <v>0</v>
      </c>
      <c r="AC170" s="527">
        <f t="shared" si="22"/>
        <v>0</v>
      </c>
      <c r="AD170" s="527">
        <f t="shared" si="23"/>
        <v>0</v>
      </c>
      <c r="AE170" s="527">
        <f t="shared" si="24"/>
        <v>0</v>
      </c>
      <c r="AF170" s="527">
        <f t="shared" si="25"/>
        <v>0</v>
      </c>
      <c r="AG170" s="527">
        <f t="shared" si="26"/>
        <v>1815</v>
      </c>
      <c r="AH170" s="527"/>
      <c r="AI170" s="639">
        <f t="shared" si="29"/>
        <v>1815</v>
      </c>
      <c r="AK170" s="895"/>
      <c r="AL170" s="895"/>
      <c r="AM170" s="894"/>
      <c r="AN170" s="895"/>
      <c r="AO170" s="895"/>
      <c r="AP170" s="897"/>
      <c r="AR170" s="903"/>
      <c r="AS170" s="904"/>
      <c r="AT170" s="904"/>
      <c r="AU170" s="904"/>
    </row>
    <row r="171" spans="1:47" ht="12.75" customHeight="1" x14ac:dyDescent="0.25">
      <c r="A171" s="527">
        <v>163</v>
      </c>
      <c r="C171" s="533" t="s">
        <v>1471</v>
      </c>
      <c r="D171" s="613">
        <v>37</v>
      </c>
      <c r="E171" s="527" t="s">
        <v>1544</v>
      </c>
      <c r="F171" s="630"/>
      <c r="G171" s="632">
        <v>2.5099999999999998</v>
      </c>
      <c r="H171" s="632">
        <v>131.6</v>
      </c>
      <c r="I171" s="613" t="s">
        <v>1611</v>
      </c>
      <c r="J171" s="617">
        <v>41389</v>
      </c>
      <c r="K171" s="533" t="s">
        <v>1545</v>
      </c>
      <c r="N171" s="629">
        <v>41222</v>
      </c>
      <c r="R171" s="911">
        <v>1</v>
      </c>
      <c r="W171" s="613">
        <f t="shared" si="28"/>
        <v>1</v>
      </c>
      <c r="AB171" s="527">
        <f t="shared" si="27"/>
        <v>0</v>
      </c>
      <c r="AC171" s="527">
        <f t="shared" si="22"/>
        <v>0</v>
      </c>
      <c r="AD171" s="527">
        <f t="shared" si="23"/>
        <v>2.5099999999999998</v>
      </c>
      <c r="AE171" s="527">
        <f t="shared" si="24"/>
        <v>0</v>
      </c>
      <c r="AF171" s="527">
        <f t="shared" si="25"/>
        <v>0</v>
      </c>
      <c r="AG171" s="527">
        <f t="shared" si="26"/>
        <v>0</v>
      </c>
      <c r="AH171" s="527"/>
      <c r="AI171" s="639">
        <f t="shared" si="29"/>
        <v>2.5099999999999998</v>
      </c>
      <c r="AR171" s="903"/>
      <c r="AS171" s="904"/>
      <c r="AT171" s="904"/>
      <c r="AU171" s="904"/>
    </row>
    <row r="172" spans="1:47" ht="12.75" customHeight="1" x14ac:dyDescent="0.2">
      <c r="A172" s="527">
        <v>164</v>
      </c>
      <c r="C172" s="533" t="s">
        <v>1542</v>
      </c>
      <c r="D172" s="613">
        <v>35</v>
      </c>
      <c r="E172" s="527" t="s">
        <v>1550</v>
      </c>
      <c r="F172" s="630"/>
      <c r="G172" s="632">
        <v>503</v>
      </c>
      <c r="H172" s="632">
        <f>218+87.3+189.6+379.8</f>
        <v>874.7</v>
      </c>
      <c r="I172" s="613" t="s">
        <v>1613</v>
      </c>
      <c r="J172" s="617">
        <v>40828</v>
      </c>
      <c r="K172" s="533" t="s">
        <v>1545</v>
      </c>
      <c r="N172" s="629">
        <v>41255</v>
      </c>
      <c r="U172" s="613">
        <v>1</v>
      </c>
      <c r="W172" s="613">
        <f t="shared" si="28"/>
        <v>1</v>
      </c>
      <c r="X172" s="613">
        <v>1</v>
      </c>
      <c r="AB172" s="527">
        <f t="shared" si="27"/>
        <v>0</v>
      </c>
      <c r="AC172" s="527">
        <f t="shared" si="22"/>
        <v>0</v>
      </c>
      <c r="AD172" s="527">
        <f t="shared" si="23"/>
        <v>0</v>
      </c>
      <c r="AE172" s="527">
        <f t="shared" si="24"/>
        <v>0</v>
      </c>
      <c r="AF172" s="527">
        <f t="shared" si="25"/>
        <v>0</v>
      </c>
      <c r="AG172" s="527">
        <f t="shared" si="26"/>
        <v>503</v>
      </c>
      <c r="AH172" s="527"/>
      <c r="AI172" s="639">
        <f t="shared" si="29"/>
        <v>503</v>
      </c>
    </row>
    <row r="173" spans="1:47" ht="12.75" customHeight="1" x14ac:dyDescent="0.2">
      <c r="A173" s="527">
        <v>165</v>
      </c>
      <c r="C173" s="533" t="s">
        <v>1551</v>
      </c>
      <c r="D173" s="613">
        <v>44</v>
      </c>
      <c r="E173" s="533" t="s">
        <v>3276</v>
      </c>
      <c r="F173" s="630"/>
      <c r="G173" s="632">
        <v>916</v>
      </c>
      <c r="H173" s="632">
        <f>133.5+292.1+407.9</f>
        <v>833.5</v>
      </c>
      <c r="I173" s="613" t="s">
        <v>1610</v>
      </c>
      <c r="J173" s="617">
        <v>41557</v>
      </c>
      <c r="K173" s="533" t="s">
        <v>1681</v>
      </c>
      <c r="N173" s="723">
        <v>41275</v>
      </c>
      <c r="U173" s="613">
        <v>1</v>
      </c>
      <c r="W173" s="613">
        <f t="shared" si="28"/>
        <v>1</v>
      </c>
      <c r="X173" s="613">
        <v>1</v>
      </c>
      <c r="AB173" s="527">
        <f t="shared" si="27"/>
        <v>0</v>
      </c>
      <c r="AC173" s="527">
        <f t="shared" si="22"/>
        <v>0</v>
      </c>
      <c r="AD173" s="527">
        <f t="shared" si="23"/>
        <v>0</v>
      </c>
      <c r="AE173" s="527">
        <f t="shared" si="24"/>
        <v>0</v>
      </c>
      <c r="AF173" s="527">
        <f t="shared" si="25"/>
        <v>0</v>
      </c>
      <c r="AG173" s="527">
        <f t="shared" si="26"/>
        <v>916</v>
      </c>
      <c r="AH173" s="527"/>
      <c r="AI173" s="639">
        <f t="shared" si="29"/>
        <v>916</v>
      </c>
    </row>
    <row r="174" spans="1:47" ht="12.75" customHeight="1" x14ac:dyDescent="0.2">
      <c r="A174" s="527">
        <v>166</v>
      </c>
      <c r="C174" s="533" t="s">
        <v>1669</v>
      </c>
      <c r="E174" s="533" t="s">
        <v>1537</v>
      </c>
      <c r="F174" s="671"/>
      <c r="G174" s="632">
        <v>58</v>
      </c>
      <c r="H174" s="632">
        <v>252.2</v>
      </c>
      <c r="I174" s="613" t="s">
        <v>1670</v>
      </c>
      <c r="J174" s="617">
        <v>41605</v>
      </c>
      <c r="K174" s="533" t="s">
        <v>1681</v>
      </c>
      <c r="N174" s="723">
        <v>41561</v>
      </c>
      <c r="U174" s="613">
        <v>1</v>
      </c>
      <c r="W174" s="613">
        <f t="shared" si="28"/>
        <v>1</v>
      </c>
      <c r="X174" s="613">
        <v>1</v>
      </c>
      <c r="AB174" s="527">
        <f t="shared" si="27"/>
        <v>0</v>
      </c>
      <c r="AC174" s="527">
        <f t="shared" si="22"/>
        <v>0</v>
      </c>
      <c r="AD174" s="527">
        <f t="shared" si="23"/>
        <v>0</v>
      </c>
      <c r="AE174" s="527">
        <f t="shared" si="24"/>
        <v>0</v>
      </c>
      <c r="AF174" s="527">
        <f t="shared" si="25"/>
        <v>0</v>
      </c>
      <c r="AG174" s="527">
        <f t="shared" si="26"/>
        <v>58</v>
      </c>
      <c r="AH174" s="527"/>
      <c r="AI174" s="639">
        <f t="shared" si="29"/>
        <v>58</v>
      </c>
    </row>
    <row r="175" spans="1:47" ht="12.75" customHeight="1" x14ac:dyDescent="0.2">
      <c r="A175" s="527">
        <v>167</v>
      </c>
      <c r="C175" s="533" t="s">
        <v>1624</v>
      </c>
      <c r="D175" s="613">
        <v>43</v>
      </c>
      <c r="E175" s="533" t="s">
        <v>3685</v>
      </c>
      <c r="F175" s="671"/>
      <c r="G175" s="632">
        <v>905</v>
      </c>
      <c r="H175" s="632">
        <f>98.3+120.8+161.5</f>
        <v>380.6</v>
      </c>
      <c r="I175" s="613" t="s">
        <v>1610</v>
      </c>
      <c r="J175" s="617">
        <v>41557</v>
      </c>
      <c r="K175" s="533" t="s">
        <v>1681</v>
      </c>
      <c r="N175" s="723">
        <v>41608</v>
      </c>
      <c r="U175" s="613">
        <v>1</v>
      </c>
      <c r="W175" s="613">
        <f t="shared" si="28"/>
        <v>1</v>
      </c>
      <c r="X175" s="613">
        <v>1</v>
      </c>
      <c r="AB175" s="527">
        <f t="shared" si="27"/>
        <v>0</v>
      </c>
      <c r="AC175" s="527">
        <f t="shared" si="22"/>
        <v>0</v>
      </c>
      <c r="AD175" s="527">
        <f t="shared" si="23"/>
        <v>0</v>
      </c>
      <c r="AE175" s="527">
        <f t="shared" si="24"/>
        <v>0</v>
      </c>
      <c r="AF175" s="527">
        <f t="shared" si="25"/>
        <v>0</v>
      </c>
      <c r="AG175" s="527">
        <f t="shared" si="26"/>
        <v>905</v>
      </c>
      <c r="AH175" s="527"/>
      <c r="AI175" s="639">
        <f t="shared" si="29"/>
        <v>905</v>
      </c>
    </row>
    <row r="176" spans="1:47" ht="12.75" customHeight="1" x14ac:dyDescent="0.2">
      <c r="A176" s="527">
        <v>168</v>
      </c>
      <c r="C176" s="533" t="s">
        <v>1651</v>
      </c>
      <c r="E176" s="533" t="s">
        <v>1708</v>
      </c>
      <c r="F176" s="671"/>
      <c r="G176" s="639">
        <v>5.92</v>
      </c>
      <c r="H176" s="632">
        <v>161.4</v>
      </c>
      <c r="I176" s="635" t="s">
        <v>1654</v>
      </c>
      <c r="J176" s="617">
        <v>41490</v>
      </c>
      <c r="K176" s="533" t="s">
        <v>1681</v>
      </c>
      <c r="N176" s="723">
        <v>41608</v>
      </c>
      <c r="U176" s="613">
        <v>1</v>
      </c>
      <c r="W176" s="613">
        <f t="shared" si="28"/>
        <v>1</v>
      </c>
      <c r="X176" s="613">
        <v>1</v>
      </c>
      <c r="AB176" s="527">
        <f t="shared" si="27"/>
        <v>0</v>
      </c>
      <c r="AC176" s="527">
        <f t="shared" si="22"/>
        <v>0</v>
      </c>
      <c r="AD176" s="527">
        <f t="shared" si="23"/>
        <v>0</v>
      </c>
      <c r="AE176" s="527">
        <f t="shared" si="24"/>
        <v>0</v>
      </c>
      <c r="AF176" s="527">
        <f t="shared" si="25"/>
        <v>0</v>
      </c>
      <c r="AG176" s="527">
        <f t="shared" si="26"/>
        <v>5.92</v>
      </c>
      <c r="AH176" s="527"/>
      <c r="AI176" s="639">
        <f t="shared" si="29"/>
        <v>5.92</v>
      </c>
    </row>
    <row r="177" spans="1:47" ht="12.75" customHeight="1" x14ac:dyDescent="0.2">
      <c r="A177" s="527">
        <v>169</v>
      </c>
      <c r="C177" s="533" t="s">
        <v>1652</v>
      </c>
      <c r="E177" s="533" t="s">
        <v>3277</v>
      </c>
      <c r="F177" s="671"/>
      <c r="G177" s="639">
        <v>59.8</v>
      </c>
      <c r="H177" s="632">
        <v>250</v>
      </c>
      <c r="I177" s="635" t="s">
        <v>1654</v>
      </c>
      <c r="J177" s="617">
        <v>41490</v>
      </c>
      <c r="K177" s="533" t="s">
        <v>1681</v>
      </c>
      <c r="N177" s="723">
        <v>41608</v>
      </c>
      <c r="U177" s="613">
        <v>1</v>
      </c>
      <c r="W177" s="613">
        <f t="shared" si="28"/>
        <v>1</v>
      </c>
      <c r="X177" s="613">
        <v>1</v>
      </c>
      <c r="AB177" s="527">
        <f t="shared" si="27"/>
        <v>0</v>
      </c>
      <c r="AC177" s="527">
        <f t="shared" si="22"/>
        <v>0</v>
      </c>
      <c r="AD177" s="527">
        <f t="shared" si="23"/>
        <v>0</v>
      </c>
      <c r="AE177" s="527">
        <f t="shared" si="24"/>
        <v>0</v>
      </c>
      <c r="AF177" s="527">
        <f t="shared" si="25"/>
        <v>0</v>
      </c>
      <c r="AG177" s="527">
        <f t="shared" si="26"/>
        <v>59.8</v>
      </c>
      <c r="AH177" s="527"/>
      <c r="AI177" s="639">
        <f t="shared" si="29"/>
        <v>59.8</v>
      </c>
    </row>
    <row r="178" spans="1:47" ht="12.75" customHeight="1" x14ac:dyDescent="0.2">
      <c r="A178" s="527">
        <v>170</v>
      </c>
      <c r="C178" s="533" t="s">
        <v>1653</v>
      </c>
      <c r="E178" s="533" t="s">
        <v>1679</v>
      </c>
      <c r="F178" s="671"/>
      <c r="G178" s="639">
        <v>156</v>
      </c>
      <c r="H178" s="632">
        <v>248.8</v>
      </c>
      <c r="I178" s="635" t="s">
        <v>1654</v>
      </c>
      <c r="J178" s="617">
        <v>41490</v>
      </c>
      <c r="K178" s="533" t="s">
        <v>1681</v>
      </c>
      <c r="N178" s="723">
        <v>41608</v>
      </c>
      <c r="U178" s="613">
        <v>1</v>
      </c>
      <c r="W178" s="613">
        <f t="shared" si="28"/>
        <v>1</v>
      </c>
      <c r="X178" s="613">
        <v>1</v>
      </c>
      <c r="AB178" s="527">
        <f t="shared" si="27"/>
        <v>0</v>
      </c>
      <c r="AC178" s="527">
        <f t="shared" si="22"/>
        <v>0</v>
      </c>
      <c r="AD178" s="527">
        <f t="shared" si="23"/>
        <v>0</v>
      </c>
      <c r="AE178" s="527">
        <f t="shared" si="24"/>
        <v>0</v>
      </c>
      <c r="AF178" s="527">
        <f t="shared" si="25"/>
        <v>0</v>
      </c>
      <c r="AG178" s="527">
        <f t="shared" si="26"/>
        <v>156</v>
      </c>
      <c r="AH178" s="527"/>
      <c r="AI178" s="639">
        <f t="shared" si="29"/>
        <v>156</v>
      </c>
    </row>
    <row r="179" spans="1:47" ht="12.75" customHeight="1" x14ac:dyDescent="0.2">
      <c r="A179" s="527">
        <v>171</v>
      </c>
      <c r="C179" s="533" t="s">
        <v>1657</v>
      </c>
      <c r="E179" s="533" t="s">
        <v>1656</v>
      </c>
      <c r="F179" s="671"/>
      <c r="G179" s="639">
        <v>12.2</v>
      </c>
      <c r="H179" s="632">
        <v>154.9</v>
      </c>
      <c r="I179" s="635" t="s">
        <v>1654</v>
      </c>
      <c r="J179" s="617">
        <v>41490</v>
      </c>
      <c r="K179" s="533" t="s">
        <v>1681</v>
      </c>
      <c r="N179" s="723">
        <v>41608</v>
      </c>
      <c r="U179" s="613">
        <v>1</v>
      </c>
      <c r="W179" s="613">
        <f t="shared" si="28"/>
        <v>1</v>
      </c>
      <c r="X179" s="613">
        <v>1</v>
      </c>
      <c r="AB179" s="527">
        <f t="shared" si="27"/>
        <v>0</v>
      </c>
      <c r="AC179" s="527">
        <f t="shared" si="22"/>
        <v>0</v>
      </c>
      <c r="AD179" s="527">
        <f t="shared" si="23"/>
        <v>0</v>
      </c>
      <c r="AE179" s="527">
        <f t="shared" si="24"/>
        <v>0</v>
      </c>
      <c r="AF179" s="527">
        <f t="shared" si="25"/>
        <v>0</v>
      </c>
      <c r="AG179" s="527">
        <f t="shared" si="26"/>
        <v>12.2</v>
      </c>
      <c r="AH179" s="527"/>
      <c r="AI179" s="639">
        <f t="shared" si="29"/>
        <v>12.2</v>
      </c>
    </row>
    <row r="180" spans="1:47" ht="12.75" customHeight="1" x14ac:dyDescent="0.2">
      <c r="A180" s="527">
        <v>172</v>
      </c>
      <c r="C180" s="533" t="s">
        <v>1658</v>
      </c>
      <c r="E180" s="533" t="s">
        <v>3689</v>
      </c>
      <c r="F180" s="671"/>
      <c r="G180" s="639">
        <v>23.4</v>
      </c>
      <c r="H180" s="632">
        <f>253.4+211.2</f>
        <v>464.6</v>
      </c>
      <c r="I180" s="635" t="s">
        <v>1654</v>
      </c>
      <c r="J180" s="617">
        <v>41490</v>
      </c>
      <c r="K180" s="533" t="s">
        <v>1681</v>
      </c>
      <c r="N180" s="723">
        <v>41608</v>
      </c>
      <c r="U180" s="613">
        <v>1</v>
      </c>
      <c r="W180" s="613">
        <f t="shared" si="28"/>
        <v>1</v>
      </c>
      <c r="X180" s="613">
        <v>1</v>
      </c>
      <c r="AB180" s="527">
        <f t="shared" si="27"/>
        <v>0</v>
      </c>
      <c r="AC180" s="527">
        <f t="shared" si="22"/>
        <v>0</v>
      </c>
      <c r="AD180" s="527">
        <f t="shared" si="23"/>
        <v>0</v>
      </c>
      <c r="AE180" s="527">
        <f t="shared" si="24"/>
        <v>0</v>
      </c>
      <c r="AF180" s="527">
        <f t="shared" si="25"/>
        <v>0</v>
      </c>
      <c r="AG180" s="527">
        <f t="shared" si="26"/>
        <v>23.4</v>
      </c>
      <c r="AH180" s="527"/>
      <c r="AI180" s="639">
        <f t="shared" si="29"/>
        <v>23.4</v>
      </c>
    </row>
    <row r="181" spans="1:47" ht="12.75" customHeight="1" x14ac:dyDescent="0.2">
      <c r="A181" s="527">
        <v>173</v>
      </c>
      <c r="C181" s="533" t="s">
        <v>1661</v>
      </c>
      <c r="D181" s="613">
        <v>49</v>
      </c>
      <c r="E181" s="533" t="s">
        <v>1666</v>
      </c>
      <c r="F181" s="671"/>
      <c r="G181" s="632">
        <v>1226</v>
      </c>
      <c r="H181" s="632">
        <v>242</v>
      </c>
      <c r="I181" s="635" t="s">
        <v>1654</v>
      </c>
      <c r="J181" s="617">
        <v>41490</v>
      </c>
      <c r="K181" s="533" t="s">
        <v>1681</v>
      </c>
      <c r="N181" s="723">
        <v>41608</v>
      </c>
      <c r="U181" s="613">
        <v>1</v>
      </c>
      <c r="W181" s="613">
        <f t="shared" si="28"/>
        <v>1</v>
      </c>
      <c r="X181" s="613">
        <v>1</v>
      </c>
      <c r="AB181" s="527">
        <f t="shared" si="27"/>
        <v>0</v>
      </c>
      <c r="AC181" s="527">
        <f t="shared" si="22"/>
        <v>0</v>
      </c>
      <c r="AD181" s="527">
        <f t="shared" si="23"/>
        <v>0</v>
      </c>
      <c r="AE181" s="527">
        <f t="shared" si="24"/>
        <v>0</v>
      </c>
      <c r="AF181" s="527">
        <f t="shared" si="25"/>
        <v>0</v>
      </c>
      <c r="AG181" s="527">
        <f t="shared" si="26"/>
        <v>1226</v>
      </c>
      <c r="AH181" s="527"/>
      <c r="AI181" s="639">
        <f t="shared" si="29"/>
        <v>1226</v>
      </c>
    </row>
    <row r="182" spans="1:47" ht="12.75" customHeight="1" x14ac:dyDescent="0.25">
      <c r="A182" s="527">
        <v>174</v>
      </c>
      <c r="C182" s="533" t="s">
        <v>1660</v>
      </c>
      <c r="D182" s="613">
        <v>38</v>
      </c>
      <c r="E182" s="533" t="s">
        <v>1520</v>
      </c>
      <c r="F182" s="671"/>
      <c r="G182" s="639">
        <v>292</v>
      </c>
      <c r="H182" s="632">
        <f>753+19560</f>
        <v>20313</v>
      </c>
      <c r="I182" s="613" t="s">
        <v>1611</v>
      </c>
      <c r="J182" s="617">
        <v>41389</v>
      </c>
      <c r="K182" s="533" t="s">
        <v>1681</v>
      </c>
      <c r="N182" s="723">
        <v>41619</v>
      </c>
      <c r="R182" s="911">
        <v>1</v>
      </c>
      <c r="W182" s="613">
        <f t="shared" si="28"/>
        <v>1</v>
      </c>
      <c r="AB182" s="527">
        <f t="shared" si="27"/>
        <v>0</v>
      </c>
      <c r="AC182" s="527">
        <f t="shared" si="22"/>
        <v>0</v>
      </c>
      <c r="AD182" s="527">
        <f t="shared" si="23"/>
        <v>292</v>
      </c>
      <c r="AE182" s="527">
        <f t="shared" si="24"/>
        <v>0</v>
      </c>
      <c r="AF182" s="527">
        <f t="shared" si="25"/>
        <v>0</v>
      </c>
      <c r="AG182" s="527">
        <f t="shared" si="26"/>
        <v>0</v>
      </c>
      <c r="AH182" s="527"/>
      <c r="AI182" s="639">
        <f t="shared" si="29"/>
        <v>292</v>
      </c>
      <c r="AR182" s="903"/>
      <c r="AS182" s="904"/>
      <c r="AT182" s="904"/>
      <c r="AU182" s="904"/>
    </row>
    <row r="183" spans="1:47" ht="12.75" customHeight="1" x14ac:dyDescent="0.2">
      <c r="A183" s="527">
        <v>175</v>
      </c>
      <c r="C183" s="533" t="s">
        <v>1667</v>
      </c>
      <c r="D183" s="613">
        <v>45</v>
      </c>
      <c r="E183" s="527" t="s">
        <v>3278</v>
      </c>
      <c r="F183" s="671"/>
      <c r="G183" s="632">
        <v>47.3</v>
      </c>
      <c r="H183" s="632">
        <v>154.69999999999999</v>
      </c>
      <c r="I183" s="635" t="s">
        <v>1654</v>
      </c>
      <c r="J183" s="617">
        <v>41490</v>
      </c>
      <c r="K183" s="533" t="s">
        <v>1682</v>
      </c>
      <c r="N183" s="724">
        <v>41649</v>
      </c>
      <c r="U183" s="613">
        <v>1</v>
      </c>
      <c r="W183" s="613">
        <f t="shared" si="28"/>
        <v>1</v>
      </c>
      <c r="X183" s="613">
        <v>1</v>
      </c>
      <c r="AB183" s="527">
        <f t="shared" si="27"/>
        <v>0</v>
      </c>
      <c r="AC183" s="527">
        <f t="shared" si="22"/>
        <v>0</v>
      </c>
      <c r="AD183" s="527">
        <f t="shared" si="23"/>
        <v>0</v>
      </c>
      <c r="AE183" s="527">
        <f t="shared" si="24"/>
        <v>0</v>
      </c>
      <c r="AF183" s="527">
        <f t="shared" si="25"/>
        <v>0</v>
      </c>
      <c r="AG183" s="527">
        <f t="shared" si="26"/>
        <v>47.3</v>
      </c>
      <c r="AH183" s="527"/>
      <c r="AI183" s="639">
        <f t="shared" si="29"/>
        <v>47.3</v>
      </c>
    </row>
    <row r="184" spans="1:47" ht="12.75" customHeight="1" x14ac:dyDescent="0.2">
      <c r="A184" s="527">
        <v>176</v>
      </c>
      <c r="C184" s="533" t="s">
        <v>1668</v>
      </c>
      <c r="D184" s="613">
        <v>53</v>
      </c>
      <c r="E184" s="533" t="s">
        <v>1676</v>
      </c>
      <c r="F184" s="671"/>
      <c r="G184" s="632">
        <v>98</v>
      </c>
      <c r="H184" s="632">
        <f>117.9+257.2</f>
        <v>375.1</v>
      </c>
      <c r="I184" s="635" t="s">
        <v>1654</v>
      </c>
      <c r="J184" s="617">
        <v>41490</v>
      </c>
      <c r="K184" s="533" t="s">
        <v>1682</v>
      </c>
      <c r="N184" s="724">
        <v>41649</v>
      </c>
      <c r="U184" s="613">
        <v>1</v>
      </c>
      <c r="W184" s="613">
        <f t="shared" si="28"/>
        <v>1</v>
      </c>
      <c r="X184" s="613">
        <v>1</v>
      </c>
      <c r="AB184" s="527">
        <f t="shared" si="27"/>
        <v>0</v>
      </c>
      <c r="AC184" s="527">
        <f t="shared" si="22"/>
        <v>0</v>
      </c>
      <c r="AD184" s="527">
        <f t="shared" si="23"/>
        <v>0</v>
      </c>
      <c r="AE184" s="527">
        <f t="shared" si="24"/>
        <v>0</v>
      </c>
      <c r="AF184" s="527">
        <f t="shared" si="25"/>
        <v>0</v>
      </c>
      <c r="AG184" s="527">
        <f t="shared" si="26"/>
        <v>98</v>
      </c>
      <c r="AH184" s="527"/>
      <c r="AI184" s="639">
        <f t="shared" si="29"/>
        <v>98</v>
      </c>
    </row>
    <row r="185" spans="1:47" ht="12.75" customHeight="1" x14ac:dyDescent="0.2">
      <c r="A185" s="527">
        <v>177</v>
      </c>
      <c r="C185" s="820" t="s">
        <v>1675</v>
      </c>
      <c r="D185" s="533"/>
      <c r="E185" s="533" t="s">
        <v>1547</v>
      </c>
      <c r="F185" s="671"/>
      <c r="G185" s="632">
        <v>529</v>
      </c>
      <c r="H185" s="632">
        <v>205.2</v>
      </c>
      <c r="I185" s="613" t="s">
        <v>1670</v>
      </c>
      <c r="J185" s="617">
        <v>41605</v>
      </c>
      <c r="K185" s="533" t="s">
        <v>1682</v>
      </c>
      <c r="N185" s="724">
        <v>41649</v>
      </c>
      <c r="U185" s="613">
        <v>1</v>
      </c>
      <c r="W185" s="613">
        <f t="shared" si="28"/>
        <v>1</v>
      </c>
      <c r="X185" s="613">
        <v>1</v>
      </c>
      <c r="Y185" s="613">
        <v>1</v>
      </c>
      <c r="AB185" s="527">
        <f t="shared" si="27"/>
        <v>0</v>
      </c>
      <c r="AC185" s="527">
        <f t="shared" si="22"/>
        <v>0</v>
      </c>
      <c r="AD185" s="527">
        <f t="shared" si="23"/>
        <v>0</v>
      </c>
      <c r="AE185" s="527">
        <f t="shared" si="24"/>
        <v>0</v>
      </c>
      <c r="AF185" s="527">
        <f t="shared" si="25"/>
        <v>0</v>
      </c>
      <c r="AG185" s="527">
        <f t="shared" si="26"/>
        <v>529</v>
      </c>
      <c r="AH185" s="527"/>
      <c r="AI185" s="639">
        <f t="shared" si="29"/>
        <v>529</v>
      </c>
    </row>
    <row r="186" spans="1:47" ht="12.75" customHeight="1" x14ac:dyDescent="0.25">
      <c r="A186" s="527">
        <v>178</v>
      </c>
      <c r="C186" s="533" t="s">
        <v>1685</v>
      </c>
      <c r="D186" s="613">
        <v>54</v>
      </c>
      <c r="E186" s="527" t="s">
        <v>1678</v>
      </c>
      <c r="F186" s="715"/>
      <c r="G186" s="632">
        <v>122.78</v>
      </c>
      <c r="H186" s="632">
        <v>502.2</v>
      </c>
      <c r="I186" s="635" t="s">
        <v>1670</v>
      </c>
      <c r="J186" s="617">
        <v>41605</v>
      </c>
      <c r="K186" s="533" t="s">
        <v>1682</v>
      </c>
      <c r="N186" s="724">
        <v>41667</v>
      </c>
      <c r="S186" s="911">
        <v>1</v>
      </c>
      <c r="W186" s="613">
        <f t="shared" si="28"/>
        <v>1</v>
      </c>
      <c r="AB186" s="527">
        <f t="shared" si="27"/>
        <v>0</v>
      </c>
      <c r="AC186" s="527">
        <f t="shared" si="22"/>
        <v>0</v>
      </c>
      <c r="AD186" s="527">
        <f t="shared" si="23"/>
        <v>0</v>
      </c>
      <c r="AE186" s="527">
        <f t="shared" si="24"/>
        <v>122.78</v>
      </c>
      <c r="AF186" s="527">
        <f t="shared" si="25"/>
        <v>0</v>
      </c>
      <c r="AG186" s="527">
        <f t="shared" si="26"/>
        <v>0</v>
      </c>
      <c r="AH186" s="527"/>
      <c r="AI186" s="639">
        <f t="shared" si="29"/>
        <v>122.78</v>
      </c>
      <c r="AK186" s="895"/>
      <c r="AL186" s="895"/>
      <c r="AM186" s="894"/>
      <c r="AN186" s="895"/>
      <c r="AO186" s="895"/>
      <c r="AR186" s="903"/>
      <c r="AS186" s="904"/>
      <c r="AT186" s="904"/>
      <c r="AU186" s="904"/>
    </row>
    <row r="187" spans="1:47" ht="12.75" customHeight="1" x14ac:dyDescent="0.2">
      <c r="A187" s="527">
        <v>179</v>
      </c>
      <c r="C187" s="533" t="s">
        <v>1686</v>
      </c>
      <c r="E187" s="533" t="s">
        <v>1687</v>
      </c>
      <c r="F187" s="715"/>
      <c r="G187" s="632">
        <v>15.6</v>
      </c>
      <c r="H187" s="632">
        <v>208.5</v>
      </c>
      <c r="I187" s="635" t="s">
        <v>1690</v>
      </c>
      <c r="J187" s="617">
        <v>41808</v>
      </c>
      <c r="K187" s="533" t="s">
        <v>1682</v>
      </c>
      <c r="N187" s="724">
        <v>41669</v>
      </c>
      <c r="U187" s="613">
        <v>1</v>
      </c>
      <c r="W187" s="613">
        <f t="shared" si="28"/>
        <v>1</v>
      </c>
      <c r="X187" s="613">
        <v>1</v>
      </c>
      <c r="AB187" s="527">
        <f t="shared" si="27"/>
        <v>0</v>
      </c>
      <c r="AC187" s="527">
        <f t="shared" si="22"/>
        <v>0</v>
      </c>
      <c r="AD187" s="527">
        <f t="shared" si="23"/>
        <v>0</v>
      </c>
      <c r="AE187" s="527">
        <f t="shared" si="24"/>
        <v>0</v>
      </c>
      <c r="AF187" s="527">
        <f t="shared" si="25"/>
        <v>0</v>
      </c>
      <c r="AG187" s="527">
        <f t="shared" si="26"/>
        <v>15.6</v>
      </c>
      <c r="AH187" s="527"/>
      <c r="AI187" s="639">
        <f t="shared" si="29"/>
        <v>15.6</v>
      </c>
    </row>
    <row r="188" spans="1:47" ht="12.75" customHeight="1" x14ac:dyDescent="0.2">
      <c r="A188" s="527">
        <v>180</v>
      </c>
      <c r="C188" s="533" t="s">
        <v>1695</v>
      </c>
      <c r="D188" s="613">
        <v>48</v>
      </c>
      <c r="E188" s="533" t="s">
        <v>1696</v>
      </c>
      <c r="F188" s="715"/>
      <c r="G188" s="632">
        <v>773</v>
      </c>
      <c r="H188" s="632">
        <f>24+286.4+586.5</f>
        <v>896.9</v>
      </c>
      <c r="I188" s="613" t="s">
        <v>1609</v>
      </c>
      <c r="J188" s="617">
        <v>41376</v>
      </c>
      <c r="K188" s="533" t="s">
        <v>1682</v>
      </c>
      <c r="N188" s="724">
        <v>41709</v>
      </c>
      <c r="U188" s="613">
        <v>1</v>
      </c>
      <c r="W188" s="613">
        <f t="shared" si="28"/>
        <v>1</v>
      </c>
      <c r="X188" s="613">
        <v>1</v>
      </c>
      <c r="AB188" s="527">
        <f t="shared" si="27"/>
        <v>0</v>
      </c>
      <c r="AC188" s="527">
        <f t="shared" si="22"/>
        <v>0</v>
      </c>
      <c r="AD188" s="527">
        <f t="shared" si="23"/>
        <v>0</v>
      </c>
      <c r="AE188" s="527">
        <f t="shared" si="24"/>
        <v>0</v>
      </c>
      <c r="AF188" s="527">
        <f t="shared" si="25"/>
        <v>0</v>
      </c>
      <c r="AG188" s="527">
        <f t="shared" si="26"/>
        <v>773</v>
      </c>
      <c r="AH188" s="527"/>
      <c r="AI188" s="639">
        <f t="shared" si="29"/>
        <v>773</v>
      </c>
    </row>
    <row r="189" spans="1:47" ht="12.75" customHeight="1" x14ac:dyDescent="0.25">
      <c r="A189" s="527">
        <v>181</v>
      </c>
      <c r="C189" s="533" t="s">
        <v>1720</v>
      </c>
      <c r="E189" s="533" t="s">
        <v>1820</v>
      </c>
      <c r="F189" s="715"/>
      <c r="G189" s="632">
        <v>94.2</v>
      </c>
      <c r="H189" s="632">
        <v>300.60000000000002</v>
      </c>
      <c r="I189" s="635" t="s">
        <v>1995</v>
      </c>
      <c r="J189" s="617">
        <v>42193</v>
      </c>
      <c r="N189" s="724">
        <v>41739</v>
      </c>
      <c r="P189" s="911">
        <v>1</v>
      </c>
      <c r="W189" s="613">
        <f t="shared" si="28"/>
        <v>1</v>
      </c>
      <c r="AB189" s="527">
        <f t="shared" si="27"/>
        <v>94.2</v>
      </c>
      <c r="AC189" s="527">
        <f t="shared" si="22"/>
        <v>0</v>
      </c>
      <c r="AD189" s="527">
        <f t="shared" si="23"/>
        <v>0</v>
      </c>
      <c r="AE189" s="527">
        <f t="shared" si="24"/>
        <v>0</v>
      </c>
      <c r="AF189" s="527">
        <f t="shared" si="25"/>
        <v>0</v>
      </c>
      <c r="AG189" s="527">
        <f t="shared" si="26"/>
        <v>0</v>
      </c>
      <c r="AH189" s="527"/>
      <c r="AI189" s="639">
        <f t="shared" si="29"/>
        <v>94.2</v>
      </c>
      <c r="AM189" s="894"/>
      <c r="AN189" s="895"/>
      <c r="AO189" s="895"/>
      <c r="AP189" s="897"/>
      <c r="AR189" s="903"/>
      <c r="AS189" s="904"/>
      <c r="AT189" s="904"/>
      <c r="AU189" s="904"/>
    </row>
    <row r="190" spans="1:47" ht="12.75" customHeight="1" x14ac:dyDescent="0.2">
      <c r="A190" s="527">
        <v>182</v>
      </c>
      <c r="C190" s="533" t="s">
        <v>1721</v>
      </c>
      <c r="D190" s="613">
        <v>61</v>
      </c>
      <c r="E190" s="533" t="s">
        <v>1811</v>
      </c>
      <c r="F190" s="715"/>
      <c r="G190" s="632">
        <v>2814</v>
      </c>
      <c r="H190" s="632">
        <v>199.8</v>
      </c>
      <c r="I190" s="613" t="s">
        <v>1690</v>
      </c>
      <c r="J190" s="617">
        <v>41808</v>
      </c>
      <c r="K190" s="533" t="s">
        <v>1682</v>
      </c>
      <c r="N190" s="724">
        <v>41813</v>
      </c>
      <c r="U190" s="613">
        <v>1</v>
      </c>
      <c r="W190" s="613">
        <f t="shared" si="28"/>
        <v>1</v>
      </c>
      <c r="X190" s="613">
        <v>1</v>
      </c>
      <c r="AB190" s="527">
        <f t="shared" si="27"/>
        <v>0</v>
      </c>
      <c r="AC190" s="527">
        <f t="shared" si="22"/>
        <v>0</v>
      </c>
      <c r="AD190" s="527">
        <f t="shared" si="23"/>
        <v>0</v>
      </c>
      <c r="AE190" s="527">
        <f t="shared" si="24"/>
        <v>0</v>
      </c>
      <c r="AF190" s="527">
        <f t="shared" si="25"/>
        <v>0</v>
      </c>
      <c r="AG190" s="527">
        <f t="shared" si="26"/>
        <v>2814</v>
      </c>
      <c r="AH190" s="527"/>
      <c r="AI190" s="639">
        <f t="shared" si="29"/>
        <v>2814</v>
      </c>
    </row>
    <row r="191" spans="1:47" ht="12.75" customHeight="1" x14ac:dyDescent="0.2">
      <c r="A191" s="527">
        <v>183</v>
      </c>
      <c r="C191" s="533" t="s">
        <v>1724</v>
      </c>
      <c r="D191" s="613">
        <v>57</v>
      </c>
      <c r="E191" s="533" t="s">
        <v>1703</v>
      </c>
      <c r="F191" s="715"/>
      <c r="G191" s="632">
        <v>432.5</v>
      </c>
      <c r="H191" s="632">
        <v>249</v>
      </c>
      <c r="I191" s="613" t="s">
        <v>1690</v>
      </c>
      <c r="J191" s="617">
        <v>41808</v>
      </c>
      <c r="K191" s="533" t="s">
        <v>1682</v>
      </c>
      <c r="N191" s="724">
        <v>41826</v>
      </c>
      <c r="U191" s="613">
        <v>1</v>
      </c>
      <c r="W191" s="613">
        <f t="shared" si="28"/>
        <v>1</v>
      </c>
      <c r="X191" s="613">
        <v>1</v>
      </c>
      <c r="AB191" s="527">
        <f t="shared" si="27"/>
        <v>0</v>
      </c>
      <c r="AC191" s="527">
        <f t="shared" si="22"/>
        <v>0</v>
      </c>
      <c r="AD191" s="527">
        <f t="shared" si="23"/>
        <v>0</v>
      </c>
      <c r="AE191" s="527">
        <f t="shared" si="24"/>
        <v>0</v>
      </c>
      <c r="AF191" s="527">
        <f t="shared" si="25"/>
        <v>0</v>
      </c>
      <c r="AG191" s="527">
        <f t="shared" si="26"/>
        <v>432.5</v>
      </c>
      <c r="AH191" s="527"/>
      <c r="AI191" s="639">
        <f t="shared" si="29"/>
        <v>432.5</v>
      </c>
    </row>
    <row r="192" spans="1:47" ht="12.75" customHeight="1" x14ac:dyDescent="0.2">
      <c r="A192" s="527">
        <v>184</v>
      </c>
      <c r="C192" s="533" t="s">
        <v>1787</v>
      </c>
      <c r="D192" s="613">
        <v>74</v>
      </c>
      <c r="E192" s="533" t="s">
        <v>1726</v>
      </c>
      <c r="F192" s="715"/>
      <c r="G192" s="632">
        <v>36.5</v>
      </c>
      <c r="H192" s="632">
        <v>225.7</v>
      </c>
      <c r="I192" s="635" t="s">
        <v>1729</v>
      </c>
      <c r="J192" s="617">
        <v>41843</v>
      </c>
      <c r="K192" s="533" t="s">
        <v>1682</v>
      </c>
      <c r="N192" s="724">
        <v>41942</v>
      </c>
      <c r="U192" s="613">
        <v>1</v>
      </c>
      <c r="W192" s="613">
        <f t="shared" si="28"/>
        <v>1</v>
      </c>
      <c r="X192" s="613">
        <v>1</v>
      </c>
      <c r="AB192" s="527">
        <f t="shared" si="27"/>
        <v>0</v>
      </c>
      <c r="AC192" s="527">
        <f t="shared" si="22"/>
        <v>0</v>
      </c>
      <c r="AD192" s="527">
        <f t="shared" si="23"/>
        <v>0</v>
      </c>
      <c r="AE192" s="527">
        <f t="shared" si="24"/>
        <v>0</v>
      </c>
      <c r="AF192" s="527">
        <f t="shared" si="25"/>
        <v>0</v>
      </c>
      <c r="AG192" s="527">
        <f t="shared" si="26"/>
        <v>36.5</v>
      </c>
      <c r="AH192" s="527"/>
      <c r="AI192" s="639">
        <f t="shared" si="29"/>
        <v>36.5</v>
      </c>
    </row>
    <row r="193" spans="1:47" ht="12.75" customHeight="1" x14ac:dyDescent="0.2">
      <c r="A193" s="527">
        <v>185</v>
      </c>
      <c r="C193" s="533" t="s">
        <v>1790</v>
      </c>
      <c r="E193" s="533" t="s">
        <v>1788</v>
      </c>
      <c r="F193" s="715"/>
      <c r="G193" s="632">
        <v>261</v>
      </c>
      <c r="I193" s="635"/>
      <c r="J193" s="617"/>
      <c r="K193" s="533" t="s">
        <v>1682</v>
      </c>
      <c r="L193" s="527">
        <v>2014</v>
      </c>
      <c r="N193" s="724">
        <v>41946</v>
      </c>
      <c r="U193" s="613">
        <v>1</v>
      </c>
      <c r="W193" s="613">
        <f t="shared" si="28"/>
        <v>1</v>
      </c>
      <c r="AB193" s="527">
        <f t="shared" si="27"/>
        <v>0</v>
      </c>
      <c r="AC193" s="527">
        <f t="shared" si="22"/>
        <v>0</v>
      </c>
      <c r="AD193" s="527">
        <f t="shared" si="23"/>
        <v>0</v>
      </c>
      <c r="AE193" s="527">
        <f t="shared" si="24"/>
        <v>0</v>
      </c>
      <c r="AF193" s="527">
        <f t="shared" si="25"/>
        <v>0</v>
      </c>
      <c r="AG193" s="527">
        <f t="shared" si="26"/>
        <v>261</v>
      </c>
      <c r="AH193" s="527"/>
      <c r="AI193" s="639">
        <f t="shared" si="29"/>
        <v>261</v>
      </c>
    </row>
    <row r="194" spans="1:47" ht="12.75" customHeight="1" x14ac:dyDescent="0.2">
      <c r="A194" s="527">
        <v>186</v>
      </c>
      <c r="C194" s="533" t="s">
        <v>1791</v>
      </c>
      <c r="E194" s="533" t="s">
        <v>1792</v>
      </c>
      <c r="F194" s="715"/>
      <c r="G194" s="632">
        <v>45</v>
      </c>
      <c r="H194" s="632">
        <v>300.8</v>
      </c>
      <c r="I194" s="635" t="s">
        <v>1871</v>
      </c>
      <c r="J194" s="617">
        <v>42123</v>
      </c>
      <c r="K194" s="533" t="s">
        <v>1682</v>
      </c>
      <c r="L194" s="527">
        <v>2014</v>
      </c>
      <c r="N194" s="724">
        <v>41946</v>
      </c>
      <c r="U194" s="613">
        <v>1</v>
      </c>
      <c r="W194" s="613">
        <f t="shared" si="28"/>
        <v>1</v>
      </c>
      <c r="X194" s="613">
        <v>1</v>
      </c>
      <c r="AB194" s="527">
        <f t="shared" si="27"/>
        <v>0</v>
      </c>
      <c r="AC194" s="527">
        <f t="shared" ref="AC194:AC257" si="30">IF(Q194=1,$G194,0)</f>
        <v>0</v>
      </c>
      <c r="AD194" s="527">
        <f t="shared" ref="AD194:AD257" si="31">IF(R194=1,$G194,0)</f>
        <v>0</v>
      </c>
      <c r="AE194" s="527">
        <f t="shared" ref="AE194:AE257" si="32">IF(S194=1,$G194,0)</f>
        <v>0</v>
      </c>
      <c r="AF194" s="527">
        <f t="shared" ref="AF194:AF257" si="33">IF(T194=1,$G194,0)</f>
        <v>0</v>
      </c>
      <c r="AG194" s="527">
        <f t="shared" ref="AG194:AG257" si="34">IF(U194=1,$G194,0)</f>
        <v>45</v>
      </c>
      <c r="AH194" s="527"/>
      <c r="AI194" s="639">
        <f t="shared" si="29"/>
        <v>45</v>
      </c>
    </row>
    <row r="195" spans="1:47" ht="12.75" customHeight="1" x14ac:dyDescent="0.2">
      <c r="A195" s="527">
        <v>187</v>
      </c>
      <c r="C195" s="533" t="s">
        <v>1694</v>
      </c>
      <c r="D195" s="613">
        <v>72</v>
      </c>
      <c r="E195" s="533" t="s">
        <v>3686</v>
      </c>
      <c r="F195" s="715"/>
      <c r="G195" s="632">
        <v>1389</v>
      </c>
      <c r="H195" s="632">
        <f>152.9+258.9</f>
        <v>411.79999999999995</v>
      </c>
      <c r="I195" s="613" t="s">
        <v>1690</v>
      </c>
      <c r="J195" s="617">
        <v>41808</v>
      </c>
      <c r="K195" s="533" t="s">
        <v>1682</v>
      </c>
      <c r="L195" s="527">
        <v>2014</v>
      </c>
      <c r="N195" s="724">
        <v>41953</v>
      </c>
      <c r="U195" s="613">
        <v>1</v>
      </c>
      <c r="W195" s="613">
        <f t="shared" si="28"/>
        <v>1</v>
      </c>
      <c r="X195" s="613">
        <v>1</v>
      </c>
      <c r="AB195" s="527">
        <f t="shared" ref="AB195:AB258" si="35">IF(P195=1,$G195,0)</f>
        <v>0</v>
      </c>
      <c r="AC195" s="527">
        <f t="shared" si="30"/>
        <v>0</v>
      </c>
      <c r="AD195" s="527">
        <f t="shared" si="31"/>
        <v>0</v>
      </c>
      <c r="AE195" s="527">
        <f t="shared" si="32"/>
        <v>0</v>
      </c>
      <c r="AF195" s="527">
        <f t="shared" si="33"/>
        <v>0</v>
      </c>
      <c r="AG195" s="527">
        <f t="shared" si="34"/>
        <v>1389</v>
      </c>
      <c r="AH195" s="527"/>
      <c r="AI195" s="639">
        <f t="shared" si="29"/>
        <v>1389</v>
      </c>
    </row>
    <row r="196" spans="1:47" ht="12.75" customHeight="1" x14ac:dyDescent="0.2">
      <c r="A196" s="527">
        <v>188</v>
      </c>
      <c r="C196" s="533" t="s">
        <v>1793</v>
      </c>
      <c r="D196" s="613">
        <v>63</v>
      </c>
      <c r="E196" s="533" t="s">
        <v>3697</v>
      </c>
      <c r="F196" s="715"/>
      <c r="G196" s="639">
        <v>704.5</v>
      </c>
      <c r="H196" s="632">
        <v>250.4</v>
      </c>
      <c r="I196" s="613" t="s">
        <v>1690</v>
      </c>
      <c r="J196" s="617">
        <v>41808</v>
      </c>
      <c r="K196" s="533" t="s">
        <v>1682</v>
      </c>
      <c r="L196" s="527">
        <v>2014</v>
      </c>
      <c r="N196" s="724">
        <v>41953</v>
      </c>
      <c r="U196" s="613">
        <v>1</v>
      </c>
      <c r="W196" s="613">
        <f t="shared" si="28"/>
        <v>1</v>
      </c>
      <c r="X196" s="613">
        <v>1</v>
      </c>
      <c r="AB196" s="527">
        <f t="shared" si="35"/>
        <v>0</v>
      </c>
      <c r="AC196" s="527">
        <f t="shared" si="30"/>
        <v>0</v>
      </c>
      <c r="AD196" s="527">
        <f t="shared" si="31"/>
        <v>0</v>
      </c>
      <c r="AE196" s="527">
        <f t="shared" si="32"/>
        <v>0</v>
      </c>
      <c r="AF196" s="527">
        <f t="shared" si="33"/>
        <v>0</v>
      </c>
      <c r="AG196" s="527">
        <f t="shared" si="34"/>
        <v>704.5</v>
      </c>
      <c r="AH196" s="527"/>
      <c r="AI196" s="639">
        <f t="shared" si="29"/>
        <v>704.5</v>
      </c>
    </row>
    <row r="197" spans="1:47" ht="12.75" customHeight="1" x14ac:dyDescent="0.2">
      <c r="A197" s="527">
        <v>189</v>
      </c>
      <c r="C197" s="533" t="s">
        <v>1812</v>
      </c>
      <c r="E197" s="533" t="s">
        <v>2407</v>
      </c>
      <c r="F197" s="715"/>
      <c r="G197" s="639">
        <v>598</v>
      </c>
      <c r="H197" s="632">
        <f>471.6+150.1</f>
        <v>621.70000000000005</v>
      </c>
      <c r="I197" s="635" t="s">
        <v>2118</v>
      </c>
      <c r="J197" s="617">
        <v>42515</v>
      </c>
      <c r="K197" s="533" t="s">
        <v>1682</v>
      </c>
      <c r="L197" s="527">
        <v>2014</v>
      </c>
      <c r="N197" s="724">
        <v>41955</v>
      </c>
      <c r="U197" s="613">
        <v>1</v>
      </c>
      <c r="W197" s="613">
        <f t="shared" si="28"/>
        <v>1</v>
      </c>
      <c r="X197" s="613">
        <v>1</v>
      </c>
      <c r="AB197" s="527">
        <f t="shared" si="35"/>
        <v>0</v>
      </c>
      <c r="AC197" s="527">
        <f t="shared" si="30"/>
        <v>0</v>
      </c>
      <c r="AD197" s="527">
        <f t="shared" si="31"/>
        <v>0</v>
      </c>
      <c r="AE197" s="527">
        <f t="shared" si="32"/>
        <v>0</v>
      </c>
      <c r="AF197" s="527">
        <f t="shared" si="33"/>
        <v>0</v>
      </c>
      <c r="AG197" s="527">
        <f t="shared" si="34"/>
        <v>598</v>
      </c>
      <c r="AH197" s="527"/>
      <c r="AI197" s="639">
        <f t="shared" si="29"/>
        <v>598</v>
      </c>
    </row>
    <row r="198" spans="1:47" ht="12.75" customHeight="1" x14ac:dyDescent="0.25">
      <c r="A198" s="527">
        <v>190</v>
      </c>
      <c r="C198" s="533" t="s">
        <v>1797</v>
      </c>
      <c r="D198" s="613">
        <v>70</v>
      </c>
      <c r="E198" s="533" t="s">
        <v>1804</v>
      </c>
      <c r="F198" s="715"/>
      <c r="G198" s="639">
        <v>23.5</v>
      </c>
      <c r="H198" s="632">
        <v>4726</v>
      </c>
      <c r="I198" s="613" t="s">
        <v>1690</v>
      </c>
      <c r="J198" s="617">
        <v>41808</v>
      </c>
      <c r="K198" s="533" t="s">
        <v>1682</v>
      </c>
      <c r="L198" s="527">
        <v>2013</v>
      </c>
      <c r="N198" s="724">
        <v>41958</v>
      </c>
      <c r="R198" s="911">
        <v>1</v>
      </c>
      <c r="W198" s="613">
        <f t="shared" si="28"/>
        <v>1</v>
      </c>
      <c r="AB198" s="527">
        <f t="shared" si="35"/>
        <v>0</v>
      </c>
      <c r="AC198" s="527">
        <f t="shared" si="30"/>
        <v>0</v>
      </c>
      <c r="AD198" s="527">
        <f t="shared" si="31"/>
        <v>23.5</v>
      </c>
      <c r="AE198" s="527">
        <f t="shared" si="32"/>
        <v>0</v>
      </c>
      <c r="AF198" s="527">
        <f t="shared" si="33"/>
        <v>0</v>
      </c>
      <c r="AG198" s="527">
        <f t="shared" si="34"/>
        <v>0</v>
      </c>
      <c r="AH198" s="527"/>
      <c r="AI198" s="639">
        <f t="shared" si="29"/>
        <v>23.5</v>
      </c>
      <c r="AR198" s="903"/>
      <c r="AS198" s="904"/>
      <c r="AT198" s="904"/>
      <c r="AU198" s="904"/>
    </row>
    <row r="199" spans="1:47" ht="12.75" customHeight="1" x14ac:dyDescent="0.2">
      <c r="A199" s="527">
        <v>191</v>
      </c>
      <c r="C199" s="533" t="s">
        <v>1683</v>
      </c>
      <c r="D199" s="613">
        <v>56</v>
      </c>
      <c r="E199" s="527" t="s">
        <v>1689</v>
      </c>
      <c r="F199" s="715"/>
      <c r="G199" s="632">
        <v>18.2</v>
      </c>
      <c r="H199" s="632">
        <f>141.2+129.1</f>
        <v>270.29999999999995</v>
      </c>
      <c r="I199" s="613" t="s">
        <v>1690</v>
      </c>
      <c r="J199" s="617">
        <v>41808</v>
      </c>
      <c r="K199" s="533" t="s">
        <v>1682</v>
      </c>
      <c r="N199" s="724">
        <v>41958</v>
      </c>
      <c r="U199" s="613">
        <v>1</v>
      </c>
      <c r="W199" s="613">
        <f t="shared" si="28"/>
        <v>1</v>
      </c>
      <c r="X199" s="613">
        <v>1</v>
      </c>
      <c r="AB199" s="527">
        <f t="shared" si="35"/>
        <v>0</v>
      </c>
      <c r="AC199" s="527">
        <f t="shared" si="30"/>
        <v>0</v>
      </c>
      <c r="AD199" s="527">
        <f t="shared" si="31"/>
        <v>0</v>
      </c>
      <c r="AE199" s="527">
        <f t="shared" si="32"/>
        <v>0</v>
      </c>
      <c r="AF199" s="527">
        <f t="shared" si="33"/>
        <v>0</v>
      </c>
      <c r="AG199" s="527">
        <f t="shared" si="34"/>
        <v>18.2</v>
      </c>
      <c r="AH199" s="527"/>
      <c r="AI199" s="639">
        <f t="shared" si="29"/>
        <v>18.2</v>
      </c>
    </row>
    <row r="200" spans="1:47" ht="12.75" customHeight="1" x14ac:dyDescent="0.2">
      <c r="A200" s="527">
        <v>192</v>
      </c>
      <c r="C200" s="533" t="s">
        <v>1688</v>
      </c>
      <c r="D200" s="613">
        <v>71</v>
      </c>
      <c r="E200" s="527" t="s">
        <v>1684</v>
      </c>
      <c r="F200" s="715"/>
      <c r="G200" s="632">
        <v>208.6</v>
      </c>
      <c r="H200" s="632">
        <v>261.10000000000002</v>
      </c>
      <c r="I200" s="613" t="s">
        <v>1690</v>
      </c>
      <c r="J200" s="617">
        <v>41808</v>
      </c>
      <c r="K200" s="533" t="s">
        <v>1682</v>
      </c>
      <c r="N200" s="724">
        <v>41958</v>
      </c>
      <c r="U200" s="613">
        <v>1</v>
      </c>
      <c r="W200" s="613">
        <f t="shared" si="28"/>
        <v>1</v>
      </c>
      <c r="X200" s="613">
        <v>1</v>
      </c>
      <c r="AB200" s="527">
        <f t="shared" si="35"/>
        <v>0</v>
      </c>
      <c r="AC200" s="527">
        <f t="shared" si="30"/>
        <v>0</v>
      </c>
      <c r="AD200" s="527">
        <f t="shared" si="31"/>
        <v>0</v>
      </c>
      <c r="AE200" s="527">
        <f t="shared" si="32"/>
        <v>0</v>
      </c>
      <c r="AF200" s="527">
        <f t="shared" si="33"/>
        <v>0</v>
      </c>
      <c r="AG200" s="527">
        <f t="shared" si="34"/>
        <v>208.6</v>
      </c>
      <c r="AH200" s="527"/>
      <c r="AI200" s="639">
        <f t="shared" si="29"/>
        <v>208.6</v>
      </c>
    </row>
    <row r="201" spans="1:47" ht="12.75" customHeight="1" x14ac:dyDescent="0.2">
      <c r="A201" s="527">
        <v>193</v>
      </c>
      <c r="C201" s="533" t="s">
        <v>1798</v>
      </c>
      <c r="D201" s="613">
        <v>52</v>
      </c>
      <c r="E201" s="533" t="s">
        <v>1727</v>
      </c>
      <c r="F201" s="715"/>
      <c r="G201" s="639">
        <v>23.8</v>
      </c>
      <c r="H201" s="632">
        <f>64.6+50.5</f>
        <v>115.1</v>
      </c>
      <c r="I201" s="635" t="s">
        <v>1654</v>
      </c>
      <c r="J201" s="617">
        <v>41490</v>
      </c>
      <c r="K201" s="533" t="s">
        <v>1682</v>
      </c>
      <c r="L201" s="527">
        <v>2013</v>
      </c>
      <c r="N201" s="724">
        <v>41966</v>
      </c>
      <c r="U201" s="613">
        <v>1</v>
      </c>
      <c r="W201" s="613">
        <f t="shared" si="28"/>
        <v>1</v>
      </c>
      <c r="X201" s="613">
        <v>1</v>
      </c>
      <c r="Y201" s="613">
        <v>1</v>
      </c>
      <c r="AB201" s="527">
        <f t="shared" si="35"/>
        <v>0</v>
      </c>
      <c r="AC201" s="527">
        <f t="shared" si="30"/>
        <v>0</v>
      </c>
      <c r="AD201" s="527">
        <f t="shared" si="31"/>
        <v>0</v>
      </c>
      <c r="AE201" s="527">
        <f t="shared" si="32"/>
        <v>0</v>
      </c>
      <c r="AF201" s="527">
        <f t="shared" si="33"/>
        <v>0</v>
      </c>
      <c r="AG201" s="527">
        <f t="shared" si="34"/>
        <v>23.8</v>
      </c>
      <c r="AH201" s="527"/>
      <c r="AI201" s="639">
        <f t="shared" si="29"/>
        <v>23.8</v>
      </c>
      <c r="AK201" s="778">
        <v>1</v>
      </c>
    </row>
    <row r="202" spans="1:47" ht="12.75" customHeight="1" x14ac:dyDescent="0.2">
      <c r="A202" s="527">
        <v>194</v>
      </c>
      <c r="C202" s="533" t="s">
        <v>1799</v>
      </c>
      <c r="D202" s="613">
        <v>62</v>
      </c>
      <c r="E202" s="533" t="s">
        <v>3698</v>
      </c>
      <c r="F202" s="715"/>
      <c r="G202" s="639">
        <v>5895</v>
      </c>
      <c r="H202" s="632">
        <v>243.1</v>
      </c>
      <c r="I202" s="613" t="s">
        <v>1690</v>
      </c>
      <c r="J202" s="617">
        <v>41808</v>
      </c>
      <c r="K202" s="533" t="s">
        <v>1682</v>
      </c>
      <c r="L202" s="527">
        <v>2014</v>
      </c>
      <c r="N202" s="724">
        <v>41968</v>
      </c>
      <c r="U202" s="613">
        <v>1</v>
      </c>
      <c r="W202" s="613">
        <f t="shared" si="28"/>
        <v>1</v>
      </c>
      <c r="X202" s="613">
        <v>1</v>
      </c>
      <c r="AB202" s="527">
        <f t="shared" si="35"/>
        <v>0</v>
      </c>
      <c r="AC202" s="527">
        <f t="shared" si="30"/>
        <v>0</v>
      </c>
      <c r="AD202" s="527">
        <f t="shared" si="31"/>
        <v>0</v>
      </c>
      <c r="AE202" s="527">
        <f t="shared" si="32"/>
        <v>0</v>
      </c>
      <c r="AF202" s="527">
        <f t="shared" si="33"/>
        <v>0</v>
      </c>
      <c r="AG202" s="527">
        <f t="shared" si="34"/>
        <v>5895</v>
      </c>
      <c r="AH202" s="527"/>
      <c r="AI202" s="639">
        <f t="shared" si="29"/>
        <v>5895</v>
      </c>
    </row>
    <row r="203" spans="1:47" ht="12.75" customHeight="1" x14ac:dyDescent="0.2">
      <c r="A203" s="527">
        <v>195</v>
      </c>
      <c r="C203" s="533" t="s">
        <v>1808</v>
      </c>
      <c r="D203" s="613">
        <v>73</v>
      </c>
      <c r="E203" s="533" t="s">
        <v>1814</v>
      </c>
      <c r="F203" s="715"/>
      <c r="G203" s="639">
        <v>166.3</v>
      </c>
      <c r="H203" s="632">
        <v>227.3</v>
      </c>
      <c r="I203" s="635" t="s">
        <v>1729</v>
      </c>
      <c r="J203" s="617">
        <v>41843</v>
      </c>
      <c r="K203" s="533" t="s">
        <v>1682</v>
      </c>
      <c r="L203" s="527">
        <v>2014</v>
      </c>
      <c r="N203" s="724">
        <v>41985</v>
      </c>
      <c r="U203" s="613">
        <v>1</v>
      </c>
      <c r="W203" s="613">
        <f t="shared" si="28"/>
        <v>1</v>
      </c>
      <c r="X203" s="613">
        <v>1</v>
      </c>
      <c r="AB203" s="527">
        <f t="shared" si="35"/>
        <v>0</v>
      </c>
      <c r="AC203" s="527">
        <f t="shared" si="30"/>
        <v>0</v>
      </c>
      <c r="AD203" s="527">
        <f t="shared" si="31"/>
        <v>0</v>
      </c>
      <c r="AE203" s="527">
        <f t="shared" si="32"/>
        <v>0</v>
      </c>
      <c r="AF203" s="527">
        <f t="shared" si="33"/>
        <v>0</v>
      </c>
      <c r="AG203" s="527">
        <f t="shared" si="34"/>
        <v>166.3</v>
      </c>
      <c r="AH203" s="527"/>
      <c r="AI203" s="639">
        <f t="shared" si="29"/>
        <v>166.3</v>
      </c>
    </row>
    <row r="204" spans="1:47" ht="12.75" customHeight="1" x14ac:dyDescent="0.2">
      <c r="A204" s="527">
        <v>196</v>
      </c>
      <c r="C204" s="533" t="s">
        <v>1809</v>
      </c>
      <c r="D204" s="613">
        <v>66</v>
      </c>
      <c r="E204" s="533" t="s">
        <v>1823</v>
      </c>
      <c r="F204" s="715"/>
      <c r="G204" s="639">
        <v>263</v>
      </c>
      <c r="H204" s="632">
        <f>163.7+250.2</f>
        <v>413.9</v>
      </c>
      <c r="I204" s="613" t="s">
        <v>1690</v>
      </c>
      <c r="J204" s="617">
        <v>41808</v>
      </c>
      <c r="K204" s="533" t="s">
        <v>1682</v>
      </c>
      <c r="L204" s="527">
        <v>2014</v>
      </c>
      <c r="N204" s="724">
        <v>41985</v>
      </c>
      <c r="U204" s="613">
        <v>1</v>
      </c>
      <c r="W204" s="613">
        <f t="shared" si="28"/>
        <v>1</v>
      </c>
      <c r="X204" s="613">
        <v>1</v>
      </c>
      <c r="AB204" s="527">
        <f t="shared" si="35"/>
        <v>0</v>
      </c>
      <c r="AC204" s="527">
        <f t="shared" si="30"/>
        <v>0</v>
      </c>
      <c r="AD204" s="527">
        <f t="shared" si="31"/>
        <v>0</v>
      </c>
      <c r="AE204" s="527">
        <f t="shared" si="32"/>
        <v>0</v>
      </c>
      <c r="AF204" s="527">
        <f t="shared" si="33"/>
        <v>0</v>
      </c>
      <c r="AG204" s="527">
        <f t="shared" si="34"/>
        <v>263</v>
      </c>
      <c r="AH204" s="527"/>
      <c r="AI204" s="639">
        <f t="shared" si="29"/>
        <v>263</v>
      </c>
    </row>
    <row r="205" spans="1:47" ht="12.75" customHeight="1" x14ac:dyDescent="0.2">
      <c r="A205" s="527">
        <v>197</v>
      </c>
      <c r="C205" s="533" t="s">
        <v>1810</v>
      </c>
      <c r="D205" s="613">
        <v>69</v>
      </c>
      <c r="E205" s="533" t="s">
        <v>1815</v>
      </c>
      <c r="F205" s="715"/>
      <c r="G205" s="639">
        <v>82</v>
      </c>
      <c r="H205" s="632">
        <f>319.1+111.2+61.4+64.4</f>
        <v>556.1</v>
      </c>
      <c r="I205" s="613" t="s">
        <v>1690</v>
      </c>
      <c r="J205" s="617">
        <v>41808</v>
      </c>
      <c r="K205" s="533" t="s">
        <v>1682</v>
      </c>
      <c r="L205" s="527">
        <v>2014</v>
      </c>
      <c r="N205" s="724">
        <v>41985</v>
      </c>
      <c r="U205" s="613">
        <v>1</v>
      </c>
      <c r="W205" s="613">
        <f t="shared" si="28"/>
        <v>1</v>
      </c>
      <c r="X205" s="613">
        <v>1</v>
      </c>
      <c r="AB205" s="527">
        <f t="shared" si="35"/>
        <v>0</v>
      </c>
      <c r="AC205" s="527">
        <f t="shared" si="30"/>
        <v>0</v>
      </c>
      <c r="AD205" s="527">
        <f t="shared" si="31"/>
        <v>0</v>
      </c>
      <c r="AE205" s="527">
        <f t="shared" si="32"/>
        <v>0</v>
      </c>
      <c r="AF205" s="527">
        <f t="shared" si="33"/>
        <v>0</v>
      </c>
      <c r="AG205" s="527">
        <f t="shared" si="34"/>
        <v>82</v>
      </c>
      <c r="AH205" s="527"/>
      <c r="AI205" s="639">
        <f t="shared" si="29"/>
        <v>82</v>
      </c>
    </row>
    <row r="206" spans="1:47" ht="12.75" customHeight="1" x14ac:dyDescent="0.2">
      <c r="A206" s="527">
        <v>198</v>
      </c>
      <c r="C206" s="533" t="s">
        <v>1813</v>
      </c>
      <c r="E206" s="533" t="s">
        <v>2012</v>
      </c>
      <c r="F206" s="715"/>
      <c r="G206" s="632">
        <v>562.5</v>
      </c>
      <c r="H206" s="632">
        <v>466.5</v>
      </c>
      <c r="I206" s="613" t="s">
        <v>2019</v>
      </c>
      <c r="J206" s="617">
        <v>42298</v>
      </c>
      <c r="K206" s="533" t="s">
        <v>1682</v>
      </c>
      <c r="L206" s="527">
        <v>2014</v>
      </c>
      <c r="N206" s="724">
        <v>41986</v>
      </c>
      <c r="U206" s="613">
        <v>1</v>
      </c>
      <c r="W206" s="613">
        <f t="shared" si="28"/>
        <v>1</v>
      </c>
      <c r="X206" s="613">
        <v>1</v>
      </c>
      <c r="AB206" s="527">
        <f t="shared" si="35"/>
        <v>0</v>
      </c>
      <c r="AC206" s="527">
        <f t="shared" si="30"/>
        <v>0</v>
      </c>
      <c r="AD206" s="527">
        <f t="shared" si="31"/>
        <v>0</v>
      </c>
      <c r="AE206" s="527">
        <f t="shared" si="32"/>
        <v>0</v>
      </c>
      <c r="AF206" s="527">
        <f t="shared" si="33"/>
        <v>0</v>
      </c>
      <c r="AG206" s="527">
        <f t="shared" si="34"/>
        <v>562.5</v>
      </c>
      <c r="AH206" s="527"/>
      <c r="AI206" s="639">
        <f t="shared" si="29"/>
        <v>562.5</v>
      </c>
    </row>
    <row r="207" spans="1:47" ht="12.75" customHeight="1" x14ac:dyDescent="0.25">
      <c r="A207" s="527">
        <v>199</v>
      </c>
      <c r="C207" s="533" t="s">
        <v>1818</v>
      </c>
      <c r="D207" s="613">
        <v>40</v>
      </c>
      <c r="E207" s="533" t="s">
        <v>1806</v>
      </c>
      <c r="F207" s="715"/>
      <c r="G207" s="639">
        <v>56.3</v>
      </c>
      <c r="H207" s="632">
        <v>545.1</v>
      </c>
      <c r="I207" s="613" t="s">
        <v>1610</v>
      </c>
      <c r="J207" s="617">
        <v>41557</v>
      </c>
      <c r="K207" s="533" t="s">
        <v>1682</v>
      </c>
      <c r="L207" s="527">
        <v>2011</v>
      </c>
      <c r="N207" s="724">
        <v>42001</v>
      </c>
      <c r="R207" s="911">
        <v>1</v>
      </c>
      <c r="W207" s="613">
        <f t="shared" si="28"/>
        <v>1</v>
      </c>
      <c r="AB207" s="527">
        <f t="shared" si="35"/>
        <v>0</v>
      </c>
      <c r="AC207" s="527">
        <f t="shared" si="30"/>
        <v>0</v>
      </c>
      <c r="AD207" s="527">
        <f t="shared" si="31"/>
        <v>56.3</v>
      </c>
      <c r="AE207" s="527">
        <f t="shared" si="32"/>
        <v>0</v>
      </c>
      <c r="AF207" s="527">
        <f t="shared" si="33"/>
        <v>0</v>
      </c>
      <c r="AG207" s="527">
        <f t="shared" si="34"/>
        <v>0</v>
      </c>
      <c r="AH207" s="527"/>
      <c r="AI207" s="639">
        <f t="shared" si="29"/>
        <v>56.3</v>
      </c>
      <c r="AR207" s="903"/>
      <c r="AS207" s="904"/>
      <c r="AT207" s="904"/>
      <c r="AU207" s="904"/>
    </row>
    <row r="208" spans="1:47" ht="12.75" customHeight="1" x14ac:dyDescent="0.25">
      <c r="A208" s="527">
        <v>200</v>
      </c>
      <c r="C208" s="533" t="s">
        <v>1819</v>
      </c>
      <c r="D208" s="613">
        <v>41</v>
      </c>
      <c r="E208" s="533" t="s">
        <v>1807</v>
      </c>
      <c r="F208" s="715"/>
      <c r="G208" s="632">
        <v>32.1</v>
      </c>
      <c r="H208" s="632">
        <v>360.7</v>
      </c>
      <c r="I208" s="635" t="s">
        <v>1789</v>
      </c>
      <c r="J208" s="617">
        <v>41955</v>
      </c>
      <c r="K208" s="533" t="s">
        <v>1682</v>
      </c>
      <c r="L208" s="527">
        <v>2011</v>
      </c>
      <c r="N208" s="724">
        <v>42001</v>
      </c>
      <c r="R208" s="911">
        <v>1</v>
      </c>
      <c r="W208" s="613">
        <f t="shared" si="28"/>
        <v>1</v>
      </c>
      <c r="AB208" s="527">
        <f t="shared" si="35"/>
        <v>0</v>
      </c>
      <c r="AC208" s="527">
        <f t="shared" si="30"/>
        <v>0</v>
      </c>
      <c r="AD208" s="527">
        <f t="shared" si="31"/>
        <v>32.1</v>
      </c>
      <c r="AE208" s="527">
        <f t="shared" si="32"/>
        <v>0</v>
      </c>
      <c r="AF208" s="527">
        <f t="shared" si="33"/>
        <v>0</v>
      </c>
      <c r="AG208" s="527">
        <f t="shared" si="34"/>
        <v>0</v>
      </c>
      <c r="AH208" s="527"/>
      <c r="AI208" s="639">
        <f t="shared" si="29"/>
        <v>32.1</v>
      </c>
      <c r="AR208" s="903"/>
      <c r="AS208" s="904"/>
      <c r="AT208" s="904"/>
      <c r="AU208" s="904"/>
    </row>
    <row r="209" spans="1:47" ht="12.75" customHeight="1" x14ac:dyDescent="0.2">
      <c r="A209" s="527">
        <v>201</v>
      </c>
      <c r="C209" s="533" t="s">
        <v>1817</v>
      </c>
      <c r="D209" s="613">
        <v>75</v>
      </c>
      <c r="E209" s="533" t="s">
        <v>1822</v>
      </c>
      <c r="F209" s="715"/>
      <c r="G209" s="639">
        <v>72</v>
      </c>
      <c r="H209" s="632">
        <f>82.5+182.5</f>
        <v>265</v>
      </c>
      <c r="I209" s="635" t="s">
        <v>1795</v>
      </c>
      <c r="J209" s="617">
        <v>41955</v>
      </c>
      <c r="K209" s="533" t="s">
        <v>1682</v>
      </c>
      <c r="L209" s="527">
        <v>2014</v>
      </c>
      <c r="N209" s="724">
        <v>42001</v>
      </c>
      <c r="U209" s="613">
        <v>1</v>
      </c>
      <c r="W209" s="613">
        <f t="shared" si="28"/>
        <v>1</v>
      </c>
      <c r="X209" s="613">
        <v>1</v>
      </c>
      <c r="AB209" s="527">
        <f t="shared" si="35"/>
        <v>0</v>
      </c>
      <c r="AC209" s="527">
        <f t="shared" si="30"/>
        <v>0</v>
      </c>
      <c r="AD209" s="527">
        <f t="shared" si="31"/>
        <v>0</v>
      </c>
      <c r="AE209" s="527">
        <f t="shared" si="32"/>
        <v>0</v>
      </c>
      <c r="AF209" s="527">
        <f t="shared" si="33"/>
        <v>0</v>
      </c>
      <c r="AG209" s="527">
        <f t="shared" si="34"/>
        <v>72</v>
      </c>
      <c r="AH209" s="527"/>
      <c r="AI209" s="639">
        <f t="shared" si="29"/>
        <v>72</v>
      </c>
    </row>
    <row r="210" spans="1:47" ht="12.75" customHeight="1" x14ac:dyDescent="0.2">
      <c r="A210" s="527">
        <v>202</v>
      </c>
      <c r="C210" s="533" t="s">
        <v>1847</v>
      </c>
      <c r="E210" s="527" t="s">
        <v>3692</v>
      </c>
      <c r="F210" s="760"/>
      <c r="G210" s="639">
        <v>2436.3000000000002</v>
      </c>
      <c r="H210" s="632">
        <v>224.9</v>
      </c>
      <c r="I210" s="613" t="s">
        <v>1871</v>
      </c>
      <c r="J210" s="617">
        <v>42123</v>
      </c>
      <c r="K210" s="533" t="s">
        <v>1850</v>
      </c>
      <c r="L210" s="527">
        <v>2014</v>
      </c>
      <c r="N210" s="725">
        <v>42032</v>
      </c>
      <c r="U210" s="613">
        <v>1</v>
      </c>
      <c r="W210" s="613">
        <f t="shared" si="28"/>
        <v>1</v>
      </c>
      <c r="X210" s="633">
        <v>1</v>
      </c>
      <c r="AB210" s="527">
        <f t="shared" si="35"/>
        <v>0</v>
      </c>
      <c r="AC210" s="527">
        <f t="shared" si="30"/>
        <v>0</v>
      </c>
      <c r="AD210" s="527">
        <f t="shared" si="31"/>
        <v>0</v>
      </c>
      <c r="AE210" s="527">
        <f t="shared" si="32"/>
        <v>0</v>
      </c>
      <c r="AF210" s="527">
        <f t="shared" si="33"/>
        <v>0</v>
      </c>
      <c r="AG210" s="527">
        <f t="shared" si="34"/>
        <v>2436.3000000000002</v>
      </c>
      <c r="AH210" s="527"/>
      <c r="AI210" s="639">
        <f t="shared" si="29"/>
        <v>2436.3000000000002</v>
      </c>
    </row>
    <row r="211" spans="1:47" ht="12.75" customHeight="1" x14ac:dyDescent="0.2">
      <c r="A211" s="527">
        <v>203</v>
      </c>
      <c r="C211" s="533" t="s">
        <v>1849</v>
      </c>
      <c r="E211" s="527" t="s">
        <v>3693</v>
      </c>
      <c r="F211" s="760"/>
      <c r="G211" s="632">
        <v>51</v>
      </c>
      <c r="H211" s="632">
        <v>442.9</v>
      </c>
      <c r="I211" s="635" t="s">
        <v>1871</v>
      </c>
      <c r="J211" s="617">
        <v>42123</v>
      </c>
      <c r="K211" s="533" t="s">
        <v>1850</v>
      </c>
      <c r="L211" s="527">
        <v>2014</v>
      </c>
      <c r="N211" s="725">
        <v>42039</v>
      </c>
      <c r="U211" s="613">
        <v>1</v>
      </c>
      <c r="W211" s="613">
        <f t="shared" si="28"/>
        <v>1</v>
      </c>
      <c r="X211" s="613">
        <v>1</v>
      </c>
      <c r="AB211" s="527">
        <f t="shared" si="35"/>
        <v>0</v>
      </c>
      <c r="AC211" s="527">
        <f t="shared" si="30"/>
        <v>0</v>
      </c>
      <c r="AD211" s="527">
        <f t="shared" si="31"/>
        <v>0</v>
      </c>
      <c r="AE211" s="527">
        <f t="shared" si="32"/>
        <v>0</v>
      </c>
      <c r="AF211" s="527">
        <f t="shared" si="33"/>
        <v>0</v>
      </c>
      <c r="AG211" s="527">
        <f t="shared" si="34"/>
        <v>51</v>
      </c>
      <c r="AH211" s="527"/>
      <c r="AI211" s="639">
        <f t="shared" si="29"/>
        <v>51</v>
      </c>
    </row>
    <row r="212" spans="1:47" ht="12.75" customHeight="1" x14ac:dyDescent="0.2">
      <c r="A212" s="527">
        <v>204</v>
      </c>
      <c r="C212" s="533" t="s">
        <v>1844</v>
      </c>
      <c r="D212" s="613">
        <v>76</v>
      </c>
      <c r="E212" s="719" t="s">
        <v>3694</v>
      </c>
      <c r="F212" s="760"/>
      <c r="G212" s="639">
        <v>69.900000000000006</v>
      </c>
      <c r="H212" s="632">
        <v>210.7</v>
      </c>
      <c r="I212" s="635" t="s">
        <v>1795</v>
      </c>
      <c r="J212" s="617">
        <v>41955</v>
      </c>
      <c r="K212" s="533" t="s">
        <v>1850</v>
      </c>
      <c r="L212" s="527">
        <v>2014</v>
      </c>
      <c r="N212" s="725">
        <v>42045</v>
      </c>
      <c r="U212" s="613">
        <v>1</v>
      </c>
      <c r="W212" s="613">
        <f t="shared" si="28"/>
        <v>1</v>
      </c>
      <c r="X212" s="613">
        <v>1</v>
      </c>
      <c r="AB212" s="527">
        <f t="shared" si="35"/>
        <v>0</v>
      </c>
      <c r="AC212" s="527">
        <f t="shared" si="30"/>
        <v>0</v>
      </c>
      <c r="AD212" s="527">
        <f t="shared" si="31"/>
        <v>0</v>
      </c>
      <c r="AE212" s="527">
        <f t="shared" si="32"/>
        <v>0</v>
      </c>
      <c r="AF212" s="527">
        <f t="shared" si="33"/>
        <v>0</v>
      </c>
      <c r="AG212" s="527">
        <f t="shared" si="34"/>
        <v>69.900000000000006</v>
      </c>
      <c r="AH212" s="527"/>
      <c r="AI212" s="639">
        <f t="shared" si="29"/>
        <v>69.900000000000006</v>
      </c>
    </row>
    <row r="213" spans="1:47" ht="12.75" customHeight="1" x14ac:dyDescent="0.2">
      <c r="A213" s="527">
        <v>205</v>
      </c>
      <c r="C213" s="533" t="s">
        <v>1845</v>
      </c>
      <c r="D213" s="613">
        <v>78</v>
      </c>
      <c r="E213" s="533" t="s">
        <v>3279</v>
      </c>
      <c r="F213" s="760"/>
      <c r="G213" s="639">
        <v>1345</v>
      </c>
      <c r="H213" s="632">
        <f>299.6+180.4</f>
        <v>480</v>
      </c>
      <c r="I213" s="635" t="s">
        <v>1795</v>
      </c>
      <c r="J213" s="617">
        <v>41955</v>
      </c>
      <c r="K213" s="533" t="s">
        <v>1850</v>
      </c>
      <c r="L213" s="527">
        <v>2014</v>
      </c>
      <c r="N213" s="725">
        <v>42045</v>
      </c>
      <c r="U213" s="613">
        <v>1</v>
      </c>
      <c r="W213" s="613">
        <f t="shared" si="28"/>
        <v>1</v>
      </c>
      <c r="X213" s="613">
        <v>1</v>
      </c>
      <c r="AB213" s="527">
        <f t="shared" si="35"/>
        <v>0</v>
      </c>
      <c r="AC213" s="527">
        <f t="shared" si="30"/>
        <v>0</v>
      </c>
      <c r="AD213" s="527">
        <f t="shared" si="31"/>
        <v>0</v>
      </c>
      <c r="AE213" s="527">
        <f t="shared" si="32"/>
        <v>0</v>
      </c>
      <c r="AF213" s="527">
        <f t="shared" si="33"/>
        <v>0</v>
      </c>
      <c r="AG213" s="527">
        <f t="shared" si="34"/>
        <v>1345</v>
      </c>
      <c r="AH213" s="527"/>
      <c r="AI213" s="639">
        <f t="shared" si="29"/>
        <v>1345</v>
      </c>
    </row>
    <row r="214" spans="1:47" ht="12.75" customHeight="1" x14ac:dyDescent="0.25">
      <c r="A214" s="527">
        <v>206</v>
      </c>
      <c r="C214" s="533" t="s">
        <v>1859</v>
      </c>
      <c r="F214" s="761"/>
      <c r="G214" s="632">
        <v>125.4</v>
      </c>
      <c r="H214" s="632">
        <v>510.5</v>
      </c>
      <c r="I214" s="613" t="s">
        <v>2036</v>
      </c>
      <c r="J214" s="617">
        <v>42367</v>
      </c>
      <c r="K214" s="533" t="s">
        <v>1850</v>
      </c>
      <c r="L214" s="527">
        <v>2012</v>
      </c>
      <c r="N214" s="725">
        <v>42048</v>
      </c>
      <c r="R214" s="911">
        <v>1</v>
      </c>
      <c r="W214" s="613">
        <f t="shared" si="28"/>
        <v>1</v>
      </c>
      <c r="AB214" s="527">
        <f t="shared" si="35"/>
        <v>0</v>
      </c>
      <c r="AC214" s="527">
        <f t="shared" si="30"/>
        <v>0</v>
      </c>
      <c r="AD214" s="527">
        <f t="shared" si="31"/>
        <v>125.4</v>
      </c>
      <c r="AE214" s="527">
        <f t="shared" si="32"/>
        <v>0</v>
      </c>
      <c r="AF214" s="527">
        <f t="shared" si="33"/>
        <v>0</v>
      </c>
      <c r="AG214" s="527">
        <f t="shared" si="34"/>
        <v>0</v>
      </c>
      <c r="AH214" s="527"/>
      <c r="AI214" s="639">
        <f t="shared" si="29"/>
        <v>125.4</v>
      </c>
      <c r="AR214" s="903"/>
      <c r="AS214" s="904"/>
      <c r="AT214" s="904"/>
      <c r="AU214" s="904"/>
    </row>
    <row r="215" spans="1:47" ht="12.75" customHeight="1" x14ac:dyDescent="0.2">
      <c r="A215" s="527">
        <v>207</v>
      </c>
      <c r="C215" s="533" t="s">
        <v>1848</v>
      </c>
      <c r="D215" s="613">
        <v>79</v>
      </c>
      <c r="E215" s="533" t="s">
        <v>3280</v>
      </c>
      <c r="F215" s="760"/>
      <c r="G215" s="639">
        <v>27.5</v>
      </c>
      <c r="H215" s="632">
        <v>186.7</v>
      </c>
      <c r="I215" s="635" t="s">
        <v>1795</v>
      </c>
      <c r="J215" s="617">
        <v>41955</v>
      </c>
      <c r="K215" s="533" t="s">
        <v>1850</v>
      </c>
      <c r="L215" s="527">
        <v>2014</v>
      </c>
      <c r="N215" s="725">
        <v>42057</v>
      </c>
      <c r="U215" s="613">
        <v>1</v>
      </c>
      <c r="W215" s="613">
        <f t="shared" si="28"/>
        <v>1</v>
      </c>
      <c r="X215" s="613">
        <v>1</v>
      </c>
      <c r="AB215" s="527">
        <f t="shared" si="35"/>
        <v>0</v>
      </c>
      <c r="AC215" s="527">
        <f t="shared" si="30"/>
        <v>0</v>
      </c>
      <c r="AD215" s="527">
        <f t="shared" si="31"/>
        <v>0</v>
      </c>
      <c r="AE215" s="527">
        <f t="shared" si="32"/>
        <v>0</v>
      </c>
      <c r="AF215" s="527">
        <f t="shared" si="33"/>
        <v>0</v>
      </c>
      <c r="AG215" s="527">
        <f t="shared" si="34"/>
        <v>27.5</v>
      </c>
      <c r="AH215" s="527"/>
      <c r="AI215" s="639">
        <f t="shared" si="29"/>
        <v>27.5</v>
      </c>
    </row>
    <row r="216" spans="1:47" ht="12.75" customHeight="1" x14ac:dyDescent="0.2">
      <c r="A216" s="527">
        <v>208</v>
      </c>
      <c r="C216" s="533" t="s">
        <v>1869</v>
      </c>
      <c r="E216" s="533" t="s">
        <v>3699</v>
      </c>
      <c r="F216" s="760"/>
      <c r="G216" s="639">
        <v>352.3</v>
      </c>
      <c r="H216" s="639">
        <v>265</v>
      </c>
      <c r="I216" s="635" t="s">
        <v>1871</v>
      </c>
      <c r="J216" s="617">
        <v>42123</v>
      </c>
      <c r="K216" s="533" t="s">
        <v>1850</v>
      </c>
      <c r="L216" s="527">
        <v>2014</v>
      </c>
      <c r="N216" s="725">
        <v>42101</v>
      </c>
      <c r="U216" s="613">
        <v>1</v>
      </c>
      <c r="W216" s="613">
        <f t="shared" si="28"/>
        <v>1</v>
      </c>
      <c r="X216" s="613">
        <v>1</v>
      </c>
      <c r="AB216" s="527">
        <f t="shared" si="35"/>
        <v>0</v>
      </c>
      <c r="AC216" s="527">
        <f t="shared" si="30"/>
        <v>0</v>
      </c>
      <c r="AD216" s="527">
        <f t="shared" si="31"/>
        <v>0</v>
      </c>
      <c r="AE216" s="527">
        <f t="shared" si="32"/>
        <v>0</v>
      </c>
      <c r="AF216" s="527">
        <f t="shared" si="33"/>
        <v>0</v>
      </c>
      <c r="AG216" s="527">
        <f t="shared" si="34"/>
        <v>352.3</v>
      </c>
      <c r="AH216" s="527"/>
      <c r="AI216" s="639">
        <f t="shared" si="29"/>
        <v>352.3</v>
      </c>
    </row>
    <row r="217" spans="1:47" ht="12.75" customHeight="1" x14ac:dyDescent="0.2">
      <c r="A217" s="527">
        <v>209</v>
      </c>
      <c r="C217" s="533" t="s">
        <v>1870</v>
      </c>
      <c r="E217" s="533" t="s">
        <v>2271</v>
      </c>
      <c r="F217" s="760"/>
      <c r="G217" s="639">
        <v>56</v>
      </c>
      <c r="H217" s="632">
        <v>468.7</v>
      </c>
      <c r="I217" s="635" t="s">
        <v>1871</v>
      </c>
      <c r="J217" s="617">
        <v>42123</v>
      </c>
      <c r="K217" s="533" t="s">
        <v>1850</v>
      </c>
      <c r="L217" s="527">
        <v>2014</v>
      </c>
      <c r="N217" s="725">
        <v>42101</v>
      </c>
      <c r="U217" s="613">
        <v>1</v>
      </c>
      <c r="W217" s="613">
        <f t="shared" si="28"/>
        <v>1</v>
      </c>
      <c r="X217" s="613">
        <v>1</v>
      </c>
      <c r="AB217" s="527">
        <f t="shared" si="35"/>
        <v>0</v>
      </c>
      <c r="AC217" s="527">
        <f t="shared" si="30"/>
        <v>0</v>
      </c>
      <c r="AD217" s="527">
        <f t="shared" si="31"/>
        <v>0</v>
      </c>
      <c r="AE217" s="527">
        <f t="shared" si="32"/>
        <v>0</v>
      </c>
      <c r="AF217" s="527">
        <f t="shared" si="33"/>
        <v>0</v>
      </c>
      <c r="AG217" s="527">
        <f t="shared" si="34"/>
        <v>56</v>
      </c>
      <c r="AH217" s="527"/>
      <c r="AI217" s="639">
        <f t="shared" si="29"/>
        <v>56</v>
      </c>
    </row>
    <row r="218" spans="1:47" ht="12.75" customHeight="1" x14ac:dyDescent="0.2">
      <c r="A218" s="527">
        <v>210</v>
      </c>
      <c r="C218" s="533" t="s">
        <v>1865</v>
      </c>
      <c r="D218" s="613">
        <v>83</v>
      </c>
      <c r="E218" s="527" t="s">
        <v>3281</v>
      </c>
      <c r="F218" s="760"/>
      <c r="G218" s="632">
        <v>282.8</v>
      </c>
      <c r="H218" s="632">
        <v>234.3</v>
      </c>
      <c r="I218" s="613" t="s">
        <v>1840</v>
      </c>
      <c r="J218" s="617">
        <v>42041</v>
      </c>
      <c r="K218" s="533" t="s">
        <v>1850</v>
      </c>
      <c r="L218" s="527">
        <v>2014</v>
      </c>
      <c r="N218" s="725">
        <v>42125</v>
      </c>
      <c r="U218" s="613">
        <v>1</v>
      </c>
      <c r="W218" s="613">
        <f t="shared" si="28"/>
        <v>1</v>
      </c>
      <c r="X218" s="613">
        <v>1</v>
      </c>
      <c r="AB218" s="527">
        <f t="shared" si="35"/>
        <v>0</v>
      </c>
      <c r="AC218" s="527">
        <f t="shared" si="30"/>
        <v>0</v>
      </c>
      <c r="AD218" s="527">
        <f t="shared" si="31"/>
        <v>0</v>
      </c>
      <c r="AE218" s="527">
        <f t="shared" si="32"/>
        <v>0</v>
      </c>
      <c r="AF218" s="527">
        <f t="shared" si="33"/>
        <v>0</v>
      </c>
      <c r="AG218" s="527">
        <f t="shared" si="34"/>
        <v>282.8</v>
      </c>
      <c r="AH218" s="527"/>
      <c r="AI218" s="639">
        <f t="shared" si="29"/>
        <v>282.8</v>
      </c>
    </row>
    <row r="219" spans="1:47" ht="12.75" customHeight="1" x14ac:dyDescent="0.2">
      <c r="A219" s="527">
        <v>211</v>
      </c>
      <c r="C219" s="533" t="s">
        <v>1863</v>
      </c>
      <c r="D219" s="613">
        <v>85</v>
      </c>
      <c r="E219" s="533" t="s">
        <v>1825</v>
      </c>
      <c r="F219" s="760"/>
      <c r="G219" s="632">
        <v>64</v>
      </c>
      <c r="H219" s="632">
        <v>259.60000000000002</v>
      </c>
      <c r="I219" s="613" t="s">
        <v>1840</v>
      </c>
      <c r="J219" s="617">
        <v>42041</v>
      </c>
      <c r="K219" s="533" t="s">
        <v>1850</v>
      </c>
      <c r="L219" s="527">
        <v>2015</v>
      </c>
      <c r="N219" s="725">
        <v>42125</v>
      </c>
      <c r="U219" s="613">
        <v>1</v>
      </c>
      <c r="W219" s="613">
        <f t="shared" si="28"/>
        <v>1</v>
      </c>
      <c r="X219" s="613">
        <v>1</v>
      </c>
      <c r="AB219" s="527">
        <f t="shared" si="35"/>
        <v>0</v>
      </c>
      <c r="AC219" s="527">
        <f t="shared" si="30"/>
        <v>0</v>
      </c>
      <c r="AD219" s="527">
        <f t="shared" si="31"/>
        <v>0</v>
      </c>
      <c r="AE219" s="527">
        <f t="shared" si="32"/>
        <v>0</v>
      </c>
      <c r="AF219" s="527">
        <f t="shared" si="33"/>
        <v>0</v>
      </c>
      <c r="AG219" s="527">
        <f t="shared" si="34"/>
        <v>64</v>
      </c>
      <c r="AH219" s="527"/>
      <c r="AI219" s="639">
        <f t="shared" si="29"/>
        <v>64</v>
      </c>
    </row>
    <row r="220" spans="1:47" ht="12.75" customHeight="1" x14ac:dyDescent="0.2">
      <c r="A220" s="527">
        <v>212</v>
      </c>
      <c r="C220" s="533" t="s">
        <v>1866</v>
      </c>
      <c r="D220" s="613">
        <v>74</v>
      </c>
      <c r="E220" s="533" t="s">
        <v>2272</v>
      </c>
      <c r="F220" s="760"/>
      <c r="G220" s="639">
        <v>5.27</v>
      </c>
      <c r="H220" s="632">
        <v>116.2</v>
      </c>
      <c r="I220" s="635" t="s">
        <v>1795</v>
      </c>
      <c r="J220" s="617">
        <v>41955</v>
      </c>
      <c r="K220" s="533" t="s">
        <v>1850</v>
      </c>
      <c r="L220" s="527">
        <v>2014</v>
      </c>
      <c r="N220" s="725">
        <v>42125</v>
      </c>
      <c r="U220" s="613">
        <v>1</v>
      </c>
      <c r="W220" s="613">
        <f t="shared" si="28"/>
        <v>1</v>
      </c>
      <c r="X220" s="613">
        <v>1</v>
      </c>
      <c r="AB220" s="527">
        <f t="shared" si="35"/>
        <v>0</v>
      </c>
      <c r="AC220" s="527">
        <f t="shared" si="30"/>
        <v>0</v>
      </c>
      <c r="AD220" s="527">
        <f t="shared" si="31"/>
        <v>0</v>
      </c>
      <c r="AE220" s="527">
        <f t="shared" si="32"/>
        <v>0</v>
      </c>
      <c r="AF220" s="527">
        <f t="shared" si="33"/>
        <v>0</v>
      </c>
      <c r="AG220" s="527">
        <f t="shared" si="34"/>
        <v>5.27</v>
      </c>
      <c r="AH220" s="527"/>
      <c r="AI220" s="639">
        <f t="shared" si="29"/>
        <v>5.27</v>
      </c>
    </row>
    <row r="221" spans="1:47" ht="12.75" customHeight="1" x14ac:dyDescent="0.2">
      <c r="A221" s="527">
        <v>213</v>
      </c>
      <c r="C221" s="533" t="s">
        <v>1867</v>
      </c>
      <c r="D221" s="613">
        <v>84</v>
      </c>
      <c r="E221" s="533" t="s">
        <v>2273</v>
      </c>
      <c r="F221" s="760"/>
      <c r="G221" s="639">
        <v>5.2</v>
      </c>
      <c r="H221" s="639">
        <v>94.3</v>
      </c>
      <c r="I221" s="613" t="s">
        <v>1840</v>
      </c>
      <c r="J221" s="617">
        <v>42041</v>
      </c>
      <c r="K221" s="533" t="s">
        <v>1850</v>
      </c>
      <c r="N221" s="725">
        <v>42125</v>
      </c>
      <c r="U221" s="613">
        <v>1</v>
      </c>
      <c r="W221" s="613">
        <f t="shared" si="28"/>
        <v>1</v>
      </c>
      <c r="X221" s="613">
        <v>1</v>
      </c>
      <c r="AB221" s="527">
        <f t="shared" si="35"/>
        <v>0</v>
      </c>
      <c r="AC221" s="527">
        <f t="shared" si="30"/>
        <v>0</v>
      </c>
      <c r="AD221" s="527">
        <f t="shared" si="31"/>
        <v>0</v>
      </c>
      <c r="AE221" s="527">
        <f t="shared" si="32"/>
        <v>0</v>
      </c>
      <c r="AF221" s="527">
        <f t="shared" si="33"/>
        <v>0</v>
      </c>
      <c r="AG221" s="527">
        <f t="shared" si="34"/>
        <v>5.2</v>
      </c>
      <c r="AH221" s="527"/>
      <c r="AI221" s="639">
        <f t="shared" si="29"/>
        <v>5.2</v>
      </c>
    </row>
    <row r="222" spans="1:47" ht="12.75" customHeight="1" x14ac:dyDescent="0.2">
      <c r="A222" s="527">
        <v>214</v>
      </c>
      <c r="C222" s="533" t="s">
        <v>1977</v>
      </c>
      <c r="D222" s="613">
        <v>86</v>
      </c>
      <c r="E222" s="533" t="s">
        <v>3696</v>
      </c>
      <c r="F222" s="760"/>
      <c r="G222" s="639">
        <v>149.5</v>
      </c>
      <c r="H222" s="639">
        <v>218.1</v>
      </c>
      <c r="I222" s="613" t="s">
        <v>1840</v>
      </c>
      <c r="J222" s="617">
        <v>42041</v>
      </c>
      <c r="K222" s="533" t="s">
        <v>1850</v>
      </c>
      <c r="L222" s="527">
        <v>2015</v>
      </c>
      <c r="N222" s="725">
        <v>42147</v>
      </c>
      <c r="U222" s="613">
        <v>1</v>
      </c>
      <c r="W222" s="613">
        <f t="shared" si="28"/>
        <v>1</v>
      </c>
      <c r="X222" s="613">
        <v>1</v>
      </c>
      <c r="AB222" s="527">
        <f t="shared" si="35"/>
        <v>0</v>
      </c>
      <c r="AC222" s="527">
        <f t="shared" si="30"/>
        <v>0</v>
      </c>
      <c r="AD222" s="527">
        <f t="shared" si="31"/>
        <v>0</v>
      </c>
      <c r="AE222" s="527">
        <f t="shared" si="32"/>
        <v>0</v>
      </c>
      <c r="AF222" s="527">
        <f t="shared" si="33"/>
        <v>0</v>
      </c>
      <c r="AG222" s="527">
        <f t="shared" si="34"/>
        <v>149.5</v>
      </c>
      <c r="AH222" s="527"/>
      <c r="AI222" s="639">
        <f t="shared" si="29"/>
        <v>149.5</v>
      </c>
    </row>
    <row r="223" spans="1:47" ht="12.75" customHeight="1" x14ac:dyDescent="0.2">
      <c r="A223" s="527">
        <v>215</v>
      </c>
      <c r="C223" s="533" t="s">
        <v>1978</v>
      </c>
      <c r="D223" s="613">
        <v>67</v>
      </c>
      <c r="E223" s="533" t="s">
        <v>3695</v>
      </c>
      <c r="F223" s="760"/>
      <c r="G223" s="639">
        <v>191</v>
      </c>
      <c r="H223" s="632">
        <v>101.4</v>
      </c>
      <c r="I223" s="613" t="s">
        <v>1690</v>
      </c>
      <c r="J223" s="617">
        <v>41808</v>
      </c>
      <c r="K223" s="533" t="s">
        <v>1850</v>
      </c>
      <c r="L223" s="527">
        <v>2015</v>
      </c>
      <c r="N223" s="725">
        <v>42147</v>
      </c>
      <c r="U223" s="613">
        <v>1</v>
      </c>
      <c r="W223" s="613">
        <f t="shared" si="28"/>
        <v>1</v>
      </c>
      <c r="X223" s="613">
        <v>1</v>
      </c>
      <c r="AB223" s="527">
        <f t="shared" si="35"/>
        <v>0</v>
      </c>
      <c r="AC223" s="527">
        <f t="shared" si="30"/>
        <v>0</v>
      </c>
      <c r="AD223" s="527">
        <f t="shared" si="31"/>
        <v>0</v>
      </c>
      <c r="AE223" s="527">
        <f t="shared" si="32"/>
        <v>0</v>
      </c>
      <c r="AF223" s="527">
        <f t="shared" si="33"/>
        <v>0</v>
      </c>
      <c r="AG223" s="527">
        <f t="shared" si="34"/>
        <v>191</v>
      </c>
      <c r="AH223" s="527"/>
      <c r="AI223" s="639">
        <f t="shared" si="29"/>
        <v>191</v>
      </c>
    </row>
    <row r="224" spans="1:47" ht="12.75" customHeight="1" x14ac:dyDescent="0.2">
      <c r="A224" s="527">
        <v>216</v>
      </c>
      <c r="C224" s="533" t="s">
        <v>1979</v>
      </c>
      <c r="D224" s="613">
        <v>80</v>
      </c>
      <c r="E224" s="533" t="s">
        <v>2274</v>
      </c>
      <c r="F224" s="760"/>
      <c r="G224" s="812">
        <v>54.2</v>
      </c>
      <c r="H224" s="632">
        <f>100.6+114.7+51</f>
        <v>266.3</v>
      </c>
      <c r="I224" s="635" t="s">
        <v>1795</v>
      </c>
      <c r="J224" s="617">
        <v>41955</v>
      </c>
      <c r="K224" s="533" t="s">
        <v>1850</v>
      </c>
      <c r="N224" s="725">
        <v>42147</v>
      </c>
      <c r="U224" s="613">
        <v>1</v>
      </c>
      <c r="W224" s="613">
        <f t="shared" ref="W224:W250" si="36">SUM(P224:V224)</f>
        <v>1</v>
      </c>
      <c r="X224" s="613">
        <v>1</v>
      </c>
      <c r="AB224" s="527">
        <f t="shared" si="35"/>
        <v>0</v>
      </c>
      <c r="AC224" s="527">
        <f t="shared" si="30"/>
        <v>0</v>
      </c>
      <c r="AD224" s="527">
        <f t="shared" si="31"/>
        <v>0</v>
      </c>
      <c r="AE224" s="527">
        <f t="shared" si="32"/>
        <v>0</v>
      </c>
      <c r="AF224" s="527">
        <f t="shared" si="33"/>
        <v>0</v>
      </c>
      <c r="AG224" s="527">
        <f t="shared" si="34"/>
        <v>54.2</v>
      </c>
      <c r="AH224" s="527"/>
      <c r="AI224" s="639">
        <f t="shared" ref="AI224:AI289" si="37">G224</f>
        <v>54.2</v>
      </c>
    </row>
    <row r="225" spans="1:35" ht="12.75" customHeight="1" x14ac:dyDescent="0.2">
      <c r="A225" s="527">
        <v>217</v>
      </c>
      <c r="C225" s="533" t="s">
        <v>1987</v>
      </c>
      <c r="E225" s="527" t="s">
        <v>1990</v>
      </c>
      <c r="G225" s="639">
        <v>68</v>
      </c>
      <c r="I225" s="795" t="s">
        <v>2384</v>
      </c>
      <c r="J225" s="617">
        <v>42872</v>
      </c>
      <c r="K225" s="533" t="s">
        <v>1850</v>
      </c>
      <c r="N225" s="725">
        <v>42155</v>
      </c>
      <c r="U225" s="613">
        <v>1</v>
      </c>
      <c r="W225" s="613">
        <f t="shared" si="36"/>
        <v>1</v>
      </c>
      <c r="X225" s="613">
        <v>1</v>
      </c>
      <c r="AB225" s="527">
        <f t="shared" si="35"/>
        <v>0</v>
      </c>
      <c r="AC225" s="527">
        <f t="shared" si="30"/>
        <v>0</v>
      </c>
      <c r="AD225" s="527">
        <f t="shared" si="31"/>
        <v>0</v>
      </c>
      <c r="AE225" s="527">
        <f t="shared" si="32"/>
        <v>0</v>
      </c>
      <c r="AF225" s="527">
        <f t="shared" si="33"/>
        <v>0</v>
      </c>
      <c r="AG225" s="527">
        <f t="shared" si="34"/>
        <v>68</v>
      </c>
      <c r="AH225" s="527"/>
      <c r="AI225" s="639">
        <f t="shared" si="37"/>
        <v>68</v>
      </c>
    </row>
    <row r="226" spans="1:35" ht="12.75" customHeight="1" x14ac:dyDescent="0.2">
      <c r="A226" s="527">
        <v>218</v>
      </c>
      <c r="C226" s="533" t="s">
        <v>1989</v>
      </c>
      <c r="E226" s="527" t="s">
        <v>2037</v>
      </c>
      <c r="F226" s="761"/>
      <c r="G226" s="639">
        <v>39</v>
      </c>
      <c r="H226" s="632">
        <f>749+237.8</f>
        <v>986.8</v>
      </c>
      <c r="I226" s="613" t="s">
        <v>2036</v>
      </c>
      <c r="J226" s="617">
        <v>42367</v>
      </c>
      <c r="K226" s="533" t="s">
        <v>1850</v>
      </c>
      <c r="N226" s="725">
        <v>42155</v>
      </c>
      <c r="U226" s="613">
        <v>1</v>
      </c>
      <c r="W226" s="613">
        <f t="shared" si="36"/>
        <v>1</v>
      </c>
      <c r="X226" s="613">
        <v>1</v>
      </c>
      <c r="AB226" s="527">
        <f t="shared" si="35"/>
        <v>0</v>
      </c>
      <c r="AC226" s="527">
        <f t="shared" si="30"/>
        <v>0</v>
      </c>
      <c r="AD226" s="527">
        <f t="shared" si="31"/>
        <v>0</v>
      </c>
      <c r="AE226" s="527">
        <f t="shared" si="32"/>
        <v>0</v>
      </c>
      <c r="AF226" s="527">
        <f t="shared" si="33"/>
        <v>0</v>
      </c>
      <c r="AG226" s="527">
        <f t="shared" si="34"/>
        <v>39</v>
      </c>
      <c r="AH226" s="527"/>
      <c r="AI226" s="639">
        <f t="shared" si="37"/>
        <v>39</v>
      </c>
    </row>
    <row r="227" spans="1:35" ht="12.75" customHeight="1" x14ac:dyDescent="0.2">
      <c r="A227" s="527">
        <v>219</v>
      </c>
      <c r="C227" s="533" t="s">
        <v>1988</v>
      </c>
      <c r="E227" s="527" t="s">
        <v>3282</v>
      </c>
      <c r="G227" s="639">
        <v>102</v>
      </c>
      <c r="J227" s="617"/>
      <c r="K227" s="533" t="s">
        <v>1850</v>
      </c>
      <c r="N227" s="725">
        <v>42155</v>
      </c>
      <c r="U227" s="613">
        <v>1</v>
      </c>
      <c r="W227" s="613">
        <f t="shared" si="36"/>
        <v>1</v>
      </c>
      <c r="AB227" s="527">
        <f t="shared" si="35"/>
        <v>0</v>
      </c>
      <c r="AC227" s="527">
        <f t="shared" si="30"/>
        <v>0</v>
      </c>
      <c r="AD227" s="527">
        <f t="shared" si="31"/>
        <v>0</v>
      </c>
      <c r="AE227" s="527">
        <f t="shared" si="32"/>
        <v>0</v>
      </c>
      <c r="AF227" s="527">
        <f t="shared" si="33"/>
        <v>0</v>
      </c>
      <c r="AG227" s="527">
        <f t="shared" si="34"/>
        <v>102</v>
      </c>
      <c r="AH227" s="527"/>
      <c r="AI227" s="639">
        <f t="shared" si="37"/>
        <v>102</v>
      </c>
    </row>
    <row r="228" spans="1:35" ht="12.75" customHeight="1" x14ac:dyDescent="0.2">
      <c r="A228" s="527">
        <v>220</v>
      </c>
      <c r="C228" s="533" t="s">
        <v>1980</v>
      </c>
      <c r="E228" s="527" t="s">
        <v>3687</v>
      </c>
      <c r="F228" s="760"/>
      <c r="G228" s="639">
        <v>1815</v>
      </c>
      <c r="H228" s="632">
        <v>246.5</v>
      </c>
      <c r="I228" s="613" t="s">
        <v>1871</v>
      </c>
      <c r="J228" s="617">
        <v>42123</v>
      </c>
      <c r="K228" s="533" t="s">
        <v>1850</v>
      </c>
      <c r="L228" s="527">
        <v>2015</v>
      </c>
      <c r="N228" s="725">
        <v>42166</v>
      </c>
      <c r="U228" s="613">
        <v>1</v>
      </c>
      <c r="W228" s="613">
        <f t="shared" si="36"/>
        <v>1</v>
      </c>
      <c r="X228" s="613">
        <v>1</v>
      </c>
      <c r="AB228" s="527">
        <f t="shared" si="35"/>
        <v>0</v>
      </c>
      <c r="AC228" s="527">
        <f t="shared" si="30"/>
        <v>0</v>
      </c>
      <c r="AD228" s="527">
        <f t="shared" si="31"/>
        <v>0</v>
      </c>
      <c r="AE228" s="527">
        <f t="shared" si="32"/>
        <v>0</v>
      </c>
      <c r="AF228" s="527">
        <f t="shared" si="33"/>
        <v>0</v>
      </c>
      <c r="AG228" s="527">
        <f t="shared" si="34"/>
        <v>1815</v>
      </c>
      <c r="AH228" s="527"/>
      <c r="AI228" s="639">
        <f t="shared" si="37"/>
        <v>1815</v>
      </c>
    </row>
    <row r="229" spans="1:35" ht="12.75" customHeight="1" x14ac:dyDescent="0.2">
      <c r="A229" s="527">
        <v>221</v>
      </c>
      <c r="C229" s="533" t="s">
        <v>1992</v>
      </c>
      <c r="E229" s="533" t="s">
        <v>3283</v>
      </c>
      <c r="F229" s="761"/>
      <c r="G229" s="812">
        <v>788</v>
      </c>
      <c r="H229" s="632">
        <v>252.3</v>
      </c>
      <c r="I229" s="635" t="s">
        <v>2118</v>
      </c>
      <c r="J229" s="617">
        <v>42515</v>
      </c>
      <c r="K229" s="533" t="s">
        <v>1850</v>
      </c>
      <c r="N229" s="725">
        <v>42172</v>
      </c>
      <c r="U229" s="613">
        <v>1</v>
      </c>
      <c r="W229" s="613">
        <f t="shared" si="36"/>
        <v>1</v>
      </c>
      <c r="X229" s="613">
        <v>1</v>
      </c>
      <c r="AB229" s="527">
        <f t="shared" si="35"/>
        <v>0</v>
      </c>
      <c r="AC229" s="527">
        <f t="shared" si="30"/>
        <v>0</v>
      </c>
      <c r="AD229" s="527">
        <f t="shared" si="31"/>
        <v>0</v>
      </c>
      <c r="AE229" s="527">
        <f t="shared" si="32"/>
        <v>0</v>
      </c>
      <c r="AF229" s="527">
        <f t="shared" si="33"/>
        <v>0</v>
      </c>
      <c r="AG229" s="527">
        <f t="shared" si="34"/>
        <v>788</v>
      </c>
      <c r="AH229" s="527"/>
      <c r="AI229" s="639">
        <f t="shared" si="37"/>
        <v>788</v>
      </c>
    </row>
    <row r="230" spans="1:35" ht="12.75" customHeight="1" x14ac:dyDescent="0.2">
      <c r="A230" s="527">
        <v>222</v>
      </c>
      <c r="C230" s="533" t="s">
        <v>1986</v>
      </c>
      <c r="E230" s="533" t="s">
        <v>3680</v>
      </c>
      <c r="F230" s="760"/>
      <c r="G230" s="812">
        <v>1279.3</v>
      </c>
      <c r="H230" s="639">
        <v>202.9</v>
      </c>
      <c r="I230" s="613" t="s">
        <v>1995</v>
      </c>
      <c r="J230" s="617">
        <v>42193</v>
      </c>
      <c r="K230" s="533" t="s">
        <v>1850</v>
      </c>
      <c r="N230" s="725">
        <v>42185</v>
      </c>
      <c r="U230" s="613">
        <v>1</v>
      </c>
      <c r="W230" s="613">
        <f t="shared" si="36"/>
        <v>1</v>
      </c>
      <c r="X230" s="613">
        <v>1</v>
      </c>
      <c r="AB230" s="527">
        <f t="shared" si="35"/>
        <v>0</v>
      </c>
      <c r="AC230" s="527">
        <f t="shared" si="30"/>
        <v>0</v>
      </c>
      <c r="AD230" s="527">
        <f t="shared" si="31"/>
        <v>0</v>
      </c>
      <c r="AE230" s="527">
        <f t="shared" si="32"/>
        <v>0</v>
      </c>
      <c r="AF230" s="527">
        <f t="shared" si="33"/>
        <v>0</v>
      </c>
      <c r="AG230" s="527">
        <f t="shared" si="34"/>
        <v>1279.3</v>
      </c>
      <c r="AH230" s="527"/>
      <c r="AI230" s="639">
        <f t="shared" si="37"/>
        <v>1279.3</v>
      </c>
    </row>
    <row r="231" spans="1:35" ht="12.75" customHeight="1" x14ac:dyDescent="0.2">
      <c r="A231" s="527">
        <v>223</v>
      </c>
      <c r="C231" s="533" t="s">
        <v>1999</v>
      </c>
      <c r="E231" s="533" t="s">
        <v>2000</v>
      </c>
      <c r="F231" s="760"/>
      <c r="G231" s="639">
        <v>3300</v>
      </c>
      <c r="H231" s="527">
        <v>467.8</v>
      </c>
      <c r="I231" s="613" t="s">
        <v>2019</v>
      </c>
      <c r="J231" s="617">
        <v>42298</v>
      </c>
      <c r="K231" s="533" t="s">
        <v>1850</v>
      </c>
      <c r="N231" s="725">
        <v>42203</v>
      </c>
      <c r="U231" s="613">
        <v>1</v>
      </c>
      <c r="W231" s="613">
        <f t="shared" si="36"/>
        <v>1</v>
      </c>
      <c r="X231" s="613">
        <v>1</v>
      </c>
      <c r="AB231" s="527">
        <f t="shared" si="35"/>
        <v>0</v>
      </c>
      <c r="AC231" s="527">
        <f t="shared" si="30"/>
        <v>0</v>
      </c>
      <c r="AD231" s="527">
        <f t="shared" si="31"/>
        <v>0</v>
      </c>
      <c r="AE231" s="527">
        <f t="shared" si="32"/>
        <v>0</v>
      </c>
      <c r="AF231" s="527">
        <f t="shared" si="33"/>
        <v>0</v>
      </c>
      <c r="AG231" s="527">
        <f t="shared" si="34"/>
        <v>3300</v>
      </c>
      <c r="AH231" s="527"/>
      <c r="AI231" s="639">
        <f t="shared" si="37"/>
        <v>3300</v>
      </c>
    </row>
    <row r="232" spans="1:35" ht="12.75" customHeight="1" x14ac:dyDescent="0.2">
      <c r="A232" s="527">
        <v>224</v>
      </c>
      <c r="C232" s="533" t="s">
        <v>2002</v>
      </c>
      <c r="E232" s="527" t="s">
        <v>795</v>
      </c>
      <c r="F232" s="760"/>
      <c r="G232" s="639">
        <v>32.25</v>
      </c>
      <c r="H232" s="527">
        <f>263.9+151.2</f>
        <v>415.09999999999997</v>
      </c>
      <c r="I232" s="613" t="s">
        <v>2023</v>
      </c>
      <c r="J232" s="624">
        <v>42368</v>
      </c>
      <c r="K232" s="533" t="s">
        <v>1850</v>
      </c>
      <c r="N232" s="725">
        <v>42242</v>
      </c>
      <c r="P232" s="911">
        <v>1</v>
      </c>
      <c r="W232" s="613">
        <f t="shared" si="36"/>
        <v>1</v>
      </c>
      <c r="AB232" s="527">
        <f t="shared" si="35"/>
        <v>32.25</v>
      </c>
      <c r="AC232" s="527">
        <f t="shared" si="30"/>
        <v>0</v>
      </c>
      <c r="AD232" s="527">
        <f t="shared" si="31"/>
        <v>0</v>
      </c>
      <c r="AE232" s="527">
        <f t="shared" si="32"/>
        <v>0</v>
      </c>
      <c r="AF232" s="527">
        <f t="shared" si="33"/>
        <v>0</v>
      </c>
      <c r="AG232" s="527">
        <f t="shared" si="34"/>
        <v>0</v>
      </c>
      <c r="AH232" s="527"/>
      <c r="AI232" s="639">
        <f t="shared" si="37"/>
        <v>32.25</v>
      </c>
    </row>
    <row r="233" spans="1:35" ht="12.75" customHeight="1" x14ac:dyDescent="0.2">
      <c r="A233" s="527">
        <v>225</v>
      </c>
      <c r="C233" s="533" t="s">
        <v>1998</v>
      </c>
      <c r="E233" s="533" t="s">
        <v>2275</v>
      </c>
      <c r="F233" s="760"/>
      <c r="G233" s="639">
        <v>19.399999999999999</v>
      </c>
      <c r="H233" s="639">
        <v>208.4</v>
      </c>
      <c r="I233" s="613" t="s">
        <v>1995</v>
      </c>
      <c r="J233" s="617">
        <v>42193</v>
      </c>
      <c r="K233" s="533" t="s">
        <v>1850</v>
      </c>
      <c r="N233" s="725">
        <v>42251</v>
      </c>
      <c r="U233" s="613">
        <v>1</v>
      </c>
      <c r="W233" s="613">
        <f t="shared" si="36"/>
        <v>1</v>
      </c>
      <c r="X233" s="613">
        <v>1</v>
      </c>
      <c r="AB233" s="527">
        <f t="shared" si="35"/>
        <v>0</v>
      </c>
      <c r="AC233" s="527">
        <f t="shared" si="30"/>
        <v>0</v>
      </c>
      <c r="AD233" s="527">
        <f t="shared" si="31"/>
        <v>0</v>
      </c>
      <c r="AE233" s="527">
        <f t="shared" si="32"/>
        <v>0</v>
      </c>
      <c r="AF233" s="527">
        <f t="shared" si="33"/>
        <v>0</v>
      </c>
      <c r="AG233" s="527">
        <f t="shared" si="34"/>
        <v>19.399999999999999</v>
      </c>
      <c r="AH233" s="527"/>
      <c r="AI233" s="639">
        <f t="shared" si="37"/>
        <v>19.399999999999999</v>
      </c>
    </row>
    <row r="234" spans="1:35" ht="12.75" customHeight="1" x14ac:dyDescent="0.2">
      <c r="A234" s="527">
        <v>226</v>
      </c>
      <c r="C234" s="533" t="s">
        <v>2008</v>
      </c>
      <c r="E234" s="527" t="s">
        <v>2565</v>
      </c>
      <c r="F234" s="28"/>
      <c r="G234" s="639">
        <v>6674.1</v>
      </c>
      <c r="H234" s="527">
        <v>756.6</v>
      </c>
      <c r="I234" s="795" t="s">
        <v>2384</v>
      </c>
      <c r="J234" s="617">
        <v>42872</v>
      </c>
      <c r="K234" s="533" t="s">
        <v>1850</v>
      </c>
      <c r="N234" s="725">
        <v>42251</v>
      </c>
      <c r="U234" s="613">
        <v>1</v>
      </c>
      <c r="W234" s="613">
        <f t="shared" si="36"/>
        <v>1</v>
      </c>
      <c r="X234" s="613">
        <v>1</v>
      </c>
      <c r="AB234" s="527">
        <f t="shared" si="35"/>
        <v>0</v>
      </c>
      <c r="AC234" s="527">
        <f t="shared" si="30"/>
        <v>0</v>
      </c>
      <c r="AD234" s="527">
        <f t="shared" si="31"/>
        <v>0</v>
      </c>
      <c r="AE234" s="527">
        <f t="shared" si="32"/>
        <v>0</v>
      </c>
      <c r="AF234" s="527">
        <f t="shared" si="33"/>
        <v>0</v>
      </c>
      <c r="AG234" s="527">
        <f t="shared" si="34"/>
        <v>6674.1</v>
      </c>
      <c r="AH234" s="527"/>
      <c r="AI234" s="639">
        <f t="shared" si="37"/>
        <v>6674.1</v>
      </c>
    </row>
    <row r="235" spans="1:35" ht="12.75" customHeight="1" x14ac:dyDescent="0.2">
      <c r="A235" s="527">
        <v>227</v>
      </c>
      <c r="C235" s="533" t="s">
        <v>2009</v>
      </c>
      <c r="E235" s="527" t="s">
        <v>2448</v>
      </c>
      <c r="F235" s="761"/>
      <c r="G235" s="639">
        <v>58</v>
      </c>
      <c r="H235" s="527">
        <f>181.7+607.5</f>
        <v>789.2</v>
      </c>
      <c r="I235" s="751" t="s">
        <v>2226</v>
      </c>
      <c r="J235" s="617">
        <v>42704</v>
      </c>
      <c r="K235" s="533" t="s">
        <v>1850</v>
      </c>
      <c r="N235" s="725">
        <v>42255</v>
      </c>
      <c r="U235" s="613">
        <v>1</v>
      </c>
      <c r="W235" s="613">
        <f t="shared" si="36"/>
        <v>1</v>
      </c>
      <c r="X235" s="613">
        <v>1</v>
      </c>
      <c r="AB235" s="527">
        <f t="shared" si="35"/>
        <v>0</v>
      </c>
      <c r="AC235" s="527">
        <f t="shared" si="30"/>
        <v>0</v>
      </c>
      <c r="AD235" s="527">
        <f t="shared" si="31"/>
        <v>0</v>
      </c>
      <c r="AE235" s="527">
        <f t="shared" si="32"/>
        <v>0</v>
      </c>
      <c r="AF235" s="527">
        <f t="shared" si="33"/>
        <v>0</v>
      </c>
      <c r="AG235" s="527">
        <f t="shared" si="34"/>
        <v>58</v>
      </c>
      <c r="AH235" s="527"/>
      <c r="AI235" s="639">
        <f t="shared" si="37"/>
        <v>58</v>
      </c>
    </row>
    <row r="236" spans="1:35" ht="12.75" customHeight="1" x14ac:dyDescent="0.2">
      <c r="A236" s="527">
        <v>228</v>
      </c>
      <c r="C236" s="533" t="s">
        <v>1733</v>
      </c>
      <c r="E236" s="533" t="s">
        <v>3284</v>
      </c>
      <c r="F236" s="760"/>
      <c r="G236" s="639">
        <v>34.36</v>
      </c>
      <c r="H236" s="632">
        <v>142.19999999999999</v>
      </c>
      <c r="I236" s="635" t="s">
        <v>1789</v>
      </c>
      <c r="J236" s="617">
        <v>41955</v>
      </c>
      <c r="K236" s="533" t="s">
        <v>1850</v>
      </c>
      <c r="L236" s="624">
        <v>37680</v>
      </c>
      <c r="N236" s="725">
        <v>42267</v>
      </c>
      <c r="R236" s="911">
        <v>1</v>
      </c>
      <c r="W236" s="613">
        <f t="shared" si="36"/>
        <v>1</v>
      </c>
      <c r="AB236" s="527">
        <f t="shared" si="35"/>
        <v>0</v>
      </c>
      <c r="AC236" s="527">
        <f t="shared" si="30"/>
        <v>0</v>
      </c>
      <c r="AD236" s="527">
        <f t="shared" si="31"/>
        <v>34.36</v>
      </c>
      <c r="AE236" s="527">
        <f t="shared" si="32"/>
        <v>0</v>
      </c>
      <c r="AF236" s="527">
        <f t="shared" si="33"/>
        <v>0</v>
      </c>
      <c r="AG236" s="527">
        <f t="shared" si="34"/>
        <v>0</v>
      </c>
      <c r="AH236" s="527"/>
      <c r="AI236" s="639">
        <f t="shared" si="37"/>
        <v>34.36</v>
      </c>
    </row>
    <row r="237" spans="1:35" ht="12.75" customHeight="1" x14ac:dyDescent="0.2">
      <c r="A237" s="527">
        <v>229</v>
      </c>
      <c r="C237" s="533" t="s">
        <v>2005</v>
      </c>
      <c r="D237" s="613">
        <v>94</v>
      </c>
      <c r="E237" s="533" t="s">
        <v>3688</v>
      </c>
      <c r="F237" s="760"/>
      <c r="G237" s="639">
        <v>1015</v>
      </c>
      <c r="H237" s="639">
        <v>209.1</v>
      </c>
      <c r="I237" s="613" t="s">
        <v>1995</v>
      </c>
      <c r="J237" s="617">
        <v>42193</v>
      </c>
      <c r="K237" s="533" t="s">
        <v>1850</v>
      </c>
      <c r="N237" s="725">
        <v>42280</v>
      </c>
      <c r="U237" s="613">
        <v>1</v>
      </c>
      <c r="W237" s="613">
        <f t="shared" si="36"/>
        <v>1</v>
      </c>
      <c r="X237" s="613">
        <v>1</v>
      </c>
      <c r="AB237" s="527">
        <f t="shared" si="35"/>
        <v>0</v>
      </c>
      <c r="AC237" s="527">
        <f t="shared" si="30"/>
        <v>0</v>
      </c>
      <c r="AD237" s="527">
        <f t="shared" si="31"/>
        <v>0</v>
      </c>
      <c r="AE237" s="527">
        <f t="shared" si="32"/>
        <v>0</v>
      </c>
      <c r="AF237" s="527">
        <f t="shared" si="33"/>
        <v>0</v>
      </c>
      <c r="AG237" s="527">
        <f t="shared" si="34"/>
        <v>1015</v>
      </c>
      <c r="AH237" s="527"/>
      <c r="AI237" s="639">
        <f t="shared" si="37"/>
        <v>1015</v>
      </c>
    </row>
    <row r="238" spans="1:35" ht="12.75" customHeight="1" x14ac:dyDescent="0.2">
      <c r="A238" s="527">
        <v>230</v>
      </c>
      <c r="C238" s="533" t="s">
        <v>2004</v>
      </c>
      <c r="E238" s="533" t="s">
        <v>2007</v>
      </c>
      <c r="F238" s="760"/>
      <c r="G238" s="639">
        <v>74.25</v>
      </c>
      <c r="H238" s="639">
        <v>166.3</v>
      </c>
      <c r="I238" s="613" t="s">
        <v>2019</v>
      </c>
      <c r="J238" s="617">
        <v>42298</v>
      </c>
      <c r="K238" s="533" t="s">
        <v>1850</v>
      </c>
      <c r="N238" s="725">
        <v>42280</v>
      </c>
      <c r="U238" s="613">
        <v>1</v>
      </c>
      <c r="W238" s="613">
        <f t="shared" si="36"/>
        <v>1</v>
      </c>
      <c r="X238" s="613">
        <v>1</v>
      </c>
      <c r="AB238" s="527">
        <f t="shared" si="35"/>
        <v>0</v>
      </c>
      <c r="AC238" s="527">
        <f t="shared" si="30"/>
        <v>0</v>
      </c>
      <c r="AD238" s="527">
        <f t="shared" si="31"/>
        <v>0</v>
      </c>
      <c r="AE238" s="527">
        <f t="shared" si="32"/>
        <v>0</v>
      </c>
      <c r="AF238" s="527">
        <f t="shared" si="33"/>
        <v>0</v>
      </c>
      <c r="AG238" s="527">
        <f t="shared" si="34"/>
        <v>74.25</v>
      </c>
      <c r="AH238" s="527"/>
      <c r="AI238" s="639">
        <f t="shared" si="37"/>
        <v>74.25</v>
      </c>
    </row>
    <row r="239" spans="1:35" ht="12.75" customHeight="1" x14ac:dyDescent="0.2">
      <c r="A239" s="527">
        <v>231</v>
      </c>
      <c r="C239" s="533" t="s">
        <v>2003</v>
      </c>
      <c r="E239" s="533" t="s">
        <v>3285</v>
      </c>
      <c r="F239" s="760"/>
      <c r="G239" s="639">
        <v>10.01</v>
      </c>
      <c r="H239" s="639">
        <f>65.1+141.9</f>
        <v>207</v>
      </c>
      <c r="I239" s="613" t="s">
        <v>2023</v>
      </c>
      <c r="J239" s="624">
        <v>42368</v>
      </c>
      <c r="K239" s="533" t="s">
        <v>1850</v>
      </c>
      <c r="N239" s="725">
        <v>42280</v>
      </c>
      <c r="U239" s="613">
        <v>1</v>
      </c>
      <c r="W239" s="613">
        <f t="shared" si="36"/>
        <v>1</v>
      </c>
      <c r="X239" s="613">
        <v>1</v>
      </c>
      <c r="AB239" s="527">
        <f t="shared" si="35"/>
        <v>0</v>
      </c>
      <c r="AC239" s="527">
        <f t="shared" si="30"/>
        <v>0</v>
      </c>
      <c r="AD239" s="527">
        <f t="shared" si="31"/>
        <v>0</v>
      </c>
      <c r="AE239" s="527">
        <f t="shared" si="32"/>
        <v>0</v>
      </c>
      <c r="AF239" s="527">
        <f t="shared" si="33"/>
        <v>0</v>
      </c>
      <c r="AG239" s="527">
        <f t="shared" si="34"/>
        <v>10.01</v>
      </c>
      <c r="AH239" s="527"/>
      <c r="AI239" s="639">
        <f t="shared" si="37"/>
        <v>10.01</v>
      </c>
    </row>
    <row r="240" spans="1:35" ht="12.75" customHeight="1" x14ac:dyDescent="0.2">
      <c r="A240" s="527">
        <v>232</v>
      </c>
      <c r="C240" s="533" t="s">
        <v>2017</v>
      </c>
      <c r="E240" s="527" t="s">
        <v>2029</v>
      </c>
      <c r="F240" s="761"/>
      <c r="G240" s="632">
        <v>11</v>
      </c>
      <c r="H240" s="632">
        <v>217.4</v>
      </c>
      <c r="I240" s="613" t="s">
        <v>2036</v>
      </c>
      <c r="J240" s="617">
        <v>42367</v>
      </c>
      <c r="K240" s="533" t="s">
        <v>1850</v>
      </c>
      <c r="N240" s="725">
        <v>42284</v>
      </c>
      <c r="U240" s="613">
        <v>1</v>
      </c>
      <c r="W240" s="613">
        <f t="shared" si="36"/>
        <v>1</v>
      </c>
      <c r="X240" s="613">
        <v>1</v>
      </c>
      <c r="AB240" s="527">
        <f t="shared" si="35"/>
        <v>0</v>
      </c>
      <c r="AC240" s="527">
        <f t="shared" si="30"/>
        <v>0</v>
      </c>
      <c r="AD240" s="527">
        <f t="shared" si="31"/>
        <v>0</v>
      </c>
      <c r="AE240" s="527">
        <f t="shared" si="32"/>
        <v>0</v>
      </c>
      <c r="AF240" s="527">
        <f t="shared" si="33"/>
        <v>0</v>
      </c>
      <c r="AG240" s="527">
        <f t="shared" si="34"/>
        <v>11</v>
      </c>
      <c r="AH240" s="527"/>
      <c r="AI240" s="639">
        <f t="shared" si="37"/>
        <v>11</v>
      </c>
    </row>
    <row r="241" spans="1:37" ht="12.75" customHeight="1" x14ac:dyDescent="0.2">
      <c r="A241" s="527">
        <v>233</v>
      </c>
      <c r="C241" s="533" t="s">
        <v>2018</v>
      </c>
      <c r="E241" s="527" t="s">
        <v>2029</v>
      </c>
      <c r="F241" s="761"/>
      <c r="G241" s="632">
        <v>31</v>
      </c>
      <c r="H241" s="632">
        <v>244.6</v>
      </c>
      <c r="I241" s="613" t="s">
        <v>2036</v>
      </c>
      <c r="J241" s="617">
        <v>42367</v>
      </c>
      <c r="K241" s="533" t="s">
        <v>1850</v>
      </c>
      <c r="N241" s="725">
        <v>42284</v>
      </c>
      <c r="U241" s="613">
        <v>1</v>
      </c>
      <c r="W241" s="613">
        <f t="shared" si="36"/>
        <v>1</v>
      </c>
      <c r="X241" s="613">
        <v>1</v>
      </c>
      <c r="AB241" s="527">
        <f t="shared" si="35"/>
        <v>0</v>
      </c>
      <c r="AC241" s="527">
        <f t="shared" si="30"/>
        <v>0</v>
      </c>
      <c r="AD241" s="527">
        <f t="shared" si="31"/>
        <v>0</v>
      </c>
      <c r="AE241" s="527">
        <f t="shared" si="32"/>
        <v>0</v>
      </c>
      <c r="AF241" s="527">
        <f t="shared" si="33"/>
        <v>0</v>
      </c>
      <c r="AG241" s="527">
        <f t="shared" si="34"/>
        <v>31</v>
      </c>
      <c r="AH241" s="527"/>
      <c r="AI241" s="639">
        <f t="shared" si="37"/>
        <v>31</v>
      </c>
    </row>
    <row r="242" spans="1:37" ht="12.75" customHeight="1" x14ac:dyDescent="0.2">
      <c r="A242" s="527">
        <v>234</v>
      </c>
      <c r="C242" s="533" t="s">
        <v>2011</v>
      </c>
      <c r="D242" s="527"/>
      <c r="E242" s="533" t="s">
        <v>3690</v>
      </c>
      <c r="F242" s="760"/>
      <c r="G242" s="639">
        <v>16518</v>
      </c>
      <c r="H242" s="639">
        <f>201.3+1858.9+2212.2+2801.5+3365.3</f>
        <v>10439.200000000001</v>
      </c>
      <c r="I242" s="613" t="s">
        <v>2019</v>
      </c>
      <c r="J242" s="617">
        <v>42298</v>
      </c>
      <c r="K242" s="533" t="s">
        <v>1850</v>
      </c>
      <c r="N242" s="725">
        <v>42299</v>
      </c>
      <c r="U242" s="613">
        <v>1</v>
      </c>
      <c r="W242" s="613">
        <f t="shared" si="36"/>
        <v>1</v>
      </c>
      <c r="X242" s="613">
        <v>1</v>
      </c>
      <c r="AB242" s="527">
        <f t="shared" si="35"/>
        <v>0</v>
      </c>
      <c r="AC242" s="527">
        <f t="shared" si="30"/>
        <v>0</v>
      </c>
      <c r="AD242" s="527">
        <f t="shared" si="31"/>
        <v>0</v>
      </c>
      <c r="AE242" s="527">
        <f t="shared" si="32"/>
        <v>0</v>
      </c>
      <c r="AF242" s="527">
        <f t="shared" si="33"/>
        <v>0</v>
      </c>
      <c r="AG242" s="527">
        <f t="shared" si="34"/>
        <v>16518</v>
      </c>
      <c r="AH242" s="527"/>
      <c r="AI242" s="639">
        <f t="shared" si="37"/>
        <v>16518</v>
      </c>
    </row>
    <row r="243" spans="1:37" ht="12.75" customHeight="1" x14ac:dyDescent="0.2">
      <c r="A243" s="527">
        <v>235</v>
      </c>
      <c r="C243" s="533" t="s">
        <v>2033</v>
      </c>
      <c r="D243" s="527"/>
      <c r="E243" s="752" t="s">
        <v>2034</v>
      </c>
      <c r="F243" s="761"/>
      <c r="G243" s="639">
        <v>20</v>
      </c>
      <c r="H243" s="639">
        <v>778.8</v>
      </c>
      <c r="I243" s="635" t="s">
        <v>2118</v>
      </c>
      <c r="J243" s="617">
        <v>42515</v>
      </c>
      <c r="K243" s="533" t="s">
        <v>1850</v>
      </c>
      <c r="N243" s="725">
        <v>42309</v>
      </c>
      <c r="U243" s="613">
        <v>1</v>
      </c>
      <c r="W243" s="613">
        <f t="shared" si="36"/>
        <v>1</v>
      </c>
      <c r="X243" s="613">
        <v>1</v>
      </c>
      <c r="AB243" s="527">
        <f t="shared" si="35"/>
        <v>0</v>
      </c>
      <c r="AC243" s="527">
        <f t="shared" si="30"/>
        <v>0</v>
      </c>
      <c r="AD243" s="527">
        <f t="shared" si="31"/>
        <v>0</v>
      </c>
      <c r="AE243" s="527">
        <f t="shared" si="32"/>
        <v>0</v>
      </c>
      <c r="AF243" s="527">
        <f t="shared" si="33"/>
        <v>0</v>
      </c>
      <c r="AG243" s="527">
        <f t="shared" si="34"/>
        <v>20</v>
      </c>
      <c r="AH243" s="527"/>
      <c r="AI243" s="639">
        <f t="shared" si="37"/>
        <v>20</v>
      </c>
    </row>
    <row r="244" spans="1:37" ht="12.75" customHeight="1" x14ac:dyDescent="0.2">
      <c r="A244" s="527">
        <v>236</v>
      </c>
      <c r="C244" s="533" t="s">
        <v>2027</v>
      </c>
      <c r="D244" s="527"/>
      <c r="E244" s="533" t="s">
        <v>2028</v>
      </c>
      <c r="F244" s="761"/>
      <c r="G244" s="639">
        <v>164</v>
      </c>
      <c r="H244" s="639">
        <v>400.8</v>
      </c>
      <c r="I244" s="613" t="s">
        <v>2036</v>
      </c>
      <c r="J244" s="617">
        <v>42367</v>
      </c>
      <c r="K244" s="533" t="s">
        <v>1850</v>
      </c>
      <c r="N244" s="725">
        <v>42332</v>
      </c>
      <c r="U244" s="613">
        <v>1</v>
      </c>
      <c r="W244" s="613">
        <f t="shared" si="36"/>
        <v>1</v>
      </c>
      <c r="X244" s="613">
        <v>1</v>
      </c>
      <c r="AB244" s="527">
        <f t="shared" si="35"/>
        <v>0</v>
      </c>
      <c r="AC244" s="527">
        <f t="shared" si="30"/>
        <v>0</v>
      </c>
      <c r="AD244" s="527">
        <f t="shared" si="31"/>
        <v>0</v>
      </c>
      <c r="AE244" s="527">
        <f t="shared" si="32"/>
        <v>0</v>
      </c>
      <c r="AF244" s="527">
        <f t="shared" si="33"/>
        <v>0</v>
      </c>
      <c r="AG244" s="527">
        <f t="shared" si="34"/>
        <v>164</v>
      </c>
      <c r="AH244" s="527"/>
      <c r="AI244" s="639">
        <f t="shared" si="37"/>
        <v>164</v>
      </c>
    </row>
    <row r="245" spans="1:37" ht="12.75" customHeight="1" x14ac:dyDescent="0.2">
      <c r="A245" s="527">
        <v>237</v>
      </c>
      <c r="C245" s="533" t="s">
        <v>2021</v>
      </c>
      <c r="D245" s="613">
        <v>91</v>
      </c>
      <c r="E245" s="533" t="s">
        <v>3671</v>
      </c>
      <c r="F245" s="760"/>
      <c r="G245" s="632">
        <v>229</v>
      </c>
      <c r="H245" s="639">
        <v>213.1</v>
      </c>
      <c r="I245" s="613" t="s">
        <v>1995</v>
      </c>
      <c r="J245" s="617">
        <v>42193</v>
      </c>
      <c r="K245" s="533" t="s">
        <v>1850</v>
      </c>
      <c r="N245" s="725">
        <v>42356</v>
      </c>
      <c r="U245" s="613">
        <v>1</v>
      </c>
      <c r="W245" s="613">
        <f t="shared" si="36"/>
        <v>1</v>
      </c>
      <c r="X245" s="613">
        <v>1</v>
      </c>
      <c r="AB245" s="527">
        <f t="shared" si="35"/>
        <v>0</v>
      </c>
      <c r="AC245" s="527">
        <f t="shared" si="30"/>
        <v>0</v>
      </c>
      <c r="AD245" s="527">
        <f t="shared" si="31"/>
        <v>0</v>
      </c>
      <c r="AE245" s="527">
        <f t="shared" si="32"/>
        <v>0</v>
      </c>
      <c r="AF245" s="527">
        <f t="shared" si="33"/>
        <v>0</v>
      </c>
      <c r="AG245" s="527">
        <f t="shared" si="34"/>
        <v>229</v>
      </c>
      <c r="AH245" s="527"/>
      <c r="AI245" s="639">
        <f t="shared" si="37"/>
        <v>229</v>
      </c>
    </row>
    <row r="246" spans="1:37" ht="12.75" customHeight="1" x14ac:dyDescent="0.2">
      <c r="A246" s="527">
        <v>238</v>
      </c>
      <c r="C246" s="611" t="s">
        <v>2095</v>
      </c>
      <c r="D246" s="613">
        <v>90</v>
      </c>
      <c r="E246" s="533" t="s">
        <v>2276</v>
      </c>
      <c r="F246" s="760"/>
      <c r="G246" s="639">
        <v>354</v>
      </c>
      <c r="H246" s="639">
        <v>1048</v>
      </c>
      <c r="I246" s="613" t="s">
        <v>1995</v>
      </c>
      <c r="J246" s="617">
        <v>42193</v>
      </c>
      <c r="K246" s="533" t="s">
        <v>1850</v>
      </c>
      <c r="N246" s="725">
        <v>42364</v>
      </c>
      <c r="U246" s="613">
        <v>1</v>
      </c>
      <c r="W246" s="613">
        <f t="shared" si="36"/>
        <v>1</v>
      </c>
      <c r="X246" s="613">
        <v>1</v>
      </c>
      <c r="AB246" s="527">
        <f t="shared" si="35"/>
        <v>0</v>
      </c>
      <c r="AC246" s="527">
        <f t="shared" si="30"/>
        <v>0</v>
      </c>
      <c r="AD246" s="527">
        <f t="shared" si="31"/>
        <v>0</v>
      </c>
      <c r="AE246" s="527">
        <f t="shared" si="32"/>
        <v>0</v>
      </c>
      <c r="AF246" s="527">
        <f t="shared" si="33"/>
        <v>0</v>
      </c>
      <c r="AG246" s="527">
        <f t="shared" si="34"/>
        <v>354</v>
      </c>
      <c r="AH246" s="527"/>
      <c r="AI246" s="639">
        <f t="shared" si="37"/>
        <v>354</v>
      </c>
    </row>
    <row r="247" spans="1:37" ht="12.75" customHeight="1" x14ac:dyDescent="0.2">
      <c r="A247" s="527">
        <v>239</v>
      </c>
      <c r="C247" s="533" t="s">
        <v>2032</v>
      </c>
      <c r="D247" s="613">
        <v>97</v>
      </c>
      <c r="E247" s="533" t="s">
        <v>1994</v>
      </c>
      <c r="F247" s="760"/>
      <c r="G247" s="639">
        <v>21.73</v>
      </c>
      <c r="H247" s="639">
        <v>178.6</v>
      </c>
      <c r="I247" s="613" t="s">
        <v>2019</v>
      </c>
      <c r="J247" s="617">
        <v>42298</v>
      </c>
      <c r="K247" s="533" t="s">
        <v>1850</v>
      </c>
      <c r="N247" s="725">
        <v>42369</v>
      </c>
      <c r="U247" s="613">
        <v>1</v>
      </c>
      <c r="W247" s="613">
        <f t="shared" si="36"/>
        <v>1</v>
      </c>
      <c r="X247" s="613">
        <v>1</v>
      </c>
      <c r="AB247" s="527">
        <f t="shared" si="35"/>
        <v>0</v>
      </c>
      <c r="AC247" s="527">
        <f t="shared" si="30"/>
        <v>0</v>
      </c>
      <c r="AD247" s="527">
        <f t="shared" si="31"/>
        <v>0</v>
      </c>
      <c r="AE247" s="527">
        <f t="shared" si="32"/>
        <v>0</v>
      </c>
      <c r="AF247" s="527">
        <f t="shared" si="33"/>
        <v>0</v>
      </c>
      <c r="AG247" s="527">
        <f t="shared" si="34"/>
        <v>21.73</v>
      </c>
      <c r="AH247" s="527"/>
      <c r="AI247" s="639">
        <f t="shared" si="37"/>
        <v>21.73</v>
      </c>
    </row>
    <row r="248" spans="1:37" ht="12.75" customHeight="1" x14ac:dyDescent="0.2">
      <c r="A248" s="527">
        <v>240</v>
      </c>
      <c r="C248" s="611" t="s">
        <v>2104</v>
      </c>
      <c r="E248" s="533" t="s">
        <v>1991</v>
      </c>
      <c r="G248" s="639">
        <f>233.8+51.95</f>
        <v>285.75</v>
      </c>
      <c r="H248" s="639">
        <v>268</v>
      </c>
      <c r="I248" s="795" t="s">
        <v>2384</v>
      </c>
      <c r="J248" s="617">
        <v>42872</v>
      </c>
      <c r="N248" s="729">
        <v>42382</v>
      </c>
      <c r="U248" s="613">
        <v>1</v>
      </c>
      <c r="W248" s="613">
        <f t="shared" si="36"/>
        <v>1</v>
      </c>
      <c r="X248" s="613">
        <v>1</v>
      </c>
      <c r="AB248" s="527">
        <f t="shared" si="35"/>
        <v>0</v>
      </c>
      <c r="AC248" s="527">
        <f t="shared" si="30"/>
        <v>0</v>
      </c>
      <c r="AD248" s="527">
        <f t="shared" si="31"/>
        <v>0</v>
      </c>
      <c r="AE248" s="527">
        <f t="shared" si="32"/>
        <v>0</v>
      </c>
      <c r="AF248" s="527">
        <f t="shared" si="33"/>
        <v>0</v>
      </c>
      <c r="AG248" s="527">
        <f t="shared" si="34"/>
        <v>285.75</v>
      </c>
      <c r="AH248" s="527"/>
      <c r="AI248" s="639">
        <f t="shared" si="37"/>
        <v>285.75</v>
      </c>
    </row>
    <row r="249" spans="1:37" ht="12.75" customHeight="1" x14ac:dyDescent="0.2">
      <c r="A249" s="527">
        <v>241</v>
      </c>
      <c r="C249" s="611" t="s">
        <v>2108</v>
      </c>
      <c r="E249" s="533" t="s">
        <v>2270</v>
      </c>
      <c r="F249" s="761"/>
      <c r="G249" s="639">
        <v>33</v>
      </c>
      <c r="H249" s="639">
        <v>504.8</v>
      </c>
      <c r="I249" s="635" t="s">
        <v>2118</v>
      </c>
      <c r="J249" s="617">
        <v>42515</v>
      </c>
      <c r="K249" s="533" t="s">
        <v>1850</v>
      </c>
      <c r="N249" s="729">
        <v>42393</v>
      </c>
      <c r="U249" s="613">
        <v>1</v>
      </c>
      <c r="W249" s="613">
        <f t="shared" si="36"/>
        <v>1</v>
      </c>
      <c r="X249" s="613">
        <v>1</v>
      </c>
      <c r="AB249" s="527">
        <f t="shared" si="35"/>
        <v>0</v>
      </c>
      <c r="AC249" s="527">
        <f t="shared" si="30"/>
        <v>0</v>
      </c>
      <c r="AD249" s="527">
        <f t="shared" si="31"/>
        <v>0</v>
      </c>
      <c r="AE249" s="527">
        <f t="shared" si="32"/>
        <v>0</v>
      </c>
      <c r="AF249" s="527">
        <f t="shared" si="33"/>
        <v>0</v>
      </c>
      <c r="AG249" s="527">
        <f t="shared" si="34"/>
        <v>33</v>
      </c>
      <c r="AH249" s="527"/>
      <c r="AI249" s="639">
        <f t="shared" si="37"/>
        <v>33</v>
      </c>
    </row>
    <row r="250" spans="1:37" ht="12.75" customHeight="1" x14ac:dyDescent="0.2">
      <c r="A250" s="527">
        <v>242</v>
      </c>
      <c r="C250" s="533" t="s">
        <v>2103</v>
      </c>
      <c r="D250" s="613">
        <v>98</v>
      </c>
      <c r="E250" s="533" t="s">
        <v>2015</v>
      </c>
      <c r="F250" s="761"/>
      <c r="G250" s="639">
        <v>15600</v>
      </c>
      <c r="H250" s="527">
        <f>95.4+268.9</f>
        <v>364.29999999999995</v>
      </c>
      <c r="I250" s="613" t="s">
        <v>2019</v>
      </c>
      <c r="J250" s="617">
        <v>42298</v>
      </c>
      <c r="K250" s="533" t="s">
        <v>2105</v>
      </c>
      <c r="N250" s="624">
        <v>42403</v>
      </c>
      <c r="U250" s="613">
        <v>1</v>
      </c>
      <c r="W250" s="613">
        <f t="shared" si="36"/>
        <v>1</v>
      </c>
      <c r="X250" s="613">
        <v>1</v>
      </c>
      <c r="AB250" s="527">
        <f t="shared" si="35"/>
        <v>0</v>
      </c>
      <c r="AC250" s="527">
        <f t="shared" si="30"/>
        <v>0</v>
      </c>
      <c r="AD250" s="527">
        <f t="shared" si="31"/>
        <v>0</v>
      </c>
      <c r="AE250" s="527">
        <f t="shared" si="32"/>
        <v>0</v>
      </c>
      <c r="AF250" s="527">
        <f t="shared" si="33"/>
        <v>0</v>
      </c>
      <c r="AG250" s="527">
        <f t="shared" si="34"/>
        <v>15600</v>
      </c>
      <c r="AH250" s="527"/>
      <c r="AI250" s="639">
        <f t="shared" si="37"/>
        <v>15600</v>
      </c>
    </row>
    <row r="251" spans="1:37" ht="12.75" customHeight="1" x14ac:dyDescent="0.2">
      <c r="A251" s="527">
        <v>242</v>
      </c>
      <c r="C251" s="533" t="s">
        <v>2103</v>
      </c>
      <c r="E251" s="533" t="s">
        <v>2031</v>
      </c>
      <c r="G251" s="639"/>
      <c r="H251" s="527">
        <v>146.69999999999999</v>
      </c>
      <c r="I251" s="613" t="s">
        <v>2036</v>
      </c>
      <c r="J251" s="617">
        <v>42367</v>
      </c>
      <c r="N251" s="624"/>
      <c r="AB251" s="527">
        <f t="shared" si="35"/>
        <v>0</v>
      </c>
      <c r="AC251" s="527">
        <f t="shared" si="30"/>
        <v>0</v>
      </c>
      <c r="AD251" s="527">
        <f t="shared" si="31"/>
        <v>0</v>
      </c>
      <c r="AE251" s="527">
        <f t="shared" si="32"/>
        <v>0</v>
      </c>
      <c r="AF251" s="527">
        <f t="shared" si="33"/>
        <v>0</v>
      </c>
      <c r="AG251" s="527">
        <f t="shared" si="34"/>
        <v>0</v>
      </c>
      <c r="AH251" s="527"/>
    </row>
    <row r="252" spans="1:37" ht="12.75" customHeight="1" x14ac:dyDescent="0.2">
      <c r="A252" s="527">
        <v>242</v>
      </c>
      <c r="C252" s="533" t="s">
        <v>2103</v>
      </c>
      <c r="E252" s="533" t="s">
        <v>2030</v>
      </c>
      <c r="G252" s="639"/>
      <c r="H252" s="527">
        <v>114.2</v>
      </c>
      <c r="I252" s="613" t="s">
        <v>2036</v>
      </c>
      <c r="J252" s="617">
        <v>42367</v>
      </c>
      <c r="N252" s="624"/>
      <c r="AB252" s="527">
        <f t="shared" si="35"/>
        <v>0</v>
      </c>
      <c r="AC252" s="527">
        <f t="shared" si="30"/>
        <v>0</v>
      </c>
      <c r="AD252" s="527">
        <f t="shared" si="31"/>
        <v>0</v>
      </c>
      <c r="AE252" s="527">
        <f t="shared" si="32"/>
        <v>0</v>
      </c>
      <c r="AF252" s="527">
        <f t="shared" si="33"/>
        <v>0</v>
      </c>
      <c r="AG252" s="527">
        <f t="shared" si="34"/>
        <v>0</v>
      </c>
      <c r="AH252" s="527"/>
    </row>
    <row r="253" spans="1:37" ht="12.75" customHeight="1" x14ac:dyDescent="0.2">
      <c r="A253" s="527">
        <v>243</v>
      </c>
      <c r="C253" s="533" t="s">
        <v>2111</v>
      </c>
      <c r="E253" s="533" t="s">
        <v>2188</v>
      </c>
      <c r="F253" s="761"/>
      <c r="G253" s="639">
        <v>660</v>
      </c>
      <c r="H253" s="527">
        <v>428.6</v>
      </c>
      <c r="I253" s="635" t="s">
        <v>2118</v>
      </c>
      <c r="J253" s="617">
        <v>42515</v>
      </c>
      <c r="K253" s="533" t="s">
        <v>2105</v>
      </c>
      <c r="N253" s="624">
        <v>42427</v>
      </c>
      <c r="U253" s="613">
        <v>1</v>
      </c>
      <c r="W253" s="613">
        <f t="shared" ref="W253:W316" si="38">SUM(P253:V253)</f>
        <v>1</v>
      </c>
      <c r="X253" s="613">
        <v>1</v>
      </c>
      <c r="AB253" s="527">
        <f t="shared" si="35"/>
        <v>0</v>
      </c>
      <c r="AC253" s="527">
        <f t="shared" si="30"/>
        <v>0</v>
      </c>
      <c r="AD253" s="527">
        <f t="shared" si="31"/>
        <v>0</v>
      </c>
      <c r="AE253" s="527">
        <f t="shared" si="32"/>
        <v>0</v>
      </c>
      <c r="AF253" s="527">
        <f t="shared" si="33"/>
        <v>0</v>
      </c>
      <c r="AG253" s="527">
        <f t="shared" si="34"/>
        <v>660</v>
      </c>
      <c r="AH253" s="527"/>
      <c r="AI253" s="639">
        <f t="shared" si="37"/>
        <v>660</v>
      </c>
    </row>
    <row r="254" spans="1:37" ht="12.75" customHeight="1" x14ac:dyDescent="0.2">
      <c r="A254" s="527">
        <v>244</v>
      </c>
      <c r="C254" s="533" t="s">
        <v>2110</v>
      </c>
      <c r="E254" s="533" t="s">
        <v>2269</v>
      </c>
      <c r="F254" s="761"/>
      <c r="G254" s="632">
        <v>43.35</v>
      </c>
      <c r="H254" s="632">
        <v>101.9</v>
      </c>
      <c r="I254" s="635" t="s">
        <v>2118</v>
      </c>
      <c r="J254" s="617">
        <v>42515</v>
      </c>
      <c r="K254" s="533" t="s">
        <v>2105</v>
      </c>
      <c r="N254" s="624">
        <v>42427</v>
      </c>
      <c r="U254" s="613">
        <v>1</v>
      </c>
      <c r="W254" s="613">
        <f t="shared" si="38"/>
        <v>1</v>
      </c>
      <c r="X254" s="613">
        <v>1</v>
      </c>
      <c r="AB254" s="527">
        <f t="shared" si="35"/>
        <v>0</v>
      </c>
      <c r="AC254" s="527">
        <f t="shared" si="30"/>
        <v>0</v>
      </c>
      <c r="AD254" s="527">
        <f t="shared" si="31"/>
        <v>0</v>
      </c>
      <c r="AE254" s="527">
        <f t="shared" si="32"/>
        <v>0</v>
      </c>
      <c r="AF254" s="527">
        <f t="shared" si="33"/>
        <v>0</v>
      </c>
      <c r="AG254" s="527">
        <f t="shared" si="34"/>
        <v>43.35</v>
      </c>
      <c r="AH254" s="527"/>
      <c r="AI254" s="639">
        <f t="shared" si="37"/>
        <v>43.35</v>
      </c>
    </row>
    <row r="255" spans="1:37" ht="12.75" customHeight="1" x14ac:dyDescent="0.2">
      <c r="A255" s="527">
        <v>245</v>
      </c>
      <c r="C255" s="533" t="s">
        <v>2109</v>
      </c>
      <c r="D255" s="613">
        <v>103</v>
      </c>
      <c r="E255" s="533" t="s">
        <v>2814</v>
      </c>
      <c r="F255" s="761"/>
      <c r="G255" s="639">
        <v>130</v>
      </c>
      <c r="H255" s="639">
        <v>290.5</v>
      </c>
      <c r="I255" s="613" t="s">
        <v>2023</v>
      </c>
      <c r="J255" s="624">
        <v>42368</v>
      </c>
      <c r="K255" s="533" t="s">
        <v>2105</v>
      </c>
      <c r="N255" s="624">
        <v>42455</v>
      </c>
      <c r="U255" s="613">
        <v>1</v>
      </c>
      <c r="W255" s="613">
        <f t="shared" si="38"/>
        <v>1</v>
      </c>
      <c r="X255" s="613">
        <v>1</v>
      </c>
      <c r="AB255" s="527">
        <f t="shared" si="35"/>
        <v>0</v>
      </c>
      <c r="AC255" s="527">
        <f t="shared" si="30"/>
        <v>0</v>
      </c>
      <c r="AD255" s="527">
        <f t="shared" si="31"/>
        <v>0</v>
      </c>
      <c r="AE255" s="527">
        <f t="shared" si="32"/>
        <v>0</v>
      </c>
      <c r="AF255" s="527">
        <f t="shared" si="33"/>
        <v>0</v>
      </c>
      <c r="AG255" s="527">
        <f t="shared" si="34"/>
        <v>130</v>
      </c>
      <c r="AH255" s="527"/>
      <c r="AI255" s="639">
        <f t="shared" si="37"/>
        <v>130</v>
      </c>
    </row>
    <row r="256" spans="1:37" ht="12.75" customHeight="1" x14ac:dyDescent="0.2">
      <c r="A256" s="527">
        <v>246</v>
      </c>
      <c r="C256" s="533" t="s">
        <v>2116</v>
      </c>
      <c r="E256" s="533" t="s">
        <v>2117</v>
      </c>
      <c r="F256" s="761"/>
      <c r="G256" s="632">
        <v>350</v>
      </c>
      <c r="H256" s="632">
        <v>466.2</v>
      </c>
      <c r="I256" s="613" t="s">
        <v>2118</v>
      </c>
      <c r="J256" s="617">
        <v>42515</v>
      </c>
      <c r="K256" s="533" t="s">
        <v>2105</v>
      </c>
      <c r="N256" s="624">
        <v>42471</v>
      </c>
      <c r="U256" s="613">
        <v>1</v>
      </c>
      <c r="W256" s="613">
        <f t="shared" si="38"/>
        <v>1</v>
      </c>
      <c r="X256" s="613">
        <v>1</v>
      </c>
      <c r="Y256" s="613">
        <v>1</v>
      </c>
      <c r="AB256" s="527">
        <f t="shared" si="35"/>
        <v>0</v>
      </c>
      <c r="AC256" s="527">
        <f t="shared" si="30"/>
        <v>0</v>
      </c>
      <c r="AD256" s="527">
        <f t="shared" si="31"/>
        <v>0</v>
      </c>
      <c r="AE256" s="527">
        <f t="shared" si="32"/>
        <v>0</v>
      </c>
      <c r="AF256" s="527">
        <f t="shared" si="33"/>
        <v>0</v>
      </c>
      <c r="AG256" s="527">
        <f t="shared" si="34"/>
        <v>350</v>
      </c>
      <c r="AH256" s="527"/>
      <c r="AI256" s="639">
        <f t="shared" si="37"/>
        <v>350</v>
      </c>
      <c r="AK256" s="778">
        <v>1</v>
      </c>
    </row>
    <row r="257" spans="1:47" ht="12.75" customHeight="1" x14ac:dyDescent="0.2">
      <c r="A257" s="527">
        <v>247</v>
      </c>
      <c r="C257" s="533" t="s">
        <v>2119</v>
      </c>
      <c r="E257" s="533" t="s">
        <v>2268</v>
      </c>
      <c r="F257" s="761"/>
      <c r="G257" s="632">
        <v>77.8</v>
      </c>
      <c r="H257" s="632">
        <f>284.9+370.3</f>
        <v>655.20000000000005</v>
      </c>
      <c r="I257" s="751" t="s">
        <v>2226</v>
      </c>
      <c r="J257" s="617">
        <v>42704</v>
      </c>
      <c r="K257" s="533" t="s">
        <v>2105</v>
      </c>
      <c r="N257" s="624">
        <v>42471</v>
      </c>
      <c r="U257" s="613">
        <v>1</v>
      </c>
      <c r="W257" s="613">
        <f t="shared" si="38"/>
        <v>1</v>
      </c>
      <c r="X257" s="613">
        <v>1</v>
      </c>
      <c r="AB257" s="527">
        <f t="shared" si="35"/>
        <v>0</v>
      </c>
      <c r="AC257" s="527">
        <f t="shared" si="30"/>
        <v>0</v>
      </c>
      <c r="AD257" s="527">
        <f t="shared" si="31"/>
        <v>0</v>
      </c>
      <c r="AE257" s="527">
        <f t="shared" si="32"/>
        <v>0</v>
      </c>
      <c r="AF257" s="527">
        <f t="shared" si="33"/>
        <v>0</v>
      </c>
      <c r="AG257" s="527">
        <f t="shared" si="34"/>
        <v>77.8</v>
      </c>
      <c r="AH257" s="527"/>
      <c r="AI257" s="639">
        <f t="shared" si="37"/>
        <v>77.8</v>
      </c>
    </row>
    <row r="258" spans="1:47" ht="12.75" customHeight="1" x14ac:dyDescent="0.2">
      <c r="A258" s="527">
        <v>248</v>
      </c>
      <c r="C258" s="533" t="s">
        <v>2182</v>
      </c>
      <c r="E258" s="533" t="s">
        <v>2184</v>
      </c>
      <c r="G258" s="632">
        <v>2014</v>
      </c>
      <c r="K258" s="533" t="s">
        <v>2105</v>
      </c>
      <c r="N258" s="624">
        <v>42484</v>
      </c>
      <c r="U258" s="613">
        <v>1</v>
      </c>
      <c r="W258" s="613">
        <f t="shared" si="38"/>
        <v>1</v>
      </c>
      <c r="AB258" s="527">
        <f t="shared" si="35"/>
        <v>0</v>
      </c>
      <c r="AC258" s="527">
        <f t="shared" ref="AC258:AC321" si="39">IF(Q258=1,$G258,0)</f>
        <v>0</v>
      </c>
      <c r="AD258" s="527">
        <f t="shared" ref="AD258:AD321" si="40">IF(R258=1,$G258,0)</f>
        <v>0</v>
      </c>
      <c r="AE258" s="527">
        <f t="shared" ref="AE258:AE321" si="41">IF(S258=1,$G258,0)</f>
        <v>0</v>
      </c>
      <c r="AF258" s="527">
        <f t="shared" ref="AF258:AF321" si="42">IF(T258=1,$G258,0)</f>
        <v>0</v>
      </c>
      <c r="AG258" s="527">
        <f t="shared" ref="AG258:AG321" si="43">IF(U258=1,$G258,0)</f>
        <v>2014</v>
      </c>
      <c r="AH258" s="527"/>
      <c r="AI258" s="639">
        <f t="shared" si="37"/>
        <v>2014</v>
      </c>
      <c r="AK258" s="631"/>
      <c r="AL258" s="631"/>
      <c r="AM258" s="631"/>
      <c r="AN258" s="631"/>
      <c r="AO258" s="631"/>
    </row>
    <row r="259" spans="1:47" ht="12.75" customHeight="1" x14ac:dyDescent="0.2">
      <c r="A259" s="527">
        <v>249</v>
      </c>
      <c r="C259" s="533" t="s">
        <v>2183</v>
      </c>
      <c r="E259" s="533" t="s">
        <v>2221</v>
      </c>
      <c r="F259" s="761"/>
      <c r="G259" s="632">
        <v>43.02</v>
      </c>
      <c r="H259" s="632">
        <v>224.94</v>
      </c>
      <c r="I259" s="613" t="s">
        <v>2198</v>
      </c>
      <c r="J259" s="617">
        <v>42634</v>
      </c>
      <c r="K259" s="533" t="s">
        <v>2105</v>
      </c>
      <c r="N259" s="624">
        <v>42484</v>
      </c>
      <c r="U259" s="613">
        <v>1</v>
      </c>
      <c r="W259" s="613">
        <f t="shared" si="38"/>
        <v>1</v>
      </c>
      <c r="X259" s="613">
        <v>1</v>
      </c>
      <c r="AB259" s="527">
        <f t="shared" ref="AB259:AB322" si="44">IF(P259=1,$G259,0)</f>
        <v>0</v>
      </c>
      <c r="AC259" s="527">
        <f t="shared" si="39"/>
        <v>0</v>
      </c>
      <c r="AD259" s="527">
        <f t="shared" si="40"/>
        <v>0</v>
      </c>
      <c r="AE259" s="527">
        <f t="shared" si="41"/>
        <v>0</v>
      </c>
      <c r="AF259" s="527">
        <f t="shared" si="42"/>
        <v>0</v>
      </c>
      <c r="AG259" s="527">
        <f t="shared" si="43"/>
        <v>43.02</v>
      </c>
      <c r="AH259" s="527"/>
      <c r="AI259" s="639">
        <f t="shared" si="37"/>
        <v>43.02</v>
      </c>
    </row>
    <row r="260" spans="1:47" ht="12.75" customHeight="1" x14ac:dyDescent="0.2">
      <c r="A260" s="527">
        <v>250</v>
      </c>
      <c r="C260" s="533" t="s">
        <v>2120</v>
      </c>
      <c r="E260" s="533" t="s">
        <v>2267</v>
      </c>
      <c r="F260" s="761"/>
      <c r="G260" s="639">
        <v>22</v>
      </c>
      <c r="H260" s="632">
        <v>69.599999999999994</v>
      </c>
      <c r="I260" s="613" t="s">
        <v>2036</v>
      </c>
      <c r="J260" s="617">
        <v>42367</v>
      </c>
      <c r="K260" s="533" t="s">
        <v>2105</v>
      </c>
      <c r="N260" s="624">
        <v>42490</v>
      </c>
      <c r="U260" s="613">
        <v>1</v>
      </c>
      <c r="W260" s="613">
        <f t="shared" si="38"/>
        <v>1</v>
      </c>
      <c r="X260" s="613">
        <v>1</v>
      </c>
      <c r="AB260" s="527">
        <f t="shared" si="44"/>
        <v>0</v>
      </c>
      <c r="AC260" s="527">
        <f t="shared" si="39"/>
        <v>0</v>
      </c>
      <c r="AD260" s="527">
        <f t="shared" si="40"/>
        <v>0</v>
      </c>
      <c r="AE260" s="527">
        <f t="shared" si="41"/>
        <v>0</v>
      </c>
      <c r="AF260" s="527">
        <f t="shared" si="42"/>
        <v>0</v>
      </c>
      <c r="AG260" s="527">
        <f t="shared" si="43"/>
        <v>22</v>
      </c>
      <c r="AH260" s="527"/>
      <c r="AI260" s="639">
        <f t="shared" si="37"/>
        <v>22</v>
      </c>
    </row>
    <row r="261" spans="1:47" ht="12.75" customHeight="1" x14ac:dyDescent="0.2">
      <c r="A261" s="527">
        <v>251</v>
      </c>
      <c r="C261" s="533" t="s">
        <v>2121</v>
      </c>
      <c r="D261" s="613">
        <v>104</v>
      </c>
      <c r="E261" s="533" t="s">
        <v>3672</v>
      </c>
      <c r="F261" s="761"/>
      <c r="G261" s="639">
        <v>1849</v>
      </c>
      <c r="H261" s="632">
        <v>246.6</v>
      </c>
      <c r="I261" s="613" t="s">
        <v>2036</v>
      </c>
      <c r="J261" s="617">
        <v>42367</v>
      </c>
      <c r="K261" s="533" t="s">
        <v>2105</v>
      </c>
      <c r="N261" s="624">
        <v>42490</v>
      </c>
      <c r="U261" s="613">
        <v>1</v>
      </c>
      <c r="W261" s="613">
        <f t="shared" si="38"/>
        <v>1</v>
      </c>
      <c r="X261" s="613">
        <v>1</v>
      </c>
      <c r="AB261" s="527">
        <f t="shared" si="44"/>
        <v>0</v>
      </c>
      <c r="AC261" s="527">
        <f t="shared" si="39"/>
        <v>0</v>
      </c>
      <c r="AD261" s="527">
        <f t="shared" si="40"/>
        <v>0</v>
      </c>
      <c r="AE261" s="527">
        <f t="shared" si="41"/>
        <v>0</v>
      </c>
      <c r="AF261" s="527">
        <f t="shared" si="42"/>
        <v>0</v>
      </c>
      <c r="AG261" s="527">
        <f t="shared" si="43"/>
        <v>1849</v>
      </c>
      <c r="AH261" s="527"/>
      <c r="AI261" s="639">
        <f t="shared" si="37"/>
        <v>1849</v>
      </c>
    </row>
    <row r="262" spans="1:47" ht="12.75" customHeight="1" x14ac:dyDescent="0.25">
      <c r="A262" s="527">
        <v>252</v>
      </c>
      <c r="C262" s="533" t="s">
        <v>2171</v>
      </c>
      <c r="D262" s="613">
        <v>82</v>
      </c>
      <c r="E262" s="533" t="s">
        <v>3286</v>
      </c>
      <c r="F262" s="761"/>
      <c r="G262" s="639">
        <v>4.95</v>
      </c>
      <c r="H262" s="632">
        <v>1143.5999999999999</v>
      </c>
      <c r="I262" s="635" t="s">
        <v>1789</v>
      </c>
      <c r="J262" s="617">
        <v>41955</v>
      </c>
      <c r="K262" s="533" t="s">
        <v>2105</v>
      </c>
      <c r="L262" s="527" t="s">
        <v>1274</v>
      </c>
      <c r="N262" s="624">
        <v>42497</v>
      </c>
      <c r="R262" s="911">
        <v>1</v>
      </c>
      <c r="W262" s="613">
        <f t="shared" si="38"/>
        <v>1</v>
      </c>
      <c r="AB262" s="527">
        <f t="shared" si="44"/>
        <v>0</v>
      </c>
      <c r="AC262" s="527">
        <f t="shared" si="39"/>
        <v>0</v>
      </c>
      <c r="AD262" s="527">
        <f t="shared" si="40"/>
        <v>4.95</v>
      </c>
      <c r="AE262" s="527">
        <f t="shared" si="41"/>
        <v>0</v>
      </c>
      <c r="AF262" s="527">
        <f t="shared" si="42"/>
        <v>0</v>
      </c>
      <c r="AG262" s="527">
        <f t="shared" si="43"/>
        <v>0</v>
      </c>
      <c r="AH262" s="527"/>
      <c r="AI262" s="639">
        <f t="shared" si="37"/>
        <v>4.95</v>
      </c>
      <c r="AR262" s="903"/>
      <c r="AS262" s="904"/>
      <c r="AT262" s="904"/>
      <c r="AU262" s="904"/>
    </row>
    <row r="263" spans="1:47" ht="12.75" customHeight="1" x14ac:dyDescent="0.2">
      <c r="A263" s="527">
        <v>253</v>
      </c>
      <c r="C263" s="533" t="s">
        <v>2192</v>
      </c>
      <c r="E263" s="533" t="s">
        <v>2195</v>
      </c>
      <c r="F263" s="761"/>
      <c r="G263" s="632">
        <v>337.74</v>
      </c>
      <c r="H263" s="639">
        <f>218.4+77.8</f>
        <v>296.2</v>
      </c>
      <c r="I263" s="613" t="s">
        <v>1995</v>
      </c>
      <c r="J263" s="617">
        <v>42193</v>
      </c>
      <c r="K263" s="533" t="s">
        <v>2105</v>
      </c>
      <c r="N263" s="624">
        <v>42502</v>
      </c>
      <c r="U263" s="613">
        <v>1</v>
      </c>
      <c r="W263" s="613">
        <f t="shared" si="38"/>
        <v>1</v>
      </c>
      <c r="X263" s="613">
        <v>1</v>
      </c>
      <c r="AB263" s="527">
        <f t="shared" si="44"/>
        <v>0</v>
      </c>
      <c r="AC263" s="527">
        <f t="shared" si="39"/>
        <v>0</v>
      </c>
      <c r="AD263" s="527">
        <f t="shared" si="40"/>
        <v>0</v>
      </c>
      <c r="AE263" s="527">
        <f t="shared" si="41"/>
        <v>0</v>
      </c>
      <c r="AF263" s="527">
        <f t="shared" si="42"/>
        <v>0</v>
      </c>
      <c r="AG263" s="527">
        <f t="shared" si="43"/>
        <v>337.74</v>
      </c>
      <c r="AH263" s="527"/>
      <c r="AI263" s="639">
        <f t="shared" si="37"/>
        <v>337.74</v>
      </c>
    </row>
    <row r="264" spans="1:47" ht="12.75" customHeight="1" x14ac:dyDescent="0.2">
      <c r="A264" s="527">
        <v>254</v>
      </c>
      <c r="C264" s="533" t="s">
        <v>2115</v>
      </c>
      <c r="D264" s="613">
        <v>36</v>
      </c>
      <c r="E264" s="533" t="s">
        <v>2382</v>
      </c>
      <c r="F264" s="761"/>
      <c r="G264" s="632">
        <v>4050</v>
      </c>
      <c r="H264" s="632">
        <v>339.2</v>
      </c>
      <c r="I264" s="613" t="s">
        <v>1611</v>
      </c>
      <c r="J264" s="617">
        <v>41389</v>
      </c>
      <c r="K264" s="533" t="s">
        <v>2105</v>
      </c>
      <c r="N264" s="624">
        <v>42504</v>
      </c>
      <c r="U264" s="613">
        <v>1</v>
      </c>
      <c r="W264" s="613">
        <f t="shared" si="38"/>
        <v>1</v>
      </c>
      <c r="X264" s="613">
        <v>1</v>
      </c>
      <c r="AB264" s="527">
        <f t="shared" si="44"/>
        <v>0</v>
      </c>
      <c r="AC264" s="527">
        <f t="shared" si="39"/>
        <v>0</v>
      </c>
      <c r="AD264" s="527">
        <f t="shared" si="40"/>
        <v>0</v>
      </c>
      <c r="AE264" s="527">
        <f t="shared" si="41"/>
        <v>0</v>
      </c>
      <c r="AF264" s="527">
        <f t="shared" si="42"/>
        <v>0</v>
      </c>
      <c r="AG264" s="527">
        <f t="shared" si="43"/>
        <v>4050</v>
      </c>
      <c r="AH264" s="527"/>
      <c r="AI264" s="639">
        <f t="shared" si="37"/>
        <v>4050</v>
      </c>
    </row>
    <row r="265" spans="1:47" ht="12.75" customHeight="1" x14ac:dyDescent="0.2">
      <c r="A265" s="527">
        <v>255</v>
      </c>
      <c r="C265" s="533" t="s">
        <v>2193</v>
      </c>
      <c r="E265" s="533" t="s">
        <v>2213</v>
      </c>
      <c r="G265" s="632">
        <v>43.56</v>
      </c>
      <c r="H265" s="632">
        <v>215.2</v>
      </c>
      <c r="I265" s="795" t="s">
        <v>2384</v>
      </c>
      <c r="J265" s="617">
        <v>42872</v>
      </c>
      <c r="K265" s="533" t="s">
        <v>2105</v>
      </c>
      <c r="N265" s="624">
        <v>42505</v>
      </c>
      <c r="U265" s="613">
        <v>1</v>
      </c>
      <c r="W265" s="613">
        <f t="shared" si="38"/>
        <v>1</v>
      </c>
      <c r="X265" s="613">
        <v>1</v>
      </c>
      <c r="AB265" s="527">
        <f t="shared" si="44"/>
        <v>0</v>
      </c>
      <c r="AC265" s="527">
        <f t="shared" si="39"/>
        <v>0</v>
      </c>
      <c r="AD265" s="527">
        <f t="shared" si="40"/>
        <v>0</v>
      </c>
      <c r="AE265" s="527">
        <f t="shared" si="41"/>
        <v>0</v>
      </c>
      <c r="AF265" s="527">
        <f t="shared" si="42"/>
        <v>0</v>
      </c>
      <c r="AG265" s="527">
        <f t="shared" si="43"/>
        <v>43.56</v>
      </c>
      <c r="AH265" s="527"/>
      <c r="AI265" s="639">
        <f t="shared" si="37"/>
        <v>43.56</v>
      </c>
    </row>
    <row r="266" spans="1:47" ht="12.75" customHeight="1" x14ac:dyDescent="0.2">
      <c r="A266" s="527">
        <v>256</v>
      </c>
      <c r="C266" s="533" t="s">
        <v>2194</v>
      </c>
      <c r="E266" s="533" t="s">
        <v>3287</v>
      </c>
      <c r="F266" s="761"/>
      <c r="G266" s="632">
        <v>166</v>
      </c>
      <c r="H266" s="632">
        <f>335.31+331.3</f>
        <v>666.61</v>
      </c>
      <c r="I266" s="613" t="s">
        <v>2198</v>
      </c>
      <c r="J266" s="617">
        <v>42634</v>
      </c>
      <c r="K266" s="533" t="s">
        <v>2105</v>
      </c>
      <c r="N266" s="624">
        <v>42505</v>
      </c>
      <c r="U266" s="613">
        <v>1</v>
      </c>
      <c r="W266" s="613">
        <f t="shared" si="38"/>
        <v>1</v>
      </c>
      <c r="X266" s="613">
        <v>1</v>
      </c>
      <c r="AB266" s="527">
        <f t="shared" si="44"/>
        <v>0</v>
      </c>
      <c r="AC266" s="527">
        <f t="shared" si="39"/>
        <v>0</v>
      </c>
      <c r="AD266" s="527">
        <f t="shared" si="40"/>
        <v>0</v>
      </c>
      <c r="AE266" s="527">
        <f t="shared" si="41"/>
        <v>0</v>
      </c>
      <c r="AF266" s="527">
        <f t="shared" si="42"/>
        <v>0</v>
      </c>
      <c r="AG266" s="527">
        <f t="shared" si="43"/>
        <v>166</v>
      </c>
      <c r="AH266" s="527"/>
      <c r="AI266" s="639">
        <f t="shared" si="37"/>
        <v>166</v>
      </c>
    </row>
    <row r="267" spans="1:47" ht="12.75" customHeight="1" x14ac:dyDescent="0.2">
      <c r="A267" s="527">
        <v>257</v>
      </c>
      <c r="C267" s="533" t="s">
        <v>2185</v>
      </c>
      <c r="E267" s="533" t="s">
        <v>2114</v>
      </c>
      <c r="F267" s="761"/>
      <c r="G267" s="639">
        <v>41.3</v>
      </c>
      <c r="H267" s="639">
        <v>120.6</v>
      </c>
      <c r="I267" s="613" t="s">
        <v>2118</v>
      </c>
      <c r="J267" s="617">
        <v>42515</v>
      </c>
      <c r="K267" s="533" t="s">
        <v>2105</v>
      </c>
      <c r="N267" s="624">
        <v>42514</v>
      </c>
      <c r="U267" s="613">
        <v>1</v>
      </c>
      <c r="W267" s="613">
        <f t="shared" si="38"/>
        <v>1</v>
      </c>
      <c r="X267" s="613">
        <v>1</v>
      </c>
      <c r="AB267" s="527">
        <f t="shared" si="44"/>
        <v>0</v>
      </c>
      <c r="AC267" s="527">
        <f t="shared" si="39"/>
        <v>0</v>
      </c>
      <c r="AD267" s="527">
        <f t="shared" si="40"/>
        <v>0</v>
      </c>
      <c r="AE267" s="527">
        <f t="shared" si="41"/>
        <v>0</v>
      </c>
      <c r="AF267" s="527">
        <f t="shared" si="42"/>
        <v>0</v>
      </c>
      <c r="AG267" s="527">
        <f t="shared" si="43"/>
        <v>41.3</v>
      </c>
      <c r="AH267" s="527"/>
      <c r="AI267" s="639">
        <f t="shared" si="37"/>
        <v>41.3</v>
      </c>
    </row>
    <row r="268" spans="1:47" ht="12.75" customHeight="1" x14ac:dyDescent="0.2">
      <c r="A268" s="527">
        <v>258</v>
      </c>
      <c r="C268" s="533" t="s">
        <v>2196</v>
      </c>
      <c r="E268" s="533" t="s">
        <v>2113</v>
      </c>
      <c r="F268" s="761"/>
      <c r="G268" s="639">
        <v>24.73</v>
      </c>
      <c r="H268" s="639">
        <v>226</v>
      </c>
      <c r="I268" s="613" t="s">
        <v>2118</v>
      </c>
      <c r="J268" s="617">
        <v>42515</v>
      </c>
      <c r="K268" s="533" t="s">
        <v>2105</v>
      </c>
      <c r="N268" s="624">
        <v>42532</v>
      </c>
      <c r="U268" s="613">
        <v>1</v>
      </c>
      <c r="W268" s="613">
        <f t="shared" si="38"/>
        <v>1</v>
      </c>
      <c r="X268" s="613">
        <v>1</v>
      </c>
      <c r="AB268" s="527">
        <f t="shared" si="44"/>
        <v>0</v>
      </c>
      <c r="AC268" s="527">
        <f t="shared" si="39"/>
        <v>0</v>
      </c>
      <c r="AD268" s="527">
        <f t="shared" si="40"/>
        <v>0</v>
      </c>
      <c r="AE268" s="527">
        <f t="shared" si="41"/>
        <v>0</v>
      </c>
      <c r="AF268" s="527">
        <f t="shared" si="42"/>
        <v>0</v>
      </c>
      <c r="AG268" s="527">
        <f t="shared" si="43"/>
        <v>24.73</v>
      </c>
      <c r="AH268" s="527"/>
      <c r="AI268" s="639">
        <f t="shared" si="37"/>
        <v>24.73</v>
      </c>
    </row>
    <row r="269" spans="1:47" ht="12.75" customHeight="1" x14ac:dyDescent="0.2">
      <c r="A269" s="527">
        <v>259</v>
      </c>
      <c r="C269" s="533" t="s">
        <v>2200</v>
      </c>
      <c r="E269" s="533" t="s">
        <v>3673</v>
      </c>
      <c r="G269" s="632">
        <v>60.2</v>
      </c>
      <c r="K269" s="533" t="s">
        <v>2105</v>
      </c>
      <c r="N269" s="624">
        <v>42541</v>
      </c>
      <c r="U269" s="613">
        <v>1</v>
      </c>
      <c r="W269" s="613">
        <f t="shared" si="38"/>
        <v>1</v>
      </c>
      <c r="AB269" s="527">
        <f t="shared" si="44"/>
        <v>0</v>
      </c>
      <c r="AC269" s="527">
        <f t="shared" si="39"/>
        <v>0</v>
      </c>
      <c r="AD269" s="527">
        <f t="shared" si="40"/>
        <v>0</v>
      </c>
      <c r="AE269" s="527">
        <f t="shared" si="41"/>
        <v>0</v>
      </c>
      <c r="AF269" s="527">
        <f t="shared" si="42"/>
        <v>0</v>
      </c>
      <c r="AG269" s="527">
        <f t="shared" si="43"/>
        <v>60.2</v>
      </c>
      <c r="AH269" s="527"/>
      <c r="AI269" s="639">
        <f t="shared" si="37"/>
        <v>60.2</v>
      </c>
    </row>
    <row r="270" spans="1:47" ht="12.75" customHeight="1" x14ac:dyDescent="0.2">
      <c r="A270" s="527">
        <v>260</v>
      </c>
      <c r="C270" s="533" t="s">
        <v>2199</v>
      </c>
      <c r="D270" s="613">
        <v>105</v>
      </c>
      <c r="E270" s="527" t="s">
        <v>3288</v>
      </c>
      <c r="F270" s="761"/>
      <c r="G270" s="639">
        <v>49.15</v>
      </c>
      <c r="H270" s="632">
        <v>193.6</v>
      </c>
      <c r="I270" s="613" t="s">
        <v>2036</v>
      </c>
      <c r="J270" s="617">
        <v>42367</v>
      </c>
      <c r="K270" s="533" t="s">
        <v>2105</v>
      </c>
      <c r="N270" s="624">
        <v>42553</v>
      </c>
      <c r="U270" s="613">
        <v>1</v>
      </c>
      <c r="W270" s="613">
        <f t="shared" si="38"/>
        <v>1</v>
      </c>
      <c r="X270" s="613">
        <v>1</v>
      </c>
      <c r="AB270" s="527">
        <f t="shared" si="44"/>
        <v>0</v>
      </c>
      <c r="AC270" s="527">
        <f t="shared" si="39"/>
        <v>0</v>
      </c>
      <c r="AD270" s="527">
        <f t="shared" si="40"/>
        <v>0</v>
      </c>
      <c r="AE270" s="527">
        <f t="shared" si="41"/>
        <v>0</v>
      </c>
      <c r="AF270" s="527">
        <f t="shared" si="42"/>
        <v>0</v>
      </c>
      <c r="AG270" s="527">
        <f t="shared" si="43"/>
        <v>49.15</v>
      </c>
      <c r="AH270" s="527"/>
      <c r="AI270" s="639">
        <f t="shared" si="37"/>
        <v>49.15</v>
      </c>
    </row>
    <row r="271" spans="1:47" ht="12.75" customHeight="1" x14ac:dyDescent="0.2">
      <c r="A271" s="527">
        <v>261</v>
      </c>
      <c r="C271" s="533" t="s">
        <v>2201</v>
      </c>
      <c r="E271" s="527" t="s">
        <v>2220</v>
      </c>
      <c r="F271" s="761"/>
      <c r="G271" s="632">
        <v>125</v>
      </c>
      <c r="H271" s="632">
        <v>224.8</v>
      </c>
      <c r="I271" s="613" t="s">
        <v>2198</v>
      </c>
      <c r="J271" s="617">
        <v>42634</v>
      </c>
      <c r="K271" s="533" t="s">
        <v>2105</v>
      </c>
      <c r="N271" s="624">
        <v>42595</v>
      </c>
      <c r="U271" s="613">
        <v>1</v>
      </c>
      <c r="W271" s="613">
        <f t="shared" si="38"/>
        <v>1</v>
      </c>
      <c r="X271" s="613">
        <v>1</v>
      </c>
      <c r="AB271" s="527">
        <f t="shared" si="44"/>
        <v>0</v>
      </c>
      <c r="AC271" s="527">
        <f t="shared" si="39"/>
        <v>0</v>
      </c>
      <c r="AD271" s="527">
        <f t="shared" si="40"/>
        <v>0</v>
      </c>
      <c r="AE271" s="527">
        <f t="shared" si="41"/>
        <v>0</v>
      </c>
      <c r="AF271" s="527">
        <f t="shared" si="42"/>
        <v>0</v>
      </c>
      <c r="AG271" s="527">
        <f t="shared" si="43"/>
        <v>125</v>
      </c>
      <c r="AH271" s="527"/>
      <c r="AI271" s="639">
        <f t="shared" si="37"/>
        <v>125</v>
      </c>
    </row>
    <row r="272" spans="1:47" ht="12.75" customHeight="1" x14ac:dyDescent="0.2">
      <c r="A272" s="527">
        <v>262</v>
      </c>
      <c r="C272" s="533" t="s">
        <v>2217</v>
      </c>
      <c r="D272" s="613">
        <v>108</v>
      </c>
      <c r="E272" s="527" t="s">
        <v>2266</v>
      </c>
      <c r="F272" s="761"/>
      <c r="G272" s="639">
        <v>402.4</v>
      </c>
      <c r="H272" s="632">
        <v>459.8</v>
      </c>
      <c r="I272" s="613" t="s">
        <v>2118</v>
      </c>
      <c r="J272" s="617">
        <v>42515</v>
      </c>
      <c r="K272" s="533" t="s">
        <v>2105</v>
      </c>
      <c r="N272" s="624">
        <v>42626</v>
      </c>
      <c r="U272" s="613">
        <v>1</v>
      </c>
      <c r="W272" s="613">
        <f t="shared" si="38"/>
        <v>1</v>
      </c>
      <c r="X272" s="613">
        <v>1</v>
      </c>
      <c r="AB272" s="527">
        <f t="shared" si="44"/>
        <v>0</v>
      </c>
      <c r="AC272" s="527">
        <f t="shared" si="39"/>
        <v>0</v>
      </c>
      <c r="AD272" s="527">
        <f t="shared" si="40"/>
        <v>0</v>
      </c>
      <c r="AE272" s="527">
        <f t="shared" si="41"/>
        <v>0</v>
      </c>
      <c r="AF272" s="527">
        <f t="shared" si="42"/>
        <v>0</v>
      </c>
      <c r="AG272" s="527">
        <f t="shared" si="43"/>
        <v>402.4</v>
      </c>
      <c r="AH272" s="527"/>
      <c r="AI272" s="639">
        <f t="shared" si="37"/>
        <v>402.4</v>
      </c>
    </row>
    <row r="273" spans="1:35" ht="12.75" customHeight="1" x14ac:dyDescent="0.2">
      <c r="A273" s="527">
        <v>263</v>
      </c>
      <c r="C273" s="820" t="s">
        <v>2186</v>
      </c>
      <c r="E273" s="533" t="s">
        <v>3682</v>
      </c>
      <c r="F273" s="761"/>
      <c r="G273" s="639">
        <v>262.5</v>
      </c>
      <c r="H273" s="632">
        <f>525.6-412.5</f>
        <v>113.10000000000002</v>
      </c>
      <c r="I273" s="613" t="s">
        <v>2036</v>
      </c>
      <c r="J273" s="617">
        <v>42367</v>
      </c>
      <c r="K273" s="533" t="s">
        <v>2105</v>
      </c>
      <c r="N273" s="624">
        <v>42643</v>
      </c>
      <c r="U273" s="613">
        <v>1</v>
      </c>
      <c r="W273" s="613">
        <f t="shared" si="38"/>
        <v>1</v>
      </c>
      <c r="X273" s="613">
        <v>1</v>
      </c>
      <c r="Y273" s="613">
        <v>1</v>
      </c>
      <c r="AB273" s="527">
        <f t="shared" si="44"/>
        <v>0</v>
      </c>
      <c r="AC273" s="527">
        <f t="shared" si="39"/>
        <v>0</v>
      </c>
      <c r="AD273" s="527">
        <f t="shared" si="40"/>
        <v>0</v>
      </c>
      <c r="AE273" s="527">
        <f t="shared" si="41"/>
        <v>0</v>
      </c>
      <c r="AF273" s="527">
        <f t="shared" si="42"/>
        <v>0</v>
      </c>
      <c r="AG273" s="527">
        <f t="shared" si="43"/>
        <v>262.5</v>
      </c>
      <c r="AH273" s="527"/>
      <c r="AI273" s="639">
        <f t="shared" si="37"/>
        <v>262.5</v>
      </c>
    </row>
    <row r="274" spans="1:35" ht="12.75" customHeight="1" x14ac:dyDescent="0.2">
      <c r="A274" s="527">
        <v>264</v>
      </c>
      <c r="C274" s="533" t="s">
        <v>2218</v>
      </c>
      <c r="E274" s="533" t="s">
        <v>2389</v>
      </c>
      <c r="G274" s="639">
        <v>56</v>
      </c>
      <c r="H274" s="639">
        <f>196+335.6</f>
        <v>531.6</v>
      </c>
      <c r="I274" s="763" t="s">
        <v>2255</v>
      </c>
      <c r="J274" s="617">
        <v>42781</v>
      </c>
      <c r="K274" s="533" t="s">
        <v>2105</v>
      </c>
      <c r="N274" s="624">
        <v>42653</v>
      </c>
      <c r="U274" s="613">
        <v>1</v>
      </c>
      <c r="W274" s="613">
        <f t="shared" si="38"/>
        <v>1</v>
      </c>
      <c r="X274" s="613">
        <v>1</v>
      </c>
      <c r="AB274" s="527">
        <f t="shared" si="44"/>
        <v>0</v>
      </c>
      <c r="AC274" s="527">
        <f t="shared" si="39"/>
        <v>0</v>
      </c>
      <c r="AD274" s="527">
        <f t="shared" si="40"/>
        <v>0</v>
      </c>
      <c r="AE274" s="527">
        <f t="shared" si="41"/>
        <v>0</v>
      </c>
      <c r="AF274" s="527">
        <f t="shared" si="42"/>
        <v>0</v>
      </c>
      <c r="AG274" s="527">
        <f t="shared" si="43"/>
        <v>56</v>
      </c>
      <c r="AH274" s="527"/>
      <c r="AI274" s="639">
        <f t="shared" si="37"/>
        <v>56</v>
      </c>
    </row>
    <row r="275" spans="1:35" ht="12.75" customHeight="1" x14ac:dyDescent="0.2">
      <c r="A275" s="527">
        <v>265</v>
      </c>
      <c r="C275" s="533" t="s">
        <v>2219</v>
      </c>
      <c r="E275" s="533" t="s">
        <v>2096</v>
      </c>
      <c r="G275" s="639">
        <v>202</v>
      </c>
      <c r="H275" s="632">
        <v>358</v>
      </c>
      <c r="I275" s="795" t="s">
        <v>2384</v>
      </c>
      <c r="J275" s="617">
        <v>42872</v>
      </c>
      <c r="K275" s="533" t="s">
        <v>2105</v>
      </c>
      <c r="N275" s="624">
        <v>42653</v>
      </c>
      <c r="U275" s="613">
        <v>1</v>
      </c>
      <c r="W275" s="613">
        <f t="shared" si="38"/>
        <v>1</v>
      </c>
      <c r="X275" s="613">
        <v>1</v>
      </c>
      <c r="AB275" s="527">
        <f t="shared" si="44"/>
        <v>0</v>
      </c>
      <c r="AC275" s="527">
        <f t="shared" si="39"/>
        <v>0</v>
      </c>
      <c r="AD275" s="527">
        <f t="shared" si="40"/>
        <v>0</v>
      </c>
      <c r="AE275" s="527">
        <f t="shared" si="41"/>
        <v>0</v>
      </c>
      <c r="AF275" s="527">
        <f t="shared" si="42"/>
        <v>0</v>
      </c>
      <c r="AG275" s="527">
        <f t="shared" si="43"/>
        <v>202</v>
      </c>
      <c r="AH275" s="527"/>
      <c r="AI275" s="639">
        <f t="shared" si="37"/>
        <v>202</v>
      </c>
    </row>
    <row r="276" spans="1:35" ht="12.75" customHeight="1" x14ac:dyDescent="0.2">
      <c r="A276" s="527">
        <v>266</v>
      </c>
      <c r="C276" s="533" t="s">
        <v>2209</v>
      </c>
      <c r="E276" s="527" t="s">
        <v>2222</v>
      </c>
      <c r="F276" s="761"/>
      <c r="G276" s="639">
        <v>318.60000000000002</v>
      </c>
      <c r="H276" s="632">
        <v>180</v>
      </c>
      <c r="I276" s="613" t="s">
        <v>2198</v>
      </c>
      <c r="J276" s="617">
        <v>42634</v>
      </c>
      <c r="K276" s="533" t="s">
        <v>2105</v>
      </c>
      <c r="N276" s="624">
        <v>42665</v>
      </c>
      <c r="U276" s="613">
        <v>1</v>
      </c>
      <c r="W276" s="613">
        <f t="shared" si="38"/>
        <v>1</v>
      </c>
      <c r="X276" s="613">
        <v>1</v>
      </c>
      <c r="AB276" s="527">
        <f t="shared" si="44"/>
        <v>0</v>
      </c>
      <c r="AC276" s="527">
        <f t="shared" si="39"/>
        <v>0</v>
      </c>
      <c r="AD276" s="527">
        <f t="shared" si="40"/>
        <v>0</v>
      </c>
      <c r="AE276" s="527">
        <f t="shared" si="41"/>
        <v>0</v>
      </c>
      <c r="AF276" s="527">
        <f t="shared" si="42"/>
        <v>0</v>
      </c>
      <c r="AG276" s="527">
        <f t="shared" si="43"/>
        <v>318.60000000000002</v>
      </c>
      <c r="AH276" s="527"/>
      <c r="AI276" s="639">
        <f t="shared" si="37"/>
        <v>318.60000000000002</v>
      </c>
    </row>
    <row r="277" spans="1:35" ht="12.75" customHeight="1" x14ac:dyDescent="0.2">
      <c r="A277" s="527">
        <v>267</v>
      </c>
      <c r="C277" s="533" t="s">
        <v>2231</v>
      </c>
      <c r="E277" s="533" t="s">
        <v>2289</v>
      </c>
      <c r="G277" s="639">
        <v>39</v>
      </c>
      <c r="H277" s="632">
        <v>905.6</v>
      </c>
      <c r="I277" s="795" t="s">
        <v>2384</v>
      </c>
      <c r="J277" s="617">
        <v>42872</v>
      </c>
      <c r="K277" s="533" t="s">
        <v>2105</v>
      </c>
      <c r="N277" s="624">
        <v>42676</v>
      </c>
      <c r="U277" s="613">
        <v>1</v>
      </c>
      <c r="W277" s="613">
        <f t="shared" si="38"/>
        <v>1</v>
      </c>
      <c r="X277" s="613">
        <v>1</v>
      </c>
      <c r="AB277" s="527">
        <f t="shared" si="44"/>
        <v>0</v>
      </c>
      <c r="AC277" s="527">
        <f t="shared" si="39"/>
        <v>0</v>
      </c>
      <c r="AD277" s="527">
        <f t="shared" si="40"/>
        <v>0</v>
      </c>
      <c r="AE277" s="527">
        <f t="shared" si="41"/>
        <v>0</v>
      </c>
      <c r="AF277" s="527">
        <f t="shared" si="42"/>
        <v>0</v>
      </c>
      <c r="AG277" s="527">
        <f t="shared" si="43"/>
        <v>39</v>
      </c>
      <c r="AH277" s="527"/>
      <c r="AI277" s="639">
        <f t="shared" si="37"/>
        <v>39</v>
      </c>
    </row>
    <row r="278" spans="1:35" ht="12.75" customHeight="1" x14ac:dyDescent="0.2">
      <c r="A278" s="527">
        <v>268</v>
      </c>
      <c r="C278" s="533" t="s">
        <v>2232</v>
      </c>
      <c r="E278" s="533" t="s">
        <v>2289</v>
      </c>
      <c r="G278" s="639">
        <v>22</v>
      </c>
      <c r="H278" s="632">
        <v>216.8</v>
      </c>
      <c r="I278" s="795" t="s">
        <v>2384</v>
      </c>
      <c r="J278" s="617">
        <v>42872</v>
      </c>
      <c r="K278" s="533" t="s">
        <v>2105</v>
      </c>
      <c r="N278" s="624">
        <v>42676</v>
      </c>
      <c r="U278" s="613">
        <v>1</v>
      </c>
      <c r="W278" s="613">
        <f t="shared" si="38"/>
        <v>1</v>
      </c>
      <c r="X278" s="613">
        <v>1</v>
      </c>
      <c r="AB278" s="527">
        <f t="shared" si="44"/>
        <v>0</v>
      </c>
      <c r="AC278" s="527">
        <f t="shared" si="39"/>
        <v>0</v>
      </c>
      <c r="AD278" s="527">
        <f t="shared" si="40"/>
        <v>0</v>
      </c>
      <c r="AE278" s="527">
        <f t="shared" si="41"/>
        <v>0</v>
      </c>
      <c r="AF278" s="527">
        <f t="shared" si="42"/>
        <v>0</v>
      </c>
      <c r="AG278" s="527">
        <f t="shared" si="43"/>
        <v>22</v>
      </c>
      <c r="AH278" s="527"/>
      <c r="AI278" s="639">
        <f t="shared" si="37"/>
        <v>22</v>
      </c>
    </row>
    <row r="279" spans="1:35" ht="12.75" customHeight="1" x14ac:dyDescent="0.2">
      <c r="A279" s="527">
        <v>269</v>
      </c>
      <c r="C279" s="533" t="s">
        <v>2245</v>
      </c>
      <c r="E279" s="533" t="s">
        <v>2247</v>
      </c>
      <c r="G279" s="639">
        <v>68.040000000000006</v>
      </c>
      <c r="H279" s="632">
        <v>205.4</v>
      </c>
      <c r="I279" s="795" t="s">
        <v>2384</v>
      </c>
      <c r="J279" s="617">
        <v>42872</v>
      </c>
      <c r="K279" s="533" t="s">
        <v>2105</v>
      </c>
      <c r="N279" s="624">
        <v>42695</v>
      </c>
      <c r="U279" s="613">
        <v>1</v>
      </c>
      <c r="W279" s="613">
        <f t="shared" si="38"/>
        <v>1</v>
      </c>
      <c r="X279" s="613">
        <v>1</v>
      </c>
      <c r="AB279" s="527">
        <f t="shared" si="44"/>
        <v>0</v>
      </c>
      <c r="AC279" s="527">
        <f t="shared" si="39"/>
        <v>0</v>
      </c>
      <c r="AD279" s="527">
        <f t="shared" si="40"/>
        <v>0</v>
      </c>
      <c r="AE279" s="527">
        <f t="shared" si="41"/>
        <v>0</v>
      </c>
      <c r="AF279" s="527">
        <f t="shared" si="42"/>
        <v>0</v>
      </c>
      <c r="AG279" s="527">
        <f t="shared" si="43"/>
        <v>68.040000000000006</v>
      </c>
      <c r="AH279" s="527"/>
      <c r="AI279" s="639">
        <f t="shared" si="37"/>
        <v>68.040000000000006</v>
      </c>
    </row>
    <row r="280" spans="1:35" ht="12.75" customHeight="1" x14ac:dyDescent="0.2">
      <c r="A280" s="527">
        <v>270</v>
      </c>
      <c r="C280" s="533" t="s">
        <v>2246</v>
      </c>
      <c r="E280" s="533" t="s">
        <v>2247</v>
      </c>
      <c r="G280" s="639">
        <v>36.28</v>
      </c>
      <c r="H280" s="632">
        <v>304.60000000000002</v>
      </c>
      <c r="I280" s="795" t="s">
        <v>2384</v>
      </c>
      <c r="J280" s="617">
        <v>42872</v>
      </c>
      <c r="K280" s="533" t="s">
        <v>2105</v>
      </c>
      <c r="N280" s="624">
        <v>42695</v>
      </c>
      <c r="U280" s="613">
        <v>1</v>
      </c>
      <c r="W280" s="613">
        <f t="shared" si="38"/>
        <v>1</v>
      </c>
      <c r="X280" s="613">
        <v>1</v>
      </c>
      <c r="AB280" s="527">
        <f t="shared" si="44"/>
        <v>0</v>
      </c>
      <c r="AC280" s="527">
        <f t="shared" si="39"/>
        <v>0</v>
      </c>
      <c r="AD280" s="527">
        <f t="shared" si="40"/>
        <v>0</v>
      </c>
      <c r="AE280" s="527">
        <f t="shared" si="41"/>
        <v>0</v>
      </c>
      <c r="AF280" s="527">
        <f t="shared" si="42"/>
        <v>0</v>
      </c>
      <c r="AG280" s="527">
        <f t="shared" si="43"/>
        <v>36.28</v>
      </c>
      <c r="AH280" s="527"/>
      <c r="AI280" s="639">
        <f t="shared" si="37"/>
        <v>36.28</v>
      </c>
    </row>
    <row r="281" spans="1:35" ht="12.75" customHeight="1" x14ac:dyDescent="0.2">
      <c r="A281" s="527">
        <v>271</v>
      </c>
      <c r="C281" s="533" t="s">
        <v>2258</v>
      </c>
      <c r="E281" s="533" t="s">
        <v>3289</v>
      </c>
      <c r="F281" s="533" t="s">
        <v>2383</v>
      </c>
      <c r="G281" s="639">
        <v>26</v>
      </c>
      <c r="H281" s="632">
        <v>205.4</v>
      </c>
      <c r="I281" s="795" t="s">
        <v>2384</v>
      </c>
      <c r="J281" s="617">
        <v>42872</v>
      </c>
      <c r="K281" s="533" t="s">
        <v>2105</v>
      </c>
      <c r="N281" s="624">
        <v>42721</v>
      </c>
      <c r="U281" s="613">
        <v>1</v>
      </c>
      <c r="W281" s="613">
        <f t="shared" si="38"/>
        <v>1</v>
      </c>
      <c r="X281" s="613">
        <v>1</v>
      </c>
      <c r="AB281" s="527">
        <f t="shared" si="44"/>
        <v>0</v>
      </c>
      <c r="AC281" s="527">
        <f t="shared" si="39"/>
        <v>0</v>
      </c>
      <c r="AD281" s="527">
        <f t="shared" si="40"/>
        <v>0</v>
      </c>
      <c r="AE281" s="527">
        <f t="shared" si="41"/>
        <v>0</v>
      </c>
      <c r="AF281" s="527">
        <f t="shared" si="42"/>
        <v>0</v>
      </c>
      <c r="AG281" s="527">
        <f t="shared" si="43"/>
        <v>26</v>
      </c>
      <c r="AH281" s="527"/>
      <c r="AI281" s="639">
        <f t="shared" si="37"/>
        <v>26</v>
      </c>
    </row>
    <row r="282" spans="1:35" ht="12.75" customHeight="1" x14ac:dyDescent="0.2">
      <c r="A282" s="527">
        <v>272</v>
      </c>
      <c r="C282" s="533" t="s">
        <v>2252</v>
      </c>
      <c r="E282" s="527" t="s">
        <v>2265</v>
      </c>
      <c r="F282" s="761"/>
      <c r="G282" s="639">
        <v>25</v>
      </c>
      <c r="H282" s="632">
        <v>197.6</v>
      </c>
      <c r="I282" s="751" t="s">
        <v>2226</v>
      </c>
      <c r="J282" s="617">
        <v>42704</v>
      </c>
      <c r="K282" s="533" t="s">
        <v>2105</v>
      </c>
      <c r="N282" s="624">
        <v>42721</v>
      </c>
      <c r="U282" s="613">
        <v>1</v>
      </c>
      <c r="W282" s="613">
        <f t="shared" si="38"/>
        <v>1</v>
      </c>
      <c r="X282" s="613">
        <v>1</v>
      </c>
      <c r="AB282" s="527">
        <f t="shared" si="44"/>
        <v>0</v>
      </c>
      <c r="AC282" s="527">
        <f t="shared" si="39"/>
        <v>0</v>
      </c>
      <c r="AD282" s="527">
        <f t="shared" si="40"/>
        <v>0</v>
      </c>
      <c r="AE282" s="527">
        <f t="shared" si="41"/>
        <v>0</v>
      </c>
      <c r="AF282" s="527">
        <f t="shared" si="42"/>
        <v>0</v>
      </c>
      <c r="AG282" s="527">
        <f t="shared" si="43"/>
        <v>25</v>
      </c>
      <c r="AH282" s="527"/>
      <c r="AI282" s="639">
        <f t="shared" si="37"/>
        <v>25</v>
      </c>
    </row>
    <row r="283" spans="1:35" ht="12.75" customHeight="1" x14ac:dyDescent="0.2">
      <c r="A283" s="527">
        <v>273</v>
      </c>
      <c r="C283" s="820" t="s">
        <v>2259</v>
      </c>
      <c r="E283" s="533" t="s">
        <v>2264</v>
      </c>
      <c r="G283" s="639">
        <v>250</v>
      </c>
      <c r="H283" s="632">
        <v>190.3</v>
      </c>
      <c r="I283" s="795" t="s">
        <v>2384</v>
      </c>
      <c r="J283" s="617">
        <v>42872</v>
      </c>
      <c r="K283" s="533" t="s">
        <v>2105</v>
      </c>
      <c r="N283" s="624">
        <v>42721</v>
      </c>
      <c r="U283" s="613">
        <v>1</v>
      </c>
      <c r="W283" s="613">
        <f t="shared" si="38"/>
        <v>1</v>
      </c>
      <c r="X283" s="613">
        <v>1</v>
      </c>
      <c r="Y283" s="613">
        <v>1</v>
      </c>
      <c r="AB283" s="527">
        <f t="shared" si="44"/>
        <v>0</v>
      </c>
      <c r="AC283" s="527">
        <f t="shared" si="39"/>
        <v>0</v>
      </c>
      <c r="AD283" s="527">
        <f t="shared" si="40"/>
        <v>0</v>
      </c>
      <c r="AE283" s="527">
        <f t="shared" si="41"/>
        <v>0</v>
      </c>
      <c r="AF283" s="527">
        <f t="shared" si="42"/>
        <v>0</v>
      </c>
      <c r="AG283" s="527">
        <f t="shared" si="43"/>
        <v>250</v>
      </c>
      <c r="AH283" s="527"/>
      <c r="AI283" s="639">
        <f t="shared" si="37"/>
        <v>250</v>
      </c>
    </row>
    <row r="284" spans="1:35" ht="12.75" customHeight="1" x14ac:dyDescent="0.2">
      <c r="A284" s="527">
        <v>274</v>
      </c>
      <c r="C284" s="533" t="s">
        <v>2260</v>
      </c>
      <c r="E284" s="533" t="s">
        <v>2262</v>
      </c>
      <c r="G284" s="639">
        <v>108.2</v>
      </c>
      <c r="J284" s="617"/>
      <c r="K284" s="533" t="s">
        <v>2105</v>
      </c>
      <c r="N284" s="624">
        <v>42721</v>
      </c>
      <c r="U284" s="613">
        <v>1</v>
      </c>
      <c r="W284" s="613">
        <f t="shared" si="38"/>
        <v>1</v>
      </c>
      <c r="AB284" s="527">
        <f t="shared" si="44"/>
        <v>0</v>
      </c>
      <c r="AC284" s="527">
        <f t="shared" si="39"/>
        <v>0</v>
      </c>
      <c r="AD284" s="527">
        <f t="shared" si="40"/>
        <v>0</v>
      </c>
      <c r="AE284" s="527">
        <f t="shared" si="41"/>
        <v>0</v>
      </c>
      <c r="AF284" s="527">
        <f t="shared" si="42"/>
        <v>0</v>
      </c>
      <c r="AG284" s="527">
        <f t="shared" si="43"/>
        <v>108.2</v>
      </c>
      <c r="AH284" s="527"/>
      <c r="AI284" s="639">
        <f t="shared" si="37"/>
        <v>108.2</v>
      </c>
    </row>
    <row r="285" spans="1:35" ht="12.75" customHeight="1" x14ac:dyDescent="0.2">
      <c r="A285" s="527">
        <v>275</v>
      </c>
      <c r="C285" s="533" t="s">
        <v>2261</v>
      </c>
      <c r="E285" s="533" t="s">
        <v>2263</v>
      </c>
      <c r="F285" s="761"/>
      <c r="G285" s="639">
        <v>14.4</v>
      </c>
      <c r="H285" s="639">
        <v>291.7</v>
      </c>
      <c r="I285" s="751" t="s">
        <v>2226</v>
      </c>
      <c r="J285" s="617">
        <v>42704</v>
      </c>
      <c r="K285" s="533" t="s">
        <v>2105</v>
      </c>
      <c r="N285" s="624">
        <v>42721</v>
      </c>
      <c r="U285" s="613">
        <v>1</v>
      </c>
      <c r="W285" s="613">
        <f t="shared" si="38"/>
        <v>1</v>
      </c>
      <c r="X285" s="613">
        <v>1</v>
      </c>
      <c r="AB285" s="527">
        <f t="shared" si="44"/>
        <v>0</v>
      </c>
      <c r="AC285" s="527">
        <f t="shared" si="39"/>
        <v>0</v>
      </c>
      <c r="AD285" s="527">
        <f t="shared" si="40"/>
        <v>0</v>
      </c>
      <c r="AE285" s="527">
        <f t="shared" si="41"/>
        <v>0</v>
      </c>
      <c r="AF285" s="527">
        <f t="shared" si="42"/>
        <v>0</v>
      </c>
      <c r="AG285" s="527">
        <f t="shared" si="43"/>
        <v>14.4</v>
      </c>
      <c r="AH285" s="527"/>
      <c r="AI285" s="639">
        <f t="shared" si="37"/>
        <v>14.4</v>
      </c>
    </row>
    <row r="286" spans="1:35" ht="12.75" customHeight="1" x14ac:dyDescent="0.2">
      <c r="A286" s="527">
        <v>276</v>
      </c>
      <c r="C286" s="533" t="s">
        <v>2277</v>
      </c>
      <c r="E286" s="533" t="s">
        <v>3290</v>
      </c>
      <c r="F286" s="28"/>
      <c r="G286" s="639">
        <v>2245</v>
      </c>
      <c r="H286" s="632">
        <v>144.30000000000001</v>
      </c>
      <c r="I286" s="795" t="s">
        <v>2384</v>
      </c>
      <c r="J286" s="617">
        <v>42872</v>
      </c>
      <c r="K286" s="533" t="s">
        <v>2105</v>
      </c>
      <c r="N286" s="624">
        <v>42734</v>
      </c>
      <c r="U286" s="613">
        <v>1</v>
      </c>
      <c r="W286" s="613">
        <f t="shared" si="38"/>
        <v>1</v>
      </c>
      <c r="X286" s="613">
        <v>1</v>
      </c>
      <c r="AB286" s="527">
        <f t="shared" si="44"/>
        <v>0</v>
      </c>
      <c r="AC286" s="527">
        <f t="shared" si="39"/>
        <v>0</v>
      </c>
      <c r="AD286" s="527">
        <f t="shared" si="40"/>
        <v>0</v>
      </c>
      <c r="AE286" s="527">
        <f t="shared" si="41"/>
        <v>0</v>
      </c>
      <c r="AF286" s="527">
        <f t="shared" si="42"/>
        <v>0</v>
      </c>
      <c r="AG286" s="527">
        <f t="shared" si="43"/>
        <v>2245</v>
      </c>
      <c r="AH286" s="527"/>
      <c r="AI286" s="639">
        <f t="shared" si="37"/>
        <v>2245</v>
      </c>
    </row>
    <row r="287" spans="1:35" ht="12.75" customHeight="1" x14ac:dyDescent="0.2">
      <c r="A287" s="527">
        <v>277</v>
      </c>
      <c r="C287" s="533" t="s">
        <v>2253</v>
      </c>
      <c r="E287" s="533" t="s">
        <v>3368</v>
      </c>
      <c r="F287" s="728"/>
      <c r="G287" s="639">
        <v>75</v>
      </c>
      <c r="H287" s="632">
        <v>84.5</v>
      </c>
      <c r="I287" s="751" t="s">
        <v>2226</v>
      </c>
      <c r="J287" s="617">
        <v>42704</v>
      </c>
      <c r="K287" s="533" t="s">
        <v>2290</v>
      </c>
      <c r="N287" s="624">
        <v>42761</v>
      </c>
      <c r="U287" s="613">
        <v>1</v>
      </c>
      <c r="W287" s="613">
        <f t="shared" si="38"/>
        <v>1</v>
      </c>
      <c r="X287" s="613">
        <v>1</v>
      </c>
      <c r="AB287" s="527">
        <f t="shared" si="44"/>
        <v>0</v>
      </c>
      <c r="AC287" s="527">
        <f t="shared" si="39"/>
        <v>0</v>
      </c>
      <c r="AD287" s="527">
        <f t="shared" si="40"/>
        <v>0</v>
      </c>
      <c r="AE287" s="527">
        <f t="shared" si="41"/>
        <v>0</v>
      </c>
      <c r="AF287" s="527">
        <f t="shared" si="42"/>
        <v>0</v>
      </c>
      <c r="AG287" s="527">
        <f t="shared" si="43"/>
        <v>75</v>
      </c>
      <c r="AH287" s="527"/>
      <c r="AI287" s="639">
        <f t="shared" si="37"/>
        <v>75</v>
      </c>
    </row>
    <row r="288" spans="1:35" ht="12.75" customHeight="1" x14ac:dyDescent="0.2">
      <c r="A288" s="527">
        <v>278</v>
      </c>
      <c r="C288" s="533" t="s">
        <v>2281</v>
      </c>
      <c r="D288" s="613">
        <v>120</v>
      </c>
      <c r="E288" s="533" t="s">
        <v>3674</v>
      </c>
      <c r="F288" s="761"/>
      <c r="G288" s="639">
        <v>1040</v>
      </c>
      <c r="H288" s="632">
        <f>228.2+180.2</f>
        <v>408.4</v>
      </c>
      <c r="I288" s="751" t="s">
        <v>2226</v>
      </c>
      <c r="J288" s="617">
        <v>42704</v>
      </c>
      <c r="K288" s="533" t="s">
        <v>2290</v>
      </c>
      <c r="N288" s="624">
        <v>42780</v>
      </c>
      <c r="U288" s="613">
        <v>1</v>
      </c>
      <c r="W288" s="613">
        <f t="shared" si="38"/>
        <v>1</v>
      </c>
      <c r="X288" s="613">
        <v>1</v>
      </c>
      <c r="AB288" s="527">
        <f t="shared" si="44"/>
        <v>0</v>
      </c>
      <c r="AC288" s="527">
        <f t="shared" si="39"/>
        <v>0</v>
      </c>
      <c r="AD288" s="527">
        <f t="shared" si="40"/>
        <v>0</v>
      </c>
      <c r="AE288" s="527">
        <f t="shared" si="41"/>
        <v>0</v>
      </c>
      <c r="AF288" s="527">
        <f t="shared" si="42"/>
        <v>0</v>
      </c>
      <c r="AG288" s="527">
        <f t="shared" si="43"/>
        <v>1040</v>
      </c>
      <c r="AH288" s="527"/>
      <c r="AI288" s="639">
        <f t="shared" si="37"/>
        <v>1040</v>
      </c>
    </row>
    <row r="289" spans="1:35" ht="12.75" customHeight="1" x14ac:dyDescent="0.2">
      <c r="A289" s="527">
        <v>279</v>
      </c>
      <c r="C289" s="533" t="s">
        <v>2282</v>
      </c>
      <c r="D289" s="613">
        <v>121</v>
      </c>
      <c r="E289" s="533" t="s">
        <v>3675</v>
      </c>
      <c r="F289" s="533" t="s">
        <v>2285</v>
      </c>
      <c r="G289" s="639">
        <v>1139.7</v>
      </c>
      <c r="H289" s="632">
        <v>214.1</v>
      </c>
      <c r="I289" s="751" t="s">
        <v>2226</v>
      </c>
      <c r="J289" s="617">
        <v>42704</v>
      </c>
      <c r="K289" s="533" t="s">
        <v>2290</v>
      </c>
      <c r="N289" s="624">
        <v>42780</v>
      </c>
      <c r="U289" s="613">
        <v>1</v>
      </c>
      <c r="W289" s="613">
        <f t="shared" si="38"/>
        <v>1</v>
      </c>
      <c r="X289" s="613">
        <v>1</v>
      </c>
      <c r="AB289" s="527">
        <f t="shared" si="44"/>
        <v>0</v>
      </c>
      <c r="AC289" s="527">
        <f t="shared" si="39"/>
        <v>0</v>
      </c>
      <c r="AD289" s="527">
        <f t="shared" si="40"/>
        <v>0</v>
      </c>
      <c r="AE289" s="527">
        <f t="shared" si="41"/>
        <v>0</v>
      </c>
      <c r="AF289" s="527">
        <f t="shared" si="42"/>
        <v>0</v>
      </c>
      <c r="AG289" s="527">
        <f t="shared" si="43"/>
        <v>1139.7</v>
      </c>
      <c r="AH289" s="527"/>
      <c r="AI289" s="639">
        <f t="shared" si="37"/>
        <v>1139.7</v>
      </c>
    </row>
    <row r="290" spans="1:35" ht="12.75" customHeight="1" x14ac:dyDescent="0.2">
      <c r="A290" s="527">
        <v>280</v>
      </c>
      <c r="C290" s="533" t="s">
        <v>2280</v>
      </c>
      <c r="D290" s="613">
        <v>118</v>
      </c>
      <c r="E290" s="533" t="s">
        <v>3691</v>
      </c>
      <c r="F290" s="728" t="s">
        <v>2283</v>
      </c>
      <c r="G290" s="639">
        <v>6371.9</v>
      </c>
      <c r="H290" s="632">
        <v>211.6</v>
      </c>
      <c r="I290" s="751" t="s">
        <v>2226</v>
      </c>
      <c r="J290" s="617">
        <v>42704</v>
      </c>
      <c r="K290" s="533" t="s">
        <v>2290</v>
      </c>
      <c r="N290" s="624">
        <v>42780</v>
      </c>
      <c r="U290" s="613">
        <v>1</v>
      </c>
      <c r="W290" s="613">
        <f t="shared" si="38"/>
        <v>1</v>
      </c>
      <c r="X290" s="613">
        <v>1</v>
      </c>
      <c r="AB290" s="527">
        <f t="shared" si="44"/>
        <v>0</v>
      </c>
      <c r="AC290" s="527">
        <f t="shared" si="39"/>
        <v>0</v>
      </c>
      <c r="AD290" s="527">
        <f t="shared" si="40"/>
        <v>0</v>
      </c>
      <c r="AE290" s="527">
        <f t="shared" si="41"/>
        <v>0</v>
      </c>
      <c r="AF290" s="527">
        <f t="shared" si="42"/>
        <v>0</v>
      </c>
      <c r="AG290" s="527">
        <f t="shared" si="43"/>
        <v>6371.9</v>
      </c>
      <c r="AH290" s="527"/>
      <c r="AI290" s="639">
        <f t="shared" ref="AI290:AI353" si="45">G290</f>
        <v>6371.9</v>
      </c>
    </row>
    <row r="291" spans="1:35" ht="12.75" customHeight="1" x14ac:dyDescent="0.2">
      <c r="A291" s="527">
        <v>281</v>
      </c>
      <c r="C291" s="533" t="s">
        <v>2386</v>
      </c>
      <c r="E291" s="533" t="s">
        <v>3290</v>
      </c>
      <c r="F291" s="728"/>
      <c r="G291" s="639">
        <v>77</v>
      </c>
      <c r="H291" s="632">
        <v>154.19999999999999</v>
      </c>
      <c r="I291" s="803" t="s">
        <v>2446</v>
      </c>
      <c r="J291" s="617"/>
      <c r="K291" s="533" t="s">
        <v>2290</v>
      </c>
      <c r="N291" s="624">
        <v>42787</v>
      </c>
      <c r="U291" s="613">
        <v>1</v>
      </c>
      <c r="W291" s="613">
        <f t="shared" si="38"/>
        <v>1</v>
      </c>
      <c r="X291" s="613">
        <v>1</v>
      </c>
      <c r="AB291" s="527">
        <f t="shared" si="44"/>
        <v>0</v>
      </c>
      <c r="AC291" s="527">
        <f t="shared" si="39"/>
        <v>0</v>
      </c>
      <c r="AD291" s="527">
        <f t="shared" si="40"/>
        <v>0</v>
      </c>
      <c r="AE291" s="527">
        <f t="shared" si="41"/>
        <v>0</v>
      </c>
      <c r="AF291" s="527">
        <f t="shared" si="42"/>
        <v>0</v>
      </c>
      <c r="AG291" s="527">
        <f t="shared" si="43"/>
        <v>77</v>
      </c>
      <c r="AH291" s="527"/>
      <c r="AI291" s="639">
        <f t="shared" si="45"/>
        <v>77</v>
      </c>
    </row>
    <row r="292" spans="1:35" ht="12.75" customHeight="1" x14ac:dyDescent="0.2">
      <c r="A292" s="527">
        <v>282</v>
      </c>
      <c r="C292" s="533" t="s">
        <v>2387</v>
      </c>
      <c r="E292" s="533" t="s">
        <v>3290</v>
      </c>
      <c r="F292" s="728"/>
      <c r="G292" s="639">
        <v>62</v>
      </c>
      <c r="H292" s="632">
        <v>182.5</v>
      </c>
      <c r="I292" s="803" t="s">
        <v>2446</v>
      </c>
      <c r="J292" s="617"/>
      <c r="K292" s="533" t="s">
        <v>2290</v>
      </c>
      <c r="N292" s="624">
        <v>42787</v>
      </c>
      <c r="U292" s="613">
        <v>1</v>
      </c>
      <c r="W292" s="613">
        <f t="shared" si="38"/>
        <v>1</v>
      </c>
      <c r="X292" s="613">
        <v>1</v>
      </c>
      <c r="AB292" s="527">
        <f t="shared" si="44"/>
        <v>0</v>
      </c>
      <c r="AC292" s="527">
        <f t="shared" si="39"/>
        <v>0</v>
      </c>
      <c r="AD292" s="527">
        <f t="shared" si="40"/>
        <v>0</v>
      </c>
      <c r="AE292" s="527">
        <f t="shared" si="41"/>
        <v>0</v>
      </c>
      <c r="AF292" s="527">
        <f t="shared" si="42"/>
        <v>0</v>
      </c>
      <c r="AG292" s="527">
        <f t="shared" si="43"/>
        <v>62</v>
      </c>
      <c r="AH292" s="527"/>
      <c r="AI292" s="639">
        <f t="shared" si="45"/>
        <v>62</v>
      </c>
    </row>
    <row r="293" spans="1:35" ht="12.75" customHeight="1" x14ac:dyDescent="0.2">
      <c r="A293" s="527">
        <v>283</v>
      </c>
      <c r="C293" s="533" t="s">
        <v>2388</v>
      </c>
      <c r="E293" s="533" t="s">
        <v>3290</v>
      </c>
      <c r="F293" s="728"/>
      <c r="G293" s="639">
        <v>111</v>
      </c>
      <c r="H293" s="632">
        <v>207</v>
      </c>
      <c r="I293" s="803" t="s">
        <v>2446</v>
      </c>
      <c r="J293" s="617"/>
      <c r="K293" s="533" t="s">
        <v>2290</v>
      </c>
      <c r="N293" s="624">
        <v>42787</v>
      </c>
      <c r="U293" s="613">
        <v>1</v>
      </c>
      <c r="W293" s="613">
        <f t="shared" si="38"/>
        <v>1</v>
      </c>
      <c r="X293" s="613">
        <v>1</v>
      </c>
      <c r="AB293" s="527">
        <f t="shared" si="44"/>
        <v>0</v>
      </c>
      <c r="AC293" s="527">
        <f t="shared" si="39"/>
        <v>0</v>
      </c>
      <c r="AD293" s="527">
        <f t="shared" si="40"/>
        <v>0</v>
      </c>
      <c r="AE293" s="527">
        <f t="shared" si="41"/>
        <v>0</v>
      </c>
      <c r="AF293" s="527">
        <f t="shared" si="42"/>
        <v>0</v>
      </c>
      <c r="AG293" s="527">
        <f t="shared" si="43"/>
        <v>111</v>
      </c>
      <c r="AH293" s="527"/>
      <c r="AI293" s="639">
        <f t="shared" si="45"/>
        <v>111</v>
      </c>
    </row>
    <row r="294" spans="1:35" ht="12.75" customHeight="1" x14ac:dyDescent="0.2">
      <c r="A294" s="527">
        <v>284</v>
      </c>
      <c r="C294" s="533" t="s">
        <v>2244</v>
      </c>
      <c r="E294" s="533" t="s">
        <v>2224</v>
      </c>
      <c r="F294" s="533" t="s">
        <v>2278</v>
      </c>
      <c r="G294" s="639">
        <v>55</v>
      </c>
      <c r="H294" s="632">
        <v>183.9</v>
      </c>
      <c r="I294" s="751" t="s">
        <v>2226</v>
      </c>
      <c r="J294" s="617">
        <v>42704</v>
      </c>
      <c r="K294" s="533" t="s">
        <v>2290</v>
      </c>
      <c r="N294" s="624">
        <v>42795</v>
      </c>
      <c r="U294" s="613">
        <v>1</v>
      </c>
      <c r="W294" s="613">
        <f t="shared" si="38"/>
        <v>1</v>
      </c>
      <c r="X294" s="613">
        <v>1</v>
      </c>
      <c r="AB294" s="527">
        <f t="shared" si="44"/>
        <v>0</v>
      </c>
      <c r="AC294" s="527">
        <f t="shared" si="39"/>
        <v>0</v>
      </c>
      <c r="AD294" s="527">
        <f t="shared" si="40"/>
        <v>0</v>
      </c>
      <c r="AE294" s="527">
        <f t="shared" si="41"/>
        <v>0</v>
      </c>
      <c r="AF294" s="527">
        <f t="shared" si="42"/>
        <v>0</v>
      </c>
      <c r="AG294" s="527">
        <f t="shared" si="43"/>
        <v>55</v>
      </c>
      <c r="AH294" s="527"/>
      <c r="AI294" s="639">
        <f t="shared" si="45"/>
        <v>55</v>
      </c>
    </row>
    <row r="295" spans="1:35" ht="12.75" customHeight="1" x14ac:dyDescent="0.2">
      <c r="A295" s="527">
        <v>285</v>
      </c>
      <c r="C295" s="533" t="s">
        <v>2393</v>
      </c>
      <c r="E295" s="533" t="s">
        <v>2394</v>
      </c>
      <c r="F295" s="728"/>
      <c r="G295" s="639">
        <v>10.7</v>
      </c>
      <c r="I295"/>
      <c r="J295" s="617"/>
      <c r="K295" s="533" t="s">
        <v>2290</v>
      </c>
      <c r="N295" s="624">
        <v>42795</v>
      </c>
      <c r="U295" s="613">
        <v>1</v>
      </c>
      <c r="W295" s="613">
        <f t="shared" si="38"/>
        <v>1</v>
      </c>
      <c r="AB295" s="527">
        <f t="shared" si="44"/>
        <v>0</v>
      </c>
      <c r="AC295" s="527">
        <f t="shared" si="39"/>
        <v>0</v>
      </c>
      <c r="AD295" s="527">
        <f t="shared" si="40"/>
        <v>0</v>
      </c>
      <c r="AE295" s="527">
        <f t="shared" si="41"/>
        <v>0</v>
      </c>
      <c r="AF295" s="527">
        <f t="shared" si="42"/>
        <v>0</v>
      </c>
      <c r="AG295" s="527">
        <f t="shared" si="43"/>
        <v>10.7</v>
      </c>
      <c r="AH295" s="527"/>
      <c r="AI295" s="639">
        <f t="shared" si="45"/>
        <v>10.7</v>
      </c>
    </row>
    <row r="296" spans="1:35" ht="12.75" customHeight="1" x14ac:dyDescent="0.2">
      <c r="A296" s="527">
        <v>286</v>
      </c>
      <c r="C296" s="533" t="s">
        <v>2395</v>
      </c>
      <c r="D296" s="613">
        <v>125</v>
      </c>
      <c r="E296" s="533" t="s">
        <v>3677</v>
      </c>
      <c r="F296" s="533">
        <v>8222</v>
      </c>
      <c r="G296" s="639">
        <v>15464</v>
      </c>
      <c r="H296" s="632">
        <v>217.5</v>
      </c>
      <c r="I296" s="763" t="s">
        <v>2255</v>
      </c>
      <c r="J296" s="617">
        <v>42781</v>
      </c>
      <c r="K296" s="533" t="s">
        <v>2290</v>
      </c>
      <c r="N296" s="624">
        <v>42795</v>
      </c>
      <c r="U296" s="613">
        <v>1</v>
      </c>
      <c r="W296" s="613">
        <f t="shared" si="38"/>
        <v>1</v>
      </c>
      <c r="X296" s="613">
        <v>1</v>
      </c>
      <c r="AB296" s="527">
        <f t="shared" si="44"/>
        <v>0</v>
      </c>
      <c r="AC296" s="527">
        <f t="shared" si="39"/>
        <v>0</v>
      </c>
      <c r="AD296" s="527">
        <f t="shared" si="40"/>
        <v>0</v>
      </c>
      <c r="AE296" s="527">
        <f t="shared" si="41"/>
        <v>0</v>
      </c>
      <c r="AF296" s="527">
        <f t="shared" si="42"/>
        <v>0</v>
      </c>
      <c r="AG296" s="527">
        <f t="shared" si="43"/>
        <v>15464</v>
      </c>
      <c r="AH296" s="527"/>
      <c r="AI296" s="639">
        <f t="shared" si="45"/>
        <v>15464</v>
      </c>
    </row>
    <row r="297" spans="1:35" ht="12.75" customHeight="1" x14ac:dyDescent="0.2">
      <c r="A297" s="527">
        <v>287</v>
      </c>
      <c r="C297" s="533" t="s">
        <v>2381</v>
      </c>
      <c r="D297" s="613">
        <v>123</v>
      </c>
      <c r="E297" s="533" t="s">
        <v>3676</v>
      </c>
      <c r="F297" s="728" t="s">
        <v>2257</v>
      </c>
      <c r="G297" s="639">
        <v>474.6</v>
      </c>
      <c r="H297" s="632">
        <v>225.3</v>
      </c>
      <c r="I297" s="751" t="s">
        <v>2226</v>
      </c>
      <c r="J297" s="617">
        <v>42704</v>
      </c>
      <c r="K297" s="533" t="s">
        <v>2290</v>
      </c>
      <c r="N297" s="624">
        <v>42808</v>
      </c>
      <c r="U297" s="613">
        <v>1</v>
      </c>
      <c r="W297" s="613">
        <f t="shared" si="38"/>
        <v>1</v>
      </c>
      <c r="X297" s="613">
        <v>1</v>
      </c>
      <c r="AB297" s="527">
        <f t="shared" si="44"/>
        <v>0</v>
      </c>
      <c r="AC297" s="527">
        <f t="shared" si="39"/>
        <v>0</v>
      </c>
      <c r="AD297" s="527">
        <f t="shared" si="40"/>
        <v>0</v>
      </c>
      <c r="AE297" s="527">
        <f t="shared" si="41"/>
        <v>0</v>
      </c>
      <c r="AF297" s="527">
        <f t="shared" si="42"/>
        <v>0</v>
      </c>
      <c r="AG297" s="527">
        <f t="shared" si="43"/>
        <v>474.6</v>
      </c>
      <c r="AH297" s="527"/>
      <c r="AI297" s="639">
        <f t="shared" si="45"/>
        <v>474.6</v>
      </c>
    </row>
    <row r="298" spans="1:35" ht="12.75" customHeight="1" x14ac:dyDescent="0.2">
      <c r="A298" s="527">
        <v>288</v>
      </c>
      <c r="C298" s="533" t="s">
        <v>2399</v>
      </c>
      <c r="E298" s="527" t="s">
        <v>2449</v>
      </c>
      <c r="G298" s="632">
        <v>60</v>
      </c>
      <c r="H298" s="632">
        <f>358.3+672.9</f>
        <v>1031.2</v>
      </c>
      <c r="I298" s="795" t="s">
        <v>2384</v>
      </c>
      <c r="J298" s="617">
        <v>42872</v>
      </c>
      <c r="K298" s="533" t="s">
        <v>2290</v>
      </c>
      <c r="N298" s="624">
        <v>42822</v>
      </c>
      <c r="U298" s="613">
        <v>1</v>
      </c>
      <c r="W298" s="613">
        <f t="shared" si="38"/>
        <v>1</v>
      </c>
      <c r="X298" s="613">
        <v>1</v>
      </c>
      <c r="AB298" s="527">
        <f t="shared" si="44"/>
        <v>0</v>
      </c>
      <c r="AC298" s="527">
        <f t="shared" si="39"/>
        <v>0</v>
      </c>
      <c r="AD298" s="527">
        <f t="shared" si="40"/>
        <v>0</v>
      </c>
      <c r="AE298" s="527">
        <f t="shared" si="41"/>
        <v>0</v>
      </c>
      <c r="AF298" s="527">
        <f t="shared" si="42"/>
        <v>0</v>
      </c>
      <c r="AG298" s="527">
        <f t="shared" si="43"/>
        <v>60</v>
      </c>
      <c r="AH298" s="527"/>
      <c r="AI298" s="639">
        <f t="shared" si="45"/>
        <v>60</v>
      </c>
    </row>
    <row r="299" spans="1:35" ht="12.75" customHeight="1" x14ac:dyDescent="0.2">
      <c r="A299" s="527">
        <v>289</v>
      </c>
      <c r="C299" s="533" t="s">
        <v>2390</v>
      </c>
      <c r="D299" s="613">
        <v>117</v>
      </c>
      <c r="E299" s="527" t="s">
        <v>2414</v>
      </c>
      <c r="F299" s="728" t="s">
        <v>2230</v>
      </c>
      <c r="G299" s="639">
        <v>94.02</v>
      </c>
      <c r="H299" s="632">
        <f>218.9+105.7+83.8+122.6</f>
        <v>531</v>
      </c>
      <c r="I299" s="751" t="s">
        <v>2226</v>
      </c>
      <c r="J299" s="617">
        <v>42704</v>
      </c>
      <c r="K299" s="533" t="s">
        <v>2290</v>
      </c>
      <c r="N299" s="624">
        <v>42835</v>
      </c>
      <c r="U299" s="613">
        <v>1</v>
      </c>
      <c r="W299" s="613">
        <f t="shared" si="38"/>
        <v>1</v>
      </c>
      <c r="X299" s="613">
        <v>1</v>
      </c>
      <c r="AB299" s="527">
        <f t="shared" si="44"/>
        <v>0</v>
      </c>
      <c r="AC299" s="527">
        <f t="shared" si="39"/>
        <v>0</v>
      </c>
      <c r="AD299" s="527">
        <f t="shared" si="40"/>
        <v>0</v>
      </c>
      <c r="AE299" s="527">
        <f t="shared" si="41"/>
        <v>0</v>
      </c>
      <c r="AF299" s="527">
        <f t="shared" si="42"/>
        <v>0</v>
      </c>
      <c r="AG299" s="527">
        <f t="shared" si="43"/>
        <v>94.02</v>
      </c>
      <c r="AH299" s="527"/>
      <c r="AI299" s="639">
        <f t="shared" si="45"/>
        <v>94.02</v>
      </c>
    </row>
    <row r="300" spans="1:35" ht="12.75" customHeight="1" x14ac:dyDescent="0.2">
      <c r="A300" s="527">
        <v>290</v>
      </c>
      <c r="C300" s="533" t="s">
        <v>2397</v>
      </c>
      <c r="D300" s="613">
        <v>124</v>
      </c>
      <c r="E300" s="527" t="s">
        <v>2408</v>
      </c>
      <c r="F300" s="753" t="s">
        <v>225</v>
      </c>
      <c r="G300" s="639">
        <v>155</v>
      </c>
      <c r="H300" s="632">
        <f>70.6+144.8</f>
        <v>215.4</v>
      </c>
      <c r="I300" s="751" t="s">
        <v>2226</v>
      </c>
      <c r="J300" s="617">
        <v>42704</v>
      </c>
      <c r="K300" s="533" t="s">
        <v>2290</v>
      </c>
      <c r="N300" s="624">
        <v>42835</v>
      </c>
      <c r="U300" s="613">
        <v>1</v>
      </c>
      <c r="W300" s="613">
        <f t="shared" si="38"/>
        <v>1</v>
      </c>
      <c r="X300" s="613">
        <v>1</v>
      </c>
      <c r="AB300" s="527">
        <f t="shared" si="44"/>
        <v>0</v>
      </c>
      <c r="AC300" s="527">
        <f t="shared" si="39"/>
        <v>0</v>
      </c>
      <c r="AD300" s="527">
        <f t="shared" si="40"/>
        <v>0</v>
      </c>
      <c r="AE300" s="527">
        <f t="shared" si="41"/>
        <v>0</v>
      </c>
      <c r="AF300" s="527">
        <f t="shared" si="42"/>
        <v>0</v>
      </c>
      <c r="AG300" s="527">
        <f t="shared" si="43"/>
        <v>155</v>
      </c>
      <c r="AH300" s="527"/>
      <c r="AI300" s="639">
        <f t="shared" si="45"/>
        <v>155</v>
      </c>
    </row>
    <row r="301" spans="1:35" ht="12.75" customHeight="1" x14ac:dyDescent="0.2">
      <c r="A301" s="527">
        <v>291</v>
      </c>
      <c r="C301" s="533" t="s">
        <v>2410</v>
      </c>
      <c r="E301" s="527" t="s">
        <v>2288</v>
      </c>
      <c r="F301" s="533" t="s">
        <v>2418</v>
      </c>
      <c r="G301" s="632">
        <v>197.5</v>
      </c>
      <c r="H301" s="632">
        <v>215</v>
      </c>
      <c r="I301" s="795" t="s">
        <v>2384</v>
      </c>
      <c r="J301" s="617">
        <v>42872</v>
      </c>
      <c r="K301" s="533" t="s">
        <v>2290</v>
      </c>
      <c r="N301" s="617">
        <v>42851</v>
      </c>
      <c r="U301" s="613">
        <v>1</v>
      </c>
      <c r="W301" s="613">
        <f t="shared" si="38"/>
        <v>1</v>
      </c>
      <c r="X301" s="613">
        <v>1</v>
      </c>
      <c r="AB301" s="527">
        <f t="shared" si="44"/>
        <v>0</v>
      </c>
      <c r="AC301" s="527">
        <f t="shared" si="39"/>
        <v>0</v>
      </c>
      <c r="AD301" s="527">
        <f t="shared" si="40"/>
        <v>0</v>
      </c>
      <c r="AE301" s="527">
        <f t="shared" si="41"/>
        <v>0</v>
      </c>
      <c r="AF301" s="527">
        <f t="shared" si="42"/>
        <v>0</v>
      </c>
      <c r="AG301" s="527">
        <f t="shared" si="43"/>
        <v>197.5</v>
      </c>
      <c r="AH301" s="527"/>
      <c r="AI301" s="639">
        <f t="shared" si="45"/>
        <v>197.5</v>
      </c>
    </row>
    <row r="302" spans="1:35" ht="12.75" customHeight="1" x14ac:dyDescent="0.2">
      <c r="A302" s="527">
        <v>292</v>
      </c>
      <c r="C302" s="533" t="s">
        <v>2406</v>
      </c>
      <c r="E302" s="527" t="s">
        <v>2291</v>
      </c>
      <c r="F302" s="533" t="s">
        <v>2415</v>
      </c>
      <c r="G302" s="639">
        <v>222.34</v>
      </c>
      <c r="H302" s="632">
        <v>214.3</v>
      </c>
      <c r="I302" s="795" t="s">
        <v>2384</v>
      </c>
      <c r="J302" s="617">
        <v>42872</v>
      </c>
      <c r="K302" s="533" t="s">
        <v>2290</v>
      </c>
      <c r="N302" s="617">
        <v>42851</v>
      </c>
      <c r="U302" s="613">
        <v>1</v>
      </c>
      <c r="W302" s="613">
        <f t="shared" si="38"/>
        <v>1</v>
      </c>
      <c r="X302" s="613">
        <v>1</v>
      </c>
      <c r="AB302" s="527">
        <f t="shared" si="44"/>
        <v>0</v>
      </c>
      <c r="AC302" s="527">
        <f t="shared" si="39"/>
        <v>0</v>
      </c>
      <c r="AD302" s="527">
        <f t="shared" si="40"/>
        <v>0</v>
      </c>
      <c r="AE302" s="527">
        <f t="shared" si="41"/>
        <v>0</v>
      </c>
      <c r="AF302" s="527">
        <f t="shared" si="42"/>
        <v>0</v>
      </c>
      <c r="AG302" s="527">
        <f t="shared" si="43"/>
        <v>222.34</v>
      </c>
      <c r="AH302" s="527"/>
      <c r="AI302" s="639">
        <f t="shared" si="45"/>
        <v>222.34</v>
      </c>
    </row>
    <row r="303" spans="1:35" ht="12.75" customHeight="1" x14ac:dyDescent="0.2">
      <c r="A303" s="527">
        <v>293</v>
      </c>
      <c r="C303" s="533" t="s">
        <v>2416</v>
      </c>
      <c r="E303" s="527" t="s">
        <v>2417</v>
      </c>
      <c r="F303" s="533" t="s">
        <v>2419</v>
      </c>
      <c r="G303" s="639">
        <v>20.78</v>
      </c>
      <c r="K303" s="533" t="s">
        <v>2290</v>
      </c>
      <c r="N303" s="617">
        <v>42851</v>
      </c>
      <c r="U303" s="613">
        <v>1</v>
      </c>
      <c r="W303" s="613">
        <f t="shared" si="38"/>
        <v>1</v>
      </c>
      <c r="AB303" s="527">
        <f t="shared" si="44"/>
        <v>0</v>
      </c>
      <c r="AC303" s="527">
        <f t="shared" si="39"/>
        <v>0</v>
      </c>
      <c r="AD303" s="527">
        <f t="shared" si="40"/>
        <v>0</v>
      </c>
      <c r="AE303" s="527">
        <f t="shared" si="41"/>
        <v>0</v>
      </c>
      <c r="AF303" s="527">
        <f t="shared" si="42"/>
        <v>0</v>
      </c>
      <c r="AG303" s="527">
        <f t="shared" si="43"/>
        <v>20.78</v>
      </c>
      <c r="AH303" s="527"/>
      <c r="AI303" s="639">
        <f t="shared" si="45"/>
        <v>20.78</v>
      </c>
    </row>
    <row r="304" spans="1:35" ht="12.75" customHeight="1" x14ac:dyDescent="0.2">
      <c r="A304" s="527">
        <v>294</v>
      </c>
      <c r="C304" s="533" t="s">
        <v>2423</v>
      </c>
      <c r="E304" s="527" t="s">
        <v>2411</v>
      </c>
      <c r="F304" s="533" t="s">
        <v>2409</v>
      </c>
      <c r="G304" s="632">
        <v>28</v>
      </c>
      <c r="H304" s="632">
        <v>384.1</v>
      </c>
      <c r="I304" s="795" t="s">
        <v>2384</v>
      </c>
      <c r="J304" s="617">
        <v>42872</v>
      </c>
      <c r="K304" s="533" t="s">
        <v>2290</v>
      </c>
      <c r="N304" s="624">
        <v>42865</v>
      </c>
      <c r="U304" s="613">
        <v>1</v>
      </c>
      <c r="W304" s="613">
        <f t="shared" si="38"/>
        <v>1</v>
      </c>
      <c r="X304" s="613">
        <v>1</v>
      </c>
      <c r="AB304" s="527">
        <f t="shared" si="44"/>
        <v>0</v>
      </c>
      <c r="AC304" s="527">
        <f t="shared" si="39"/>
        <v>0</v>
      </c>
      <c r="AD304" s="527">
        <f t="shared" si="40"/>
        <v>0</v>
      </c>
      <c r="AE304" s="527">
        <f t="shared" si="41"/>
        <v>0</v>
      </c>
      <c r="AF304" s="527">
        <f t="shared" si="42"/>
        <v>0</v>
      </c>
      <c r="AG304" s="527">
        <f t="shared" si="43"/>
        <v>28</v>
      </c>
      <c r="AH304" s="527"/>
      <c r="AI304" s="639">
        <f t="shared" si="45"/>
        <v>28</v>
      </c>
    </row>
    <row r="305" spans="1:35" ht="12.75" customHeight="1" x14ac:dyDescent="0.2">
      <c r="A305" s="527">
        <v>295</v>
      </c>
      <c r="C305" s="533" t="s">
        <v>2424</v>
      </c>
      <c r="F305" s="533" t="s">
        <v>2439</v>
      </c>
      <c r="G305" s="639">
        <v>140</v>
      </c>
      <c r="H305" s="632">
        <v>131.9</v>
      </c>
      <c r="I305" s="815" t="s">
        <v>2575</v>
      </c>
      <c r="K305" s="533" t="s">
        <v>2290</v>
      </c>
      <c r="N305" s="624">
        <v>42865</v>
      </c>
      <c r="U305" s="613">
        <v>1</v>
      </c>
      <c r="W305" s="613">
        <f t="shared" si="38"/>
        <v>1</v>
      </c>
      <c r="X305" s="613">
        <v>1</v>
      </c>
      <c r="AB305" s="527">
        <f t="shared" si="44"/>
        <v>0</v>
      </c>
      <c r="AC305" s="527">
        <f t="shared" si="39"/>
        <v>0</v>
      </c>
      <c r="AD305" s="527">
        <f t="shared" si="40"/>
        <v>0</v>
      </c>
      <c r="AE305" s="527">
        <f t="shared" si="41"/>
        <v>0</v>
      </c>
      <c r="AF305" s="527">
        <f t="shared" si="42"/>
        <v>0</v>
      </c>
      <c r="AG305" s="527">
        <f t="shared" si="43"/>
        <v>140</v>
      </c>
      <c r="AH305" s="527"/>
      <c r="AI305" s="639">
        <f t="shared" si="45"/>
        <v>140</v>
      </c>
    </row>
    <row r="306" spans="1:35" ht="12.75" customHeight="1" x14ac:dyDescent="0.2">
      <c r="A306" s="527">
        <v>296</v>
      </c>
      <c r="C306" s="533" t="s">
        <v>2425</v>
      </c>
      <c r="E306" s="527" t="s">
        <v>2391</v>
      </c>
      <c r="F306" s="533" t="s">
        <v>2392</v>
      </c>
      <c r="G306" s="632">
        <v>583</v>
      </c>
      <c r="H306" s="632">
        <v>190.8</v>
      </c>
      <c r="I306" s="795" t="s">
        <v>2384</v>
      </c>
      <c r="J306" s="617">
        <v>42872</v>
      </c>
      <c r="K306" s="533" t="s">
        <v>2290</v>
      </c>
      <c r="N306" s="624">
        <v>42866</v>
      </c>
      <c r="U306" s="613">
        <v>1</v>
      </c>
      <c r="W306" s="613">
        <f t="shared" si="38"/>
        <v>1</v>
      </c>
      <c r="X306" s="613">
        <v>1</v>
      </c>
      <c r="AB306" s="527">
        <f t="shared" si="44"/>
        <v>0</v>
      </c>
      <c r="AC306" s="527">
        <f t="shared" si="39"/>
        <v>0</v>
      </c>
      <c r="AD306" s="527">
        <f t="shared" si="40"/>
        <v>0</v>
      </c>
      <c r="AE306" s="527">
        <f t="shared" si="41"/>
        <v>0</v>
      </c>
      <c r="AF306" s="527">
        <f t="shared" si="42"/>
        <v>0</v>
      </c>
      <c r="AG306" s="527">
        <f t="shared" si="43"/>
        <v>583</v>
      </c>
      <c r="AH306" s="527"/>
      <c r="AI306" s="639">
        <f t="shared" si="45"/>
        <v>583</v>
      </c>
    </row>
    <row r="307" spans="1:35" ht="12.75" customHeight="1" x14ac:dyDescent="0.2">
      <c r="A307" s="527">
        <v>297</v>
      </c>
      <c r="C307" s="533" t="s">
        <v>2422</v>
      </c>
      <c r="D307" s="613">
        <v>119</v>
      </c>
      <c r="E307" s="533" t="s">
        <v>3701</v>
      </c>
      <c r="F307" s="533" t="s">
        <v>1321</v>
      </c>
      <c r="G307" s="639">
        <v>9354</v>
      </c>
      <c r="H307" s="632">
        <v>232</v>
      </c>
      <c r="I307" s="751" t="s">
        <v>2226</v>
      </c>
      <c r="J307" s="617">
        <v>42704</v>
      </c>
      <c r="K307" s="533" t="s">
        <v>2290</v>
      </c>
      <c r="N307" s="624">
        <v>42866</v>
      </c>
      <c r="U307" s="613">
        <v>1</v>
      </c>
      <c r="W307" s="613">
        <f t="shared" si="38"/>
        <v>1</v>
      </c>
      <c r="X307" s="613">
        <v>1</v>
      </c>
      <c r="AB307" s="527">
        <f t="shared" si="44"/>
        <v>0</v>
      </c>
      <c r="AC307" s="527">
        <f t="shared" si="39"/>
        <v>0</v>
      </c>
      <c r="AD307" s="527">
        <f t="shared" si="40"/>
        <v>0</v>
      </c>
      <c r="AE307" s="527">
        <f t="shared" si="41"/>
        <v>0</v>
      </c>
      <c r="AF307" s="527">
        <f t="shared" si="42"/>
        <v>0</v>
      </c>
      <c r="AG307" s="527">
        <f t="shared" si="43"/>
        <v>9354</v>
      </c>
      <c r="AH307" s="527"/>
      <c r="AI307" s="639">
        <f t="shared" si="45"/>
        <v>9354</v>
      </c>
    </row>
    <row r="308" spans="1:35" ht="12.75" customHeight="1" x14ac:dyDescent="0.2">
      <c r="A308" s="527">
        <v>298</v>
      </c>
      <c r="C308" s="533" t="s">
        <v>2426</v>
      </c>
      <c r="E308" s="527" t="s">
        <v>2398</v>
      </c>
      <c r="F308" s="533" t="s">
        <v>2428</v>
      </c>
      <c r="G308" s="632">
        <v>80</v>
      </c>
      <c r="H308" s="632">
        <v>208.2</v>
      </c>
      <c r="I308" s="795" t="s">
        <v>2384</v>
      </c>
      <c r="J308" s="617">
        <v>42872</v>
      </c>
      <c r="K308" s="533" t="s">
        <v>2290</v>
      </c>
      <c r="N308" s="624">
        <v>42895</v>
      </c>
      <c r="U308" s="613">
        <v>1</v>
      </c>
      <c r="W308" s="613">
        <f t="shared" si="38"/>
        <v>1</v>
      </c>
      <c r="X308" s="613">
        <v>1</v>
      </c>
      <c r="AB308" s="527">
        <f t="shared" si="44"/>
        <v>0</v>
      </c>
      <c r="AC308" s="527">
        <f t="shared" si="39"/>
        <v>0</v>
      </c>
      <c r="AD308" s="527">
        <f t="shared" si="40"/>
        <v>0</v>
      </c>
      <c r="AE308" s="527">
        <f t="shared" si="41"/>
        <v>0</v>
      </c>
      <c r="AF308" s="527">
        <f t="shared" si="42"/>
        <v>0</v>
      </c>
      <c r="AG308" s="527">
        <f t="shared" si="43"/>
        <v>80</v>
      </c>
      <c r="AH308" s="527"/>
      <c r="AI308" s="639">
        <f t="shared" si="45"/>
        <v>80</v>
      </c>
    </row>
    <row r="309" spans="1:35" ht="12.75" customHeight="1" x14ac:dyDescent="0.2">
      <c r="A309" s="527">
        <v>299</v>
      </c>
      <c r="C309" s="533" t="s">
        <v>2427</v>
      </c>
      <c r="D309" s="613">
        <v>129</v>
      </c>
      <c r="E309" s="533" t="s">
        <v>2421</v>
      </c>
      <c r="F309" s="533">
        <v>10149</v>
      </c>
      <c r="G309" s="639">
        <v>73.599999999999994</v>
      </c>
      <c r="H309" s="527">
        <v>170.3</v>
      </c>
      <c r="I309" s="751" t="s">
        <v>2226</v>
      </c>
      <c r="J309" s="617">
        <v>42704</v>
      </c>
      <c r="K309" s="533" t="s">
        <v>2290</v>
      </c>
      <c r="N309" s="624">
        <v>42895</v>
      </c>
      <c r="U309" s="613">
        <v>1</v>
      </c>
      <c r="W309" s="613">
        <f t="shared" si="38"/>
        <v>1</v>
      </c>
      <c r="X309" s="613">
        <v>1</v>
      </c>
      <c r="AB309" s="527">
        <f t="shared" si="44"/>
        <v>0</v>
      </c>
      <c r="AC309" s="527">
        <f t="shared" si="39"/>
        <v>0</v>
      </c>
      <c r="AD309" s="527">
        <f t="shared" si="40"/>
        <v>0</v>
      </c>
      <c r="AE309" s="527">
        <f t="shared" si="41"/>
        <v>0</v>
      </c>
      <c r="AF309" s="527">
        <f t="shared" si="42"/>
        <v>0</v>
      </c>
      <c r="AG309" s="527">
        <f t="shared" si="43"/>
        <v>73.599999999999994</v>
      </c>
      <c r="AH309" s="527"/>
      <c r="AI309" s="639">
        <f t="shared" si="45"/>
        <v>73.599999999999994</v>
      </c>
    </row>
    <row r="310" spans="1:35" ht="12.75" customHeight="1" x14ac:dyDescent="0.2">
      <c r="A310" s="527">
        <v>300</v>
      </c>
      <c r="C310" s="533" t="s">
        <v>2429</v>
      </c>
      <c r="E310" s="527" t="s">
        <v>2385</v>
      </c>
      <c r="F310" s="533" t="s">
        <v>2432</v>
      </c>
      <c r="G310" s="632">
        <v>22.9</v>
      </c>
      <c r="H310" s="632">
        <v>48.5</v>
      </c>
      <c r="I310" s="795" t="s">
        <v>2384</v>
      </c>
      <c r="J310" s="617">
        <v>42872</v>
      </c>
      <c r="K310" s="533" t="s">
        <v>2290</v>
      </c>
      <c r="N310" s="624">
        <v>42895</v>
      </c>
      <c r="U310" s="613">
        <v>1</v>
      </c>
      <c r="W310" s="613">
        <f t="shared" si="38"/>
        <v>1</v>
      </c>
      <c r="X310" s="613">
        <v>1</v>
      </c>
      <c r="AB310" s="527">
        <f t="shared" si="44"/>
        <v>0</v>
      </c>
      <c r="AC310" s="527">
        <f t="shared" si="39"/>
        <v>0</v>
      </c>
      <c r="AD310" s="527">
        <f t="shared" si="40"/>
        <v>0</v>
      </c>
      <c r="AE310" s="527">
        <f t="shared" si="41"/>
        <v>0</v>
      </c>
      <c r="AF310" s="527">
        <f t="shared" si="42"/>
        <v>0</v>
      </c>
      <c r="AG310" s="527">
        <f t="shared" si="43"/>
        <v>22.9</v>
      </c>
      <c r="AH310" s="527"/>
      <c r="AI310" s="639">
        <f t="shared" si="45"/>
        <v>22.9</v>
      </c>
    </row>
    <row r="311" spans="1:35" ht="12.75" customHeight="1" x14ac:dyDescent="0.2">
      <c r="A311" s="527">
        <v>301</v>
      </c>
      <c r="C311" s="533" t="s">
        <v>2435</v>
      </c>
      <c r="E311" s="527" t="s">
        <v>2433</v>
      </c>
      <c r="F311" s="533" t="s">
        <v>2459</v>
      </c>
      <c r="G311" s="632">
        <v>1017</v>
      </c>
      <c r="I311" s="808" t="s">
        <v>2501</v>
      </c>
      <c r="J311" s="617">
        <v>43041</v>
      </c>
      <c r="K311" s="533" t="s">
        <v>2290</v>
      </c>
      <c r="N311" s="624">
        <v>42914</v>
      </c>
      <c r="U311" s="613">
        <v>1</v>
      </c>
      <c r="W311" s="613">
        <f t="shared" si="38"/>
        <v>1</v>
      </c>
      <c r="X311" s="613">
        <v>1</v>
      </c>
      <c r="AB311" s="527">
        <f t="shared" si="44"/>
        <v>0</v>
      </c>
      <c r="AC311" s="527">
        <f t="shared" si="39"/>
        <v>0</v>
      </c>
      <c r="AD311" s="527">
        <f t="shared" si="40"/>
        <v>0</v>
      </c>
      <c r="AE311" s="527">
        <f t="shared" si="41"/>
        <v>0</v>
      </c>
      <c r="AF311" s="527">
        <f t="shared" si="42"/>
        <v>0</v>
      </c>
      <c r="AG311" s="527">
        <f t="shared" si="43"/>
        <v>1017</v>
      </c>
      <c r="AH311" s="527"/>
      <c r="AI311" s="639">
        <f t="shared" si="45"/>
        <v>1017</v>
      </c>
    </row>
    <row r="312" spans="1:35" ht="12.75" customHeight="1" x14ac:dyDescent="0.2">
      <c r="A312" s="527">
        <v>302</v>
      </c>
      <c r="C312" s="533" t="s">
        <v>2438</v>
      </c>
      <c r="E312" s="527" t="s">
        <v>2434</v>
      </c>
      <c r="F312" s="533" t="s">
        <v>2459</v>
      </c>
      <c r="G312" s="632">
        <v>220</v>
      </c>
      <c r="H312" s="632">
        <v>171.7</v>
      </c>
      <c r="I312" s="803" t="s">
        <v>2441</v>
      </c>
      <c r="K312" s="533" t="s">
        <v>2290</v>
      </c>
      <c r="N312" s="624">
        <v>42914</v>
      </c>
      <c r="U312" s="613">
        <v>1</v>
      </c>
      <c r="W312" s="613">
        <f t="shared" si="38"/>
        <v>1</v>
      </c>
      <c r="X312" s="613">
        <v>1</v>
      </c>
      <c r="AB312" s="527">
        <f t="shared" si="44"/>
        <v>0</v>
      </c>
      <c r="AC312" s="527">
        <f t="shared" si="39"/>
        <v>0</v>
      </c>
      <c r="AD312" s="527">
        <f t="shared" si="40"/>
        <v>0</v>
      </c>
      <c r="AE312" s="527">
        <f t="shared" si="41"/>
        <v>0</v>
      </c>
      <c r="AF312" s="527">
        <f t="shared" si="42"/>
        <v>0</v>
      </c>
      <c r="AG312" s="527">
        <f t="shared" si="43"/>
        <v>220</v>
      </c>
      <c r="AH312" s="527"/>
      <c r="AI312" s="639">
        <f t="shared" si="45"/>
        <v>220</v>
      </c>
    </row>
    <row r="313" spans="1:35" ht="12.75" customHeight="1" x14ac:dyDescent="0.2">
      <c r="A313" s="527">
        <v>303</v>
      </c>
      <c r="C313" s="533" t="s">
        <v>2437</v>
      </c>
      <c r="E313" s="527" t="s">
        <v>2518</v>
      </c>
      <c r="F313" s="533" t="s">
        <v>2459</v>
      </c>
      <c r="G313" s="632">
        <v>318</v>
      </c>
      <c r="I313"/>
      <c r="J313" s="617"/>
      <c r="K313" s="533" t="s">
        <v>2290</v>
      </c>
      <c r="N313" s="624">
        <v>42930</v>
      </c>
      <c r="U313" s="613">
        <v>1</v>
      </c>
      <c r="W313" s="613">
        <f t="shared" si="38"/>
        <v>1</v>
      </c>
      <c r="AB313" s="527">
        <f t="shared" si="44"/>
        <v>0</v>
      </c>
      <c r="AC313" s="527">
        <f t="shared" si="39"/>
        <v>0</v>
      </c>
      <c r="AD313" s="527">
        <f t="shared" si="40"/>
        <v>0</v>
      </c>
      <c r="AE313" s="527">
        <f t="shared" si="41"/>
        <v>0</v>
      </c>
      <c r="AF313" s="527">
        <f t="shared" si="42"/>
        <v>0</v>
      </c>
      <c r="AG313" s="527">
        <f t="shared" si="43"/>
        <v>318</v>
      </c>
      <c r="AH313" s="527"/>
      <c r="AI313" s="639">
        <f t="shared" si="45"/>
        <v>318</v>
      </c>
    </row>
    <row r="314" spans="1:35" ht="12.75" customHeight="1" x14ac:dyDescent="0.2">
      <c r="A314" s="527">
        <v>304</v>
      </c>
      <c r="C314" s="533" t="s">
        <v>2440</v>
      </c>
      <c r="D314" s="613">
        <v>127</v>
      </c>
      <c r="E314" s="527" t="s">
        <v>2396</v>
      </c>
      <c r="F314" s="533" t="s">
        <v>1321</v>
      </c>
      <c r="G314" s="813">
        <v>74.5</v>
      </c>
      <c r="H314" s="632">
        <v>208.7</v>
      </c>
      <c r="I314" s="763" t="s">
        <v>2255</v>
      </c>
      <c r="J314" s="617">
        <v>42781</v>
      </c>
      <c r="K314" s="533" t="s">
        <v>2290</v>
      </c>
      <c r="N314" s="624">
        <v>42930</v>
      </c>
      <c r="U314" s="613">
        <v>1</v>
      </c>
      <c r="W314" s="613">
        <f t="shared" si="38"/>
        <v>1</v>
      </c>
      <c r="X314" s="613">
        <v>1</v>
      </c>
      <c r="AB314" s="527">
        <f t="shared" si="44"/>
        <v>0</v>
      </c>
      <c r="AC314" s="527">
        <f t="shared" si="39"/>
        <v>0</v>
      </c>
      <c r="AD314" s="527">
        <f t="shared" si="40"/>
        <v>0</v>
      </c>
      <c r="AE314" s="527">
        <f t="shared" si="41"/>
        <v>0</v>
      </c>
      <c r="AF314" s="527">
        <f t="shared" si="42"/>
        <v>0</v>
      </c>
      <c r="AG314" s="527">
        <f t="shared" si="43"/>
        <v>74.5</v>
      </c>
      <c r="AH314" s="527"/>
      <c r="AI314" s="639">
        <f t="shared" si="45"/>
        <v>74.5</v>
      </c>
    </row>
    <row r="315" spans="1:35" ht="12.75" customHeight="1" x14ac:dyDescent="0.2">
      <c r="A315" s="527">
        <v>305</v>
      </c>
      <c r="C315" s="533" t="s">
        <v>2443</v>
      </c>
      <c r="E315" s="527" t="s">
        <v>2444</v>
      </c>
      <c r="G315" s="813">
        <v>4810</v>
      </c>
      <c r="I315"/>
      <c r="J315" s="617"/>
      <c r="K315" s="533" t="s">
        <v>2290</v>
      </c>
      <c r="N315" s="624">
        <v>42947</v>
      </c>
      <c r="U315" s="613">
        <v>1</v>
      </c>
      <c r="W315" s="613">
        <f t="shared" si="38"/>
        <v>1</v>
      </c>
      <c r="AB315" s="527">
        <f t="shared" si="44"/>
        <v>0</v>
      </c>
      <c r="AC315" s="527">
        <f t="shared" si="39"/>
        <v>0</v>
      </c>
      <c r="AD315" s="527">
        <f t="shared" si="40"/>
        <v>0</v>
      </c>
      <c r="AE315" s="527">
        <f t="shared" si="41"/>
        <v>0</v>
      </c>
      <c r="AF315" s="527">
        <f t="shared" si="42"/>
        <v>0</v>
      </c>
      <c r="AG315" s="527">
        <f t="shared" si="43"/>
        <v>4810</v>
      </c>
      <c r="AH315" s="527"/>
      <c r="AI315" s="639">
        <f t="shared" si="45"/>
        <v>4810</v>
      </c>
    </row>
    <row r="316" spans="1:35" ht="12.75" customHeight="1" x14ac:dyDescent="0.2">
      <c r="A316" s="527">
        <v>306</v>
      </c>
      <c r="C316" s="533" t="s">
        <v>2447</v>
      </c>
      <c r="E316" s="527" t="s">
        <v>2452</v>
      </c>
      <c r="F316" s="533" t="s">
        <v>2455</v>
      </c>
      <c r="G316" s="632">
        <v>150.87</v>
      </c>
      <c r="H316" s="632">
        <v>205.8</v>
      </c>
      <c r="I316" s="803" t="s">
        <v>2441</v>
      </c>
      <c r="K316" s="533" t="s">
        <v>2290</v>
      </c>
      <c r="N316" s="624">
        <v>42962</v>
      </c>
      <c r="U316" s="613">
        <v>1</v>
      </c>
      <c r="W316" s="613">
        <f t="shared" si="38"/>
        <v>1</v>
      </c>
      <c r="X316" s="613">
        <v>1</v>
      </c>
      <c r="AB316" s="527">
        <f t="shared" si="44"/>
        <v>0</v>
      </c>
      <c r="AC316" s="527">
        <f t="shared" si="39"/>
        <v>0</v>
      </c>
      <c r="AD316" s="527">
        <f t="shared" si="40"/>
        <v>0</v>
      </c>
      <c r="AE316" s="527">
        <f t="shared" si="41"/>
        <v>0</v>
      </c>
      <c r="AF316" s="527">
        <f t="shared" si="42"/>
        <v>0</v>
      </c>
      <c r="AG316" s="527">
        <f t="shared" si="43"/>
        <v>150.87</v>
      </c>
      <c r="AH316" s="527"/>
      <c r="AI316" s="639">
        <f t="shared" si="45"/>
        <v>150.87</v>
      </c>
    </row>
    <row r="317" spans="1:35" ht="12.75" customHeight="1" x14ac:dyDescent="0.2">
      <c r="A317" s="527">
        <v>307</v>
      </c>
      <c r="C317" s="533" t="s">
        <v>2493</v>
      </c>
      <c r="E317" s="527" t="s">
        <v>2494</v>
      </c>
      <c r="F317" s="533" t="s">
        <v>2503</v>
      </c>
      <c r="G317" s="813">
        <v>700</v>
      </c>
      <c r="I317"/>
      <c r="J317" s="617"/>
      <c r="K317" s="533" t="s">
        <v>2290</v>
      </c>
      <c r="N317" s="624">
        <v>42989</v>
      </c>
      <c r="U317" s="613">
        <v>1</v>
      </c>
      <c r="W317" s="613">
        <f t="shared" ref="W317:W380" si="46">SUM(P317:V317)</f>
        <v>1</v>
      </c>
      <c r="AB317" s="527">
        <f t="shared" si="44"/>
        <v>0</v>
      </c>
      <c r="AC317" s="527">
        <f t="shared" si="39"/>
        <v>0</v>
      </c>
      <c r="AD317" s="527">
        <f t="shared" si="40"/>
        <v>0</v>
      </c>
      <c r="AE317" s="527">
        <f t="shared" si="41"/>
        <v>0</v>
      </c>
      <c r="AF317" s="527">
        <f t="shared" si="42"/>
        <v>0</v>
      </c>
      <c r="AG317" s="527">
        <f t="shared" si="43"/>
        <v>700</v>
      </c>
      <c r="AH317" s="527"/>
      <c r="AI317" s="639">
        <f t="shared" si="45"/>
        <v>700</v>
      </c>
    </row>
    <row r="318" spans="1:35" ht="12.75" customHeight="1" x14ac:dyDescent="0.2">
      <c r="A318" s="527">
        <v>308</v>
      </c>
      <c r="C318" s="533" t="s">
        <v>2450</v>
      </c>
      <c r="D318" s="613">
        <v>112</v>
      </c>
      <c r="E318" s="527" t="s">
        <v>2512</v>
      </c>
      <c r="F318" s="533" t="s">
        <v>2215</v>
      </c>
      <c r="G318" s="632">
        <v>4432</v>
      </c>
      <c r="H318" s="632">
        <f>185.4+195.6</f>
        <v>381</v>
      </c>
      <c r="I318" s="613" t="s">
        <v>2198</v>
      </c>
      <c r="J318" s="617">
        <v>42634</v>
      </c>
      <c r="K318" s="533" t="s">
        <v>2290</v>
      </c>
      <c r="N318" s="624">
        <v>42989</v>
      </c>
      <c r="U318" s="613">
        <v>1</v>
      </c>
      <c r="W318" s="613">
        <f t="shared" si="46"/>
        <v>1</v>
      </c>
      <c r="X318" s="613">
        <v>1</v>
      </c>
      <c r="AB318" s="527">
        <f t="shared" si="44"/>
        <v>0</v>
      </c>
      <c r="AC318" s="527">
        <f t="shared" si="39"/>
        <v>0</v>
      </c>
      <c r="AD318" s="527">
        <f t="shared" si="40"/>
        <v>0</v>
      </c>
      <c r="AE318" s="527">
        <f t="shared" si="41"/>
        <v>0</v>
      </c>
      <c r="AF318" s="527">
        <f t="shared" si="42"/>
        <v>0</v>
      </c>
      <c r="AG318" s="527">
        <f t="shared" si="43"/>
        <v>4432</v>
      </c>
      <c r="AH318" s="527"/>
      <c r="AI318" s="639">
        <f t="shared" si="45"/>
        <v>4432</v>
      </c>
    </row>
    <row r="319" spans="1:35" ht="12.75" customHeight="1" x14ac:dyDescent="0.2">
      <c r="A319" s="527">
        <v>309</v>
      </c>
      <c r="C319" s="533" t="s">
        <v>2451</v>
      </c>
      <c r="D319" s="613">
        <v>126</v>
      </c>
      <c r="E319" s="527" t="s">
        <v>2413</v>
      </c>
      <c r="F319" s="533" t="s">
        <v>1321</v>
      </c>
      <c r="G319" s="639">
        <v>229</v>
      </c>
      <c r="H319" s="632">
        <v>213.9</v>
      </c>
      <c r="I319" s="763" t="s">
        <v>2255</v>
      </c>
      <c r="J319" s="617">
        <v>42781</v>
      </c>
      <c r="K319" s="533" t="s">
        <v>2290</v>
      </c>
      <c r="N319" s="624">
        <v>42989</v>
      </c>
      <c r="U319" s="613">
        <v>1</v>
      </c>
      <c r="W319" s="613">
        <f t="shared" si="46"/>
        <v>1</v>
      </c>
      <c r="X319" s="613">
        <v>1</v>
      </c>
      <c r="AB319" s="527">
        <f t="shared" si="44"/>
        <v>0</v>
      </c>
      <c r="AC319" s="527">
        <f t="shared" si="39"/>
        <v>0</v>
      </c>
      <c r="AD319" s="527">
        <f t="shared" si="40"/>
        <v>0</v>
      </c>
      <c r="AE319" s="527">
        <f t="shared" si="41"/>
        <v>0</v>
      </c>
      <c r="AF319" s="527">
        <f t="shared" si="42"/>
        <v>0</v>
      </c>
      <c r="AG319" s="527">
        <f t="shared" si="43"/>
        <v>229</v>
      </c>
      <c r="AH319" s="527"/>
      <c r="AI319" s="639">
        <f t="shared" si="45"/>
        <v>229</v>
      </c>
    </row>
    <row r="320" spans="1:35" ht="12.75" customHeight="1" x14ac:dyDescent="0.2">
      <c r="A320" s="527">
        <v>310</v>
      </c>
      <c r="C320" s="611" t="s">
        <v>2495</v>
      </c>
      <c r="D320" s="613">
        <v>113</v>
      </c>
      <c r="E320" s="527" t="s">
        <v>2505</v>
      </c>
      <c r="F320" s="533" t="s">
        <v>2215</v>
      </c>
      <c r="G320" s="639">
        <v>61.5</v>
      </c>
      <c r="H320" s="632">
        <f>215.9</f>
        <v>215.9</v>
      </c>
      <c r="I320" s="613" t="s">
        <v>2198</v>
      </c>
      <c r="J320" s="617">
        <v>42634</v>
      </c>
      <c r="K320" s="533" t="s">
        <v>2290</v>
      </c>
      <c r="N320" s="624">
        <v>42989</v>
      </c>
      <c r="U320" s="613">
        <v>1</v>
      </c>
      <c r="W320" s="613">
        <f t="shared" si="46"/>
        <v>1</v>
      </c>
      <c r="X320" s="613">
        <v>1</v>
      </c>
      <c r="AB320" s="527">
        <f t="shared" si="44"/>
        <v>0</v>
      </c>
      <c r="AC320" s="527">
        <f t="shared" si="39"/>
        <v>0</v>
      </c>
      <c r="AD320" s="527">
        <f t="shared" si="40"/>
        <v>0</v>
      </c>
      <c r="AE320" s="527">
        <f t="shared" si="41"/>
        <v>0</v>
      </c>
      <c r="AF320" s="527">
        <f t="shared" si="42"/>
        <v>0</v>
      </c>
      <c r="AG320" s="527">
        <f t="shared" si="43"/>
        <v>61.5</v>
      </c>
      <c r="AH320" s="527"/>
      <c r="AI320" s="639">
        <f t="shared" si="45"/>
        <v>61.5</v>
      </c>
    </row>
    <row r="321" spans="1:35" ht="12.75" customHeight="1" x14ac:dyDescent="0.2">
      <c r="A321" s="527">
        <v>311</v>
      </c>
      <c r="C321" s="533" t="s">
        <v>2496</v>
      </c>
      <c r="F321" s="533" t="s">
        <v>2497</v>
      </c>
      <c r="G321" s="813">
        <v>912</v>
      </c>
      <c r="I321"/>
      <c r="J321" s="617"/>
      <c r="K321" s="533" t="s">
        <v>2290</v>
      </c>
      <c r="N321" s="624">
        <v>43001</v>
      </c>
      <c r="U321" s="613">
        <v>1</v>
      </c>
      <c r="W321" s="613">
        <f t="shared" si="46"/>
        <v>1</v>
      </c>
      <c r="AB321" s="527">
        <f t="shared" si="44"/>
        <v>0</v>
      </c>
      <c r="AC321" s="527">
        <f t="shared" si="39"/>
        <v>0</v>
      </c>
      <c r="AD321" s="527">
        <f t="shared" si="40"/>
        <v>0</v>
      </c>
      <c r="AE321" s="527">
        <f t="shared" si="41"/>
        <v>0</v>
      </c>
      <c r="AF321" s="527">
        <f t="shared" si="42"/>
        <v>0</v>
      </c>
      <c r="AG321" s="527">
        <f t="shared" si="43"/>
        <v>912</v>
      </c>
      <c r="AH321" s="527"/>
      <c r="AI321" s="639">
        <f t="shared" si="45"/>
        <v>912</v>
      </c>
    </row>
    <row r="322" spans="1:35" ht="12.75" customHeight="1" x14ac:dyDescent="0.2">
      <c r="A322" s="527">
        <v>312</v>
      </c>
      <c r="C322" s="533" t="s">
        <v>2436</v>
      </c>
      <c r="E322" s="527" t="s">
        <v>2458</v>
      </c>
      <c r="F322" s="533" t="s">
        <v>2459</v>
      </c>
      <c r="G322" s="632">
        <v>2808</v>
      </c>
      <c r="I322" s="808" t="s">
        <v>2501</v>
      </c>
      <c r="J322" s="617">
        <v>43041</v>
      </c>
      <c r="K322" s="533" t="s">
        <v>2290</v>
      </c>
      <c r="N322" s="624">
        <v>43021</v>
      </c>
      <c r="U322" s="613">
        <v>1</v>
      </c>
      <c r="W322" s="613">
        <f t="shared" si="46"/>
        <v>1</v>
      </c>
      <c r="X322" s="613">
        <v>1</v>
      </c>
      <c r="AB322" s="527">
        <f t="shared" si="44"/>
        <v>0</v>
      </c>
      <c r="AC322" s="527">
        <f t="shared" ref="AC322:AC385" si="47">IF(Q322=1,$G322,0)</f>
        <v>0</v>
      </c>
      <c r="AD322" s="527">
        <f t="shared" ref="AD322:AD385" si="48">IF(R322=1,$G322,0)</f>
        <v>0</v>
      </c>
      <c r="AE322" s="527">
        <f t="shared" ref="AE322:AE385" si="49">IF(S322=1,$G322,0)</f>
        <v>0</v>
      </c>
      <c r="AF322" s="527">
        <f t="shared" ref="AF322:AF385" si="50">IF(T322=1,$G322,0)</f>
        <v>0</v>
      </c>
      <c r="AG322" s="527">
        <f t="shared" ref="AG322:AG385" si="51">IF(U322=1,$G322,0)</f>
        <v>2808</v>
      </c>
      <c r="AH322" s="527"/>
      <c r="AI322" s="639">
        <f t="shared" si="45"/>
        <v>2808</v>
      </c>
    </row>
    <row r="323" spans="1:35" ht="12.75" customHeight="1" x14ac:dyDescent="0.2">
      <c r="A323" s="527">
        <v>313</v>
      </c>
      <c r="C323" s="533" t="s">
        <v>2507</v>
      </c>
      <c r="G323" s="632">
        <v>305</v>
      </c>
      <c r="K323" s="533" t="s">
        <v>2290</v>
      </c>
      <c r="N323" s="624">
        <v>43021</v>
      </c>
      <c r="U323" s="613">
        <v>1</v>
      </c>
      <c r="W323" s="613">
        <f t="shared" si="46"/>
        <v>1</v>
      </c>
      <c r="AB323" s="527">
        <f t="shared" ref="AB323:AB386" si="52">IF(P323=1,$G323,0)</f>
        <v>0</v>
      </c>
      <c r="AC323" s="527">
        <f t="shared" si="47"/>
        <v>0</v>
      </c>
      <c r="AD323" s="527">
        <f t="shared" si="48"/>
        <v>0</v>
      </c>
      <c r="AE323" s="527">
        <f t="shared" si="49"/>
        <v>0</v>
      </c>
      <c r="AF323" s="527">
        <f t="shared" si="50"/>
        <v>0</v>
      </c>
      <c r="AG323" s="527">
        <f t="shared" si="51"/>
        <v>305</v>
      </c>
      <c r="AH323" s="527"/>
      <c r="AI323" s="639">
        <f t="shared" si="45"/>
        <v>305</v>
      </c>
    </row>
    <row r="324" spans="1:35" ht="12.75" customHeight="1" x14ac:dyDescent="0.2">
      <c r="A324" s="527">
        <v>314</v>
      </c>
      <c r="C324" s="533" t="s">
        <v>2491</v>
      </c>
      <c r="E324" s="527" t="s">
        <v>2502</v>
      </c>
      <c r="F324" s="533" t="s">
        <v>2459</v>
      </c>
      <c r="G324" s="632">
        <v>783.39</v>
      </c>
      <c r="I324" s="808" t="s">
        <v>2501</v>
      </c>
      <c r="J324" s="617">
        <v>43041</v>
      </c>
      <c r="K324" s="533" t="s">
        <v>2290</v>
      </c>
      <c r="N324" s="624">
        <v>43021</v>
      </c>
      <c r="U324" s="613">
        <v>1</v>
      </c>
      <c r="W324" s="613">
        <f t="shared" si="46"/>
        <v>1</v>
      </c>
      <c r="X324" s="613">
        <v>1</v>
      </c>
      <c r="AB324" s="527">
        <f t="shared" si="52"/>
        <v>0</v>
      </c>
      <c r="AC324" s="527">
        <f t="shared" si="47"/>
        <v>0</v>
      </c>
      <c r="AD324" s="527">
        <f t="shared" si="48"/>
        <v>0</v>
      </c>
      <c r="AE324" s="527">
        <f t="shared" si="49"/>
        <v>0</v>
      </c>
      <c r="AF324" s="527">
        <f t="shared" si="50"/>
        <v>0</v>
      </c>
      <c r="AG324" s="527">
        <f t="shared" si="51"/>
        <v>783.39</v>
      </c>
      <c r="AH324" s="527"/>
      <c r="AI324" s="639">
        <f t="shared" si="45"/>
        <v>783.39</v>
      </c>
    </row>
    <row r="325" spans="1:35" ht="12.75" customHeight="1" x14ac:dyDescent="0.2">
      <c r="A325" s="527">
        <v>315</v>
      </c>
      <c r="C325" s="533" t="s">
        <v>2508</v>
      </c>
      <c r="G325" s="632">
        <v>1323</v>
      </c>
      <c r="K325" s="533" t="s">
        <v>2290</v>
      </c>
      <c r="N325" s="624">
        <v>43021</v>
      </c>
      <c r="U325" s="613">
        <v>1</v>
      </c>
      <c r="W325" s="613">
        <f t="shared" si="46"/>
        <v>1</v>
      </c>
      <c r="AB325" s="527">
        <f t="shared" si="52"/>
        <v>0</v>
      </c>
      <c r="AC325" s="527">
        <f t="shared" si="47"/>
        <v>0</v>
      </c>
      <c r="AD325" s="527">
        <f t="shared" si="48"/>
        <v>0</v>
      </c>
      <c r="AE325" s="527">
        <f t="shared" si="49"/>
        <v>0</v>
      </c>
      <c r="AF325" s="527">
        <f t="shared" si="50"/>
        <v>0</v>
      </c>
      <c r="AG325" s="527">
        <f t="shared" si="51"/>
        <v>1323</v>
      </c>
      <c r="AH325" s="527"/>
      <c r="AI325" s="639">
        <f t="shared" si="45"/>
        <v>1323</v>
      </c>
    </row>
    <row r="326" spans="1:35" ht="12.75" customHeight="1" x14ac:dyDescent="0.2">
      <c r="A326" s="527">
        <v>316</v>
      </c>
      <c r="C326" s="533" t="s">
        <v>2509</v>
      </c>
      <c r="G326" s="813">
        <v>273</v>
      </c>
      <c r="I326"/>
      <c r="J326" s="617"/>
      <c r="K326" s="533" t="s">
        <v>2290</v>
      </c>
      <c r="N326" s="624">
        <v>43021</v>
      </c>
      <c r="U326" s="613">
        <v>1</v>
      </c>
      <c r="W326" s="613">
        <f t="shared" si="46"/>
        <v>1</v>
      </c>
      <c r="AB326" s="527">
        <f t="shared" si="52"/>
        <v>0</v>
      </c>
      <c r="AC326" s="527">
        <f t="shared" si="47"/>
        <v>0</v>
      </c>
      <c r="AD326" s="527">
        <f t="shared" si="48"/>
        <v>0</v>
      </c>
      <c r="AE326" s="527">
        <f t="shared" si="49"/>
        <v>0</v>
      </c>
      <c r="AF326" s="527">
        <f t="shared" si="50"/>
        <v>0</v>
      </c>
      <c r="AG326" s="527">
        <f t="shared" si="51"/>
        <v>273</v>
      </c>
      <c r="AH326" s="527"/>
      <c r="AI326" s="639">
        <f t="shared" si="45"/>
        <v>273</v>
      </c>
    </row>
    <row r="327" spans="1:35" ht="12.75" customHeight="1" x14ac:dyDescent="0.2">
      <c r="A327" s="527">
        <v>317</v>
      </c>
      <c r="C327" s="533" t="s">
        <v>2513</v>
      </c>
      <c r="E327" s="527" t="s">
        <v>2514</v>
      </c>
      <c r="G327" s="813">
        <v>286</v>
      </c>
      <c r="H327" s="632">
        <v>126.2</v>
      </c>
      <c r="I327" s="815" t="s">
        <v>2575</v>
      </c>
      <c r="J327" s="617">
        <v>43271</v>
      </c>
      <c r="K327" s="533" t="s">
        <v>2290</v>
      </c>
      <c r="N327" s="624">
        <v>43038</v>
      </c>
      <c r="U327" s="613">
        <v>1</v>
      </c>
      <c r="W327" s="613">
        <f t="shared" si="46"/>
        <v>1</v>
      </c>
      <c r="X327" s="613">
        <v>1</v>
      </c>
      <c r="AB327" s="527">
        <f t="shared" si="52"/>
        <v>0</v>
      </c>
      <c r="AC327" s="527">
        <f t="shared" si="47"/>
        <v>0</v>
      </c>
      <c r="AD327" s="527">
        <f t="shared" si="48"/>
        <v>0</v>
      </c>
      <c r="AE327" s="527">
        <f t="shared" si="49"/>
        <v>0</v>
      </c>
      <c r="AF327" s="527">
        <f t="shared" si="50"/>
        <v>0</v>
      </c>
      <c r="AG327" s="527">
        <f t="shared" si="51"/>
        <v>286</v>
      </c>
      <c r="AH327" s="527"/>
      <c r="AI327" s="639">
        <f t="shared" si="45"/>
        <v>286</v>
      </c>
    </row>
    <row r="328" spans="1:35" ht="12.75" customHeight="1" x14ac:dyDescent="0.2">
      <c r="A328" s="527">
        <v>318</v>
      </c>
      <c r="C328" s="533" t="s">
        <v>2521</v>
      </c>
      <c r="E328" s="527" t="s">
        <v>2524</v>
      </c>
      <c r="G328" s="813">
        <v>840</v>
      </c>
      <c r="I328"/>
      <c r="J328" s="617"/>
      <c r="K328" s="533" t="s">
        <v>2290</v>
      </c>
      <c r="N328" s="624">
        <v>43054</v>
      </c>
      <c r="U328" s="613">
        <v>1</v>
      </c>
      <c r="W328" s="613">
        <f t="shared" si="46"/>
        <v>1</v>
      </c>
      <c r="AB328" s="527">
        <f t="shared" si="52"/>
        <v>0</v>
      </c>
      <c r="AC328" s="527">
        <f t="shared" si="47"/>
        <v>0</v>
      </c>
      <c r="AD328" s="527">
        <f t="shared" si="48"/>
        <v>0</v>
      </c>
      <c r="AE328" s="527">
        <f t="shared" si="49"/>
        <v>0</v>
      </c>
      <c r="AF328" s="527">
        <f t="shared" si="50"/>
        <v>0</v>
      </c>
      <c r="AG328" s="527">
        <f t="shared" si="51"/>
        <v>840</v>
      </c>
      <c r="AH328" s="527"/>
      <c r="AI328" s="639">
        <f t="shared" si="45"/>
        <v>840</v>
      </c>
    </row>
    <row r="329" spans="1:35" ht="12.75" customHeight="1" x14ac:dyDescent="0.2">
      <c r="A329" s="527">
        <v>319</v>
      </c>
      <c r="C329" s="533" t="s">
        <v>2522</v>
      </c>
      <c r="E329" s="527" t="s">
        <v>2525</v>
      </c>
      <c r="G329" s="813">
        <v>586</v>
      </c>
      <c r="I329"/>
      <c r="J329" s="617"/>
      <c r="K329" s="533" t="s">
        <v>2290</v>
      </c>
      <c r="N329" s="624">
        <v>43054</v>
      </c>
      <c r="U329" s="613">
        <v>1</v>
      </c>
      <c r="W329" s="613">
        <f t="shared" si="46"/>
        <v>1</v>
      </c>
      <c r="AB329" s="527">
        <f t="shared" si="52"/>
        <v>0</v>
      </c>
      <c r="AC329" s="527">
        <f t="shared" si="47"/>
        <v>0</v>
      </c>
      <c r="AD329" s="527">
        <f t="shared" si="48"/>
        <v>0</v>
      </c>
      <c r="AE329" s="527">
        <f t="shared" si="49"/>
        <v>0</v>
      </c>
      <c r="AF329" s="527">
        <f t="shared" si="50"/>
        <v>0</v>
      </c>
      <c r="AG329" s="527">
        <f t="shared" si="51"/>
        <v>586</v>
      </c>
      <c r="AH329" s="527"/>
      <c r="AI329" s="639">
        <f t="shared" si="45"/>
        <v>586</v>
      </c>
    </row>
    <row r="330" spans="1:35" ht="12.75" customHeight="1" x14ac:dyDescent="0.2">
      <c r="A330" s="527">
        <v>320</v>
      </c>
      <c r="C330" s="533" t="s">
        <v>2523</v>
      </c>
      <c r="E330" s="527" t="s">
        <v>2526</v>
      </c>
      <c r="F330" s="728"/>
      <c r="G330" s="639">
        <v>504</v>
      </c>
      <c r="H330" s="527">
        <v>295.3</v>
      </c>
      <c r="I330" s="815" t="s">
        <v>2575</v>
      </c>
      <c r="J330" s="617">
        <v>43271</v>
      </c>
      <c r="K330" s="533" t="s">
        <v>2290</v>
      </c>
      <c r="N330" s="624">
        <v>43060</v>
      </c>
      <c r="U330" s="613">
        <v>1</v>
      </c>
      <c r="W330" s="613">
        <f t="shared" si="46"/>
        <v>1</v>
      </c>
      <c r="X330" s="613">
        <v>1</v>
      </c>
      <c r="AB330" s="527">
        <f t="shared" si="52"/>
        <v>0</v>
      </c>
      <c r="AC330" s="527">
        <f t="shared" si="47"/>
        <v>0</v>
      </c>
      <c r="AD330" s="527">
        <f t="shared" si="48"/>
        <v>0</v>
      </c>
      <c r="AE330" s="527">
        <f t="shared" si="49"/>
        <v>0</v>
      </c>
      <c r="AF330" s="527">
        <f t="shared" si="50"/>
        <v>0</v>
      </c>
      <c r="AG330" s="527">
        <f t="shared" si="51"/>
        <v>504</v>
      </c>
      <c r="AH330" s="527"/>
      <c r="AI330" s="639">
        <f t="shared" si="45"/>
        <v>504</v>
      </c>
    </row>
    <row r="331" spans="1:35" ht="12.75" customHeight="1" x14ac:dyDescent="0.2">
      <c r="A331" s="527">
        <v>321</v>
      </c>
      <c r="C331" s="533" t="s">
        <v>2528</v>
      </c>
      <c r="E331" s="527" t="s">
        <v>2534</v>
      </c>
      <c r="G331" s="639">
        <v>330</v>
      </c>
      <c r="H331" s="527">
        <v>251.5</v>
      </c>
      <c r="I331" s="815" t="s">
        <v>2575</v>
      </c>
      <c r="J331" s="617">
        <v>43271</v>
      </c>
      <c r="K331" s="533" t="s">
        <v>2290</v>
      </c>
      <c r="N331" s="624">
        <v>43075</v>
      </c>
      <c r="U331" s="613">
        <v>1</v>
      </c>
      <c r="W331" s="613">
        <f t="shared" si="46"/>
        <v>1</v>
      </c>
      <c r="X331" s="613">
        <v>1</v>
      </c>
      <c r="AB331" s="527">
        <f t="shared" si="52"/>
        <v>0</v>
      </c>
      <c r="AC331" s="527">
        <f t="shared" si="47"/>
        <v>0</v>
      </c>
      <c r="AD331" s="527">
        <f t="shared" si="48"/>
        <v>0</v>
      </c>
      <c r="AE331" s="527">
        <f t="shared" si="49"/>
        <v>0</v>
      </c>
      <c r="AF331" s="527">
        <f t="shared" si="50"/>
        <v>0</v>
      </c>
      <c r="AG331" s="527">
        <f t="shared" si="51"/>
        <v>330</v>
      </c>
      <c r="AH331" s="527"/>
      <c r="AI331" s="639">
        <f t="shared" si="45"/>
        <v>330</v>
      </c>
    </row>
    <row r="332" spans="1:35" ht="12.75" customHeight="1" x14ac:dyDescent="0.2">
      <c r="A332" s="527">
        <v>322</v>
      </c>
      <c r="C332" s="533" t="s">
        <v>2529</v>
      </c>
      <c r="D332" s="613" t="s">
        <v>2535</v>
      </c>
      <c r="E332" s="527" t="s">
        <v>2532</v>
      </c>
      <c r="F332" s="728"/>
      <c r="G332" s="639">
        <v>3362</v>
      </c>
      <c r="H332" s="527"/>
      <c r="I332"/>
      <c r="J332" s="617"/>
      <c r="K332" s="533" t="s">
        <v>2290</v>
      </c>
      <c r="N332" s="624">
        <v>43075</v>
      </c>
      <c r="U332" s="613">
        <v>1</v>
      </c>
      <c r="W332" s="613">
        <f t="shared" si="46"/>
        <v>1</v>
      </c>
      <c r="AB332" s="527">
        <f t="shared" si="52"/>
        <v>0</v>
      </c>
      <c r="AC332" s="527">
        <f t="shared" si="47"/>
        <v>0</v>
      </c>
      <c r="AD332" s="527">
        <f t="shared" si="48"/>
        <v>0</v>
      </c>
      <c r="AE332" s="527">
        <f t="shared" si="49"/>
        <v>0</v>
      </c>
      <c r="AF332" s="527">
        <f t="shared" si="50"/>
        <v>0</v>
      </c>
      <c r="AG332" s="527">
        <f t="shared" si="51"/>
        <v>3362</v>
      </c>
      <c r="AH332" s="527"/>
      <c r="AI332" s="639">
        <f t="shared" si="45"/>
        <v>3362</v>
      </c>
    </row>
    <row r="333" spans="1:35" ht="12.75" customHeight="1" x14ac:dyDescent="0.2">
      <c r="A333" s="527">
        <v>323</v>
      </c>
      <c r="C333" s="533" t="s">
        <v>2530</v>
      </c>
      <c r="D333" s="613" t="s">
        <v>2533</v>
      </c>
      <c r="E333" s="527" t="s">
        <v>2532</v>
      </c>
      <c r="F333" s="728" t="s">
        <v>2531</v>
      </c>
      <c r="G333" s="639">
        <v>820</v>
      </c>
      <c r="H333" s="527"/>
      <c r="I333"/>
      <c r="J333" s="617"/>
      <c r="K333" s="533" t="s">
        <v>2290</v>
      </c>
      <c r="N333" s="624">
        <v>43075</v>
      </c>
      <c r="U333" s="613">
        <v>1</v>
      </c>
      <c r="W333" s="613">
        <f t="shared" si="46"/>
        <v>1</v>
      </c>
      <c r="Z333" s="613">
        <v>1</v>
      </c>
      <c r="AB333" s="527">
        <f t="shared" si="52"/>
        <v>0</v>
      </c>
      <c r="AC333" s="527">
        <f t="shared" si="47"/>
        <v>0</v>
      </c>
      <c r="AD333" s="527">
        <f t="shared" si="48"/>
        <v>0</v>
      </c>
      <c r="AE333" s="527">
        <f t="shared" si="49"/>
        <v>0</v>
      </c>
      <c r="AF333" s="527">
        <f t="shared" si="50"/>
        <v>0</v>
      </c>
      <c r="AG333" s="527">
        <f t="shared" si="51"/>
        <v>820</v>
      </c>
      <c r="AH333" s="527"/>
      <c r="AI333" s="639">
        <f t="shared" si="45"/>
        <v>820</v>
      </c>
    </row>
    <row r="334" spans="1:35" ht="12.75" customHeight="1" x14ac:dyDescent="0.2">
      <c r="A334" s="527">
        <v>324</v>
      </c>
      <c r="C334" s="533" t="s">
        <v>2538</v>
      </c>
      <c r="E334" s="527" t="s">
        <v>2539</v>
      </c>
      <c r="F334" s="728"/>
      <c r="G334" s="639">
        <v>70</v>
      </c>
      <c r="H334" s="527"/>
      <c r="I334"/>
      <c r="J334" s="617"/>
      <c r="K334" s="533" t="s">
        <v>2290</v>
      </c>
      <c r="N334" s="624">
        <v>43087</v>
      </c>
      <c r="U334" s="613">
        <v>1</v>
      </c>
      <c r="W334" s="613">
        <f t="shared" si="46"/>
        <v>1</v>
      </c>
      <c r="AB334" s="527">
        <f t="shared" si="52"/>
        <v>0</v>
      </c>
      <c r="AC334" s="527">
        <f t="shared" si="47"/>
        <v>0</v>
      </c>
      <c r="AD334" s="527">
        <f t="shared" si="48"/>
        <v>0</v>
      </c>
      <c r="AE334" s="527">
        <f t="shared" si="49"/>
        <v>0</v>
      </c>
      <c r="AF334" s="527">
        <f t="shared" si="50"/>
        <v>0</v>
      </c>
      <c r="AG334" s="527">
        <f t="shared" si="51"/>
        <v>70</v>
      </c>
      <c r="AH334" s="527"/>
      <c r="AI334" s="639">
        <f t="shared" si="45"/>
        <v>70</v>
      </c>
    </row>
    <row r="335" spans="1:35" ht="12.75" customHeight="1" x14ac:dyDescent="0.2">
      <c r="A335" s="527">
        <v>325</v>
      </c>
      <c r="C335" s="533" t="s">
        <v>2561</v>
      </c>
      <c r="D335" s="613">
        <v>135</v>
      </c>
      <c r="E335" s="527" t="s">
        <v>2754</v>
      </c>
      <c r="F335" s="533" t="s">
        <v>2515</v>
      </c>
      <c r="G335" s="639">
        <v>54.5</v>
      </c>
      <c r="H335" s="639"/>
      <c r="I335" s="808" t="s">
        <v>2501</v>
      </c>
      <c r="J335" s="617">
        <v>43041</v>
      </c>
      <c r="K335" s="533" t="s">
        <v>2563</v>
      </c>
      <c r="N335" s="624">
        <v>43112</v>
      </c>
      <c r="U335" s="613">
        <v>1</v>
      </c>
      <c r="W335" s="613">
        <f t="shared" si="46"/>
        <v>1</v>
      </c>
      <c r="X335" s="613">
        <v>1</v>
      </c>
      <c r="AB335" s="527">
        <f t="shared" si="52"/>
        <v>0</v>
      </c>
      <c r="AC335" s="527">
        <f t="shared" si="47"/>
        <v>0</v>
      </c>
      <c r="AD335" s="527">
        <f t="shared" si="48"/>
        <v>0</v>
      </c>
      <c r="AE335" s="527">
        <f t="shared" si="49"/>
        <v>0</v>
      </c>
      <c r="AF335" s="527">
        <f t="shared" si="50"/>
        <v>0</v>
      </c>
      <c r="AG335" s="527">
        <f t="shared" si="51"/>
        <v>54.5</v>
      </c>
      <c r="AH335" s="527"/>
      <c r="AI335" s="639">
        <f t="shared" si="45"/>
        <v>54.5</v>
      </c>
    </row>
    <row r="336" spans="1:35" ht="12.75" customHeight="1" x14ac:dyDescent="0.2">
      <c r="A336" s="527">
        <v>326</v>
      </c>
      <c r="C336" s="533" t="s">
        <v>2562</v>
      </c>
      <c r="E336" s="527" t="s">
        <v>2539</v>
      </c>
      <c r="F336" s="728"/>
      <c r="G336" s="639">
        <v>156</v>
      </c>
      <c r="H336" s="527"/>
      <c r="I336"/>
      <c r="J336" s="617"/>
      <c r="K336" s="533" t="s">
        <v>2563</v>
      </c>
      <c r="N336" s="624">
        <v>43122</v>
      </c>
      <c r="U336" s="613">
        <v>1</v>
      </c>
      <c r="W336" s="613">
        <f t="shared" si="46"/>
        <v>1</v>
      </c>
      <c r="AB336" s="527">
        <f t="shared" si="52"/>
        <v>0</v>
      </c>
      <c r="AC336" s="527">
        <f t="shared" si="47"/>
        <v>0</v>
      </c>
      <c r="AD336" s="527">
        <f t="shared" si="48"/>
        <v>0</v>
      </c>
      <c r="AE336" s="527">
        <f t="shared" si="49"/>
        <v>0</v>
      </c>
      <c r="AF336" s="527">
        <f t="shared" si="50"/>
        <v>0</v>
      </c>
      <c r="AG336" s="527">
        <f t="shared" si="51"/>
        <v>156</v>
      </c>
      <c r="AH336" s="527"/>
      <c r="AI336" s="639">
        <f t="shared" si="45"/>
        <v>156</v>
      </c>
    </row>
    <row r="337" spans="1:47" ht="12.75" customHeight="1" x14ac:dyDescent="0.25">
      <c r="A337" s="527">
        <v>327</v>
      </c>
      <c r="C337" s="533" t="s">
        <v>2566</v>
      </c>
      <c r="E337" s="533" t="s">
        <v>2567</v>
      </c>
      <c r="G337" s="632">
        <v>590</v>
      </c>
      <c r="H337" s="527">
        <v>182.2</v>
      </c>
      <c r="I337" s="815" t="s">
        <v>2575</v>
      </c>
      <c r="J337" s="617">
        <v>43271</v>
      </c>
      <c r="K337" s="533" t="s">
        <v>2563</v>
      </c>
      <c r="N337" s="624">
        <v>43151</v>
      </c>
      <c r="U337" s="613">
        <v>1</v>
      </c>
      <c r="W337" s="613">
        <f t="shared" si="46"/>
        <v>1</v>
      </c>
      <c r="X337" s="613">
        <v>1</v>
      </c>
      <c r="AB337" s="527">
        <f t="shared" si="52"/>
        <v>0</v>
      </c>
      <c r="AC337" s="527">
        <f t="shared" si="47"/>
        <v>0</v>
      </c>
      <c r="AD337" s="527">
        <f t="shared" si="48"/>
        <v>0</v>
      </c>
      <c r="AE337" s="527">
        <f t="shared" si="49"/>
        <v>0</v>
      </c>
      <c r="AF337" s="527">
        <f t="shared" si="50"/>
        <v>0</v>
      </c>
      <c r="AG337" s="527">
        <f t="shared" si="51"/>
        <v>590</v>
      </c>
      <c r="AH337" s="527"/>
      <c r="AI337" s="639">
        <f t="shared" si="45"/>
        <v>590</v>
      </c>
      <c r="AM337" s="894"/>
      <c r="AN337" s="895"/>
      <c r="AO337" s="895"/>
      <c r="AP337" s="897"/>
      <c r="AR337" s="903"/>
      <c r="AS337" s="904"/>
      <c r="AT337" s="904"/>
      <c r="AU337" s="904"/>
    </row>
    <row r="338" spans="1:47" ht="12.75" customHeight="1" x14ac:dyDescent="0.2">
      <c r="A338" s="527">
        <v>328</v>
      </c>
      <c r="C338" s="820" t="s">
        <v>2564</v>
      </c>
      <c r="D338" s="613">
        <v>132</v>
      </c>
      <c r="E338" s="533" t="s">
        <v>3683</v>
      </c>
      <c r="F338" s="533" t="s">
        <v>2431</v>
      </c>
      <c r="G338" s="639">
        <v>2550.8000000000002</v>
      </c>
      <c r="H338" s="639">
        <f>194.2+139.8</f>
        <v>334</v>
      </c>
      <c r="I338" s="795" t="s">
        <v>2384</v>
      </c>
      <c r="J338" s="617">
        <v>42872</v>
      </c>
      <c r="K338" s="533" t="s">
        <v>2563</v>
      </c>
      <c r="N338" s="624">
        <v>43151</v>
      </c>
      <c r="U338" s="613">
        <v>1</v>
      </c>
      <c r="W338" s="613">
        <f t="shared" si="46"/>
        <v>1</v>
      </c>
      <c r="X338" s="613">
        <v>1</v>
      </c>
      <c r="Z338" s="613">
        <v>1</v>
      </c>
      <c r="AB338" s="527">
        <f t="shared" si="52"/>
        <v>0</v>
      </c>
      <c r="AC338" s="527">
        <f t="shared" si="47"/>
        <v>0</v>
      </c>
      <c r="AD338" s="527">
        <f t="shared" si="48"/>
        <v>0</v>
      </c>
      <c r="AE338" s="527">
        <f t="shared" si="49"/>
        <v>0</v>
      </c>
      <c r="AF338" s="527">
        <f t="shared" si="50"/>
        <v>0</v>
      </c>
      <c r="AG338" s="527">
        <f t="shared" si="51"/>
        <v>2550.8000000000002</v>
      </c>
      <c r="AH338" s="527"/>
      <c r="AI338" s="639">
        <f t="shared" si="45"/>
        <v>2550.8000000000002</v>
      </c>
    </row>
    <row r="339" spans="1:47" ht="12.75" customHeight="1" x14ac:dyDescent="0.2">
      <c r="A339" s="527">
        <v>329</v>
      </c>
      <c r="C339" s="533" t="s">
        <v>2453</v>
      </c>
      <c r="D339" s="527"/>
      <c r="E339" s="527" t="s">
        <v>2454</v>
      </c>
      <c r="F339" s="533" t="s">
        <v>2459</v>
      </c>
      <c r="G339" s="639">
        <v>6000</v>
      </c>
      <c r="H339" s="639"/>
      <c r="I339" s="808" t="s">
        <v>2501</v>
      </c>
      <c r="J339" s="617">
        <v>43041</v>
      </c>
      <c r="K339" s="533" t="s">
        <v>2563</v>
      </c>
      <c r="N339" s="624">
        <v>43155</v>
      </c>
      <c r="U339" s="613">
        <v>1</v>
      </c>
      <c r="W339" s="613">
        <f t="shared" si="46"/>
        <v>1</v>
      </c>
      <c r="X339" s="613">
        <v>1</v>
      </c>
      <c r="AB339" s="527">
        <f t="shared" si="52"/>
        <v>0</v>
      </c>
      <c r="AC339" s="527">
        <f t="shared" si="47"/>
        <v>0</v>
      </c>
      <c r="AD339" s="527">
        <f t="shared" si="48"/>
        <v>0</v>
      </c>
      <c r="AE339" s="527">
        <f t="shared" si="49"/>
        <v>0</v>
      </c>
      <c r="AF339" s="527">
        <f t="shared" si="50"/>
        <v>0</v>
      </c>
      <c r="AG339" s="527">
        <f t="shared" si="51"/>
        <v>6000</v>
      </c>
      <c r="AH339" s="527"/>
      <c r="AI339" s="639">
        <f t="shared" si="45"/>
        <v>6000</v>
      </c>
    </row>
    <row r="340" spans="1:47" ht="12.75" customHeight="1" x14ac:dyDescent="0.2">
      <c r="A340" s="527">
        <v>330</v>
      </c>
      <c r="C340" s="533" t="s">
        <v>2568</v>
      </c>
      <c r="E340" s="527" t="s">
        <v>2569</v>
      </c>
      <c r="F340" s="728" t="s">
        <v>2459</v>
      </c>
      <c r="G340" s="639">
        <v>88</v>
      </c>
      <c r="H340" s="527"/>
      <c r="I340"/>
      <c r="J340" s="617"/>
      <c r="K340" s="533" t="s">
        <v>2563</v>
      </c>
      <c r="N340" s="624">
        <v>43155</v>
      </c>
      <c r="U340" s="613">
        <v>1</v>
      </c>
      <c r="W340" s="613">
        <f t="shared" si="46"/>
        <v>1</v>
      </c>
      <c r="AB340" s="527">
        <f t="shared" si="52"/>
        <v>0</v>
      </c>
      <c r="AC340" s="527">
        <f t="shared" si="47"/>
        <v>0</v>
      </c>
      <c r="AD340" s="527">
        <f t="shared" si="48"/>
        <v>0</v>
      </c>
      <c r="AE340" s="527">
        <f t="shared" si="49"/>
        <v>0</v>
      </c>
      <c r="AF340" s="527">
        <f t="shared" si="50"/>
        <v>0</v>
      </c>
      <c r="AG340" s="527">
        <f t="shared" si="51"/>
        <v>88</v>
      </c>
      <c r="AH340" s="527"/>
      <c r="AI340" s="639">
        <f t="shared" si="45"/>
        <v>88</v>
      </c>
    </row>
    <row r="341" spans="1:47" ht="12.75" customHeight="1" x14ac:dyDescent="0.2">
      <c r="A341" s="527">
        <v>331</v>
      </c>
      <c r="C341" s="533" t="s">
        <v>2570</v>
      </c>
      <c r="E341" s="527" t="s">
        <v>2573</v>
      </c>
      <c r="F341" s="728" t="s">
        <v>2503</v>
      </c>
      <c r="G341" s="639">
        <v>350</v>
      </c>
      <c r="H341" s="527"/>
      <c r="I341"/>
      <c r="J341" s="617"/>
      <c r="K341" s="533" t="s">
        <v>2563</v>
      </c>
      <c r="N341" s="624">
        <v>43186</v>
      </c>
      <c r="U341" s="613">
        <v>1</v>
      </c>
      <c r="W341" s="613">
        <f t="shared" si="46"/>
        <v>1</v>
      </c>
      <c r="AB341" s="527">
        <f t="shared" si="52"/>
        <v>0</v>
      </c>
      <c r="AC341" s="527">
        <f t="shared" si="47"/>
        <v>0</v>
      </c>
      <c r="AD341" s="527">
        <f t="shared" si="48"/>
        <v>0</v>
      </c>
      <c r="AE341" s="527">
        <f t="shared" si="49"/>
        <v>0</v>
      </c>
      <c r="AF341" s="527">
        <f t="shared" si="50"/>
        <v>0</v>
      </c>
      <c r="AG341" s="527">
        <f t="shared" si="51"/>
        <v>350</v>
      </c>
      <c r="AH341" s="527"/>
      <c r="AI341" s="639">
        <f t="shared" si="45"/>
        <v>350</v>
      </c>
    </row>
    <row r="342" spans="1:47" ht="12.75" customHeight="1" x14ac:dyDescent="0.2">
      <c r="A342" s="527">
        <v>332</v>
      </c>
      <c r="C342" s="820" t="s">
        <v>2571</v>
      </c>
      <c r="E342" s="527" t="s">
        <v>3684</v>
      </c>
      <c r="F342" s="728" t="s">
        <v>2572</v>
      </c>
      <c r="G342" s="639">
        <v>5309.1</v>
      </c>
      <c r="H342" s="527">
        <v>81.099999999999994</v>
      </c>
      <c r="I342" s="815" t="s">
        <v>2575</v>
      </c>
      <c r="J342" s="617">
        <v>43271</v>
      </c>
      <c r="K342" s="533" t="s">
        <v>2563</v>
      </c>
      <c r="N342" s="624">
        <v>43186</v>
      </c>
      <c r="U342" s="613">
        <v>1</v>
      </c>
      <c r="W342" s="613">
        <f t="shared" si="46"/>
        <v>1</v>
      </c>
      <c r="X342" s="613">
        <v>1</v>
      </c>
      <c r="Y342" s="613">
        <v>1</v>
      </c>
      <c r="AB342" s="527">
        <f t="shared" si="52"/>
        <v>0</v>
      </c>
      <c r="AC342" s="527">
        <f t="shared" si="47"/>
        <v>0</v>
      </c>
      <c r="AD342" s="527">
        <f t="shared" si="48"/>
        <v>0</v>
      </c>
      <c r="AE342" s="527">
        <f t="shared" si="49"/>
        <v>0</v>
      </c>
      <c r="AF342" s="527">
        <f t="shared" si="50"/>
        <v>0</v>
      </c>
      <c r="AG342" s="527">
        <f t="shared" si="51"/>
        <v>5309.1</v>
      </c>
      <c r="AH342" s="527"/>
      <c r="AI342" s="639">
        <f t="shared" si="45"/>
        <v>5309.1</v>
      </c>
    </row>
    <row r="343" spans="1:47" ht="12.75" customHeight="1" x14ac:dyDescent="0.2">
      <c r="A343" s="527">
        <v>333</v>
      </c>
      <c r="C343" s="533" t="s">
        <v>2580</v>
      </c>
      <c r="E343" s="527" t="s">
        <v>3291</v>
      </c>
      <c r="F343" s="728" t="s">
        <v>2503</v>
      </c>
      <c r="G343" s="619">
        <v>810</v>
      </c>
      <c r="H343" s="527"/>
      <c r="I343"/>
      <c r="J343" s="617"/>
      <c r="K343" s="533" t="s">
        <v>2563</v>
      </c>
      <c r="N343" s="624">
        <v>43231</v>
      </c>
      <c r="U343" s="613">
        <v>1</v>
      </c>
      <c r="W343" s="613">
        <f t="shared" si="46"/>
        <v>1</v>
      </c>
      <c r="AB343" s="527">
        <f t="shared" si="52"/>
        <v>0</v>
      </c>
      <c r="AC343" s="527">
        <f t="shared" si="47"/>
        <v>0</v>
      </c>
      <c r="AD343" s="527">
        <f t="shared" si="48"/>
        <v>0</v>
      </c>
      <c r="AE343" s="527">
        <f t="shared" si="49"/>
        <v>0</v>
      </c>
      <c r="AF343" s="527">
        <f t="shared" si="50"/>
        <v>0</v>
      </c>
      <c r="AG343" s="527">
        <f t="shared" si="51"/>
        <v>810</v>
      </c>
      <c r="AH343" s="527"/>
      <c r="AI343" s="639">
        <f t="shared" si="45"/>
        <v>810</v>
      </c>
    </row>
    <row r="344" spans="1:47" ht="12.75" customHeight="1" x14ac:dyDescent="0.2">
      <c r="A344" s="527">
        <v>334</v>
      </c>
      <c r="C344" s="820" t="s">
        <v>2581</v>
      </c>
      <c r="E344" s="527" t="s">
        <v>2582</v>
      </c>
      <c r="F344" s="533" t="s">
        <v>2431</v>
      </c>
      <c r="G344" s="639">
        <v>15</v>
      </c>
      <c r="H344" s="527"/>
      <c r="I344"/>
      <c r="J344" s="617"/>
      <c r="K344" s="533" t="s">
        <v>2563</v>
      </c>
      <c r="N344" s="624">
        <v>43231</v>
      </c>
      <c r="U344" s="613">
        <v>1</v>
      </c>
      <c r="W344" s="613">
        <f t="shared" si="46"/>
        <v>1</v>
      </c>
      <c r="Z344" s="613">
        <v>1</v>
      </c>
      <c r="AB344" s="527">
        <f t="shared" si="52"/>
        <v>0</v>
      </c>
      <c r="AC344" s="527">
        <f t="shared" si="47"/>
        <v>0</v>
      </c>
      <c r="AD344" s="527">
        <f t="shared" si="48"/>
        <v>0</v>
      </c>
      <c r="AE344" s="527">
        <f t="shared" si="49"/>
        <v>0</v>
      </c>
      <c r="AF344" s="527">
        <f t="shared" si="50"/>
        <v>0</v>
      </c>
      <c r="AG344" s="527">
        <f t="shared" si="51"/>
        <v>15</v>
      </c>
      <c r="AH344" s="527"/>
      <c r="AI344" s="639">
        <f t="shared" si="45"/>
        <v>15</v>
      </c>
    </row>
    <row r="345" spans="1:47" ht="12.75" customHeight="1" x14ac:dyDescent="0.2">
      <c r="A345" s="527">
        <v>335</v>
      </c>
      <c r="C345" s="533" t="s">
        <v>2592</v>
      </c>
      <c r="E345" s="527" t="s">
        <v>3292</v>
      </c>
      <c r="F345" s="533" t="s">
        <v>2597</v>
      </c>
      <c r="G345" s="619">
        <v>65</v>
      </c>
      <c r="H345" s="527"/>
      <c r="I345"/>
      <c r="J345" s="617"/>
      <c r="K345" s="533" t="s">
        <v>2563</v>
      </c>
      <c r="N345" s="624">
        <v>43236</v>
      </c>
      <c r="U345" s="613">
        <v>1</v>
      </c>
      <c r="W345" s="613">
        <f t="shared" si="46"/>
        <v>1</v>
      </c>
      <c r="AB345" s="527">
        <f t="shared" si="52"/>
        <v>0</v>
      </c>
      <c r="AC345" s="527">
        <f t="shared" si="47"/>
        <v>0</v>
      </c>
      <c r="AD345" s="527">
        <f t="shared" si="48"/>
        <v>0</v>
      </c>
      <c r="AE345" s="527">
        <f t="shared" si="49"/>
        <v>0</v>
      </c>
      <c r="AF345" s="527">
        <f t="shared" si="50"/>
        <v>0</v>
      </c>
      <c r="AG345" s="527">
        <f t="shared" si="51"/>
        <v>65</v>
      </c>
      <c r="AH345" s="527"/>
      <c r="AI345" s="639">
        <f t="shared" si="45"/>
        <v>65</v>
      </c>
    </row>
    <row r="346" spans="1:47" ht="12.75" customHeight="1" x14ac:dyDescent="0.2">
      <c r="A346" s="527">
        <v>336</v>
      </c>
      <c r="C346" s="533" t="s">
        <v>2593</v>
      </c>
      <c r="E346" s="527" t="s">
        <v>3293</v>
      </c>
      <c r="F346" s="533" t="s">
        <v>2598</v>
      </c>
      <c r="G346" s="619">
        <v>23500</v>
      </c>
      <c r="H346" s="527"/>
      <c r="I346"/>
      <c r="J346" s="617"/>
      <c r="K346" s="533" t="s">
        <v>2563</v>
      </c>
      <c r="N346" s="624">
        <v>43236</v>
      </c>
      <c r="U346" s="613">
        <v>1</v>
      </c>
      <c r="W346" s="613">
        <f t="shared" si="46"/>
        <v>1</v>
      </c>
      <c r="AB346" s="527">
        <f t="shared" si="52"/>
        <v>0</v>
      </c>
      <c r="AC346" s="527">
        <f t="shared" si="47"/>
        <v>0</v>
      </c>
      <c r="AD346" s="527">
        <f t="shared" si="48"/>
        <v>0</v>
      </c>
      <c r="AE346" s="527">
        <f t="shared" si="49"/>
        <v>0</v>
      </c>
      <c r="AF346" s="527">
        <f t="shared" si="50"/>
        <v>0</v>
      </c>
      <c r="AG346" s="527">
        <f t="shared" si="51"/>
        <v>23500</v>
      </c>
      <c r="AH346" s="527"/>
      <c r="AI346" s="639">
        <f t="shared" si="45"/>
        <v>23500</v>
      </c>
    </row>
    <row r="347" spans="1:47" ht="12.75" customHeight="1" x14ac:dyDescent="0.2">
      <c r="A347" s="527">
        <v>337</v>
      </c>
      <c r="C347" s="533" t="s">
        <v>2594</v>
      </c>
      <c r="E347" s="527" t="s">
        <v>3293</v>
      </c>
      <c r="F347" s="533" t="s">
        <v>2599</v>
      </c>
      <c r="G347" s="619">
        <v>10441</v>
      </c>
      <c r="H347" s="527"/>
      <c r="I347"/>
      <c r="J347" s="617"/>
      <c r="K347" s="533" t="s">
        <v>2563</v>
      </c>
      <c r="N347" s="624">
        <v>43236</v>
      </c>
      <c r="U347" s="613">
        <v>1</v>
      </c>
      <c r="W347" s="613">
        <f t="shared" si="46"/>
        <v>1</v>
      </c>
      <c r="AB347" s="527">
        <f t="shared" si="52"/>
        <v>0</v>
      </c>
      <c r="AC347" s="527">
        <f t="shared" si="47"/>
        <v>0</v>
      </c>
      <c r="AD347" s="527">
        <f t="shared" si="48"/>
        <v>0</v>
      </c>
      <c r="AE347" s="527">
        <f t="shared" si="49"/>
        <v>0</v>
      </c>
      <c r="AF347" s="527">
        <f t="shared" si="50"/>
        <v>0</v>
      </c>
      <c r="AG347" s="527">
        <f t="shared" si="51"/>
        <v>10441</v>
      </c>
      <c r="AH347" s="527"/>
      <c r="AI347" s="639">
        <f t="shared" si="45"/>
        <v>10441</v>
      </c>
    </row>
    <row r="348" spans="1:47" ht="12.75" customHeight="1" x14ac:dyDescent="0.2">
      <c r="A348" s="527">
        <v>338</v>
      </c>
      <c r="C348" s="533" t="s">
        <v>2595</v>
      </c>
      <c r="E348" s="527" t="s">
        <v>3293</v>
      </c>
      <c r="F348" s="533" t="s">
        <v>2600</v>
      </c>
      <c r="G348" s="619">
        <v>5492</v>
      </c>
      <c r="H348" s="527"/>
      <c r="I348" s="527"/>
      <c r="J348" s="617"/>
      <c r="K348" s="533" t="s">
        <v>2563</v>
      </c>
      <c r="N348" s="624">
        <v>43236</v>
      </c>
      <c r="U348" s="613">
        <v>1</v>
      </c>
      <c r="W348" s="613">
        <f t="shared" si="46"/>
        <v>1</v>
      </c>
      <c r="AB348" s="527">
        <f t="shared" si="52"/>
        <v>0</v>
      </c>
      <c r="AC348" s="527">
        <f t="shared" si="47"/>
        <v>0</v>
      </c>
      <c r="AD348" s="527">
        <f t="shared" si="48"/>
        <v>0</v>
      </c>
      <c r="AE348" s="527">
        <f t="shared" si="49"/>
        <v>0</v>
      </c>
      <c r="AF348" s="527">
        <f t="shared" si="50"/>
        <v>0</v>
      </c>
      <c r="AG348" s="527">
        <f t="shared" si="51"/>
        <v>5492</v>
      </c>
      <c r="AH348" s="527"/>
      <c r="AI348" s="639">
        <f t="shared" si="45"/>
        <v>5492</v>
      </c>
    </row>
    <row r="349" spans="1:47" ht="12.75" customHeight="1" x14ac:dyDescent="0.2">
      <c r="A349" s="527">
        <v>339</v>
      </c>
      <c r="C349" s="533" t="s">
        <v>2596</v>
      </c>
      <c r="D349" s="811">
        <v>140</v>
      </c>
      <c r="E349" s="527" t="s">
        <v>2574</v>
      </c>
      <c r="G349" s="619">
        <v>67</v>
      </c>
      <c r="H349" s="632">
        <v>188.6</v>
      </c>
      <c r="I349" s="815" t="s">
        <v>2575</v>
      </c>
      <c r="J349" s="617">
        <v>43271</v>
      </c>
      <c r="K349" s="533" t="s">
        <v>2563</v>
      </c>
      <c r="N349" s="624">
        <v>43328</v>
      </c>
      <c r="U349" s="613">
        <v>1</v>
      </c>
      <c r="W349" s="613">
        <f t="shared" si="46"/>
        <v>1</v>
      </c>
      <c r="X349" s="613">
        <v>1</v>
      </c>
      <c r="AB349" s="527">
        <f t="shared" si="52"/>
        <v>0</v>
      </c>
      <c r="AC349" s="527">
        <f t="shared" si="47"/>
        <v>0</v>
      </c>
      <c r="AD349" s="527">
        <f t="shared" si="48"/>
        <v>0</v>
      </c>
      <c r="AE349" s="527">
        <f t="shared" si="49"/>
        <v>0</v>
      </c>
      <c r="AF349" s="527">
        <f t="shared" si="50"/>
        <v>0</v>
      </c>
      <c r="AG349" s="527">
        <f t="shared" si="51"/>
        <v>67</v>
      </c>
      <c r="AH349" s="527"/>
      <c r="AI349" s="639">
        <f t="shared" si="45"/>
        <v>67</v>
      </c>
    </row>
    <row r="350" spans="1:47" ht="12.75" customHeight="1" x14ac:dyDescent="0.2">
      <c r="A350" s="527">
        <v>340</v>
      </c>
      <c r="C350" s="533" t="s">
        <v>2601</v>
      </c>
      <c r="E350" s="527" t="s">
        <v>3294</v>
      </c>
      <c r="G350" s="530">
        <v>67.05</v>
      </c>
      <c r="H350" s="527"/>
      <c r="I350"/>
      <c r="J350" s="617"/>
      <c r="K350" s="533" t="s">
        <v>2563</v>
      </c>
      <c r="N350" s="624">
        <v>43258</v>
      </c>
      <c r="U350" s="613">
        <v>1</v>
      </c>
      <c r="W350" s="613">
        <f t="shared" si="46"/>
        <v>1</v>
      </c>
      <c r="AB350" s="527">
        <f t="shared" si="52"/>
        <v>0</v>
      </c>
      <c r="AC350" s="527">
        <f t="shared" si="47"/>
        <v>0</v>
      </c>
      <c r="AD350" s="527">
        <f t="shared" si="48"/>
        <v>0</v>
      </c>
      <c r="AE350" s="527">
        <f t="shared" si="49"/>
        <v>0</v>
      </c>
      <c r="AF350" s="527">
        <f t="shared" si="50"/>
        <v>0</v>
      </c>
      <c r="AG350" s="527">
        <f t="shared" si="51"/>
        <v>67.05</v>
      </c>
      <c r="AH350" s="527"/>
      <c r="AI350" s="639">
        <f t="shared" si="45"/>
        <v>67.05</v>
      </c>
    </row>
    <row r="351" spans="1:47" ht="12.75" customHeight="1" x14ac:dyDescent="0.2">
      <c r="A351" s="527">
        <v>341</v>
      </c>
      <c r="C351" s="533" t="s">
        <v>2615</v>
      </c>
      <c r="E351" s="527" t="s">
        <v>2616</v>
      </c>
      <c r="G351" s="639">
        <v>5340</v>
      </c>
      <c r="H351" s="527"/>
      <c r="I351"/>
      <c r="J351" s="617"/>
      <c r="K351" s="533" t="s">
        <v>2563</v>
      </c>
      <c r="N351" s="624">
        <v>43273</v>
      </c>
      <c r="U351" s="613">
        <v>1</v>
      </c>
      <c r="W351" s="613">
        <f t="shared" si="46"/>
        <v>1</v>
      </c>
      <c r="AB351" s="527">
        <f t="shared" si="52"/>
        <v>0</v>
      </c>
      <c r="AC351" s="527">
        <f t="shared" si="47"/>
        <v>0</v>
      </c>
      <c r="AD351" s="527">
        <f t="shared" si="48"/>
        <v>0</v>
      </c>
      <c r="AE351" s="527">
        <f t="shared" si="49"/>
        <v>0</v>
      </c>
      <c r="AF351" s="527">
        <f t="shared" si="50"/>
        <v>0</v>
      </c>
      <c r="AG351" s="527">
        <f t="shared" si="51"/>
        <v>5340</v>
      </c>
      <c r="AH351" s="527"/>
      <c r="AI351" s="639">
        <f t="shared" si="45"/>
        <v>5340</v>
      </c>
    </row>
    <row r="352" spans="1:47" ht="12.75" customHeight="1" x14ac:dyDescent="0.2">
      <c r="A352" s="527">
        <v>342</v>
      </c>
      <c r="C352" s="533" t="s">
        <v>2602</v>
      </c>
      <c r="D352" s="811">
        <v>141</v>
      </c>
      <c r="E352" s="527" t="s">
        <v>2617</v>
      </c>
      <c r="G352" s="615">
        <v>227</v>
      </c>
      <c r="H352" s="632">
        <v>190</v>
      </c>
      <c r="I352" s="815" t="s">
        <v>2575</v>
      </c>
      <c r="J352" s="617">
        <v>43271</v>
      </c>
      <c r="K352" s="533" t="s">
        <v>2563</v>
      </c>
      <c r="N352" s="624">
        <v>43285</v>
      </c>
      <c r="U352" s="613">
        <v>1</v>
      </c>
      <c r="W352" s="613">
        <f t="shared" si="46"/>
        <v>1</v>
      </c>
      <c r="X352" s="613">
        <v>1</v>
      </c>
      <c r="AB352" s="527">
        <f t="shared" si="52"/>
        <v>0</v>
      </c>
      <c r="AC352" s="527">
        <f t="shared" si="47"/>
        <v>0</v>
      </c>
      <c r="AD352" s="527">
        <f t="shared" si="48"/>
        <v>0</v>
      </c>
      <c r="AE352" s="527">
        <f t="shared" si="49"/>
        <v>0</v>
      </c>
      <c r="AF352" s="527">
        <f t="shared" si="50"/>
        <v>0</v>
      </c>
      <c r="AG352" s="527">
        <f t="shared" si="51"/>
        <v>227</v>
      </c>
      <c r="AH352" s="527"/>
      <c r="AI352" s="639">
        <f t="shared" si="45"/>
        <v>227</v>
      </c>
    </row>
    <row r="353" spans="1:37" ht="12.75" customHeight="1" x14ac:dyDescent="0.2">
      <c r="A353" s="527">
        <v>343</v>
      </c>
      <c r="C353" s="533" t="s">
        <v>2603</v>
      </c>
      <c r="E353" s="527" t="s">
        <v>2618</v>
      </c>
      <c r="F353" s="728"/>
      <c r="G353" s="639">
        <v>21.9</v>
      </c>
      <c r="H353" s="527"/>
      <c r="I353"/>
      <c r="J353" s="617"/>
      <c r="K353" s="533" t="s">
        <v>2563</v>
      </c>
      <c r="N353" s="624">
        <v>43298</v>
      </c>
      <c r="U353" s="613">
        <v>1</v>
      </c>
      <c r="W353" s="613">
        <f t="shared" si="46"/>
        <v>1</v>
      </c>
      <c r="AB353" s="527">
        <f t="shared" si="52"/>
        <v>0</v>
      </c>
      <c r="AC353" s="527">
        <f t="shared" si="47"/>
        <v>0</v>
      </c>
      <c r="AD353" s="527">
        <f t="shared" si="48"/>
        <v>0</v>
      </c>
      <c r="AE353" s="527">
        <f t="shared" si="49"/>
        <v>0</v>
      </c>
      <c r="AF353" s="527">
        <f t="shared" si="50"/>
        <v>0</v>
      </c>
      <c r="AG353" s="527">
        <f t="shared" si="51"/>
        <v>21.9</v>
      </c>
      <c r="AH353" s="527"/>
      <c r="AI353" s="639">
        <f t="shared" si="45"/>
        <v>21.9</v>
      </c>
    </row>
    <row r="354" spans="1:37" ht="12.75" customHeight="1" x14ac:dyDescent="0.2">
      <c r="A354" s="527">
        <v>344</v>
      </c>
      <c r="C354" s="533" t="s">
        <v>2619</v>
      </c>
      <c r="D354" s="613">
        <v>134</v>
      </c>
      <c r="E354" s="527" t="s">
        <v>3295</v>
      </c>
      <c r="F354" s="889" t="s">
        <v>2644</v>
      </c>
      <c r="G354" s="639">
        <v>36</v>
      </c>
      <c r="H354" s="632">
        <v>242.2</v>
      </c>
      <c r="I354" s="795" t="s">
        <v>2384</v>
      </c>
      <c r="J354" s="617">
        <v>42872</v>
      </c>
      <c r="K354" s="533" t="s">
        <v>2563</v>
      </c>
      <c r="N354" s="624">
        <v>43315</v>
      </c>
      <c r="U354" s="613">
        <v>1</v>
      </c>
      <c r="W354" s="613">
        <f t="shared" si="46"/>
        <v>1</v>
      </c>
      <c r="X354" s="613">
        <v>1</v>
      </c>
      <c r="AB354" s="527">
        <f t="shared" si="52"/>
        <v>0</v>
      </c>
      <c r="AC354" s="527">
        <f t="shared" si="47"/>
        <v>0</v>
      </c>
      <c r="AD354" s="527">
        <f t="shared" si="48"/>
        <v>0</v>
      </c>
      <c r="AE354" s="527">
        <f t="shared" si="49"/>
        <v>0</v>
      </c>
      <c r="AF354" s="527">
        <f t="shared" si="50"/>
        <v>0</v>
      </c>
      <c r="AG354" s="527">
        <f t="shared" si="51"/>
        <v>36</v>
      </c>
      <c r="AH354" s="527"/>
      <c r="AI354" s="639">
        <f t="shared" ref="AI354:AI390" si="53">G354</f>
        <v>36</v>
      </c>
    </row>
    <row r="355" spans="1:37" ht="12.75" customHeight="1" x14ac:dyDescent="0.2">
      <c r="A355" s="527">
        <v>345</v>
      </c>
      <c r="C355" s="533" t="s">
        <v>2622</v>
      </c>
      <c r="E355" s="527" t="s">
        <v>3293</v>
      </c>
      <c r="F355" s="533" t="s">
        <v>2624</v>
      </c>
      <c r="G355" s="639">
        <v>767.8</v>
      </c>
      <c r="H355" s="527"/>
      <c r="I355"/>
      <c r="J355" s="617"/>
      <c r="K355" s="533" t="s">
        <v>2563</v>
      </c>
      <c r="N355" s="624">
        <v>43343</v>
      </c>
      <c r="U355" s="613">
        <v>1</v>
      </c>
      <c r="W355" s="613">
        <f t="shared" si="46"/>
        <v>1</v>
      </c>
      <c r="AB355" s="527">
        <f t="shared" si="52"/>
        <v>0</v>
      </c>
      <c r="AC355" s="527">
        <f t="shared" si="47"/>
        <v>0</v>
      </c>
      <c r="AD355" s="527">
        <f t="shared" si="48"/>
        <v>0</v>
      </c>
      <c r="AE355" s="527">
        <f t="shared" si="49"/>
        <v>0</v>
      </c>
      <c r="AF355" s="527">
        <f t="shared" si="50"/>
        <v>0</v>
      </c>
      <c r="AG355" s="527">
        <f t="shared" si="51"/>
        <v>767.8</v>
      </c>
      <c r="AH355" s="527"/>
      <c r="AI355" s="639">
        <f t="shared" si="53"/>
        <v>767.8</v>
      </c>
    </row>
    <row r="356" spans="1:37" ht="12.75" customHeight="1" x14ac:dyDescent="0.2">
      <c r="A356" s="527">
        <v>346</v>
      </c>
      <c r="C356" s="533" t="s">
        <v>2625</v>
      </c>
      <c r="E356" s="527" t="s">
        <v>3296</v>
      </c>
      <c r="F356" s="728"/>
      <c r="G356" s="639">
        <v>85.8</v>
      </c>
      <c r="H356" s="527"/>
      <c r="I356"/>
      <c r="J356" s="617"/>
      <c r="K356" s="533" t="s">
        <v>2563</v>
      </c>
      <c r="N356" s="624">
        <v>43366</v>
      </c>
      <c r="U356" s="613">
        <v>1</v>
      </c>
      <c r="W356" s="613">
        <f t="shared" si="46"/>
        <v>1</v>
      </c>
      <c r="AB356" s="527">
        <f t="shared" si="52"/>
        <v>0</v>
      </c>
      <c r="AC356" s="527">
        <f t="shared" si="47"/>
        <v>0</v>
      </c>
      <c r="AD356" s="527">
        <f t="shared" si="48"/>
        <v>0</v>
      </c>
      <c r="AE356" s="527">
        <f t="shared" si="49"/>
        <v>0</v>
      </c>
      <c r="AF356" s="527">
        <f t="shared" si="50"/>
        <v>0</v>
      </c>
      <c r="AG356" s="527">
        <f t="shared" si="51"/>
        <v>85.8</v>
      </c>
      <c r="AH356" s="527"/>
      <c r="AI356" s="639">
        <f t="shared" si="53"/>
        <v>85.8</v>
      </c>
    </row>
    <row r="357" spans="1:37" ht="12.75" customHeight="1" x14ac:dyDescent="0.2">
      <c r="A357" s="527">
        <v>347</v>
      </c>
      <c r="C357" s="533" t="s">
        <v>2627</v>
      </c>
      <c r="E357" s="527" t="s">
        <v>3292</v>
      </c>
      <c r="F357" s="728" t="s">
        <v>2628</v>
      </c>
      <c r="G357" s="530">
        <v>157.13</v>
      </c>
      <c r="H357" s="527"/>
      <c r="I357"/>
      <c r="J357" s="617"/>
      <c r="K357" s="533" t="s">
        <v>2563</v>
      </c>
      <c r="N357" s="624">
        <v>43366</v>
      </c>
      <c r="U357" s="613">
        <v>1</v>
      </c>
      <c r="W357" s="613">
        <f t="shared" si="46"/>
        <v>1</v>
      </c>
      <c r="AB357" s="527">
        <f t="shared" si="52"/>
        <v>0</v>
      </c>
      <c r="AC357" s="527">
        <f t="shared" si="47"/>
        <v>0</v>
      </c>
      <c r="AD357" s="527">
        <f t="shared" si="48"/>
        <v>0</v>
      </c>
      <c r="AE357" s="527">
        <f t="shared" si="49"/>
        <v>0</v>
      </c>
      <c r="AF357" s="527">
        <f t="shared" si="50"/>
        <v>0</v>
      </c>
      <c r="AG357" s="527">
        <f t="shared" si="51"/>
        <v>157.13</v>
      </c>
      <c r="AH357" s="527"/>
      <c r="AI357" s="639">
        <f t="shared" si="53"/>
        <v>157.13</v>
      </c>
    </row>
    <row r="358" spans="1:37" ht="12.75" customHeight="1" x14ac:dyDescent="0.2">
      <c r="A358" s="527">
        <v>348</v>
      </c>
      <c r="C358" s="533" t="s">
        <v>2629</v>
      </c>
      <c r="E358" s="527" t="s">
        <v>3292</v>
      </c>
      <c r="F358" s="728" t="s">
        <v>2631</v>
      </c>
      <c r="G358" s="639">
        <v>427.8</v>
      </c>
      <c r="H358" s="527"/>
      <c r="I358"/>
      <c r="J358" s="617"/>
      <c r="K358" s="533" t="s">
        <v>2563</v>
      </c>
      <c r="N358" s="624">
        <v>43366</v>
      </c>
      <c r="U358" s="613">
        <v>1</v>
      </c>
      <c r="W358" s="613">
        <f t="shared" si="46"/>
        <v>1</v>
      </c>
      <c r="AB358" s="527">
        <f t="shared" si="52"/>
        <v>0</v>
      </c>
      <c r="AC358" s="527">
        <f t="shared" si="47"/>
        <v>0</v>
      </c>
      <c r="AD358" s="527">
        <f t="shared" si="48"/>
        <v>0</v>
      </c>
      <c r="AE358" s="527">
        <f t="shared" si="49"/>
        <v>0</v>
      </c>
      <c r="AF358" s="527">
        <f t="shared" si="50"/>
        <v>0</v>
      </c>
      <c r="AG358" s="527">
        <f t="shared" si="51"/>
        <v>427.8</v>
      </c>
      <c r="AH358" s="527"/>
      <c r="AI358" s="639">
        <f t="shared" si="53"/>
        <v>427.8</v>
      </c>
    </row>
    <row r="359" spans="1:37" ht="12.75" customHeight="1" x14ac:dyDescent="0.2">
      <c r="A359" s="527">
        <v>349</v>
      </c>
      <c r="C359" s="533" t="s">
        <v>2649</v>
      </c>
      <c r="E359" s="527" t="s">
        <v>2651</v>
      </c>
      <c r="F359" s="728" t="s">
        <v>1102</v>
      </c>
      <c r="G359" s="619">
        <v>577</v>
      </c>
      <c r="H359" s="527"/>
      <c r="I359"/>
      <c r="J359" s="617"/>
      <c r="K359" s="533" t="s">
        <v>2563</v>
      </c>
      <c r="N359" s="624">
        <v>43400</v>
      </c>
      <c r="U359" s="613">
        <v>1</v>
      </c>
      <c r="W359" s="613">
        <f t="shared" si="46"/>
        <v>1</v>
      </c>
      <c r="Y359" s="613">
        <v>1</v>
      </c>
      <c r="AB359" s="527">
        <f t="shared" si="52"/>
        <v>0</v>
      </c>
      <c r="AC359" s="527">
        <f t="shared" si="47"/>
        <v>0</v>
      </c>
      <c r="AD359" s="527">
        <f t="shared" si="48"/>
        <v>0</v>
      </c>
      <c r="AE359" s="527">
        <f t="shared" si="49"/>
        <v>0</v>
      </c>
      <c r="AF359" s="527">
        <f t="shared" si="50"/>
        <v>0</v>
      </c>
      <c r="AG359" s="527">
        <f t="shared" si="51"/>
        <v>577</v>
      </c>
      <c r="AH359" s="527"/>
      <c r="AI359" s="639">
        <f t="shared" si="53"/>
        <v>577</v>
      </c>
      <c r="AK359" s="778">
        <v>1</v>
      </c>
    </row>
    <row r="360" spans="1:37" ht="12.75" customHeight="1" x14ac:dyDescent="0.2">
      <c r="A360" s="527">
        <v>350</v>
      </c>
      <c r="C360" s="533" t="s">
        <v>2650</v>
      </c>
      <c r="E360" s="527" t="s">
        <v>2652</v>
      </c>
      <c r="F360" s="728"/>
      <c r="G360" s="639">
        <v>37.299999999999997</v>
      </c>
      <c r="H360" s="527"/>
      <c r="I360"/>
      <c r="J360" s="617"/>
      <c r="K360" s="533" t="s">
        <v>2563</v>
      </c>
      <c r="N360" s="624">
        <v>43428</v>
      </c>
      <c r="U360" s="613">
        <v>1</v>
      </c>
      <c r="W360" s="613">
        <f t="shared" si="46"/>
        <v>1</v>
      </c>
      <c r="AB360" s="527">
        <f t="shared" si="52"/>
        <v>0</v>
      </c>
      <c r="AC360" s="527">
        <f t="shared" si="47"/>
        <v>0</v>
      </c>
      <c r="AD360" s="527">
        <f t="shared" si="48"/>
        <v>0</v>
      </c>
      <c r="AE360" s="527">
        <f t="shared" si="49"/>
        <v>0</v>
      </c>
      <c r="AF360" s="527">
        <f t="shared" si="50"/>
        <v>0</v>
      </c>
      <c r="AG360" s="527">
        <f t="shared" si="51"/>
        <v>37.299999999999997</v>
      </c>
      <c r="AH360" s="527"/>
      <c r="AI360" s="639">
        <f t="shared" si="53"/>
        <v>37.299999999999997</v>
      </c>
    </row>
    <row r="361" spans="1:37" ht="12.75" customHeight="1" x14ac:dyDescent="0.2">
      <c r="A361" s="527">
        <v>351</v>
      </c>
      <c r="C361" s="533" t="s">
        <v>2655</v>
      </c>
      <c r="E361" s="527" t="s">
        <v>3297</v>
      </c>
      <c r="F361" s="728" t="s">
        <v>2656</v>
      </c>
      <c r="G361" s="619">
        <v>1300</v>
      </c>
      <c r="H361" s="527"/>
      <c r="I361"/>
      <c r="J361" s="617"/>
      <c r="K361" s="533" t="s">
        <v>2563</v>
      </c>
      <c r="N361" s="624">
        <v>43436</v>
      </c>
      <c r="U361" s="613">
        <v>1</v>
      </c>
      <c r="W361" s="613">
        <f t="shared" si="46"/>
        <v>1</v>
      </c>
      <c r="AB361" s="527">
        <f t="shared" si="52"/>
        <v>0</v>
      </c>
      <c r="AC361" s="527">
        <f t="shared" si="47"/>
        <v>0</v>
      </c>
      <c r="AD361" s="527">
        <f t="shared" si="48"/>
        <v>0</v>
      </c>
      <c r="AE361" s="527">
        <f t="shared" si="49"/>
        <v>0</v>
      </c>
      <c r="AF361" s="527">
        <f t="shared" si="50"/>
        <v>0</v>
      </c>
      <c r="AG361" s="527">
        <f t="shared" si="51"/>
        <v>1300</v>
      </c>
      <c r="AH361" s="527"/>
      <c r="AI361" s="639">
        <f t="shared" si="53"/>
        <v>1300</v>
      </c>
    </row>
    <row r="362" spans="1:37" ht="12.75" customHeight="1" x14ac:dyDescent="0.2">
      <c r="A362" s="527">
        <v>352</v>
      </c>
      <c r="C362" s="533" t="s">
        <v>2657</v>
      </c>
      <c r="E362" s="527" t="s">
        <v>3298</v>
      </c>
      <c r="F362" s="728" t="s">
        <v>2658</v>
      </c>
      <c r="G362" s="619">
        <v>1868</v>
      </c>
      <c r="H362" s="527"/>
      <c r="I362"/>
      <c r="J362" s="617"/>
      <c r="K362" s="533" t="s">
        <v>2563</v>
      </c>
      <c r="N362" s="624">
        <v>43440</v>
      </c>
      <c r="U362" s="613">
        <v>1</v>
      </c>
      <c r="W362" s="613">
        <f t="shared" si="46"/>
        <v>1</v>
      </c>
      <c r="AB362" s="527">
        <f t="shared" si="52"/>
        <v>0</v>
      </c>
      <c r="AC362" s="527">
        <f t="shared" si="47"/>
        <v>0</v>
      </c>
      <c r="AD362" s="527">
        <f t="shared" si="48"/>
        <v>0</v>
      </c>
      <c r="AE362" s="527">
        <f t="shared" si="49"/>
        <v>0</v>
      </c>
      <c r="AF362" s="527">
        <f t="shared" si="50"/>
        <v>0</v>
      </c>
      <c r="AG362" s="527">
        <f t="shared" si="51"/>
        <v>1868</v>
      </c>
      <c r="AH362" s="527"/>
      <c r="AI362" s="639">
        <f t="shared" si="53"/>
        <v>1868</v>
      </c>
    </row>
    <row r="363" spans="1:37" ht="12.75" customHeight="1" x14ac:dyDescent="0.2">
      <c r="A363" s="527">
        <v>353</v>
      </c>
      <c r="C363" s="533" t="s">
        <v>2659</v>
      </c>
      <c r="E363" s="778" t="s">
        <v>2660</v>
      </c>
      <c r="F363" s="728"/>
      <c r="G363" s="619">
        <v>1830</v>
      </c>
      <c r="H363" s="527"/>
      <c r="I363"/>
      <c r="J363" s="617"/>
      <c r="K363" s="533" t="s">
        <v>2563</v>
      </c>
      <c r="N363" s="624">
        <v>43445</v>
      </c>
      <c r="U363" s="613">
        <v>1</v>
      </c>
      <c r="W363" s="613">
        <f t="shared" si="46"/>
        <v>1</v>
      </c>
      <c r="AB363" s="527">
        <f t="shared" si="52"/>
        <v>0</v>
      </c>
      <c r="AC363" s="527">
        <f t="shared" si="47"/>
        <v>0</v>
      </c>
      <c r="AD363" s="527">
        <f t="shared" si="48"/>
        <v>0</v>
      </c>
      <c r="AE363" s="527">
        <f t="shared" si="49"/>
        <v>0</v>
      </c>
      <c r="AF363" s="527">
        <f t="shared" si="50"/>
        <v>0</v>
      </c>
      <c r="AG363" s="527">
        <f t="shared" si="51"/>
        <v>1830</v>
      </c>
      <c r="AH363" s="527"/>
      <c r="AI363" s="639">
        <f t="shared" si="53"/>
        <v>1830</v>
      </c>
    </row>
    <row r="364" spans="1:37" ht="12.75" customHeight="1" x14ac:dyDescent="0.2">
      <c r="A364" s="527">
        <v>354</v>
      </c>
      <c r="C364" s="527" t="s">
        <v>2661</v>
      </c>
      <c r="D364" s="527"/>
      <c r="E364" s="527" t="s">
        <v>2675</v>
      </c>
      <c r="F364" s="889" t="s">
        <v>2676</v>
      </c>
      <c r="G364" s="527">
        <v>244</v>
      </c>
      <c r="H364" s="527"/>
      <c r="I364" s="527"/>
      <c r="J364" s="527"/>
      <c r="K364" s="533" t="s">
        <v>2664</v>
      </c>
      <c r="N364" s="624">
        <v>43466</v>
      </c>
      <c r="O364" s="527"/>
      <c r="P364" s="613"/>
      <c r="Q364" s="613"/>
      <c r="R364" s="613"/>
      <c r="S364" s="613"/>
      <c r="T364" s="613"/>
      <c r="U364" s="613">
        <v>1</v>
      </c>
      <c r="W364" s="613">
        <f t="shared" si="46"/>
        <v>1</v>
      </c>
      <c r="Z364" s="613">
        <v>1</v>
      </c>
      <c r="AB364" s="527">
        <f t="shared" si="52"/>
        <v>0</v>
      </c>
      <c r="AC364" s="527">
        <f t="shared" si="47"/>
        <v>0</v>
      </c>
      <c r="AD364" s="527">
        <f t="shared" si="48"/>
        <v>0</v>
      </c>
      <c r="AE364" s="527">
        <f t="shared" si="49"/>
        <v>0</v>
      </c>
      <c r="AF364" s="527">
        <f t="shared" si="50"/>
        <v>0</v>
      </c>
      <c r="AG364" s="527">
        <f t="shared" si="51"/>
        <v>244</v>
      </c>
      <c r="AH364" s="527"/>
      <c r="AI364" s="639">
        <f t="shared" si="53"/>
        <v>244</v>
      </c>
    </row>
    <row r="365" spans="1:37" ht="12.75" customHeight="1" x14ac:dyDescent="0.2">
      <c r="A365" s="527">
        <v>355</v>
      </c>
      <c r="C365" s="533" t="s">
        <v>2663</v>
      </c>
      <c r="E365" s="527" t="s">
        <v>3678</v>
      </c>
      <c r="F365" s="728"/>
      <c r="G365" s="639">
        <v>34.4</v>
      </c>
      <c r="H365" s="527"/>
      <c r="I365"/>
      <c r="J365" s="617"/>
      <c r="K365" s="533" t="s">
        <v>2664</v>
      </c>
      <c r="N365" s="624">
        <v>43470</v>
      </c>
      <c r="U365" s="613">
        <v>1</v>
      </c>
      <c r="W365" s="613">
        <f t="shared" si="46"/>
        <v>1</v>
      </c>
      <c r="AB365" s="527">
        <f t="shared" si="52"/>
        <v>0</v>
      </c>
      <c r="AC365" s="527">
        <f t="shared" si="47"/>
        <v>0</v>
      </c>
      <c r="AD365" s="527">
        <f t="shared" si="48"/>
        <v>0</v>
      </c>
      <c r="AE365" s="527">
        <f t="shared" si="49"/>
        <v>0</v>
      </c>
      <c r="AF365" s="527">
        <f t="shared" si="50"/>
        <v>0</v>
      </c>
      <c r="AG365" s="527">
        <f t="shared" si="51"/>
        <v>34.4</v>
      </c>
      <c r="AH365" s="527"/>
      <c r="AI365" s="639">
        <f t="shared" si="53"/>
        <v>34.4</v>
      </c>
    </row>
    <row r="366" spans="1:37" ht="12.75" customHeight="1" x14ac:dyDescent="0.2">
      <c r="A366" s="527">
        <v>356</v>
      </c>
      <c r="C366" s="533" t="s">
        <v>2666</v>
      </c>
      <c r="E366" s="527" t="s">
        <v>2671</v>
      </c>
      <c r="F366" s="728"/>
      <c r="G366" s="619">
        <v>12168</v>
      </c>
      <c r="H366" s="527"/>
      <c r="I366"/>
      <c r="J366" s="617"/>
      <c r="K366" s="533" t="s">
        <v>2664</v>
      </c>
      <c r="N366" s="624">
        <v>43505</v>
      </c>
      <c r="U366" s="613">
        <v>1</v>
      </c>
      <c r="W366" s="613">
        <f t="shared" si="46"/>
        <v>1</v>
      </c>
      <c r="AB366" s="527">
        <f t="shared" si="52"/>
        <v>0</v>
      </c>
      <c r="AC366" s="527">
        <f t="shared" si="47"/>
        <v>0</v>
      </c>
      <c r="AD366" s="527">
        <f t="shared" si="48"/>
        <v>0</v>
      </c>
      <c r="AE366" s="527">
        <f t="shared" si="49"/>
        <v>0</v>
      </c>
      <c r="AF366" s="527">
        <f t="shared" si="50"/>
        <v>0</v>
      </c>
      <c r="AG366" s="527">
        <f t="shared" si="51"/>
        <v>12168</v>
      </c>
      <c r="AH366" s="527"/>
      <c r="AI366" s="639">
        <f t="shared" si="53"/>
        <v>12168</v>
      </c>
    </row>
    <row r="367" spans="1:37" ht="12.75" customHeight="1" x14ac:dyDescent="0.2">
      <c r="A367" s="527">
        <v>357</v>
      </c>
      <c r="C367" s="533" t="s">
        <v>2667</v>
      </c>
      <c r="E367" s="527" t="s">
        <v>3292</v>
      </c>
      <c r="F367" s="527" t="s">
        <v>2672</v>
      </c>
      <c r="G367" s="639">
        <v>1267.0999999999999</v>
      </c>
      <c r="H367" s="527"/>
      <c r="I367"/>
      <c r="J367" s="617"/>
      <c r="K367" s="533" t="s">
        <v>2664</v>
      </c>
      <c r="N367" s="624">
        <v>43505</v>
      </c>
      <c r="U367" s="613">
        <v>1</v>
      </c>
      <c r="W367" s="613">
        <f t="shared" si="46"/>
        <v>1</v>
      </c>
      <c r="Y367" s="613">
        <v>1</v>
      </c>
      <c r="AB367" s="527">
        <f t="shared" si="52"/>
        <v>0</v>
      </c>
      <c r="AC367" s="527">
        <f t="shared" si="47"/>
        <v>0</v>
      </c>
      <c r="AD367" s="527">
        <f t="shared" si="48"/>
        <v>0</v>
      </c>
      <c r="AE367" s="527">
        <f t="shared" si="49"/>
        <v>0</v>
      </c>
      <c r="AF367" s="527">
        <f t="shared" si="50"/>
        <v>0</v>
      </c>
      <c r="AG367" s="527">
        <f t="shared" si="51"/>
        <v>1267.0999999999999</v>
      </c>
      <c r="AH367" s="527"/>
      <c r="AI367" s="639">
        <f t="shared" si="53"/>
        <v>1267.0999999999999</v>
      </c>
    </row>
    <row r="368" spans="1:37" ht="12.75" customHeight="1" x14ac:dyDescent="0.2">
      <c r="A368" s="527">
        <v>358</v>
      </c>
      <c r="C368" s="734" t="s">
        <v>2668</v>
      </c>
      <c r="E368" s="527" t="s">
        <v>3299</v>
      </c>
      <c r="F368" s="728"/>
      <c r="G368" s="639">
        <v>42.8</v>
      </c>
      <c r="H368" s="527"/>
      <c r="I368"/>
      <c r="J368" s="617"/>
      <c r="K368" s="533" t="s">
        <v>2664</v>
      </c>
      <c r="N368" s="624">
        <v>43505</v>
      </c>
      <c r="U368" s="613">
        <v>1</v>
      </c>
      <c r="W368" s="613">
        <f t="shared" si="46"/>
        <v>1</v>
      </c>
      <c r="AB368" s="527">
        <f t="shared" si="52"/>
        <v>0</v>
      </c>
      <c r="AC368" s="527">
        <f t="shared" si="47"/>
        <v>0</v>
      </c>
      <c r="AD368" s="527">
        <f t="shared" si="48"/>
        <v>0</v>
      </c>
      <c r="AE368" s="527">
        <f t="shared" si="49"/>
        <v>0</v>
      </c>
      <c r="AF368" s="527">
        <f t="shared" si="50"/>
        <v>0</v>
      </c>
      <c r="AG368" s="527">
        <f t="shared" si="51"/>
        <v>42.8</v>
      </c>
      <c r="AH368" s="527"/>
      <c r="AI368" s="639">
        <f t="shared" si="53"/>
        <v>42.8</v>
      </c>
    </row>
    <row r="369" spans="1:47" ht="12.75" customHeight="1" x14ac:dyDescent="0.2">
      <c r="A369" s="527">
        <v>359</v>
      </c>
      <c r="C369" s="533" t="s">
        <v>2669</v>
      </c>
      <c r="E369" s="527" t="s">
        <v>3300</v>
      </c>
      <c r="F369" s="728" t="s">
        <v>2673</v>
      </c>
      <c r="G369" s="619">
        <v>3469</v>
      </c>
      <c r="H369" s="527"/>
      <c r="I369"/>
      <c r="J369" s="617"/>
      <c r="K369" s="533" t="s">
        <v>2664</v>
      </c>
      <c r="N369" s="624">
        <v>43505</v>
      </c>
      <c r="U369" s="613">
        <v>1</v>
      </c>
      <c r="W369" s="613">
        <f t="shared" si="46"/>
        <v>1</v>
      </c>
      <c r="AB369" s="527">
        <f t="shared" si="52"/>
        <v>0</v>
      </c>
      <c r="AC369" s="527">
        <f t="shared" si="47"/>
        <v>0</v>
      </c>
      <c r="AD369" s="527">
        <f t="shared" si="48"/>
        <v>0</v>
      </c>
      <c r="AE369" s="527">
        <f t="shared" si="49"/>
        <v>0</v>
      </c>
      <c r="AF369" s="527">
        <f t="shared" si="50"/>
        <v>0</v>
      </c>
      <c r="AG369" s="527">
        <f t="shared" si="51"/>
        <v>3469</v>
      </c>
      <c r="AH369" s="527"/>
      <c r="AI369" s="639">
        <f t="shared" si="53"/>
        <v>3469</v>
      </c>
    </row>
    <row r="370" spans="1:47" ht="12.75" customHeight="1" x14ac:dyDescent="0.2">
      <c r="A370" s="527">
        <v>360</v>
      </c>
      <c r="C370" s="533" t="s">
        <v>2670</v>
      </c>
      <c r="E370" s="527" t="s">
        <v>3300</v>
      </c>
      <c r="F370" s="728" t="s">
        <v>2674</v>
      </c>
      <c r="G370" s="619">
        <v>2070</v>
      </c>
      <c r="H370" s="527"/>
      <c r="I370"/>
      <c r="J370" s="617"/>
      <c r="K370" s="533" t="s">
        <v>2664</v>
      </c>
      <c r="N370" s="624">
        <v>43505</v>
      </c>
      <c r="U370" s="613">
        <v>1</v>
      </c>
      <c r="W370" s="613">
        <f t="shared" si="46"/>
        <v>1</v>
      </c>
      <c r="AB370" s="527">
        <f t="shared" si="52"/>
        <v>0</v>
      </c>
      <c r="AC370" s="527">
        <f t="shared" si="47"/>
        <v>0</v>
      </c>
      <c r="AD370" s="527">
        <f t="shared" si="48"/>
        <v>0</v>
      </c>
      <c r="AE370" s="527">
        <f t="shared" si="49"/>
        <v>0</v>
      </c>
      <c r="AF370" s="527">
        <f t="shared" si="50"/>
        <v>0</v>
      </c>
      <c r="AG370" s="527">
        <f t="shared" si="51"/>
        <v>2070</v>
      </c>
      <c r="AH370" s="527"/>
      <c r="AI370" s="639">
        <f t="shared" si="53"/>
        <v>2070</v>
      </c>
    </row>
    <row r="371" spans="1:47" ht="12.75" customHeight="1" x14ac:dyDescent="0.2">
      <c r="A371" s="527">
        <v>361</v>
      </c>
      <c r="C371" s="533" t="s">
        <v>1452</v>
      </c>
      <c r="E371" s="527" t="s">
        <v>2582</v>
      </c>
      <c r="F371" s="728"/>
      <c r="G371" s="619">
        <v>20</v>
      </c>
      <c r="H371" s="527"/>
      <c r="I371"/>
      <c r="J371" s="617"/>
      <c r="K371" s="533" t="s">
        <v>2664</v>
      </c>
      <c r="N371" s="624">
        <v>43534</v>
      </c>
      <c r="U371" s="613">
        <v>1</v>
      </c>
      <c r="W371" s="613">
        <f t="shared" si="46"/>
        <v>1</v>
      </c>
      <c r="AB371" s="527">
        <f t="shared" si="52"/>
        <v>0</v>
      </c>
      <c r="AC371" s="527">
        <f t="shared" si="47"/>
        <v>0</v>
      </c>
      <c r="AD371" s="527">
        <f t="shared" si="48"/>
        <v>0</v>
      </c>
      <c r="AE371" s="527">
        <f t="shared" si="49"/>
        <v>0</v>
      </c>
      <c r="AF371" s="527">
        <f t="shared" si="50"/>
        <v>0</v>
      </c>
      <c r="AG371" s="527">
        <f t="shared" si="51"/>
        <v>20</v>
      </c>
      <c r="AH371" s="527"/>
      <c r="AI371" s="639">
        <f t="shared" si="53"/>
        <v>20</v>
      </c>
    </row>
    <row r="372" spans="1:47" ht="12.75" customHeight="1" x14ac:dyDescent="0.2">
      <c r="A372" s="527">
        <v>362</v>
      </c>
      <c r="C372" s="533" t="s">
        <v>2677</v>
      </c>
      <c r="D372" s="613" t="s">
        <v>2678</v>
      </c>
      <c r="E372" s="527" t="s">
        <v>2652</v>
      </c>
      <c r="F372" s="533" t="s">
        <v>2679</v>
      </c>
      <c r="G372" s="619">
        <v>27249</v>
      </c>
      <c r="H372" s="632">
        <f>79.81+66.09+76.72+106.44+102.48+118.04+308.1</f>
        <v>857.68000000000006</v>
      </c>
      <c r="I372" s="613" t="s">
        <v>2023</v>
      </c>
      <c r="J372" s="624">
        <v>42368</v>
      </c>
      <c r="K372" s="533" t="s">
        <v>2664</v>
      </c>
      <c r="N372" s="624">
        <v>43577</v>
      </c>
      <c r="U372" s="613">
        <v>1</v>
      </c>
      <c r="W372" s="613">
        <f t="shared" si="46"/>
        <v>1</v>
      </c>
      <c r="X372" s="613">
        <v>1</v>
      </c>
      <c r="AB372" s="527">
        <f t="shared" si="52"/>
        <v>0</v>
      </c>
      <c r="AC372" s="527">
        <f t="shared" si="47"/>
        <v>0</v>
      </c>
      <c r="AD372" s="527">
        <f t="shared" si="48"/>
        <v>0</v>
      </c>
      <c r="AE372" s="527">
        <f t="shared" si="49"/>
        <v>0</v>
      </c>
      <c r="AF372" s="527">
        <f t="shared" si="50"/>
        <v>0</v>
      </c>
      <c r="AG372" s="527">
        <f t="shared" si="51"/>
        <v>27249</v>
      </c>
      <c r="AH372" s="527"/>
      <c r="AI372" s="639">
        <f t="shared" si="53"/>
        <v>27249</v>
      </c>
    </row>
    <row r="373" spans="1:47" ht="12.75" customHeight="1" x14ac:dyDescent="0.25">
      <c r="A373" s="527">
        <v>363</v>
      </c>
      <c r="C373" s="533" t="s">
        <v>2683</v>
      </c>
      <c r="E373" s="527" t="s">
        <v>3301</v>
      </c>
      <c r="F373" s="533" t="s">
        <v>2688</v>
      </c>
      <c r="G373" s="619">
        <v>1337</v>
      </c>
      <c r="J373" s="527"/>
      <c r="K373" s="533" t="s">
        <v>2664</v>
      </c>
      <c r="N373" s="624">
        <v>43600</v>
      </c>
      <c r="S373" s="911">
        <v>1</v>
      </c>
      <c r="W373" s="613">
        <f t="shared" si="46"/>
        <v>1</v>
      </c>
      <c r="AB373" s="527">
        <f t="shared" si="52"/>
        <v>0</v>
      </c>
      <c r="AC373" s="527">
        <f t="shared" si="47"/>
        <v>0</v>
      </c>
      <c r="AD373" s="527">
        <f t="shared" si="48"/>
        <v>0</v>
      </c>
      <c r="AE373" s="527">
        <f t="shared" si="49"/>
        <v>1337</v>
      </c>
      <c r="AF373" s="527">
        <f t="shared" si="50"/>
        <v>0</v>
      </c>
      <c r="AG373" s="527">
        <f t="shared" si="51"/>
        <v>0</v>
      </c>
      <c r="AH373" s="527"/>
      <c r="AI373" s="639">
        <f t="shared" si="53"/>
        <v>1337</v>
      </c>
      <c r="AM373" s="894"/>
      <c r="AN373" s="895"/>
      <c r="AO373" s="895"/>
      <c r="AP373" s="897"/>
      <c r="AR373" s="903"/>
      <c r="AS373" s="904"/>
      <c r="AT373" s="904"/>
      <c r="AU373" s="904"/>
    </row>
    <row r="374" spans="1:47" ht="12.75" customHeight="1" x14ac:dyDescent="0.2">
      <c r="A374" s="527">
        <v>364</v>
      </c>
      <c r="C374" s="533" t="s">
        <v>2684</v>
      </c>
      <c r="D374" s="533" t="s">
        <v>2865</v>
      </c>
      <c r="E374" s="527" t="s">
        <v>3301</v>
      </c>
      <c r="F374" s="533" t="s">
        <v>2689</v>
      </c>
      <c r="G374" s="619">
        <v>1420</v>
      </c>
      <c r="J374" s="527"/>
      <c r="K374" s="533" t="s">
        <v>2664</v>
      </c>
      <c r="N374" s="624">
        <v>43600</v>
      </c>
      <c r="U374" s="613">
        <v>1</v>
      </c>
      <c r="W374" s="613">
        <f t="shared" si="46"/>
        <v>1</v>
      </c>
      <c r="Z374" s="613">
        <v>1</v>
      </c>
      <c r="AB374" s="527">
        <f t="shared" si="52"/>
        <v>0</v>
      </c>
      <c r="AC374" s="527">
        <f t="shared" si="47"/>
        <v>0</v>
      </c>
      <c r="AD374" s="527">
        <f t="shared" si="48"/>
        <v>0</v>
      </c>
      <c r="AE374" s="527">
        <f t="shared" si="49"/>
        <v>0</v>
      </c>
      <c r="AF374" s="527">
        <f t="shared" si="50"/>
        <v>0</v>
      </c>
      <c r="AG374" s="527">
        <f t="shared" si="51"/>
        <v>1420</v>
      </c>
      <c r="AH374" s="527"/>
      <c r="AI374" s="639">
        <f t="shared" si="53"/>
        <v>1420</v>
      </c>
    </row>
    <row r="375" spans="1:47" ht="12.75" customHeight="1" x14ac:dyDescent="0.2">
      <c r="A375" s="527">
        <v>365</v>
      </c>
      <c r="C375" s="533" t="s">
        <v>2685</v>
      </c>
      <c r="D375" s="533" t="s">
        <v>2865</v>
      </c>
      <c r="E375" s="527" t="s">
        <v>3301</v>
      </c>
      <c r="F375" s="533" t="s">
        <v>2689</v>
      </c>
      <c r="G375" s="639">
        <v>332.8</v>
      </c>
      <c r="J375" s="527"/>
      <c r="K375" s="533" t="s">
        <v>2664</v>
      </c>
      <c r="N375" s="624">
        <v>43600</v>
      </c>
      <c r="U375" s="613">
        <v>1</v>
      </c>
      <c r="W375" s="613">
        <f t="shared" si="46"/>
        <v>1</v>
      </c>
      <c r="Z375" s="613">
        <v>1</v>
      </c>
      <c r="AB375" s="527">
        <f t="shared" si="52"/>
        <v>0</v>
      </c>
      <c r="AC375" s="527">
        <f t="shared" si="47"/>
        <v>0</v>
      </c>
      <c r="AD375" s="527">
        <f t="shared" si="48"/>
        <v>0</v>
      </c>
      <c r="AE375" s="527">
        <f t="shared" si="49"/>
        <v>0</v>
      </c>
      <c r="AF375" s="527">
        <f t="shared" si="50"/>
        <v>0</v>
      </c>
      <c r="AG375" s="527">
        <f t="shared" si="51"/>
        <v>332.8</v>
      </c>
      <c r="AH375" s="527"/>
      <c r="AI375" s="639">
        <f t="shared" si="53"/>
        <v>332.8</v>
      </c>
    </row>
    <row r="376" spans="1:47" ht="12.75" customHeight="1" x14ac:dyDescent="0.2">
      <c r="A376" s="527">
        <v>366</v>
      </c>
      <c r="C376" s="533" t="s">
        <v>2686</v>
      </c>
      <c r="E376" s="527" t="s">
        <v>3302</v>
      </c>
      <c r="F376" s="533" t="s">
        <v>2690</v>
      </c>
      <c r="G376" s="619">
        <v>47</v>
      </c>
      <c r="J376" s="527"/>
      <c r="K376" s="533" t="s">
        <v>2664</v>
      </c>
      <c r="N376" s="624">
        <v>43600</v>
      </c>
      <c r="U376" s="613">
        <v>1</v>
      </c>
      <c r="W376" s="613">
        <f t="shared" si="46"/>
        <v>1</v>
      </c>
      <c r="AB376" s="527">
        <f t="shared" si="52"/>
        <v>0</v>
      </c>
      <c r="AC376" s="527">
        <f t="shared" si="47"/>
        <v>0</v>
      </c>
      <c r="AD376" s="527">
        <f t="shared" si="48"/>
        <v>0</v>
      </c>
      <c r="AE376" s="527">
        <f t="shared" si="49"/>
        <v>0</v>
      </c>
      <c r="AF376" s="527">
        <f t="shared" si="50"/>
        <v>0</v>
      </c>
      <c r="AG376" s="527">
        <f t="shared" si="51"/>
        <v>47</v>
      </c>
      <c r="AH376" s="527"/>
      <c r="AI376" s="639">
        <f t="shared" si="53"/>
        <v>47</v>
      </c>
    </row>
    <row r="377" spans="1:47" ht="12.75" customHeight="1" x14ac:dyDescent="0.2">
      <c r="A377" s="527">
        <v>367</v>
      </c>
      <c r="C377" s="533" t="s">
        <v>2687</v>
      </c>
      <c r="D377" s="811">
        <v>128</v>
      </c>
      <c r="E377" s="527" t="s">
        <v>3303</v>
      </c>
      <c r="F377" s="533" t="s">
        <v>50</v>
      </c>
      <c r="G377" s="619">
        <v>631</v>
      </c>
      <c r="H377" s="632">
        <v>218.8</v>
      </c>
      <c r="I377" s="763" t="s">
        <v>2255</v>
      </c>
      <c r="J377" s="617">
        <v>42781</v>
      </c>
      <c r="K377" s="533" t="s">
        <v>2664</v>
      </c>
      <c r="N377" s="624">
        <v>43600</v>
      </c>
      <c r="U377" s="613">
        <v>1</v>
      </c>
      <c r="W377" s="613">
        <f t="shared" si="46"/>
        <v>1</v>
      </c>
      <c r="X377" s="613">
        <v>1</v>
      </c>
      <c r="AB377" s="527">
        <f t="shared" si="52"/>
        <v>0</v>
      </c>
      <c r="AC377" s="527">
        <f t="shared" si="47"/>
        <v>0</v>
      </c>
      <c r="AD377" s="527">
        <f t="shared" si="48"/>
        <v>0</v>
      </c>
      <c r="AE377" s="527">
        <f t="shared" si="49"/>
        <v>0</v>
      </c>
      <c r="AF377" s="527">
        <f t="shared" si="50"/>
        <v>0</v>
      </c>
      <c r="AG377" s="527">
        <f t="shared" si="51"/>
        <v>631</v>
      </c>
      <c r="AH377" s="527"/>
      <c r="AI377" s="639">
        <f t="shared" si="53"/>
        <v>631</v>
      </c>
    </row>
    <row r="378" spans="1:47" ht="12.75" customHeight="1" x14ac:dyDescent="0.2">
      <c r="A378" s="527">
        <v>368</v>
      </c>
      <c r="C378" s="533" t="s">
        <v>2691</v>
      </c>
      <c r="E378" s="527" t="s">
        <v>2692</v>
      </c>
      <c r="G378" s="619">
        <v>2602</v>
      </c>
      <c r="J378" s="624"/>
      <c r="K378" s="533" t="s">
        <v>2664</v>
      </c>
      <c r="N378" s="624">
        <v>43616</v>
      </c>
      <c r="U378" s="613">
        <v>1</v>
      </c>
      <c r="W378" s="613">
        <f t="shared" si="46"/>
        <v>1</v>
      </c>
      <c r="AB378" s="527">
        <f t="shared" si="52"/>
        <v>0</v>
      </c>
      <c r="AC378" s="527">
        <f t="shared" si="47"/>
        <v>0</v>
      </c>
      <c r="AD378" s="527">
        <f t="shared" si="48"/>
        <v>0</v>
      </c>
      <c r="AE378" s="527">
        <f t="shared" si="49"/>
        <v>0</v>
      </c>
      <c r="AF378" s="527">
        <f t="shared" si="50"/>
        <v>0</v>
      </c>
      <c r="AG378" s="527">
        <f t="shared" si="51"/>
        <v>2602</v>
      </c>
      <c r="AH378" s="527"/>
      <c r="AI378" s="639">
        <f t="shared" si="53"/>
        <v>2602</v>
      </c>
    </row>
    <row r="379" spans="1:47" ht="12.75" customHeight="1" x14ac:dyDescent="0.2">
      <c r="A379" s="527">
        <v>369</v>
      </c>
      <c r="C379" s="533" t="s">
        <v>2730</v>
      </c>
      <c r="E379" s="527" t="s">
        <v>3304</v>
      </c>
      <c r="F379" s="533" t="s">
        <v>2731</v>
      </c>
      <c r="G379" s="619">
        <v>140</v>
      </c>
      <c r="J379" s="624"/>
      <c r="K379" s="533" t="s">
        <v>2664</v>
      </c>
      <c r="N379" s="624">
        <v>43650</v>
      </c>
      <c r="U379" s="613">
        <v>1</v>
      </c>
      <c r="W379" s="613">
        <f t="shared" si="46"/>
        <v>1</v>
      </c>
      <c r="AB379" s="527">
        <f t="shared" si="52"/>
        <v>0</v>
      </c>
      <c r="AC379" s="527">
        <f t="shared" si="47"/>
        <v>0</v>
      </c>
      <c r="AD379" s="527">
        <f t="shared" si="48"/>
        <v>0</v>
      </c>
      <c r="AE379" s="527">
        <f t="shared" si="49"/>
        <v>0</v>
      </c>
      <c r="AF379" s="527">
        <f t="shared" si="50"/>
        <v>0</v>
      </c>
      <c r="AG379" s="527">
        <f t="shared" si="51"/>
        <v>140</v>
      </c>
      <c r="AH379" s="527"/>
      <c r="AI379" s="639">
        <f t="shared" si="53"/>
        <v>140</v>
      </c>
    </row>
    <row r="380" spans="1:47" ht="12.75" customHeight="1" x14ac:dyDescent="0.2">
      <c r="A380" s="527">
        <v>370</v>
      </c>
      <c r="C380" s="533" t="s">
        <v>2732</v>
      </c>
      <c r="E380" s="527" t="s">
        <v>3305</v>
      </c>
      <c r="G380" s="530">
        <v>71.239999999999995</v>
      </c>
      <c r="J380" s="624"/>
      <c r="K380" s="533" t="s">
        <v>2664</v>
      </c>
      <c r="N380" s="624">
        <v>43654</v>
      </c>
      <c r="U380" s="613">
        <v>1</v>
      </c>
      <c r="W380" s="613">
        <f t="shared" si="46"/>
        <v>1</v>
      </c>
      <c r="AB380" s="527">
        <f t="shared" si="52"/>
        <v>0</v>
      </c>
      <c r="AC380" s="527">
        <f t="shared" si="47"/>
        <v>0</v>
      </c>
      <c r="AD380" s="527">
        <f t="shared" si="48"/>
        <v>0</v>
      </c>
      <c r="AE380" s="527">
        <f t="shared" si="49"/>
        <v>0</v>
      </c>
      <c r="AF380" s="527">
        <f t="shared" si="50"/>
        <v>0</v>
      </c>
      <c r="AG380" s="527">
        <f t="shared" si="51"/>
        <v>71.239999999999995</v>
      </c>
      <c r="AH380" s="527"/>
      <c r="AI380" s="639">
        <f t="shared" si="53"/>
        <v>71.239999999999995</v>
      </c>
    </row>
    <row r="381" spans="1:47" ht="12.75" customHeight="1" x14ac:dyDescent="0.2">
      <c r="A381" s="527">
        <v>371</v>
      </c>
      <c r="C381" s="533" t="s">
        <v>2733</v>
      </c>
      <c r="E381" s="527" t="s">
        <v>3300</v>
      </c>
      <c r="F381" s="533" t="s">
        <v>2734</v>
      </c>
      <c r="G381" s="619">
        <v>224</v>
      </c>
      <c r="J381" s="624"/>
      <c r="K381" s="533" t="s">
        <v>2664</v>
      </c>
      <c r="N381" s="624">
        <v>43655</v>
      </c>
      <c r="U381" s="613">
        <v>1</v>
      </c>
      <c r="W381" s="613">
        <f t="shared" ref="W381:W444" si="54">SUM(P381:V381)</f>
        <v>1</v>
      </c>
      <c r="AB381" s="527">
        <f t="shared" si="52"/>
        <v>0</v>
      </c>
      <c r="AC381" s="527">
        <f t="shared" si="47"/>
        <v>0</v>
      </c>
      <c r="AD381" s="527">
        <f t="shared" si="48"/>
        <v>0</v>
      </c>
      <c r="AE381" s="527">
        <f t="shared" si="49"/>
        <v>0</v>
      </c>
      <c r="AF381" s="527">
        <f t="shared" si="50"/>
        <v>0</v>
      </c>
      <c r="AG381" s="527">
        <f t="shared" si="51"/>
        <v>224</v>
      </c>
      <c r="AH381" s="527"/>
      <c r="AI381" s="639">
        <f t="shared" si="53"/>
        <v>224</v>
      </c>
    </row>
    <row r="382" spans="1:47" ht="12.75" customHeight="1" x14ac:dyDescent="0.2">
      <c r="A382" s="527">
        <v>372</v>
      </c>
      <c r="C382" s="533" t="s">
        <v>2737</v>
      </c>
      <c r="D382" s="613">
        <v>137</v>
      </c>
      <c r="E382" s="527" t="s">
        <v>3267</v>
      </c>
      <c r="F382" s="533" t="s">
        <v>2499</v>
      </c>
      <c r="G382" s="619">
        <v>58090</v>
      </c>
      <c r="I382" s="808" t="s">
        <v>2501</v>
      </c>
      <c r="J382" s="617">
        <v>43041</v>
      </c>
      <c r="K382" s="533" t="s">
        <v>2664</v>
      </c>
      <c r="N382" s="624">
        <v>43680</v>
      </c>
      <c r="U382" s="613">
        <v>1</v>
      </c>
      <c r="W382" s="613">
        <f t="shared" si="54"/>
        <v>1</v>
      </c>
      <c r="X382" s="613">
        <v>1</v>
      </c>
      <c r="AB382" s="527">
        <f t="shared" si="52"/>
        <v>0</v>
      </c>
      <c r="AC382" s="527">
        <f t="shared" si="47"/>
        <v>0</v>
      </c>
      <c r="AD382" s="527">
        <f t="shared" si="48"/>
        <v>0</v>
      </c>
      <c r="AE382" s="527">
        <f t="shared" si="49"/>
        <v>0</v>
      </c>
      <c r="AF382" s="527">
        <f t="shared" si="50"/>
        <v>0</v>
      </c>
      <c r="AG382" s="527">
        <f t="shared" si="51"/>
        <v>58090</v>
      </c>
      <c r="AH382" s="527"/>
      <c r="AI382" s="639">
        <f t="shared" si="53"/>
        <v>58090</v>
      </c>
    </row>
    <row r="383" spans="1:47" ht="12.75" customHeight="1" x14ac:dyDescent="0.2">
      <c r="A383" s="527">
        <v>373</v>
      </c>
      <c r="C383" s="533" t="s">
        <v>2739</v>
      </c>
      <c r="E383" s="527" t="s">
        <v>3267</v>
      </c>
      <c r="F383" s="533" t="s">
        <v>2738</v>
      </c>
      <c r="G383" s="619">
        <v>15949</v>
      </c>
      <c r="J383" s="624"/>
      <c r="K383" s="533" t="s">
        <v>2664</v>
      </c>
      <c r="N383" s="624">
        <v>43680</v>
      </c>
      <c r="U383" s="613">
        <v>1</v>
      </c>
      <c r="W383" s="613">
        <f t="shared" si="54"/>
        <v>1</v>
      </c>
      <c r="AB383" s="527">
        <f t="shared" si="52"/>
        <v>0</v>
      </c>
      <c r="AC383" s="527">
        <f t="shared" si="47"/>
        <v>0</v>
      </c>
      <c r="AD383" s="527">
        <f t="shared" si="48"/>
        <v>0</v>
      </c>
      <c r="AE383" s="527">
        <f t="shared" si="49"/>
        <v>0</v>
      </c>
      <c r="AF383" s="527">
        <f t="shared" si="50"/>
        <v>0</v>
      </c>
      <c r="AG383" s="527">
        <f t="shared" si="51"/>
        <v>15949</v>
      </c>
      <c r="AH383" s="527"/>
      <c r="AI383" s="639">
        <f t="shared" si="53"/>
        <v>15949</v>
      </c>
    </row>
    <row r="384" spans="1:47" ht="12.75" customHeight="1" x14ac:dyDescent="0.2">
      <c r="A384" s="527">
        <v>374</v>
      </c>
      <c r="C384" s="533" t="s">
        <v>2741</v>
      </c>
      <c r="E384" s="527" t="s">
        <v>795</v>
      </c>
      <c r="G384" s="885">
        <v>6.7770000000000001</v>
      </c>
      <c r="J384" s="624"/>
      <c r="K384" s="533" t="s">
        <v>2664</v>
      </c>
      <c r="N384" s="624">
        <v>43691</v>
      </c>
      <c r="P384" s="911">
        <v>1</v>
      </c>
      <c r="W384" s="613">
        <f t="shared" si="54"/>
        <v>1</v>
      </c>
      <c r="AB384" s="527">
        <f t="shared" si="52"/>
        <v>6.7770000000000001</v>
      </c>
      <c r="AC384" s="527">
        <f t="shared" si="47"/>
        <v>0</v>
      </c>
      <c r="AD384" s="527">
        <f t="shared" si="48"/>
        <v>0</v>
      </c>
      <c r="AE384" s="527">
        <f t="shared" si="49"/>
        <v>0</v>
      </c>
      <c r="AF384" s="527">
        <f t="shared" si="50"/>
        <v>0</v>
      </c>
      <c r="AG384" s="527">
        <f t="shared" si="51"/>
        <v>0</v>
      </c>
      <c r="AH384" s="527"/>
      <c r="AI384" s="639">
        <f t="shared" si="53"/>
        <v>6.7770000000000001</v>
      </c>
    </row>
    <row r="385" spans="1:47" ht="12.75" customHeight="1" x14ac:dyDescent="0.2">
      <c r="A385" s="527">
        <v>375</v>
      </c>
      <c r="C385" s="533" t="s">
        <v>2742</v>
      </c>
      <c r="E385" s="527" t="s">
        <v>795</v>
      </c>
      <c r="G385" s="530">
        <v>16.52</v>
      </c>
      <c r="J385" s="624"/>
      <c r="K385" s="533" t="s">
        <v>2664</v>
      </c>
      <c r="N385" s="624">
        <v>43691</v>
      </c>
      <c r="P385" s="911">
        <v>1</v>
      </c>
      <c r="W385" s="613">
        <f t="shared" si="54"/>
        <v>1</v>
      </c>
      <c r="AB385" s="527">
        <f t="shared" si="52"/>
        <v>16.52</v>
      </c>
      <c r="AC385" s="527">
        <f t="shared" si="47"/>
        <v>0</v>
      </c>
      <c r="AD385" s="527">
        <f t="shared" si="48"/>
        <v>0</v>
      </c>
      <c r="AE385" s="527">
        <f t="shared" si="49"/>
        <v>0</v>
      </c>
      <c r="AF385" s="527">
        <f t="shared" si="50"/>
        <v>0</v>
      </c>
      <c r="AG385" s="527">
        <f t="shared" si="51"/>
        <v>0</v>
      </c>
      <c r="AH385" s="527"/>
      <c r="AI385" s="639">
        <f t="shared" si="53"/>
        <v>16.52</v>
      </c>
    </row>
    <row r="386" spans="1:47" ht="12.75" customHeight="1" x14ac:dyDescent="0.2">
      <c r="A386" s="527">
        <v>376</v>
      </c>
      <c r="C386" s="533" t="s">
        <v>2743</v>
      </c>
      <c r="E386" s="527" t="s">
        <v>795</v>
      </c>
      <c r="G386" s="530">
        <v>13.59</v>
      </c>
      <c r="J386" s="624"/>
      <c r="K386" s="533" t="s">
        <v>2664</v>
      </c>
      <c r="N386" s="624">
        <v>43691</v>
      </c>
      <c r="P386" s="911">
        <v>1</v>
      </c>
      <c r="W386" s="613">
        <f t="shared" si="54"/>
        <v>1</v>
      </c>
      <c r="AB386" s="527">
        <f t="shared" si="52"/>
        <v>13.59</v>
      </c>
      <c r="AC386" s="527">
        <f t="shared" ref="AC386:AC449" si="55">IF(Q386=1,$G386,0)</f>
        <v>0</v>
      </c>
      <c r="AD386" s="527">
        <f t="shared" ref="AD386:AD449" si="56">IF(R386=1,$G386,0)</f>
        <v>0</v>
      </c>
      <c r="AE386" s="527">
        <f t="shared" ref="AE386:AE449" si="57">IF(S386=1,$G386,0)</f>
        <v>0</v>
      </c>
      <c r="AF386" s="527">
        <f t="shared" ref="AF386:AF449" si="58">IF(T386=1,$G386,0)</f>
        <v>0</v>
      </c>
      <c r="AG386" s="527">
        <f t="shared" ref="AG386:AG449" si="59">IF(U386=1,$G386,0)</f>
        <v>0</v>
      </c>
      <c r="AH386" s="527"/>
      <c r="AI386" s="639">
        <f t="shared" si="53"/>
        <v>13.59</v>
      </c>
    </row>
    <row r="387" spans="1:47" ht="12.75" customHeight="1" x14ac:dyDescent="0.2">
      <c r="A387" s="527">
        <v>377</v>
      </c>
      <c r="C387" s="533" t="s">
        <v>2744</v>
      </c>
      <c r="E387" s="527" t="s">
        <v>795</v>
      </c>
      <c r="G387" s="530">
        <v>45.87</v>
      </c>
      <c r="J387" s="624"/>
      <c r="K387" s="533" t="s">
        <v>2664</v>
      </c>
      <c r="N387" s="624">
        <v>43691</v>
      </c>
      <c r="P387" s="911">
        <v>1</v>
      </c>
      <c r="W387" s="613">
        <f t="shared" si="54"/>
        <v>1</v>
      </c>
      <c r="AB387" s="527">
        <f t="shared" ref="AB387:AB450" si="60">IF(P387=1,$G387,0)</f>
        <v>45.87</v>
      </c>
      <c r="AC387" s="527">
        <f t="shared" si="55"/>
        <v>0</v>
      </c>
      <c r="AD387" s="527">
        <f t="shared" si="56"/>
        <v>0</v>
      </c>
      <c r="AE387" s="527">
        <f t="shared" si="57"/>
        <v>0</v>
      </c>
      <c r="AF387" s="527">
        <f t="shared" si="58"/>
        <v>0</v>
      </c>
      <c r="AG387" s="527">
        <f t="shared" si="59"/>
        <v>0</v>
      </c>
      <c r="AH387" s="527"/>
      <c r="AI387" s="639">
        <f t="shared" si="53"/>
        <v>45.87</v>
      </c>
    </row>
    <row r="388" spans="1:47" ht="12.75" customHeight="1" x14ac:dyDescent="0.2">
      <c r="A388" s="527">
        <v>378</v>
      </c>
      <c r="C388" s="533" t="s">
        <v>2745</v>
      </c>
      <c r="E388" s="527" t="s">
        <v>795</v>
      </c>
      <c r="G388" s="530">
        <v>11.64</v>
      </c>
      <c r="J388" s="624"/>
      <c r="K388" s="533" t="s">
        <v>2664</v>
      </c>
      <c r="N388" s="624">
        <v>43691</v>
      </c>
      <c r="P388" s="911">
        <v>1</v>
      </c>
      <c r="W388" s="613">
        <f t="shared" si="54"/>
        <v>1</v>
      </c>
      <c r="AB388" s="527">
        <f t="shared" si="60"/>
        <v>11.64</v>
      </c>
      <c r="AC388" s="527">
        <f t="shared" si="55"/>
        <v>0</v>
      </c>
      <c r="AD388" s="527">
        <f t="shared" si="56"/>
        <v>0</v>
      </c>
      <c r="AE388" s="527">
        <f t="shared" si="57"/>
        <v>0</v>
      </c>
      <c r="AF388" s="527">
        <f t="shared" si="58"/>
        <v>0</v>
      </c>
      <c r="AG388" s="527">
        <f t="shared" si="59"/>
        <v>0</v>
      </c>
      <c r="AH388" s="527"/>
      <c r="AI388" s="639">
        <f t="shared" si="53"/>
        <v>11.64</v>
      </c>
    </row>
    <row r="389" spans="1:47" ht="12.75" customHeight="1" x14ac:dyDescent="0.25">
      <c r="A389" s="527">
        <v>379</v>
      </c>
      <c r="C389" s="533" t="s">
        <v>2746</v>
      </c>
      <c r="E389" s="527" t="s">
        <v>2756</v>
      </c>
      <c r="G389" s="619">
        <v>13</v>
      </c>
      <c r="J389" s="624"/>
      <c r="K389" s="533" t="s">
        <v>2664</v>
      </c>
      <c r="N389" s="624">
        <v>43695</v>
      </c>
      <c r="R389" s="911">
        <v>1</v>
      </c>
      <c r="W389" s="613">
        <f t="shared" si="54"/>
        <v>1</v>
      </c>
      <c r="AB389" s="527">
        <f t="shared" si="60"/>
        <v>0</v>
      </c>
      <c r="AC389" s="527">
        <f t="shared" si="55"/>
        <v>0</v>
      </c>
      <c r="AD389" s="527">
        <f t="shared" si="56"/>
        <v>13</v>
      </c>
      <c r="AE389" s="527">
        <f t="shared" si="57"/>
        <v>0</v>
      </c>
      <c r="AF389" s="527">
        <f t="shared" si="58"/>
        <v>0</v>
      </c>
      <c r="AG389" s="527">
        <f t="shared" si="59"/>
        <v>0</v>
      </c>
      <c r="AH389" s="527"/>
      <c r="AI389" s="639">
        <f t="shared" si="53"/>
        <v>13</v>
      </c>
      <c r="AR389" s="903"/>
      <c r="AS389" s="904"/>
      <c r="AT389" s="904"/>
      <c r="AU389" s="904"/>
    </row>
    <row r="390" spans="1:47" ht="12.75" customHeight="1" x14ac:dyDescent="0.2">
      <c r="A390" s="527">
        <v>380</v>
      </c>
      <c r="C390" s="533" t="s">
        <v>2740</v>
      </c>
      <c r="E390" s="527" t="s">
        <v>3267</v>
      </c>
      <c r="F390" s="533" t="s">
        <v>2752</v>
      </c>
      <c r="G390" s="619">
        <v>103770</v>
      </c>
      <c r="H390" s="808" t="s">
        <v>91</v>
      </c>
      <c r="I390" s="808" t="s">
        <v>2501</v>
      </c>
      <c r="J390" s="617">
        <v>43041</v>
      </c>
      <c r="K390" s="533" t="s">
        <v>2664</v>
      </c>
      <c r="N390" s="624">
        <v>43708</v>
      </c>
      <c r="U390" s="613">
        <v>1</v>
      </c>
      <c r="W390" s="613">
        <f t="shared" si="54"/>
        <v>1</v>
      </c>
      <c r="X390" s="613">
        <v>1</v>
      </c>
      <c r="AB390" s="527">
        <f t="shared" si="60"/>
        <v>0</v>
      </c>
      <c r="AC390" s="527">
        <f t="shared" si="55"/>
        <v>0</v>
      </c>
      <c r="AD390" s="527">
        <f t="shared" si="56"/>
        <v>0</v>
      </c>
      <c r="AE390" s="527">
        <f t="shared" si="57"/>
        <v>0</v>
      </c>
      <c r="AF390" s="527">
        <f t="shared" si="58"/>
        <v>0</v>
      </c>
      <c r="AG390" s="527">
        <f t="shared" si="59"/>
        <v>103770</v>
      </c>
      <c r="AH390" s="527"/>
      <c r="AI390" s="639">
        <f t="shared" si="53"/>
        <v>103770</v>
      </c>
    </row>
    <row r="391" spans="1:47" ht="12.75" customHeight="1" x14ac:dyDescent="0.2">
      <c r="A391" s="527">
        <v>381</v>
      </c>
      <c r="C391" s="533" t="s">
        <v>2755</v>
      </c>
      <c r="E391" s="527" t="s">
        <v>2756</v>
      </c>
      <c r="G391" s="619">
        <v>25</v>
      </c>
      <c r="J391" s="624"/>
      <c r="K391" s="533" t="s">
        <v>2664</v>
      </c>
      <c r="N391" s="624">
        <v>43729</v>
      </c>
      <c r="U391" s="613">
        <v>1</v>
      </c>
      <c r="W391" s="613">
        <f t="shared" si="54"/>
        <v>1</v>
      </c>
      <c r="AB391" s="527">
        <f t="shared" si="60"/>
        <v>0</v>
      </c>
      <c r="AC391" s="527">
        <f t="shared" si="55"/>
        <v>0</v>
      </c>
      <c r="AD391" s="527">
        <f t="shared" si="56"/>
        <v>0</v>
      </c>
      <c r="AE391" s="527">
        <f t="shared" si="57"/>
        <v>0</v>
      </c>
      <c r="AF391" s="527">
        <f t="shared" si="58"/>
        <v>0</v>
      </c>
      <c r="AG391" s="527">
        <f t="shared" si="59"/>
        <v>25</v>
      </c>
      <c r="AH391" s="527"/>
      <c r="AI391" s="639">
        <f t="shared" ref="AI391:AI454" si="61">G391</f>
        <v>25</v>
      </c>
    </row>
    <row r="392" spans="1:47" ht="12.75" customHeight="1" x14ac:dyDescent="0.2">
      <c r="A392" s="527">
        <v>382</v>
      </c>
      <c r="C392" s="533" t="s">
        <v>2757</v>
      </c>
      <c r="E392" s="527" t="s">
        <v>3306</v>
      </c>
      <c r="G392" s="530">
        <v>30.07</v>
      </c>
      <c r="J392" s="624"/>
      <c r="K392" s="533" t="s">
        <v>2664</v>
      </c>
      <c r="N392" s="624">
        <v>43729</v>
      </c>
      <c r="U392" s="613">
        <v>1</v>
      </c>
      <c r="W392" s="613">
        <f t="shared" si="54"/>
        <v>1</v>
      </c>
      <c r="AB392" s="527">
        <f t="shared" si="60"/>
        <v>0</v>
      </c>
      <c r="AC392" s="527">
        <f t="shared" si="55"/>
        <v>0</v>
      </c>
      <c r="AD392" s="527">
        <f t="shared" si="56"/>
        <v>0</v>
      </c>
      <c r="AE392" s="527">
        <f t="shared" si="57"/>
        <v>0</v>
      </c>
      <c r="AF392" s="527">
        <f t="shared" si="58"/>
        <v>0</v>
      </c>
      <c r="AG392" s="527">
        <f t="shared" si="59"/>
        <v>30.07</v>
      </c>
      <c r="AH392" s="527"/>
      <c r="AI392" s="639">
        <f t="shared" si="61"/>
        <v>30.07</v>
      </c>
    </row>
    <row r="393" spans="1:47" ht="12.75" customHeight="1" x14ac:dyDescent="0.2">
      <c r="A393" s="527">
        <v>383</v>
      </c>
      <c r="C393" s="533" t="s">
        <v>2758</v>
      </c>
      <c r="E393" s="527" t="s">
        <v>2759</v>
      </c>
      <c r="G393" s="619">
        <v>232</v>
      </c>
      <c r="J393" s="624"/>
      <c r="K393" s="533" t="s">
        <v>2664</v>
      </c>
      <c r="N393" s="624">
        <v>43734</v>
      </c>
      <c r="U393" s="613">
        <v>1</v>
      </c>
      <c r="W393" s="613">
        <f t="shared" si="54"/>
        <v>1</v>
      </c>
      <c r="AB393" s="527">
        <f t="shared" si="60"/>
        <v>0</v>
      </c>
      <c r="AC393" s="527">
        <f t="shared" si="55"/>
        <v>0</v>
      </c>
      <c r="AD393" s="527">
        <f t="shared" si="56"/>
        <v>0</v>
      </c>
      <c r="AE393" s="527">
        <f t="shared" si="57"/>
        <v>0</v>
      </c>
      <c r="AF393" s="527">
        <f t="shared" si="58"/>
        <v>0</v>
      </c>
      <c r="AG393" s="527">
        <f t="shared" si="59"/>
        <v>232</v>
      </c>
      <c r="AH393" s="527"/>
      <c r="AI393" s="639">
        <f t="shared" si="61"/>
        <v>232</v>
      </c>
    </row>
    <row r="394" spans="1:47" ht="12.75" customHeight="1" x14ac:dyDescent="0.2">
      <c r="A394" s="527">
        <v>384</v>
      </c>
      <c r="C394" s="907" t="s">
        <v>2760</v>
      </c>
      <c r="E394" s="527" t="s">
        <v>3307</v>
      </c>
      <c r="F394" s="533" t="s">
        <v>2767</v>
      </c>
      <c r="G394" s="619">
        <v>233</v>
      </c>
      <c r="J394" s="624"/>
      <c r="K394" s="533" t="s">
        <v>2664</v>
      </c>
      <c r="N394" s="624">
        <v>43749</v>
      </c>
      <c r="U394" s="613">
        <v>1</v>
      </c>
      <c r="W394" s="613">
        <f t="shared" si="54"/>
        <v>1</v>
      </c>
      <c r="AB394" s="527">
        <f t="shared" si="60"/>
        <v>0</v>
      </c>
      <c r="AC394" s="527">
        <f t="shared" si="55"/>
        <v>0</v>
      </c>
      <c r="AD394" s="527">
        <f t="shared" si="56"/>
        <v>0</v>
      </c>
      <c r="AE394" s="527">
        <f t="shared" si="57"/>
        <v>0</v>
      </c>
      <c r="AF394" s="527">
        <f t="shared" si="58"/>
        <v>0</v>
      </c>
      <c r="AG394" s="527">
        <f t="shared" si="59"/>
        <v>233</v>
      </c>
      <c r="AH394" s="527"/>
      <c r="AI394" s="639">
        <f t="shared" si="61"/>
        <v>233</v>
      </c>
    </row>
    <row r="395" spans="1:47" ht="12.75" customHeight="1" x14ac:dyDescent="0.2">
      <c r="A395" s="527">
        <v>385</v>
      </c>
      <c r="C395" s="533" t="s">
        <v>2761</v>
      </c>
      <c r="E395" s="527" t="s">
        <v>2764</v>
      </c>
      <c r="F395" s="533" t="s">
        <v>2768</v>
      </c>
      <c r="G395" s="639">
        <v>150.80000000000001</v>
      </c>
      <c r="J395" s="624"/>
      <c r="K395" s="533" t="s">
        <v>2664</v>
      </c>
      <c r="N395" s="624">
        <v>43749</v>
      </c>
      <c r="U395" s="613">
        <v>1</v>
      </c>
      <c r="W395" s="613">
        <f t="shared" si="54"/>
        <v>1</v>
      </c>
      <c r="AB395" s="527">
        <f t="shared" si="60"/>
        <v>0</v>
      </c>
      <c r="AC395" s="527">
        <f t="shared" si="55"/>
        <v>0</v>
      </c>
      <c r="AD395" s="527">
        <f t="shared" si="56"/>
        <v>0</v>
      </c>
      <c r="AE395" s="527">
        <f t="shared" si="57"/>
        <v>0</v>
      </c>
      <c r="AF395" s="527">
        <f t="shared" si="58"/>
        <v>0</v>
      </c>
      <c r="AG395" s="527">
        <f t="shared" si="59"/>
        <v>150.80000000000001</v>
      </c>
      <c r="AH395" s="527"/>
      <c r="AI395" s="639">
        <f t="shared" si="61"/>
        <v>150.80000000000001</v>
      </c>
    </row>
    <row r="396" spans="1:47" ht="12.75" customHeight="1" x14ac:dyDescent="0.2">
      <c r="A396" s="527">
        <v>386</v>
      </c>
      <c r="C396" s="533" t="s">
        <v>2762</v>
      </c>
      <c r="E396" s="527" t="s">
        <v>2765</v>
      </c>
      <c r="F396" s="533" t="s">
        <v>2769</v>
      </c>
      <c r="G396" s="530">
        <v>68.75</v>
      </c>
      <c r="J396" s="624"/>
      <c r="K396" s="533" t="s">
        <v>2664</v>
      </c>
      <c r="N396" s="624">
        <v>43749</v>
      </c>
      <c r="U396" s="613">
        <v>1</v>
      </c>
      <c r="W396" s="613">
        <f t="shared" si="54"/>
        <v>1</v>
      </c>
      <c r="Y396" s="613">
        <v>1</v>
      </c>
      <c r="AB396" s="527">
        <f t="shared" si="60"/>
        <v>0</v>
      </c>
      <c r="AC396" s="527">
        <f t="shared" si="55"/>
        <v>0</v>
      </c>
      <c r="AD396" s="527">
        <f t="shared" si="56"/>
        <v>0</v>
      </c>
      <c r="AE396" s="527">
        <f t="shared" si="57"/>
        <v>0</v>
      </c>
      <c r="AF396" s="527">
        <f t="shared" si="58"/>
        <v>0</v>
      </c>
      <c r="AG396" s="527">
        <f t="shared" si="59"/>
        <v>68.75</v>
      </c>
      <c r="AH396" s="527"/>
      <c r="AI396" s="639">
        <f t="shared" si="61"/>
        <v>68.75</v>
      </c>
      <c r="AK396" s="778">
        <v>1</v>
      </c>
    </row>
    <row r="397" spans="1:47" ht="12.75" customHeight="1" x14ac:dyDescent="0.2">
      <c r="A397" s="527">
        <v>387</v>
      </c>
      <c r="C397" s="533" t="s">
        <v>2763</v>
      </c>
      <c r="E397" s="527" t="s">
        <v>3700</v>
      </c>
      <c r="F397" s="533" t="s">
        <v>2766</v>
      </c>
      <c r="G397" s="619">
        <v>4602</v>
      </c>
      <c r="J397" s="624"/>
      <c r="K397" s="533" t="s">
        <v>2664</v>
      </c>
      <c r="N397" s="624">
        <v>43749</v>
      </c>
      <c r="U397" s="613">
        <v>1</v>
      </c>
      <c r="W397" s="613">
        <f t="shared" si="54"/>
        <v>1</v>
      </c>
      <c r="AB397" s="527">
        <f t="shared" si="60"/>
        <v>0</v>
      </c>
      <c r="AC397" s="527">
        <f t="shared" si="55"/>
        <v>0</v>
      </c>
      <c r="AD397" s="527">
        <f t="shared" si="56"/>
        <v>0</v>
      </c>
      <c r="AE397" s="527">
        <f t="shared" si="57"/>
        <v>0</v>
      </c>
      <c r="AF397" s="527">
        <f t="shared" si="58"/>
        <v>0</v>
      </c>
      <c r="AG397" s="527">
        <f t="shared" si="59"/>
        <v>4602</v>
      </c>
      <c r="AH397" s="527"/>
      <c r="AI397" s="639">
        <f t="shared" si="61"/>
        <v>4602</v>
      </c>
      <c r="AK397" s="778">
        <v>1</v>
      </c>
    </row>
    <row r="398" spans="1:47" ht="12.75" customHeight="1" x14ac:dyDescent="0.2">
      <c r="A398" s="527">
        <v>388</v>
      </c>
      <c r="C398" s="533" t="s">
        <v>2770</v>
      </c>
      <c r="E398" s="527" t="s">
        <v>2774</v>
      </c>
      <c r="F398" s="533" t="s">
        <v>2775</v>
      </c>
      <c r="G398" s="619">
        <v>500</v>
      </c>
      <c r="J398" s="624"/>
      <c r="K398" s="533" t="s">
        <v>2664</v>
      </c>
      <c r="N398" s="624">
        <v>43776</v>
      </c>
      <c r="U398" s="613">
        <v>1</v>
      </c>
      <c r="W398" s="613">
        <f t="shared" si="54"/>
        <v>1</v>
      </c>
      <c r="AB398" s="527">
        <f t="shared" si="60"/>
        <v>0</v>
      </c>
      <c r="AC398" s="527">
        <f t="shared" si="55"/>
        <v>0</v>
      </c>
      <c r="AD398" s="527">
        <f t="shared" si="56"/>
        <v>0</v>
      </c>
      <c r="AE398" s="527">
        <f t="shared" si="57"/>
        <v>0</v>
      </c>
      <c r="AF398" s="527">
        <f t="shared" si="58"/>
        <v>0</v>
      </c>
      <c r="AG398" s="527">
        <f t="shared" si="59"/>
        <v>500</v>
      </c>
      <c r="AH398" s="527"/>
      <c r="AI398" s="639">
        <f t="shared" si="61"/>
        <v>500</v>
      </c>
    </row>
    <row r="399" spans="1:47" ht="12.75" customHeight="1" x14ac:dyDescent="0.2">
      <c r="A399" s="527">
        <v>389</v>
      </c>
      <c r="C399" s="533" t="s">
        <v>2771</v>
      </c>
      <c r="E399" s="527" t="s">
        <v>2774</v>
      </c>
      <c r="G399" s="619">
        <v>395</v>
      </c>
      <c r="J399" s="624"/>
      <c r="K399" s="533" t="s">
        <v>2664</v>
      </c>
      <c r="N399" s="624">
        <v>43776</v>
      </c>
      <c r="U399" s="613">
        <v>1</v>
      </c>
      <c r="W399" s="613">
        <f t="shared" si="54"/>
        <v>1</v>
      </c>
      <c r="AB399" s="527">
        <f t="shared" si="60"/>
        <v>0</v>
      </c>
      <c r="AC399" s="527">
        <f t="shared" si="55"/>
        <v>0</v>
      </c>
      <c r="AD399" s="527">
        <f t="shared" si="56"/>
        <v>0</v>
      </c>
      <c r="AE399" s="527">
        <f t="shared" si="57"/>
        <v>0</v>
      </c>
      <c r="AF399" s="527">
        <f t="shared" si="58"/>
        <v>0</v>
      </c>
      <c r="AG399" s="527">
        <f t="shared" si="59"/>
        <v>395</v>
      </c>
      <c r="AH399" s="527"/>
      <c r="AI399" s="639">
        <f t="shared" si="61"/>
        <v>395</v>
      </c>
    </row>
    <row r="400" spans="1:47" ht="12.75" customHeight="1" x14ac:dyDescent="0.2">
      <c r="A400" s="527">
        <v>390</v>
      </c>
      <c r="C400" s="533" t="s">
        <v>2772</v>
      </c>
      <c r="E400" s="527" t="s">
        <v>3308</v>
      </c>
      <c r="G400" s="619">
        <v>2742</v>
      </c>
      <c r="J400" s="624"/>
      <c r="K400" s="533" t="s">
        <v>2664</v>
      </c>
      <c r="N400" s="624">
        <v>43776</v>
      </c>
      <c r="U400" s="613">
        <v>1</v>
      </c>
      <c r="W400" s="613">
        <f t="shared" si="54"/>
        <v>1</v>
      </c>
      <c r="AB400" s="527">
        <f t="shared" si="60"/>
        <v>0</v>
      </c>
      <c r="AC400" s="527">
        <f t="shared" si="55"/>
        <v>0</v>
      </c>
      <c r="AD400" s="527">
        <f t="shared" si="56"/>
        <v>0</v>
      </c>
      <c r="AE400" s="527">
        <f t="shared" si="57"/>
        <v>0</v>
      </c>
      <c r="AF400" s="527">
        <f t="shared" si="58"/>
        <v>0</v>
      </c>
      <c r="AG400" s="527">
        <f t="shared" si="59"/>
        <v>2742</v>
      </c>
      <c r="AH400" s="527"/>
      <c r="AI400" s="639">
        <f t="shared" si="61"/>
        <v>2742</v>
      </c>
    </row>
    <row r="401" spans="1:35" ht="12.75" customHeight="1" x14ac:dyDescent="0.2">
      <c r="A401" s="527">
        <v>391</v>
      </c>
      <c r="C401" s="533" t="s">
        <v>2773</v>
      </c>
      <c r="E401" s="527" t="s">
        <v>2776</v>
      </c>
      <c r="G401" s="619">
        <v>808</v>
      </c>
      <c r="J401" s="624"/>
      <c r="K401" s="533" t="s">
        <v>2664</v>
      </c>
      <c r="N401" s="624">
        <v>43776</v>
      </c>
      <c r="U401" s="613">
        <v>1</v>
      </c>
      <c r="W401" s="613">
        <f t="shared" si="54"/>
        <v>1</v>
      </c>
      <c r="AB401" s="527">
        <f t="shared" si="60"/>
        <v>0</v>
      </c>
      <c r="AC401" s="527">
        <f t="shared" si="55"/>
        <v>0</v>
      </c>
      <c r="AD401" s="527">
        <f t="shared" si="56"/>
        <v>0</v>
      </c>
      <c r="AE401" s="527">
        <f t="shared" si="57"/>
        <v>0</v>
      </c>
      <c r="AF401" s="527">
        <f t="shared" si="58"/>
        <v>0</v>
      </c>
      <c r="AG401" s="527">
        <f t="shared" si="59"/>
        <v>808</v>
      </c>
      <c r="AH401" s="527"/>
      <c r="AI401" s="639">
        <f t="shared" si="61"/>
        <v>808</v>
      </c>
    </row>
    <row r="402" spans="1:35" ht="12.75" customHeight="1" x14ac:dyDescent="0.2">
      <c r="A402" s="527">
        <v>392</v>
      </c>
      <c r="C402" s="533" t="s">
        <v>2751</v>
      </c>
      <c r="D402" s="811">
        <v>88</v>
      </c>
      <c r="E402" s="533" t="s">
        <v>2753</v>
      </c>
      <c r="F402" s="827" t="s">
        <v>2646</v>
      </c>
      <c r="G402" s="619">
        <v>282</v>
      </c>
      <c r="H402" s="639">
        <f>137.1+106.3</f>
        <v>243.39999999999998</v>
      </c>
      <c r="I402" s="613" t="s">
        <v>1995</v>
      </c>
      <c r="J402" s="617">
        <v>42193</v>
      </c>
      <c r="K402" s="533" t="s">
        <v>2664</v>
      </c>
      <c r="N402" s="624">
        <v>43776</v>
      </c>
      <c r="U402" s="613">
        <v>1</v>
      </c>
      <c r="W402" s="613">
        <f t="shared" si="54"/>
        <v>1</v>
      </c>
      <c r="X402" s="613">
        <v>1</v>
      </c>
      <c r="AB402" s="527">
        <f t="shared" si="60"/>
        <v>0</v>
      </c>
      <c r="AC402" s="527">
        <f t="shared" si="55"/>
        <v>0</v>
      </c>
      <c r="AD402" s="527">
        <f t="shared" si="56"/>
        <v>0</v>
      </c>
      <c r="AE402" s="527">
        <f t="shared" si="57"/>
        <v>0</v>
      </c>
      <c r="AF402" s="527">
        <f t="shared" si="58"/>
        <v>0</v>
      </c>
      <c r="AG402" s="527">
        <f t="shared" si="59"/>
        <v>282</v>
      </c>
      <c r="AH402" s="527"/>
      <c r="AI402" s="639">
        <f t="shared" si="61"/>
        <v>282</v>
      </c>
    </row>
    <row r="403" spans="1:35" ht="12.75" customHeight="1" x14ac:dyDescent="0.2">
      <c r="A403" s="527">
        <v>393</v>
      </c>
      <c r="C403" s="533" t="s">
        <v>2788</v>
      </c>
      <c r="E403" s="527" t="s">
        <v>3309</v>
      </c>
      <c r="G403" s="619">
        <v>182</v>
      </c>
      <c r="J403" s="624"/>
      <c r="K403" s="533" t="s">
        <v>2664</v>
      </c>
      <c r="N403" s="624">
        <v>43785</v>
      </c>
      <c r="U403" s="613">
        <v>1</v>
      </c>
      <c r="W403" s="613">
        <f t="shared" si="54"/>
        <v>1</v>
      </c>
      <c r="AB403" s="527">
        <f t="shared" si="60"/>
        <v>0</v>
      </c>
      <c r="AC403" s="527">
        <f t="shared" si="55"/>
        <v>0</v>
      </c>
      <c r="AD403" s="527">
        <f t="shared" si="56"/>
        <v>0</v>
      </c>
      <c r="AE403" s="527">
        <f t="shared" si="57"/>
        <v>0</v>
      </c>
      <c r="AF403" s="527">
        <f t="shared" si="58"/>
        <v>0</v>
      </c>
      <c r="AG403" s="527">
        <f t="shared" si="59"/>
        <v>182</v>
      </c>
      <c r="AH403" s="527"/>
      <c r="AI403" s="639">
        <f t="shared" si="61"/>
        <v>182</v>
      </c>
    </row>
    <row r="404" spans="1:35" ht="12.75" customHeight="1" x14ac:dyDescent="0.2">
      <c r="A404" s="527">
        <v>394</v>
      </c>
      <c r="C404" s="533" t="s">
        <v>2781</v>
      </c>
      <c r="E404" s="527" t="s">
        <v>3310</v>
      </c>
      <c r="G404" s="530">
        <v>1.39</v>
      </c>
      <c r="J404" s="624"/>
      <c r="K404" s="533" t="s">
        <v>2664</v>
      </c>
      <c r="N404" s="624">
        <v>43798</v>
      </c>
      <c r="U404" s="613">
        <v>1</v>
      </c>
      <c r="W404" s="613">
        <f t="shared" si="54"/>
        <v>1</v>
      </c>
      <c r="AB404" s="527">
        <f t="shared" si="60"/>
        <v>0</v>
      </c>
      <c r="AC404" s="527">
        <f t="shared" si="55"/>
        <v>0</v>
      </c>
      <c r="AD404" s="527">
        <f t="shared" si="56"/>
        <v>0</v>
      </c>
      <c r="AE404" s="527">
        <f t="shared" si="57"/>
        <v>0</v>
      </c>
      <c r="AF404" s="527">
        <f t="shared" si="58"/>
        <v>0</v>
      </c>
      <c r="AG404" s="527">
        <f t="shared" si="59"/>
        <v>1.39</v>
      </c>
      <c r="AH404" s="527"/>
      <c r="AI404" s="639">
        <f t="shared" si="61"/>
        <v>1.39</v>
      </c>
    </row>
    <row r="405" spans="1:35" ht="12.75" customHeight="1" x14ac:dyDescent="0.2">
      <c r="A405" s="527">
        <v>395</v>
      </c>
      <c r="C405" s="533" t="s">
        <v>2782</v>
      </c>
      <c r="E405" s="527" t="s">
        <v>2786</v>
      </c>
      <c r="F405" s="533" t="s">
        <v>2790</v>
      </c>
      <c r="G405" s="619">
        <v>280</v>
      </c>
      <c r="J405" s="624"/>
      <c r="K405" s="533" t="s">
        <v>2664</v>
      </c>
      <c r="N405" s="624">
        <v>43822</v>
      </c>
      <c r="U405" s="613">
        <v>1</v>
      </c>
      <c r="W405" s="613">
        <f t="shared" si="54"/>
        <v>1</v>
      </c>
      <c r="AB405" s="527">
        <f t="shared" si="60"/>
        <v>0</v>
      </c>
      <c r="AC405" s="527">
        <f t="shared" si="55"/>
        <v>0</v>
      </c>
      <c r="AD405" s="527">
        <f t="shared" si="56"/>
        <v>0</v>
      </c>
      <c r="AE405" s="527">
        <f t="shared" si="57"/>
        <v>0</v>
      </c>
      <c r="AF405" s="527">
        <f t="shared" si="58"/>
        <v>0</v>
      </c>
      <c r="AG405" s="527">
        <f t="shared" si="59"/>
        <v>280</v>
      </c>
      <c r="AH405" s="527"/>
      <c r="AI405" s="639">
        <f t="shared" si="61"/>
        <v>280</v>
      </c>
    </row>
    <row r="406" spans="1:35" ht="12.75" customHeight="1" x14ac:dyDescent="0.2">
      <c r="A406" s="527">
        <v>396</v>
      </c>
      <c r="C406" s="533" t="s">
        <v>2783</v>
      </c>
      <c r="E406" s="527" t="s">
        <v>3311</v>
      </c>
      <c r="G406" s="619">
        <v>1300</v>
      </c>
      <c r="J406" s="624"/>
      <c r="K406" s="533" t="s">
        <v>2664</v>
      </c>
      <c r="N406" s="624">
        <v>43822</v>
      </c>
      <c r="U406" s="613">
        <v>1</v>
      </c>
      <c r="W406" s="613">
        <f t="shared" si="54"/>
        <v>1</v>
      </c>
      <c r="AB406" s="527">
        <f t="shared" si="60"/>
        <v>0</v>
      </c>
      <c r="AC406" s="527">
        <f t="shared" si="55"/>
        <v>0</v>
      </c>
      <c r="AD406" s="527">
        <f t="shared" si="56"/>
        <v>0</v>
      </c>
      <c r="AE406" s="527">
        <f t="shared" si="57"/>
        <v>0</v>
      </c>
      <c r="AF406" s="527">
        <f t="shared" si="58"/>
        <v>0</v>
      </c>
      <c r="AG406" s="527">
        <f t="shared" si="59"/>
        <v>1300</v>
      </c>
      <c r="AH406" s="527"/>
      <c r="AI406" s="639">
        <f t="shared" si="61"/>
        <v>1300</v>
      </c>
    </row>
    <row r="407" spans="1:35" ht="12.75" customHeight="1" x14ac:dyDescent="0.2">
      <c r="A407" s="527">
        <v>397</v>
      </c>
      <c r="C407" s="533" t="s">
        <v>2784</v>
      </c>
      <c r="E407" s="527" t="s">
        <v>3312</v>
      </c>
      <c r="G407" s="619">
        <v>33</v>
      </c>
      <c r="J407" s="624"/>
      <c r="K407" s="533" t="s">
        <v>2664</v>
      </c>
      <c r="N407" s="624">
        <v>43822</v>
      </c>
      <c r="U407" s="613">
        <v>1</v>
      </c>
      <c r="W407" s="613">
        <f t="shared" si="54"/>
        <v>1</v>
      </c>
      <c r="AB407" s="527">
        <f t="shared" si="60"/>
        <v>0</v>
      </c>
      <c r="AC407" s="527">
        <f t="shared" si="55"/>
        <v>0</v>
      </c>
      <c r="AD407" s="527">
        <f t="shared" si="56"/>
        <v>0</v>
      </c>
      <c r="AE407" s="527">
        <f t="shared" si="57"/>
        <v>0</v>
      </c>
      <c r="AF407" s="527">
        <f t="shared" si="58"/>
        <v>0</v>
      </c>
      <c r="AG407" s="527">
        <f t="shared" si="59"/>
        <v>33</v>
      </c>
      <c r="AH407" s="527"/>
      <c r="AI407" s="639">
        <f t="shared" si="61"/>
        <v>33</v>
      </c>
    </row>
    <row r="408" spans="1:35" ht="12.75" customHeight="1" x14ac:dyDescent="0.2">
      <c r="A408" s="527">
        <v>398</v>
      </c>
      <c r="C408" s="533" t="s">
        <v>2785</v>
      </c>
      <c r="E408" s="527" t="s">
        <v>2787</v>
      </c>
      <c r="F408" s="533" t="s">
        <v>2789</v>
      </c>
      <c r="G408" s="619">
        <v>60</v>
      </c>
      <c r="J408" s="624"/>
      <c r="K408" s="533" t="s">
        <v>2664</v>
      </c>
      <c r="N408" s="624">
        <v>43822</v>
      </c>
      <c r="U408" s="613">
        <v>1</v>
      </c>
      <c r="W408" s="613">
        <f t="shared" si="54"/>
        <v>1</v>
      </c>
      <c r="AB408" s="527">
        <f t="shared" si="60"/>
        <v>0</v>
      </c>
      <c r="AC408" s="527">
        <f t="shared" si="55"/>
        <v>0</v>
      </c>
      <c r="AD408" s="527">
        <f t="shared" si="56"/>
        <v>0</v>
      </c>
      <c r="AE408" s="527">
        <f t="shared" si="57"/>
        <v>0</v>
      </c>
      <c r="AF408" s="527">
        <f t="shared" si="58"/>
        <v>0</v>
      </c>
      <c r="AG408" s="527">
        <f t="shared" si="59"/>
        <v>60</v>
      </c>
      <c r="AH408" s="527"/>
      <c r="AI408" s="639">
        <f t="shared" si="61"/>
        <v>60</v>
      </c>
    </row>
    <row r="409" spans="1:35" ht="12.75" customHeight="1" x14ac:dyDescent="0.2">
      <c r="A409" s="527">
        <v>399</v>
      </c>
      <c r="C409" s="533" t="s">
        <v>2798</v>
      </c>
      <c r="E409" s="527" t="s">
        <v>3313</v>
      </c>
      <c r="G409" s="639">
        <v>818.7</v>
      </c>
      <c r="J409" s="624"/>
      <c r="K409" s="533" t="s">
        <v>2799</v>
      </c>
      <c r="N409" s="624">
        <v>43861</v>
      </c>
      <c r="U409" s="613">
        <v>1</v>
      </c>
      <c r="W409" s="613">
        <f t="shared" si="54"/>
        <v>1</v>
      </c>
      <c r="AB409" s="527">
        <f t="shared" si="60"/>
        <v>0</v>
      </c>
      <c r="AC409" s="527">
        <f t="shared" si="55"/>
        <v>0</v>
      </c>
      <c r="AD409" s="527">
        <f t="shared" si="56"/>
        <v>0</v>
      </c>
      <c r="AE409" s="527">
        <f t="shared" si="57"/>
        <v>0</v>
      </c>
      <c r="AF409" s="527">
        <f t="shared" si="58"/>
        <v>0</v>
      </c>
      <c r="AG409" s="527">
        <f t="shared" si="59"/>
        <v>818.7</v>
      </c>
      <c r="AH409" s="527"/>
      <c r="AI409" s="639">
        <f t="shared" si="61"/>
        <v>818.7</v>
      </c>
    </row>
    <row r="410" spans="1:35" ht="12.75" customHeight="1" x14ac:dyDescent="0.2">
      <c r="A410" s="527">
        <v>400</v>
      </c>
      <c r="C410" s="734" t="s">
        <v>2808</v>
      </c>
      <c r="E410" s="527" t="s">
        <v>2809</v>
      </c>
      <c r="G410" s="619">
        <v>1780</v>
      </c>
      <c r="J410" s="624"/>
      <c r="K410" s="533" t="s">
        <v>2799</v>
      </c>
      <c r="N410" s="624">
        <v>43870</v>
      </c>
      <c r="U410" s="613">
        <v>1</v>
      </c>
      <c r="W410" s="613">
        <f t="shared" si="54"/>
        <v>1</v>
      </c>
      <c r="AB410" s="527">
        <f t="shared" si="60"/>
        <v>0</v>
      </c>
      <c r="AC410" s="527">
        <f t="shared" si="55"/>
        <v>0</v>
      </c>
      <c r="AD410" s="527">
        <f t="shared" si="56"/>
        <v>0</v>
      </c>
      <c r="AE410" s="527">
        <f t="shared" si="57"/>
        <v>0</v>
      </c>
      <c r="AF410" s="527">
        <f t="shared" si="58"/>
        <v>0</v>
      </c>
      <c r="AG410" s="527">
        <f t="shared" si="59"/>
        <v>1780</v>
      </c>
      <c r="AH410" s="527"/>
      <c r="AI410" s="639">
        <f t="shared" si="61"/>
        <v>1780</v>
      </c>
    </row>
    <row r="411" spans="1:35" ht="12.75" customHeight="1" x14ac:dyDescent="0.2">
      <c r="A411" s="527">
        <v>401</v>
      </c>
      <c r="C411" s="734" t="s">
        <v>2806</v>
      </c>
      <c r="E411" s="527" t="s">
        <v>3267</v>
      </c>
      <c r="F411" s="734" t="s">
        <v>2807</v>
      </c>
      <c r="G411" s="619">
        <v>68796</v>
      </c>
      <c r="J411" s="624"/>
      <c r="K411" s="533" t="s">
        <v>2799</v>
      </c>
      <c r="N411" s="624">
        <v>43870</v>
      </c>
      <c r="U411" s="613">
        <v>1</v>
      </c>
      <c r="W411" s="613">
        <f t="shared" si="54"/>
        <v>1</v>
      </c>
      <c r="AB411" s="527">
        <f t="shared" si="60"/>
        <v>0</v>
      </c>
      <c r="AC411" s="527">
        <f t="shared" si="55"/>
        <v>0</v>
      </c>
      <c r="AD411" s="527">
        <f t="shared" si="56"/>
        <v>0</v>
      </c>
      <c r="AE411" s="527">
        <f t="shared" si="57"/>
        <v>0</v>
      </c>
      <c r="AF411" s="527">
        <f t="shared" si="58"/>
        <v>0</v>
      </c>
      <c r="AG411" s="527">
        <f t="shared" si="59"/>
        <v>68796</v>
      </c>
      <c r="AH411" s="527"/>
      <c r="AI411" s="639">
        <f t="shared" si="61"/>
        <v>68796</v>
      </c>
    </row>
    <row r="412" spans="1:35" ht="12.75" customHeight="1" x14ac:dyDescent="0.2">
      <c r="A412" s="527">
        <v>402</v>
      </c>
      <c r="C412" s="734" t="s">
        <v>2804</v>
      </c>
      <c r="E412" s="527" t="s">
        <v>2805</v>
      </c>
      <c r="G412" s="619">
        <v>386</v>
      </c>
      <c r="J412" s="624"/>
      <c r="K412" s="533" t="s">
        <v>2799</v>
      </c>
      <c r="N412" s="624">
        <v>43870</v>
      </c>
      <c r="U412" s="613">
        <v>1</v>
      </c>
      <c r="W412" s="613">
        <f t="shared" si="54"/>
        <v>1</v>
      </c>
      <c r="AB412" s="527">
        <f t="shared" si="60"/>
        <v>0</v>
      </c>
      <c r="AC412" s="527">
        <f t="shared" si="55"/>
        <v>0</v>
      </c>
      <c r="AD412" s="527">
        <f t="shared" si="56"/>
        <v>0</v>
      </c>
      <c r="AE412" s="527">
        <f t="shared" si="57"/>
        <v>0</v>
      </c>
      <c r="AF412" s="527">
        <f t="shared" si="58"/>
        <v>0</v>
      </c>
      <c r="AG412" s="527">
        <f t="shared" si="59"/>
        <v>386</v>
      </c>
      <c r="AH412" s="527"/>
      <c r="AI412" s="639">
        <f t="shared" si="61"/>
        <v>386</v>
      </c>
    </row>
    <row r="413" spans="1:35" ht="12.75" customHeight="1" x14ac:dyDescent="0.2">
      <c r="A413" s="527">
        <v>403</v>
      </c>
      <c r="C413" s="533" t="s">
        <v>2803</v>
      </c>
      <c r="E413" s="527" t="s">
        <v>3314</v>
      </c>
      <c r="G413" s="619">
        <v>7000</v>
      </c>
      <c r="J413" s="624"/>
      <c r="K413" s="533" t="s">
        <v>2799</v>
      </c>
      <c r="N413" s="624">
        <v>43870</v>
      </c>
      <c r="U413" s="613">
        <v>1</v>
      </c>
      <c r="W413" s="613">
        <f t="shared" si="54"/>
        <v>1</v>
      </c>
      <c r="AB413" s="527">
        <f t="shared" si="60"/>
        <v>0</v>
      </c>
      <c r="AC413" s="527">
        <f t="shared" si="55"/>
        <v>0</v>
      </c>
      <c r="AD413" s="527">
        <f t="shared" si="56"/>
        <v>0</v>
      </c>
      <c r="AE413" s="527">
        <f t="shared" si="57"/>
        <v>0</v>
      </c>
      <c r="AF413" s="527">
        <f t="shared" si="58"/>
        <v>0</v>
      </c>
      <c r="AG413" s="527">
        <f t="shared" si="59"/>
        <v>7000</v>
      </c>
      <c r="AH413" s="527"/>
      <c r="AI413" s="639">
        <f t="shared" si="61"/>
        <v>7000</v>
      </c>
    </row>
    <row r="414" spans="1:35" ht="12.75" customHeight="1" x14ac:dyDescent="0.2">
      <c r="A414" s="527">
        <v>404</v>
      </c>
      <c r="C414" s="533" t="s">
        <v>2800</v>
      </c>
      <c r="E414" s="527" t="s">
        <v>3315</v>
      </c>
      <c r="G414" s="530">
        <v>16.7</v>
      </c>
      <c r="J414" s="624"/>
      <c r="K414" s="533" t="s">
        <v>2799</v>
      </c>
      <c r="N414" s="624">
        <v>43878</v>
      </c>
      <c r="U414" s="613">
        <v>1</v>
      </c>
      <c r="W414" s="613">
        <f t="shared" si="54"/>
        <v>1</v>
      </c>
      <c r="AB414" s="527">
        <f t="shared" si="60"/>
        <v>0</v>
      </c>
      <c r="AC414" s="527">
        <f t="shared" si="55"/>
        <v>0</v>
      </c>
      <c r="AD414" s="527">
        <f t="shared" si="56"/>
        <v>0</v>
      </c>
      <c r="AE414" s="527">
        <f t="shared" si="57"/>
        <v>0</v>
      </c>
      <c r="AF414" s="527">
        <f t="shared" si="58"/>
        <v>0</v>
      </c>
      <c r="AG414" s="527">
        <f t="shared" si="59"/>
        <v>16.7</v>
      </c>
      <c r="AH414" s="527"/>
      <c r="AI414" s="639">
        <f t="shared" si="61"/>
        <v>16.7</v>
      </c>
    </row>
    <row r="415" spans="1:35" ht="12.75" customHeight="1" x14ac:dyDescent="0.2">
      <c r="A415" s="527">
        <v>405</v>
      </c>
      <c r="C415" s="533" t="s">
        <v>2801</v>
      </c>
      <c r="E415" s="527" t="s">
        <v>795</v>
      </c>
      <c r="G415" s="530">
        <v>15.92</v>
      </c>
      <c r="J415" s="624"/>
      <c r="K415" s="533" t="s">
        <v>2799</v>
      </c>
      <c r="M415" s="527" t="s">
        <v>1235</v>
      </c>
      <c r="N415" s="624">
        <v>43882</v>
      </c>
      <c r="P415" s="911">
        <v>1</v>
      </c>
      <c r="W415" s="613">
        <f t="shared" si="54"/>
        <v>1</v>
      </c>
      <c r="AB415" s="527">
        <f t="shared" si="60"/>
        <v>15.92</v>
      </c>
      <c r="AC415" s="527">
        <f t="shared" si="55"/>
        <v>0</v>
      </c>
      <c r="AD415" s="527">
        <f t="shared" si="56"/>
        <v>0</v>
      </c>
      <c r="AE415" s="527">
        <f t="shared" si="57"/>
        <v>0</v>
      </c>
      <c r="AF415" s="527">
        <f t="shared" si="58"/>
        <v>0</v>
      </c>
      <c r="AG415" s="527">
        <f t="shared" si="59"/>
        <v>0</v>
      </c>
      <c r="AH415" s="527"/>
      <c r="AI415" s="639">
        <f t="shared" si="61"/>
        <v>15.92</v>
      </c>
    </row>
    <row r="416" spans="1:35" ht="12.75" customHeight="1" x14ac:dyDescent="0.2">
      <c r="A416" s="527">
        <v>406</v>
      </c>
      <c r="C416" s="533" t="s">
        <v>2802</v>
      </c>
      <c r="E416" s="527" t="s">
        <v>795</v>
      </c>
      <c r="G416" s="530">
        <v>25.07</v>
      </c>
      <c r="J416" s="624"/>
      <c r="K416" s="533" t="s">
        <v>2799</v>
      </c>
      <c r="M416" s="527" t="s">
        <v>1235</v>
      </c>
      <c r="N416" s="624">
        <v>43882</v>
      </c>
      <c r="P416" s="911">
        <v>1</v>
      </c>
      <c r="W416" s="613">
        <f t="shared" si="54"/>
        <v>1</v>
      </c>
      <c r="AB416" s="527">
        <f t="shared" si="60"/>
        <v>25.07</v>
      </c>
      <c r="AC416" s="527">
        <f t="shared" si="55"/>
        <v>0</v>
      </c>
      <c r="AD416" s="527">
        <f t="shared" si="56"/>
        <v>0</v>
      </c>
      <c r="AE416" s="527">
        <f t="shared" si="57"/>
        <v>0</v>
      </c>
      <c r="AF416" s="527">
        <f t="shared" si="58"/>
        <v>0</v>
      </c>
      <c r="AG416" s="527">
        <f t="shared" si="59"/>
        <v>0</v>
      </c>
      <c r="AH416" s="527"/>
      <c r="AI416" s="639">
        <f t="shared" si="61"/>
        <v>25.07</v>
      </c>
    </row>
    <row r="417" spans="1:35" ht="12.75" customHeight="1" x14ac:dyDescent="0.2">
      <c r="A417" s="527">
        <v>407</v>
      </c>
      <c r="C417" s="533" t="s">
        <v>2811</v>
      </c>
      <c r="E417" s="527" t="s">
        <v>2813</v>
      </c>
      <c r="G417" s="619">
        <v>300</v>
      </c>
      <c r="J417" s="624"/>
      <c r="K417" s="533" t="s">
        <v>2799</v>
      </c>
      <c r="N417" s="624">
        <v>43890</v>
      </c>
      <c r="U417" s="613">
        <v>1</v>
      </c>
      <c r="W417" s="613">
        <f t="shared" si="54"/>
        <v>1</v>
      </c>
      <c r="AB417" s="527">
        <f t="shared" si="60"/>
        <v>0</v>
      </c>
      <c r="AC417" s="527">
        <f t="shared" si="55"/>
        <v>0</v>
      </c>
      <c r="AD417" s="527">
        <f t="shared" si="56"/>
        <v>0</v>
      </c>
      <c r="AE417" s="527">
        <f t="shared" si="57"/>
        <v>0</v>
      </c>
      <c r="AF417" s="527">
        <f t="shared" si="58"/>
        <v>0</v>
      </c>
      <c r="AG417" s="527">
        <f t="shared" si="59"/>
        <v>300</v>
      </c>
      <c r="AH417" s="527"/>
      <c r="AI417" s="639">
        <f t="shared" si="61"/>
        <v>300</v>
      </c>
    </row>
    <row r="418" spans="1:35" ht="12.75" customHeight="1" x14ac:dyDescent="0.2">
      <c r="A418" s="527">
        <v>408</v>
      </c>
      <c r="C418" s="533" t="s">
        <v>2812</v>
      </c>
      <c r="E418" s="527" t="s">
        <v>3316</v>
      </c>
      <c r="G418" s="530">
        <v>134.86000000000001</v>
      </c>
      <c r="J418" s="624"/>
      <c r="K418" s="533" t="s">
        <v>2799</v>
      </c>
      <c r="N418" s="624">
        <v>43890</v>
      </c>
      <c r="U418" s="613">
        <v>1</v>
      </c>
      <c r="W418" s="613">
        <f t="shared" si="54"/>
        <v>1</v>
      </c>
      <c r="AB418" s="527">
        <f t="shared" si="60"/>
        <v>0</v>
      </c>
      <c r="AC418" s="527">
        <f t="shared" si="55"/>
        <v>0</v>
      </c>
      <c r="AD418" s="527">
        <f t="shared" si="56"/>
        <v>0</v>
      </c>
      <c r="AE418" s="527">
        <f t="shared" si="57"/>
        <v>0</v>
      </c>
      <c r="AF418" s="527">
        <f t="shared" si="58"/>
        <v>0</v>
      </c>
      <c r="AG418" s="527">
        <f t="shared" si="59"/>
        <v>134.86000000000001</v>
      </c>
      <c r="AH418" s="527"/>
      <c r="AI418" s="639">
        <f t="shared" si="61"/>
        <v>134.86000000000001</v>
      </c>
    </row>
    <row r="419" spans="1:35" ht="12.75" customHeight="1" x14ac:dyDescent="0.2">
      <c r="A419" s="527">
        <v>409</v>
      </c>
      <c r="C419" s="527" t="s">
        <v>2816</v>
      </c>
      <c r="D419" s="527"/>
      <c r="E419" s="527" t="s">
        <v>3317</v>
      </c>
      <c r="F419" s="527"/>
      <c r="G419" s="530">
        <v>100.15</v>
      </c>
      <c r="J419" s="617"/>
      <c r="K419" s="533" t="s">
        <v>2799</v>
      </c>
      <c r="N419" s="624">
        <v>43926</v>
      </c>
      <c r="U419" s="613">
        <v>1</v>
      </c>
      <c r="W419" s="613">
        <f t="shared" si="54"/>
        <v>1</v>
      </c>
      <c r="AB419" s="527">
        <f t="shared" si="60"/>
        <v>0</v>
      </c>
      <c r="AC419" s="527">
        <f t="shared" si="55"/>
        <v>0</v>
      </c>
      <c r="AD419" s="527">
        <f t="shared" si="56"/>
        <v>0</v>
      </c>
      <c r="AE419" s="527">
        <f t="shared" si="57"/>
        <v>0</v>
      </c>
      <c r="AF419" s="527">
        <f t="shared" si="58"/>
        <v>0</v>
      </c>
      <c r="AG419" s="527">
        <f t="shared" si="59"/>
        <v>100.15</v>
      </c>
      <c r="AH419" s="527"/>
      <c r="AI419" s="639">
        <f t="shared" si="61"/>
        <v>100.15</v>
      </c>
    </row>
    <row r="420" spans="1:35" ht="12.75" customHeight="1" x14ac:dyDescent="0.2">
      <c r="A420" s="527">
        <v>410</v>
      </c>
      <c r="C420" s="533" t="s">
        <v>2817</v>
      </c>
      <c r="D420" s="811"/>
      <c r="E420" s="527" t="s">
        <v>3318</v>
      </c>
      <c r="G420" s="639">
        <v>200.4</v>
      </c>
      <c r="J420" s="617"/>
      <c r="K420" s="533" t="s">
        <v>2799</v>
      </c>
      <c r="N420" s="624">
        <v>43926</v>
      </c>
      <c r="U420" s="613">
        <v>1</v>
      </c>
      <c r="W420" s="613">
        <f t="shared" si="54"/>
        <v>1</v>
      </c>
      <c r="AB420" s="527">
        <f t="shared" si="60"/>
        <v>0</v>
      </c>
      <c r="AC420" s="527">
        <f t="shared" si="55"/>
        <v>0</v>
      </c>
      <c r="AD420" s="527">
        <f t="shared" si="56"/>
        <v>0</v>
      </c>
      <c r="AE420" s="527">
        <f t="shared" si="57"/>
        <v>0</v>
      </c>
      <c r="AF420" s="527">
        <f t="shared" si="58"/>
        <v>0</v>
      </c>
      <c r="AG420" s="527">
        <f t="shared" si="59"/>
        <v>200.4</v>
      </c>
      <c r="AH420" s="527"/>
      <c r="AI420" s="639">
        <f t="shared" si="61"/>
        <v>200.4</v>
      </c>
    </row>
    <row r="421" spans="1:35" ht="12.75" customHeight="1" x14ac:dyDescent="0.2">
      <c r="A421" s="527">
        <v>411</v>
      </c>
      <c r="C421" s="533" t="s">
        <v>2818</v>
      </c>
      <c r="D421" s="811"/>
      <c r="E421" s="527" t="s">
        <v>3319</v>
      </c>
      <c r="G421" s="619">
        <v>3000</v>
      </c>
      <c r="J421" s="617"/>
      <c r="K421" s="533" t="s">
        <v>2799</v>
      </c>
      <c r="N421" s="624">
        <v>43926</v>
      </c>
      <c r="U421" s="613">
        <v>1</v>
      </c>
      <c r="W421" s="613">
        <f t="shared" si="54"/>
        <v>1</v>
      </c>
      <c r="AB421" s="527">
        <f t="shared" si="60"/>
        <v>0</v>
      </c>
      <c r="AC421" s="527">
        <f t="shared" si="55"/>
        <v>0</v>
      </c>
      <c r="AD421" s="527">
        <f t="shared" si="56"/>
        <v>0</v>
      </c>
      <c r="AE421" s="527">
        <f t="shared" si="57"/>
        <v>0</v>
      </c>
      <c r="AF421" s="527">
        <f t="shared" si="58"/>
        <v>0</v>
      </c>
      <c r="AG421" s="527">
        <f t="shared" si="59"/>
        <v>3000</v>
      </c>
      <c r="AH421" s="527"/>
      <c r="AI421" s="639">
        <f t="shared" si="61"/>
        <v>3000</v>
      </c>
    </row>
    <row r="422" spans="1:35" ht="12.75" customHeight="1" x14ac:dyDescent="0.2">
      <c r="A422" s="527">
        <v>412</v>
      </c>
      <c r="C422" s="533" t="s">
        <v>2819</v>
      </c>
      <c r="D422" s="811"/>
      <c r="E422" s="527" t="s">
        <v>3320</v>
      </c>
      <c r="G422" s="639">
        <v>24.4</v>
      </c>
      <c r="J422" s="617"/>
      <c r="K422" s="533" t="s">
        <v>2799</v>
      </c>
      <c r="N422" s="624">
        <v>43926</v>
      </c>
      <c r="U422" s="613">
        <v>1</v>
      </c>
      <c r="W422" s="613">
        <f t="shared" si="54"/>
        <v>1</v>
      </c>
      <c r="AB422" s="527">
        <f t="shared" si="60"/>
        <v>0</v>
      </c>
      <c r="AC422" s="527">
        <f t="shared" si="55"/>
        <v>0</v>
      </c>
      <c r="AD422" s="527">
        <f t="shared" si="56"/>
        <v>0</v>
      </c>
      <c r="AE422" s="527">
        <f t="shared" si="57"/>
        <v>0</v>
      </c>
      <c r="AF422" s="527">
        <f t="shared" si="58"/>
        <v>0</v>
      </c>
      <c r="AG422" s="527">
        <f t="shared" si="59"/>
        <v>24.4</v>
      </c>
      <c r="AH422" s="527"/>
      <c r="AI422" s="639">
        <f t="shared" si="61"/>
        <v>24.4</v>
      </c>
    </row>
    <row r="423" spans="1:35" ht="12.75" customHeight="1" x14ac:dyDescent="0.2">
      <c r="A423" s="527">
        <v>413</v>
      </c>
      <c r="C423" s="533" t="s">
        <v>2824</v>
      </c>
      <c r="D423" s="811"/>
      <c r="E423" s="527" t="s">
        <v>2826</v>
      </c>
      <c r="G423" s="619">
        <v>1560</v>
      </c>
      <c r="J423" s="617"/>
      <c r="K423" s="533" t="s">
        <v>2799</v>
      </c>
      <c r="N423" s="624">
        <v>43995</v>
      </c>
      <c r="U423" s="613">
        <v>1</v>
      </c>
      <c r="W423" s="613">
        <f t="shared" si="54"/>
        <v>1</v>
      </c>
      <c r="AB423" s="527">
        <f t="shared" si="60"/>
        <v>0</v>
      </c>
      <c r="AC423" s="527">
        <f t="shared" si="55"/>
        <v>0</v>
      </c>
      <c r="AD423" s="527">
        <f t="shared" si="56"/>
        <v>0</v>
      </c>
      <c r="AE423" s="527">
        <f t="shared" si="57"/>
        <v>0</v>
      </c>
      <c r="AF423" s="527">
        <f t="shared" si="58"/>
        <v>0</v>
      </c>
      <c r="AG423" s="527">
        <f t="shared" si="59"/>
        <v>1560</v>
      </c>
      <c r="AH423" s="527"/>
      <c r="AI423" s="639">
        <f t="shared" si="61"/>
        <v>1560</v>
      </c>
    </row>
    <row r="424" spans="1:35" ht="12.75" customHeight="1" x14ac:dyDescent="0.2">
      <c r="A424" s="527">
        <v>414</v>
      </c>
      <c r="C424" s="533" t="s">
        <v>2825</v>
      </c>
      <c r="D424" s="811"/>
      <c r="E424" s="527" t="s">
        <v>3267</v>
      </c>
      <c r="G424" s="619">
        <v>57410</v>
      </c>
      <c r="J424" s="617"/>
      <c r="K424" s="533" t="s">
        <v>2799</v>
      </c>
      <c r="N424" s="624">
        <v>43995</v>
      </c>
      <c r="U424" s="613">
        <v>1</v>
      </c>
      <c r="W424" s="613">
        <f t="shared" si="54"/>
        <v>1</v>
      </c>
      <c r="AB424" s="527">
        <f t="shared" si="60"/>
        <v>0</v>
      </c>
      <c r="AC424" s="527">
        <f t="shared" si="55"/>
        <v>0</v>
      </c>
      <c r="AD424" s="527">
        <f t="shared" si="56"/>
        <v>0</v>
      </c>
      <c r="AE424" s="527">
        <f t="shared" si="57"/>
        <v>0</v>
      </c>
      <c r="AF424" s="527">
        <f t="shared" si="58"/>
        <v>0</v>
      </c>
      <c r="AG424" s="527">
        <f t="shared" si="59"/>
        <v>57410</v>
      </c>
      <c r="AH424" s="527"/>
      <c r="AI424" s="639">
        <f t="shared" si="61"/>
        <v>57410</v>
      </c>
    </row>
    <row r="425" spans="1:35" ht="12.75" customHeight="1" x14ac:dyDescent="0.2">
      <c r="A425" s="527">
        <v>415</v>
      </c>
      <c r="C425" s="533" t="s">
        <v>2841</v>
      </c>
      <c r="E425" s="527" t="s">
        <v>2842</v>
      </c>
      <c r="G425" s="639">
        <v>48.7</v>
      </c>
      <c r="J425" s="624"/>
      <c r="K425" s="533" t="s">
        <v>2799</v>
      </c>
      <c r="N425" s="624">
        <v>44019</v>
      </c>
      <c r="U425" s="613">
        <v>1</v>
      </c>
      <c r="W425" s="613">
        <f t="shared" si="54"/>
        <v>1</v>
      </c>
      <c r="AB425" s="527">
        <f t="shared" si="60"/>
        <v>0</v>
      </c>
      <c r="AC425" s="527">
        <f t="shared" si="55"/>
        <v>0</v>
      </c>
      <c r="AD425" s="527">
        <f t="shared" si="56"/>
        <v>0</v>
      </c>
      <c r="AE425" s="527">
        <f t="shared" si="57"/>
        <v>0</v>
      </c>
      <c r="AF425" s="527">
        <f t="shared" si="58"/>
        <v>0</v>
      </c>
      <c r="AG425" s="527">
        <f t="shared" si="59"/>
        <v>48.7</v>
      </c>
      <c r="AH425" s="527"/>
      <c r="AI425" s="639">
        <f t="shared" si="61"/>
        <v>48.7</v>
      </c>
    </row>
    <row r="426" spans="1:35" ht="12.75" customHeight="1" x14ac:dyDescent="0.25">
      <c r="A426" s="527">
        <v>416</v>
      </c>
      <c r="C426" s="533" t="s">
        <v>2827</v>
      </c>
      <c r="D426" s="811"/>
      <c r="E426" s="527" t="s">
        <v>2828</v>
      </c>
      <c r="G426" s="619">
        <v>265</v>
      </c>
      <c r="J426" s="617"/>
      <c r="K426" s="533" t="s">
        <v>2799</v>
      </c>
      <c r="N426" s="624">
        <v>44079</v>
      </c>
      <c r="U426" s="613">
        <v>1</v>
      </c>
      <c r="W426" s="613">
        <f t="shared" si="54"/>
        <v>1</v>
      </c>
      <c r="AB426" s="527">
        <f t="shared" si="60"/>
        <v>0</v>
      </c>
      <c r="AC426" s="527">
        <f t="shared" si="55"/>
        <v>0</v>
      </c>
      <c r="AD426" s="527">
        <f t="shared" si="56"/>
        <v>0</v>
      </c>
      <c r="AE426" s="527">
        <f t="shared" si="57"/>
        <v>0</v>
      </c>
      <c r="AF426" s="527">
        <f t="shared" si="58"/>
        <v>0</v>
      </c>
      <c r="AG426" s="527">
        <f t="shared" si="59"/>
        <v>265</v>
      </c>
      <c r="AH426" s="527"/>
      <c r="AI426" s="639">
        <f t="shared" si="61"/>
        <v>265</v>
      </c>
    </row>
    <row r="427" spans="1:35" ht="12.75" customHeight="1" x14ac:dyDescent="0.2">
      <c r="A427" s="527">
        <v>417</v>
      </c>
      <c r="C427" s="533" t="s">
        <v>2829</v>
      </c>
      <c r="D427" s="811"/>
      <c r="E427" s="527" t="s">
        <v>3321</v>
      </c>
      <c r="G427" s="619">
        <v>2000</v>
      </c>
      <c r="J427" s="617"/>
      <c r="K427" s="533" t="s">
        <v>2799</v>
      </c>
      <c r="N427" s="624">
        <v>44079</v>
      </c>
      <c r="U427" s="613">
        <v>1</v>
      </c>
      <c r="W427" s="613">
        <f t="shared" si="54"/>
        <v>1</v>
      </c>
      <c r="AB427" s="527">
        <f t="shared" si="60"/>
        <v>0</v>
      </c>
      <c r="AC427" s="527">
        <f t="shared" si="55"/>
        <v>0</v>
      </c>
      <c r="AD427" s="527">
        <f t="shared" si="56"/>
        <v>0</v>
      </c>
      <c r="AE427" s="527">
        <f t="shared" si="57"/>
        <v>0</v>
      </c>
      <c r="AF427" s="527">
        <f t="shared" si="58"/>
        <v>0</v>
      </c>
      <c r="AG427" s="527">
        <f t="shared" si="59"/>
        <v>2000</v>
      </c>
      <c r="AH427" s="527"/>
      <c r="AI427" s="639">
        <f t="shared" si="61"/>
        <v>2000</v>
      </c>
    </row>
    <row r="428" spans="1:35" ht="12.75" customHeight="1" x14ac:dyDescent="0.2">
      <c r="A428" s="527">
        <v>418</v>
      </c>
      <c r="C428" s="533" t="s">
        <v>2830</v>
      </c>
      <c r="D428" s="811"/>
      <c r="E428" s="527" t="s">
        <v>2833</v>
      </c>
      <c r="G428" s="639">
        <v>137.30000000000001</v>
      </c>
      <c r="J428" s="617"/>
      <c r="K428" s="533" t="s">
        <v>2799</v>
      </c>
      <c r="N428" s="624">
        <v>44093</v>
      </c>
      <c r="U428" s="613">
        <v>1</v>
      </c>
      <c r="W428" s="613">
        <f t="shared" si="54"/>
        <v>1</v>
      </c>
      <c r="AB428" s="527">
        <f t="shared" si="60"/>
        <v>0</v>
      </c>
      <c r="AC428" s="527">
        <f t="shared" si="55"/>
        <v>0</v>
      </c>
      <c r="AD428" s="527">
        <f t="shared" si="56"/>
        <v>0</v>
      </c>
      <c r="AE428" s="527">
        <f t="shared" si="57"/>
        <v>0</v>
      </c>
      <c r="AF428" s="527">
        <f t="shared" si="58"/>
        <v>0</v>
      </c>
      <c r="AG428" s="527">
        <f t="shared" si="59"/>
        <v>137.30000000000001</v>
      </c>
      <c r="AH428" s="527"/>
      <c r="AI428" s="639">
        <f t="shared" si="61"/>
        <v>137.30000000000001</v>
      </c>
    </row>
    <row r="429" spans="1:35" ht="12.75" customHeight="1" x14ac:dyDescent="0.2">
      <c r="A429" s="527">
        <v>419</v>
      </c>
      <c r="C429" s="533" t="s">
        <v>2831</v>
      </c>
      <c r="D429" s="811"/>
      <c r="E429" s="527" t="s">
        <v>2832</v>
      </c>
      <c r="G429" s="619">
        <v>1601</v>
      </c>
      <c r="J429" s="617"/>
      <c r="K429" s="533" t="s">
        <v>2799</v>
      </c>
      <c r="N429" s="624">
        <v>44102</v>
      </c>
      <c r="U429" s="613">
        <v>1</v>
      </c>
      <c r="W429" s="613">
        <f t="shared" si="54"/>
        <v>1</v>
      </c>
      <c r="AB429" s="527">
        <f t="shared" si="60"/>
        <v>0</v>
      </c>
      <c r="AC429" s="527">
        <f t="shared" si="55"/>
        <v>0</v>
      </c>
      <c r="AD429" s="527">
        <f t="shared" si="56"/>
        <v>0</v>
      </c>
      <c r="AE429" s="527">
        <f t="shared" si="57"/>
        <v>0</v>
      </c>
      <c r="AF429" s="527">
        <f t="shared" si="58"/>
        <v>0</v>
      </c>
      <c r="AG429" s="527">
        <f t="shared" si="59"/>
        <v>1601</v>
      </c>
      <c r="AH429" s="527"/>
      <c r="AI429" s="639">
        <f t="shared" si="61"/>
        <v>1601</v>
      </c>
    </row>
    <row r="430" spans="1:35" ht="12.75" customHeight="1" x14ac:dyDescent="0.2">
      <c r="A430" s="527">
        <v>420</v>
      </c>
      <c r="C430" s="533" t="s">
        <v>2840</v>
      </c>
      <c r="D430" s="811"/>
      <c r="E430" s="527" t="s">
        <v>3293</v>
      </c>
      <c r="G430" s="619">
        <v>113</v>
      </c>
      <c r="J430" s="617"/>
      <c r="K430" s="533" t="s">
        <v>2799</v>
      </c>
      <c r="N430" s="624">
        <v>44114</v>
      </c>
      <c r="U430" s="613">
        <v>1</v>
      </c>
      <c r="W430" s="613">
        <f t="shared" si="54"/>
        <v>1</v>
      </c>
      <c r="AB430" s="527">
        <f t="shared" si="60"/>
        <v>0</v>
      </c>
      <c r="AC430" s="527">
        <f t="shared" si="55"/>
        <v>0</v>
      </c>
      <c r="AD430" s="527">
        <f t="shared" si="56"/>
        <v>0</v>
      </c>
      <c r="AE430" s="527">
        <f t="shared" si="57"/>
        <v>0</v>
      </c>
      <c r="AF430" s="527">
        <f t="shared" si="58"/>
        <v>0</v>
      </c>
      <c r="AG430" s="527">
        <f t="shared" si="59"/>
        <v>113</v>
      </c>
      <c r="AH430" s="527"/>
      <c r="AI430" s="639">
        <f t="shared" si="61"/>
        <v>113</v>
      </c>
    </row>
    <row r="431" spans="1:35" ht="12.75" customHeight="1" x14ac:dyDescent="0.2">
      <c r="A431" s="527">
        <v>421</v>
      </c>
      <c r="C431" s="533" t="s">
        <v>2834</v>
      </c>
      <c r="D431" s="811"/>
      <c r="E431" s="527" t="s">
        <v>2835</v>
      </c>
      <c r="G431" s="639">
        <v>200.6</v>
      </c>
      <c r="J431" s="617"/>
      <c r="K431" s="533" t="s">
        <v>2799</v>
      </c>
      <c r="N431" s="624">
        <v>44136</v>
      </c>
      <c r="U431" s="613">
        <v>1</v>
      </c>
      <c r="W431" s="613">
        <f t="shared" si="54"/>
        <v>1</v>
      </c>
      <c r="AB431" s="527">
        <f t="shared" si="60"/>
        <v>0</v>
      </c>
      <c r="AC431" s="527">
        <f t="shared" si="55"/>
        <v>0</v>
      </c>
      <c r="AD431" s="527">
        <f t="shared" si="56"/>
        <v>0</v>
      </c>
      <c r="AE431" s="527">
        <f t="shared" si="57"/>
        <v>0</v>
      </c>
      <c r="AF431" s="527">
        <f t="shared" si="58"/>
        <v>0</v>
      </c>
      <c r="AG431" s="527">
        <f t="shared" si="59"/>
        <v>200.6</v>
      </c>
      <c r="AH431" s="527"/>
      <c r="AI431" s="639">
        <f t="shared" si="61"/>
        <v>200.6</v>
      </c>
    </row>
    <row r="432" spans="1:35" ht="12.75" customHeight="1" x14ac:dyDescent="0.2">
      <c r="A432" s="527">
        <v>422</v>
      </c>
      <c r="C432" s="533" t="s">
        <v>2836</v>
      </c>
      <c r="D432" s="811"/>
      <c r="E432" s="527" t="s">
        <v>3322</v>
      </c>
      <c r="G432" s="619">
        <v>629</v>
      </c>
      <c r="J432" s="617"/>
      <c r="K432" s="533" t="s">
        <v>2799</v>
      </c>
      <c r="N432" s="624">
        <v>44136</v>
      </c>
      <c r="U432" s="613">
        <v>1</v>
      </c>
      <c r="W432" s="613">
        <f t="shared" si="54"/>
        <v>1</v>
      </c>
      <c r="AB432" s="527">
        <f t="shared" si="60"/>
        <v>0</v>
      </c>
      <c r="AC432" s="527">
        <f t="shared" si="55"/>
        <v>0</v>
      </c>
      <c r="AD432" s="527">
        <f t="shared" si="56"/>
        <v>0</v>
      </c>
      <c r="AE432" s="527">
        <f t="shared" si="57"/>
        <v>0</v>
      </c>
      <c r="AF432" s="527">
        <f t="shared" si="58"/>
        <v>0</v>
      </c>
      <c r="AG432" s="527">
        <f t="shared" si="59"/>
        <v>629</v>
      </c>
      <c r="AH432" s="527"/>
      <c r="AI432" s="639">
        <f t="shared" si="61"/>
        <v>629</v>
      </c>
    </row>
    <row r="433" spans="1:35" ht="12.75" customHeight="1" x14ac:dyDescent="0.2">
      <c r="A433" s="527">
        <v>423</v>
      </c>
      <c r="C433" s="533" t="s">
        <v>2837</v>
      </c>
      <c r="E433" s="527" t="s">
        <v>3323</v>
      </c>
      <c r="G433" s="639">
        <v>345</v>
      </c>
      <c r="J433" s="624"/>
      <c r="K433" s="533" t="s">
        <v>2799</v>
      </c>
      <c r="N433" s="624">
        <v>44137</v>
      </c>
      <c r="U433" s="613">
        <v>1</v>
      </c>
      <c r="W433" s="613">
        <f t="shared" si="54"/>
        <v>1</v>
      </c>
      <c r="AB433" s="527">
        <f t="shared" si="60"/>
        <v>0</v>
      </c>
      <c r="AC433" s="527">
        <f t="shared" si="55"/>
        <v>0</v>
      </c>
      <c r="AD433" s="527">
        <f t="shared" si="56"/>
        <v>0</v>
      </c>
      <c r="AE433" s="527">
        <f t="shared" si="57"/>
        <v>0</v>
      </c>
      <c r="AF433" s="527">
        <f t="shared" si="58"/>
        <v>0</v>
      </c>
      <c r="AG433" s="527">
        <f t="shared" si="59"/>
        <v>345</v>
      </c>
      <c r="AH433" s="527"/>
      <c r="AI433" s="639">
        <f t="shared" si="61"/>
        <v>345</v>
      </c>
    </row>
    <row r="434" spans="1:35" ht="12.75" customHeight="1" x14ac:dyDescent="0.2">
      <c r="A434" s="527">
        <v>424</v>
      </c>
      <c r="C434" s="533" t="s">
        <v>2838</v>
      </c>
      <c r="E434" s="527" t="s">
        <v>2839</v>
      </c>
      <c r="G434" s="619">
        <v>59</v>
      </c>
      <c r="J434" s="624"/>
      <c r="K434" s="533" t="s">
        <v>2799</v>
      </c>
      <c r="N434" s="624">
        <v>44146</v>
      </c>
      <c r="U434" s="613">
        <v>1</v>
      </c>
      <c r="W434" s="613">
        <f t="shared" si="54"/>
        <v>1</v>
      </c>
      <c r="AB434" s="527">
        <f t="shared" si="60"/>
        <v>0</v>
      </c>
      <c r="AC434" s="527">
        <f t="shared" si="55"/>
        <v>0</v>
      </c>
      <c r="AD434" s="527">
        <f t="shared" si="56"/>
        <v>0</v>
      </c>
      <c r="AE434" s="527">
        <f t="shared" si="57"/>
        <v>0</v>
      </c>
      <c r="AF434" s="527">
        <f t="shared" si="58"/>
        <v>0</v>
      </c>
      <c r="AG434" s="527">
        <f t="shared" si="59"/>
        <v>59</v>
      </c>
      <c r="AH434" s="527"/>
      <c r="AI434" s="639">
        <f t="shared" si="61"/>
        <v>59</v>
      </c>
    </row>
    <row r="435" spans="1:35" ht="12.75" customHeight="1" x14ac:dyDescent="0.2">
      <c r="A435" s="527">
        <v>425</v>
      </c>
      <c r="C435" s="533" t="s">
        <v>2843</v>
      </c>
      <c r="E435" s="527" t="s">
        <v>3324</v>
      </c>
      <c r="G435" s="619">
        <v>240</v>
      </c>
      <c r="J435" s="624"/>
      <c r="K435" s="533" t="s">
        <v>2799</v>
      </c>
      <c r="N435" s="624">
        <v>44149</v>
      </c>
      <c r="U435" s="613">
        <v>1</v>
      </c>
      <c r="W435" s="613">
        <f t="shared" si="54"/>
        <v>1</v>
      </c>
      <c r="AB435" s="527">
        <f t="shared" si="60"/>
        <v>0</v>
      </c>
      <c r="AC435" s="527">
        <f t="shared" si="55"/>
        <v>0</v>
      </c>
      <c r="AD435" s="527">
        <f t="shared" si="56"/>
        <v>0</v>
      </c>
      <c r="AE435" s="527">
        <f t="shared" si="57"/>
        <v>0</v>
      </c>
      <c r="AF435" s="527">
        <f t="shared" si="58"/>
        <v>0</v>
      </c>
      <c r="AG435" s="527">
        <f t="shared" si="59"/>
        <v>240</v>
      </c>
      <c r="AH435" s="527"/>
      <c r="AI435" s="639">
        <f t="shared" si="61"/>
        <v>240</v>
      </c>
    </row>
    <row r="436" spans="1:35" ht="12.75" customHeight="1" x14ac:dyDescent="0.2">
      <c r="A436" s="527">
        <v>426</v>
      </c>
      <c r="C436" s="533" t="s">
        <v>2844</v>
      </c>
      <c r="E436" s="527" t="s">
        <v>3325</v>
      </c>
      <c r="G436" s="639">
        <v>22.9</v>
      </c>
      <c r="J436" s="624"/>
      <c r="K436" s="533" t="s">
        <v>2799</v>
      </c>
      <c r="N436" s="624">
        <v>44154</v>
      </c>
      <c r="U436" s="613">
        <v>1</v>
      </c>
      <c r="W436" s="613">
        <f t="shared" si="54"/>
        <v>1</v>
      </c>
      <c r="AB436" s="527">
        <f t="shared" si="60"/>
        <v>0</v>
      </c>
      <c r="AC436" s="527">
        <f t="shared" si="55"/>
        <v>0</v>
      </c>
      <c r="AD436" s="527">
        <f t="shared" si="56"/>
        <v>0</v>
      </c>
      <c r="AE436" s="527">
        <f t="shared" si="57"/>
        <v>0</v>
      </c>
      <c r="AF436" s="527">
        <f t="shared" si="58"/>
        <v>0</v>
      </c>
      <c r="AG436" s="527">
        <f t="shared" si="59"/>
        <v>22.9</v>
      </c>
      <c r="AH436" s="527"/>
      <c r="AI436" s="639">
        <f t="shared" si="61"/>
        <v>22.9</v>
      </c>
    </row>
    <row r="437" spans="1:35" ht="12.75" customHeight="1" x14ac:dyDescent="0.2">
      <c r="A437" s="527">
        <v>427</v>
      </c>
      <c r="C437" s="533" t="s">
        <v>2846</v>
      </c>
      <c r="E437" s="533" t="s">
        <v>2847</v>
      </c>
      <c r="F437" s="728"/>
      <c r="G437" s="619">
        <v>11280</v>
      </c>
      <c r="H437" s="527"/>
      <c r="J437" s="617"/>
      <c r="K437" s="533" t="s">
        <v>2799</v>
      </c>
      <c r="N437" s="624">
        <v>44154</v>
      </c>
      <c r="U437" s="613">
        <v>1</v>
      </c>
      <c r="W437" s="613">
        <f t="shared" si="54"/>
        <v>1</v>
      </c>
      <c r="AB437" s="527">
        <f t="shared" si="60"/>
        <v>0</v>
      </c>
      <c r="AC437" s="527">
        <f t="shared" si="55"/>
        <v>0</v>
      </c>
      <c r="AD437" s="527">
        <f t="shared" si="56"/>
        <v>0</v>
      </c>
      <c r="AE437" s="527">
        <f t="shared" si="57"/>
        <v>0</v>
      </c>
      <c r="AF437" s="527">
        <f t="shared" si="58"/>
        <v>0</v>
      </c>
      <c r="AG437" s="527">
        <f t="shared" si="59"/>
        <v>11280</v>
      </c>
      <c r="AH437" s="527"/>
      <c r="AI437" s="639">
        <f t="shared" si="61"/>
        <v>11280</v>
      </c>
    </row>
    <row r="438" spans="1:35" ht="12.75" customHeight="1" x14ac:dyDescent="0.2">
      <c r="A438" s="527">
        <v>428</v>
      </c>
      <c r="C438" s="533" t="s">
        <v>2845</v>
      </c>
      <c r="E438" s="527" t="s">
        <v>2848</v>
      </c>
      <c r="F438" s="728"/>
      <c r="G438" s="619">
        <v>3710</v>
      </c>
      <c r="H438" s="527"/>
      <c r="J438" s="617"/>
      <c r="K438" s="533" t="s">
        <v>2799</v>
      </c>
      <c r="N438" s="624">
        <v>44154</v>
      </c>
      <c r="U438" s="613">
        <v>1</v>
      </c>
      <c r="W438" s="613">
        <f t="shared" si="54"/>
        <v>1</v>
      </c>
      <c r="AB438" s="527">
        <f t="shared" si="60"/>
        <v>0</v>
      </c>
      <c r="AC438" s="527">
        <f t="shared" si="55"/>
        <v>0</v>
      </c>
      <c r="AD438" s="527">
        <f t="shared" si="56"/>
        <v>0</v>
      </c>
      <c r="AE438" s="527">
        <f t="shared" si="57"/>
        <v>0</v>
      </c>
      <c r="AF438" s="527">
        <f t="shared" si="58"/>
        <v>0</v>
      </c>
      <c r="AG438" s="527">
        <f t="shared" si="59"/>
        <v>3710</v>
      </c>
      <c r="AH438" s="527"/>
      <c r="AI438" s="639">
        <f t="shared" si="61"/>
        <v>3710</v>
      </c>
    </row>
    <row r="439" spans="1:35" ht="12.75" customHeight="1" x14ac:dyDescent="0.2">
      <c r="A439" s="527">
        <v>429</v>
      </c>
      <c r="C439" s="533" t="s">
        <v>2866</v>
      </c>
      <c r="E439" s="527" t="s">
        <v>2868</v>
      </c>
      <c r="F439" s="728"/>
      <c r="G439" s="619">
        <v>825</v>
      </c>
      <c r="H439" s="527"/>
      <c r="J439" s="617"/>
      <c r="K439" s="533" t="s">
        <v>2799</v>
      </c>
      <c r="N439" s="624">
        <v>44170</v>
      </c>
      <c r="U439" s="613">
        <v>1</v>
      </c>
      <c r="W439" s="613">
        <f t="shared" si="54"/>
        <v>1</v>
      </c>
      <c r="AB439" s="527">
        <f t="shared" si="60"/>
        <v>0</v>
      </c>
      <c r="AC439" s="527">
        <f t="shared" si="55"/>
        <v>0</v>
      </c>
      <c r="AD439" s="527">
        <f t="shared" si="56"/>
        <v>0</v>
      </c>
      <c r="AE439" s="527">
        <f t="shared" si="57"/>
        <v>0</v>
      </c>
      <c r="AF439" s="527">
        <f t="shared" si="58"/>
        <v>0</v>
      </c>
      <c r="AG439" s="527">
        <f t="shared" si="59"/>
        <v>825</v>
      </c>
      <c r="AH439" s="527"/>
      <c r="AI439" s="639">
        <f t="shared" si="61"/>
        <v>825</v>
      </c>
    </row>
    <row r="440" spans="1:35" ht="12.75" customHeight="1" x14ac:dyDescent="0.2">
      <c r="A440" s="527">
        <v>430</v>
      </c>
      <c r="C440" s="533" t="s">
        <v>2867</v>
      </c>
      <c r="E440" s="527" t="s">
        <v>2869</v>
      </c>
      <c r="F440" s="728"/>
      <c r="G440" s="619">
        <v>1608</v>
      </c>
      <c r="H440" s="527"/>
      <c r="J440" s="617"/>
      <c r="K440" s="533" t="s">
        <v>2799</v>
      </c>
      <c r="N440" s="624">
        <v>44170</v>
      </c>
      <c r="U440" s="613">
        <v>1</v>
      </c>
      <c r="W440" s="613">
        <f t="shared" si="54"/>
        <v>1</v>
      </c>
      <c r="AB440" s="527">
        <f t="shared" si="60"/>
        <v>0</v>
      </c>
      <c r="AC440" s="527">
        <f t="shared" si="55"/>
        <v>0</v>
      </c>
      <c r="AD440" s="527">
        <f t="shared" si="56"/>
        <v>0</v>
      </c>
      <c r="AE440" s="527">
        <f t="shared" si="57"/>
        <v>0</v>
      </c>
      <c r="AF440" s="527">
        <f t="shared" si="58"/>
        <v>0</v>
      </c>
      <c r="AG440" s="527">
        <f t="shared" si="59"/>
        <v>1608</v>
      </c>
      <c r="AH440" s="527"/>
      <c r="AI440" s="639">
        <f t="shared" si="61"/>
        <v>1608</v>
      </c>
    </row>
    <row r="441" spans="1:35" ht="12.75" customHeight="1" x14ac:dyDescent="0.2">
      <c r="A441" s="527">
        <v>431</v>
      </c>
      <c r="C441" s="533" t="s">
        <v>2870</v>
      </c>
      <c r="E441" s="527" t="s">
        <v>3324</v>
      </c>
      <c r="F441" s="728"/>
      <c r="G441" s="530">
        <v>1.91</v>
      </c>
      <c r="H441" s="527"/>
      <c r="J441" s="617"/>
      <c r="K441" s="533" t="s">
        <v>2799</v>
      </c>
      <c r="N441" s="624">
        <v>44174</v>
      </c>
      <c r="U441" s="613">
        <v>1</v>
      </c>
      <c r="W441" s="613">
        <f t="shared" si="54"/>
        <v>1</v>
      </c>
      <c r="AB441" s="527">
        <f t="shared" si="60"/>
        <v>0</v>
      </c>
      <c r="AC441" s="527">
        <f t="shared" si="55"/>
        <v>0</v>
      </c>
      <c r="AD441" s="527">
        <f t="shared" si="56"/>
        <v>0</v>
      </c>
      <c r="AE441" s="527">
        <f t="shared" si="57"/>
        <v>0</v>
      </c>
      <c r="AF441" s="527">
        <f t="shared" si="58"/>
        <v>0</v>
      </c>
      <c r="AG441" s="527">
        <f t="shared" si="59"/>
        <v>1.91</v>
      </c>
      <c r="AH441" s="527"/>
      <c r="AI441" s="639">
        <f t="shared" si="61"/>
        <v>1.91</v>
      </c>
    </row>
    <row r="442" spans="1:35" ht="12.75" customHeight="1" x14ac:dyDescent="0.2">
      <c r="A442" s="527">
        <v>432</v>
      </c>
      <c r="C442" s="533" t="s">
        <v>2871</v>
      </c>
      <c r="E442" s="527" t="s">
        <v>2873</v>
      </c>
      <c r="F442" s="728"/>
      <c r="G442" s="619">
        <v>2300</v>
      </c>
      <c r="H442" s="527"/>
      <c r="J442" s="617"/>
      <c r="K442" s="533" t="s">
        <v>2799</v>
      </c>
      <c r="N442" s="624">
        <v>44180</v>
      </c>
      <c r="U442" s="613">
        <v>1</v>
      </c>
      <c r="W442" s="613">
        <f t="shared" si="54"/>
        <v>1</v>
      </c>
      <c r="AB442" s="527">
        <f t="shared" si="60"/>
        <v>0</v>
      </c>
      <c r="AC442" s="527">
        <f t="shared" si="55"/>
        <v>0</v>
      </c>
      <c r="AD442" s="527">
        <f t="shared" si="56"/>
        <v>0</v>
      </c>
      <c r="AE442" s="527">
        <f t="shared" si="57"/>
        <v>0</v>
      </c>
      <c r="AF442" s="527">
        <f t="shared" si="58"/>
        <v>0</v>
      </c>
      <c r="AG442" s="527">
        <f t="shared" si="59"/>
        <v>2300</v>
      </c>
      <c r="AH442" s="527"/>
      <c r="AI442" s="639">
        <f t="shared" si="61"/>
        <v>2300</v>
      </c>
    </row>
    <row r="443" spans="1:35" ht="12.75" customHeight="1" x14ac:dyDescent="0.2">
      <c r="A443" s="527">
        <v>433</v>
      </c>
      <c r="C443" s="533" t="s">
        <v>2872</v>
      </c>
      <c r="E443" s="527" t="s">
        <v>2873</v>
      </c>
      <c r="F443" s="728"/>
      <c r="G443" s="619">
        <v>54</v>
      </c>
      <c r="H443" s="527"/>
      <c r="J443" s="617"/>
      <c r="K443" s="533" t="s">
        <v>2799</v>
      </c>
      <c r="N443" s="624">
        <v>44180</v>
      </c>
      <c r="U443" s="613">
        <v>1</v>
      </c>
      <c r="W443" s="613">
        <f t="shared" si="54"/>
        <v>1</v>
      </c>
      <c r="AB443" s="527">
        <f t="shared" si="60"/>
        <v>0</v>
      </c>
      <c r="AC443" s="527">
        <f t="shared" si="55"/>
        <v>0</v>
      </c>
      <c r="AD443" s="527">
        <f t="shared" si="56"/>
        <v>0</v>
      </c>
      <c r="AE443" s="527">
        <f t="shared" si="57"/>
        <v>0</v>
      </c>
      <c r="AF443" s="527">
        <f t="shared" si="58"/>
        <v>0</v>
      </c>
      <c r="AG443" s="527">
        <f t="shared" si="59"/>
        <v>54</v>
      </c>
      <c r="AH443" s="527"/>
      <c r="AI443" s="639">
        <f t="shared" si="61"/>
        <v>54</v>
      </c>
    </row>
    <row r="444" spans="1:35" ht="12.75" customHeight="1" x14ac:dyDescent="0.2">
      <c r="A444" s="527">
        <v>434</v>
      </c>
      <c r="C444" s="533" t="s">
        <v>2877</v>
      </c>
      <c r="E444" s="527" t="s">
        <v>3326</v>
      </c>
      <c r="F444" s="728"/>
      <c r="G444" s="639">
        <v>8.6</v>
      </c>
      <c r="H444" s="527"/>
      <c r="J444" s="617"/>
      <c r="K444" s="533" t="s">
        <v>2875</v>
      </c>
      <c r="N444" s="624">
        <v>44214</v>
      </c>
      <c r="U444" s="613">
        <v>1</v>
      </c>
      <c r="W444" s="613">
        <f t="shared" si="54"/>
        <v>1</v>
      </c>
      <c r="AB444" s="527">
        <f t="shared" si="60"/>
        <v>0</v>
      </c>
      <c r="AC444" s="527">
        <f t="shared" si="55"/>
        <v>0</v>
      </c>
      <c r="AD444" s="527">
        <f t="shared" si="56"/>
        <v>0</v>
      </c>
      <c r="AE444" s="527">
        <f t="shared" si="57"/>
        <v>0</v>
      </c>
      <c r="AF444" s="527">
        <f t="shared" si="58"/>
        <v>0</v>
      </c>
      <c r="AG444" s="527">
        <f t="shared" si="59"/>
        <v>8.6</v>
      </c>
      <c r="AH444" s="527"/>
      <c r="AI444" s="639">
        <f t="shared" si="61"/>
        <v>8.6</v>
      </c>
    </row>
    <row r="445" spans="1:35" ht="12.75" customHeight="1" x14ac:dyDescent="0.2">
      <c r="A445" s="527">
        <v>435</v>
      </c>
      <c r="C445" s="533" t="s">
        <v>2878</v>
      </c>
      <c r="E445" s="527" t="s">
        <v>2879</v>
      </c>
      <c r="F445" s="728"/>
      <c r="G445" s="619">
        <v>512</v>
      </c>
      <c r="H445" s="527"/>
      <c r="J445" s="617"/>
      <c r="K445" s="533" t="s">
        <v>2875</v>
      </c>
      <c r="N445" s="624">
        <v>44214</v>
      </c>
      <c r="U445" s="613">
        <v>1</v>
      </c>
      <c r="W445" s="613">
        <f t="shared" ref="W445:W508" si="62">SUM(P445:V445)</f>
        <v>1</v>
      </c>
      <c r="AB445" s="527">
        <f t="shared" si="60"/>
        <v>0</v>
      </c>
      <c r="AC445" s="527">
        <f t="shared" si="55"/>
        <v>0</v>
      </c>
      <c r="AD445" s="527">
        <f t="shared" si="56"/>
        <v>0</v>
      </c>
      <c r="AE445" s="527">
        <f t="shared" si="57"/>
        <v>0</v>
      </c>
      <c r="AF445" s="527">
        <f t="shared" si="58"/>
        <v>0</v>
      </c>
      <c r="AG445" s="527">
        <f t="shared" si="59"/>
        <v>512</v>
      </c>
      <c r="AH445" s="527"/>
      <c r="AI445" s="639">
        <f t="shared" si="61"/>
        <v>512</v>
      </c>
    </row>
    <row r="446" spans="1:35" ht="12.75" customHeight="1" x14ac:dyDescent="0.2">
      <c r="A446" s="527">
        <v>436</v>
      </c>
      <c r="C446" s="533" t="s">
        <v>2874</v>
      </c>
      <c r="E446" s="527" t="s">
        <v>2876</v>
      </c>
      <c r="F446" s="728"/>
      <c r="G446" s="619">
        <v>208</v>
      </c>
      <c r="H446" s="527"/>
      <c r="J446" s="617"/>
      <c r="K446" s="533" t="s">
        <v>2875</v>
      </c>
      <c r="N446" s="624">
        <v>44219</v>
      </c>
      <c r="U446" s="613">
        <v>1</v>
      </c>
      <c r="W446" s="613">
        <f t="shared" si="62"/>
        <v>1</v>
      </c>
      <c r="AB446" s="527">
        <f t="shared" si="60"/>
        <v>0</v>
      </c>
      <c r="AC446" s="527">
        <f t="shared" si="55"/>
        <v>0</v>
      </c>
      <c r="AD446" s="527">
        <f t="shared" si="56"/>
        <v>0</v>
      </c>
      <c r="AE446" s="527">
        <f t="shared" si="57"/>
        <v>0</v>
      </c>
      <c r="AF446" s="527">
        <f t="shared" si="58"/>
        <v>0</v>
      </c>
      <c r="AG446" s="527">
        <f t="shared" si="59"/>
        <v>208</v>
      </c>
      <c r="AH446" s="527"/>
      <c r="AI446" s="639">
        <f t="shared" si="61"/>
        <v>208</v>
      </c>
    </row>
    <row r="447" spans="1:35" ht="12.75" customHeight="1" x14ac:dyDescent="0.2">
      <c r="A447" s="527">
        <v>437</v>
      </c>
      <c r="C447" s="533" t="s">
        <v>2885</v>
      </c>
      <c r="E447" s="527" t="s">
        <v>3327</v>
      </c>
      <c r="F447" s="728"/>
      <c r="G447" s="639">
        <v>39.200000000000003</v>
      </c>
      <c r="H447" s="527"/>
      <c r="J447" s="617"/>
      <c r="K447" s="533" t="s">
        <v>2875</v>
      </c>
      <c r="N447" s="624">
        <v>44275</v>
      </c>
      <c r="U447" s="613">
        <v>1</v>
      </c>
      <c r="W447" s="613">
        <f t="shared" si="62"/>
        <v>1</v>
      </c>
      <c r="AB447" s="527">
        <f t="shared" si="60"/>
        <v>0</v>
      </c>
      <c r="AC447" s="527">
        <f t="shared" si="55"/>
        <v>0</v>
      </c>
      <c r="AD447" s="527">
        <f t="shared" si="56"/>
        <v>0</v>
      </c>
      <c r="AE447" s="527">
        <f t="shared" si="57"/>
        <v>0</v>
      </c>
      <c r="AF447" s="527">
        <f t="shared" si="58"/>
        <v>0</v>
      </c>
      <c r="AG447" s="527">
        <f t="shared" si="59"/>
        <v>39.200000000000003</v>
      </c>
      <c r="AH447" s="527"/>
      <c r="AI447" s="639">
        <f t="shared" si="61"/>
        <v>39.200000000000003</v>
      </c>
    </row>
    <row r="448" spans="1:35" ht="12.75" customHeight="1" x14ac:dyDescent="0.2">
      <c r="A448" s="527">
        <v>438</v>
      </c>
      <c r="C448" s="533" t="s">
        <v>2886</v>
      </c>
      <c r="E448" s="527" t="s">
        <v>3327</v>
      </c>
      <c r="F448" s="728"/>
      <c r="G448" s="639">
        <v>176.6</v>
      </c>
      <c r="H448" s="527"/>
      <c r="J448" s="617"/>
      <c r="K448" s="533" t="s">
        <v>2875</v>
      </c>
      <c r="N448" s="624">
        <v>44275</v>
      </c>
      <c r="U448" s="613">
        <v>1</v>
      </c>
      <c r="W448" s="613">
        <f t="shared" si="62"/>
        <v>1</v>
      </c>
      <c r="AB448" s="527">
        <f t="shared" si="60"/>
        <v>0</v>
      </c>
      <c r="AC448" s="527">
        <f t="shared" si="55"/>
        <v>0</v>
      </c>
      <c r="AD448" s="527">
        <f t="shared" si="56"/>
        <v>0</v>
      </c>
      <c r="AE448" s="527">
        <f t="shared" si="57"/>
        <v>0</v>
      </c>
      <c r="AF448" s="527">
        <f t="shared" si="58"/>
        <v>0</v>
      </c>
      <c r="AG448" s="527">
        <f t="shared" si="59"/>
        <v>176.6</v>
      </c>
      <c r="AH448" s="527"/>
      <c r="AI448" s="639">
        <f t="shared" si="61"/>
        <v>176.6</v>
      </c>
    </row>
    <row r="449" spans="1:35" ht="12.75" customHeight="1" x14ac:dyDescent="0.2">
      <c r="A449" s="527">
        <v>439</v>
      </c>
      <c r="C449" s="533" t="s">
        <v>2887</v>
      </c>
      <c r="E449" s="527" t="s">
        <v>3327</v>
      </c>
      <c r="F449" s="728"/>
      <c r="G449" s="639">
        <v>24.2</v>
      </c>
      <c r="H449" s="527"/>
      <c r="J449" s="617"/>
      <c r="K449" s="533" t="s">
        <v>2875</v>
      </c>
      <c r="N449" s="624">
        <v>44275</v>
      </c>
      <c r="U449" s="613">
        <v>1</v>
      </c>
      <c r="W449" s="613">
        <f t="shared" si="62"/>
        <v>1</v>
      </c>
      <c r="AB449" s="527">
        <f t="shared" si="60"/>
        <v>0</v>
      </c>
      <c r="AC449" s="527">
        <f t="shared" si="55"/>
        <v>0</v>
      </c>
      <c r="AD449" s="527">
        <f t="shared" si="56"/>
        <v>0</v>
      </c>
      <c r="AE449" s="527">
        <f t="shared" si="57"/>
        <v>0</v>
      </c>
      <c r="AF449" s="527">
        <f t="shared" si="58"/>
        <v>0</v>
      </c>
      <c r="AG449" s="527">
        <f t="shared" si="59"/>
        <v>24.2</v>
      </c>
      <c r="AH449" s="527"/>
      <c r="AI449" s="639">
        <f t="shared" si="61"/>
        <v>24.2</v>
      </c>
    </row>
    <row r="450" spans="1:35" ht="12.75" customHeight="1" x14ac:dyDescent="0.2">
      <c r="A450" s="527">
        <v>440</v>
      </c>
      <c r="C450" s="533" t="s">
        <v>2895</v>
      </c>
      <c r="E450" s="527" t="s">
        <v>2898</v>
      </c>
      <c r="F450" s="728"/>
      <c r="G450" s="619">
        <v>712</v>
      </c>
      <c r="H450" s="527"/>
      <c r="J450" s="617"/>
      <c r="K450" s="533" t="s">
        <v>2875</v>
      </c>
      <c r="N450" s="624">
        <v>44283</v>
      </c>
      <c r="U450" s="613">
        <v>1</v>
      </c>
      <c r="W450" s="613">
        <f t="shared" si="62"/>
        <v>1</v>
      </c>
      <c r="AB450" s="527">
        <f t="shared" si="60"/>
        <v>0</v>
      </c>
      <c r="AC450" s="527">
        <f t="shared" ref="AC450:AC513" si="63">IF(Q450=1,$G450,0)</f>
        <v>0</v>
      </c>
      <c r="AD450" s="527">
        <f t="shared" ref="AD450:AD513" si="64">IF(R450=1,$G450,0)</f>
        <v>0</v>
      </c>
      <c r="AE450" s="527">
        <f t="shared" ref="AE450:AE513" si="65">IF(S450=1,$G450,0)</f>
        <v>0</v>
      </c>
      <c r="AF450" s="527">
        <f t="shared" ref="AF450:AF513" si="66">IF(T450=1,$G450,0)</f>
        <v>0</v>
      </c>
      <c r="AG450" s="527">
        <f t="shared" ref="AG450:AG513" si="67">IF(U450=1,$G450,0)</f>
        <v>712</v>
      </c>
      <c r="AH450" s="527"/>
      <c r="AI450" s="639">
        <f t="shared" si="61"/>
        <v>712</v>
      </c>
    </row>
    <row r="451" spans="1:35" ht="12.75" customHeight="1" x14ac:dyDescent="0.2">
      <c r="A451" s="527">
        <v>441</v>
      </c>
      <c r="C451" s="533" t="s">
        <v>2896</v>
      </c>
      <c r="E451" s="527" t="s">
        <v>3328</v>
      </c>
      <c r="F451" s="728"/>
      <c r="G451" s="619">
        <v>35</v>
      </c>
      <c r="H451" s="527"/>
      <c r="J451" s="617"/>
      <c r="K451" s="533" t="s">
        <v>2875</v>
      </c>
      <c r="N451" s="624">
        <v>44283</v>
      </c>
      <c r="U451" s="613">
        <v>1</v>
      </c>
      <c r="W451" s="613">
        <f t="shared" si="62"/>
        <v>1</v>
      </c>
      <c r="AB451" s="527">
        <f t="shared" ref="AB451:AB514" si="68">IF(P451=1,$G451,0)</f>
        <v>0</v>
      </c>
      <c r="AC451" s="527">
        <f t="shared" si="63"/>
        <v>0</v>
      </c>
      <c r="AD451" s="527">
        <f t="shared" si="64"/>
        <v>0</v>
      </c>
      <c r="AE451" s="527">
        <f t="shared" si="65"/>
        <v>0</v>
      </c>
      <c r="AF451" s="527">
        <f t="shared" si="66"/>
        <v>0</v>
      </c>
      <c r="AG451" s="527">
        <f t="shared" si="67"/>
        <v>35</v>
      </c>
      <c r="AH451" s="527"/>
      <c r="AI451" s="639">
        <f t="shared" si="61"/>
        <v>35</v>
      </c>
    </row>
    <row r="452" spans="1:35" ht="12.75" customHeight="1" x14ac:dyDescent="0.2">
      <c r="A452" s="527">
        <v>442</v>
      </c>
      <c r="C452" s="533" t="s">
        <v>2897</v>
      </c>
      <c r="E452" s="527" t="s">
        <v>3329</v>
      </c>
      <c r="F452" s="728"/>
      <c r="G452" s="619">
        <v>2600</v>
      </c>
      <c r="H452" s="527"/>
      <c r="J452" s="617"/>
      <c r="K452" s="533" t="s">
        <v>2875</v>
      </c>
      <c r="N452" s="624">
        <v>44283</v>
      </c>
      <c r="U452" s="613">
        <v>1</v>
      </c>
      <c r="W452" s="613">
        <f t="shared" si="62"/>
        <v>1</v>
      </c>
      <c r="AB452" s="527">
        <f t="shared" si="68"/>
        <v>0</v>
      </c>
      <c r="AC452" s="527">
        <f t="shared" si="63"/>
        <v>0</v>
      </c>
      <c r="AD452" s="527">
        <f t="shared" si="64"/>
        <v>0</v>
      </c>
      <c r="AE452" s="527">
        <f t="shared" si="65"/>
        <v>0</v>
      </c>
      <c r="AF452" s="527">
        <f t="shared" si="66"/>
        <v>0</v>
      </c>
      <c r="AG452" s="527">
        <f t="shared" si="67"/>
        <v>2600</v>
      </c>
      <c r="AH452" s="527"/>
      <c r="AI452" s="639">
        <f t="shared" si="61"/>
        <v>2600</v>
      </c>
    </row>
    <row r="453" spans="1:35" ht="12.75" customHeight="1" x14ac:dyDescent="0.2">
      <c r="A453" s="527">
        <v>443</v>
      </c>
      <c r="C453" s="533" t="s">
        <v>2959</v>
      </c>
      <c r="E453" s="527" t="s">
        <v>2961</v>
      </c>
      <c r="F453" s="728"/>
      <c r="G453" s="619">
        <v>698</v>
      </c>
      <c r="H453" s="527"/>
      <c r="J453" s="617"/>
      <c r="K453" s="533" t="s">
        <v>2875</v>
      </c>
      <c r="N453" s="624">
        <v>44294</v>
      </c>
      <c r="U453" s="613">
        <v>1</v>
      </c>
      <c r="W453" s="613">
        <f t="shared" si="62"/>
        <v>1</v>
      </c>
      <c r="AB453" s="527">
        <f t="shared" si="68"/>
        <v>0</v>
      </c>
      <c r="AC453" s="527">
        <f t="shared" si="63"/>
        <v>0</v>
      </c>
      <c r="AD453" s="527">
        <f t="shared" si="64"/>
        <v>0</v>
      </c>
      <c r="AE453" s="527">
        <f t="shared" si="65"/>
        <v>0</v>
      </c>
      <c r="AF453" s="527">
        <f t="shared" si="66"/>
        <v>0</v>
      </c>
      <c r="AG453" s="527">
        <f t="shared" si="67"/>
        <v>698</v>
      </c>
      <c r="AH453" s="527"/>
      <c r="AI453" s="639">
        <f t="shared" si="61"/>
        <v>698</v>
      </c>
    </row>
    <row r="454" spans="1:35" ht="12.75" customHeight="1" x14ac:dyDescent="0.2">
      <c r="A454" s="527">
        <v>444</v>
      </c>
      <c r="C454" s="533" t="s">
        <v>2960</v>
      </c>
      <c r="E454" s="527" t="s">
        <v>2962</v>
      </c>
      <c r="F454" s="728"/>
      <c r="G454" s="619">
        <v>80</v>
      </c>
      <c r="H454" s="527"/>
      <c r="J454" s="617"/>
      <c r="K454" s="533" t="s">
        <v>2875</v>
      </c>
      <c r="N454" s="624">
        <v>44294</v>
      </c>
      <c r="U454" s="613">
        <v>1</v>
      </c>
      <c r="W454" s="613">
        <f t="shared" si="62"/>
        <v>1</v>
      </c>
      <c r="AB454" s="527">
        <f t="shared" si="68"/>
        <v>0</v>
      </c>
      <c r="AC454" s="527">
        <f t="shared" si="63"/>
        <v>0</v>
      </c>
      <c r="AD454" s="527">
        <f t="shared" si="64"/>
        <v>0</v>
      </c>
      <c r="AE454" s="527">
        <f t="shared" si="65"/>
        <v>0</v>
      </c>
      <c r="AF454" s="527">
        <f t="shared" si="66"/>
        <v>0</v>
      </c>
      <c r="AG454" s="527">
        <f t="shared" si="67"/>
        <v>80</v>
      </c>
      <c r="AH454" s="527"/>
      <c r="AI454" s="639">
        <f t="shared" si="61"/>
        <v>80</v>
      </c>
    </row>
    <row r="455" spans="1:35" ht="12.75" customHeight="1" x14ac:dyDescent="0.2">
      <c r="A455" s="527">
        <v>445</v>
      </c>
      <c r="C455" s="533" t="s">
        <v>3264</v>
      </c>
      <c r="E455" s="527" t="s">
        <v>3267</v>
      </c>
      <c r="F455" s="728"/>
      <c r="G455" s="619">
        <v>16974</v>
      </c>
      <c r="H455" s="527"/>
      <c r="J455" s="617"/>
      <c r="K455" s="533" t="s">
        <v>2875</v>
      </c>
      <c r="N455" s="624">
        <v>44311</v>
      </c>
      <c r="U455" s="613">
        <v>1</v>
      </c>
      <c r="W455" s="613">
        <f t="shared" si="62"/>
        <v>1</v>
      </c>
      <c r="AB455" s="527">
        <f t="shared" si="68"/>
        <v>0</v>
      </c>
      <c r="AC455" s="527">
        <f t="shared" si="63"/>
        <v>0</v>
      </c>
      <c r="AD455" s="527">
        <f t="shared" si="64"/>
        <v>0</v>
      </c>
      <c r="AE455" s="527">
        <f t="shared" si="65"/>
        <v>0</v>
      </c>
      <c r="AF455" s="527">
        <f t="shared" si="66"/>
        <v>0</v>
      </c>
      <c r="AG455" s="527">
        <f t="shared" si="67"/>
        <v>16974</v>
      </c>
      <c r="AH455" s="527"/>
      <c r="AI455" s="639">
        <f t="shared" ref="AI455:AI518" si="69">G455</f>
        <v>16974</v>
      </c>
    </row>
    <row r="456" spans="1:35" ht="12.75" customHeight="1" x14ac:dyDescent="0.2">
      <c r="A456" s="527">
        <v>446</v>
      </c>
      <c r="C456" s="533" t="s">
        <v>3265</v>
      </c>
      <c r="E456" s="527" t="s">
        <v>3327</v>
      </c>
      <c r="F456" s="728"/>
      <c r="G456" s="530">
        <v>20.309999999999999</v>
      </c>
      <c r="H456" s="527"/>
      <c r="J456" s="617"/>
      <c r="K456" s="533" t="s">
        <v>2875</v>
      </c>
      <c r="N456" s="624">
        <v>44311</v>
      </c>
      <c r="U456" s="613">
        <v>1</v>
      </c>
      <c r="W456" s="613">
        <f t="shared" si="62"/>
        <v>1</v>
      </c>
      <c r="AB456" s="527">
        <f t="shared" si="68"/>
        <v>0</v>
      </c>
      <c r="AC456" s="527">
        <f t="shared" si="63"/>
        <v>0</v>
      </c>
      <c r="AD456" s="527">
        <f t="shared" si="64"/>
        <v>0</v>
      </c>
      <c r="AE456" s="527">
        <f t="shared" si="65"/>
        <v>0</v>
      </c>
      <c r="AF456" s="527">
        <f t="shared" si="66"/>
        <v>0</v>
      </c>
      <c r="AG456" s="527">
        <f t="shared" si="67"/>
        <v>20.309999999999999</v>
      </c>
      <c r="AH456" s="527"/>
      <c r="AI456" s="639">
        <f t="shared" si="69"/>
        <v>20.309999999999999</v>
      </c>
    </row>
    <row r="457" spans="1:35" ht="12.75" customHeight="1" x14ac:dyDescent="0.2">
      <c r="A457" s="527">
        <v>447</v>
      </c>
      <c r="C457" s="533" t="s">
        <v>3266</v>
      </c>
      <c r="E457" s="527" t="s">
        <v>2832</v>
      </c>
      <c r="F457" s="728"/>
      <c r="G457" s="619">
        <v>1680</v>
      </c>
      <c r="H457" s="527"/>
      <c r="J457" s="617"/>
      <c r="K457" s="533" t="s">
        <v>2875</v>
      </c>
      <c r="N457" s="624">
        <v>44311</v>
      </c>
      <c r="U457" s="613">
        <v>1</v>
      </c>
      <c r="W457" s="613">
        <f t="shared" si="62"/>
        <v>1</v>
      </c>
      <c r="AB457" s="527">
        <f t="shared" si="68"/>
        <v>0</v>
      </c>
      <c r="AC457" s="527">
        <f t="shared" si="63"/>
        <v>0</v>
      </c>
      <c r="AD457" s="527">
        <f t="shared" si="64"/>
        <v>0</v>
      </c>
      <c r="AE457" s="527">
        <f t="shared" si="65"/>
        <v>0</v>
      </c>
      <c r="AF457" s="527">
        <f t="shared" si="66"/>
        <v>0</v>
      </c>
      <c r="AG457" s="527">
        <f t="shared" si="67"/>
        <v>1680</v>
      </c>
      <c r="AH457" s="527"/>
      <c r="AI457" s="639">
        <f t="shared" si="69"/>
        <v>1680</v>
      </c>
    </row>
    <row r="458" spans="1:35" ht="12.75" customHeight="1" x14ac:dyDescent="0.2">
      <c r="A458" s="527">
        <v>448</v>
      </c>
      <c r="C458" s="533" t="s">
        <v>3268</v>
      </c>
      <c r="E458" s="527" t="s">
        <v>3330</v>
      </c>
      <c r="F458" s="728"/>
      <c r="G458" s="619">
        <v>760</v>
      </c>
      <c r="H458" s="527"/>
      <c r="J458" s="617"/>
      <c r="K458" s="533" t="s">
        <v>2875</v>
      </c>
      <c r="N458" s="624">
        <v>44322</v>
      </c>
      <c r="U458" s="613">
        <v>1</v>
      </c>
      <c r="W458" s="613">
        <f t="shared" si="62"/>
        <v>1</v>
      </c>
      <c r="AB458" s="527">
        <f t="shared" si="68"/>
        <v>0</v>
      </c>
      <c r="AC458" s="527">
        <f t="shared" si="63"/>
        <v>0</v>
      </c>
      <c r="AD458" s="527">
        <f t="shared" si="64"/>
        <v>0</v>
      </c>
      <c r="AE458" s="527">
        <f t="shared" si="65"/>
        <v>0</v>
      </c>
      <c r="AF458" s="527">
        <f t="shared" si="66"/>
        <v>0</v>
      </c>
      <c r="AG458" s="527">
        <f t="shared" si="67"/>
        <v>760</v>
      </c>
      <c r="AH458" s="527"/>
      <c r="AI458" s="639">
        <f t="shared" si="69"/>
        <v>760</v>
      </c>
    </row>
    <row r="459" spans="1:35" ht="12.75" customHeight="1" x14ac:dyDescent="0.2">
      <c r="A459" s="527">
        <v>449</v>
      </c>
      <c r="C459" s="533" t="s">
        <v>3269</v>
      </c>
      <c r="E459" s="527" t="s">
        <v>3331</v>
      </c>
      <c r="F459" s="728"/>
      <c r="G459" s="619">
        <v>2045</v>
      </c>
      <c r="H459" s="527"/>
      <c r="J459" s="617"/>
      <c r="K459" s="533" t="s">
        <v>2875</v>
      </c>
      <c r="N459" s="624">
        <v>44322</v>
      </c>
      <c r="U459" s="613">
        <v>1</v>
      </c>
      <c r="W459" s="613">
        <f t="shared" si="62"/>
        <v>1</v>
      </c>
      <c r="AB459" s="527">
        <f t="shared" si="68"/>
        <v>0</v>
      </c>
      <c r="AC459" s="527">
        <f t="shared" si="63"/>
        <v>0</v>
      </c>
      <c r="AD459" s="527">
        <f t="shared" si="64"/>
        <v>0</v>
      </c>
      <c r="AE459" s="527">
        <f t="shared" si="65"/>
        <v>0</v>
      </c>
      <c r="AF459" s="527">
        <f t="shared" si="66"/>
        <v>0</v>
      </c>
      <c r="AG459" s="527">
        <f t="shared" si="67"/>
        <v>2045</v>
      </c>
      <c r="AH459" s="527"/>
      <c r="AI459" s="639">
        <f t="shared" si="69"/>
        <v>2045</v>
      </c>
    </row>
    <row r="460" spans="1:35" ht="12.75" customHeight="1" x14ac:dyDescent="0.2">
      <c r="A460" s="527">
        <v>450</v>
      </c>
      <c r="C460" s="533" t="s">
        <v>3270</v>
      </c>
      <c r="E460" s="527" t="s">
        <v>3332</v>
      </c>
      <c r="F460" s="728"/>
      <c r="G460" s="619">
        <v>158</v>
      </c>
      <c r="H460" s="527"/>
      <c r="J460" s="617"/>
      <c r="K460" s="533" t="s">
        <v>2875</v>
      </c>
      <c r="N460" s="624">
        <v>44322</v>
      </c>
      <c r="U460" s="613">
        <v>1</v>
      </c>
      <c r="W460" s="613">
        <f t="shared" si="62"/>
        <v>1</v>
      </c>
      <c r="AB460" s="527">
        <f t="shared" si="68"/>
        <v>0</v>
      </c>
      <c r="AC460" s="527">
        <f t="shared" si="63"/>
        <v>0</v>
      </c>
      <c r="AD460" s="527">
        <f t="shared" si="64"/>
        <v>0</v>
      </c>
      <c r="AE460" s="527">
        <f t="shared" si="65"/>
        <v>0</v>
      </c>
      <c r="AF460" s="527">
        <f t="shared" si="66"/>
        <v>0</v>
      </c>
      <c r="AG460" s="527">
        <f t="shared" si="67"/>
        <v>158</v>
      </c>
      <c r="AH460" s="527"/>
      <c r="AI460" s="639">
        <f t="shared" si="69"/>
        <v>158</v>
      </c>
    </row>
    <row r="461" spans="1:35" ht="12.75" customHeight="1" x14ac:dyDescent="0.2">
      <c r="A461" s="527">
        <v>451</v>
      </c>
      <c r="C461" s="533" t="s">
        <v>3271</v>
      </c>
      <c r="E461" s="527" t="s">
        <v>3333</v>
      </c>
      <c r="F461" s="728"/>
      <c r="G461" s="530">
        <v>175.38</v>
      </c>
      <c r="H461" s="527"/>
      <c r="J461" s="617"/>
      <c r="K461" s="533" t="s">
        <v>2875</v>
      </c>
      <c r="N461" s="624">
        <v>44322</v>
      </c>
      <c r="U461" s="613">
        <v>1</v>
      </c>
      <c r="W461" s="613">
        <f t="shared" si="62"/>
        <v>1</v>
      </c>
      <c r="AB461" s="527">
        <f t="shared" si="68"/>
        <v>0</v>
      </c>
      <c r="AC461" s="527">
        <f t="shared" si="63"/>
        <v>0</v>
      </c>
      <c r="AD461" s="527">
        <f t="shared" si="64"/>
        <v>0</v>
      </c>
      <c r="AE461" s="527">
        <f t="shared" si="65"/>
        <v>0</v>
      </c>
      <c r="AF461" s="527">
        <f t="shared" si="66"/>
        <v>0</v>
      </c>
      <c r="AG461" s="527">
        <f t="shared" si="67"/>
        <v>175.38</v>
      </c>
      <c r="AH461" s="527"/>
      <c r="AI461" s="639">
        <f t="shared" si="69"/>
        <v>175.38</v>
      </c>
    </row>
    <row r="462" spans="1:35" ht="12.75" customHeight="1" x14ac:dyDescent="0.2">
      <c r="A462" s="527">
        <v>452</v>
      </c>
      <c r="C462" s="533" t="s">
        <v>3272</v>
      </c>
      <c r="E462" s="527" t="s">
        <v>3334</v>
      </c>
      <c r="F462" s="728"/>
      <c r="G462" s="619">
        <v>861</v>
      </c>
      <c r="H462" s="527"/>
      <c r="J462" s="617"/>
      <c r="K462" s="533" t="s">
        <v>2875</v>
      </c>
      <c r="N462" s="624">
        <v>44322</v>
      </c>
      <c r="U462" s="613">
        <v>1</v>
      </c>
      <c r="W462" s="613">
        <f t="shared" si="62"/>
        <v>1</v>
      </c>
      <c r="AB462" s="527">
        <f t="shared" si="68"/>
        <v>0</v>
      </c>
      <c r="AC462" s="527">
        <f t="shared" si="63"/>
        <v>0</v>
      </c>
      <c r="AD462" s="527">
        <f t="shared" si="64"/>
        <v>0</v>
      </c>
      <c r="AE462" s="527">
        <f t="shared" si="65"/>
        <v>0</v>
      </c>
      <c r="AF462" s="527">
        <f t="shared" si="66"/>
        <v>0</v>
      </c>
      <c r="AG462" s="527">
        <f t="shared" si="67"/>
        <v>861</v>
      </c>
      <c r="AH462" s="527"/>
      <c r="AI462" s="639">
        <f t="shared" si="69"/>
        <v>861</v>
      </c>
    </row>
    <row r="463" spans="1:35" ht="12.75" customHeight="1" x14ac:dyDescent="0.2">
      <c r="A463" s="527">
        <v>453</v>
      </c>
      <c r="C463" s="533" t="s">
        <v>3346</v>
      </c>
      <c r="E463" s="527" t="s">
        <v>3341</v>
      </c>
      <c r="F463" s="728"/>
      <c r="G463" s="619">
        <v>712</v>
      </c>
      <c r="H463" s="527"/>
      <c r="J463" s="617"/>
      <c r="K463" s="533" t="s">
        <v>2875</v>
      </c>
      <c r="N463" s="624">
        <v>44345</v>
      </c>
      <c r="U463" s="613">
        <v>1</v>
      </c>
      <c r="W463" s="613">
        <f t="shared" si="62"/>
        <v>1</v>
      </c>
      <c r="AB463" s="527">
        <f t="shared" si="68"/>
        <v>0</v>
      </c>
      <c r="AC463" s="527">
        <f t="shared" si="63"/>
        <v>0</v>
      </c>
      <c r="AD463" s="527">
        <f t="shared" si="64"/>
        <v>0</v>
      </c>
      <c r="AE463" s="527">
        <f t="shared" si="65"/>
        <v>0</v>
      </c>
      <c r="AF463" s="527">
        <f t="shared" si="66"/>
        <v>0</v>
      </c>
      <c r="AG463" s="527">
        <f t="shared" si="67"/>
        <v>712</v>
      </c>
      <c r="AH463" s="527"/>
      <c r="AI463" s="639">
        <f t="shared" si="69"/>
        <v>712</v>
      </c>
    </row>
    <row r="464" spans="1:35" ht="12.75" customHeight="1" x14ac:dyDescent="0.2">
      <c r="A464" s="527">
        <v>454</v>
      </c>
      <c r="C464" s="533" t="s">
        <v>3337</v>
      </c>
      <c r="E464" s="527" t="s">
        <v>3342</v>
      </c>
      <c r="F464" s="728"/>
      <c r="G464" s="619">
        <v>92</v>
      </c>
      <c r="H464" s="527"/>
      <c r="J464" s="617"/>
      <c r="K464" s="533" t="s">
        <v>2875</v>
      </c>
      <c r="N464" s="624">
        <v>44345</v>
      </c>
      <c r="U464" s="613">
        <v>1</v>
      </c>
      <c r="W464" s="613">
        <f t="shared" si="62"/>
        <v>1</v>
      </c>
      <c r="AB464" s="527">
        <f t="shared" si="68"/>
        <v>0</v>
      </c>
      <c r="AC464" s="527">
        <f t="shared" si="63"/>
        <v>0</v>
      </c>
      <c r="AD464" s="527">
        <f t="shared" si="64"/>
        <v>0</v>
      </c>
      <c r="AE464" s="527">
        <f t="shared" si="65"/>
        <v>0</v>
      </c>
      <c r="AF464" s="527">
        <f t="shared" si="66"/>
        <v>0</v>
      </c>
      <c r="AG464" s="527">
        <f t="shared" si="67"/>
        <v>92</v>
      </c>
      <c r="AH464" s="527"/>
      <c r="AI464" s="639">
        <f t="shared" si="69"/>
        <v>92</v>
      </c>
    </row>
    <row r="465" spans="1:35" ht="12.75" customHeight="1" x14ac:dyDescent="0.2">
      <c r="A465" s="527">
        <v>455</v>
      </c>
      <c r="C465" s="533" t="s">
        <v>3338</v>
      </c>
      <c r="E465" s="527" t="s">
        <v>3343</v>
      </c>
      <c r="F465" s="728"/>
      <c r="G465" s="619">
        <v>1036</v>
      </c>
      <c r="H465" s="527"/>
      <c r="J465" s="617"/>
      <c r="K465" s="533" t="s">
        <v>2875</v>
      </c>
      <c r="N465" s="624">
        <v>44345</v>
      </c>
      <c r="U465" s="613">
        <v>1</v>
      </c>
      <c r="W465" s="613">
        <f t="shared" si="62"/>
        <v>1</v>
      </c>
      <c r="AB465" s="527">
        <f t="shared" si="68"/>
        <v>0</v>
      </c>
      <c r="AC465" s="527">
        <f t="shared" si="63"/>
        <v>0</v>
      </c>
      <c r="AD465" s="527">
        <f t="shared" si="64"/>
        <v>0</v>
      </c>
      <c r="AE465" s="527">
        <f t="shared" si="65"/>
        <v>0</v>
      </c>
      <c r="AF465" s="527">
        <f t="shared" si="66"/>
        <v>0</v>
      </c>
      <c r="AG465" s="527">
        <f t="shared" si="67"/>
        <v>1036</v>
      </c>
      <c r="AH465" s="527"/>
      <c r="AI465" s="639">
        <f t="shared" si="69"/>
        <v>1036</v>
      </c>
    </row>
    <row r="466" spans="1:35" ht="12.75" customHeight="1" x14ac:dyDescent="0.2">
      <c r="A466" s="527">
        <v>456</v>
      </c>
      <c r="C466" s="533" t="s">
        <v>3339</v>
      </c>
      <c r="E466" s="527" t="s">
        <v>3344</v>
      </c>
      <c r="F466" s="728"/>
      <c r="G466" s="619">
        <v>4300</v>
      </c>
      <c r="H466" s="527"/>
      <c r="J466" s="617"/>
      <c r="K466" s="533" t="s">
        <v>2875</v>
      </c>
      <c r="N466" s="624">
        <v>44345</v>
      </c>
      <c r="U466" s="613">
        <v>1</v>
      </c>
      <c r="W466" s="613">
        <f t="shared" si="62"/>
        <v>1</v>
      </c>
      <c r="AB466" s="527">
        <f t="shared" si="68"/>
        <v>0</v>
      </c>
      <c r="AC466" s="527">
        <f t="shared" si="63"/>
        <v>0</v>
      </c>
      <c r="AD466" s="527">
        <f t="shared" si="64"/>
        <v>0</v>
      </c>
      <c r="AE466" s="527">
        <f t="shared" si="65"/>
        <v>0</v>
      </c>
      <c r="AF466" s="527">
        <f t="shared" si="66"/>
        <v>0</v>
      </c>
      <c r="AG466" s="527">
        <f t="shared" si="67"/>
        <v>4300</v>
      </c>
      <c r="AH466" s="527"/>
      <c r="AI466" s="639">
        <f t="shared" si="69"/>
        <v>4300</v>
      </c>
    </row>
    <row r="467" spans="1:35" ht="12.75" customHeight="1" x14ac:dyDescent="0.2">
      <c r="A467" s="527">
        <v>457</v>
      </c>
      <c r="C467" s="533" t="s">
        <v>3340</v>
      </c>
      <c r="E467" s="527" t="s">
        <v>3345</v>
      </c>
      <c r="F467" s="728"/>
      <c r="G467" s="619">
        <v>190</v>
      </c>
      <c r="H467" s="527"/>
      <c r="J467" s="617"/>
      <c r="K467" s="533" t="s">
        <v>2875</v>
      </c>
      <c r="N467" s="624">
        <v>44345</v>
      </c>
      <c r="U467" s="613">
        <v>1</v>
      </c>
      <c r="W467" s="613">
        <f t="shared" si="62"/>
        <v>1</v>
      </c>
      <c r="AB467" s="527">
        <f t="shared" si="68"/>
        <v>0</v>
      </c>
      <c r="AC467" s="527">
        <f t="shared" si="63"/>
        <v>0</v>
      </c>
      <c r="AD467" s="527">
        <f t="shared" si="64"/>
        <v>0</v>
      </c>
      <c r="AE467" s="527">
        <f t="shared" si="65"/>
        <v>0</v>
      </c>
      <c r="AF467" s="527">
        <f t="shared" si="66"/>
        <v>0</v>
      </c>
      <c r="AG467" s="527">
        <f t="shared" si="67"/>
        <v>190</v>
      </c>
      <c r="AH467" s="527"/>
      <c r="AI467" s="639">
        <f t="shared" si="69"/>
        <v>190</v>
      </c>
    </row>
    <row r="468" spans="1:35" ht="12.75" customHeight="1" x14ac:dyDescent="0.2">
      <c r="A468" s="527">
        <v>458</v>
      </c>
      <c r="C468" s="533" t="s">
        <v>3347</v>
      </c>
      <c r="E468" s="527" t="s">
        <v>3348</v>
      </c>
      <c r="F468" s="728"/>
      <c r="G468" s="619">
        <v>90</v>
      </c>
      <c r="H468" s="527"/>
      <c r="J468" s="617"/>
      <c r="K468" s="533" t="s">
        <v>2875</v>
      </c>
      <c r="N468" s="624">
        <v>44345</v>
      </c>
      <c r="U468" s="613">
        <v>1</v>
      </c>
      <c r="W468" s="613">
        <f t="shared" si="62"/>
        <v>1</v>
      </c>
      <c r="AB468" s="527">
        <f t="shared" si="68"/>
        <v>0</v>
      </c>
      <c r="AC468" s="527">
        <f t="shared" si="63"/>
        <v>0</v>
      </c>
      <c r="AD468" s="527">
        <f t="shared" si="64"/>
        <v>0</v>
      </c>
      <c r="AE468" s="527">
        <f t="shared" si="65"/>
        <v>0</v>
      </c>
      <c r="AF468" s="527">
        <f t="shared" si="66"/>
        <v>0</v>
      </c>
      <c r="AG468" s="527">
        <f t="shared" si="67"/>
        <v>90</v>
      </c>
      <c r="AH468" s="527"/>
      <c r="AI468" s="639">
        <f t="shared" si="69"/>
        <v>90</v>
      </c>
    </row>
    <row r="469" spans="1:35" ht="12.75" customHeight="1" x14ac:dyDescent="0.2">
      <c r="A469" s="527">
        <v>459</v>
      </c>
      <c r="C469" s="533" t="s">
        <v>3349</v>
      </c>
      <c r="E469" s="527" t="s">
        <v>3355</v>
      </c>
      <c r="F469" s="728"/>
      <c r="G469" s="619">
        <v>1000</v>
      </c>
      <c r="H469" s="527"/>
      <c r="J469" s="617"/>
      <c r="K469" s="533" t="s">
        <v>2875</v>
      </c>
      <c r="N469" s="624">
        <v>44365</v>
      </c>
      <c r="U469" s="613">
        <v>1</v>
      </c>
      <c r="W469" s="613">
        <f t="shared" si="62"/>
        <v>1</v>
      </c>
      <c r="AB469" s="527">
        <f t="shared" si="68"/>
        <v>0</v>
      </c>
      <c r="AC469" s="527">
        <f t="shared" si="63"/>
        <v>0</v>
      </c>
      <c r="AD469" s="527">
        <f t="shared" si="64"/>
        <v>0</v>
      </c>
      <c r="AE469" s="527">
        <f t="shared" si="65"/>
        <v>0</v>
      </c>
      <c r="AF469" s="527">
        <f t="shared" si="66"/>
        <v>0</v>
      </c>
      <c r="AG469" s="527">
        <f t="shared" si="67"/>
        <v>1000</v>
      </c>
      <c r="AH469" s="527"/>
      <c r="AI469" s="639">
        <f t="shared" si="69"/>
        <v>1000</v>
      </c>
    </row>
    <row r="470" spans="1:35" ht="12.75" customHeight="1" x14ac:dyDescent="0.2">
      <c r="A470" s="527">
        <v>460</v>
      </c>
      <c r="C470" s="533" t="s">
        <v>3350</v>
      </c>
      <c r="E470" s="527" t="s">
        <v>3356</v>
      </c>
      <c r="F470" s="728"/>
      <c r="G470" s="619">
        <v>7940</v>
      </c>
      <c r="H470" s="527"/>
      <c r="J470" s="617"/>
      <c r="K470" s="533" t="s">
        <v>2875</v>
      </c>
      <c r="N470" s="624">
        <v>44365</v>
      </c>
      <c r="U470" s="613">
        <v>1</v>
      </c>
      <c r="W470" s="613">
        <f t="shared" si="62"/>
        <v>1</v>
      </c>
      <c r="AB470" s="527">
        <f t="shared" si="68"/>
        <v>0</v>
      </c>
      <c r="AC470" s="527">
        <f t="shared" si="63"/>
        <v>0</v>
      </c>
      <c r="AD470" s="527">
        <f t="shared" si="64"/>
        <v>0</v>
      </c>
      <c r="AE470" s="527">
        <f t="shared" si="65"/>
        <v>0</v>
      </c>
      <c r="AF470" s="527">
        <f t="shared" si="66"/>
        <v>0</v>
      </c>
      <c r="AG470" s="527">
        <f t="shared" si="67"/>
        <v>7940</v>
      </c>
      <c r="AH470" s="527"/>
      <c r="AI470" s="639">
        <f t="shared" si="69"/>
        <v>7940</v>
      </c>
    </row>
    <row r="471" spans="1:35" ht="12.75" customHeight="1" x14ac:dyDescent="0.2">
      <c r="A471" s="527">
        <v>461</v>
      </c>
      <c r="C471" s="533" t="s">
        <v>3351</v>
      </c>
      <c r="E471" s="527" t="s">
        <v>3357</v>
      </c>
      <c r="F471" s="728"/>
      <c r="G471" s="619">
        <v>1321</v>
      </c>
      <c r="H471" s="527"/>
      <c r="J471" s="617"/>
      <c r="K471" s="533" t="s">
        <v>2875</v>
      </c>
      <c r="N471" s="624">
        <v>44365</v>
      </c>
      <c r="U471" s="613">
        <v>1</v>
      </c>
      <c r="W471" s="613">
        <f t="shared" si="62"/>
        <v>1</v>
      </c>
      <c r="AB471" s="527">
        <f t="shared" si="68"/>
        <v>0</v>
      </c>
      <c r="AC471" s="527">
        <f t="shared" si="63"/>
        <v>0</v>
      </c>
      <c r="AD471" s="527">
        <f t="shared" si="64"/>
        <v>0</v>
      </c>
      <c r="AE471" s="527">
        <f t="shared" si="65"/>
        <v>0</v>
      </c>
      <c r="AF471" s="527">
        <f t="shared" si="66"/>
        <v>0</v>
      </c>
      <c r="AG471" s="527">
        <f t="shared" si="67"/>
        <v>1321</v>
      </c>
      <c r="AH471" s="527"/>
      <c r="AI471" s="639">
        <f t="shared" si="69"/>
        <v>1321</v>
      </c>
    </row>
    <row r="472" spans="1:35" ht="12.75" customHeight="1" x14ac:dyDescent="0.2">
      <c r="A472" s="527">
        <v>462</v>
      </c>
      <c r="C472" s="533" t="s">
        <v>3352</v>
      </c>
      <c r="E472" s="527" t="s">
        <v>3358</v>
      </c>
      <c r="F472" s="728"/>
      <c r="G472" s="639">
        <v>296.8</v>
      </c>
      <c r="H472" s="527"/>
      <c r="J472" s="617"/>
      <c r="K472" s="533" t="s">
        <v>2875</v>
      </c>
      <c r="N472" s="624">
        <v>44365</v>
      </c>
      <c r="U472" s="613">
        <v>1</v>
      </c>
      <c r="W472" s="613">
        <f t="shared" si="62"/>
        <v>1</v>
      </c>
      <c r="AB472" s="527">
        <f t="shared" si="68"/>
        <v>0</v>
      </c>
      <c r="AC472" s="527">
        <f t="shared" si="63"/>
        <v>0</v>
      </c>
      <c r="AD472" s="527">
        <f t="shared" si="64"/>
        <v>0</v>
      </c>
      <c r="AE472" s="527">
        <f t="shared" si="65"/>
        <v>0</v>
      </c>
      <c r="AF472" s="527">
        <f t="shared" si="66"/>
        <v>0</v>
      </c>
      <c r="AG472" s="527">
        <f t="shared" si="67"/>
        <v>296.8</v>
      </c>
      <c r="AH472" s="527"/>
      <c r="AI472" s="639">
        <f t="shared" si="69"/>
        <v>296.8</v>
      </c>
    </row>
    <row r="473" spans="1:35" ht="12.75" customHeight="1" x14ac:dyDescent="0.2">
      <c r="A473" s="527">
        <v>463</v>
      </c>
      <c r="C473" s="533" t="s">
        <v>3353</v>
      </c>
      <c r="E473" s="527" t="s">
        <v>3359</v>
      </c>
      <c r="F473" s="728"/>
      <c r="G473" s="619">
        <v>1035</v>
      </c>
      <c r="H473" s="527"/>
      <c r="J473" s="617"/>
      <c r="K473" s="533" t="s">
        <v>2875</v>
      </c>
      <c r="N473" s="624">
        <v>44365</v>
      </c>
      <c r="U473" s="613">
        <v>1</v>
      </c>
      <c r="W473" s="613">
        <f t="shared" si="62"/>
        <v>1</v>
      </c>
      <c r="AB473" s="527">
        <f t="shared" si="68"/>
        <v>0</v>
      </c>
      <c r="AC473" s="527">
        <f t="shared" si="63"/>
        <v>0</v>
      </c>
      <c r="AD473" s="527">
        <f t="shared" si="64"/>
        <v>0</v>
      </c>
      <c r="AE473" s="527">
        <f t="shared" si="65"/>
        <v>0</v>
      </c>
      <c r="AF473" s="527">
        <f t="shared" si="66"/>
        <v>0</v>
      </c>
      <c r="AG473" s="527">
        <f t="shared" si="67"/>
        <v>1035</v>
      </c>
      <c r="AH473" s="527"/>
      <c r="AI473" s="639">
        <f t="shared" si="69"/>
        <v>1035</v>
      </c>
    </row>
    <row r="474" spans="1:35" ht="12.75" customHeight="1" x14ac:dyDescent="0.2">
      <c r="A474" s="527">
        <v>464</v>
      </c>
      <c r="C474" s="533" t="s">
        <v>3354</v>
      </c>
      <c r="E474" s="527" t="s">
        <v>3360</v>
      </c>
      <c r="F474" s="728"/>
      <c r="G474" s="619">
        <v>15</v>
      </c>
      <c r="H474" s="527"/>
      <c r="J474" s="617"/>
      <c r="K474" s="533" t="s">
        <v>2875</v>
      </c>
      <c r="N474" s="624">
        <v>44365</v>
      </c>
      <c r="U474" s="613">
        <v>1</v>
      </c>
      <c r="W474" s="613">
        <f t="shared" si="62"/>
        <v>1</v>
      </c>
      <c r="AB474" s="527">
        <f t="shared" si="68"/>
        <v>0</v>
      </c>
      <c r="AC474" s="527">
        <f t="shared" si="63"/>
        <v>0</v>
      </c>
      <c r="AD474" s="527">
        <f t="shared" si="64"/>
        <v>0</v>
      </c>
      <c r="AE474" s="527">
        <f t="shared" si="65"/>
        <v>0</v>
      </c>
      <c r="AF474" s="527">
        <f t="shared" si="66"/>
        <v>0</v>
      </c>
      <c r="AG474" s="527">
        <f t="shared" si="67"/>
        <v>15</v>
      </c>
      <c r="AH474" s="527"/>
      <c r="AI474" s="639">
        <f t="shared" si="69"/>
        <v>15</v>
      </c>
    </row>
    <row r="475" spans="1:35" ht="12.75" customHeight="1" x14ac:dyDescent="0.2">
      <c r="A475" s="527">
        <v>465</v>
      </c>
      <c r="C475" s="533" t="s">
        <v>3361</v>
      </c>
      <c r="E475" s="527" t="s">
        <v>3362</v>
      </c>
      <c r="F475" s="728"/>
      <c r="G475" s="619">
        <v>6500</v>
      </c>
      <c r="H475" s="527"/>
      <c r="J475" s="617"/>
      <c r="K475" s="533" t="s">
        <v>2875</v>
      </c>
      <c r="N475" s="624">
        <v>44368</v>
      </c>
      <c r="U475" s="613">
        <v>1</v>
      </c>
      <c r="W475" s="613">
        <f t="shared" si="62"/>
        <v>1</v>
      </c>
      <c r="AB475" s="527">
        <f t="shared" si="68"/>
        <v>0</v>
      </c>
      <c r="AC475" s="527">
        <f t="shared" si="63"/>
        <v>0</v>
      </c>
      <c r="AD475" s="527">
        <f t="shared" si="64"/>
        <v>0</v>
      </c>
      <c r="AE475" s="527">
        <f t="shared" si="65"/>
        <v>0</v>
      </c>
      <c r="AF475" s="527">
        <f t="shared" si="66"/>
        <v>0</v>
      </c>
      <c r="AG475" s="527">
        <f t="shared" si="67"/>
        <v>6500</v>
      </c>
      <c r="AH475" s="527"/>
      <c r="AI475" s="639">
        <f t="shared" si="69"/>
        <v>6500</v>
      </c>
    </row>
    <row r="476" spans="1:35" ht="12.75" customHeight="1" x14ac:dyDescent="0.2">
      <c r="A476" s="527">
        <v>466</v>
      </c>
      <c r="C476" s="533" t="s">
        <v>3363</v>
      </c>
      <c r="E476" s="527" t="s">
        <v>3369</v>
      </c>
      <c r="F476" s="728"/>
      <c r="G476" s="619">
        <v>189</v>
      </c>
      <c r="H476" s="527"/>
      <c r="J476" s="617"/>
      <c r="K476" s="533" t="s">
        <v>2875</v>
      </c>
      <c r="N476" s="624">
        <v>44383</v>
      </c>
      <c r="U476" s="613">
        <v>1</v>
      </c>
      <c r="W476" s="613">
        <f t="shared" si="62"/>
        <v>1</v>
      </c>
      <c r="AB476" s="527">
        <f t="shared" si="68"/>
        <v>0</v>
      </c>
      <c r="AC476" s="527">
        <f t="shared" si="63"/>
        <v>0</v>
      </c>
      <c r="AD476" s="527">
        <f t="shared" si="64"/>
        <v>0</v>
      </c>
      <c r="AE476" s="527">
        <f t="shared" si="65"/>
        <v>0</v>
      </c>
      <c r="AF476" s="527">
        <f t="shared" si="66"/>
        <v>0</v>
      </c>
      <c r="AG476" s="527">
        <f t="shared" si="67"/>
        <v>189</v>
      </c>
      <c r="AH476" s="527"/>
      <c r="AI476" s="639">
        <f t="shared" si="69"/>
        <v>189</v>
      </c>
    </row>
    <row r="477" spans="1:35" ht="12.75" customHeight="1" x14ac:dyDescent="0.2">
      <c r="A477" s="527">
        <v>467</v>
      </c>
      <c r="C477" s="533" t="s">
        <v>3365</v>
      </c>
      <c r="E477" s="527" t="s">
        <v>3366</v>
      </c>
      <c r="F477" s="728"/>
      <c r="G477" s="619">
        <v>11700</v>
      </c>
      <c r="H477" s="527"/>
      <c r="J477" s="617"/>
      <c r="K477" s="533" t="s">
        <v>2875</v>
      </c>
      <c r="N477" s="624">
        <v>44383</v>
      </c>
      <c r="U477" s="613">
        <v>1</v>
      </c>
      <c r="W477" s="613">
        <f t="shared" si="62"/>
        <v>1</v>
      </c>
      <c r="AB477" s="527">
        <f t="shared" si="68"/>
        <v>0</v>
      </c>
      <c r="AC477" s="527">
        <f t="shared" si="63"/>
        <v>0</v>
      </c>
      <c r="AD477" s="527">
        <f t="shared" si="64"/>
        <v>0</v>
      </c>
      <c r="AE477" s="527">
        <f t="shared" si="65"/>
        <v>0</v>
      </c>
      <c r="AF477" s="527">
        <f t="shared" si="66"/>
        <v>0</v>
      </c>
      <c r="AG477" s="527">
        <f t="shared" si="67"/>
        <v>11700</v>
      </c>
      <c r="AH477" s="527"/>
      <c r="AI477" s="639">
        <f t="shared" si="69"/>
        <v>11700</v>
      </c>
    </row>
    <row r="478" spans="1:35" ht="12.75" customHeight="1" x14ac:dyDescent="0.2">
      <c r="A478" s="527">
        <v>468</v>
      </c>
      <c r="C478" s="533" t="s">
        <v>3364</v>
      </c>
      <c r="E478" s="527" t="s">
        <v>3367</v>
      </c>
      <c r="F478" s="728"/>
      <c r="G478" s="639">
        <v>69.599999999999994</v>
      </c>
      <c r="H478" s="527"/>
      <c r="J478" s="617"/>
      <c r="K478" s="533" t="s">
        <v>2875</v>
      </c>
      <c r="N478" s="624">
        <v>44383</v>
      </c>
      <c r="U478" s="613">
        <v>1</v>
      </c>
      <c r="W478" s="613">
        <f t="shared" si="62"/>
        <v>1</v>
      </c>
      <c r="AB478" s="527">
        <f t="shared" si="68"/>
        <v>0</v>
      </c>
      <c r="AC478" s="527">
        <f t="shared" si="63"/>
        <v>0</v>
      </c>
      <c r="AD478" s="527">
        <f t="shared" si="64"/>
        <v>0</v>
      </c>
      <c r="AE478" s="527">
        <f t="shared" si="65"/>
        <v>0</v>
      </c>
      <c r="AF478" s="527">
        <f t="shared" si="66"/>
        <v>0</v>
      </c>
      <c r="AG478" s="527">
        <f t="shared" si="67"/>
        <v>69.599999999999994</v>
      </c>
      <c r="AH478" s="527"/>
      <c r="AI478" s="639">
        <f t="shared" si="69"/>
        <v>69.599999999999994</v>
      </c>
    </row>
    <row r="479" spans="1:35" ht="12.75" customHeight="1" x14ac:dyDescent="0.2">
      <c r="A479" s="527">
        <v>469</v>
      </c>
      <c r="C479" s="533" t="s">
        <v>3370</v>
      </c>
      <c r="E479" s="527" t="s">
        <v>3374</v>
      </c>
      <c r="F479" s="728"/>
      <c r="G479" s="639">
        <v>251.8</v>
      </c>
      <c r="H479" s="527"/>
      <c r="J479" s="617"/>
      <c r="K479" s="533" t="s">
        <v>2875</v>
      </c>
      <c r="N479" s="624">
        <v>44394</v>
      </c>
      <c r="U479" s="613">
        <v>1</v>
      </c>
      <c r="W479" s="613">
        <f t="shared" si="62"/>
        <v>1</v>
      </c>
      <c r="AB479" s="527">
        <f t="shared" si="68"/>
        <v>0</v>
      </c>
      <c r="AC479" s="527">
        <f t="shared" si="63"/>
        <v>0</v>
      </c>
      <c r="AD479" s="527">
        <f t="shared" si="64"/>
        <v>0</v>
      </c>
      <c r="AE479" s="527">
        <f t="shared" si="65"/>
        <v>0</v>
      </c>
      <c r="AF479" s="527">
        <f t="shared" si="66"/>
        <v>0</v>
      </c>
      <c r="AG479" s="527">
        <f t="shared" si="67"/>
        <v>251.8</v>
      </c>
      <c r="AH479" s="527"/>
      <c r="AI479" s="639">
        <f t="shared" si="69"/>
        <v>251.8</v>
      </c>
    </row>
    <row r="480" spans="1:35" ht="12.75" customHeight="1" x14ac:dyDescent="0.2">
      <c r="A480" s="527">
        <v>470</v>
      </c>
      <c r="C480" s="533" t="s">
        <v>3371</v>
      </c>
      <c r="E480" s="527" t="s">
        <v>3357</v>
      </c>
      <c r="F480" s="728"/>
      <c r="G480" s="619">
        <v>2394</v>
      </c>
      <c r="H480" s="527"/>
      <c r="J480" s="617"/>
      <c r="K480" s="533" t="s">
        <v>2875</v>
      </c>
      <c r="N480" s="624">
        <v>44394</v>
      </c>
      <c r="U480" s="613">
        <v>1</v>
      </c>
      <c r="W480" s="613">
        <f t="shared" si="62"/>
        <v>1</v>
      </c>
      <c r="AB480" s="527">
        <f t="shared" si="68"/>
        <v>0</v>
      </c>
      <c r="AC480" s="527">
        <f t="shared" si="63"/>
        <v>0</v>
      </c>
      <c r="AD480" s="527">
        <f t="shared" si="64"/>
        <v>0</v>
      </c>
      <c r="AE480" s="527">
        <f t="shared" si="65"/>
        <v>0</v>
      </c>
      <c r="AF480" s="527">
        <f t="shared" si="66"/>
        <v>0</v>
      </c>
      <c r="AG480" s="527">
        <f t="shared" si="67"/>
        <v>2394</v>
      </c>
      <c r="AH480" s="527"/>
      <c r="AI480" s="639">
        <f t="shared" si="69"/>
        <v>2394</v>
      </c>
    </row>
    <row r="481" spans="1:37" ht="12.75" customHeight="1" x14ac:dyDescent="0.2">
      <c r="A481" s="527">
        <v>471</v>
      </c>
      <c r="C481" s="533" t="s">
        <v>3372</v>
      </c>
      <c r="E481" s="527" t="s">
        <v>3373</v>
      </c>
      <c r="F481" s="728"/>
      <c r="G481" s="619">
        <v>3121</v>
      </c>
      <c r="H481" s="527"/>
      <c r="J481" s="617"/>
      <c r="K481" s="533" t="s">
        <v>2875</v>
      </c>
      <c r="N481" s="624">
        <v>44394</v>
      </c>
      <c r="U481" s="613">
        <v>1</v>
      </c>
      <c r="W481" s="613">
        <f t="shared" si="62"/>
        <v>1</v>
      </c>
      <c r="AB481" s="527">
        <f t="shared" si="68"/>
        <v>0</v>
      </c>
      <c r="AC481" s="527">
        <f t="shared" si="63"/>
        <v>0</v>
      </c>
      <c r="AD481" s="527">
        <f t="shared" si="64"/>
        <v>0</v>
      </c>
      <c r="AE481" s="527">
        <f t="shared" si="65"/>
        <v>0</v>
      </c>
      <c r="AF481" s="527">
        <f t="shared" si="66"/>
        <v>0</v>
      </c>
      <c r="AG481" s="527">
        <f t="shared" si="67"/>
        <v>3121</v>
      </c>
      <c r="AH481" s="527"/>
      <c r="AI481" s="639">
        <f t="shared" si="69"/>
        <v>3121</v>
      </c>
    </row>
    <row r="482" spans="1:37" ht="12.75" customHeight="1" x14ac:dyDescent="0.2">
      <c r="A482" s="527">
        <v>472</v>
      </c>
      <c r="C482" s="533" t="s">
        <v>3398</v>
      </c>
      <c r="E482" s="527" t="s">
        <v>3402</v>
      </c>
      <c r="F482" s="728"/>
      <c r="G482" s="619">
        <v>79</v>
      </c>
      <c r="H482" s="527"/>
      <c r="J482" s="617"/>
      <c r="K482" s="533" t="s">
        <v>2875</v>
      </c>
      <c r="N482" s="624">
        <v>44401</v>
      </c>
      <c r="U482" s="613">
        <v>1</v>
      </c>
      <c r="W482" s="613">
        <f t="shared" si="62"/>
        <v>1</v>
      </c>
      <c r="AB482" s="527">
        <f t="shared" si="68"/>
        <v>0</v>
      </c>
      <c r="AC482" s="527">
        <f t="shared" si="63"/>
        <v>0</v>
      </c>
      <c r="AD482" s="527">
        <f t="shared" si="64"/>
        <v>0</v>
      </c>
      <c r="AE482" s="527">
        <f t="shared" si="65"/>
        <v>0</v>
      </c>
      <c r="AF482" s="527">
        <f t="shared" si="66"/>
        <v>0</v>
      </c>
      <c r="AG482" s="527">
        <f t="shared" si="67"/>
        <v>79</v>
      </c>
      <c r="AH482" s="527"/>
      <c r="AI482" s="639">
        <f t="shared" si="69"/>
        <v>79</v>
      </c>
    </row>
    <row r="483" spans="1:37" ht="12.75" customHeight="1" x14ac:dyDescent="0.2">
      <c r="A483" s="527">
        <v>473</v>
      </c>
      <c r="C483" s="533" t="s">
        <v>3399</v>
      </c>
      <c r="E483" s="527" t="s">
        <v>3402</v>
      </c>
      <c r="F483" s="728"/>
      <c r="G483" s="639">
        <v>24.5</v>
      </c>
      <c r="H483" s="527"/>
      <c r="J483" s="617"/>
      <c r="K483" s="533" t="s">
        <v>2875</v>
      </c>
      <c r="N483" s="624">
        <v>44401</v>
      </c>
      <c r="U483" s="613">
        <v>1</v>
      </c>
      <c r="W483" s="613">
        <f t="shared" si="62"/>
        <v>1</v>
      </c>
      <c r="AB483" s="527">
        <f t="shared" si="68"/>
        <v>0</v>
      </c>
      <c r="AC483" s="527">
        <f t="shared" si="63"/>
        <v>0</v>
      </c>
      <c r="AD483" s="527">
        <f t="shared" si="64"/>
        <v>0</v>
      </c>
      <c r="AE483" s="527">
        <f t="shared" si="65"/>
        <v>0</v>
      </c>
      <c r="AF483" s="527">
        <f t="shared" si="66"/>
        <v>0</v>
      </c>
      <c r="AG483" s="527">
        <f t="shared" si="67"/>
        <v>24.5</v>
      </c>
      <c r="AH483" s="527"/>
      <c r="AI483" s="639">
        <f t="shared" si="69"/>
        <v>24.5</v>
      </c>
    </row>
    <row r="484" spans="1:37" ht="12.75" customHeight="1" x14ac:dyDescent="0.2">
      <c r="A484" s="527">
        <v>474</v>
      </c>
      <c r="C484" s="533" t="s">
        <v>3400</v>
      </c>
      <c r="E484" s="527" t="s">
        <v>3403</v>
      </c>
      <c r="F484" s="728"/>
      <c r="G484" s="619">
        <v>2702</v>
      </c>
      <c r="H484" s="527"/>
      <c r="J484" s="617"/>
      <c r="K484" s="533" t="s">
        <v>2875</v>
      </c>
      <c r="N484" s="624">
        <v>44401</v>
      </c>
      <c r="U484" s="613">
        <v>1</v>
      </c>
      <c r="W484" s="613">
        <f t="shared" si="62"/>
        <v>1</v>
      </c>
      <c r="AB484" s="527">
        <f t="shared" si="68"/>
        <v>0</v>
      </c>
      <c r="AC484" s="527">
        <f t="shared" si="63"/>
        <v>0</v>
      </c>
      <c r="AD484" s="527">
        <f t="shared" si="64"/>
        <v>0</v>
      </c>
      <c r="AE484" s="527">
        <f t="shared" si="65"/>
        <v>0</v>
      </c>
      <c r="AF484" s="527">
        <f t="shared" si="66"/>
        <v>0</v>
      </c>
      <c r="AG484" s="527">
        <f t="shared" si="67"/>
        <v>2702</v>
      </c>
      <c r="AH484" s="527"/>
      <c r="AI484" s="639">
        <f t="shared" si="69"/>
        <v>2702</v>
      </c>
    </row>
    <row r="485" spans="1:37" ht="12.75" customHeight="1" x14ac:dyDescent="0.2">
      <c r="A485" s="527">
        <v>475</v>
      </c>
      <c r="C485" s="533" t="s">
        <v>3401</v>
      </c>
      <c r="E485" s="527" t="s">
        <v>3403</v>
      </c>
      <c r="F485" s="728"/>
      <c r="G485" s="619">
        <v>1700</v>
      </c>
      <c r="H485" s="527"/>
      <c r="J485" s="617"/>
      <c r="K485" s="533" t="s">
        <v>2875</v>
      </c>
      <c r="N485" s="624">
        <v>44401</v>
      </c>
      <c r="U485" s="613">
        <v>1</v>
      </c>
      <c r="W485" s="613">
        <f t="shared" si="62"/>
        <v>1</v>
      </c>
      <c r="AB485" s="527">
        <f t="shared" si="68"/>
        <v>0</v>
      </c>
      <c r="AC485" s="527">
        <f t="shared" si="63"/>
        <v>0</v>
      </c>
      <c r="AD485" s="527">
        <f t="shared" si="64"/>
        <v>0</v>
      </c>
      <c r="AE485" s="527">
        <f t="shared" si="65"/>
        <v>0</v>
      </c>
      <c r="AF485" s="527">
        <f t="shared" si="66"/>
        <v>0</v>
      </c>
      <c r="AG485" s="527">
        <f t="shared" si="67"/>
        <v>1700</v>
      </c>
      <c r="AH485" s="527"/>
      <c r="AI485" s="639">
        <f t="shared" si="69"/>
        <v>1700</v>
      </c>
      <c r="AK485" s="778">
        <v>1</v>
      </c>
    </row>
    <row r="486" spans="1:37" ht="12.75" customHeight="1" x14ac:dyDescent="0.2">
      <c r="A486" s="527">
        <v>476</v>
      </c>
      <c r="C486" s="533" t="s">
        <v>3404</v>
      </c>
      <c r="E486" s="527" t="s">
        <v>3405</v>
      </c>
      <c r="F486" s="728"/>
      <c r="G486" s="619">
        <v>77</v>
      </c>
      <c r="H486" s="527"/>
      <c r="J486" s="617"/>
      <c r="K486" s="533" t="s">
        <v>2875</v>
      </c>
      <c r="N486" s="624">
        <v>44431</v>
      </c>
      <c r="U486" s="613">
        <v>1</v>
      </c>
      <c r="W486" s="613">
        <f t="shared" si="62"/>
        <v>1</v>
      </c>
      <c r="AB486" s="527">
        <f t="shared" si="68"/>
        <v>0</v>
      </c>
      <c r="AC486" s="527">
        <f t="shared" si="63"/>
        <v>0</v>
      </c>
      <c r="AD486" s="527">
        <f t="shared" si="64"/>
        <v>0</v>
      </c>
      <c r="AE486" s="527">
        <f t="shared" si="65"/>
        <v>0</v>
      </c>
      <c r="AF486" s="527">
        <f t="shared" si="66"/>
        <v>0</v>
      </c>
      <c r="AG486" s="527">
        <f t="shared" si="67"/>
        <v>77</v>
      </c>
      <c r="AH486" s="527"/>
      <c r="AI486" s="639">
        <f t="shared" si="69"/>
        <v>77</v>
      </c>
      <c r="AK486" s="778">
        <v>1</v>
      </c>
    </row>
    <row r="487" spans="1:37" ht="12.75" customHeight="1" x14ac:dyDescent="0.2">
      <c r="A487" s="527">
        <v>477</v>
      </c>
      <c r="C487" s="533" t="s">
        <v>3406</v>
      </c>
      <c r="E487" s="527" t="s">
        <v>3408</v>
      </c>
      <c r="F487" s="728"/>
      <c r="G487" s="885">
        <v>62.843000000000004</v>
      </c>
      <c r="H487" s="527"/>
      <c r="J487" s="617"/>
      <c r="K487" s="533" t="s">
        <v>2875</v>
      </c>
      <c r="N487" s="624">
        <v>44438</v>
      </c>
      <c r="R487" s="911">
        <v>1</v>
      </c>
      <c r="W487" s="613">
        <f t="shared" si="62"/>
        <v>1</v>
      </c>
      <c r="AB487" s="527">
        <f t="shared" si="68"/>
        <v>0</v>
      </c>
      <c r="AC487" s="527">
        <f t="shared" si="63"/>
        <v>0</v>
      </c>
      <c r="AD487" s="527">
        <f t="shared" si="64"/>
        <v>62.843000000000004</v>
      </c>
      <c r="AE487" s="527">
        <f t="shared" si="65"/>
        <v>0</v>
      </c>
      <c r="AF487" s="527">
        <f t="shared" si="66"/>
        <v>0</v>
      </c>
      <c r="AG487" s="527">
        <f t="shared" si="67"/>
        <v>0</v>
      </c>
      <c r="AH487" s="527"/>
      <c r="AI487" s="639">
        <f t="shared" si="69"/>
        <v>62.843000000000004</v>
      </c>
    </row>
    <row r="488" spans="1:37" ht="12.75" customHeight="1" x14ac:dyDescent="0.2">
      <c r="A488" s="527">
        <v>478</v>
      </c>
      <c r="C488" s="533" t="s">
        <v>3407</v>
      </c>
      <c r="E488" s="527" t="s">
        <v>3408</v>
      </c>
      <c r="F488" s="728"/>
      <c r="G488" s="885">
        <v>245.202</v>
      </c>
      <c r="H488" s="527"/>
      <c r="J488" s="617"/>
      <c r="K488" s="533" t="s">
        <v>2875</v>
      </c>
      <c r="N488" s="624">
        <v>44438</v>
      </c>
      <c r="R488" s="911">
        <v>1</v>
      </c>
      <c r="W488" s="613">
        <f t="shared" si="62"/>
        <v>1</v>
      </c>
      <c r="AB488" s="527">
        <f t="shared" si="68"/>
        <v>0</v>
      </c>
      <c r="AC488" s="527">
        <f t="shared" si="63"/>
        <v>0</v>
      </c>
      <c r="AD488" s="527">
        <f t="shared" si="64"/>
        <v>245.202</v>
      </c>
      <c r="AE488" s="527">
        <f t="shared" si="65"/>
        <v>0</v>
      </c>
      <c r="AF488" s="527">
        <f t="shared" si="66"/>
        <v>0</v>
      </c>
      <c r="AG488" s="527">
        <f t="shared" si="67"/>
        <v>0</v>
      </c>
      <c r="AH488" s="527"/>
      <c r="AI488" s="639">
        <f t="shared" si="69"/>
        <v>245.202</v>
      </c>
      <c r="AK488" s="778">
        <v>1</v>
      </c>
    </row>
    <row r="489" spans="1:37" ht="12.75" customHeight="1" x14ac:dyDescent="0.2">
      <c r="A489" s="527">
        <v>479</v>
      </c>
      <c r="C489" s="527" t="s">
        <v>3414</v>
      </c>
      <c r="D489" s="527"/>
      <c r="E489" s="527" t="s">
        <v>3417</v>
      </c>
      <c r="F489" s="527"/>
      <c r="G489" s="619">
        <v>400</v>
      </c>
      <c r="H489" s="527"/>
      <c r="J489" s="617"/>
      <c r="K489" s="533" t="s">
        <v>2875</v>
      </c>
      <c r="N489" s="624">
        <v>44439</v>
      </c>
      <c r="U489" s="613">
        <v>1</v>
      </c>
      <c r="W489" s="613">
        <f t="shared" si="62"/>
        <v>1</v>
      </c>
      <c r="AB489" s="527">
        <f t="shared" si="68"/>
        <v>0</v>
      </c>
      <c r="AC489" s="527">
        <f t="shared" si="63"/>
        <v>0</v>
      </c>
      <c r="AD489" s="527">
        <f t="shared" si="64"/>
        <v>0</v>
      </c>
      <c r="AE489" s="527">
        <f t="shared" si="65"/>
        <v>0</v>
      </c>
      <c r="AF489" s="527">
        <f t="shared" si="66"/>
        <v>0</v>
      </c>
      <c r="AG489" s="527">
        <f t="shared" si="67"/>
        <v>400</v>
      </c>
      <c r="AH489" s="527"/>
      <c r="AI489" s="639">
        <f t="shared" si="69"/>
        <v>400</v>
      </c>
    </row>
    <row r="490" spans="1:37" ht="12.75" customHeight="1" x14ac:dyDescent="0.2">
      <c r="A490" s="527">
        <v>480</v>
      </c>
      <c r="C490" s="527" t="s">
        <v>3415</v>
      </c>
      <c r="E490" s="527" t="s">
        <v>3418</v>
      </c>
      <c r="F490" s="728"/>
      <c r="G490" s="619">
        <v>324</v>
      </c>
      <c r="H490" s="527"/>
      <c r="J490" s="617"/>
      <c r="K490" s="533" t="s">
        <v>2875</v>
      </c>
      <c r="N490" s="624">
        <v>44439</v>
      </c>
      <c r="U490" s="613">
        <v>1</v>
      </c>
      <c r="W490" s="613">
        <f t="shared" si="62"/>
        <v>1</v>
      </c>
      <c r="AB490" s="527">
        <f t="shared" si="68"/>
        <v>0</v>
      </c>
      <c r="AC490" s="527">
        <f t="shared" si="63"/>
        <v>0</v>
      </c>
      <c r="AD490" s="527">
        <f t="shared" si="64"/>
        <v>0</v>
      </c>
      <c r="AE490" s="527">
        <f t="shared" si="65"/>
        <v>0</v>
      </c>
      <c r="AF490" s="527">
        <f t="shared" si="66"/>
        <v>0</v>
      </c>
      <c r="AG490" s="527">
        <f t="shared" si="67"/>
        <v>324</v>
      </c>
      <c r="AH490" s="527"/>
      <c r="AI490" s="639">
        <f t="shared" si="69"/>
        <v>324</v>
      </c>
    </row>
    <row r="491" spans="1:37" ht="12.75" customHeight="1" x14ac:dyDescent="0.2">
      <c r="A491" s="527">
        <v>481</v>
      </c>
      <c r="C491" s="527" t="s">
        <v>3416</v>
      </c>
      <c r="E491" s="527" t="s">
        <v>3419</v>
      </c>
      <c r="F491" s="728"/>
      <c r="G491" s="619">
        <v>1488</v>
      </c>
      <c r="H491" s="527"/>
      <c r="J491" s="617"/>
      <c r="K491" s="533" t="s">
        <v>2875</v>
      </c>
      <c r="N491" s="624">
        <v>44439</v>
      </c>
      <c r="U491" s="613">
        <v>1</v>
      </c>
      <c r="W491" s="613">
        <f t="shared" si="62"/>
        <v>1</v>
      </c>
      <c r="AB491" s="527">
        <f t="shared" si="68"/>
        <v>0</v>
      </c>
      <c r="AC491" s="527">
        <f t="shared" si="63"/>
        <v>0</v>
      </c>
      <c r="AD491" s="527">
        <f t="shared" si="64"/>
        <v>0</v>
      </c>
      <c r="AE491" s="527">
        <f t="shared" si="65"/>
        <v>0</v>
      </c>
      <c r="AF491" s="527">
        <f t="shared" si="66"/>
        <v>0</v>
      </c>
      <c r="AG491" s="527">
        <f t="shared" si="67"/>
        <v>1488</v>
      </c>
      <c r="AH491" s="527"/>
      <c r="AI491" s="639">
        <f t="shared" si="69"/>
        <v>1488</v>
      </c>
    </row>
    <row r="492" spans="1:37" ht="12.75" customHeight="1" x14ac:dyDescent="0.2">
      <c r="A492" s="527">
        <v>482</v>
      </c>
      <c r="C492" s="734" t="s">
        <v>3420</v>
      </c>
      <c r="E492" s="527" t="s">
        <v>3345</v>
      </c>
      <c r="F492" s="728"/>
      <c r="G492" s="619">
        <v>440</v>
      </c>
      <c r="H492" s="527"/>
      <c r="J492" s="617"/>
      <c r="K492" s="533" t="s">
        <v>2875</v>
      </c>
      <c r="N492" s="624">
        <v>44475</v>
      </c>
      <c r="U492" s="613">
        <v>1</v>
      </c>
      <c r="W492" s="613">
        <f t="shared" si="62"/>
        <v>1</v>
      </c>
      <c r="AB492" s="527">
        <f t="shared" si="68"/>
        <v>0</v>
      </c>
      <c r="AC492" s="527">
        <f t="shared" si="63"/>
        <v>0</v>
      </c>
      <c r="AD492" s="527">
        <f t="shared" si="64"/>
        <v>0</v>
      </c>
      <c r="AE492" s="527">
        <f t="shared" si="65"/>
        <v>0</v>
      </c>
      <c r="AF492" s="527">
        <f t="shared" si="66"/>
        <v>0</v>
      </c>
      <c r="AG492" s="527">
        <f t="shared" si="67"/>
        <v>440</v>
      </c>
      <c r="AH492" s="527"/>
      <c r="AI492" s="639">
        <f t="shared" si="69"/>
        <v>440</v>
      </c>
    </row>
    <row r="493" spans="1:37" ht="12.75" customHeight="1" x14ac:dyDescent="0.2">
      <c r="A493" s="527">
        <v>483</v>
      </c>
      <c r="C493" s="734" t="s">
        <v>3421</v>
      </c>
      <c r="E493" s="527" t="s">
        <v>3422</v>
      </c>
      <c r="F493" s="728"/>
      <c r="G493" s="619">
        <v>34</v>
      </c>
      <c r="H493" s="527"/>
      <c r="J493" s="617"/>
      <c r="K493" s="533" t="s">
        <v>2875</v>
      </c>
      <c r="N493" s="624">
        <v>44486</v>
      </c>
      <c r="U493" s="613">
        <v>1</v>
      </c>
      <c r="W493" s="613">
        <f t="shared" si="62"/>
        <v>1</v>
      </c>
      <c r="AB493" s="527">
        <f t="shared" si="68"/>
        <v>0</v>
      </c>
      <c r="AC493" s="527">
        <f t="shared" si="63"/>
        <v>0</v>
      </c>
      <c r="AD493" s="527">
        <f t="shared" si="64"/>
        <v>0</v>
      </c>
      <c r="AE493" s="527">
        <f t="shared" si="65"/>
        <v>0</v>
      </c>
      <c r="AF493" s="527">
        <f t="shared" si="66"/>
        <v>0</v>
      </c>
      <c r="AG493" s="527">
        <f t="shared" si="67"/>
        <v>34</v>
      </c>
      <c r="AH493" s="527"/>
      <c r="AI493" s="639">
        <f t="shared" si="69"/>
        <v>34</v>
      </c>
    </row>
    <row r="494" spans="1:37" ht="12.75" customHeight="1" x14ac:dyDescent="0.2">
      <c r="A494" s="527">
        <v>484</v>
      </c>
      <c r="C494" s="734" t="s">
        <v>3423</v>
      </c>
      <c r="E494" s="527" t="s">
        <v>3429</v>
      </c>
      <c r="F494" s="728"/>
      <c r="G494" s="619">
        <v>221</v>
      </c>
      <c r="H494" s="527"/>
      <c r="J494" s="617"/>
      <c r="K494" s="533" t="s">
        <v>2875</v>
      </c>
      <c r="N494" s="624">
        <v>44500</v>
      </c>
      <c r="U494" s="613">
        <v>1</v>
      </c>
      <c r="W494" s="613">
        <f t="shared" si="62"/>
        <v>1</v>
      </c>
      <c r="AB494" s="527">
        <f t="shared" si="68"/>
        <v>0</v>
      </c>
      <c r="AC494" s="527">
        <f t="shared" si="63"/>
        <v>0</v>
      </c>
      <c r="AD494" s="527">
        <f t="shared" si="64"/>
        <v>0</v>
      </c>
      <c r="AE494" s="527">
        <f t="shared" si="65"/>
        <v>0</v>
      </c>
      <c r="AF494" s="527">
        <f t="shared" si="66"/>
        <v>0</v>
      </c>
      <c r="AG494" s="527">
        <f t="shared" si="67"/>
        <v>221</v>
      </c>
      <c r="AH494" s="527"/>
      <c r="AI494" s="639">
        <f t="shared" si="69"/>
        <v>221</v>
      </c>
    </row>
    <row r="495" spans="1:37" ht="12.75" customHeight="1" x14ac:dyDescent="0.2">
      <c r="A495" s="527">
        <v>485</v>
      </c>
      <c r="C495" s="734" t="s">
        <v>3424</v>
      </c>
      <c r="E495" s="527" t="s">
        <v>3428</v>
      </c>
      <c r="F495" s="728"/>
      <c r="G495" s="619">
        <v>668</v>
      </c>
      <c r="H495" s="527"/>
      <c r="J495" s="617"/>
      <c r="K495" s="533" t="s">
        <v>2875</v>
      </c>
      <c r="N495" s="624">
        <v>44500</v>
      </c>
      <c r="U495" s="613">
        <v>1</v>
      </c>
      <c r="W495" s="613">
        <f t="shared" si="62"/>
        <v>1</v>
      </c>
      <c r="AB495" s="527">
        <f t="shared" si="68"/>
        <v>0</v>
      </c>
      <c r="AC495" s="527">
        <f t="shared" si="63"/>
        <v>0</v>
      </c>
      <c r="AD495" s="527">
        <f t="shared" si="64"/>
        <v>0</v>
      </c>
      <c r="AE495" s="527">
        <f t="shared" si="65"/>
        <v>0</v>
      </c>
      <c r="AF495" s="527">
        <f t="shared" si="66"/>
        <v>0</v>
      </c>
      <c r="AG495" s="527">
        <f t="shared" si="67"/>
        <v>668</v>
      </c>
      <c r="AH495" s="527"/>
      <c r="AI495" s="639">
        <f t="shared" si="69"/>
        <v>668</v>
      </c>
    </row>
    <row r="496" spans="1:37" ht="12.75" customHeight="1" x14ac:dyDescent="0.2">
      <c r="A496" s="527">
        <v>486</v>
      </c>
      <c r="C496" s="734" t="s">
        <v>3425</v>
      </c>
      <c r="E496" s="527" t="s">
        <v>3429</v>
      </c>
      <c r="F496" s="728"/>
      <c r="G496" s="619">
        <v>26</v>
      </c>
      <c r="H496" s="527"/>
      <c r="J496" s="617"/>
      <c r="K496" s="533" t="s">
        <v>2875</v>
      </c>
      <c r="N496" s="624">
        <v>44500</v>
      </c>
      <c r="U496" s="613">
        <v>1</v>
      </c>
      <c r="W496" s="613">
        <f t="shared" si="62"/>
        <v>1</v>
      </c>
      <c r="AB496" s="527">
        <f t="shared" si="68"/>
        <v>0</v>
      </c>
      <c r="AC496" s="527">
        <f t="shared" si="63"/>
        <v>0</v>
      </c>
      <c r="AD496" s="527">
        <f t="shared" si="64"/>
        <v>0</v>
      </c>
      <c r="AE496" s="527">
        <f t="shared" si="65"/>
        <v>0</v>
      </c>
      <c r="AF496" s="527">
        <f t="shared" si="66"/>
        <v>0</v>
      </c>
      <c r="AG496" s="527">
        <f t="shared" si="67"/>
        <v>26</v>
      </c>
      <c r="AH496" s="527"/>
      <c r="AI496" s="639">
        <f t="shared" si="69"/>
        <v>26</v>
      </c>
    </row>
    <row r="497" spans="1:37" ht="12.75" customHeight="1" x14ac:dyDescent="0.2">
      <c r="A497" s="527">
        <v>487</v>
      </c>
      <c r="C497" s="734" t="s">
        <v>3426</v>
      </c>
      <c r="E497" s="527" t="s">
        <v>3430</v>
      </c>
      <c r="F497" s="728"/>
      <c r="G497" s="530">
        <v>8.26</v>
      </c>
      <c r="H497" s="527"/>
      <c r="J497" s="617"/>
      <c r="K497" s="533" t="s">
        <v>2875</v>
      </c>
      <c r="N497" s="624">
        <v>44500</v>
      </c>
      <c r="U497" s="613">
        <v>1</v>
      </c>
      <c r="W497" s="613">
        <f t="shared" si="62"/>
        <v>1</v>
      </c>
      <c r="AB497" s="527">
        <f t="shared" si="68"/>
        <v>0</v>
      </c>
      <c r="AC497" s="527">
        <f t="shared" si="63"/>
        <v>0</v>
      </c>
      <c r="AD497" s="527">
        <f t="shared" si="64"/>
        <v>0</v>
      </c>
      <c r="AE497" s="527">
        <f t="shared" si="65"/>
        <v>0</v>
      </c>
      <c r="AF497" s="527">
        <f t="shared" si="66"/>
        <v>0</v>
      </c>
      <c r="AG497" s="527">
        <f t="shared" si="67"/>
        <v>8.26</v>
      </c>
      <c r="AH497" s="527"/>
      <c r="AI497" s="639">
        <f t="shared" si="69"/>
        <v>8.26</v>
      </c>
    </row>
    <row r="498" spans="1:37" ht="12.75" customHeight="1" x14ac:dyDescent="0.2">
      <c r="A498" s="527">
        <v>488</v>
      </c>
      <c r="C498" s="734" t="s">
        <v>3427</v>
      </c>
      <c r="E498" s="527" t="s">
        <v>3431</v>
      </c>
      <c r="F498" s="728"/>
      <c r="G498" s="619">
        <v>567</v>
      </c>
      <c r="H498" s="527"/>
      <c r="J498" s="617"/>
      <c r="K498" s="533" t="s">
        <v>2875</v>
      </c>
      <c r="N498" s="624">
        <v>44500</v>
      </c>
      <c r="U498" s="613">
        <v>1</v>
      </c>
      <c r="W498" s="613">
        <f t="shared" si="62"/>
        <v>1</v>
      </c>
      <c r="AB498" s="527">
        <f t="shared" si="68"/>
        <v>0</v>
      </c>
      <c r="AC498" s="527">
        <f t="shared" si="63"/>
        <v>0</v>
      </c>
      <c r="AD498" s="527">
        <f t="shared" si="64"/>
        <v>0</v>
      </c>
      <c r="AE498" s="527">
        <f t="shared" si="65"/>
        <v>0</v>
      </c>
      <c r="AF498" s="527">
        <f t="shared" si="66"/>
        <v>0</v>
      </c>
      <c r="AG498" s="527">
        <f t="shared" si="67"/>
        <v>567</v>
      </c>
      <c r="AH498" s="527"/>
      <c r="AI498" s="639">
        <f t="shared" si="69"/>
        <v>567</v>
      </c>
    </row>
    <row r="499" spans="1:37" ht="12.75" customHeight="1" x14ac:dyDescent="0.2">
      <c r="A499" s="527">
        <v>489</v>
      </c>
      <c r="C499" s="734" t="s">
        <v>3432</v>
      </c>
      <c r="E499" s="527" t="s">
        <v>3442</v>
      </c>
      <c r="F499" s="728"/>
      <c r="G499" s="619">
        <v>46</v>
      </c>
      <c r="H499" s="527"/>
      <c r="J499" s="617"/>
      <c r="K499" s="533" t="s">
        <v>2875</v>
      </c>
      <c r="N499" s="624">
        <v>44511</v>
      </c>
      <c r="U499" s="613">
        <v>1</v>
      </c>
      <c r="W499" s="613">
        <f t="shared" si="62"/>
        <v>1</v>
      </c>
      <c r="AB499" s="527">
        <f t="shared" si="68"/>
        <v>0</v>
      </c>
      <c r="AC499" s="527">
        <f t="shared" si="63"/>
        <v>0</v>
      </c>
      <c r="AD499" s="527">
        <f t="shared" si="64"/>
        <v>0</v>
      </c>
      <c r="AE499" s="527">
        <f t="shared" si="65"/>
        <v>0</v>
      </c>
      <c r="AF499" s="527">
        <f t="shared" si="66"/>
        <v>0</v>
      </c>
      <c r="AG499" s="527">
        <f t="shared" si="67"/>
        <v>46</v>
      </c>
      <c r="AH499" s="527"/>
      <c r="AI499" s="639">
        <f t="shared" si="69"/>
        <v>46</v>
      </c>
    </row>
    <row r="500" spans="1:37" ht="12.75" customHeight="1" x14ac:dyDescent="0.2">
      <c r="A500" s="527">
        <v>490</v>
      </c>
      <c r="C500" s="734" t="s">
        <v>3433</v>
      </c>
      <c r="E500" s="527" t="s">
        <v>3442</v>
      </c>
      <c r="F500" s="728"/>
      <c r="G500" s="619">
        <v>8</v>
      </c>
      <c r="H500" s="527"/>
      <c r="J500" s="617"/>
      <c r="K500" s="533" t="s">
        <v>2875</v>
      </c>
      <c r="N500" s="624">
        <v>44511</v>
      </c>
      <c r="U500" s="613">
        <v>1</v>
      </c>
      <c r="W500" s="613">
        <f t="shared" si="62"/>
        <v>1</v>
      </c>
      <c r="AB500" s="527">
        <f t="shared" si="68"/>
        <v>0</v>
      </c>
      <c r="AC500" s="527">
        <f t="shared" si="63"/>
        <v>0</v>
      </c>
      <c r="AD500" s="527">
        <f t="shared" si="64"/>
        <v>0</v>
      </c>
      <c r="AE500" s="527">
        <f t="shared" si="65"/>
        <v>0</v>
      </c>
      <c r="AF500" s="527">
        <f t="shared" si="66"/>
        <v>0</v>
      </c>
      <c r="AG500" s="527">
        <f t="shared" si="67"/>
        <v>8</v>
      </c>
      <c r="AH500" s="527"/>
      <c r="AI500" s="639">
        <f t="shared" si="69"/>
        <v>8</v>
      </c>
    </row>
    <row r="501" spans="1:37" ht="12.75" customHeight="1" x14ac:dyDescent="0.2">
      <c r="A501" s="527">
        <v>491</v>
      </c>
      <c r="C501" s="734" t="s">
        <v>3434</v>
      </c>
      <c r="E501" s="527" t="s">
        <v>3442</v>
      </c>
      <c r="F501" s="728"/>
      <c r="G501" s="639">
        <v>5.5</v>
      </c>
      <c r="H501" s="527"/>
      <c r="J501" s="617"/>
      <c r="K501" s="533" t="s">
        <v>2875</v>
      </c>
      <c r="N501" s="624">
        <v>44511</v>
      </c>
      <c r="U501" s="613">
        <v>1</v>
      </c>
      <c r="W501" s="613">
        <f t="shared" si="62"/>
        <v>1</v>
      </c>
      <c r="AB501" s="527">
        <f t="shared" si="68"/>
        <v>0</v>
      </c>
      <c r="AC501" s="527">
        <f t="shared" si="63"/>
        <v>0</v>
      </c>
      <c r="AD501" s="527">
        <f t="shared" si="64"/>
        <v>0</v>
      </c>
      <c r="AE501" s="527">
        <f t="shared" si="65"/>
        <v>0</v>
      </c>
      <c r="AF501" s="527">
        <f t="shared" si="66"/>
        <v>0</v>
      </c>
      <c r="AG501" s="527">
        <f t="shared" si="67"/>
        <v>5.5</v>
      </c>
      <c r="AH501" s="527"/>
      <c r="AI501" s="639">
        <f t="shared" si="69"/>
        <v>5.5</v>
      </c>
    </row>
    <row r="502" spans="1:37" ht="12.75" customHeight="1" x14ac:dyDescent="0.2">
      <c r="A502" s="527">
        <v>492</v>
      </c>
      <c r="C502" s="734" t="s">
        <v>3435</v>
      </c>
      <c r="E502" s="527" t="s">
        <v>3443</v>
      </c>
      <c r="F502" s="728"/>
      <c r="G502" s="639">
        <v>7.6</v>
      </c>
      <c r="H502" s="527"/>
      <c r="J502" s="617"/>
      <c r="K502" s="533" t="s">
        <v>2875</v>
      </c>
      <c r="N502" s="624">
        <v>44511</v>
      </c>
      <c r="U502" s="613">
        <v>1</v>
      </c>
      <c r="W502" s="613">
        <f t="shared" si="62"/>
        <v>1</v>
      </c>
      <c r="AB502" s="527">
        <f t="shared" si="68"/>
        <v>0</v>
      </c>
      <c r="AC502" s="527">
        <f t="shared" si="63"/>
        <v>0</v>
      </c>
      <c r="AD502" s="527">
        <f t="shared" si="64"/>
        <v>0</v>
      </c>
      <c r="AE502" s="527">
        <f t="shared" si="65"/>
        <v>0</v>
      </c>
      <c r="AF502" s="527">
        <f t="shared" si="66"/>
        <v>0</v>
      </c>
      <c r="AG502" s="527">
        <f t="shared" si="67"/>
        <v>7.6</v>
      </c>
      <c r="AH502" s="527"/>
      <c r="AI502" s="639">
        <f t="shared" si="69"/>
        <v>7.6</v>
      </c>
    </row>
    <row r="503" spans="1:37" ht="12.75" customHeight="1" x14ac:dyDescent="0.2">
      <c r="A503" s="527">
        <v>493</v>
      </c>
      <c r="C503" s="734" t="s">
        <v>3436</v>
      </c>
      <c r="E503" s="527" t="s">
        <v>3438</v>
      </c>
      <c r="F503" s="728"/>
      <c r="G503" s="530">
        <v>299.98</v>
      </c>
      <c r="H503" s="527"/>
      <c r="J503" s="617"/>
      <c r="K503" s="533" t="s">
        <v>2875</v>
      </c>
      <c r="N503" s="624">
        <v>44511</v>
      </c>
      <c r="U503" s="613">
        <v>1</v>
      </c>
      <c r="W503" s="613">
        <f t="shared" si="62"/>
        <v>1</v>
      </c>
      <c r="AB503" s="527">
        <f t="shared" si="68"/>
        <v>0</v>
      </c>
      <c r="AC503" s="527">
        <f t="shared" si="63"/>
        <v>0</v>
      </c>
      <c r="AD503" s="527">
        <f t="shared" si="64"/>
        <v>0</v>
      </c>
      <c r="AE503" s="527">
        <f t="shared" si="65"/>
        <v>0</v>
      </c>
      <c r="AF503" s="527">
        <f t="shared" si="66"/>
        <v>0</v>
      </c>
      <c r="AG503" s="527">
        <f t="shared" si="67"/>
        <v>299.98</v>
      </c>
      <c r="AH503" s="527"/>
      <c r="AI503" s="639">
        <f t="shared" si="69"/>
        <v>299.98</v>
      </c>
    </row>
    <row r="504" spans="1:37" ht="12.75" customHeight="1" x14ac:dyDescent="0.2">
      <c r="A504" s="527">
        <v>494</v>
      </c>
      <c r="C504" s="734" t="s">
        <v>3437</v>
      </c>
      <c r="E504" s="527" t="s">
        <v>3441</v>
      </c>
      <c r="F504" s="728"/>
      <c r="G504" s="619">
        <v>1046</v>
      </c>
      <c r="H504" s="527"/>
      <c r="J504" s="617"/>
      <c r="K504" s="533" t="s">
        <v>2875</v>
      </c>
      <c r="N504" s="624">
        <v>44511</v>
      </c>
      <c r="U504" s="613">
        <v>1</v>
      </c>
      <c r="W504" s="613">
        <f t="shared" si="62"/>
        <v>1</v>
      </c>
      <c r="AB504" s="527">
        <f t="shared" si="68"/>
        <v>0</v>
      </c>
      <c r="AC504" s="527">
        <f t="shared" si="63"/>
        <v>0</v>
      </c>
      <c r="AD504" s="527">
        <f t="shared" si="64"/>
        <v>0</v>
      </c>
      <c r="AE504" s="527">
        <f t="shared" si="65"/>
        <v>0</v>
      </c>
      <c r="AF504" s="527">
        <f t="shared" si="66"/>
        <v>0</v>
      </c>
      <c r="AG504" s="527">
        <f t="shared" si="67"/>
        <v>1046</v>
      </c>
      <c r="AH504" s="527"/>
      <c r="AI504" s="639">
        <f t="shared" si="69"/>
        <v>1046</v>
      </c>
    </row>
    <row r="505" spans="1:37" ht="12.75" customHeight="1" x14ac:dyDescent="0.2">
      <c r="A505" s="527">
        <v>495</v>
      </c>
      <c r="C505" s="734" t="s">
        <v>3444</v>
      </c>
      <c r="E505" s="527" t="s">
        <v>3446</v>
      </c>
      <c r="F505" s="728"/>
      <c r="G505" s="619">
        <v>52</v>
      </c>
      <c r="H505" s="527"/>
      <c r="J505" s="617"/>
      <c r="K505" s="533" t="s">
        <v>2875</v>
      </c>
      <c r="N505" s="624">
        <v>44535</v>
      </c>
      <c r="U505" s="613">
        <v>1</v>
      </c>
      <c r="W505" s="613">
        <f t="shared" si="62"/>
        <v>1</v>
      </c>
      <c r="AB505" s="527">
        <f t="shared" si="68"/>
        <v>0</v>
      </c>
      <c r="AC505" s="527">
        <f t="shared" si="63"/>
        <v>0</v>
      </c>
      <c r="AD505" s="527">
        <f t="shared" si="64"/>
        <v>0</v>
      </c>
      <c r="AE505" s="527">
        <f t="shared" si="65"/>
        <v>0</v>
      </c>
      <c r="AF505" s="527">
        <f t="shared" si="66"/>
        <v>0</v>
      </c>
      <c r="AG505" s="527">
        <f t="shared" si="67"/>
        <v>52</v>
      </c>
      <c r="AH505" s="527"/>
      <c r="AI505" s="639">
        <f t="shared" si="69"/>
        <v>52</v>
      </c>
    </row>
    <row r="506" spans="1:37" ht="12.75" customHeight="1" x14ac:dyDescent="0.2">
      <c r="A506" s="527">
        <v>496</v>
      </c>
      <c r="C506" s="533" t="s">
        <v>3445</v>
      </c>
      <c r="E506" s="527" t="s">
        <v>3447</v>
      </c>
      <c r="F506" s="826" t="s">
        <v>224</v>
      </c>
      <c r="G506" s="615">
        <v>384</v>
      </c>
      <c r="K506" s="533" t="s">
        <v>2875</v>
      </c>
      <c r="N506" s="624">
        <v>44535</v>
      </c>
      <c r="U506" s="613">
        <v>1</v>
      </c>
      <c r="W506" s="613">
        <f t="shared" si="62"/>
        <v>1</v>
      </c>
      <c r="AB506" s="527">
        <f t="shared" si="68"/>
        <v>0</v>
      </c>
      <c r="AC506" s="527">
        <f t="shared" si="63"/>
        <v>0</v>
      </c>
      <c r="AD506" s="527">
        <f t="shared" si="64"/>
        <v>0</v>
      </c>
      <c r="AE506" s="527">
        <f t="shared" si="65"/>
        <v>0</v>
      </c>
      <c r="AF506" s="527">
        <f t="shared" si="66"/>
        <v>0</v>
      </c>
      <c r="AG506" s="527">
        <f t="shared" si="67"/>
        <v>384</v>
      </c>
      <c r="AH506" s="527"/>
      <c r="AI506" s="639">
        <f t="shared" si="69"/>
        <v>384</v>
      </c>
    </row>
    <row r="507" spans="1:37" ht="12.75" customHeight="1" x14ac:dyDescent="0.2">
      <c r="A507" s="527">
        <v>497</v>
      </c>
      <c r="C507" s="533" t="s">
        <v>3448</v>
      </c>
      <c r="E507" s="527" t="s">
        <v>3456</v>
      </c>
      <c r="G507" s="615">
        <v>1270</v>
      </c>
      <c r="K507" s="533" t="s">
        <v>2875</v>
      </c>
      <c r="N507" s="624">
        <v>44545</v>
      </c>
      <c r="U507" s="613">
        <v>1</v>
      </c>
      <c r="W507" s="613">
        <f t="shared" si="62"/>
        <v>1</v>
      </c>
      <c r="AB507" s="527">
        <f t="shared" si="68"/>
        <v>0</v>
      </c>
      <c r="AC507" s="527">
        <f t="shared" si="63"/>
        <v>0</v>
      </c>
      <c r="AD507" s="527">
        <f t="shared" si="64"/>
        <v>0</v>
      </c>
      <c r="AE507" s="527">
        <f t="shared" si="65"/>
        <v>0</v>
      </c>
      <c r="AF507" s="527">
        <f t="shared" si="66"/>
        <v>0</v>
      </c>
      <c r="AG507" s="527">
        <f t="shared" si="67"/>
        <v>1270</v>
      </c>
      <c r="AH507" s="527"/>
      <c r="AI507" s="639">
        <f t="shared" si="69"/>
        <v>1270</v>
      </c>
    </row>
    <row r="508" spans="1:37" ht="12.75" customHeight="1" x14ac:dyDescent="0.2">
      <c r="A508" s="527">
        <v>498</v>
      </c>
      <c r="C508" s="533" t="s">
        <v>3449</v>
      </c>
      <c r="E508" s="527" t="s">
        <v>3454</v>
      </c>
      <c r="G508" s="615">
        <v>2525</v>
      </c>
      <c r="K508" s="533" t="s">
        <v>2875</v>
      </c>
      <c r="N508" s="624">
        <v>44545</v>
      </c>
      <c r="U508" s="613">
        <v>1</v>
      </c>
      <c r="W508" s="613">
        <f t="shared" si="62"/>
        <v>1</v>
      </c>
      <c r="AB508" s="527">
        <f t="shared" si="68"/>
        <v>0</v>
      </c>
      <c r="AC508" s="527">
        <f t="shared" si="63"/>
        <v>0</v>
      </c>
      <c r="AD508" s="527">
        <f t="shared" si="64"/>
        <v>0</v>
      </c>
      <c r="AE508" s="527">
        <f t="shared" si="65"/>
        <v>0</v>
      </c>
      <c r="AF508" s="527">
        <f t="shared" si="66"/>
        <v>0</v>
      </c>
      <c r="AG508" s="527">
        <f t="shared" si="67"/>
        <v>2525</v>
      </c>
      <c r="AH508" s="527"/>
      <c r="AI508" s="639">
        <f t="shared" si="69"/>
        <v>2525</v>
      </c>
    </row>
    <row r="509" spans="1:37" ht="12.75" customHeight="1" x14ac:dyDescent="0.2">
      <c r="A509" s="527">
        <v>499</v>
      </c>
      <c r="C509" s="734" t="s">
        <v>3450</v>
      </c>
      <c r="E509" s="527" t="s">
        <v>3455</v>
      </c>
      <c r="G509" s="632">
        <v>3.8</v>
      </c>
      <c r="K509" s="533" t="s">
        <v>2875</v>
      </c>
      <c r="N509" s="624">
        <v>44545</v>
      </c>
      <c r="U509" s="613">
        <v>1</v>
      </c>
      <c r="W509" s="613">
        <f t="shared" ref="W509:W572" si="70">SUM(P509:V509)</f>
        <v>1</v>
      </c>
      <c r="AB509" s="527">
        <f t="shared" si="68"/>
        <v>0</v>
      </c>
      <c r="AC509" s="527">
        <f t="shared" si="63"/>
        <v>0</v>
      </c>
      <c r="AD509" s="527">
        <f t="shared" si="64"/>
        <v>0</v>
      </c>
      <c r="AE509" s="527">
        <f t="shared" si="65"/>
        <v>0</v>
      </c>
      <c r="AF509" s="527">
        <f t="shared" si="66"/>
        <v>0</v>
      </c>
      <c r="AG509" s="527">
        <f t="shared" si="67"/>
        <v>3.8</v>
      </c>
      <c r="AH509" s="527"/>
      <c r="AI509" s="639">
        <f t="shared" si="69"/>
        <v>3.8</v>
      </c>
    </row>
    <row r="510" spans="1:37" ht="12.75" customHeight="1" x14ac:dyDescent="0.2">
      <c r="A510" s="527">
        <v>500</v>
      </c>
      <c r="C510" s="533" t="s">
        <v>3451</v>
      </c>
      <c r="E510" s="527" t="s">
        <v>3458</v>
      </c>
      <c r="G510" s="615">
        <v>2800</v>
      </c>
      <c r="K510" s="533" t="s">
        <v>2875</v>
      </c>
      <c r="N510" s="624">
        <v>44545</v>
      </c>
      <c r="U510" s="613">
        <v>1</v>
      </c>
      <c r="W510" s="613">
        <f t="shared" si="70"/>
        <v>1</v>
      </c>
      <c r="AB510" s="527">
        <f t="shared" si="68"/>
        <v>0</v>
      </c>
      <c r="AC510" s="527">
        <f t="shared" si="63"/>
        <v>0</v>
      </c>
      <c r="AD510" s="527">
        <f t="shared" si="64"/>
        <v>0</v>
      </c>
      <c r="AE510" s="527">
        <f t="shared" si="65"/>
        <v>0</v>
      </c>
      <c r="AF510" s="527">
        <f t="shared" si="66"/>
        <v>0</v>
      </c>
      <c r="AG510" s="527">
        <f t="shared" si="67"/>
        <v>2800</v>
      </c>
      <c r="AH510" s="527"/>
      <c r="AI510" s="639">
        <f t="shared" si="69"/>
        <v>2800</v>
      </c>
    </row>
    <row r="511" spans="1:37" ht="12.75" customHeight="1" x14ac:dyDescent="0.2">
      <c r="A511" s="527">
        <v>501</v>
      </c>
      <c r="C511" s="533" t="s">
        <v>3452</v>
      </c>
      <c r="E511" s="527" t="s">
        <v>3458</v>
      </c>
      <c r="G511" s="615">
        <v>2000</v>
      </c>
      <c r="K511" s="533" t="s">
        <v>2875</v>
      </c>
      <c r="N511" s="624">
        <v>44545</v>
      </c>
      <c r="U511" s="613">
        <v>1</v>
      </c>
      <c r="W511" s="613">
        <f t="shared" si="70"/>
        <v>1</v>
      </c>
      <c r="AB511" s="527">
        <f t="shared" si="68"/>
        <v>0</v>
      </c>
      <c r="AC511" s="527">
        <f t="shared" si="63"/>
        <v>0</v>
      </c>
      <c r="AD511" s="527">
        <f t="shared" si="64"/>
        <v>0</v>
      </c>
      <c r="AE511" s="527">
        <f t="shared" si="65"/>
        <v>0</v>
      </c>
      <c r="AF511" s="527">
        <f t="shared" si="66"/>
        <v>0</v>
      </c>
      <c r="AG511" s="527">
        <f t="shared" si="67"/>
        <v>2000</v>
      </c>
      <c r="AH511" s="527"/>
      <c r="AI511" s="639">
        <f t="shared" si="69"/>
        <v>2000</v>
      </c>
    </row>
    <row r="512" spans="1:37" ht="12.75" customHeight="1" x14ac:dyDescent="0.2">
      <c r="A512" s="527">
        <v>502</v>
      </c>
      <c r="C512" s="533" t="s">
        <v>3453</v>
      </c>
      <c r="E512" s="527" t="s">
        <v>3457</v>
      </c>
      <c r="G512" s="615">
        <v>505</v>
      </c>
      <c r="K512" s="533" t="s">
        <v>2875</v>
      </c>
      <c r="N512" s="624">
        <v>44545</v>
      </c>
      <c r="U512" s="613">
        <v>1</v>
      </c>
      <c r="W512" s="613">
        <f t="shared" si="70"/>
        <v>1</v>
      </c>
      <c r="AB512" s="527">
        <f t="shared" si="68"/>
        <v>0</v>
      </c>
      <c r="AC512" s="527">
        <f t="shared" si="63"/>
        <v>0</v>
      </c>
      <c r="AD512" s="527">
        <f t="shared" si="64"/>
        <v>0</v>
      </c>
      <c r="AE512" s="527">
        <f t="shared" si="65"/>
        <v>0</v>
      </c>
      <c r="AF512" s="527">
        <f t="shared" si="66"/>
        <v>0</v>
      </c>
      <c r="AG512" s="527">
        <f t="shared" si="67"/>
        <v>505</v>
      </c>
      <c r="AH512" s="527"/>
      <c r="AI512" s="639">
        <f t="shared" si="69"/>
        <v>505</v>
      </c>
      <c r="AK512" s="778">
        <v>1</v>
      </c>
    </row>
    <row r="513" spans="1:35" ht="12.75" customHeight="1" x14ac:dyDescent="0.2">
      <c r="A513" s="527">
        <v>503</v>
      </c>
      <c r="C513" s="533" t="s">
        <v>3463</v>
      </c>
      <c r="E513" s="527" t="s">
        <v>3464</v>
      </c>
      <c r="G513" s="632">
        <v>161.19999999999999</v>
      </c>
      <c r="K513" s="533" t="s">
        <v>3465</v>
      </c>
      <c r="N513" s="624">
        <v>44582</v>
      </c>
      <c r="U513" s="613">
        <v>1</v>
      </c>
      <c r="W513" s="613">
        <f t="shared" si="70"/>
        <v>1</v>
      </c>
      <c r="AB513" s="527">
        <f t="shared" si="68"/>
        <v>0</v>
      </c>
      <c r="AC513" s="527">
        <f t="shared" si="63"/>
        <v>0</v>
      </c>
      <c r="AD513" s="527">
        <f t="shared" si="64"/>
        <v>0</v>
      </c>
      <c r="AE513" s="527">
        <f t="shared" si="65"/>
        <v>0</v>
      </c>
      <c r="AF513" s="527">
        <f t="shared" si="66"/>
        <v>0</v>
      </c>
      <c r="AG513" s="527">
        <f t="shared" si="67"/>
        <v>161.19999999999999</v>
      </c>
      <c r="AH513" s="527"/>
      <c r="AI513" s="639">
        <f t="shared" si="69"/>
        <v>161.19999999999999</v>
      </c>
    </row>
    <row r="514" spans="1:35" ht="12.75" customHeight="1" x14ac:dyDescent="0.2">
      <c r="A514" s="527">
        <v>504</v>
      </c>
      <c r="C514" s="533" t="s">
        <v>3468</v>
      </c>
      <c r="E514" s="527" t="s">
        <v>3469</v>
      </c>
      <c r="G514" s="615">
        <v>10050</v>
      </c>
      <c r="K514" s="533" t="s">
        <v>3465</v>
      </c>
      <c r="N514" s="624">
        <v>44590</v>
      </c>
      <c r="U514" s="613">
        <v>1</v>
      </c>
      <c r="W514" s="613">
        <f t="shared" si="70"/>
        <v>1</v>
      </c>
      <c r="AB514" s="527">
        <f t="shared" si="68"/>
        <v>0</v>
      </c>
      <c r="AC514" s="527">
        <f t="shared" ref="AC514:AC577" si="71">IF(Q514=1,$G514,0)</f>
        <v>0</v>
      </c>
      <c r="AD514" s="527">
        <f t="shared" ref="AD514:AD577" si="72">IF(R514=1,$G514,0)</f>
        <v>0</v>
      </c>
      <c r="AE514" s="527">
        <f t="shared" ref="AE514:AE577" si="73">IF(S514=1,$G514,0)</f>
        <v>0</v>
      </c>
      <c r="AF514" s="527">
        <f t="shared" ref="AF514:AF577" si="74">IF(T514=1,$G514,0)</f>
        <v>0</v>
      </c>
      <c r="AG514" s="527">
        <f t="shared" ref="AG514:AG577" si="75">IF(U514=1,$G514,0)</f>
        <v>10050</v>
      </c>
      <c r="AH514" s="527"/>
      <c r="AI514" s="639">
        <f t="shared" si="69"/>
        <v>10050</v>
      </c>
    </row>
    <row r="515" spans="1:35" ht="12.75" customHeight="1" x14ac:dyDescent="0.2">
      <c r="A515" s="527">
        <v>505</v>
      </c>
      <c r="C515" s="533" t="s">
        <v>3470</v>
      </c>
      <c r="E515" s="527" t="s">
        <v>3469</v>
      </c>
      <c r="G515" s="615">
        <v>1008</v>
      </c>
      <c r="K515" s="533" t="s">
        <v>3465</v>
      </c>
      <c r="N515" s="624">
        <v>44590</v>
      </c>
      <c r="U515" s="613">
        <v>1</v>
      </c>
      <c r="W515" s="613">
        <f t="shared" si="70"/>
        <v>1</v>
      </c>
      <c r="AB515" s="527">
        <f t="shared" ref="AB515:AB578" si="76">IF(P515=1,$G515,0)</f>
        <v>0</v>
      </c>
      <c r="AC515" s="527">
        <f t="shared" si="71"/>
        <v>0</v>
      </c>
      <c r="AD515" s="527">
        <f t="shared" si="72"/>
        <v>0</v>
      </c>
      <c r="AE515" s="527">
        <f t="shared" si="73"/>
        <v>0</v>
      </c>
      <c r="AF515" s="527">
        <f t="shared" si="74"/>
        <v>0</v>
      </c>
      <c r="AG515" s="527">
        <f t="shared" si="75"/>
        <v>1008</v>
      </c>
      <c r="AH515" s="527"/>
      <c r="AI515" s="639">
        <f t="shared" si="69"/>
        <v>1008</v>
      </c>
    </row>
    <row r="516" spans="1:35" ht="12.75" customHeight="1" x14ac:dyDescent="0.2">
      <c r="A516" s="527">
        <v>506</v>
      </c>
      <c r="C516" s="533" t="s">
        <v>3471</v>
      </c>
      <c r="E516" s="527" t="s">
        <v>3472</v>
      </c>
      <c r="F516" s="826" t="s">
        <v>224</v>
      </c>
      <c r="G516" s="615">
        <v>29</v>
      </c>
      <c r="K516" s="533" t="s">
        <v>3465</v>
      </c>
      <c r="N516" s="624">
        <v>44590</v>
      </c>
      <c r="U516" s="613">
        <v>1</v>
      </c>
      <c r="W516" s="613">
        <f t="shared" si="70"/>
        <v>1</v>
      </c>
      <c r="AB516" s="527">
        <f t="shared" si="76"/>
        <v>0</v>
      </c>
      <c r="AC516" s="527">
        <f t="shared" si="71"/>
        <v>0</v>
      </c>
      <c r="AD516" s="527">
        <f t="shared" si="72"/>
        <v>0</v>
      </c>
      <c r="AE516" s="527">
        <f t="shared" si="73"/>
        <v>0</v>
      </c>
      <c r="AF516" s="527">
        <f t="shared" si="74"/>
        <v>0</v>
      </c>
      <c r="AG516" s="527">
        <f t="shared" si="75"/>
        <v>29</v>
      </c>
      <c r="AH516" s="527"/>
      <c r="AI516" s="639">
        <f t="shared" si="69"/>
        <v>29</v>
      </c>
    </row>
    <row r="517" spans="1:35" ht="12.75" customHeight="1" x14ac:dyDescent="0.2">
      <c r="A517" s="527">
        <v>507</v>
      </c>
      <c r="C517" s="533" t="s">
        <v>3473</v>
      </c>
      <c r="E517" s="527" t="s">
        <v>3477</v>
      </c>
      <c r="F517" s="826"/>
      <c r="G517" s="615">
        <v>39000</v>
      </c>
      <c r="K517" s="533" t="s">
        <v>3465</v>
      </c>
      <c r="N517" s="624">
        <v>44611</v>
      </c>
      <c r="U517" s="613">
        <v>1</v>
      </c>
      <c r="W517" s="613">
        <f t="shared" si="70"/>
        <v>1</v>
      </c>
      <c r="AB517" s="527">
        <f t="shared" si="76"/>
        <v>0</v>
      </c>
      <c r="AC517" s="527">
        <f t="shared" si="71"/>
        <v>0</v>
      </c>
      <c r="AD517" s="527">
        <f t="shared" si="72"/>
        <v>0</v>
      </c>
      <c r="AE517" s="527">
        <f t="shared" si="73"/>
        <v>0</v>
      </c>
      <c r="AF517" s="527">
        <f t="shared" si="74"/>
        <v>0</v>
      </c>
      <c r="AG517" s="527">
        <f t="shared" si="75"/>
        <v>39000</v>
      </c>
      <c r="AH517" s="527"/>
      <c r="AI517" s="639">
        <f t="shared" si="69"/>
        <v>39000</v>
      </c>
    </row>
    <row r="518" spans="1:35" ht="12.75" customHeight="1" x14ac:dyDescent="0.2">
      <c r="A518" s="527">
        <v>508</v>
      </c>
      <c r="C518" s="533" t="s">
        <v>3474</v>
      </c>
      <c r="E518" s="527" t="s">
        <v>3478</v>
      </c>
      <c r="F518" s="826"/>
      <c r="G518" s="972">
        <v>9.32</v>
      </c>
      <c r="K518" s="533" t="s">
        <v>3465</v>
      </c>
      <c r="N518" s="624">
        <v>44611</v>
      </c>
      <c r="U518" s="613">
        <v>1</v>
      </c>
      <c r="W518" s="613">
        <f t="shared" si="70"/>
        <v>1</v>
      </c>
      <c r="AB518" s="527">
        <f t="shared" si="76"/>
        <v>0</v>
      </c>
      <c r="AC518" s="527">
        <f t="shared" si="71"/>
        <v>0</v>
      </c>
      <c r="AD518" s="527">
        <f t="shared" si="72"/>
        <v>0</v>
      </c>
      <c r="AE518" s="527">
        <f t="shared" si="73"/>
        <v>0</v>
      </c>
      <c r="AF518" s="527">
        <f t="shared" si="74"/>
        <v>0</v>
      </c>
      <c r="AG518" s="527">
        <f t="shared" si="75"/>
        <v>9.32</v>
      </c>
      <c r="AH518" s="527"/>
      <c r="AI518" s="639">
        <f t="shared" si="69"/>
        <v>9.32</v>
      </c>
    </row>
    <row r="519" spans="1:35" ht="12.75" customHeight="1" x14ac:dyDescent="0.2">
      <c r="A519" s="527">
        <v>509</v>
      </c>
      <c r="C519" s="533" t="s">
        <v>3475</v>
      </c>
      <c r="E519" s="527" t="s">
        <v>3478</v>
      </c>
      <c r="F519" s="826"/>
      <c r="G519" s="632">
        <v>17.7</v>
      </c>
      <c r="K519" s="533" t="s">
        <v>3465</v>
      </c>
      <c r="N519" s="624">
        <v>44611</v>
      </c>
      <c r="U519" s="613">
        <v>1</v>
      </c>
      <c r="W519" s="613">
        <f t="shared" si="70"/>
        <v>1</v>
      </c>
      <c r="AB519" s="527">
        <f t="shared" si="76"/>
        <v>0</v>
      </c>
      <c r="AC519" s="527">
        <f t="shared" si="71"/>
        <v>0</v>
      </c>
      <c r="AD519" s="527">
        <f t="shared" si="72"/>
        <v>0</v>
      </c>
      <c r="AE519" s="527">
        <f t="shared" si="73"/>
        <v>0</v>
      </c>
      <c r="AF519" s="527">
        <f t="shared" si="74"/>
        <v>0</v>
      </c>
      <c r="AG519" s="527">
        <f t="shared" si="75"/>
        <v>17.7</v>
      </c>
      <c r="AH519" s="527"/>
      <c r="AI519" s="639">
        <f t="shared" ref="AI519:AI582" si="77">G519</f>
        <v>17.7</v>
      </c>
    </row>
    <row r="520" spans="1:35" ht="12.75" customHeight="1" x14ac:dyDescent="0.2">
      <c r="A520" s="527">
        <v>510</v>
      </c>
      <c r="C520" s="533" t="s">
        <v>3476</v>
      </c>
      <c r="E520" s="527" t="s">
        <v>3478</v>
      </c>
      <c r="F520" s="826"/>
      <c r="G520" s="632">
        <v>25.3</v>
      </c>
      <c r="K520" s="533" t="s">
        <v>3465</v>
      </c>
      <c r="N520" s="624">
        <v>44611</v>
      </c>
      <c r="U520" s="613">
        <v>1</v>
      </c>
      <c r="W520" s="613">
        <f t="shared" si="70"/>
        <v>1</v>
      </c>
      <c r="AB520" s="527">
        <f t="shared" si="76"/>
        <v>0</v>
      </c>
      <c r="AC520" s="527">
        <f t="shared" si="71"/>
        <v>0</v>
      </c>
      <c r="AD520" s="527">
        <f t="shared" si="72"/>
        <v>0</v>
      </c>
      <c r="AE520" s="527">
        <f t="shared" si="73"/>
        <v>0</v>
      </c>
      <c r="AF520" s="527">
        <f t="shared" si="74"/>
        <v>0</v>
      </c>
      <c r="AG520" s="527">
        <f t="shared" si="75"/>
        <v>25.3</v>
      </c>
      <c r="AH520" s="527"/>
      <c r="AI520" s="639">
        <f t="shared" si="77"/>
        <v>25.3</v>
      </c>
    </row>
    <row r="521" spans="1:35" ht="12.75" customHeight="1" x14ac:dyDescent="0.2">
      <c r="A521" s="527">
        <v>511</v>
      </c>
      <c r="C521" s="533" t="s">
        <v>3481</v>
      </c>
      <c r="E521" s="527" t="s">
        <v>3499</v>
      </c>
      <c r="F521" s="826"/>
      <c r="G521" s="615">
        <v>12660</v>
      </c>
      <c r="K521" s="533" t="s">
        <v>3465</v>
      </c>
      <c r="N521" s="624">
        <v>44639</v>
      </c>
      <c r="U521" s="613">
        <v>1</v>
      </c>
      <c r="W521" s="613">
        <f t="shared" si="70"/>
        <v>1</v>
      </c>
      <c r="AB521" s="527">
        <f t="shared" si="76"/>
        <v>0</v>
      </c>
      <c r="AC521" s="527">
        <f t="shared" si="71"/>
        <v>0</v>
      </c>
      <c r="AD521" s="527">
        <f t="shared" si="72"/>
        <v>0</v>
      </c>
      <c r="AE521" s="527">
        <f t="shared" si="73"/>
        <v>0</v>
      </c>
      <c r="AF521" s="527">
        <f t="shared" si="74"/>
        <v>0</v>
      </c>
      <c r="AG521" s="527">
        <f t="shared" si="75"/>
        <v>12660</v>
      </c>
      <c r="AH521" s="527"/>
      <c r="AI521" s="639">
        <f t="shared" si="77"/>
        <v>12660</v>
      </c>
    </row>
    <row r="522" spans="1:35" ht="12.75" customHeight="1" x14ac:dyDescent="0.2">
      <c r="A522" s="527">
        <v>512</v>
      </c>
      <c r="C522" s="533" t="s">
        <v>3482</v>
      </c>
      <c r="E522" s="527" t="s">
        <v>2832</v>
      </c>
      <c r="F522" s="826"/>
      <c r="G522" s="615">
        <v>5148</v>
      </c>
      <c r="K522" s="533" t="s">
        <v>3465</v>
      </c>
      <c r="N522" s="624">
        <v>44639</v>
      </c>
      <c r="U522" s="613">
        <v>1</v>
      </c>
      <c r="W522" s="613">
        <f t="shared" si="70"/>
        <v>1</v>
      </c>
      <c r="AB522" s="527">
        <f t="shared" si="76"/>
        <v>0</v>
      </c>
      <c r="AC522" s="527">
        <f t="shared" si="71"/>
        <v>0</v>
      </c>
      <c r="AD522" s="527">
        <f t="shared" si="72"/>
        <v>0</v>
      </c>
      <c r="AE522" s="527">
        <f t="shared" si="73"/>
        <v>0</v>
      </c>
      <c r="AF522" s="527">
        <f t="shared" si="74"/>
        <v>0</v>
      </c>
      <c r="AG522" s="527">
        <f t="shared" si="75"/>
        <v>5148</v>
      </c>
      <c r="AH522" s="527"/>
      <c r="AI522" s="639">
        <f t="shared" si="77"/>
        <v>5148</v>
      </c>
    </row>
    <row r="523" spans="1:35" ht="12.75" customHeight="1" x14ac:dyDescent="0.2">
      <c r="A523" s="527">
        <v>513</v>
      </c>
      <c r="C523" s="533" t="s">
        <v>3483</v>
      </c>
      <c r="E523" s="527" t="s">
        <v>3500</v>
      </c>
      <c r="F523" s="826"/>
      <c r="G523" s="615">
        <v>38</v>
      </c>
      <c r="K523" s="533" t="s">
        <v>3465</v>
      </c>
      <c r="N523" s="624">
        <v>44639</v>
      </c>
      <c r="U523" s="613">
        <v>1</v>
      </c>
      <c r="W523" s="613">
        <f t="shared" si="70"/>
        <v>1</v>
      </c>
      <c r="AB523" s="527">
        <f t="shared" si="76"/>
        <v>0</v>
      </c>
      <c r="AC523" s="527">
        <f t="shared" si="71"/>
        <v>0</v>
      </c>
      <c r="AD523" s="527">
        <f t="shared" si="72"/>
        <v>0</v>
      </c>
      <c r="AE523" s="527">
        <f t="shared" si="73"/>
        <v>0</v>
      </c>
      <c r="AF523" s="527">
        <f t="shared" si="74"/>
        <v>0</v>
      </c>
      <c r="AG523" s="527">
        <f t="shared" si="75"/>
        <v>38</v>
      </c>
      <c r="AH523" s="527"/>
      <c r="AI523" s="639">
        <f t="shared" si="77"/>
        <v>38</v>
      </c>
    </row>
    <row r="524" spans="1:35" ht="12.75" customHeight="1" x14ac:dyDescent="0.2">
      <c r="A524" s="527">
        <v>514</v>
      </c>
      <c r="C524" s="533" t="s">
        <v>3484</v>
      </c>
      <c r="E524" s="527" t="s">
        <v>3501</v>
      </c>
      <c r="F524" s="826"/>
      <c r="G524" s="615">
        <v>8000</v>
      </c>
      <c r="K524" s="533" t="s">
        <v>3465</v>
      </c>
      <c r="N524" s="624">
        <v>44639</v>
      </c>
      <c r="U524" s="613">
        <v>1</v>
      </c>
      <c r="W524" s="613">
        <f t="shared" si="70"/>
        <v>1</v>
      </c>
      <c r="AB524" s="527">
        <f t="shared" si="76"/>
        <v>0</v>
      </c>
      <c r="AC524" s="527">
        <f t="shared" si="71"/>
        <v>0</v>
      </c>
      <c r="AD524" s="527">
        <f t="shared" si="72"/>
        <v>0</v>
      </c>
      <c r="AE524" s="527">
        <f t="shared" si="73"/>
        <v>0</v>
      </c>
      <c r="AF524" s="527">
        <f t="shared" si="74"/>
        <v>0</v>
      </c>
      <c r="AG524" s="527">
        <f t="shared" si="75"/>
        <v>8000</v>
      </c>
      <c r="AH524" s="527"/>
      <c r="AI524" s="639">
        <f t="shared" si="77"/>
        <v>8000</v>
      </c>
    </row>
    <row r="525" spans="1:35" ht="12.75" customHeight="1" x14ac:dyDescent="0.2">
      <c r="A525" s="527">
        <v>515</v>
      </c>
      <c r="C525" s="533" t="s">
        <v>3485</v>
      </c>
      <c r="E525" s="527" t="s">
        <v>3501</v>
      </c>
      <c r="F525" s="826"/>
      <c r="G525" s="615">
        <v>12000</v>
      </c>
      <c r="K525" s="533" t="s">
        <v>3465</v>
      </c>
      <c r="N525" s="624">
        <v>44639</v>
      </c>
      <c r="U525" s="613">
        <v>1</v>
      </c>
      <c r="W525" s="613">
        <f t="shared" si="70"/>
        <v>1</v>
      </c>
      <c r="AB525" s="527">
        <f t="shared" si="76"/>
        <v>0</v>
      </c>
      <c r="AC525" s="527">
        <f t="shared" si="71"/>
        <v>0</v>
      </c>
      <c r="AD525" s="527">
        <f t="shared" si="72"/>
        <v>0</v>
      </c>
      <c r="AE525" s="527">
        <f t="shared" si="73"/>
        <v>0</v>
      </c>
      <c r="AF525" s="527">
        <f t="shared" si="74"/>
        <v>0</v>
      </c>
      <c r="AG525" s="527">
        <f t="shared" si="75"/>
        <v>12000</v>
      </c>
      <c r="AH525" s="527"/>
      <c r="AI525" s="639">
        <f t="shared" si="77"/>
        <v>12000</v>
      </c>
    </row>
    <row r="526" spans="1:35" ht="12.75" customHeight="1" x14ac:dyDescent="0.2">
      <c r="A526" s="527">
        <v>516</v>
      </c>
      <c r="C526" s="533" t="s">
        <v>3486</v>
      </c>
      <c r="E526" s="527" t="s">
        <v>3502</v>
      </c>
      <c r="F526" s="826"/>
      <c r="G526" s="615">
        <v>4900</v>
      </c>
      <c r="K526" s="533" t="s">
        <v>3465</v>
      </c>
      <c r="N526" s="624">
        <v>44639</v>
      </c>
      <c r="U526" s="613">
        <v>1</v>
      </c>
      <c r="W526" s="613">
        <f t="shared" si="70"/>
        <v>1</v>
      </c>
      <c r="AB526" s="527">
        <f t="shared" si="76"/>
        <v>0</v>
      </c>
      <c r="AC526" s="527">
        <f t="shared" si="71"/>
        <v>0</v>
      </c>
      <c r="AD526" s="527">
        <f t="shared" si="72"/>
        <v>0</v>
      </c>
      <c r="AE526" s="527">
        <f t="shared" si="73"/>
        <v>0</v>
      </c>
      <c r="AF526" s="527">
        <f t="shared" si="74"/>
        <v>0</v>
      </c>
      <c r="AG526" s="527">
        <f t="shared" si="75"/>
        <v>4900</v>
      </c>
      <c r="AH526" s="527"/>
      <c r="AI526" s="639">
        <f t="shared" si="77"/>
        <v>4900</v>
      </c>
    </row>
    <row r="527" spans="1:35" ht="12.75" customHeight="1" x14ac:dyDescent="0.2">
      <c r="A527" s="527">
        <v>517</v>
      </c>
      <c r="C527" s="533" t="s">
        <v>3487</v>
      </c>
      <c r="E527" s="527" t="s">
        <v>3504</v>
      </c>
      <c r="F527" s="826"/>
      <c r="G527" s="615">
        <v>252</v>
      </c>
      <c r="K527" s="533" t="s">
        <v>3465</v>
      </c>
      <c r="N527" s="624">
        <v>44639</v>
      </c>
      <c r="U527" s="613">
        <v>1</v>
      </c>
      <c r="W527" s="613">
        <f t="shared" si="70"/>
        <v>1</v>
      </c>
      <c r="AB527" s="527">
        <f t="shared" si="76"/>
        <v>0</v>
      </c>
      <c r="AC527" s="527">
        <f t="shared" si="71"/>
        <v>0</v>
      </c>
      <c r="AD527" s="527">
        <f t="shared" si="72"/>
        <v>0</v>
      </c>
      <c r="AE527" s="527">
        <f t="shared" si="73"/>
        <v>0</v>
      </c>
      <c r="AF527" s="527">
        <f t="shared" si="74"/>
        <v>0</v>
      </c>
      <c r="AG527" s="527">
        <f t="shared" si="75"/>
        <v>252</v>
      </c>
      <c r="AH527" s="527"/>
      <c r="AI527" s="639">
        <f t="shared" si="77"/>
        <v>252</v>
      </c>
    </row>
    <row r="528" spans="1:35" ht="12.75" customHeight="1" x14ac:dyDescent="0.2">
      <c r="A528" s="527">
        <v>518</v>
      </c>
      <c r="C528" s="533" t="s">
        <v>3488</v>
      </c>
      <c r="E528" s="527" t="s">
        <v>3503</v>
      </c>
      <c r="F528" s="826"/>
      <c r="G528" s="615">
        <v>74</v>
      </c>
      <c r="K528" s="533" t="s">
        <v>3465</v>
      </c>
      <c r="N528" s="624">
        <v>44639</v>
      </c>
      <c r="U528" s="613">
        <v>1</v>
      </c>
      <c r="W528" s="613">
        <f t="shared" si="70"/>
        <v>1</v>
      </c>
      <c r="AB528" s="527">
        <f t="shared" si="76"/>
        <v>0</v>
      </c>
      <c r="AC528" s="527">
        <f t="shared" si="71"/>
        <v>0</v>
      </c>
      <c r="AD528" s="527">
        <f t="shared" si="72"/>
        <v>0</v>
      </c>
      <c r="AE528" s="527">
        <f t="shared" si="73"/>
        <v>0</v>
      </c>
      <c r="AF528" s="527">
        <f t="shared" si="74"/>
        <v>0</v>
      </c>
      <c r="AG528" s="527">
        <f t="shared" si="75"/>
        <v>74</v>
      </c>
      <c r="AH528" s="527"/>
      <c r="AI528" s="639">
        <f t="shared" si="77"/>
        <v>74</v>
      </c>
    </row>
    <row r="529" spans="1:35" ht="12.75" customHeight="1" x14ac:dyDescent="0.2">
      <c r="A529" s="527">
        <v>519</v>
      </c>
      <c r="C529" s="533" t="s">
        <v>3489</v>
      </c>
      <c r="E529" s="527" t="s">
        <v>3504</v>
      </c>
      <c r="F529" s="826"/>
      <c r="G529" s="632">
        <v>181.5</v>
      </c>
      <c r="K529" s="533" t="s">
        <v>3465</v>
      </c>
      <c r="N529" s="624">
        <v>44639</v>
      </c>
      <c r="U529" s="613">
        <v>1</v>
      </c>
      <c r="W529" s="613">
        <f t="shared" si="70"/>
        <v>1</v>
      </c>
      <c r="AB529" s="527">
        <f t="shared" si="76"/>
        <v>0</v>
      </c>
      <c r="AC529" s="527">
        <f t="shared" si="71"/>
        <v>0</v>
      </c>
      <c r="AD529" s="527">
        <f t="shared" si="72"/>
        <v>0</v>
      </c>
      <c r="AE529" s="527">
        <f t="shared" si="73"/>
        <v>0</v>
      </c>
      <c r="AF529" s="527">
        <f t="shared" si="74"/>
        <v>0</v>
      </c>
      <c r="AG529" s="527">
        <f t="shared" si="75"/>
        <v>181.5</v>
      </c>
      <c r="AH529" s="527"/>
      <c r="AI529" s="639">
        <f t="shared" si="77"/>
        <v>181.5</v>
      </c>
    </row>
    <row r="530" spans="1:35" ht="12.75" customHeight="1" x14ac:dyDescent="0.2">
      <c r="A530" s="527">
        <v>520</v>
      </c>
      <c r="C530" s="533" t="s">
        <v>3490</v>
      </c>
      <c r="E530" s="527" t="s">
        <v>3504</v>
      </c>
      <c r="F530" s="826"/>
      <c r="G530" s="615">
        <v>156</v>
      </c>
      <c r="K530" s="533" t="s">
        <v>3465</v>
      </c>
      <c r="N530" s="624">
        <v>44639</v>
      </c>
      <c r="U530" s="613">
        <v>1</v>
      </c>
      <c r="W530" s="613">
        <f t="shared" si="70"/>
        <v>1</v>
      </c>
      <c r="AB530" s="527">
        <f t="shared" si="76"/>
        <v>0</v>
      </c>
      <c r="AC530" s="527">
        <f t="shared" si="71"/>
        <v>0</v>
      </c>
      <c r="AD530" s="527">
        <f t="shared" si="72"/>
        <v>0</v>
      </c>
      <c r="AE530" s="527">
        <f t="shared" si="73"/>
        <v>0</v>
      </c>
      <c r="AF530" s="527">
        <f t="shared" si="74"/>
        <v>0</v>
      </c>
      <c r="AG530" s="527">
        <f t="shared" si="75"/>
        <v>156</v>
      </c>
      <c r="AH530" s="527"/>
      <c r="AI530" s="639">
        <f t="shared" si="77"/>
        <v>156</v>
      </c>
    </row>
    <row r="531" spans="1:35" ht="12.75" customHeight="1" x14ac:dyDescent="0.2">
      <c r="A531" s="527">
        <v>521</v>
      </c>
      <c r="C531" s="533" t="s">
        <v>3491</v>
      </c>
      <c r="E531" s="527" t="s">
        <v>3505</v>
      </c>
      <c r="F531" s="826"/>
      <c r="G531" s="615">
        <v>1571</v>
      </c>
      <c r="K531" s="533" t="s">
        <v>3465</v>
      </c>
      <c r="N531" s="624">
        <v>44639</v>
      </c>
      <c r="U531" s="613">
        <v>1</v>
      </c>
      <c r="W531" s="613">
        <f t="shared" si="70"/>
        <v>1</v>
      </c>
      <c r="AB531" s="527">
        <f t="shared" si="76"/>
        <v>0</v>
      </c>
      <c r="AC531" s="527">
        <f t="shared" si="71"/>
        <v>0</v>
      </c>
      <c r="AD531" s="527">
        <f t="shared" si="72"/>
        <v>0</v>
      </c>
      <c r="AE531" s="527">
        <f t="shared" si="73"/>
        <v>0</v>
      </c>
      <c r="AF531" s="527">
        <f t="shared" si="74"/>
        <v>0</v>
      </c>
      <c r="AG531" s="527">
        <f t="shared" si="75"/>
        <v>1571</v>
      </c>
      <c r="AH531" s="527"/>
      <c r="AI531" s="639">
        <f t="shared" si="77"/>
        <v>1571</v>
      </c>
    </row>
    <row r="532" spans="1:35" ht="12.75" customHeight="1" x14ac:dyDescent="0.2">
      <c r="A532" s="527">
        <v>522</v>
      </c>
      <c r="C532" s="533" t="s">
        <v>3492</v>
      </c>
      <c r="E532" s="527" t="s">
        <v>3506</v>
      </c>
      <c r="F532" s="826"/>
      <c r="G532" s="615">
        <v>2300</v>
      </c>
      <c r="K532" s="533" t="s">
        <v>3465</v>
      </c>
      <c r="N532" s="624">
        <v>44639</v>
      </c>
      <c r="U532" s="613">
        <v>1</v>
      </c>
      <c r="W532" s="613">
        <f t="shared" si="70"/>
        <v>1</v>
      </c>
      <c r="AB532" s="527">
        <f t="shared" si="76"/>
        <v>0</v>
      </c>
      <c r="AC532" s="527">
        <f t="shared" si="71"/>
        <v>0</v>
      </c>
      <c r="AD532" s="527">
        <f t="shared" si="72"/>
        <v>0</v>
      </c>
      <c r="AE532" s="527">
        <f t="shared" si="73"/>
        <v>0</v>
      </c>
      <c r="AF532" s="527">
        <f t="shared" si="74"/>
        <v>0</v>
      </c>
      <c r="AG532" s="527">
        <f t="shared" si="75"/>
        <v>2300</v>
      </c>
      <c r="AH532" s="527"/>
      <c r="AI532" s="639">
        <f t="shared" si="77"/>
        <v>2300</v>
      </c>
    </row>
    <row r="533" spans="1:35" ht="12.75" customHeight="1" x14ac:dyDescent="0.2">
      <c r="A533" s="527">
        <v>523</v>
      </c>
      <c r="C533" s="533" t="s">
        <v>3493</v>
      </c>
      <c r="E533" s="527" t="s">
        <v>3507</v>
      </c>
      <c r="F533" s="826"/>
      <c r="G533" s="615">
        <v>60</v>
      </c>
      <c r="K533" s="533" t="s">
        <v>3465</v>
      </c>
      <c r="N533" s="624">
        <v>44639</v>
      </c>
      <c r="U533" s="613">
        <v>1</v>
      </c>
      <c r="W533" s="613">
        <f t="shared" si="70"/>
        <v>1</v>
      </c>
      <c r="AB533" s="527">
        <f t="shared" si="76"/>
        <v>0</v>
      </c>
      <c r="AC533" s="527">
        <f t="shared" si="71"/>
        <v>0</v>
      </c>
      <c r="AD533" s="527">
        <f t="shared" si="72"/>
        <v>0</v>
      </c>
      <c r="AE533" s="527">
        <f t="shared" si="73"/>
        <v>0</v>
      </c>
      <c r="AF533" s="527">
        <f t="shared" si="74"/>
        <v>0</v>
      </c>
      <c r="AG533" s="527">
        <f t="shared" si="75"/>
        <v>60</v>
      </c>
      <c r="AH533" s="527"/>
      <c r="AI533" s="639">
        <f t="shared" si="77"/>
        <v>60</v>
      </c>
    </row>
    <row r="534" spans="1:35" ht="12.75" customHeight="1" x14ac:dyDescent="0.2">
      <c r="A534" s="527">
        <v>524</v>
      </c>
      <c r="C534" s="533" t="s">
        <v>3494</v>
      </c>
      <c r="E534" s="527" t="s">
        <v>3507</v>
      </c>
      <c r="F534" s="826"/>
      <c r="G534" s="615">
        <v>45</v>
      </c>
      <c r="K534" s="533" t="s">
        <v>3465</v>
      </c>
      <c r="N534" s="624">
        <v>44639</v>
      </c>
      <c r="U534" s="613">
        <v>1</v>
      </c>
      <c r="W534" s="613">
        <f t="shared" si="70"/>
        <v>1</v>
      </c>
      <c r="AB534" s="527">
        <f t="shared" si="76"/>
        <v>0</v>
      </c>
      <c r="AC534" s="527">
        <f t="shared" si="71"/>
        <v>0</v>
      </c>
      <c r="AD534" s="527">
        <f t="shared" si="72"/>
        <v>0</v>
      </c>
      <c r="AE534" s="527">
        <f t="shared" si="73"/>
        <v>0</v>
      </c>
      <c r="AF534" s="527">
        <f t="shared" si="74"/>
        <v>0</v>
      </c>
      <c r="AG534" s="527">
        <f t="shared" si="75"/>
        <v>45</v>
      </c>
      <c r="AH534" s="527"/>
      <c r="AI534" s="639">
        <f t="shared" si="77"/>
        <v>45</v>
      </c>
    </row>
    <row r="535" spans="1:35" ht="12.75" customHeight="1" x14ac:dyDescent="0.2">
      <c r="A535" s="527">
        <v>525</v>
      </c>
      <c r="C535" s="533" t="s">
        <v>3495</v>
      </c>
      <c r="E535" s="527" t="s">
        <v>3508</v>
      </c>
      <c r="F535" s="826"/>
      <c r="G535" s="615">
        <v>5300</v>
      </c>
      <c r="K535" s="533" t="s">
        <v>3465</v>
      </c>
      <c r="N535" s="624">
        <v>44639</v>
      </c>
      <c r="U535" s="613">
        <v>1</v>
      </c>
      <c r="W535" s="613">
        <f t="shared" si="70"/>
        <v>1</v>
      </c>
      <c r="AB535" s="527">
        <f t="shared" si="76"/>
        <v>0</v>
      </c>
      <c r="AC535" s="527">
        <f t="shared" si="71"/>
        <v>0</v>
      </c>
      <c r="AD535" s="527">
        <f t="shared" si="72"/>
        <v>0</v>
      </c>
      <c r="AE535" s="527">
        <f t="shared" si="73"/>
        <v>0</v>
      </c>
      <c r="AF535" s="527">
        <f t="shared" si="74"/>
        <v>0</v>
      </c>
      <c r="AG535" s="527">
        <f t="shared" si="75"/>
        <v>5300</v>
      </c>
      <c r="AH535" s="527"/>
      <c r="AI535" s="639">
        <f t="shared" si="77"/>
        <v>5300</v>
      </c>
    </row>
    <row r="536" spans="1:35" ht="12.75" customHeight="1" x14ac:dyDescent="0.2">
      <c r="A536" s="527">
        <v>526</v>
      </c>
      <c r="C536" s="533" t="s">
        <v>3496</v>
      </c>
      <c r="E536" s="527" t="s">
        <v>3509</v>
      </c>
      <c r="F536" s="826"/>
      <c r="G536" s="615">
        <v>386</v>
      </c>
      <c r="K536" s="533" t="s">
        <v>3465</v>
      </c>
      <c r="N536" s="624">
        <v>44639</v>
      </c>
      <c r="U536" s="613">
        <v>1</v>
      </c>
      <c r="W536" s="613">
        <f t="shared" si="70"/>
        <v>1</v>
      </c>
      <c r="AB536" s="527">
        <f t="shared" si="76"/>
        <v>0</v>
      </c>
      <c r="AC536" s="527">
        <f t="shared" si="71"/>
        <v>0</v>
      </c>
      <c r="AD536" s="527">
        <f t="shared" si="72"/>
        <v>0</v>
      </c>
      <c r="AE536" s="527">
        <f t="shared" si="73"/>
        <v>0</v>
      </c>
      <c r="AF536" s="527">
        <f t="shared" si="74"/>
        <v>0</v>
      </c>
      <c r="AG536" s="527">
        <f t="shared" si="75"/>
        <v>386</v>
      </c>
      <c r="AH536" s="527"/>
      <c r="AI536" s="639">
        <f t="shared" si="77"/>
        <v>386</v>
      </c>
    </row>
    <row r="537" spans="1:35" ht="12.75" customHeight="1" x14ac:dyDescent="0.2">
      <c r="A537" s="527">
        <v>527</v>
      </c>
      <c r="C537" s="533" t="s">
        <v>3497</v>
      </c>
      <c r="E537" s="527" t="s">
        <v>3509</v>
      </c>
      <c r="F537" s="826"/>
      <c r="G537" s="615">
        <v>196</v>
      </c>
      <c r="K537" s="533" t="s">
        <v>3465</v>
      </c>
      <c r="N537" s="624">
        <v>44639</v>
      </c>
      <c r="U537" s="613">
        <v>1</v>
      </c>
      <c r="W537" s="613">
        <f t="shared" si="70"/>
        <v>1</v>
      </c>
      <c r="AB537" s="527">
        <f t="shared" si="76"/>
        <v>0</v>
      </c>
      <c r="AC537" s="527">
        <f t="shared" si="71"/>
        <v>0</v>
      </c>
      <c r="AD537" s="527">
        <f t="shared" si="72"/>
        <v>0</v>
      </c>
      <c r="AE537" s="527">
        <f t="shared" si="73"/>
        <v>0</v>
      </c>
      <c r="AF537" s="527">
        <f t="shared" si="74"/>
        <v>0</v>
      </c>
      <c r="AG537" s="527">
        <f t="shared" si="75"/>
        <v>196</v>
      </c>
      <c r="AH537" s="527"/>
      <c r="AI537" s="639">
        <f t="shared" si="77"/>
        <v>196</v>
      </c>
    </row>
    <row r="538" spans="1:35" ht="12.75" customHeight="1" x14ac:dyDescent="0.2">
      <c r="A538" s="527">
        <v>528</v>
      </c>
      <c r="C538" s="533" t="s">
        <v>3498</v>
      </c>
      <c r="E538" s="527" t="s">
        <v>3510</v>
      </c>
      <c r="F538" s="826"/>
      <c r="G538" s="615">
        <v>885</v>
      </c>
      <c r="K538" s="533" t="s">
        <v>3465</v>
      </c>
      <c r="N538" s="624">
        <v>44639</v>
      </c>
      <c r="U538" s="613">
        <v>1</v>
      </c>
      <c r="W538" s="613">
        <f t="shared" si="70"/>
        <v>1</v>
      </c>
      <c r="AB538" s="527">
        <f t="shared" si="76"/>
        <v>0</v>
      </c>
      <c r="AC538" s="527">
        <f t="shared" si="71"/>
        <v>0</v>
      </c>
      <c r="AD538" s="527">
        <f t="shared" si="72"/>
        <v>0</v>
      </c>
      <c r="AE538" s="527">
        <f t="shared" si="73"/>
        <v>0</v>
      </c>
      <c r="AF538" s="527">
        <f t="shared" si="74"/>
        <v>0</v>
      </c>
      <c r="AG538" s="527">
        <f t="shared" si="75"/>
        <v>885</v>
      </c>
      <c r="AH538" s="527"/>
      <c r="AI538" s="639">
        <f t="shared" si="77"/>
        <v>885</v>
      </c>
    </row>
    <row r="539" spans="1:35" ht="12.75" customHeight="1" x14ac:dyDescent="0.2">
      <c r="A539" s="527">
        <v>529</v>
      </c>
      <c r="C539" s="533" t="s">
        <v>3511</v>
      </c>
      <c r="E539" s="527" t="s">
        <v>3512</v>
      </c>
      <c r="F539" s="826"/>
      <c r="G539" s="632">
        <v>163.9</v>
      </c>
      <c r="K539" s="533" t="s">
        <v>3465</v>
      </c>
      <c r="N539" s="624">
        <v>44654</v>
      </c>
      <c r="U539" s="613">
        <v>1</v>
      </c>
      <c r="W539" s="613">
        <f t="shared" si="70"/>
        <v>1</v>
      </c>
      <c r="AB539" s="527">
        <f t="shared" si="76"/>
        <v>0</v>
      </c>
      <c r="AC539" s="527">
        <f t="shared" si="71"/>
        <v>0</v>
      </c>
      <c r="AD539" s="527">
        <f t="shared" si="72"/>
        <v>0</v>
      </c>
      <c r="AE539" s="527">
        <f t="shared" si="73"/>
        <v>0</v>
      </c>
      <c r="AF539" s="527">
        <f t="shared" si="74"/>
        <v>0</v>
      </c>
      <c r="AG539" s="527">
        <f t="shared" si="75"/>
        <v>163.9</v>
      </c>
      <c r="AH539" s="527"/>
      <c r="AI539" s="639">
        <f t="shared" si="77"/>
        <v>163.9</v>
      </c>
    </row>
    <row r="540" spans="1:35" ht="12.75" customHeight="1" x14ac:dyDescent="0.2">
      <c r="A540" s="527">
        <v>530</v>
      </c>
      <c r="C540" s="533" t="s">
        <v>3514</v>
      </c>
      <c r="E540" s="527" t="s">
        <v>3441</v>
      </c>
      <c r="F540" s="826"/>
      <c r="G540" s="615">
        <v>512</v>
      </c>
      <c r="K540" s="533" t="s">
        <v>3465</v>
      </c>
      <c r="N540" s="624">
        <v>44668</v>
      </c>
      <c r="U540" s="613">
        <v>1</v>
      </c>
      <c r="W540" s="613">
        <f t="shared" si="70"/>
        <v>1</v>
      </c>
      <c r="AB540" s="527">
        <f t="shared" si="76"/>
        <v>0</v>
      </c>
      <c r="AC540" s="527">
        <f t="shared" si="71"/>
        <v>0</v>
      </c>
      <c r="AD540" s="527">
        <f t="shared" si="72"/>
        <v>0</v>
      </c>
      <c r="AE540" s="527">
        <f t="shared" si="73"/>
        <v>0</v>
      </c>
      <c r="AF540" s="527">
        <f t="shared" si="74"/>
        <v>0</v>
      </c>
      <c r="AG540" s="527">
        <f t="shared" si="75"/>
        <v>512</v>
      </c>
      <c r="AH540" s="527"/>
      <c r="AI540" s="639">
        <f t="shared" si="77"/>
        <v>512</v>
      </c>
    </row>
    <row r="541" spans="1:35" ht="12.75" customHeight="1" x14ac:dyDescent="0.2">
      <c r="A541" s="527">
        <v>531</v>
      </c>
      <c r="C541" s="533" t="s">
        <v>3513</v>
      </c>
      <c r="E541" s="527" t="s">
        <v>3515</v>
      </c>
      <c r="F541" s="826"/>
      <c r="G541" s="632">
        <v>355.6</v>
      </c>
      <c r="K541" s="533" t="s">
        <v>3465</v>
      </c>
      <c r="N541" s="624">
        <v>44668</v>
      </c>
      <c r="U541" s="613">
        <v>1</v>
      </c>
      <c r="W541" s="613">
        <f t="shared" si="70"/>
        <v>1</v>
      </c>
      <c r="AB541" s="527">
        <f t="shared" si="76"/>
        <v>0</v>
      </c>
      <c r="AC541" s="527">
        <f t="shared" si="71"/>
        <v>0</v>
      </c>
      <c r="AD541" s="527">
        <f t="shared" si="72"/>
        <v>0</v>
      </c>
      <c r="AE541" s="527">
        <f t="shared" si="73"/>
        <v>0</v>
      </c>
      <c r="AF541" s="527">
        <f t="shared" si="74"/>
        <v>0</v>
      </c>
      <c r="AG541" s="527">
        <f t="shared" si="75"/>
        <v>355.6</v>
      </c>
      <c r="AH541" s="527"/>
      <c r="AI541" s="639">
        <f t="shared" si="77"/>
        <v>355.6</v>
      </c>
    </row>
    <row r="542" spans="1:35" ht="12.75" customHeight="1" x14ac:dyDescent="0.2">
      <c r="A542" s="527">
        <v>532</v>
      </c>
      <c r="C542" s="533" t="s">
        <v>3516</v>
      </c>
      <c r="E542" s="527" t="s">
        <v>3523</v>
      </c>
      <c r="F542" s="826"/>
      <c r="G542" s="615">
        <v>243</v>
      </c>
      <c r="K542" s="533" t="s">
        <v>3465</v>
      </c>
      <c r="N542" s="624">
        <v>44690</v>
      </c>
      <c r="U542" s="613">
        <v>1</v>
      </c>
      <c r="W542" s="613">
        <f t="shared" si="70"/>
        <v>1</v>
      </c>
      <c r="AB542" s="527">
        <f t="shared" si="76"/>
        <v>0</v>
      </c>
      <c r="AC542" s="527">
        <f t="shared" si="71"/>
        <v>0</v>
      </c>
      <c r="AD542" s="527">
        <f t="shared" si="72"/>
        <v>0</v>
      </c>
      <c r="AE542" s="527">
        <f t="shared" si="73"/>
        <v>0</v>
      </c>
      <c r="AF542" s="527">
        <f t="shared" si="74"/>
        <v>0</v>
      </c>
      <c r="AG542" s="527">
        <f t="shared" si="75"/>
        <v>243</v>
      </c>
      <c r="AH542" s="527"/>
      <c r="AI542" s="639">
        <f t="shared" si="77"/>
        <v>243</v>
      </c>
    </row>
    <row r="543" spans="1:35" ht="12.75" customHeight="1" x14ac:dyDescent="0.2">
      <c r="A543" s="527">
        <v>533</v>
      </c>
      <c r="C543" s="533" t="s">
        <v>3517</v>
      </c>
      <c r="E543" s="527" t="s">
        <v>3528</v>
      </c>
      <c r="F543" s="826"/>
      <c r="G543" s="615">
        <v>277</v>
      </c>
      <c r="K543" s="533" t="s">
        <v>3465</v>
      </c>
      <c r="N543" s="624">
        <v>44690</v>
      </c>
      <c r="U543" s="613">
        <v>1</v>
      </c>
      <c r="W543" s="613">
        <f t="shared" si="70"/>
        <v>1</v>
      </c>
      <c r="AB543" s="527">
        <f t="shared" si="76"/>
        <v>0</v>
      </c>
      <c r="AC543" s="527">
        <f t="shared" si="71"/>
        <v>0</v>
      </c>
      <c r="AD543" s="527">
        <f t="shared" si="72"/>
        <v>0</v>
      </c>
      <c r="AE543" s="527">
        <f t="shared" si="73"/>
        <v>0</v>
      </c>
      <c r="AF543" s="527">
        <f t="shared" si="74"/>
        <v>0</v>
      </c>
      <c r="AG543" s="527">
        <f t="shared" si="75"/>
        <v>277</v>
      </c>
      <c r="AH543" s="527"/>
      <c r="AI543" s="639">
        <f t="shared" si="77"/>
        <v>277</v>
      </c>
    </row>
    <row r="544" spans="1:35" ht="12.75" customHeight="1" x14ac:dyDescent="0.2">
      <c r="A544" s="527">
        <v>534</v>
      </c>
      <c r="C544" s="533" t="s">
        <v>3518</v>
      </c>
      <c r="E544" s="527" t="s">
        <v>3524</v>
      </c>
      <c r="F544" s="826"/>
      <c r="G544" s="615">
        <v>2928</v>
      </c>
      <c r="K544" s="533" t="s">
        <v>3465</v>
      </c>
      <c r="N544" s="624">
        <v>44690</v>
      </c>
      <c r="U544" s="613">
        <v>1</v>
      </c>
      <c r="W544" s="613">
        <f t="shared" si="70"/>
        <v>1</v>
      </c>
      <c r="AB544" s="527">
        <f t="shared" si="76"/>
        <v>0</v>
      </c>
      <c r="AC544" s="527">
        <f t="shared" si="71"/>
        <v>0</v>
      </c>
      <c r="AD544" s="527">
        <f t="shared" si="72"/>
        <v>0</v>
      </c>
      <c r="AE544" s="527">
        <f t="shared" si="73"/>
        <v>0</v>
      </c>
      <c r="AF544" s="527">
        <f t="shared" si="74"/>
        <v>0</v>
      </c>
      <c r="AG544" s="527">
        <f t="shared" si="75"/>
        <v>2928</v>
      </c>
      <c r="AH544" s="527"/>
      <c r="AI544" s="639">
        <f t="shared" si="77"/>
        <v>2928</v>
      </c>
    </row>
    <row r="545" spans="1:37" ht="12.75" customHeight="1" x14ac:dyDescent="0.2">
      <c r="A545" s="527">
        <v>535</v>
      </c>
      <c r="C545" s="533" t="s">
        <v>3519</v>
      </c>
      <c r="E545" s="527" t="s">
        <v>3525</v>
      </c>
      <c r="F545" s="826"/>
      <c r="G545" s="615">
        <v>960</v>
      </c>
      <c r="K545" s="533" t="s">
        <v>3465</v>
      </c>
      <c r="N545" s="624">
        <v>44690</v>
      </c>
      <c r="U545" s="613">
        <v>1</v>
      </c>
      <c r="W545" s="613">
        <f t="shared" si="70"/>
        <v>1</v>
      </c>
      <c r="AB545" s="527">
        <f t="shared" si="76"/>
        <v>0</v>
      </c>
      <c r="AC545" s="527">
        <f t="shared" si="71"/>
        <v>0</v>
      </c>
      <c r="AD545" s="527">
        <f t="shared" si="72"/>
        <v>0</v>
      </c>
      <c r="AE545" s="527">
        <f t="shared" si="73"/>
        <v>0</v>
      </c>
      <c r="AF545" s="527">
        <f t="shared" si="74"/>
        <v>0</v>
      </c>
      <c r="AG545" s="527">
        <f t="shared" si="75"/>
        <v>960</v>
      </c>
      <c r="AH545" s="527"/>
      <c r="AI545" s="639">
        <f t="shared" si="77"/>
        <v>960</v>
      </c>
    </row>
    <row r="546" spans="1:37" ht="12.75" customHeight="1" x14ac:dyDescent="0.2">
      <c r="A546" s="527">
        <v>536</v>
      </c>
      <c r="C546" s="533" t="s">
        <v>3520</v>
      </c>
      <c r="E546" s="527" t="s">
        <v>3526</v>
      </c>
      <c r="F546" s="826"/>
      <c r="G546" s="615">
        <v>260</v>
      </c>
      <c r="K546" s="533" t="s">
        <v>3465</v>
      </c>
      <c r="N546" s="624">
        <v>44694</v>
      </c>
      <c r="U546" s="613">
        <v>1</v>
      </c>
      <c r="W546" s="613">
        <f t="shared" si="70"/>
        <v>1</v>
      </c>
      <c r="AB546" s="527">
        <f t="shared" si="76"/>
        <v>0</v>
      </c>
      <c r="AC546" s="527">
        <f t="shared" si="71"/>
        <v>0</v>
      </c>
      <c r="AD546" s="527">
        <f t="shared" si="72"/>
        <v>0</v>
      </c>
      <c r="AE546" s="527">
        <f t="shared" si="73"/>
        <v>0</v>
      </c>
      <c r="AF546" s="527">
        <f t="shared" si="74"/>
        <v>0</v>
      </c>
      <c r="AG546" s="527">
        <f t="shared" si="75"/>
        <v>260</v>
      </c>
      <c r="AH546" s="527"/>
      <c r="AI546" s="639">
        <f t="shared" si="77"/>
        <v>260</v>
      </c>
    </row>
    <row r="547" spans="1:37" ht="12.75" customHeight="1" x14ac:dyDescent="0.2">
      <c r="A547" s="527">
        <v>537</v>
      </c>
      <c r="C547" s="533" t="s">
        <v>3521</v>
      </c>
      <c r="E547" s="527" t="s">
        <v>3527</v>
      </c>
      <c r="F547" s="826"/>
      <c r="G547" s="615">
        <v>510</v>
      </c>
      <c r="K547" s="533" t="s">
        <v>3465</v>
      </c>
      <c r="N547" s="624">
        <v>44694</v>
      </c>
      <c r="U547" s="613">
        <v>1</v>
      </c>
      <c r="W547" s="613">
        <f t="shared" si="70"/>
        <v>1</v>
      </c>
      <c r="AB547" s="527">
        <f t="shared" si="76"/>
        <v>0</v>
      </c>
      <c r="AC547" s="527">
        <f t="shared" si="71"/>
        <v>0</v>
      </c>
      <c r="AD547" s="527">
        <f t="shared" si="72"/>
        <v>0</v>
      </c>
      <c r="AE547" s="527">
        <f t="shared" si="73"/>
        <v>0</v>
      </c>
      <c r="AF547" s="527">
        <f t="shared" si="74"/>
        <v>0</v>
      </c>
      <c r="AG547" s="527">
        <f t="shared" si="75"/>
        <v>510</v>
      </c>
      <c r="AH547" s="527"/>
      <c r="AI547" s="639">
        <f t="shared" si="77"/>
        <v>510</v>
      </c>
    </row>
    <row r="548" spans="1:37" ht="12.75" customHeight="1" x14ac:dyDescent="0.2">
      <c r="A548" s="527">
        <v>538</v>
      </c>
      <c r="C548" s="533" t="s">
        <v>3522</v>
      </c>
      <c r="E548" s="527" t="s">
        <v>3529</v>
      </c>
      <c r="F548" s="826"/>
      <c r="G548" s="615">
        <v>90</v>
      </c>
      <c r="K548" s="533" t="s">
        <v>3465</v>
      </c>
      <c r="N548" s="624">
        <v>44694</v>
      </c>
      <c r="U548" s="613">
        <v>1</v>
      </c>
      <c r="W548" s="613">
        <f t="shared" si="70"/>
        <v>1</v>
      </c>
      <c r="AB548" s="527">
        <f t="shared" si="76"/>
        <v>0</v>
      </c>
      <c r="AC548" s="527">
        <f t="shared" si="71"/>
        <v>0</v>
      </c>
      <c r="AD548" s="527">
        <f t="shared" si="72"/>
        <v>0</v>
      </c>
      <c r="AE548" s="527">
        <f t="shared" si="73"/>
        <v>0</v>
      </c>
      <c r="AF548" s="527">
        <f t="shared" si="74"/>
        <v>0</v>
      </c>
      <c r="AG548" s="527">
        <f t="shared" si="75"/>
        <v>90</v>
      </c>
      <c r="AH548" s="527"/>
      <c r="AI548" s="639">
        <f t="shared" si="77"/>
        <v>90</v>
      </c>
    </row>
    <row r="549" spans="1:37" ht="12.75" customHeight="1" x14ac:dyDescent="0.2">
      <c r="A549" s="527">
        <v>539</v>
      </c>
      <c r="C549" s="533" t="s">
        <v>3531</v>
      </c>
      <c r="E549" s="527" t="s">
        <v>3533</v>
      </c>
      <c r="F549" s="826"/>
      <c r="G549" s="615">
        <v>541</v>
      </c>
      <c r="K549" s="533" t="s">
        <v>3465</v>
      </c>
      <c r="N549" s="624">
        <v>44706</v>
      </c>
      <c r="U549" s="613">
        <v>1</v>
      </c>
      <c r="W549" s="613">
        <f t="shared" si="70"/>
        <v>1</v>
      </c>
      <c r="AB549" s="527">
        <f t="shared" si="76"/>
        <v>0</v>
      </c>
      <c r="AC549" s="527">
        <f t="shared" si="71"/>
        <v>0</v>
      </c>
      <c r="AD549" s="527">
        <f t="shared" si="72"/>
        <v>0</v>
      </c>
      <c r="AE549" s="527">
        <f t="shared" si="73"/>
        <v>0</v>
      </c>
      <c r="AF549" s="527">
        <f t="shared" si="74"/>
        <v>0</v>
      </c>
      <c r="AG549" s="527">
        <f t="shared" si="75"/>
        <v>541</v>
      </c>
      <c r="AH549" s="527"/>
      <c r="AI549" s="639">
        <f t="shared" si="77"/>
        <v>541</v>
      </c>
    </row>
    <row r="550" spans="1:37" ht="12.75" customHeight="1" x14ac:dyDescent="0.2">
      <c r="A550" s="527">
        <v>540</v>
      </c>
      <c r="C550" s="533" t="s">
        <v>3532</v>
      </c>
      <c r="E550" s="527" t="s">
        <v>3534</v>
      </c>
      <c r="F550" s="826"/>
      <c r="G550" s="615">
        <v>849</v>
      </c>
      <c r="K550" s="533" t="s">
        <v>3465</v>
      </c>
      <c r="N550" s="624">
        <v>44706</v>
      </c>
      <c r="U550" s="613">
        <v>1</v>
      </c>
      <c r="W550" s="613">
        <f t="shared" si="70"/>
        <v>1</v>
      </c>
      <c r="AB550" s="527">
        <f t="shared" si="76"/>
        <v>0</v>
      </c>
      <c r="AC550" s="527">
        <f t="shared" si="71"/>
        <v>0</v>
      </c>
      <c r="AD550" s="527">
        <f t="shared" si="72"/>
        <v>0</v>
      </c>
      <c r="AE550" s="527">
        <f t="shared" si="73"/>
        <v>0</v>
      </c>
      <c r="AF550" s="527">
        <f t="shared" si="74"/>
        <v>0</v>
      </c>
      <c r="AG550" s="527">
        <f t="shared" si="75"/>
        <v>849</v>
      </c>
      <c r="AH550" s="527"/>
      <c r="AI550" s="639">
        <f t="shared" si="77"/>
        <v>849</v>
      </c>
    </row>
    <row r="551" spans="1:37" ht="12.75" customHeight="1" x14ac:dyDescent="0.2">
      <c r="A551" s="527">
        <v>541</v>
      </c>
      <c r="C551" s="533" t="s">
        <v>3535</v>
      </c>
      <c r="E551" s="527" t="s">
        <v>3403</v>
      </c>
      <c r="F551" s="826"/>
      <c r="G551" s="615">
        <v>345</v>
      </c>
      <c r="K551" s="533" t="s">
        <v>3465</v>
      </c>
      <c r="N551" s="624">
        <v>44706</v>
      </c>
      <c r="U551" s="613">
        <v>1</v>
      </c>
      <c r="W551" s="613">
        <f t="shared" si="70"/>
        <v>1</v>
      </c>
      <c r="AB551" s="527">
        <f t="shared" si="76"/>
        <v>0</v>
      </c>
      <c r="AC551" s="527">
        <f t="shared" si="71"/>
        <v>0</v>
      </c>
      <c r="AD551" s="527">
        <f t="shared" si="72"/>
        <v>0</v>
      </c>
      <c r="AE551" s="527">
        <f t="shared" si="73"/>
        <v>0</v>
      </c>
      <c r="AF551" s="527">
        <f t="shared" si="74"/>
        <v>0</v>
      </c>
      <c r="AG551" s="527">
        <f t="shared" si="75"/>
        <v>345</v>
      </c>
      <c r="AH551" s="527"/>
      <c r="AI551" s="639">
        <f t="shared" si="77"/>
        <v>345</v>
      </c>
    </row>
    <row r="552" spans="1:37" ht="12.75" customHeight="1" x14ac:dyDescent="0.2">
      <c r="A552" s="527">
        <v>542</v>
      </c>
      <c r="C552" s="533" t="s">
        <v>3536</v>
      </c>
      <c r="E552" s="527" t="s">
        <v>3533</v>
      </c>
      <c r="F552" s="826"/>
      <c r="G552" s="615">
        <v>1368</v>
      </c>
      <c r="K552" s="533" t="s">
        <v>3465</v>
      </c>
      <c r="N552" s="624">
        <v>44732</v>
      </c>
      <c r="U552" s="613">
        <v>1</v>
      </c>
      <c r="W552" s="613">
        <f t="shared" si="70"/>
        <v>1</v>
      </c>
      <c r="AB552" s="527">
        <f t="shared" si="76"/>
        <v>0</v>
      </c>
      <c r="AC552" s="527">
        <f t="shared" si="71"/>
        <v>0</v>
      </c>
      <c r="AD552" s="527">
        <f t="shared" si="72"/>
        <v>0</v>
      </c>
      <c r="AE552" s="527">
        <f t="shared" si="73"/>
        <v>0</v>
      </c>
      <c r="AF552" s="527">
        <f t="shared" si="74"/>
        <v>0</v>
      </c>
      <c r="AG552" s="527">
        <f t="shared" si="75"/>
        <v>1368</v>
      </c>
      <c r="AH552" s="527"/>
      <c r="AI552" s="639">
        <f t="shared" si="77"/>
        <v>1368</v>
      </c>
    </row>
    <row r="553" spans="1:37" ht="12.75" customHeight="1" x14ac:dyDescent="0.2">
      <c r="A553" s="527">
        <v>543</v>
      </c>
      <c r="C553" s="533" t="s">
        <v>3537</v>
      </c>
      <c r="E553" s="527" t="s">
        <v>3322</v>
      </c>
      <c r="F553" s="826"/>
      <c r="G553" s="615">
        <v>1084</v>
      </c>
      <c r="K553" s="533" t="s">
        <v>3465</v>
      </c>
      <c r="N553" s="624">
        <v>44732</v>
      </c>
      <c r="U553" s="613">
        <v>1</v>
      </c>
      <c r="W553" s="613">
        <f t="shared" si="70"/>
        <v>1</v>
      </c>
      <c r="AB553" s="527">
        <f t="shared" si="76"/>
        <v>0</v>
      </c>
      <c r="AC553" s="527">
        <f t="shared" si="71"/>
        <v>0</v>
      </c>
      <c r="AD553" s="527">
        <f t="shared" si="72"/>
        <v>0</v>
      </c>
      <c r="AE553" s="527">
        <f t="shared" si="73"/>
        <v>0</v>
      </c>
      <c r="AF553" s="527">
        <f t="shared" si="74"/>
        <v>0</v>
      </c>
      <c r="AG553" s="527">
        <f t="shared" si="75"/>
        <v>1084</v>
      </c>
      <c r="AH553" s="527"/>
      <c r="AI553" s="639">
        <f t="shared" si="77"/>
        <v>1084</v>
      </c>
    </row>
    <row r="554" spans="1:37" ht="12.75" customHeight="1" x14ac:dyDescent="0.2">
      <c r="A554" s="527">
        <v>544</v>
      </c>
      <c r="C554" s="533" t="s">
        <v>3538</v>
      </c>
      <c r="E554" s="527" t="s">
        <v>3541</v>
      </c>
      <c r="F554" s="826"/>
      <c r="G554" s="632">
        <v>19.100000000000001</v>
      </c>
      <c r="K554" s="533" t="s">
        <v>3465</v>
      </c>
      <c r="N554" s="624">
        <v>44732</v>
      </c>
      <c r="U554" s="613">
        <v>1</v>
      </c>
      <c r="W554" s="613">
        <f t="shared" si="70"/>
        <v>1</v>
      </c>
      <c r="AB554" s="527">
        <f t="shared" si="76"/>
        <v>0</v>
      </c>
      <c r="AC554" s="527">
        <f t="shared" si="71"/>
        <v>0</v>
      </c>
      <c r="AD554" s="527">
        <f t="shared" si="72"/>
        <v>0</v>
      </c>
      <c r="AE554" s="527">
        <f t="shared" si="73"/>
        <v>0</v>
      </c>
      <c r="AF554" s="527">
        <f t="shared" si="74"/>
        <v>0</v>
      </c>
      <c r="AG554" s="527">
        <f t="shared" si="75"/>
        <v>19.100000000000001</v>
      </c>
      <c r="AH554" s="527"/>
      <c r="AI554" s="639">
        <f t="shared" si="77"/>
        <v>19.100000000000001</v>
      </c>
    </row>
    <row r="555" spans="1:37" ht="12.75" customHeight="1" x14ac:dyDescent="0.2">
      <c r="A555" s="527">
        <v>545</v>
      </c>
      <c r="C555" s="533" t="s">
        <v>3539</v>
      </c>
      <c r="E555" s="527" t="s">
        <v>3533</v>
      </c>
      <c r="F555" s="826"/>
      <c r="G555" s="615">
        <v>202</v>
      </c>
      <c r="K555" s="533" t="s">
        <v>3465</v>
      </c>
      <c r="N555" s="624">
        <v>44732</v>
      </c>
      <c r="U555" s="613">
        <v>1</v>
      </c>
      <c r="W555" s="613">
        <f t="shared" si="70"/>
        <v>1</v>
      </c>
      <c r="AB555" s="527">
        <f t="shared" si="76"/>
        <v>0</v>
      </c>
      <c r="AC555" s="527">
        <f t="shared" si="71"/>
        <v>0</v>
      </c>
      <c r="AD555" s="527">
        <f t="shared" si="72"/>
        <v>0</v>
      </c>
      <c r="AE555" s="527">
        <f t="shared" si="73"/>
        <v>0</v>
      </c>
      <c r="AF555" s="527">
        <f t="shared" si="74"/>
        <v>0</v>
      </c>
      <c r="AG555" s="527">
        <f t="shared" si="75"/>
        <v>202</v>
      </c>
      <c r="AH555" s="527"/>
      <c r="AI555" s="639">
        <f t="shared" si="77"/>
        <v>202</v>
      </c>
    </row>
    <row r="556" spans="1:37" ht="12.75" customHeight="1" x14ac:dyDescent="0.2">
      <c r="A556" s="527">
        <v>546</v>
      </c>
      <c r="C556" s="533" t="s">
        <v>3540</v>
      </c>
      <c r="E556" s="527" t="s">
        <v>3533</v>
      </c>
      <c r="F556" s="826"/>
      <c r="G556" s="615">
        <v>458</v>
      </c>
      <c r="K556" s="533" t="s">
        <v>3465</v>
      </c>
      <c r="N556" s="624">
        <v>44732</v>
      </c>
      <c r="U556" s="613">
        <v>1</v>
      </c>
      <c r="W556" s="613">
        <f t="shared" si="70"/>
        <v>1</v>
      </c>
      <c r="AB556" s="527">
        <f t="shared" si="76"/>
        <v>0</v>
      </c>
      <c r="AC556" s="527">
        <f t="shared" si="71"/>
        <v>0</v>
      </c>
      <c r="AD556" s="527">
        <f t="shared" si="72"/>
        <v>0</v>
      </c>
      <c r="AE556" s="527">
        <f t="shared" si="73"/>
        <v>0</v>
      </c>
      <c r="AF556" s="527">
        <f t="shared" si="74"/>
        <v>0</v>
      </c>
      <c r="AG556" s="527">
        <f t="shared" si="75"/>
        <v>458</v>
      </c>
      <c r="AH556" s="527"/>
      <c r="AI556" s="639">
        <f t="shared" si="77"/>
        <v>458</v>
      </c>
    </row>
    <row r="557" spans="1:37" ht="12.75" customHeight="1" x14ac:dyDescent="0.2">
      <c r="A557" s="527">
        <v>547</v>
      </c>
      <c r="C557" s="533" t="s">
        <v>3542</v>
      </c>
      <c r="E557" s="527" t="s">
        <v>3547</v>
      </c>
      <c r="F557" s="826"/>
      <c r="G557" s="615">
        <v>158</v>
      </c>
      <c r="K557" s="533" t="s">
        <v>3465</v>
      </c>
      <c r="N557" s="624">
        <v>44765</v>
      </c>
      <c r="U557" s="613">
        <v>1</v>
      </c>
      <c r="W557" s="613">
        <f t="shared" si="70"/>
        <v>1</v>
      </c>
      <c r="AB557" s="527">
        <f t="shared" si="76"/>
        <v>0</v>
      </c>
      <c r="AC557" s="527">
        <f t="shared" si="71"/>
        <v>0</v>
      </c>
      <c r="AD557" s="527">
        <f t="shared" si="72"/>
        <v>0</v>
      </c>
      <c r="AE557" s="527">
        <f t="shared" si="73"/>
        <v>0</v>
      </c>
      <c r="AF557" s="527">
        <f t="shared" si="74"/>
        <v>0</v>
      </c>
      <c r="AG557" s="527">
        <f t="shared" si="75"/>
        <v>158</v>
      </c>
      <c r="AH557" s="527"/>
      <c r="AI557" s="639">
        <f t="shared" si="77"/>
        <v>158</v>
      </c>
      <c r="AK557" s="778">
        <v>1</v>
      </c>
    </row>
    <row r="558" spans="1:37" ht="12.75" customHeight="1" x14ac:dyDescent="0.2">
      <c r="A558" s="527">
        <v>548</v>
      </c>
      <c r="C558" s="533" t="s">
        <v>3543</v>
      </c>
      <c r="E558" s="527" t="s">
        <v>1031</v>
      </c>
      <c r="F558" s="826"/>
      <c r="G558" s="615">
        <v>1200</v>
      </c>
      <c r="K558" s="533" t="s">
        <v>3465</v>
      </c>
      <c r="N558" s="624">
        <v>44765</v>
      </c>
      <c r="U558" s="613">
        <v>1</v>
      </c>
      <c r="W558" s="613">
        <f t="shared" si="70"/>
        <v>1</v>
      </c>
      <c r="AB558" s="527">
        <f t="shared" si="76"/>
        <v>0</v>
      </c>
      <c r="AC558" s="527">
        <f t="shared" si="71"/>
        <v>0</v>
      </c>
      <c r="AD558" s="527">
        <f t="shared" si="72"/>
        <v>0</v>
      </c>
      <c r="AE558" s="527">
        <f t="shared" si="73"/>
        <v>0</v>
      </c>
      <c r="AF558" s="527">
        <f t="shared" si="74"/>
        <v>0</v>
      </c>
      <c r="AG558" s="527">
        <f t="shared" si="75"/>
        <v>1200</v>
      </c>
      <c r="AH558" s="527"/>
      <c r="AI558" s="639">
        <f t="shared" si="77"/>
        <v>1200</v>
      </c>
    </row>
    <row r="559" spans="1:37" ht="12.75" customHeight="1" x14ac:dyDescent="0.2">
      <c r="A559" s="527">
        <v>549</v>
      </c>
      <c r="C559" s="533" t="s">
        <v>3544</v>
      </c>
      <c r="E559" s="527" t="s">
        <v>3548</v>
      </c>
      <c r="F559" s="826"/>
      <c r="G559" s="615">
        <v>106</v>
      </c>
      <c r="K559" s="533" t="s">
        <v>3465</v>
      </c>
      <c r="N559" s="624">
        <v>44765</v>
      </c>
      <c r="U559" s="613">
        <v>1</v>
      </c>
      <c r="W559" s="613">
        <f t="shared" si="70"/>
        <v>1</v>
      </c>
      <c r="AB559" s="527">
        <f t="shared" si="76"/>
        <v>0</v>
      </c>
      <c r="AC559" s="527">
        <f t="shared" si="71"/>
        <v>0</v>
      </c>
      <c r="AD559" s="527">
        <f t="shared" si="72"/>
        <v>0</v>
      </c>
      <c r="AE559" s="527">
        <f t="shared" si="73"/>
        <v>0</v>
      </c>
      <c r="AF559" s="527">
        <f t="shared" si="74"/>
        <v>0</v>
      </c>
      <c r="AG559" s="527">
        <f t="shared" si="75"/>
        <v>106</v>
      </c>
      <c r="AH559" s="527"/>
      <c r="AI559" s="639">
        <f t="shared" si="77"/>
        <v>106</v>
      </c>
    </row>
    <row r="560" spans="1:37" ht="12.75" customHeight="1" x14ac:dyDescent="0.2">
      <c r="A560" s="527">
        <v>550</v>
      </c>
      <c r="C560" s="533" t="s">
        <v>3545</v>
      </c>
      <c r="E560" s="527" t="s">
        <v>3549</v>
      </c>
      <c r="F560" s="826"/>
      <c r="G560" s="615">
        <v>425</v>
      </c>
      <c r="K560" s="533" t="s">
        <v>3465</v>
      </c>
      <c r="N560" s="624">
        <v>44765</v>
      </c>
      <c r="U560" s="613">
        <v>1</v>
      </c>
      <c r="W560" s="613">
        <f t="shared" si="70"/>
        <v>1</v>
      </c>
      <c r="AB560" s="527">
        <f t="shared" si="76"/>
        <v>0</v>
      </c>
      <c r="AC560" s="527">
        <f t="shared" si="71"/>
        <v>0</v>
      </c>
      <c r="AD560" s="527">
        <f t="shared" si="72"/>
        <v>0</v>
      </c>
      <c r="AE560" s="527">
        <f t="shared" si="73"/>
        <v>0</v>
      </c>
      <c r="AF560" s="527">
        <f t="shared" si="74"/>
        <v>0</v>
      </c>
      <c r="AG560" s="527">
        <f t="shared" si="75"/>
        <v>425</v>
      </c>
      <c r="AH560" s="527"/>
      <c r="AI560" s="639">
        <f t="shared" si="77"/>
        <v>425</v>
      </c>
    </row>
    <row r="561" spans="1:35" ht="12.75" customHeight="1" x14ac:dyDescent="0.2">
      <c r="A561" s="527">
        <v>551</v>
      </c>
      <c r="C561" s="533" t="s">
        <v>3546</v>
      </c>
      <c r="E561" s="624" t="s">
        <v>3550</v>
      </c>
      <c r="F561" s="826"/>
      <c r="G561" s="632">
        <v>176.7</v>
      </c>
      <c r="K561" s="533" t="s">
        <v>3465</v>
      </c>
      <c r="N561" s="624">
        <v>44765</v>
      </c>
      <c r="U561" s="613">
        <v>1</v>
      </c>
      <c r="W561" s="613">
        <f t="shared" si="70"/>
        <v>1</v>
      </c>
      <c r="AB561" s="527">
        <f t="shared" si="76"/>
        <v>0</v>
      </c>
      <c r="AC561" s="527">
        <f t="shared" si="71"/>
        <v>0</v>
      </c>
      <c r="AD561" s="527">
        <f t="shared" si="72"/>
        <v>0</v>
      </c>
      <c r="AE561" s="527">
        <f t="shared" si="73"/>
        <v>0</v>
      </c>
      <c r="AF561" s="527">
        <f t="shared" si="74"/>
        <v>0</v>
      </c>
      <c r="AG561" s="527">
        <f t="shared" si="75"/>
        <v>176.7</v>
      </c>
      <c r="AH561" s="527"/>
      <c r="AI561" s="639">
        <f t="shared" si="77"/>
        <v>176.7</v>
      </c>
    </row>
    <row r="562" spans="1:35" ht="12.75" customHeight="1" x14ac:dyDescent="0.2">
      <c r="A562" s="527">
        <v>552</v>
      </c>
      <c r="C562" s="533" t="s">
        <v>3552</v>
      </c>
      <c r="E562" s="624" t="s">
        <v>3555</v>
      </c>
      <c r="F562" s="826"/>
      <c r="G562" s="632">
        <v>385.3</v>
      </c>
      <c r="K562" s="533" t="s">
        <v>3465</v>
      </c>
      <c r="N562" s="624">
        <v>44779</v>
      </c>
      <c r="U562" s="613">
        <v>1</v>
      </c>
      <c r="W562" s="613">
        <f t="shared" si="70"/>
        <v>1</v>
      </c>
      <c r="AB562" s="527">
        <f t="shared" si="76"/>
        <v>0</v>
      </c>
      <c r="AC562" s="527">
        <f t="shared" si="71"/>
        <v>0</v>
      </c>
      <c r="AD562" s="527">
        <f t="shared" si="72"/>
        <v>0</v>
      </c>
      <c r="AE562" s="527">
        <f t="shared" si="73"/>
        <v>0</v>
      </c>
      <c r="AF562" s="527">
        <f t="shared" si="74"/>
        <v>0</v>
      </c>
      <c r="AG562" s="527">
        <f t="shared" si="75"/>
        <v>385.3</v>
      </c>
      <c r="AH562" s="527"/>
      <c r="AI562" s="639">
        <f t="shared" si="77"/>
        <v>385.3</v>
      </c>
    </row>
    <row r="563" spans="1:35" ht="12.75" customHeight="1" x14ac:dyDescent="0.2">
      <c r="A563" s="527">
        <v>553</v>
      </c>
      <c r="C563" s="533" t="s">
        <v>3553</v>
      </c>
      <c r="E563" s="624" t="s">
        <v>3550</v>
      </c>
      <c r="F563" s="826"/>
      <c r="G563" s="632">
        <v>125.8</v>
      </c>
      <c r="K563" s="533" t="s">
        <v>3465</v>
      </c>
      <c r="N563" s="624">
        <v>44779</v>
      </c>
      <c r="U563" s="613">
        <v>1</v>
      </c>
      <c r="W563" s="613">
        <f t="shared" si="70"/>
        <v>1</v>
      </c>
      <c r="AB563" s="527">
        <f t="shared" si="76"/>
        <v>0</v>
      </c>
      <c r="AC563" s="527">
        <f t="shared" si="71"/>
        <v>0</v>
      </c>
      <c r="AD563" s="527">
        <f t="shared" si="72"/>
        <v>0</v>
      </c>
      <c r="AE563" s="527">
        <f t="shared" si="73"/>
        <v>0</v>
      </c>
      <c r="AF563" s="527">
        <f t="shared" si="74"/>
        <v>0</v>
      </c>
      <c r="AG563" s="527">
        <f t="shared" si="75"/>
        <v>125.8</v>
      </c>
      <c r="AH563" s="527"/>
      <c r="AI563" s="639">
        <f t="shared" si="77"/>
        <v>125.8</v>
      </c>
    </row>
    <row r="564" spans="1:35" ht="12.75" customHeight="1" x14ac:dyDescent="0.2">
      <c r="A564" s="527">
        <v>554</v>
      </c>
      <c r="C564" s="533" t="s">
        <v>3554</v>
      </c>
      <c r="E564" s="624" t="s">
        <v>3556</v>
      </c>
      <c r="F564" s="826"/>
      <c r="G564" s="615">
        <v>5800</v>
      </c>
      <c r="K564" s="533" t="s">
        <v>3465</v>
      </c>
      <c r="N564" s="624">
        <v>44779</v>
      </c>
      <c r="U564" s="613">
        <v>1</v>
      </c>
      <c r="W564" s="613">
        <f t="shared" si="70"/>
        <v>1</v>
      </c>
      <c r="AB564" s="527">
        <f t="shared" si="76"/>
        <v>0</v>
      </c>
      <c r="AC564" s="527">
        <f t="shared" si="71"/>
        <v>0</v>
      </c>
      <c r="AD564" s="527">
        <f t="shared" si="72"/>
        <v>0</v>
      </c>
      <c r="AE564" s="527">
        <f t="shared" si="73"/>
        <v>0</v>
      </c>
      <c r="AF564" s="527">
        <f t="shared" si="74"/>
        <v>0</v>
      </c>
      <c r="AG564" s="527">
        <f t="shared" si="75"/>
        <v>5800</v>
      </c>
      <c r="AH564" s="527"/>
      <c r="AI564" s="639">
        <f t="shared" si="77"/>
        <v>5800</v>
      </c>
    </row>
    <row r="565" spans="1:35" ht="12.75" customHeight="1" x14ac:dyDescent="0.2">
      <c r="A565" s="527">
        <v>555</v>
      </c>
      <c r="C565" s="533" t="s">
        <v>3557</v>
      </c>
      <c r="E565" s="527" t="s">
        <v>3559</v>
      </c>
      <c r="F565" s="826"/>
      <c r="G565" s="615">
        <v>249</v>
      </c>
      <c r="H565" s="632">
        <v>203.8</v>
      </c>
      <c r="I565" s="613" t="s">
        <v>1995</v>
      </c>
      <c r="J565" s="617">
        <v>42193</v>
      </c>
      <c r="K565" s="533" t="s">
        <v>3465</v>
      </c>
      <c r="N565" s="624">
        <v>44809</v>
      </c>
      <c r="U565" s="613">
        <v>1</v>
      </c>
      <c r="W565" s="613">
        <f t="shared" si="70"/>
        <v>1</v>
      </c>
      <c r="AB565" s="527">
        <f t="shared" si="76"/>
        <v>0</v>
      </c>
      <c r="AC565" s="527">
        <f t="shared" si="71"/>
        <v>0</v>
      </c>
      <c r="AD565" s="527">
        <f t="shared" si="72"/>
        <v>0</v>
      </c>
      <c r="AE565" s="527">
        <f t="shared" si="73"/>
        <v>0</v>
      </c>
      <c r="AF565" s="527">
        <f t="shared" si="74"/>
        <v>0</v>
      </c>
      <c r="AG565" s="527">
        <f t="shared" si="75"/>
        <v>249</v>
      </c>
      <c r="AH565" s="527"/>
      <c r="AI565" s="639">
        <f t="shared" si="77"/>
        <v>249</v>
      </c>
    </row>
    <row r="566" spans="1:35" ht="12.75" customHeight="1" x14ac:dyDescent="0.2">
      <c r="A566" s="527">
        <v>556</v>
      </c>
      <c r="C566" s="533" t="s">
        <v>3560</v>
      </c>
      <c r="E566" s="527" t="s">
        <v>795</v>
      </c>
      <c r="G566" s="963">
        <v>5.46</v>
      </c>
      <c r="K566" s="533" t="s">
        <v>3465</v>
      </c>
      <c r="N566" s="624">
        <v>44826</v>
      </c>
      <c r="P566" s="911">
        <v>1</v>
      </c>
      <c r="W566" s="613">
        <f t="shared" si="70"/>
        <v>1</v>
      </c>
      <c r="AB566" s="527">
        <f t="shared" si="76"/>
        <v>5.46</v>
      </c>
      <c r="AC566" s="527">
        <f t="shared" si="71"/>
        <v>0</v>
      </c>
      <c r="AD566" s="527">
        <f t="shared" si="72"/>
        <v>0</v>
      </c>
      <c r="AE566" s="527">
        <f t="shared" si="73"/>
        <v>0</v>
      </c>
      <c r="AF566" s="527">
        <f t="shared" si="74"/>
        <v>0</v>
      </c>
      <c r="AG566" s="527">
        <f t="shared" si="75"/>
        <v>0</v>
      </c>
      <c r="AH566" s="527"/>
      <c r="AI566" s="639">
        <f t="shared" si="77"/>
        <v>5.46</v>
      </c>
    </row>
    <row r="567" spans="1:35" ht="12.75" customHeight="1" x14ac:dyDescent="0.2">
      <c r="A567" s="527">
        <v>557</v>
      </c>
      <c r="C567" s="533" t="s">
        <v>3561</v>
      </c>
      <c r="E567" s="527" t="s">
        <v>3567</v>
      </c>
      <c r="G567" s="615">
        <v>365</v>
      </c>
      <c r="K567" s="533" t="s">
        <v>3465</v>
      </c>
      <c r="N567" s="624">
        <v>44835</v>
      </c>
      <c r="U567" s="613">
        <v>1</v>
      </c>
      <c r="W567" s="613">
        <f t="shared" si="70"/>
        <v>1</v>
      </c>
      <c r="AB567" s="527">
        <f t="shared" si="76"/>
        <v>0</v>
      </c>
      <c r="AC567" s="527">
        <f t="shared" si="71"/>
        <v>0</v>
      </c>
      <c r="AD567" s="527">
        <f t="shared" si="72"/>
        <v>0</v>
      </c>
      <c r="AE567" s="527">
        <f t="shared" si="73"/>
        <v>0</v>
      </c>
      <c r="AF567" s="527">
        <f t="shared" si="74"/>
        <v>0</v>
      </c>
      <c r="AG567" s="527">
        <f t="shared" si="75"/>
        <v>365</v>
      </c>
      <c r="AH567" s="527"/>
      <c r="AI567" s="639">
        <f t="shared" si="77"/>
        <v>365</v>
      </c>
    </row>
    <row r="568" spans="1:35" ht="12.75" customHeight="1" x14ac:dyDescent="0.2">
      <c r="A568" s="527">
        <v>558</v>
      </c>
      <c r="C568" s="533" t="s">
        <v>3562</v>
      </c>
      <c r="E568" s="527" t="s">
        <v>3568</v>
      </c>
      <c r="G568">
        <v>9853</v>
      </c>
      <c r="K568" s="533" t="s">
        <v>3465</v>
      </c>
      <c r="N568" s="624">
        <v>44835</v>
      </c>
      <c r="U568" s="613">
        <v>1</v>
      </c>
      <c r="W568" s="613">
        <f t="shared" si="70"/>
        <v>1</v>
      </c>
      <c r="AB568" s="527">
        <f t="shared" si="76"/>
        <v>0</v>
      </c>
      <c r="AC568" s="527">
        <f t="shared" si="71"/>
        <v>0</v>
      </c>
      <c r="AD568" s="527">
        <f t="shared" si="72"/>
        <v>0</v>
      </c>
      <c r="AE568" s="527">
        <f t="shared" si="73"/>
        <v>0</v>
      </c>
      <c r="AF568" s="527">
        <f t="shared" si="74"/>
        <v>0</v>
      </c>
      <c r="AG568" s="527">
        <f t="shared" si="75"/>
        <v>9853</v>
      </c>
      <c r="AH568" s="527"/>
      <c r="AI568" s="639">
        <f t="shared" si="77"/>
        <v>9853</v>
      </c>
    </row>
    <row r="569" spans="1:35" ht="12.75" customHeight="1" x14ac:dyDescent="0.2">
      <c r="A569" s="527">
        <v>559</v>
      </c>
      <c r="C569" s="533" t="s">
        <v>3563</v>
      </c>
      <c r="E569" s="527" t="s">
        <v>3499</v>
      </c>
      <c r="G569" s="615">
        <v>4900</v>
      </c>
      <c r="K569" s="533" t="s">
        <v>3465</v>
      </c>
      <c r="N569" s="624">
        <v>44835</v>
      </c>
      <c r="U569" s="613">
        <v>1</v>
      </c>
      <c r="W569" s="613">
        <f t="shared" si="70"/>
        <v>1</v>
      </c>
      <c r="AB569" s="527">
        <f t="shared" si="76"/>
        <v>0</v>
      </c>
      <c r="AC569" s="527">
        <f t="shared" si="71"/>
        <v>0</v>
      </c>
      <c r="AD569" s="527">
        <f t="shared" si="72"/>
        <v>0</v>
      </c>
      <c r="AE569" s="527">
        <f t="shared" si="73"/>
        <v>0</v>
      </c>
      <c r="AF569" s="527">
        <f t="shared" si="74"/>
        <v>0</v>
      </c>
      <c r="AG569" s="527">
        <f t="shared" si="75"/>
        <v>4900</v>
      </c>
      <c r="AH569" s="527"/>
      <c r="AI569" s="639">
        <f t="shared" si="77"/>
        <v>4900</v>
      </c>
    </row>
    <row r="570" spans="1:35" ht="12.75" customHeight="1" x14ac:dyDescent="0.2">
      <c r="A570" s="527">
        <v>560</v>
      </c>
      <c r="C570" s="533" t="s">
        <v>3564</v>
      </c>
      <c r="E570" s="527" t="s">
        <v>3569</v>
      </c>
      <c r="G570" s="615">
        <v>38</v>
      </c>
      <c r="K570" s="533" t="s">
        <v>3465</v>
      </c>
      <c r="N570" s="624">
        <v>44835</v>
      </c>
      <c r="U570" s="613">
        <v>1</v>
      </c>
      <c r="W570" s="613">
        <f t="shared" si="70"/>
        <v>1</v>
      </c>
      <c r="AB570" s="527">
        <f t="shared" si="76"/>
        <v>0</v>
      </c>
      <c r="AC570" s="527">
        <f t="shared" si="71"/>
        <v>0</v>
      </c>
      <c r="AD570" s="527">
        <f t="shared" si="72"/>
        <v>0</v>
      </c>
      <c r="AE570" s="527">
        <f t="shared" si="73"/>
        <v>0</v>
      </c>
      <c r="AF570" s="527">
        <f t="shared" si="74"/>
        <v>0</v>
      </c>
      <c r="AG570" s="527">
        <f t="shared" si="75"/>
        <v>38</v>
      </c>
      <c r="AH570" s="527"/>
      <c r="AI570" s="639">
        <f t="shared" si="77"/>
        <v>38</v>
      </c>
    </row>
    <row r="571" spans="1:35" ht="12.75" customHeight="1" x14ac:dyDescent="0.2">
      <c r="A571" s="527">
        <v>561</v>
      </c>
      <c r="C571" s="533" t="s">
        <v>3565</v>
      </c>
      <c r="E571" s="527" t="s">
        <v>3570</v>
      </c>
      <c r="G571" s="615">
        <v>68</v>
      </c>
      <c r="K571" s="533" t="s">
        <v>3465</v>
      </c>
      <c r="N571" s="624">
        <v>44835</v>
      </c>
      <c r="U571" s="613">
        <v>1</v>
      </c>
      <c r="W571" s="613">
        <f t="shared" si="70"/>
        <v>1</v>
      </c>
      <c r="AB571" s="527">
        <f t="shared" si="76"/>
        <v>0</v>
      </c>
      <c r="AC571" s="527">
        <f t="shared" si="71"/>
        <v>0</v>
      </c>
      <c r="AD571" s="527">
        <f t="shared" si="72"/>
        <v>0</v>
      </c>
      <c r="AE571" s="527">
        <f t="shared" si="73"/>
        <v>0</v>
      </c>
      <c r="AF571" s="527">
        <f t="shared" si="74"/>
        <v>0</v>
      </c>
      <c r="AG571" s="527">
        <f t="shared" si="75"/>
        <v>68</v>
      </c>
      <c r="AH571" s="527"/>
      <c r="AI571" s="639">
        <f t="shared" si="77"/>
        <v>68</v>
      </c>
    </row>
    <row r="572" spans="1:35" ht="12.75" customHeight="1" x14ac:dyDescent="0.2">
      <c r="A572" s="527">
        <v>562</v>
      </c>
      <c r="C572" s="533" t="s">
        <v>3566</v>
      </c>
      <c r="E572" s="527" t="s">
        <v>3571</v>
      </c>
      <c r="G572" s="615">
        <v>5800</v>
      </c>
      <c r="K572" s="533" t="s">
        <v>3465</v>
      </c>
      <c r="N572" s="624">
        <v>44835</v>
      </c>
      <c r="U572" s="613">
        <v>1</v>
      </c>
      <c r="W572" s="613">
        <f t="shared" si="70"/>
        <v>1</v>
      </c>
      <c r="AB572" s="527">
        <f t="shared" si="76"/>
        <v>0</v>
      </c>
      <c r="AC572" s="527">
        <f t="shared" si="71"/>
        <v>0</v>
      </c>
      <c r="AD572" s="527">
        <f t="shared" si="72"/>
        <v>0</v>
      </c>
      <c r="AE572" s="527">
        <f t="shared" si="73"/>
        <v>0</v>
      </c>
      <c r="AF572" s="527">
        <f t="shared" si="74"/>
        <v>0</v>
      </c>
      <c r="AG572" s="527">
        <f t="shared" si="75"/>
        <v>5800</v>
      </c>
      <c r="AH572" s="527"/>
      <c r="AI572" s="639">
        <f t="shared" si="77"/>
        <v>5800</v>
      </c>
    </row>
    <row r="573" spans="1:35" ht="12.75" customHeight="1" x14ac:dyDescent="0.2">
      <c r="A573" s="527">
        <v>563</v>
      </c>
      <c r="C573" s="533" t="s">
        <v>3572</v>
      </c>
      <c r="E573" s="527" t="s">
        <v>3577</v>
      </c>
      <c r="G573" s="615">
        <v>7208</v>
      </c>
      <c r="K573" s="533" t="s">
        <v>3465</v>
      </c>
      <c r="N573" s="624">
        <v>44856</v>
      </c>
      <c r="U573" s="613">
        <v>1</v>
      </c>
      <c r="W573" s="613">
        <f t="shared" ref="W573:W636" si="78">SUM(P573:V573)</f>
        <v>1</v>
      </c>
      <c r="AB573" s="527">
        <f t="shared" si="76"/>
        <v>0</v>
      </c>
      <c r="AC573" s="527">
        <f t="shared" si="71"/>
        <v>0</v>
      </c>
      <c r="AD573" s="527">
        <f t="shared" si="72"/>
        <v>0</v>
      </c>
      <c r="AE573" s="527">
        <f t="shared" si="73"/>
        <v>0</v>
      </c>
      <c r="AF573" s="527">
        <f t="shared" si="74"/>
        <v>0</v>
      </c>
      <c r="AG573" s="527">
        <f t="shared" si="75"/>
        <v>7208</v>
      </c>
      <c r="AH573" s="527"/>
      <c r="AI573" s="639">
        <f t="shared" si="77"/>
        <v>7208</v>
      </c>
    </row>
    <row r="574" spans="1:35" ht="12.75" customHeight="1" x14ac:dyDescent="0.2">
      <c r="A574" s="527">
        <v>564</v>
      </c>
      <c r="C574" s="533" t="s">
        <v>3573</v>
      </c>
      <c r="E574" s="527" t="s">
        <v>3569</v>
      </c>
      <c r="G574" s="615">
        <v>69</v>
      </c>
      <c r="K574" s="533" t="s">
        <v>3465</v>
      </c>
      <c r="N574" s="624">
        <v>44856</v>
      </c>
      <c r="U574" s="613">
        <v>1</v>
      </c>
      <c r="W574" s="613">
        <f t="shared" si="78"/>
        <v>1</v>
      </c>
      <c r="AB574" s="527">
        <f t="shared" si="76"/>
        <v>0</v>
      </c>
      <c r="AC574" s="527">
        <f t="shared" si="71"/>
        <v>0</v>
      </c>
      <c r="AD574" s="527">
        <f t="shared" si="72"/>
        <v>0</v>
      </c>
      <c r="AE574" s="527">
        <f t="shared" si="73"/>
        <v>0</v>
      </c>
      <c r="AF574" s="527">
        <f t="shared" si="74"/>
        <v>0</v>
      </c>
      <c r="AG574" s="527">
        <f t="shared" si="75"/>
        <v>69</v>
      </c>
      <c r="AH574" s="527"/>
      <c r="AI574" s="639">
        <f t="shared" si="77"/>
        <v>69</v>
      </c>
    </row>
    <row r="575" spans="1:35" ht="12.75" customHeight="1" x14ac:dyDescent="0.2">
      <c r="A575" s="527">
        <v>565</v>
      </c>
      <c r="C575" s="533" t="s">
        <v>3574</v>
      </c>
      <c r="E575" s="527" t="s">
        <v>3403</v>
      </c>
      <c r="G575" s="615">
        <v>113</v>
      </c>
      <c r="K575" s="533" t="s">
        <v>3465</v>
      </c>
      <c r="N575" s="624">
        <v>44856</v>
      </c>
      <c r="U575" s="613">
        <v>1</v>
      </c>
      <c r="W575" s="613">
        <f t="shared" si="78"/>
        <v>1</v>
      </c>
      <c r="AB575" s="527">
        <f t="shared" si="76"/>
        <v>0</v>
      </c>
      <c r="AC575" s="527">
        <f t="shared" si="71"/>
        <v>0</v>
      </c>
      <c r="AD575" s="527">
        <f t="shared" si="72"/>
        <v>0</v>
      </c>
      <c r="AE575" s="527">
        <f t="shared" si="73"/>
        <v>0</v>
      </c>
      <c r="AF575" s="527">
        <f t="shared" si="74"/>
        <v>0</v>
      </c>
      <c r="AG575" s="527">
        <f t="shared" si="75"/>
        <v>113</v>
      </c>
      <c r="AH575" s="527"/>
      <c r="AI575" s="639">
        <f t="shared" si="77"/>
        <v>113</v>
      </c>
    </row>
    <row r="576" spans="1:35" ht="12.75" customHeight="1" x14ac:dyDescent="0.2">
      <c r="A576" s="527">
        <v>566</v>
      </c>
      <c r="C576" s="533" t="s">
        <v>3575</v>
      </c>
      <c r="E576" s="527" t="s">
        <v>3578</v>
      </c>
      <c r="G576" s="615">
        <v>905</v>
      </c>
      <c r="K576" s="533" t="s">
        <v>3465</v>
      </c>
      <c r="N576" s="624">
        <v>44856</v>
      </c>
      <c r="U576" s="613">
        <v>1</v>
      </c>
      <c r="W576" s="613">
        <f t="shared" si="78"/>
        <v>1</v>
      </c>
      <c r="AB576" s="527">
        <f t="shared" si="76"/>
        <v>0</v>
      </c>
      <c r="AC576" s="527">
        <f t="shared" si="71"/>
        <v>0</v>
      </c>
      <c r="AD576" s="527">
        <f t="shared" si="72"/>
        <v>0</v>
      </c>
      <c r="AE576" s="527">
        <f t="shared" si="73"/>
        <v>0</v>
      </c>
      <c r="AF576" s="527">
        <f t="shared" si="74"/>
        <v>0</v>
      </c>
      <c r="AG576" s="527">
        <f t="shared" si="75"/>
        <v>905</v>
      </c>
      <c r="AH576" s="527"/>
      <c r="AI576" s="639">
        <f t="shared" si="77"/>
        <v>905</v>
      </c>
    </row>
    <row r="577" spans="1:37" ht="12.75" customHeight="1" x14ac:dyDescent="0.2">
      <c r="A577" s="527">
        <v>567</v>
      </c>
      <c r="C577" s="533" t="s">
        <v>3576</v>
      </c>
      <c r="E577" s="527" t="s">
        <v>3579</v>
      </c>
      <c r="G577" s="615">
        <v>365</v>
      </c>
      <c r="K577" s="533" t="s">
        <v>3465</v>
      </c>
      <c r="N577" s="624">
        <v>44856</v>
      </c>
      <c r="U577" s="613">
        <v>1</v>
      </c>
      <c r="W577" s="613">
        <f t="shared" si="78"/>
        <v>1</v>
      </c>
      <c r="AB577" s="527">
        <f t="shared" si="76"/>
        <v>0</v>
      </c>
      <c r="AC577" s="527">
        <f t="shared" si="71"/>
        <v>0</v>
      </c>
      <c r="AD577" s="527">
        <f t="shared" si="72"/>
        <v>0</v>
      </c>
      <c r="AE577" s="527">
        <f t="shared" si="73"/>
        <v>0</v>
      </c>
      <c r="AF577" s="527">
        <f t="shared" si="74"/>
        <v>0</v>
      </c>
      <c r="AG577" s="527">
        <f t="shared" si="75"/>
        <v>365</v>
      </c>
      <c r="AH577" s="527"/>
      <c r="AI577" s="639">
        <f t="shared" si="77"/>
        <v>365</v>
      </c>
    </row>
    <row r="578" spans="1:37" ht="12.75" customHeight="1" x14ac:dyDescent="0.2">
      <c r="A578" s="527">
        <v>568</v>
      </c>
      <c r="C578" s="533" t="s">
        <v>3581</v>
      </c>
      <c r="E578" s="527" t="s">
        <v>3588</v>
      </c>
      <c r="G578" s="615">
        <v>2187</v>
      </c>
      <c r="K578" s="533" t="s">
        <v>3465</v>
      </c>
      <c r="N578" s="624">
        <v>44877</v>
      </c>
      <c r="U578" s="613">
        <v>1</v>
      </c>
      <c r="W578" s="613">
        <f t="shared" si="78"/>
        <v>1</v>
      </c>
      <c r="AB578" s="527">
        <f t="shared" si="76"/>
        <v>0</v>
      </c>
      <c r="AC578" s="527">
        <f t="shared" ref="AC578:AC614" si="79">IF(Q578=1,$G578,0)</f>
        <v>0</v>
      </c>
      <c r="AD578" s="527">
        <f t="shared" ref="AD578:AD614" si="80">IF(R578=1,$G578,0)</f>
        <v>0</v>
      </c>
      <c r="AE578" s="527">
        <f t="shared" ref="AE578:AE614" si="81">IF(S578=1,$G578,0)</f>
        <v>0</v>
      </c>
      <c r="AF578" s="527">
        <f t="shared" ref="AF578:AF614" si="82">IF(T578=1,$G578,0)</f>
        <v>0</v>
      </c>
      <c r="AG578" s="527">
        <f t="shared" ref="AG578:AG615" si="83">IF(U578=1,$G578,0)</f>
        <v>2187</v>
      </c>
      <c r="AH578" s="527"/>
      <c r="AI578" s="639">
        <f t="shared" si="77"/>
        <v>2187</v>
      </c>
      <c r="AK578" s="778">
        <v>1</v>
      </c>
    </row>
    <row r="579" spans="1:37" ht="12.75" customHeight="1" x14ac:dyDescent="0.2">
      <c r="A579" s="527">
        <v>569</v>
      </c>
      <c r="C579" s="533" t="s">
        <v>3582</v>
      </c>
      <c r="E579" s="527" t="s">
        <v>3589</v>
      </c>
      <c r="G579" s="615">
        <v>10000</v>
      </c>
      <c r="K579" s="533" t="s">
        <v>3465</v>
      </c>
      <c r="N579" s="624">
        <v>44877</v>
      </c>
      <c r="U579" s="613">
        <v>1</v>
      </c>
      <c r="W579" s="613">
        <f t="shared" si="78"/>
        <v>1</v>
      </c>
      <c r="AB579" s="527">
        <f t="shared" ref="AB579:AB614" si="84">IF(P579=1,$G579,0)</f>
        <v>0</v>
      </c>
      <c r="AC579" s="527">
        <f t="shared" si="79"/>
        <v>0</v>
      </c>
      <c r="AD579" s="527">
        <f t="shared" si="80"/>
        <v>0</v>
      </c>
      <c r="AE579" s="527">
        <f t="shared" si="81"/>
        <v>0</v>
      </c>
      <c r="AF579" s="527">
        <f t="shared" si="82"/>
        <v>0</v>
      </c>
      <c r="AG579" s="527">
        <f t="shared" si="83"/>
        <v>10000</v>
      </c>
      <c r="AH579" s="527"/>
      <c r="AI579" s="639">
        <f t="shared" si="77"/>
        <v>10000</v>
      </c>
    </row>
    <row r="580" spans="1:37" ht="12.75" customHeight="1" x14ac:dyDescent="0.2">
      <c r="A580" s="527">
        <v>570</v>
      </c>
      <c r="C580" s="533" t="s">
        <v>3590</v>
      </c>
      <c r="E580" s="527" t="s">
        <v>3591</v>
      </c>
      <c r="G580" s="972">
        <v>11.73</v>
      </c>
      <c r="K580" s="533" t="s">
        <v>3465</v>
      </c>
      <c r="N580" s="624">
        <v>44877</v>
      </c>
      <c r="P580" s="911">
        <v>1</v>
      </c>
      <c r="W580" s="613">
        <f t="shared" si="78"/>
        <v>1</v>
      </c>
      <c r="AB580" s="527">
        <f t="shared" si="84"/>
        <v>11.73</v>
      </c>
      <c r="AC580" s="527">
        <f t="shared" si="79"/>
        <v>0</v>
      </c>
      <c r="AD580" s="527">
        <f t="shared" si="80"/>
        <v>0</v>
      </c>
      <c r="AE580" s="527">
        <f t="shared" si="81"/>
        <v>0</v>
      </c>
      <c r="AF580" s="527">
        <f t="shared" si="82"/>
        <v>0</v>
      </c>
      <c r="AG580" s="527">
        <f t="shared" si="83"/>
        <v>0</v>
      </c>
      <c r="AH580" s="527"/>
      <c r="AI580" s="639">
        <f t="shared" si="77"/>
        <v>11.73</v>
      </c>
    </row>
    <row r="581" spans="1:37" ht="12.75" customHeight="1" x14ac:dyDescent="0.2">
      <c r="A581" s="527">
        <v>571</v>
      </c>
      <c r="C581" s="533" t="s">
        <v>3583</v>
      </c>
      <c r="E581" s="527" t="s">
        <v>3595</v>
      </c>
      <c r="G581" s="615">
        <v>1021</v>
      </c>
      <c r="K581" s="533" t="s">
        <v>3465</v>
      </c>
      <c r="N581" s="624">
        <v>44877</v>
      </c>
      <c r="U581" s="613">
        <v>1</v>
      </c>
      <c r="W581" s="613">
        <f t="shared" si="78"/>
        <v>1</v>
      </c>
      <c r="AB581" s="527">
        <f t="shared" si="84"/>
        <v>0</v>
      </c>
      <c r="AC581" s="527">
        <f t="shared" si="79"/>
        <v>0</v>
      </c>
      <c r="AD581" s="527">
        <f t="shared" si="80"/>
        <v>0</v>
      </c>
      <c r="AE581" s="527">
        <f t="shared" si="81"/>
        <v>0</v>
      </c>
      <c r="AF581" s="527">
        <f t="shared" si="82"/>
        <v>0</v>
      </c>
      <c r="AG581" s="527">
        <f t="shared" si="83"/>
        <v>1021</v>
      </c>
      <c r="AH581" s="527"/>
      <c r="AI581" s="639">
        <f t="shared" si="77"/>
        <v>1021</v>
      </c>
    </row>
    <row r="582" spans="1:37" ht="12.75" customHeight="1" x14ac:dyDescent="0.2">
      <c r="A582" s="527">
        <v>572</v>
      </c>
      <c r="C582" s="533" t="s">
        <v>3584</v>
      </c>
      <c r="E582" s="527" t="s">
        <v>3592</v>
      </c>
      <c r="G582" s="615">
        <v>17840</v>
      </c>
      <c r="K582" s="533" t="s">
        <v>3465</v>
      </c>
      <c r="N582" s="624">
        <v>44877</v>
      </c>
      <c r="U582" s="613">
        <v>1</v>
      </c>
      <c r="W582" s="613">
        <f t="shared" si="78"/>
        <v>1</v>
      </c>
      <c r="AB582" s="527">
        <f t="shared" si="84"/>
        <v>0</v>
      </c>
      <c r="AC582" s="527">
        <f t="shared" si="79"/>
        <v>0</v>
      </c>
      <c r="AD582" s="527">
        <f t="shared" si="80"/>
        <v>0</v>
      </c>
      <c r="AE582" s="527">
        <f t="shared" si="81"/>
        <v>0</v>
      </c>
      <c r="AF582" s="527">
        <f t="shared" si="82"/>
        <v>0</v>
      </c>
      <c r="AG582" s="527">
        <f t="shared" si="83"/>
        <v>17840</v>
      </c>
      <c r="AH582" s="527"/>
      <c r="AI582" s="639">
        <f t="shared" si="77"/>
        <v>17840</v>
      </c>
    </row>
    <row r="583" spans="1:37" ht="12.75" customHeight="1" x14ac:dyDescent="0.2">
      <c r="A583" s="527">
        <v>573</v>
      </c>
      <c r="C583" s="533" t="s">
        <v>3585</v>
      </c>
      <c r="E583" s="527" t="s">
        <v>3589</v>
      </c>
      <c r="G583" s="615">
        <v>45000</v>
      </c>
      <c r="K583" s="533" t="s">
        <v>3465</v>
      </c>
      <c r="N583" s="624">
        <v>44877</v>
      </c>
      <c r="U583" s="613">
        <v>1</v>
      </c>
      <c r="W583" s="613">
        <f t="shared" si="78"/>
        <v>1</v>
      </c>
      <c r="AB583" s="527">
        <f t="shared" si="84"/>
        <v>0</v>
      </c>
      <c r="AC583" s="527">
        <f t="shared" si="79"/>
        <v>0</v>
      </c>
      <c r="AD583" s="527">
        <f t="shared" si="80"/>
        <v>0</v>
      </c>
      <c r="AE583" s="527">
        <f t="shared" si="81"/>
        <v>0</v>
      </c>
      <c r="AF583" s="527">
        <f t="shared" si="82"/>
        <v>0</v>
      </c>
      <c r="AG583" s="527">
        <f t="shared" si="83"/>
        <v>45000</v>
      </c>
      <c r="AH583" s="527"/>
      <c r="AI583" s="639">
        <f t="shared" ref="AI583:AI615" si="85">G583</f>
        <v>45000</v>
      </c>
    </row>
    <row r="584" spans="1:37" ht="12.75" customHeight="1" x14ac:dyDescent="0.2">
      <c r="A584" s="527">
        <v>574</v>
      </c>
      <c r="C584" s="533" t="s">
        <v>3586</v>
      </c>
      <c r="E584" s="527" t="s">
        <v>3593</v>
      </c>
      <c r="G584" s="615">
        <v>1670</v>
      </c>
      <c r="K584" s="533" t="s">
        <v>3465</v>
      </c>
      <c r="N584" s="624">
        <v>44877</v>
      </c>
      <c r="U584" s="613">
        <v>1</v>
      </c>
      <c r="W584" s="613">
        <f t="shared" si="78"/>
        <v>1</v>
      </c>
      <c r="AB584" s="527">
        <f t="shared" si="84"/>
        <v>0</v>
      </c>
      <c r="AC584" s="527">
        <f t="shared" si="79"/>
        <v>0</v>
      </c>
      <c r="AD584" s="527">
        <f t="shared" si="80"/>
        <v>0</v>
      </c>
      <c r="AE584" s="527">
        <f t="shared" si="81"/>
        <v>0</v>
      </c>
      <c r="AF584" s="527">
        <f t="shared" si="82"/>
        <v>0</v>
      </c>
      <c r="AG584" s="527">
        <f t="shared" si="83"/>
        <v>1670</v>
      </c>
      <c r="AH584" s="527"/>
      <c r="AI584" s="639">
        <f t="shared" si="85"/>
        <v>1670</v>
      </c>
    </row>
    <row r="585" spans="1:37" ht="12.75" customHeight="1" x14ac:dyDescent="0.2">
      <c r="A585" s="527">
        <v>575</v>
      </c>
      <c r="C585" s="533" t="s">
        <v>3587</v>
      </c>
      <c r="E585" s="527" t="s">
        <v>3594</v>
      </c>
      <c r="G585" s="615">
        <v>209</v>
      </c>
      <c r="K585" s="533" t="s">
        <v>3465</v>
      </c>
      <c r="N585" s="624">
        <v>44877</v>
      </c>
      <c r="U585" s="613">
        <v>1</v>
      </c>
      <c r="W585" s="613">
        <f t="shared" si="78"/>
        <v>1</v>
      </c>
      <c r="AB585" s="527">
        <f t="shared" si="84"/>
        <v>0</v>
      </c>
      <c r="AC585" s="527">
        <f t="shared" si="79"/>
        <v>0</v>
      </c>
      <c r="AD585" s="527">
        <f t="shared" si="80"/>
        <v>0</v>
      </c>
      <c r="AE585" s="527">
        <f t="shared" si="81"/>
        <v>0</v>
      </c>
      <c r="AF585" s="527">
        <f t="shared" si="82"/>
        <v>0</v>
      </c>
      <c r="AG585" s="527">
        <f t="shared" si="83"/>
        <v>209</v>
      </c>
      <c r="AH585" s="527"/>
      <c r="AI585" s="639">
        <f t="shared" si="85"/>
        <v>209</v>
      </c>
    </row>
    <row r="586" spans="1:37" ht="12.75" customHeight="1" x14ac:dyDescent="0.2">
      <c r="A586" s="527">
        <v>576</v>
      </c>
      <c r="C586" s="533" t="s">
        <v>3600</v>
      </c>
      <c r="E586" s="527" t="s">
        <v>3601</v>
      </c>
      <c r="G586" s="615">
        <v>35</v>
      </c>
      <c r="K586" s="533" t="s">
        <v>3465</v>
      </c>
      <c r="N586" s="624">
        <v>44884</v>
      </c>
      <c r="U586" s="613">
        <v>1</v>
      </c>
      <c r="W586" s="613">
        <f t="shared" si="78"/>
        <v>1</v>
      </c>
      <c r="AB586" s="527">
        <f t="shared" si="84"/>
        <v>0</v>
      </c>
      <c r="AC586" s="527">
        <f t="shared" si="79"/>
        <v>0</v>
      </c>
      <c r="AD586" s="527">
        <f t="shared" si="80"/>
        <v>0</v>
      </c>
      <c r="AE586" s="527">
        <f t="shared" si="81"/>
        <v>0</v>
      </c>
      <c r="AF586" s="527">
        <f t="shared" si="82"/>
        <v>0</v>
      </c>
      <c r="AG586" s="527">
        <f t="shared" si="83"/>
        <v>35</v>
      </c>
      <c r="AH586" s="527"/>
      <c r="AI586" s="639">
        <f t="shared" si="85"/>
        <v>35</v>
      </c>
    </row>
    <row r="587" spans="1:37" ht="12.75" customHeight="1" x14ac:dyDescent="0.2">
      <c r="A587" s="527">
        <v>577</v>
      </c>
      <c r="C587" s="533" t="s">
        <v>3603</v>
      </c>
      <c r="E587" s="527" t="s">
        <v>3602</v>
      </c>
      <c r="G587" s="615">
        <v>636</v>
      </c>
      <c r="K587" s="533" t="s">
        <v>3465</v>
      </c>
      <c r="N587" s="624">
        <v>44884</v>
      </c>
      <c r="U587" s="613">
        <v>1</v>
      </c>
      <c r="W587" s="613">
        <f t="shared" si="78"/>
        <v>1</v>
      </c>
      <c r="AB587" s="527">
        <f t="shared" si="84"/>
        <v>0</v>
      </c>
      <c r="AC587" s="527">
        <f t="shared" si="79"/>
        <v>0</v>
      </c>
      <c r="AD587" s="527">
        <f t="shared" si="80"/>
        <v>0</v>
      </c>
      <c r="AE587" s="527">
        <f t="shared" si="81"/>
        <v>0</v>
      </c>
      <c r="AF587" s="527">
        <f t="shared" si="82"/>
        <v>0</v>
      </c>
      <c r="AG587" s="527">
        <f t="shared" si="83"/>
        <v>636</v>
      </c>
      <c r="AH587" s="527"/>
      <c r="AI587" s="639">
        <f t="shared" si="85"/>
        <v>636</v>
      </c>
    </row>
    <row r="588" spans="1:37" ht="12.75" customHeight="1" x14ac:dyDescent="0.2">
      <c r="A588" s="527">
        <v>578</v>
      </c>
      <c r="C588" s="533" t="s">
        <v>3596</v>
      </c>
      <c r="E588" s="527" t="s">
        <v>3505</v>
      </c>
      <c r="G588" s="615">
        <v>4016</v>
      </c>
      <c r="K588" s="533" t="s">
        <v>3465</v>
      </c>
      <c r="N588" s="624">
        <v>44899</v>
      </c>
      <c r="U588" s="613">
        <v>1</v>
      </c>
      <c r="W588" s="613">
        <f t="shared" si="78"/>
        <v>1</v>
      </c>
      <c r="AB588" s="527">
        <f t="shared" si="84"/>
        <v>0</v>
      </c>
      <c r="AC588" s="527">
        <f t="shared" si="79"/>
        <v>0</v>
      </c>
      <c r="AD588" s="527">
        <f t="shared" si="80"/>
        <v>0</v>
      </c>
      <c r="AE588" s="527">
        <f t="shared" si="81"/>
        <v>0</v>
      </c>
      <c r="AF588" s="527">
        <f t="shared" si="82"/>
        <v>0</v>
      </c>
      <c r="AG588" s="527">
        <f t="shared" si="83"/>
        <v>4016</v>
      </c>
      <c r="AH588" s="527"/>
      <c r="AI588" s="639">
        <f t="shared" si="85"/>
        <v>4016</v>
      </c>
    </row>
    <row r="589" spans="1:37" ht="12.75" customHeight="1" x14ac:dyDescent="0.2">
      <c r="A589" s="527">
        <v>579</v>
      </c>
      <c r="C589" s="533" t="s">
        <v>3597</v>
      </c>
      <c r="E589" s="527" t="s">
        <v>3599</v>
      </c>
      <c r="G589" s="615">
        <v>2238</v>
      </c>
      <c r="K589" s="533" t="s">
        <v>3465</v>
      </c>
      <c r="N589" s="624">
        <v>44899</v>
      </c>
      <c r="U589" s="613">
        <v>1</v>
      </c>
      <c r="W589" s="613">
        <f t="shared" si="78"/>
        <v>1</v>
      </c>
      <c r="AB589" s="527">
        <f t="shared" si="84"/>
        <v>0</v>
      </c>
      <c r="AC589" s="527">
        <f t="shared" si="79"/>
        <v>0</v>
      </c>
      <c r="AD589" s="527">
        <f t="shared" si="80"/>
        <v>0</v>
      </c>
      <c r="AE589" s="527">
        <f t="shared" si="81"/>
        <v>0</v>
      </c>
      <c r="AF589" s="527">
        <f t="shared" si="82"/>
        <v>0</v>
      </c>
      <c r="AG589" s="527">
        <f t="shared" si="83"/>
        <v>2238</v>
      </c>
      <c r="AH589" s="527"/>
      <c r="AI589" s="639">
        <f t="shared" si="85"/>
        <v>2238</v>
      </c>
    </row>
    <row r="590" spans="1:37" ht="12.75" customHeight="1" x14ac:dyDescent="0.2">
      <c r="A590" s="527">
        <v>580</v>
      </c>
      <c r="C590" s="533" t="s">
        <v>3598</v>
      </c>
      <c r="E590" s="527" t="s">
        <v>3593</v>
      </c>
      <c r="G590" s="615">
        <v>1300</v>
      </c>
      <c r="K590" s="533" t="s">
        <v>3465</v>
      </c>
      <c r="N590" s="624">
        <v>44899</v>
      </c>
      <c r="U590" s="613">
        <v>1</v>
      </c>
      <c r="W590" s="613">
        <f t="shared" si="78"/>
        <v>1</v>
      </c>
      <c r="AB590" s="527">
        <f t="shared" si="84"/>
        <v>0</v>
      </c>
      <c r="AC590" s="527">
        <f t="shared" si="79"/>
        <v>0</v>
      </c>
      <c r="AD590" s="527">
        <f t="shared" si="80"/>
        <v>0</v>
      </c>
      <c r="AE590" s="527">
        <f t="shared" si="81"/>
        <v>0</v>
      </c>
      <c r="AF590" s="527">
        <f t="shared" si="82"/>
        <v>0</v>
      </c>
      <c r="AG590" s="527">
        <f t="shared" si="83"/>
        <v>1300</v>
      </c>
      <c r="AH590" s="527"/>
      <c r="AI590" s="639">
        <f t="shared" si="85"/>
        <v>1300</v>
      </c>
    </row>
    <row r="591" spans="1:37" ht="12.75" customHeight="1" x14ac:dyDescent="0.2">
      <c r="A591" s="527">
        <v>581</v>
      </c>
      <c r="C591" s="533" t="s">
        <v>3604</v>
      </c>
      <c r="E591" s="527" t="s">
        <v>3607</v>
      </c>
      <c r="F591" s="615" t="s">
        <v>3608</v>
      </c>
      <c r="G591" s="615">
        <v>4125</v>
      </c>
      <c r="K591" s="533" t="s">
        <v>3465</v>
      </c>
      <c r="N591" s="624">
        <v>44906</v>
      </c>
      <c r="U591" s="613">
        <v>1</v>
      </c>
      <c r="W591" s="613">
        <f t="shared" si="78"/>
        <v>1</v>
      </c>
      <c r="AB591" s="527">
        <f t="shared" si="84"/>
        <v>0</v>
      </c>
      <c r="AC591" s="527">
        <f t="shared" si="79"/>
        <v>0</v>
      </c>
      <c r="AD591" s="527">
        <f t="shared" si="80"/>
        <v>0</v>
      </c>
      <c r="AE591" s="527">
        <f t="shared" si="81"/>
        <v>0</v>
      </c>
      <c r="AF591" s="527">
        <f t="shared" si="82"/>
        <v>0</v>
      </c>
      <c r="AG591" s="527">
        <f t="shared" si="83"/>
        <v>4125</v>
      </c>
      <c r="AH591" s="527"/>
      <c r="AI591" s="639">
        <f t="shared" si="85"/>
        <v>4125</v>
      </c>
    </row>
    <row r="592" spans="1:37" ht="12.75" customHeight="1" x14ac:dyDescent="0.2">
      <c r="A592" s="527">
        <v>582</v>
      </c>
      <c r="C592" s="533" t="s">
        <v>3605</v>
      </c>
      <c r="E592" s="527" t="s">
        <v>3601</v>
      </c>
      <c r="G592" s="973">
        <v>16</v>
      </c>
      <c r="K592" s="533" t="s">
        <v>3465</v>
      </c>
      <c r="N592" s="624">
        <v>44906</v>
      </c>
      <c r="U592" s="613">
        <v>1</v>
      </c>
      <c r="W592" s="613">
        <f t="shared" si="78"/>
        <v>1</v>
      </c>
      <c r="AB592" s="527">
        <f t="shared" si="84"/>
        <v>0</v>
      </c>
      <c r="AC592" s="527">
        <f t="shared" si="79"/>
        <v>0</v>
      </c>
      <c r="AD592" s="527">
        <f t="shared" si="80"/>
        <v>0</v>
      </c>
      <c r="AE592" s="527">
        <f t="shared" si="81"/>
        <v>0</v>
      </c>
      <c r="AF592" s="527">
        <f t="shared" si="82"/>
        <v>0</v>
      </c>
      <c r="AG592" s="527">
        <f t="shared" si="83"/>
        <v>16</v>
      </c>
      <c r="AH592" s="527"/>
      <c r="AI592" s="639">
        <f t="shared" si="85"/>
        <v>16</v>
      </c>
      <c r="AK592" s="778">
        <v>117</v>
      </c>
    </row>
    <row r="593" spans="1:37" ht="12.75" customHeight="1" x14ac:dyDescent="0.2">
      <c r="A593" s="527">
        <v>583</v>
      </c>
      <c r="C593" s="533" t="s">
        <v>3606</v>
      </c>
      <c r="E593" s="624" t="s">
        <v>3550</v>
      </c>
      <c r="G593" s="963">
        <v>72.930000000000007</v>
      </c>
      <c r="K593" s="533" t="s">
        <v>3465</v>
      </c>
      <c r="N593" s="624">
        <v>44906</v>
      </c>
      <c r="U593" s="613">
        <v>1</v>
      </c>
      <c r="W593" s="613">
        <f t="shared" si="78"/>
        <v>1</v>
      </c>
      <c r="AB593" s="527">
        <f t="shared" si="84"/>
        <v>0</v>
      </c>
      <c r="AC593" s="527">
        <f t="shared" si="79"/>
        <v>0</v>
      </c>
      <c r="AD593" s="527">
        <f t="shared" si="80"/>
        <v>0</v>
      </c>
      <c r="AE593" s="527">
        <f t="shared" si="81"/>
        <v>0</v>
      </c>
      <c r="AF593" s="527">
        <f t="shared" si="82"/>
        <v>0</v>
      </c>
      <c r="AG593" s="527">
        <f t="shared" si="83"/>
        <v>72.930000000000007</v>
      </c>
      <c r="AH593" s="527"/>
      <c r="AI593" s="639">
        <f t="shared" si="85"/>
        <v>72.930000000000007</v>
      </c>
      <c r="AK593" s="778">
        <v>5.7</v>
      </c>
    </row>
    <row r="594" spans="1:37" ht="12.75" customHeight="1" x14ac:dyDescent="0.2">
      <c r="A594" s="527">
        <v>584</v>
      </c>
      <c r="C594" s="533" t="s">
        <v>3609</v>
      </c>
      <c r="E594" s="527" t="s">
        <v>3594</v>
      </c>
      <c r="G594" s="615">
        <v>467</v>
      </c>
      <c r="K594" s="533" t="s">
        <v>3465</v>
      </c>
      <c r="N594" s="624">
        <v>44915</v>
      </c>
      <c r="U594" s="613">
        <v>1</v>
      </c>
      <c r="W594" s="613">
        <f t="shared" si="78"/>
        <v>1</v>
      </c>
      <c r="AB594" s="527">
        <f t="shared" si="84"/>
        <v>0</v>
      </c>
      <c r="AC594" s="527">
        <f t="shared" si="79"/>
        <v>0</v>
      </c>
      <c r="AD594" s="527">
        <f t="shared" si="80"/>
        <v>0</v>
      </c>
      <c r="AE594" s="527">
        <f t="shared" si="81"/>
        <v>0</v>
      </c>
      <c r="AF594" s="527">
        <f t="shared" si="82"/>
        <v>0</v>
      </c>
      <c r="AG594" s="527">
        <f t="shared" si="83"/>
        <v>467</v>
      </c>
      <c r="AH594" s="527"/>
      <c r="AI594" s="639">
        <f t="shared" si="85"/>
        <v>467</v>
      </c>
      <c r="AK594" s="778">
        <f>AK592/AK593</f>
        <v>20.526315789473685</v>
      </c>
    </row>
    <row r="595" spans="1:37" ht="12.75" customHeight="1" x14ac:dyDescent="0.2">
      <c r="A595" s="527">
        <v>585</v>
      </c>
      <c r="C595" s="533" t="s">
        <v>3615</v>
      </c>
      <c r="E595" s="527" t="s">
        <v>3547</v>
      </c>
      <c r="G595" s="615">
        <v>113</v>
      </c>
      <c r="K595" s="533" t="s">
        <v>3616</v>
      </c>
      <c r="N595" s="624">
        <v>44933</v>
      </c>
      <c r="U595" s="613">
        <v>1</v>
      </c>
      <c r="W595" s="613">
        <f t="shared" si="78"/>
        <v>1</v>
      </c>
      <c r="AB595" s="527">
        <f t="shared" si="84"/>
        <v>0</v>
      </c>
      <c r="AC595" s="527">
        <f t="shared" si="79"/>
        <v>0</v>
      </c>
      <c r="AD595" s="527">
        <f t="shared" si="80"/>
        <v>0</v>
      </c>
      <c r="AE595" s="527">
        <f t="shared" si="81"/>
        <v>0</v>
      </c>
      <c r="AF595" s="527">
        <f t="shared" si="82"/>
        <v>0</v>
      </c>
      <c r="AG595" s="527">
        <f t="shared" si="83"/>
        <v>113</v>
      </c>
      <c r="AH595" s="527"/>
      <c r="AI595" s="639">
        <f t="shared" si="85"/>
        <v>113</v>
      </c>
    </row>
    <row r="596" spans="1:37" ht="12.75" customHeight="1" x14ac:dyDescent="0.2">
      <c r="A596" s="527">
        <v>586</v>
      </c>
      <c r="C596" s="533" t="s">
        <v>3617</v>
      </c>
      <c r="E596" s="527" t="s">
        <v>3619</v>
      </c>
      <c r="G596" s="615">
        <v>27</v>
      </c>
      <c r="K596" s="533" t="s">
        <v>3616</v>
      </c>
      <c r="N596" s="624">
        <v>44933</v>
      </c>
      <c r="U596" s="613">
        <v>1</v>
      </c>
      <c r="W596" s="613">
        <f t="shared" si="78"/>
        <v>1</v>
      </c>
      <c r="AB596" s="527">
        <f t="shared" si="84"/>
        <v>0</v>
      </c>
      <c r="AC596" s="527">
        <f t="shared" si="79"/>
        <v>0</v>
      </c>
      <c r="AD596" s="527">
        <f t="shared" si="80"/>
        <v>0</v>
      </c>
      <c r="AE596" s="527">
        <f t="shared" si="81"/>
        <v>0</v>
      </c>
      <c r="AF596" s="527">
        <f t="shared" si="82"/>
        <v>0</v>
      </c>
      <c r="AG596" s="527">
        <f t="shared" si="83"/>
        <v>27</v>
      </c>
      <c r="AH596" s="527"/>
      <c r="AI596" s="639">
        <f t="shared" si="85"/>
        <v>27</v>
      </c>
    </row>
    <row r="597" spans="1:37" ht="12.75" customHeight="1" x14ac:dyDescent="0.2">
      <c r="A597" s="527">
        <v>587</v>
      </c>
      <c r="C597" s="533" t="s">
        <v>3618</v>
      </c>
      <c r="E597" s="527" t="s">
        <v>3373</v>
      </c>
      <c r="G597" s="963">
        <v>79.56</v>
      </c>
      <c r="K597" s="533" t="s">
        <v>3616</v>
      </c>
      <c r="N597" s="624">
        <v>44955</v>
      </c>
      <c r="U597" s="613">
        <v>1</v>
      </c>
      <c r="W597" s="613">
        <f t="shared" si="78"/>
        <v>1</v>
      </c>
      <c r="AB597" s="527">
        <f t="shared" si="84"/>
        <v>0</v>
      </c>
      <c r="AC597" s="527">
        <f t="shared" si="79"/>
        <v>0</v>
      </c>
      <c r="AD597" s="527">
        <f t="shared" si="80"/>
        <v>0</v>
      </c>
      <c r="AE597" s="527">
        <f t="shared" si="81"/>
        <v>0</v>
      </c>
      <c r="AF597" s="527">
        <f t="shared" si="82"/>
        <v>0</v>
      </c>
      <c r="AG597" s="527">
        <f t="shared" si="83"/>
        <v>79.56</v>
      </c>
      <c r="AH597" s="527"/>
      <c r="AI597" s="639">
        <f t="shared" si="85"/>
        <v>79.56</v>
      </c>
    </row>
    <row r="598" spans="1:37" ht="12.75" customHeight="1" x14ac:dyDescent="0.2">
      <c r="A598" s="527">
        <v>588</v>
      </c>
      <c r="C598" s="533" t="s">
        <v>3620</v>
      </c>
      <c r="E598" s="527" t="s">
        <v>3373</v>
      </c>
      <c r="G598" s="632">
        <v>157.1</v>
      </c>
      <c r="K598" s="533" t="s">
        <v>3616</v>
      </c>
      <c r="N598" s="624">
        <v>44968</v>
      </c>
      <c r="U598" s="613">
        <v>1</v>
      </c>
      <c r="W598" s="613">
        <f t="shared" si="78"/>
        <v>1</v>
      </c>
      <c r="AB598" s="527">
        <f t="shared" si="84"/>
        <v>0</v>
      </c>
      <c r="AC598" s="527">
        <f t="shared" si="79"/>
        <v>0</v>
      </c>
      <c r="AD598" s="527">
        <f t="shared" si="80"/>
        <v>0</v>
      </c>
      <c r="AE598" s="527">
        <f t="shared" si="81"/>
        <v>0</v>
      </c>
      <c r="AF598" s="527">
        <f t="shared" si="82"/>
        <v>0</v>
      </c>
      <c r="AG598" s="527">
        <f t="shared" si="83"/>
        <v>157.1</v>
      </c>
      <c r="AH598" s="527"/>
      <c r="AI598" s="639">
        <f t="shared" si="85"/>
        <v>157.1</v>
      </c>
    </row>
    <row r="599" spans="1:37" ht="12.75" customHeight="1" x14ac:dyDescent="0.2">
      <c r="A599" s="527">
        <v>589</v>
      </c>
      <c r="C599" s="533" t="s">
        <v>3621</v>
      </c>
      <c r="E599" s="527" t="s">
        <v>3373</v>
      </c>
      <c r="G599" s="632">
        <v>124.3</v>
      </c>
      <c r="K599" s="533" t="s">
        <v>3616</v>
      </c>
      <c r="N599" s="624">
        <v>44968</v>
      </c>
      <c r="U599" s="613">
        <v>1</v>
      </c>
      <c r="W599" s="613">
        <f t="shared" si="78"/>
        <v>1</v>
      </c>
      <c r="AB599" s="527">
        <f t="shared" si="84"/>
        <v>0</v>
      </c>
      <c r="AC599" s="527">
        <f t="shared" si="79"/>
        <v>0</v>
      </c>
      <c r="AD599" s="527">
        <f t="shared" si="80"/>
        <v>0</v>
      </c>
      <c r="AE599" s="527">
        <f t="shared" si="81"/>
        <v>0</v>
      </c>
      <c r="AF599" s="527">
        <f t="shared" si="82"/>
        <v>0</v>
      </c>
      <c r="AG599" s="527">
        <f t="shared" si="83"/>
        <v>124.3</v>
      </c>
      <c r="AH599" s="527"/>
      <c r="AI599" s="639">
        <f t="shared" si="85"/>
        <v>124.3</v>
      </c>
    </row>
    <row r="600" spans="1:37" ht="12.75" customHeight="1" x14ac:dyDescent="0.2">
      <c r="A600" s="527">
        <v>590</v>
      </c>
      <c r="C600" s="533" t="s">
        <v>3622</v>
      </c>
      <c r="E600" s="527" t="s">
        <v>3626</v>
      </c>
      <c r="G600" s="615">
        <v>342</v>
      </c>
      <c r="K600" s="533" t="s">
        <v>3616</v>
      </c>
      <c r="N600" s="624">
        <v>44968</v>
      </c>
      <c r="U600" s="613">
        <v>1</v>
      </c>
      <c r="W600" s="613">
        <f t="shared" si="78"/>
        <v>1</v>
      </c>
      <c r="AB600" s="527">
        <f t="shared" si="84"/>
        <v>0</v>
      </c>
      <c r="AC600" s="527">
        <f t="shared" si="79"/>
        <v>0</v>
      </c>
      <c r="AD600" s="527">
        <f t="shared" si="80"/>
        <v>0</v>
      </c>
      <c r="AE600" s="527">
        <f t="shared" si="81"/>
        <v>0</v>
      </c>
      <c r="AF600" s="527">
        <f t="shared" si="82"/>
        <v>0</v>
      </c>
      <c r="AG600" s="527">
        <f t="shared" si="83"/>
        <v>342</v>
      </c>
      <c r="AH600" s="527"/>
      <c r="AI600" s="639">
        <f t="shared" si="85"/>
        <v>342</v>
      </c>
    </row>
    <row r="601" spans="1:37" ht="12.75" customHeight="1" x14ac:dyDescent="0.2">
      <c r="A601" s="527">
        <v>591</v>
      </c>
      <c r="C601" s="533" t="s">
        <v>3623</v>
      </c>
      <c r="E601" s="527" t="s">
        <v>3526</v>
      </c>
      <c r="G601" s="612">
        <v>3400</v>
      </c>
      <c r="K601" s="533" t="s">
        <v>3616</v>
      </c>
      <c r="N601" s="624">
        <v>44968</v>
      </c>
      <c r="U601" s="613">
        <v>1</v>
      </c>
      <c r="W601" s="613">
        <f t="shared" si="78"/>
        <v>1</v>
      </c>
      <c r="AB601" s="527">
        <f t="shared" si="84"/>
        <v>0</v>
      </c>
      <c r="AC601" s="527">
        <f t="shared" si="79"/>
        <v>0</v>
      </c>
      <c r="AD601" s="527">
        <f t="shared" si="80"/>
        <v>0</v>
      </c>
      <c r="AE601" s="527">
        <f t="shared" si="81"/>
        <v>0</v>
      </c>
      <c r="AF601" s="527">
        <f t="shared" si="82"/>
        <v>0</v>
      </c>
      <c r="AG601" s="527">
        <f t="shared" si="83"/>
        <v>3400</v>
      </c>
      <c r="AH601" s="527"/>
      <c r="AI601" s="639">
        <f t="shared" si="85"/>
        <v>3400</v>
      </c>
    </row>
    <row r="602" spans="1:37" ht="12.75" customHeight="1" x14ac:dyDescent="0.2">
      <c r="A602" s="527">
        <v>592</v>
      </c>
      <c r="C602" s="533" t="s">
        <v>3624</v>
      </c>
      <c r="E602" s="527" t="s">
        <v>3627</v>
      </c>
      <c r="G602" s="971">
        <v>1.9</v>
      </c>
      <c r="K602" s="533" t="s">
        <v>3616</v>
      </c>
      <c r="N602" s="624">
        <v>44968</v>
      </c>
      <c r="U602" s="613">
        <v>1</v>
      </c>
      <c r="W602" s="613">
        <f t="shared" si="78"/>
        <v>1</v>
      </c>
      <c r="AB602" s="527">
        <f t="shared" si="84"/>
        <v>0</v>
      </c>
      <c r="AC602" s="527">
        <f t="shared" si="79"/>
        <v>0</v>
      </c>
      <c r="AD602" s="527">
        <f t="shared" si="80"/>
        <v>0</v>
      </c>
      <c r="AE602" s="527">
        <f t="shared" si="81"/>
        <v>0</v>
      </c>
      <c r="AF602" s="527">
        <f t="shared" si="82"/>
        <v>0</v>
      </c>
      <c r="AG602" s="527">
        <f t="shared" si="83"/>
        <v>1.9</v>
      </c>
      <c r="AH602" s="527"/>
      <c r="AI602" s="639">
        <f t="shared" si="85"/>
        <v>1.9</v>
      </c>
    </row>
    <row r="603" spans="1:37" ht="12.75" customHeight="1" x14ac:dyDescent="0.2">
      <c r="A603" s="527">
        <v>593</v>
      </c>
      <c r="C603" s="533" t="s">
        <v>3625</v>
      </c>
      <c r="E603" s="527" t="s">
        <v>3628</v>
      </c>
      <c r="G603" s="612">
        <v>446.5</v>
      </c>
      <c r="K603" s="533" t="s">
        <v>3616</v>
      </c>
      <c r="N603" s="624">
        <v>44968</v>
      </c>
      <c r="U603" s="613">
        <v>1</v>
      </c>
      <c r="W603" s="613">
        <f t="shared" si="78"/>
        <v>1</v>
      </c>
      <c r="AB603" s="527">
        <f t="shared" si="84"/>
        <v>0</v>
      </c>
      <c r="AC603" s="527">
        <f t="shared" si="79"/>
        <v>0</v>
      </c>
      <c r="AD603" s="527">
        <f t="shared" si="80"/>
        <v>0</v>
      </c>
      <c r="AE603" s="527">
        <f t="shared" si="81"/>
        <v>0</v>
      </c>
      <c r="AF603" s="527">
        <f t="shared" si="82"/>
        <v>0</v>
      </c>
      <c r="AG603" s="527">
        <f t="shared" si="83"/>
        <v>446.5</v>
      </c>
      <c r="AH603" s="527"/>
      <c r="AI603" s="639">
        <f t="shared" si="85"/>
        <v>446.5</v>
      </c>
    </row>
    <row r="604" spans="1:37" ht="12.75" customHeight="1" x14ac:dyDescent="0.2">
      <c r="A604" s="527">
        <v>594</v>
      </c>
      <c r="C604" s="533" t="s">
        <v>3629</v>
      </c>
      <c r="E604" s="527" t="s">
        <v>3639</v>
      </c>
      <c r="G604" s="612">
        <v>897</v>
      </c>
      <c r="K604" s="533" t="s">
        <v>3616</v>
      </c>
      <c r="N604" s="624">
        <v>44980</v>
      </c>
      <c r="U604" s="613">
        <v>1</v>
      </c>
      <c r="W604" s="613">
        <f t="shared" si="78"/>
        <v>1</v>
      </c>
      <c r="AB604" s="527">
        <f t="shared" si="84"/>
        <v>0</v>
      </c>
      <c r="AC604" s="527">
        <f t="shared" si="79"/>
        <v>0</v>
      </c>
      <c r="AD604" s="527">
        <f t="shared" si="80"/>
        <v>0</v>
      </c>
      <c r="AE604" s="527">
        <f t="shared" si="81"/>
        <v>0</v>
      </c>
      <c r="AF604" s="527">
        <f t="shared" si="82"/>
        <v>0</v>
      </c>
      <c r="AG604" s="527">
        <f t="shared" si="83"/>
        <v>897</v>
      </c>
      <c r="AH604" s="527"/>
      <c r="AI604" s="639">
        <f t="shared" si="85"/>
        <v>897</v>
      </c>
    </row>
    <row r="605" spans="1:37" ht="12.75" customHeight="1" x14ac:dyDescent="0.2">
      <c r="A605" s="527">
        <v>595</v>
      </c>
      <c r="C605" s="533" t="s">
        <v>3630</v>
      </c>
      <c r="E605" s="527" t="s">
        <v>3640</v>
      </c>
      <c r="G605" s="612">
        <v>22</v>
      </c>
      <c r="K605" s="533" t="s">
        <v>3616</v>
      </c>
      <c r="N605" s="624">
        <v>44980</v>
      </c>
      <c r="U605" s="613">
        <v>1</v>
      </c>
      <c r="W605" s="613">
        <f t="shared" si="78"/>
        <v>1</v>
      </c>
      <c r="AB605" s="527">
        <f t="shared" si="84"/>
        <v>0</v>
      </c>
      <c r="AC605" s="527">
        <f t="shared" si="79"/>
        <v>0</v>
      </c>
      <c r="AD605" s="527">
        <f t="shared" si="80"/>
        <v>0</v>
      </c>
      <c r="AE605" s="527">
        <f t="shared" si="81"/>
        <v>0</v>
      </c>
      <c r="AF605" s="527">
        <f t="shared" si="82"/>
        <v>0</v>
      </c>
      <c r="AG605" s="527">
        <f t="shared" si="83"/>
        <v>22</v>
      </c>
      <c r="AH605" s="527"/>
      <c r="AI605" s="639">
        <f t="shared" si="85"/>
        <v>22</v>
      </c>
    </row>
    <row r="606" spans="1:37" ht="12.75" customHeight="1" x14ac:dyDescent="0.2">
      <c r="A606" s="527">
        <v>596</v>
      </c>
      <c r="C606" s="533" t="s">
        <v>3631</v>
      </c>
      <c r="E606" s="527" t="s">
        <v>3640</v>
      </c>
      <c r="G606" s="612">
        <v>22.5</v>
      </c>
      <c r="K606" s="533" t="s">
        <v>3616</v>
      </c>
      <c r="N606" s="624">
        <v>44980</v>
      </c>
      <c r="U606" s="613">
        <v>1</v>
      </c>
      <c r="W606" s="613">
        <f t="shared" si="78"/>
        <v>1</v>
      </c>
      <c r="AB606" s="527">
        <f t="shared" si="84"/>
        <v>0</v>
      </c>
      <c r="AC606" s="527">
        <f t="shared" si="79"/>
        <v>0</v>
      </c>
      <c r="AD606" s="527">
        <f t="shared" si="80"/>
        <v>0</v>
      </c>
      <c r="AE606" s="527">
        <f t="shared" si="81"/>
        <v>0</v>
      </c>
      <c r="AF606" s="527">
        <f t="shared" si="82"/>
        <v>0</v>
      </c>
      <c r="AG606" s="527">
        <f t="shared" si="83"/>
        <v>22.5</v>
      </c>
      <c r="AH606" s="527"/>
      <c r="AI606" s="639">
        <f t="shared" si="85"/>
        <v>22.5</v>
      </c>
    </row>
    <row r="607" spans="1:37" ht="12.75" customHeight="1" x14ac:dyDescent="0.2">
      <c r="A607" s="527">
        <v>597</v>
      </c>
      <c r="C607" s="533" t="s">
        <v>3632</v>
      </c>
      <c r="E607" s="527" t="s">
        <v>3640</v>
      </c>
      <c r="G607" s="612">
        <v>17.600000000000001</v>
      </c>
      <c r="K607" s="533" t="s">
        <v>3616</v>
      </c>
      <c r="N607" s="624">
        <v>44980</v>
      </c>
      <c r="U607" s="613">
        <v>1</v>
      </c>
      <c r="W607" s="613">
        <f t="shared" si="78"/>
        <v>1</v>
      </c>
      <c r="AB607" s="527">
        <f t="shared" si="84"/>
        <v>0</v>
      </c>
      <c r="AC607" s="527">
        <f t="shared" si="79"/>
        <v>0</v>
      </c>
      <c r="AD607" s="527">
        <f t="shared" si="80"/>
        <v>0</v>
      </c>
      <c r="AE607" s="527">
        <f t="shared" si="81"/>
        <v>0</v>
      </c>
      <c r="AF607" s="527">
        <f t="shared" si="82"/>
        <v>0</v>
      </c>
      <c r="AG607" s="527">
        <f t="shared" si="83"/>
        <v>17.600000000000001</v>
      </c>
      <c r="AH607" s="527"/>
      <c r="AI607" s="639">
        <f t="shared" si="85"/>
        <v>17.600000000000001</v>
      </c>
    </row>
    <row r="608" spans="1:37" ht="12.75" customHeight="1" x14ac:dyDescent="0.2">
      <c r="A608" s="527">
        <v>598</v>
      </c>
      <c r="C608" s="533" t="s">
        <v>3633</v>
      </c>
      <c r="E608" s="527" t="s">
        <v>3373</v>
      </c>
      <c r="G608" s="612">
        <v>80.599999999999994</v>
      </c>
      <c r="K608" s="533" t="s">
        <v>3616</v>
      </c>
      <c r="N608" s="624">
        <v>44980</v>
      </c>
      <c r="U608" s="613">
        <v>1</v>
      </c>
      <c r="W608" s="613">
        <f t="shared" si="78"/>
        <v>1</v>
      </c>
      <c r="AB608" s="527">
        <f t="shared" si="84"/>
        <v>0</v>
      </c>
      <c r="AC608" s="527">
        <f t="shared" si="79"/>
        <v>0</v>
      </c>
      <c r="AD608" s="527">
        <f t="shared" si="80"/>
        <v>0</v>
      </c>
      <c r="AE608" s="527">
        <f t="shared" si="81"/>
        <v>0</v>
      </c>
      <c r="AF608" s="527">
        <f t="shared" si="82"/>
        <v>0</v>
      </c>
      <c r="AG608" s="527">
        <f t="shared" si="83"/>
        <v>80.599999999999994</v>
      </c>
      <c r="AH608" s="527"/>
      <c r="AI608" s="639">
        <f t="shared" si="85"/>
        <v>80.599999999999994</v>
      </c>
    </row>
    <row r="609" spans="1:35" ht="12.75" customHeight="1" x14ac:dyDescent="0.2">
      <c r="A609" s="527">
        <v>599</v>
      </c>
      <c r="C609" s="533" t="s">
        <v>3634</v>
      </c>
      <c r="E609" s="527" t="s">
        <v>2962</v>
      </c>
      <c r="G609" s="612">
        <v>187</v>
      </c>
      <c r="K609" s="533" t="s">
        <v>3616</v>
      </c>
      <c r="N609" s="624">
        <v>44980</v>
      </c>
      <c r="U609" s="613">
        <v>1</v>
      </c>
      <c r="W609" s="613">
        <f t="shared" si="78"/>
        <v>1</v>
      </c>
      <c r="AB609" s="527">
        <f t="shared" si="84"/>
        <v>0</v>
      </c>
      <c r="AC609" s="527">
        <f t="shared" si="79"/>
        <v>0</v>
      </c>
      <c r="AD609" s="527">
        <f t="shared" si="80"/>
        <v>0</v>
      </c>
      <c r="AE609" s="527">
        <f t="shared" si="81"/>
        <v>0</v>
      </c>
      <c r="AF609" s="527">
        <f t="shared" si="82"/>
        <v>0</v>
      </c>
      <c r="AG609" s="527">
        <f t="shared" si="83"/>
        <v>187</v>
      </c>
      <c r="AH609" s="527"/>
      <c r="AI609" s="639">
        <f t="shared" si="85"/>
        <v>187</v>
      </c>
    </row>
    <row r="610" spans="1:35" ht="12.75" customHeight="1" x14ac:dyDescent="0.2">
      <c r="A610" s="527">
        <v>600</v>
      </c>
      <c r="C610" s="533" t="s">
        <v>3635</v>
      </c>
      <c r="E610" s="527" t="s">
        <v>2962</v>
      </c>
      <c r="G610" s="612">
        <v>2300</v>
      </c>
      <c r="K610" s="533" t="s">
        <v>3616</v>
      </c>
      <c r="N610" s="624">
        <v>44980</v>
      </c>
      <c r="U610" s="613">
        <v>1</v>
      </c>
      <c r="W610" s="613">
        <f t="shared" si="78"/>
        <v>1</v>
      </c>
      <c r="AB610" s="527">
        <f t="shared" si="84"/>
        <v>0</v>
      </c>
      <c r="AC610" s="527">
        <f t="shared" si="79"/>
        <v>0</v>
      </c>
      <c r="AD610" s="527">
        <f t="shared" si="80"/>
        <v>0</v>
      </c>
      <c r="AE610" s="527">
        <f t="shared" si="81"/>
        <v>0</v>
      </c>
      <c r="AF610" s="527">
        <f t="shared" si="82"/>
        <v>0</v>
      </c>
      <c r="AG610" s="527">
        <f t="shared" si="83"/>
        <v>2300</v>
      </c>
      <c r="AH610" s="527"/>
      <c r="AI610" s="639">
        <f t="shared" si="85"/>
        <v>2300</v>
      </c>
    </row>
    <row r="611" spans="1:35" ht="12.75" customHeight="1" x14ac:dyDescent="0.2">
      <c r="A611" s="527">
        <v>601</v>
      </c>
      <c r="C611" s="533" t="s">
        <v>3636</v>
      </c>
      <c r="E611" s="527" t="s">
        <v>2962</v>
      </c>
      <c r="G611" s="612">
        <v>1000</v>
      </c>
      <c r="K611" s="533" t="s">
        <v>3616</v>
      </c>
      <c r="N611" s="624">
        <v>44980</v>
      </c>
      <c r="U611" s="613">
        <v>1</v>
      </c>
      <c r="W611" s="613">
        <f t="shared" si="78"/>
        <v>1</v>
      </c>
      <c r="AB611" s="527">
        <f t="shared" si="84"/>
        <v>0</v>
      </c>
      <c r="AC611" s="527">
        <f t="shared" si="79"/>
        <v>0</v>
      </c>
      <c r="AD611" s="527">
        <f t="shared" si="80"/>
        <v>0</v>
      </c>
      <c r="AE611" s="527">
        <f t="shared" si="81"/>
        <v>0</v>
      </c>
      <c r="AF611" s="527">
        <f t="shared" si="82"/>
        <v>0</v>
      </c>
      <c r="AG611" s="527">
        <f t="shared" si="83"/>
        <v>1000</v>
      </c>
      <c r="AH611" s="527"/>
      <c r="AI611" s="639">
        <f t="shared" si="85"/>
        <v>1000</v>
      </c>
    </row>
    <row r="612" spans="1:35" ht="12.75" customHeight="1" x14ac:dyDescent="0.2">
      <c r="A612" s="527">
        <v>602</v>
      </c>
      <c r="C612" s="533" t="s">
        <v>3637</v>
      </c>
      <c r="E612" s="527" t="s">
        <v>2962</v>
      </c>
      <c r="G612" s="612">
        <v>90</v>
      </c>
      <c r="K612" s="533" t="s">
        <v>3616</v>
      </c>
      <c r="N612" s="624">
        <v>44980</v>
      </c>
      <c r="U612" s="613">
        <v>1</v>
      </c>
      <c r="W612" s="613">
        <f t="shared" si="78"/>
        <v>1</v>
      </c>
      <c r="AB612" s="527">
        <f t="shared" si="84"/>
        <v>0</v>
      </c>
      <c r="AC612" s="527">
        <f t="shared" si="79"/>
        <v>0</v>
      </c>
      <c r="AD612" s="527">
        <f t="shared" si="80"/>
        <v>0</v>
      </c>
      <c r="AE612" s="527">
        <f t="shared" si="81"/>
        <v>0</v>
      </c>
      <c r="AF612" s="527">
        <f t="shared" si="82"/>
        <v>0</v>
      </c>
      <c r="AG612" s="527">
        <f t="shared" si="83"/>
        <v>90</v>
      </c>
      <c r="AH612" s="527"/>
      <c r="AI612" s="639">
        <f t="shared" si="85"/>
        <v>90</v>
      </c>
    </row>
    <row r="613" spans="1:35" ht="12.75" customHeight="1" x14ac:dyDescent="0.2">
      <c r="A613" s="527">
        <v>603</v>
      </c>
      <c r="C613" s="533" t="s">
        <v>3638</v>
      </c>
      <c r="E613" s="527" t="s">
        <v>3627</v>
      </c>
      <c r="G613" s="612">
        <v>33</v>
      </c>
      <c r="K613" s="533" t="s">
        <v>3616</v>
      </c>
      <c r="N613" s="624">
        <v>44980</v>
      </c>
      <c r="U613" s="613">
        <v>1</v>
      </c>
      <c r="W613" s="613">
        <f t="shared" si="78"/>
        <v>1</v>
      </c>
      <c r="AB613" s="527">
        <f t="shared" si="84"/>
        <v>0</v>
      </c>
      <c r="AC613" s="527">
        <f t="shared" si="79"/>
        <v>0</v>
      </c>
      <c r="AD613" s="527">
        <f t="shared" si="80"/>
        <v>0</v>
      </c>
      <c r="AE613" s="527">
        <f t="shared" si="81"/>
        <v>0</v>
      </c>
      <c r="AF613" s="527">
        <f t="shared" si="82"/>
        <v>0</v>
      </c>
      <c r="AG613" s="527">
        <f t="shared" si="83"/>
        <v>33</v>
      </c>
      <c r="AH613" s="527"/>
      <c r="AI613" s="639">
        <f t="shared" si="85"/>
        <v>33</v>
      </c>
    </row>
    <row r="614" spans="1:35" ht="12.75" customHeight="1" x14ac:dyDescent="0.2">
      <c r="A614" s="527">
        <v>604</v>
      </c>
      <c r="C614" s="533" t="s">
        <v>3641</v>
      </c>
      <c r="E614" s="527" t="s">
        <v>3643</v>
      </c>
      <c r="G614" s="963">
        <v>40.18</v>
      </c>
      <c r="K614" s="533" t="s">
        <v>3616</v>
      </c>
      <c r="N614" s="624">
        <v>44989</v>
      </c>
      <c r="U614" s="613">
        <v>1</v>
      </c>
      <c r="W614" s="613">
        <f t="shared" si="78"/>
        <v>1</v>
      </c>
      <c r="AB614" s="527">
        <f t="shared" si="84"/>
        <v>0</v>
      </c>
      <c r="AC614" s="527">
        <f t="shared" si="79"/>
        <v>0</v>
      </c>
      <c r="AD614" s="527">
        <f t="shared" si="80"/>
        <v>0</v>
      </c>
      <c r="AE614" s="527">
        <f t="shared" si="81"/>
        <v>0</v>
      </c>
      <c r="AF614" s="527">
        <f t="shared" si="82"/>
        <v>0</v>
      </c>
      <c r="AG614" s="527">
        <f t="shared" si="83"/>
        <v>40.18</v>
      </c>
      <c r="AH614" s="527"/>
      <c r="AI614" s="639">
        <f t="shared" si="85"/>
        <v>40.18</v>
      </c>
    </row>
    <row r="615" spans="1:35" ht="12.75" customHeight="1" x14ac:dyDescent="0.2">
      <c r="A615" s="527">
        <v>605</v>
      </c>
      <c r="C615" s="533" t="s">
        <v>3642</v>
      </c>
      <c r="E615" s="527" t="s">
        <v>3643</v>
      </c>
      <c r="G615" s="972">
        <v>15.73</v>
      </c>
      <c r="K615" s="533" t="s">
        <v>3616</v>
      </c>
      <c r="N615" s="624">
        <v>44989</v>
      </c>
      <c r="U615" s="613">
        <v>1</v>
      </c>
      <c r="W615" s="613">
        <f t="shared" si="78"/>
        <v>1</v>
      </c>
      <c r="AB615" s="527">
        <f t="shared" ref="AB615" si="86">IF(P615=1,$G615,0)</f>
        <v>0</v>
      </c>
      <c r="AC615" s="527">
        <f t="shared" ref="AC615" si="87">IF(Q615=1,$G615,0)</f>
        <v>0</v>
      </c>
      <c r="AD615" s="527">
        <f t="shared" ref="AD615" si="88">IF(R615=1,$G615,0)</f>
        <v>0</v>
      </c>
      <c r="AE615" s="527">
        <f t="shared" ref="AE615" si="89">IF(S615=1,$G615,0)</f>
        <v>0</v>
      </c>
      <c r="AF615" s="527">
        <f t="shared" ref="AF615" si="90">IF(T615=1,$G615,0)</f>
        <v>0</v>
      </c>
      <c r="AG615" s="527">
        <f t="shared" si="83"/>
        <v>15.73</v>
      </c>
      <c r="AH615" s="527"/>
      <c r="AI615" s="639">
        <f t="shared" si="85"/>
        <v>15.73</v>
      </c>
    </row>
    <row r="616" spans="1:35" ht="12.75" customHeight="1" x14ac:dyDescent="0.2">
      <c r="A616" s="527">
        <v>606</v>
      </c>
      <c r="C616" s="533" t="s">
        <v>3644</v>
      </c>
      <c r="E616" s="527" t="s">
        <v>3652</v>
      </c>
      <c r="G616" s="612">
        <v>941.3</v>
      </c>
      <c r="K616" s="533" t="s">
        <v>3616</v>
      </c>
      <c r="N616" s="624">
        <v>45004</v>
      </c>
      <c r="U616" s="613">
        <v>1</v>
      </c>
      <c r="W616" s="613">
        <f t="shared" si="78"/>
        <v>1</v>
      </c>
      <c r="AB616" s="527">
        <f t="shared" ref="AB616:AB679" si="91">IF(P616=1,$G616,0)</f>
        <v>0</v>
      </c>
      <c r="AC616" s="527">
        <f t="shared" ref="AC616:AC679" si="92">IF(Q616=1,$G616,0)</f>
        <v>0</v>
      </c>
      <c r="AD616" s="527">
        <f t="shared" ref="AD616:AD679" si="93">IF(R616=1,$G616,0)</f>
        <v>0</v>
      </c>
      <c r="AE616" s="527">
        <f t="shared" ref="AE616:AE679" si="94">IF(S616=1,$G616,0)</f>
        <v>0</v>
      </c>
      <c r="AF616" s="527">
        <f t="shared" ref="AF616:AF679" si="95">IF(T616=1,$G616,0)</f>
        <v>0</v>
      </c>
      <c r="AG616" s="527">
        <f t="shared" ref="AG616:AG679" si="96">IF(U616=1,$G616,0)</f>
        <v>941.3</v>
      </c>
      <c r="AH616" s="527"/>
      <c r="AI616" s="639">
        <f t="shared" ref="AI616:AI679" si="97">G616</f>
        <v>941.3</v>
      </c>
    </row>
    <row r="617" spans="1:35" ht="12.75" customHeight="1" x14ac:dyDescent="0.2">
      <c r="A617" s="527">
        <v>607</v>
      </c>
      <c r="C617" s="533" t="s">
        <v>3645</v>
      </c>
      <c r="E617" s="527" t="s">
        <v>3373</v>
      </c>
      <c r="G617" s="612">
        <v>1146</v>
      </c>
      <c r="K617" s="533" t="s">
        <v>3616</v>
      </c>
      <c r="N617" s="624">
        <v>45004</v>
      </c>
      <c r="U617" s="613">
        <v>1</v>
      </c>
      <c r="W617" s="613">
        <f t="shared" si="78"/>
        <v>1</v>
      </c>
      <c r="AB617" s="527">
        <f t="shared" si="91"/>
        <v>0</v>
      </c>
      <c r="AC617" s="527">
        <f t="shared" si="92"/>
        <v>0</v>
      </c>
      <c r="AD617" s="527">
        <f t="shared" si="93"/>
        <v>0</v>
      </c>
      <c r="AE617" s="527">
        <f t="shared" si="94"/>
        <v>0</v>
      </c>
      <c r="AF617" s="527">
        <f t="shared" si="95"/>
        <v>0</v>
      </c>
      <c r="AG617" s="527">
        <f t="shared" si="96"/>
        <v>1146</v>
      </c>
      <c r="AH617" s="527"/>
      <c r="AI617" s="639">
        <f t="shared" si="97"/>
        <v>1146</v>
      </c>
    </row>
    <row r="618" spans="1:35" ht="12.75" customHeight="1" x14ac:dyDescent="0.2">
      <c r="A618" s="527">
        <v>608</v>
      </c>
      <c r="C618" s="533" t="s">
        <v>3646</v>
      </c>
      <c r="E618" s="527" t="s">
        <v>3653</v>
      </c>
      <c r="G618" s="612">
        <v>4000</v>
      </c>
      <c r="K618" s="533" t="s">
        <v>3616</v>
      </c>
      <c r="N618" s="624">
        <v>45004</v>
      </c>
      <c r="U618" s="613">
        <v>1</v>
      </c>
      <c r="W618" s="613">
        <f t="shared" si="78"/>
        <v>1</v>
      </c>
      <c r="AB618" s="527">
        <f t="shared" si="91"/>
        <v>0</v>
      </c>
      <c r="AC618" s="527">
        <f t="shared" si="92"/>
        <v>0</v>
      </c>
      <c r="AD618" s="527">
        <f t="shared" si="93"/>
        <v>0</v>
      </c>
      <c r="AE618" s="527">
        <f t="shared" si="94"/>
        <v>0</v>
      </c>
      <c r="AF618" s="527">
        <f t="shared" si="95"/>
        <v>0</v>
      </c>
      <c r="AG618" s="527">
        <f t="shared" si="96"/>
        <v>4000</v>
      </c>
      <c r="AH618" s="527"/>
      <c r="AI618" s="639">
        <f t="shared" si="97"/>
        <v>4000</v>
      </c>
    </row>
    <row r="619" spans="1:35" ht="12.75" customHeight="1" x14ac:dyDescent="0.2">
      <c r="A619" s="527">
        <v>609</v>
      </c>
      <c r="C619" s="533" t="s">
        <v>3647</v>
      </c>
      <c r="E619" s="527" t="s">
        <v>3654</v>
      </c>
      <c r="G619" s="615">
        <v>681</v>
      </c>
      <c r="K619" s="533" t="s">
        <v>3616</v>
      </c>
      <c r="N619" s="624">
        <v>45004</v>
      </c>
      <c r="U619" s="613">
        <v>1</v>
      </c>
      <c r="W619" s="613">
        <f t="shared" si="78"/>
        <v>1</v>
      </c>
      <c r="AB619" s="527">
        <f t="shared" si="91"/>
        <v>0</v>
      </c>
      <c r="AC619" s="527">
        <f t="shared" si="92"/>
        <v>0</v>
      </c>
      <c r="AD619" s="527">
        <f t="shared" si="93"/>
        <v>0</v>
      </c>
      <c r="AE619" s="527">
        <f t="shared" si="94"/>
        <v>0</v>
      </c>
      <c r="AF619" s="527">
        <f t="shared" si="95"/>
        <v>0</v>
      </c>
      <c r="AG619" s="527">
        <f t="shared" si="96"/>
        <v>681</v>
      </c>
      <c r="AH619" s="527"/>
      <c r="AI619" s="639">
        <f t="shared" si="97"/>
        <v>681</v>
      </c>
    </row>
    <row r="620" spans="1:35" ht="12.75" customHeight="1" x14ac:dyDescent="0.2">
      <c r="A620" s="527">
        <v>610</v>
      </c>
      <c r="C620" s="533" t="s">
        <v>3648</v>
      </c>
      <c r="E620" s="527" t="s">
        <v>3655</v>
      </c>
      <c r="G620" s="615">
        <v>9800</v>
      </c>
      <c r="K620" s="533" t="s">
        <v>3616</v>
      </c>
      <c r="N620" s="624">
        <v>45004</v>
      </c>
      <c r="U620" s="613">
        <v>1</v>
      </c>
      <c r="W620" s="613">
        <f t="shared" si="78"/>
        <v>1</v>
      </c>
      <c r="AB620" s="527">
        <f t="shared" si="91"/>
        <v>0</v>
      </c>
      <c r="AC620" s="527">
        <f t="shared" si="92"/>
        <v>0</v>
      </c>
      <c r="AD620" s="527">
        <f t="shared" si="93"/>
        <v>0</v>
      </c>
      <c r="AE620" s="527">
        <f t="shared" si="94"/>
        <v>0</v>
      </c>
      <c r="AF620" s="527">
        <f t="shared" si="95"/>
        <v>0</v>
      </c>
      <c r="AG620" s="527">
        <f t="shared" si="96"/>
        <v>9800</v>
      </c>
      <c r="AH620" s="527"/>
      <c r="AI620" s="639">
        <f t="shared" si="97"/>
        <v>9800</v>
      </c>
    </row>
    <row r="621" spans="1:35" ht="12.75" customHeight="1" x14ac:dyDescent="0.2">
      <c r="A621" s="527">
        <v>611</v>
      </c>
      <c r="C621" s="533" t="s">
        <v>3649</v>
      </c>
      <c r="E621" s="527" t="s">
        <v>3656</v>
      </c>
      <c r="G621" s="632">
        <v>80.2</v>
      </c>
      <c r="K621" s="533" t="s">
        <v>3616</v>
      </c>
      <c r="N621" s="624">
        <v>45004</v>
      </c>
      <c r="U621" s="613">
        <v>1</v>
      </c>
      <c r="W621" s="613">
        <f t="shared" si="78"/>
        <v>1</v>
      </c>
      <c r="AB621" s="527">
        <f t="shared" si="91"/>
        <v>0</v>
      </c>
      <c r="AC621" s="527">
        <f t="shared" si="92"/>
        <v>0</v>
      </c>
      <c r="AD621" s="527">
        <f t="shared" si="93"/>
        <v>0</v>
      </c>
      <c r="AE621" s="527">
        <f t="shared" si="94"/>
        <v>0</v>
      </c>
      <c r="AF621" s="527">
        <f t="shared" si="95"/>
        <v>0</v>
      </c>
      <c r="AG621" s="527">
        <f t="shared" si="96"/>
        <v>80.2</v>
      </c>
      <c r="AH621" s="527"/>
      <c r="AI621" s="639">
        <f t="shared" si="97"/>
        <v>80.2</v>
      </c>
    </row>
    <row r="622" spans="1:35" ht="12.75" customHeight="1" x14ac:dyDescent="0.2">
      <c r="A622" s="527">
        <v>612</v>
      </c>
      <c r="C622" s="533" t="s">
        <v>3650</v>
      </c>
      <c r="E622" s="527" t="s">
        <v>3373</v>
      </c>
      <c r="G622" s="612">
        <v>276</v>
      </c>
      <c r="K622" s="533" t="s">
        <v>3616</v>
      </c>
      <c r="N622" s="624">
        <v>45004</v>
      </c>
      <c r="U622" s="613">
        <v>1</v>
      </c>
      <c r="W622" s="613">
        <f t="shared" si="78"/>
        <v>1</v>
      </c>
      <c r="AB622" s="527">
        <f t="shared" si="91"/>
        <v>0</v>
      </c>
      <c r="AC622" s="527">
        <f t="shared" si="92"/>
        <v>0</v>
      </c>
      <c r="AD622" s="527">
        <f t="shared" si="93"/>
        <v>0</v>
      </c>
      <c r="AE622" s="527">
        <f t="shared" si="94"/>
        <v>0</v>
      </c>
      <c r="AF622" s="527">
        <f t="shared" si="95"/>
        <v>0</v>
      </c>
      <c r="AG622" s="527">
        <f t="shared" si="96"/>
        <v>276</v>
      </c>
      <c r="AH622" s="527"/>
      <c r="AI622" s="639">
        <f t="shared" si="97"/>
        <v>276</v>
      </c>
    </row>
    <row r="623" spans="1:35" ht="12.75" customHeight="1" x14ac:dyDescent="0.2">
      <c r="A623" s="527">
        <v>613</v>
      </c>
      <c r="C623" s="533" t="s">
        <v>3651</v>
      </c>
      <c r="E623" s="527" t="s">
        <v>2962</v>
      </c>
      <c r="G623" s="612">
        <v>23</v>
      </c>
      <c r="K623" s="533" t="s">
        <v>3616</v>
      </c>
      <c r="N623" s="624">
        <v>45004</v>
      </c>
      <c r="U623" s="613">
        <v>1</v>
      </c>
      <c r="W623" s="613">
        <f t="shared" si="78"/>
        <v>1</v>
      </c>
      <c r="AB623" s="527">
        <f t="shared" si="91"/>
        <v>0</v>
      </c>
      <c r="AC623" s="527">
        <f t="shared" si="92"/>
        <v>0</v>
      </c>
      <c r="AD623" s="527">
        <f t="shared" si="93"/>
        <v>0</v>
      </c>
      <c r="AE623" s="527">
        <f t="shared" si="94"/>
        <v>0</v>
      </c>
      <c r="AF623" s="527">
        <f t="shared" si="95"/>
        <v>0</v>
      </c>
      <c r="AG623" s="527">
        <f t="shared" si="96"/>
        <v>23</v>
      </c>
      <c r="AH623" s="527"/>
      <c r="AI623" s="639">
        <f t="shared" si="97"/>
        <v>23</v>
      </c>
    </row>
    <row r="624" spans="1:35" ht="12.75" customHeight="1" x14ac:dyDescent="0.2">
      <c r="A624" s="527">
        <v>614</v>
      </c>
      <c r="C624" s="533" t="s">
        <v>3647</v>
      </c>
      <c r="E624" s="527" t="s">
        <v>3660</v>
      </c>
      <c r="G624" s="612">
        <v>354.18</v>
      </c>
      <c r="K624" s="533" t="s">
        <v>3616</v>
      </c>
      <c r="N624" s="624">
        <v>45039</v>
      </c>
      <c r="U624" s="613">
        <v>1</v>
      </c>
      <c r="W624" s="613">
        <f t="shared" si="78"/>
        <v>1</v>
      </c>
      <c r="AB624" s="527">
        <f t="shared" si="91"/>
        <v>0</v>
      </c>
      <c r="AC624" s="527">
        <f t="shared" si="92"/>
        <v>0</v>
      </c>
      <c r="AD624" s="527">
        <f t="shared" si="93"/>
        <v>0</v>
      </c>
      <c r="AE624" s="527">
        <f t="shared" si="94"/>
        <v>0</v>
      </c>
      <c r="AF624" s="527">
        <f t="shared" si="95"/>
        <v>0</v>
      </c>
      <c r="AG624" s="527">
        <f t="shared" si="96"/>
        <v>354.18</v>
      </c>
      <c r="AH624" s="527"/>
      <c r="AI624" s="639">
        <f t="shared" si="97"/>
        <v>354.18</v>
      </c>
    </row>
    <row r="625" spans="1:37" ht="12.75" customHeight="1" x14ac:dyDescent="0.2">
      <c r="A625" s="527">
        <v>615</v>
      </c>
      <c r="C625" s="533" t="s">
        <v>3657</v>
      </c>
      <c r="E625" s="527" t="s">
        <v>3661</v>
      </c>
      <c r="G625" s="612">
        <v>641</v>
      </c>
      <c r="K625" s="533" t="s">
        <v>3616</v>
      </c>
      <c r="N625" s="624">
        <v>45039</v>
      </c>
      <c r="U625" s="613">
        <v>1</v>
      </c>
      <c r="W625" s="613">
        <f t="shared" si="78"/>
        <v>1</v>
      </c>
      <c r="AB625" s="527">
        <f t="shared" si="91"/>
        <v>0</v>
      </c>
      <c r="AC625" s="527">
        <f t="shared" si="92"/>
        <v>0</v>
      </c>
      <c r="AD625" s="527">
        <f t="shared" si="93"/>
        <v>0</v>
      </c>
      <c r="AE625" s="527">
        <f t="shared" si="94"/>
        <v>0</v>
      </c>
      <c r="AF625" s="527">
        <f t="shared" si="95"/>
        <v>0</v>
      </c>
      <c r="AG625" s="527">
        <f t="shared" si="96"/>
        <v>641</v>
      </c>
      <c r="AH625" s="527"/>
      <c r="AI625" s="639">
        <f t="shared" si="97"/>
        <v>641</v>
      </c>
    </row>
    <row r="626" spans="1:37" ht="12.75" customHeight="1" x14ac:dyDescent="0.2">
      <c r="A626" s="527">
        <v>616</v>
      </c>
      <c r="C626" s="533" t="s">
        <v>3658</v>
      </c>
      <c r="E626" s="527" t="s">
        <v>3662</v>
      </c>
      <c r="G626" s="612">
        <v>2320</v>
      </c>
      <c r="K626" s="533" t="s">
        <v>3616</v>
      </c>
      <c r="N626" s="624">
        <v>45039</v>
      </c>
      <c r="U626" s="613">
        <v>1</v>
      </c>
      <c r="W626" s="613">
        <f t="shared" si="78"/>
        <v>1</v>
      </c>
      <c r="AB626" s="527">
        <f t="shared" si="91"/>
        <v>0</v>
      </c>
      <c r="AC626" s="527">
        <f t="shared" si="92"/>
        <v>0</v>
      </c>
      <c r="AD626" s="527">
        <f t="shared" si="93"/>
        <v>0</v>
      </c>
      <c r="AE626" s="527">
        <f t="shared" si="94"/>
        <v>0</v>
      </c>
      <c r="AF626" s="527">
        <f t="shared" si="95"/>
        <v>0</v>
      </c>
      <c r="AG626" s="527">
        <f t="shared" si="96"/>
        <v>2320</v>
      </c>
      <c r="AH626" s="527"/>
      <c r="AI626" s="639">
        <f t="shared" si="97"/>
        <v>2320</v>
      </c>
    </row>
    <row r="627" spans="1:37" ht="12.75" customHeight="1" x14ac:dyDescent="0.2">
      <c r="A627" s="527">
        <v>617</v>
      </c>
      <c r="C627" s="533" t="s">
        <v>3659</v>
      </c>
      <c r="E627" s="527" t="s">
        <v>3663</v>
      </c>
      <c r="G627" s="612">
        <v>59.5</v>
      </c>
      <c r="K627" s="533" t="s">
        <v>3616</v>
      </c>
      <c r="N627" s="624">
        <v>45039</v>
      </c>
      <c r="R627" s="911">
        <v>1</v>
      </c>
      <c r="W627" s="613">
        <f t="shared" si="78"/>
        <v>1</v>
      </c>
      <c r="AB627" s="527">
        <f t="shared" si="91"/>
        <v>0</v>
      </c>
      <c r="AC627" s="527">
        <f t="shared" si="92"/>
        <v>0</v>
      </c>
      <c r="AD627" s="527">
        <f t="shared" si="93"/>
        <v>59.5</v>
      </c>
      <c r="AE627" s="527">
        <f t="shared" si="94"/>
        <v>0</v>
      </c>
      <c r="AF627" s="527">
        <f t="shared" si="95"/>
        <v>0</v>
      </c>
      <c r="AG627" s="527">
        <f t="shared" si="96"/>
        <v>0</v>
      </c>
      <c r="AH627" s="527"/>
      <c r="AI627" s="639">
        <f t="shared" si="97"/>
        <v>59.5</v>
      </c>
    </row>
    <row r="628" spans="1:37" ht="12.75" customHeight="1" x14ac:dyDescent="0.2">
      <c r="A628" s="527">
        <v>618</v>
      </c>
      <c r="C628" s="533" t="s">
        <v>3664</v>
      </c>
      <c r="E628" s="527" t="s">
        <v>3667</v>
      </c>
      <c r="G628" s="612">
        <v>476</v>
      </c>
      <c r="K628" s="533" t="s">
        <v>3616</v>
      </c>
      <c r="N628" s="624">
        <v>45080</v>
      </c>
      <c r="U628" s="613">
        <v>1</v>
      </c>
      <c r="W628" s="613">
        <f t="shared" si="78"/>
        <v>1</v>
      </c>
      <c r="AB628" s="527">
        <f t="shared" si="91"/>
        <v>0</v>
      </c>
      <c r="AC628" s="527">
        <f t="shared" si="92"/>
        <v>0</v>
      </c>
      <c r="AD628" s="527">
        <f t="shared" si="93"/>
        <v>0</v>
      </c>
      <c r="AE628" s="527">
        <f t="shared" si="94"/>
        <v>0</v>
      </c>
      <c r="AF628" s="527">
        <f t="shared" si="95"/>
        <v>0</v>
      </c>
      <c r="AG628" s="527">
        <f t="shared" si="96"/>
        <v>476</v>
      </c>
      <c r="AH628" s="527"/>
      <c r="AI628" s="639">
        <f t="shared" si="97"/>
        <v>476</v>
      </c>
    </row>
    <row r="629" spans="1:37" ht="12.75" customHeight="1" x14ac:dyDescent="0.2">
      <c r="A629" s="527">
        <v>619</v>
      </c>
      <c r="C629" s="533" t="s">
        <v>3665</v>
      </c>
      <c r="E629" s="527" t="s">
        <v>3668</v>
      </c>
      <c r="G629" s="612">
        <v>68</v>
      </c>
      <c r="K629" s="533" t="s">
        <v>3616</v>
      </c>
      <c r="N629" s="624">
        <v>45080</v>
      </c>
      <c r="U629" s="613">
        <v>1</v>
      </c>
      <c r="W629" s="613">
        <f t="shared" si="78"/>
        <v>1</v>
      </c>
      <c r="AB629" s="527">
        <f t="shared" si="91"/>
        <v>0</v>
      </c>
      <c r="AC629" s="527">
        <f t="shared" si="92"/>
        <v>0</v>
      </c>
      <c r="AD629" s="527">
        <f t="shared" si="93"/>
        <v>0</v>
      </c>
      <c r="AE629" s="527">
        <f t="shared" si="94"/>
        <v>0</v>
      </c>
      <c r="AF629" s="527">
        <f t="shared" si="95"/>
        <v>0</v>
      </c>
      <c r="AG629" s="527">
        <f t="shared" si="96"/>
        <v>68</v>
      </c>
      <c r="AH629" s="527"/>
      <c r="AI629" s="639">
        <f t="shared" si="97"/>
        <v>68</v>
      </c>
      <c r="AK629" s="778">
        <v>1</v>
      </c>
    </row>
    <row r="630" spans="1:37" ht="12.75" customHeight="1" x14ac:dyDescent="0.2">
      <c r="A630" s="527">
        <v>620</v>
      </c>
      <c r="C630" s="533" t="s">
        <v>3666</v>
      </c>
      <c r="E630" s="527" t="s">
        <v>3669</v>
      </c>
      <c r="G630" s="612">
        <v>56</v>
      </c>
      <c r="K630" s="533" t="s">
        <v>3616</v>
      </c>
      <c r="N630" s="624">
        <v>45087</v>
      </c>
      <c r="U630" s="613">
        <v>1</v>
      </c>
      <c r="W630" s="613">
        <f t="shared" si="78"/>
        <v>1</v>
      </c>
      <c r="AB630" s="527">
        <f t="shared" si="91"/>
        <v>0</v>
      </c>
      <c r="AC630" s="527">
        <f t="shared" si="92"/>
        <v>0</v>
      </c>
      <c r="AD630" s="527">
        <f t="shared" si="93"/>
        <v>0</v>
      </c>
      <c r="AE630" s="527">
        <f t="shared" si="94"/>
        <v>0</v>
      </c>
      <c r="AF630" s="527">
        <f t="shared" si="95"/>
        <v>0</v>
      </c>
      <c r="AG630" s="527">
        <f t="shared" si="96"/>
        <v>56</v>
      </c>
      <c r="AH630" s="527"/>
      <c r="AI630" s="639">
        <f t="shared" si="97"/>
        <v>56</v>
      </c>
    </row>
    <row r="631" spans="1:37" ht="12.75" customHeight="1" x14ac:dyDescent="0.2">
      <c r="A631" s="527">
        <v>621</v>
      </c>
      <c r="C631" s="533" t="s">
        <v>3670</v>
      </c>
      <c r="E631" s="527" t="s">
        <v>3373</v>
      </c>
      <c r="G631" s="612">
        <v>107</v>
      </c>
      <c r="K631" s="533" t="s">
        <v>3616</v>
      </c>
      <c r="N631" s="624">
        <v>45102</v>
      </c>
      <c r="U631" s="613">
        <v>1</v>
      </c>
      <c r="W631" s="613">
        <f t="shared" si="78"/>
        <v>1</v>
      </c>
      <c r="AB631" s="527">
        <f t="shared" si="91"/>
        <v>0</v>
      </c>
      <c r="AC631" s="527">
        <f t="shared" si="92"/>
        <v>0</v>
      </c>
      <c r="AD631" s="527">
        <f t="shared" si="93"/>
        <v>0</v>
      </c>
      <c r="AE631" s="527">
        <f t="shared" si="94"/>
        <v>0</v>
      </c>
      <c r="AF631" s="527">
        <f t="shared" si="95"/>
        <v>0</v>
      </c>
      <c r="AG631" s="527">
        <f t="shared" si="96"/>
        <v>107</v>
      </c>
      <c r="AH631" s="527"/>
      <c r="AI631" s="639">
        <f t="shared" si="97"/>
        <v>107</v>
      </c>
    </row>
    <row r="632" spans="1:37" ht="12.75" customHeight="1" x14ac:dyDescent="0.2">
      <c r="A632" s="527">
        <v>622</v>
      </c>
      <c r="C632" s="533" t="s">
        <v>3702</v>
      </c>
      <c r="E632" s="527" t="s">
        <v>3708</v>
      </c>
      <c r="G632" s="612">
        <v>120</v>
      </c>
      <c r="K632" s="533" t="s">
        <v>3616</v>
      </c>
      <c r="N632" s="624">
        <v>45159</v>
      </c>
      <c r="U632" s="613">
        <v>1</v>
      </c>
      <c r="W632" s="613">
        <f t="shared" si="78"/>
        <v>1</v>
      </c>
      <c r="AB632" s="527">
        <f t="shared" si="91"/>
        <v>0</v>
      </c>
      <c r="AC632" s="527">
        <f t="shared" si="92"/>
        <v>0</v>
      </c>
      <c r="AD632" s="527">
        <f t="shared" si="93"/>
        <v>0</v>
      </c>
      <c r="AE632" s="527">
        <f t="shared" si="94"/>
        <v>0</v>
      </c>
      <c r="AF632" s="527">
        <f t="shared" si="95"/>
        <v>0</v>
      </c>
      <c r="AG632" s="527">
        <f t="shared" si="96"/>
        <v>120</v>
      </c>
      <c r="AH632" s="527"/>
      <c r="AI632" s="639">
        <f t="shared" si="97"/>
        <v>120</v>
      </c>
    </row>
    <row r="633" spans="1:37" ht="12.75" customHeight="1" x14ac:dyDescent="0.2">
      <c r="A633" s="527">
        <v>623</v>
      </c>
      <c r="C633" s="533" t="s">
        <v>3703</v>
      </c>
      <c r="E633" s="527" t="s">
        <v>3709</v>
      </c>
      <c r="G633" s="612">
        <v>1536</v>
      </c>
      <c r="K633" s="533" t="s">
        <v>3616</v>
      </c>
      <c r="N633" s="624">
        <v>45159</v>
      </c>
      <c r="U633" s="613">
        <v>1</v>
      </c>
      <c r="W633" s="613">
        <f t="shared" si="78"/>
        <v>1</v>
      </c>
      <c r="AB633" s="527">
        <f t="shared" si="91"/>
        <v>0</v>
      </c>
      <c r="AC633" s="527">
        <f t="shared" si="92"/>
        <v>0</v>
      </c>
      <c r="AD633" s="527">
        <f t="shared" si="93"/>
        <v>0</v>
      </c>
      <c r="AE633" s="527">
        <f t="shared" si="94"/>
        <v>0</v>
      </c>
      <c r="AF633" s="527">
        <f t="shared" si="95"/>
        <v>0</v>
      </c>
      <c r="AG633" s="527">
        <f t="shared" si="96"/>
        <v>1536</v>
      </c>
      <c r="AH633" s="527"/>
      <c r="AI633" s="639">
        <f t="shared" si="97"/>
        <v>1536</v>
      </c>
      <c r="AK633" s="778">
        <v>1</v>
      </c>
    </row>
    <row r="634" spans="1:37" ht="12.75" customHeight="1" x14ac:dyDescent="0.2">
      <c r="A634" s="527">
        <v>624</v>
      </c>
      <c r="C634" s="533" t="s">
        <v>3704</v>
      </c>
      <c r="E634" s="527" t="s">
        <v>3710</v>
      </c>
      <c r="G634" s="612">
        <v>3610</v>
      </c>
      <c r="K634" s="533" t="s">
        <v>3616</v>
      </c>
      <c r="N634" s="624">
        <v>45159</v>
      </c>
      <c r="U634" s="613">
        <v>1</v>
      </c>
      <c r="W634" s="613">
        <f t="shared" si="78"/>
        <v>1</v>
      </c>
      <c r="AB634" s="527">
        <f t="shared" si="91"/>
        <v>0</v>
      </c>
      <c r="AC634" s="527">
        <f t="shared" si="92"/>
        <v>0</v>
      </c>
      <c r="AD634" s="527">
        <f t="shared" si="93"/>
        <v>0</v>
      </c>
      <c r="AE634" s="527">
        <f t="shared" si="94"/>
        <v>0</v>
      </c>
      <c r="AF634" s="527">
        <f t="shared" si="95"/>
        <v>0</v>
      </c>
      <c r="AG634" s="527">
        <f t="shared" si="96"/>
        <v>3610</v>
      </c>
      <c r="AH634" s="527"/>
      <c r="AI634" s="639">
        <f t="shared" si="97"/>
        <v>3610</v>
      </c>
    </row>
    <row r="635" spans="1:37" ht="12.75" customHeight="1" x14ac:dyDescent="0.2">
      <c r="A635" s="527">
        <v>625</v>
      </c>
      <c r="C635" s="533" t="s">
        <v>3705</v>
      </c>
      <c r="E635" s="527" t="s">
        <v>3711</v>
      </c>
      <c r="G635" s="971">
        <v>4.62</v>
      </c>
      <c r="K635" s="533" t="s">
        <v>3616</v>
      </c>
      <c r="N635" s="624">
        <v>45159</v>
      </c>
      <c r="U635" s="613">
        <v>1</v>
      </c>
      <c r="W635" s="613">
        <f t="shared" si="78"/>
        <v>1</v>
      </c>
      <c r="AB635" s="527">
        <f t="shared" si="91"/>
        <v>0</v>
      </c>
      <c r="AC635" s="527">
        <f t="shared" si="92"/>
        <v>0</v>
      </c>
      <c r="AD635" s="527">
        <f t="shared" si="93"/>
        <v>0</v>
      </c>
      <c r="AE635" s="527">
        <f t="shared" si="94"/>
        <v>0</v>
      </c>
      <c r="AF635" s="527">
        <f t="shared" si="95"/>
        <v>0</v>
      </c>
      <c r="AG635" s="527">
        <f t="shared" si="96"/>
        <v>4.62</v>
      </c>
      <c r="AH635" s="527"/>
      <c r="AI635" s="639">
        <f t="shared" si="97"/>
        <v>4.62</v>
      </c>
    </row>
    <row r="636" spans="1:37" ht="12.75" customHeight="1" x14ac:dyDescent="0.2">
      <c r="A636" s="527">
        <v>626</v>
      </c>
      <c r="C636" s="533" t="s">
        <v>3706</v>
      </c>
      <c r="E636" s="527" t="s">
        <v>3712</v>
      </c>
      <c r="G636" s="612">
        <v>4568</v>
      </c>
      <c r="K636" s="533" t="s">
        <v>3616</v>
      </c>
      <c r="N636" s="624">
        <v>45159</v>
      </c>
      <c r="U636" s="613">
        <v>1</v>
      </c>
      <c r="W636" s="613">
        <f t="shared" si="78"/>
        <v>1</v>
      </c>
      <c r="AB636" s="527">
        <f t="shared" si="91"/>
        <v>0</v>
      </c>
      <c r="AC636" s="527">
        <f t="shared" si="92"/>
        <v>0</v>
      </c>
      <c r="AD636" s="527">
        <f t="shared" si="93"/>
        <v>0</v>
      </c>
      <c r="AE636" s="527">
        <f t="shared" si="94"/>
        <v>0</v>
      </c>
      <c r="AF636" s="527">
        <f t="shared" si="95"/>
        <v>0</v>
      </c>
      <c r="AG636" s="527">
        <f t="shared" si="96"/>
        <v>4568</v>
      </c>
      <c r="AH636" s="527"/>
      <c r="AI636" s="639">
        <f t="shared" si="97"/>
        <v>4568</v>
      </c>
    </row>
    <row r="637" spans="1:37" ht="12.75" customHeight="1" x14ac:dyDescent="0.2">
      <c r="A637" s="527">
        <v>627</v>
      </c>
      <c r="C637" s="533" t="s">
        <v>3707</v>
      </c>
      <c r="E637" s="527" t="s">
        <v>3713</v>
      </c>
      <c r="G637" s="612">
        <v>24000</v>
      </c>
      <c r="K637" s="533" t="s">
        <v>3616</v>
      </c>
      <c r="N637" s="624">
        <v>45159</v>
      </c>
      <c r="R637" s="911">
        <v>1</v>
      </c>
      <c r="W637" s="613">
        <f t="shared" ref="W637:W700" si="98">SUM(P637:V637)</f>
        <v>1</v>
      </c>
      <c r="AB637" s="527">
        <f t="shared" si="91"/>
        <v>0</v>
      </c>
      <c r="AC637" s="527">
        <f t="shared" si="92"/>
        <v>0</v>
      </c>
      <c r="AD637" s="527">
        <f t="shared" si="93"/>
        <v>24000</v>
      </c>
      <c r="AE637" s="527">
        <f t="shared" si="94"/>
        <v>0</v>
      </c>
      <c r="AF637" s="527">
        <f t="shared" si="95"/>
        <v>0</v>
      </c>
      <c r="AG637" s="527">
        <f t="shared" si="96"/>
        <v>0</v>
      </c>
      <c r="AH637" s="527"/>
      <c r="AI637" s="639">
        <f t="shared" si="97"/>
        <v>24000</v>
      </c>
    </row>
    <row r="638" spans="1:37" ht="12.75" customHeight="1" x14ac:dyDescent="0.2">
      <c r="A638" s="527">
        <v>628</v>
      </c>
      <c r="C638" s="533" t="s">
        <v>3714</v>
      </c>
      <c r="E638" s="527" t="s">
        <v>3715</v>
      </c>
      <c r="G638" s="612">
        <v>616</v>
      </c>
      <c r="K638" s="533" t="s">
        <v>3616</v>
      </c>
      <c r="N638" s="624">
        <v>45172</v>
      </c>
      <c r="U638" s="613">
        <v>1</v>
      </c>
      <c r="W638" s="613">
        <f t="shared" si="98"/>
        <v>1</v>
      </c>
      <c r="AB638" s="527">
        <f t="shared" si="91"/>
        <v>0</v>
      </c>
      <c r="AC638" s="527">
        <f t="shared" si="92"/>
        <v>0</v>
      </c>
      <c r="AD638" s="527">
        <f t="shared" si="93"/>
        <v>0</v>
      </c>
      <c r="AE638" s="527">
        <f t="shared" si="94"/>
        <v>0</v>
      </c>
      <c r="AF638" s="527">
        <f t="shared" si="95"/>
        <v>0</v>
      </c>
      <c r="AG638" s="527">
        <f t="shared" si="96"/>
        <v>616</v>
      </c>
      <c r="AH638" s="527"/>
      <c r="AI638" s="639">
        <f t="shared" si="97"/>
        <v>616</v>
      </c>
    </row>
    <row r="639" spans="1:37" ht="12.75" customHeight="1" x14ac:dyDescent="0.2">
      <c r="A639" s="527">
        <v>629</v>
      </c>
      <c r="C639" s="533" t="s">
        <v>3716</v>
      </c>
      <c r="E639" s="527" t="s">
        <v>3717</v>
      </c>
      <c r="G639" s="612">
        <v>944</v>
      </c>
      <c r="K639" s="533" t="s">
        <v>3616</v>
      </c>
      <c r="N639" s="624">
        <v>45172</v>
      </c>
      <c r="U639" s="613">
        <v>1</v>
      </c>
      <c r="W639" s="613">
        <f t="shared" si="98"/>
        <v>1</v>
      </c>
      <c r="AB639" s="527">
        <f t="shared" si="91"/>
        <v>0</v>
      </c>
      <c r="AC639" s="527">
        <f t="shared" si="92"/>
        <v>0</v>
      </c>
      <c r="AD639" s="527">
        <f t="shared" si="93"/>
        <v>0</v>
      </c>
      <c r="AE639" s="527">
        <f t="shared" si="94"/>
        <v>0</v>
      </c>
      <c r="AF639" s="527">
        <f t="shared" si="95"/>
        <v>0</v>
      </c>
      <c r="AG639" s="527">
        <f t="shared" si="96"/>
        <v>944</v>
      </c>
      <c r="AH639" s="527"/>
      <c r="AI639" s="639">
        <f t="shared" si="97"/>
        <v>944</v>
      </c>
    </row>
    <row r="640" spans="1:37" ht="12.75" customHeight="1" x14ac:dyDescent="0.2">
      <c r="A640" s="527">
        <v>630</v>
      </c>
      <c r="C640" s="533" t="s">
        <v>3718</v>
      </c>
      <c r="E640" s="527" t="s">
        <v>3719</v>
      </c>
      <c r="G640" s="612">
        <v>25.4</v>
      </c>
      <c r="K640" s="533" t="s">
        <v>3616</v>
      </c>
      <c r="N640" s="624">
        <v>45198</v>
      </c>
      <c r="U640" s="613">
        <v>1</v>
      </c>
      <c r="W640" s="613">
        <f t="shared" si="98"/>
        <v>1</v>
      </c>
      <c r="AB640" s="527">
        <f t="shared" si="91"/>
        <v>0</v>
      </c>
      <c r="AC640" s="527">
        <f t="shared" si="92"/>
        <v>0</v>
      </c>
      <c r="AD640" s="527">
        <f t="shared" si="93"/>
        <v>0</v>
      </c>
      <c r="AE640" s="527">
        <f t="shared" si="94"/>
        <v>0</v>
      </c>
      <c r="AF640" s="527">
        <f t="shared" si="95"/>
        <v>0</v>
      </c>
      <c r="AG640" s="527">
        <f t="shared" si="96"/>
        <v>25.4</v>
      </c>
      <c r="AH640" s="527"/>
      <c r="AI640" s="639">
        <f t="shared" si="97"/>
        <v>25.4</v>
      </c>
    </row>
    <row r="641" spans="1:35" ht="12.75" customHeight="1" x14ac:dyDescent="0.2">
      <c r="A641" s="527">
        <v>631</v>
      </c>
      <c r="C641" s="533" t="s">
        <v>3720</v>
      </c>
      <c r="E641" s="527" t="s">
        <v>3721</v>
      </c>
      <c r="G641" s="971">
        <v>7.4</v>
      </c>
      <c r="K641" s="533" t="s">
        <v>3616</v>
      </c>
      <c r="N641" s="624">
        <v>45198</v>
      </c>
      <c r="U641" s="613">
        <v>1</v>
      </c>
      <c r="W641" s="613">
        <f t="shared" si="98"/>
        <v>1</v>
      </c>
      <c r="AB641" s="527">
        <f t="shared" si="91"/>
        <v>0</v>
      </c>
      <c r="AC641" s="527">
        <f t="shared" si="92"/>
        <v>0</v>
      </c>
      <c r="AD641" s="527">
        <f t="shared" si="93"/>
        <v>0</v>
      </c>
      <c r="AE641" s="527">
        <f t="shared" si="94"/>
        <v>0</v>
      </c>
      <c r="AF641" s="527">
        <f t="shared" si="95"/>
        <v>0</v>
      </c>
      <c r="AG641" s="527">
        <f t="shared" si="96"/>
        <v>7.4</v>
      </c>
      <c r="AH641" s="527"/>
      <c r="AI641" s="639">
        <f t="shared" si="97"/>
        <v>7.4</v>
      </c>
    </row>
    <row r="642" spans="1:35" ht="12.75" customHeight="1" x14ac:dyDescent="0.2">
      <c r="A642" s="527">
        <v>632</v>
      </c>
      <c r="C642" s="533" t="s">
        <v>3722</v>
      </c>
      <c r="E642" s="527" t="s">
        <v>3723</v>
      </c>
      <c r="G642" s="612">
        <v>644</v>
      </c>
      <c r="K642" s="533" t="s">
        <v>3616</v>
      </c>
      <c r="N642" s="624">
        <v>45198</v>
      </c>
      <c r="U642" s="613">
        <v>1</v>
      </c>
      <c r="W642" s="613">
        <f t="shared" si="98"/>
        <v>1</v>
      </c>
      <c r="AB642" s="527">
        <f t="shared" si="91"/>
        <v>0</v>
      </c>
      <c r="AC642" s="527">
        <f t="shared" si="92"/>
        <v>0</v>
      </c>
      <c r="AD642" s="527">
        <f t="shared" si="93"/>
        <v>0</v>
      </c>
      <c r="AE642" s="527">
        <f t="shared" si="94"/>
        <v>0</v>
      </c>
      <c r="AF642" s="527">
        <f t="shared" si="95"/>
        <v>0</v>
      </c>
      <c r="AG642" s="527">
        <f t="shared" si="96"/>
        <v>644</v>
      </c>
      <c r="AH642" s="527"/>
      <c r="AI642" s="639">
        <f t="shared" si="97"/>
        <v>644</v>
      </c>
    </row>
    <row r="643" spans="1:35" ht="12.75" customHeight="1" x14ac:dyDescent="0.2">
      <c r="A643" s="527">
        <v>633</v>
      </c>
      <c r="C643" s="533" t="s">
        <v>3724</v>
      </c>
      <c r="E643" s="527" t="s">
        <v>3732</v>
      </c>
      <c r="G643" s="612">
        <v>160</v>
      </c>
      <c r="K643" s="533" t="s">
        <v>3616</v>
      </c>
      <c r="N643" s="624">
        <v>45198</v>
      </c>
      <c r="U643" s="613">
        <v>1</v>
      </c>
      <c r="W643" s="613">
        <f t="shared" si="98"/>
        <v>1</v>
      </c>
      <c r="AB643" s="527">
        <f t="shared" si="91"/>
        <v>0</v>
      </c>
      <c r="AC643" s="527">
        <f t="shared" si="92"/>
        <v>0</v>
      </c>
      <c r="AD643" s="527">
        <f t="shared" si="93"/>
        <v>0</v>
      </c>
      <c r="AE643" s="527">
        <f t="shared" si="94"/>
        <v>0</v>
      </c>
      <c r="AF643" s="527">
        <f t="shared" si="95"/>
        <v>0</v>
      </c>
      <c r="AG643" s="527">
        <f t="shared" si="96"/>
        <v>160</v>
      </c>
      <c r="AH643" s="527"/>
      <c r="AI643" s="639">
        <f t="shared" si="97"/>
        <v>160</v>
      </c>
    </row>
    <row r="644" spans="1:35" ht="12.75" customHeight="1" x14ac:dyDescent="0.2">
      <c r="A644" s="527">
        <v>634</v>
      </c>
      <c r="C644" s="533" t="s">
        <v>3727</v>
      </c>
      <c r="E644" s="527" t="s">
        <v>3373</v>
      </c>
      <c r="G644" s="612">
        <v>660</v>
      </c>
      <c r="K644" s="533" t="s">
        <v>3616</v>
      </c>
      <c r="N644" s="624">
        <v>44484</v>
      </c>
      <c r="U644" s="613">
        <v>1</v>
      </c>
      <c r="W644" s="613">
        <f t="shared" si="98"/>
        <v>1</v>
      </c>
      <c r="AB644" s="527">
        <f t="shared" si="91"/>
        <v>0</v>
      </c>
      <c r="AC644" s="527">
        <f t="shared" si="92"/>
        <v>0</v>
      </c>
      <c r="AD644" s="527">
        <f t="shared" si="93"/>
        <v>0</v>
      </c>
      <c r="AE644" s="527">
        <f t="shared" si="94"/>
        <v>0</v>
      </c>
      <c r="AF644" s="527">
        <f t="shared" si="95"/>
        <v>0</v>
      </c>
      <c r="AG644" s="527">
        <f t="shared" si="96"/>
        <v>660</v>
      </c>
      <c r="AH644" s="527"/>
      <c r="AI644" s="639">
        <f t="shared" si="97"/>
        <v>660</v>
      </c>
    </row>
    <row r="645" spans="1:35" ht="12.75" customHeight="1" x14ac:dyDescent="0.2">
      <c r="A645" s="527">
        <v>635</v>
      </c>
      <c r="C645" s="533" t="s">
        <v>3728</v>
      </c>
      <c r="E645" s="527" t="s">
        <v>3735</v>
      </c>
      <c r="G645" s="612">
        <v>251</v>
      </c>
      <c r="K645" s="533" t="s">
        <v>3616</v>
      </c>
      <c r="N645" s="624">
        <v>44484</v>
      </c>
      <c r="U645" s="613">
        <v>1</v>
      </c>
      <c r="W645" s="613">
        <f t="shared" si="98"/>
        <v>1</v>
      </c>
      <c r="AB645" s="527">
        <f t="shared" si="91"/>
        <v>0</v>
      </c>
      <c r="AC645" s="527">
        <f t="shared" si="92"/>
        <v>0</v>
      </c>
      <c r="AD645" s="527">
        <f t="shared" si="93"/>
        <v>0</v>
      </c>
      <c r="AE645" s="527">
        <f t="shared" si="94"/>
        <v>0</v>
      </c>
      <c r="AF645" s="527">
        <f t="shared" si="95"/>
        <v>0</v>
      </c>
      <c r="AG645" s="527">
        <f t="shared" si="96"/>
        <v>251</v>
      </c>
      <c r="AH645" s="527"/>
      <c r="AI645" s="639">
        <f t="shared" si="97"/>
        <v>251</v>
      </c>
    </row>
    <row r="646" spans="1:35" ht="12.75" customHeight="1" x14ac:dyDescent="0.2">
      <c r="A646" s="527">
        <v>636</v>
      </c>
      <c r="C646" s="533" t="s">
        <v>3730</v>
      </c>
      <c r="E646" s="527" t="s">
        <v>3736</v>
      </c>
      <c r="G646" s="971">
        <v>10</v>
      </c>
      <c r="K646" s="533" t="s">
        <v>3616</v>
      </c>
      <c r="N646" s="624">
        <v>44484</v>
      </c>
      <c r="U646" s="613">
        <v>1</v>
      </c>
      <c r="W646" s="613">
        <f t="shared" si="98"/>
        <v>1</v>
      </c>
      <c r="AB646" s="527">
        <f t="shared" si="91"/>
        <v>0</v>
      </c>
      <c r="AC646" s="527">
        <f t="shared" si="92"/>
        <v>0</v>
      </c>
      <c r="AD646" s="527">
        <f t="shared" si="93"/>
        <v>0</v>
      </c>
      <c r="AE646" s="527">
        <f t="shared" si="94"/>
        <v>0</v>
      </c>
      <c r="AF646" s="527">
        <f t="shared" si="95"/>
        <v>0</v>
      </c>
      <c r="AG646" s="527">
        <f t="shared" si="96"/>
        <v>10</v>
      </c>
      <c r="AH646" s="527"/>
      <c r="AI646" s="639">
        <f t="shared" si="97"/>
        <v>10</v>
      </c>
    </row>
    <row r="647" spans="1:35" ht="12.75" customHeight="1" x14ac:dyDescent="0.2">
      <c r="A647" s="527">
        <v>637</v>
      </c>
      <c r="C647" s="533" t="s">
        <v>3731</v>
      </c>
      <c r="E647" s="527" t="s">
        <v>3737</v>
      </c>
      <c r="G647" s="612">
        <v>2955</v>
      </c>
      <c r="K647" s="533" t="s">
        <v>3616</v>
      </c>
      <c r="N647" s="624">
        <v>44484</v>
      </c>
      <c r="U647" s="613">
        <v>1</v>
      </c>
      <c r="W647" s="613">
        <f t="shared" si="98"/>
        <v>1</v>
      </c>
      <c r="AB647" s="527">
        <f t="shared" si="91"/>
        <v>0</v>
      </c>
      <c r="AC647" s="527">
        <f t="shared" si="92"/>
        <v>0</v>
      </c>
      <c r="AD647" s="527">
        <f t="shared" si="93"/>
        <v>0</v>
      </c>
      <c r="AE647" s="527">
        <f t="shared" si="94"/>
        <v>0</v>
      </c>
      <c r="AF647" s="527">
        <f t="shared" si="95"/>
        <v>0</v>
      </c>
      <c r="AG647" s="527">
        <f t="shared" si="96"/>
        <v>2955</v>
      </c>
      <c r="AH647" s="527"/>
      <c r="AI647" s="639">
        <f t="shared" si="97"/>
        <v>2955</v>
      </c>
    </row>
    <row r="648" spans="1:35" ht="12.75" customHeight="1" x14ac:dyDescent="0.2">
      <c r="A648" s="527">
        <v>638</v>
      </c>
      <c r="C648" s="533" t="s">
        <v>3726</v>
      </c>
      <c r="E648" s="527" t="s">
        <v>3734</v>
      </c>
      <c r="G648" s="612">
        <v>340.38</v>
      </c>
      <c r="K648" s="533" t="s">
        <v>3616</v>
      </c>
      <c r="N648" s="624">
        <v>44490</v>
      </c>
      <c r="U648" s="613">
        <v>1</v>
      </c>
      <c r="W648" s="613">
        <f t="shared" si="98"/>
        <v>1</v>
      </c>
      <c r="AB648" s="527">
        <f t="shared" si="91"/>
        <v>0</v>
      </c>
      <c r="AC648" s="527">
        <f t="shared" si="92"/>
        <v>0</v>
      </c>
      <c r="AD648" s="527">
        <f t="shared" si="93"/>
        <v>0</v>
      </c>
      <c r="AE648" s="527">
        <f t="shared" si="94"/>
        <v>0</v>
      </c>
      <c r="AF648" s="527">
        <f t="shared" si="95"/>
        <v>0</v>
      </c>
      <c r="AG648" s="527">
        <f t="shared" si="96"/>
        <v>340.38</v>
      </c>
      <c r="AH648" s="527"/>
      <c r="AI648" s="639">
        <f t="shared" si="97"/>
        <v>340.38</v>
      </c>
    </row>
    <row r="649" spans="1:35" ht="12.75" customHeight="1" x14ac:dyDescent="0.2">
      <c r="A649" s="527">
        <v>639</v>
      </c>
      <c r="C649" s="533" t="s">
        <v>3729</v>
      </c>
      <c r="E649" s="527" t="s">
        <v>3732</v>
      </c>
      <c r="G649" s="612">
        <v>4161</v>
      </c>
      <c r="K649" s="533" t="s">
        <v>3616</v>
      </c>
      <c r="N649" s="624">
        <v>44490</v>
      </c>
      <c r="U649" s="613">
        <v>1</v>
      </c>
      <c r="W649" s="613">
        <f t="shared" si="98"/>
        <v>1</v>
      </c>
      <c r="AB649" s="527">
        <f t="shared" si="91"/>
        <v>0</v>
      </c>
      <c r="AC649" s="527">
        <f t="shared" si="92"/>
        <v>0</v>
      </c>
      <c r="AD649" s="527">
        <f t="shared" si="93"/>
        <v>0</v>
      </c>
      <c r="AE649" s="527">
        <f t="shared" si="94"/>
        <v>0</v>
      </c>
      <c r="AF649" s="527">
        <f t="shared" si="95"/>
        <v>0</v>
      </c>
      <c r="AG649" s="527">
        <f t="shared" si="96"/>
        <v>4161</v>
      </c>
      <c r="AH649" s="527"/>
      <c r="AI649" s="639">
        <f t="shared" si="97"/>
        <v>4161</v>
      </c>
    </row>
    <row r="650" spans="1:35" ht="12.75" customHeight="1" x14ac:dyDescent="0.2">
      <c r="A650" s="527">
        <v>640</v>
      </c>
      <c r="C650" s="533" t="s">
        <v>3725</v>
      </c>
      <c r="E650" s="527" t="s">
        <v>3733</v>
      </c>
      <c r="G650" s="612">
        <v>6000</v>
      </c>
      <c r="K650" s="533" t="s">
        <v>3616</v>
      </c>
      <c r="N650" s="624">
        <v>45220</v>
      </c>
      <c r="U650" s="613">
        <v>1</v>
      </c>
      <c r="W650" s="613">
        <f t="shared" si="98"/>
        <v>1</v>
      </c>
      <c r="AB650" s="527">
        <f t="shared" si="91"/>
        <v>0</v>
      </c>
      <c r="AC650" s="527">
        <f t="shared" si="92"/>
        <v>0</v>
      </c>
      <c r="AD650" s="527">
        <f t="shared" si="93"/>
        <v>0</v>
      </c>
      <c r="AE650" s="527">
        <f t="shared" si="94"/>
        <v>0</v>
      </c>
      <c r="AF650" s="527">
        <f t="shared" si="95"/>
        <v>0</v>
      </c>
      <c r="AG650" s="527">
        <f t="shared" si="96"/>
        <v>6000</v>
      </c>
      <c r="AH650" s="527"/>
      <c r="AI650" s="639">
        <f t="shared" si="97"/>
        <v>6000</v>
      </c>
    </row>
    <row r="651" spans="1:35" ht="12.75" customHeight="1" x14ac:dyDescent="0.2">
      <c r="A651" s="527">
        <v>641</v>
      </c>
      <c r="C651" s="533" t="s">
        <v>3738</v>
      </c>
      <c r="E651" s="527" t="s">
        <v>3733</v>
      </c>
      <c r="G651" s="612">
        <v>1400</v>
      </c>
      <c r="K651" s="533" t="s">
        <v>3616</v>
      </c>
      <c r="N651" s="624">
        <v>45240</v>
      </c>
      <c r="U651" s="613">
        <v>1</v>
      </c>
      <c r="W651" s="613">
        <f t="shared" si="98"/>
        <v>1</v>
      </c>
      <c r="AB651" s="527">
        <f t="shared" si="91"/>
        <v>0</v>
      </c>
      <c r="AC651" s="527">
        <f t="shared" si="92"/>
        <v>0</v>
      </c>
      <c r="AD651" s="527">
        <f t="shared" si="93"/>
        <v>0</v>
      </c>
      <c r="AE651" s="527">
        <f t="shared" si="94"/>
        <v>0</v>
      </c>
      <c r="AF651" s="527">
        <f t="shared" si="95"/>
        <v>0</v>
      </c>
      <c r="AG651" s="527">
        <f t="shared" si="96"/>
        <v>1400</v>
      </c>
      <c r="AH651" s="527"/>
      <c r="AI651" s="639">
        <f t="shared" si="97"/>
        <v>1400</v>
      </c>
    </row>
    <row r="652" spans="1:35" ht="12.75" customHeight="1" x14ac:dyDescent="0.2">
      <c r="A652" s="527">
        <v>642</v>
      </c>
      <c r="C652" s="533" t="s">
        <v>3739</v>
      </c>
      <c r="E652" s="527" t="s">
        <v>3746</v>
      </c>
      <c r="G652" s="612">
        <v>482</v>
      </c>
      <c r="K652" s="533" t="s">
        <v>3616</v>
      </c>
      <c r="N652" s="624">
        <v>45240</v>
      </c>
      <c r="U652" s="613">
        <v>1</v>
      </c>
      <c r="W652" s="613">
        <f t="shared" si="98"/>
        <v>1</v>
      </c>
      <c r="AB652" s="527">
        <f t="shared" si="91"/>
        <v>0</v>
      </c>
      <c r="AC652" s="527">
        <f t="shared" si="92"/>
        <v>0</v>
      </c>
      <c r="AD652" s="527">
        <f t="shared" si="93"/>
        <v>0</v>
      </c>
      <c r="AE652" s="527">
        <f t="shared" si="94"/>
        <v>0</v>
      </c>
      <c r="AF652" s="527">
        <f t="shared" si="95"/>
        <v>0</v>
      </c>
      <c r="AG652" s="527">
        <f t="shared" si="96"/>
        <v>482</v>
      </c>
      <c r="AH652" s="527"/>
      <c r="AI652" s="639">
        <f t="shared" si="97"/>
        <v>482</v>
      </c>
    </row>
    <row r="653" spans="1:35" ht="12.75" customHeight="1" x14ac:dyDescent="0.2">
      <c r="A653" s="527">
        <v>643</v>
      </c>
      <c r="C653" s="533" t="s">
        <v>3740</v>
      </c>
      <c r="E653" s="527" t="s">
        <v>3345</v>
      </c>
      <c r="G653" s="612">
        <v>1977</v>
      </c>
      <c r="K653" s="533" t="s">
        <v>3616</v>
      </c>
      <c r="N653" s="624">
        <v>45240</v>
      </c>
      <c r="U653" s="613">
        <v>1</v>
      </c>
      <c r="W653" s="613">
        <f t="shared" si="98"/>
        <v>1</v>
      </c>
      <c r="AB653" s="527">
        <f t="shared" si="91"/>
        <v>0</v>
      </c>
      <c r="AC653" s="527">
        <f t="shared" si="92"/>
        <v>0</v>
      </c>
      <c r="AD653" s="527">
        <f t="shared" si="93"/>
        <v>0</v>
      </c>
      <c r="AE653" s="527">
        <f t="shared" si="94"/>
        <v>0</v>
      </c>
      <c r="AF653" s="527">
        <f t="shared" si="95"/>
        <v>0</v>
      </c>
      <c r="AG653" s="527">
        <f t="shared" si="96"/>
        <v>1977</v>
      </c>
      <c r="AH653" s="527"/>
      <c r="AI653" s="639">
        <f t="shared" si="97"/>
        <v>1977</v>
      </c>
    </row>
    <row r="654" spans="1:35" ht="12.75" customHeight="1" x14ac:dyDescent="0.2">
      <c r="A654" s="527">
        <v>644</v>
      </c>
      <c r="C654" s="533" t="s">
        <v>3745</v>
      </c>
      <c r="E654" s="527" t="s">
        <v>3747</v>
      </c>
      <c r="G654" s="612">
        <v>10201</v>
      </c>
      <c r="K654" s="533" t="s">
        <v>3616</v>
      </c>
      <c r="N654" s="624">
        <v>45240</v>
      </c>
      <c r="U654" s="613">
        <v>1</v>
      </c>
      <c r="W654" s="613">
        <f t="shared" si="98"/>
        <v>1</v>
      </c>
      <c r="AB654" s="527">
        <f t="shared" si="91"/>
        <v>0</v>
      </c>
      <c r="AC654" s="527">
        <f t="shared" si="92"/>
        <v>0</v>
      </c>
      <c r="AD654" s="527">
        <f t="shared" si="93"/>
        <v>0</v>
      </c>
      <c r="AE654" s="527">
        <f t="shared" si="94"/>
        <v>0</v>
      </c>
      <c r="AF654" s="527">
        <f t="shared" si="95"/>
        <v>0</v>
      </c>
      <c r="AG654" s="527">
        <f t="shared" si="96"/>
        <v>10201</v>
      </c>
      <c r="AH654" s="527"/>
      <c r="AI654" s="639">
        <f t="shared" si="97"/>
        <v>10201</v>
      </c>
    </row>
    <row r="655" spans="1:35" ht="12.75" customHeight="1" x14ac:dyDescent="0.2">
      <c r="A655" s="527">
        <v>645</v>
      </c>
      <c r="C655" s="533" t="s">
        <v>3741</v>
      </c>
      <c r="E655" s="527" t="s">
        <v>3748</v>
      </c>
      <c r="G655" s="612">
        <v>7525</v>
      </c>
      <c r="K655" s="533" t="s">
        <v>3616</v>
      </c>
      <c r="N655" s="624">
        <v>45240</v>
      </c>
      <c r="U655" s="613">
        <v>1</v>
      </c>
      <c r="W655" s="613">
        <f t="shared" si="98"/>
        <v>1</v>
      </c>
      <c r="AB655" s="527">
        <f t="shared" si="91"/>
        <v>0</v>
      </c>
      <c r="AC655" s="527">
        <f t="shared" si="92"/>
        <v>0</v>
      </c>
      <c r="AD655" s="527">
        <f t="shared" si="93"/>
        <v>0</v>
      </c>
      <c r="AE655" s="527">
        <f t="shared" si="94"/>
        <v>0</v>
      </c>
      <c r="AF655" s="527">
        <f t="shared" si="95"/>
        <v>0</v>
      </c>
      <c r="AG655" s="527">
        <f t="shared" si="96"/>
        <v>7525</v>
      </c>
      <c r="AH655" s="527"/>
      <c r="AI655" s="639">
        <f t="shared" si="97"/>
        <v>7525</v>
      </c>
    </row>
    <row r="656" spans="1:35" ht="12.75" customHeight="1" x14ac:dyDescent="0.2">
      <c r="A656" s="527">
        <v>646</v>
      </c>
      <c r="C656" s="533" t="s">
        <v>3742</v>
      </c>
      <c r="E656" s="527" t="s">
        <v>3749</v>
      </c>
      <c r="G656" s="612">
        <v>20000</v>
      </c>
      <c r="K656" s="533" t="s">
        <v>3616</v>
      </c>
      <c r="N656" s="624">
        <v>45240</v>
      </c>
      <c r="U656" s="613">
        <v>1</v>
      </c>
      <c r="W656" s="613">
        <f t="shared" si="98"/>
        <v>1</v>
      </c>
      <c r="AB656" s="527">
        <f t="shared" si="91"/>
        <v>0</v>
      </c>
      <c r="AC656" s="527">
        <f t="shared" si="92"/>
        <v>0</v>
      </c>
      <c r="AD656" s="527">
        <f t="shared" si="93"/>
        <v>0</v>
      </c>
      <c r="AE656" s="527">
        <f t="shared" si="94"/>
        <v>0</v>
      </c>
      <c r="AF656" s="527">
        <f t="shared" si="95"/>
        <v>0</v>
      </c>
      <c r="AG656" s="527">
        <f t="shared" si="96"/>
        <v>20000</v>
      </c>
      <c r="AH656" s="527"/>
      <c r="AI656" s="639">
        <f t="shared" si="97"/>
        <v>20000</v>
      </c>
    </row>
    <row r="657" spans="1:37" ht="12.75" customHeight="1" x14ac:dyDescent="0.2">
      <c r="A657" s="527">
        <v>647</v>
      </c>
      <c r="C657" s="533" t="s">
        <v>3743</v>
      </c>
      <c r="E657" s="527" t="s">
        <v>3589</v>
      </c>
      <c r="G657" s="612">
        <v>3120</v>
      </c>
      <c r="K657" s="533" t="s">
        <v>3616</v>
      </c>
      <c r="N657" s="624">
        <v>45240</v>
      </c>
      <c r="U657" s="613">
        <v>1</v>
      </c>
      <c r="W657" s="613">
        <f t="shared" si="98"/>
        <v>1</v>
      </c>
      <c r="AB657" s="527">
        <f t="shared" si="91"/>
        <v>0</v>
      </c>
      <c r="AC657" s="527">
        <f t="shared" si="92"/>
        <v>0</v>
      </c>
      <c r="AD657" s="527">
        <f t="shared" si="93"/>
        <v>0</v>
      </c>
      <c r="AE657" s="527">
        <f t="shared" si="94"/>
        <v>0</v>
      </c>
      <c r="AF657" s="527">
        <f t="shared" si="95"/>
        <v>0</v>
      </c>
      <c r="AG657" s="527">
        <f t="shared" si="96"/>
        <v>3120</v>
      </c>
      <c r="AH657" s="527"/>
      <c r="AI657" s="639">
        <f t="shared" si="97"/>
        <v>3120</v>
      </c>
    </row>
    <row r="658" spans="1:37" ht="12.75" customHeight="1" x14ac:dyDescent="0.2">
      <c r="A658" s="527">
        <v>648</v>
      </c>
      <c r="C658" s="533" t="s">
        <v>3744</v>
      </c>
      <c r="E658" s="527" t="s">
        <v>3750</v>
      </c>
      <c r="G658" s="612">
        <v>394</v>
      </c>
      <c r="K658" s="533" t="s">
        <v>3616</v>
      </c>
      <c r="N658" s="624">
        <v>45240</v>
      </c>
      <c r="U658" s="613">
        <v>1</v>
      </c>
      <c r="W658" s="613">
        <f t="shared" si="98"/>
        <v>1</v>
      </c>
      <c r="AB658" s="527">
        <f t="shared" si="91"/>
        <v>0</v>
      </c>
      <c r="AC658" s="527">
        <f t="shared" si="92"/>
        <v>0</v>
      </c>
      <c r="AD658" s="527">
        <f t="shared" si="93"/>
        <v>0</v>
      </c>
      <c r="AE658" s="527">
        <f t="shared" si="94"/>
        <v>0</v>
      </c>
      <c r="AF658" s="527">
        <f t="shared" si="95"/>
        <v>0</v>
      </c>
      <c r="AG658" s="527">
        <f t="shared" si="96"/>
        <v>394</v>
      </c>
      <c r="AH658" s="527"/>
      <c r="AI658" s="639">
        <f t="shared" si="97"/>
        <v>394</v>
      </c>
    </row>
    <row r="659" spans="1:37" ht="12.75" customHeight="1" x14ac:dyDescent="0.2">
      <c r="A659" s="527">
        <v>649</v>
      </c>
      <c r="C659" s="533" t="s">
        <v>3751</v>
      </c>
      <c r="E659" s="527" t="s">
        <v>3752</v>
      </c>
      <c r="G659" s="612">
        <v>6829</v>
      </c>
      <c r="K659" s="533" t="s">
        <v>3616</v>
      </c>
      <c r="N659" s="624">
        <v>45243</v>
      </c>
      <c r="U659" s="613">
        <v>1</v>
      </c>
      <c r="W659" s="613">
        <f t="shared" si="98"/>
        <v>1</v>
      </c>
      <c r="AB659" s="527">
        <f t="shared" si="91"/>
        <v>0</v>
      </c>
      <c r="AC659" s="527">
        <f t="shared" si="92"/>
        <v>0</v>
      </c>
      <c r="AD659" s="527">
        <f t="shared" si="93"/>
        <v>0</v>
      </c>
      <c r="AE659" s="527">
        <f t="shared" si="94"/>
        <v>0</v>
      </c>
      <c r="AF659" s="527">
        <f t="shared" si="95"/>
        <v>0</v>
      </c>
      <c r="AG659" s="527">
        <f t="shared" si="96"/>
        <v>6829</v>
      </c>
      <c r="AH659" s="527"/>
      <c r="AI659" s="639">
        <f t="shared" si="97"/>
        <v>6829</v>
      </c>
    </row>
    <row r="660" spans="1:37" ht="12.75" customHeight="1" x14ac:dyDescent="0.2">
      <c r="A660" s="527">
        <v>650</v>
      </c>
      <c r="C660" s="533" t="s">
        <v>3753</v>
      </c>
      <c r="E660" s="527" t="s">
        <v>3746</v>
      </c>
      <c r="G660" s="612">
        <v>28800</v>
      </c>
      <c r="K660" s="533" t="s">
        <v>3616</v>
      </c>
      <c r="N660" s="624">
        <v>45294</v>
      </c>
      <c r="U660" s="613">
        <v>1</v>
      </c>
      <c r="W660" s="613">
        <f t="shared" si="98"/>
        <v>1</v>
      </c>
      <c r="AB660" s="527">
        <f t="shared" si="91"/>
        <v>0</v>
      </c>
      <c r="AC660" s="527">
        <f t="shared" si="92"/>
        <v>0</v>
      </c>
      <c r="AD660" s="527">
        <f t="shared" si="93"/>
        <v>0</v>
      </c>
      <c r="AE660" s="527">
        <f t="shared" si="94"/>
        <v>0</v>
      </c>
      <c r="AF660" s="527">
        <f t="shared" si="95"/>
        <v>0</v>
      </c>
      <c r="AG660" s="527">
        <f t="shared" si="96"/>
        <v>28800</v>
      </c>
      <c r="AH660" s="527"/>
      <c r="AI660" s="639">
        <f t="shared" si="97"/>
        <v>28800</v>
      </c>
    </row>
    <row r="661" spans="1:37" ht="12.75" customHeight="1" x14ac:dyDescent="0.2">
      <c r="A661" s="527">
        <v>651</v>
      </c>
      <c r="C661" s="533" t="s">
        <v>3754</v>
      </c>
      <c r="E661" s="527" t="s">
        <v>3759</v>
      </c>
      <c r="G661" s="612">
        <v>497</v>
      </c>
      <c r="K661" s="533" t="s">
        <v>3616</v>
      </c>
      <c r="N661" s="624">
        <v>45294</v>
      </c>
      <c r="U661" s="613">
        <v>1</v>
      </c>
      <c r="W661" s="613">
        <f t="shared" si="98"/>
        <v>1</v>
      </c>
      <c r="AB661" s="527">
        <f t="shared" si="91"/>
        <v>0</v>
      </c>
      <c r="AC661" s="527">
        <f t="shared" si="92"/>
        <v>0</v>
      </c>
      <c r="AD661" s="527">
        <f t="shared" si="93"/>
        <v>0</v>
      </c>
      <c r="AE661" s="527">
        <f t="shared" si="94"/>
        <v>0</v>
      </c>
      <c r="AF661" s="527">
        <f t="shared" si="95"/>
        <v>0</v>
      </c>
      <c r="AG661" s="527">
        <f t="shared" si="96"/>
        <v>497</v>
      </c>
      <c r="AH661" s="527"/>
      <c r="AI661" s="639">
        <f t="shared" si="97"/>
        <v>497</v>
      </c>
    </row>
    <row r="662" spans="1:37" ht="12.75" customHeight="1" x14ac:dyDescent="0.2">
      <c r="A662" s="527">
        <v>652</v>
      </c>
      <c r="C662" s="533" t="s">
        <v>3755</v>
      </c>
      <c r="E662" s="527" t="s">
        <v>3761</v>
      </c>
      <c r="G662" s="612">
        <v>2031</v>
      </c>
      <c r="K662" s="533" t="s">
        <v>3616</v>
      </c>
      <c r="N662" s="624">
        <v>45294</v>
      </c>
      <c r="U662" s="613">
        <v>1</v>
      </c>
      <c r="W662" s="613">
        <f t="shared" si="98"/>
        <v>1</v>
      </c>
      <c r="AB662" s="527">
        <f t="shared" si="91"/>
        <v>0</v>
      </c>
      <c r="AC662" s="527">
        <f t="shared" si="92"/>
        <v>0</v>
      </c>
      <c r="AD662" s="527">
        <f t="shared" si="93"/>
        <v>0</v>
      </c>
      <c r="AE662" s="527">
        <f t="shared" si="94"/>
        <v>0</v>
      </c>
      <c r="AF662" s="527">
        <f t="shared" si="95"/>
        <v>0</v>
      </c>
      <c r="AG662" s="527">
        <f t="shared" si="96"/>
        <v>2031</v>
      </c>
      <c r="AH662" s="527"/>
      <c r="AI662" s="639">
        <f t="shared" si="97"/>
        <v>2031</v>
      </c>
    </row>
    <row r="663" spans="1:37" ht="12.75" customHeight="1" x14ac:dyDescent="0.2">
      <c r="A663" s="527">
        <v>653</v>
      </c>
      <c r="C663" s="533" t="s">
        <v>3756</v>
      </c>
      <c r="E663" s="527" t="s">
        <v>3760</v>
      </c>
      <c r="G663" s="612">
        <v>311</v>
      </c>
      <c r="K663" s="533" t="s">
        <v>3616</v>
      </c>
      <c r="N663" s="624">
        <v>45294</v>
      </c>
      <c r="U663" s="613">
        <v>1</v>
      </c>
      <c r="W663" s="613">
        <f t="shared" si="98"/>
        <v>1</v>
      </c>
      <c r="AB663" s="527">
        <f t="shared" si="91"/>
        <v>0</v>
      </c>
      <c r="AC663" s="527">
        <f t="shared" si="92"/>
        <v>0</v>
      </c>
      <c r="AD663" s="527">
        <f t="shared" si="93"/>
        <v>0</v>
      </c>
      <c r="AE663" s="527">
        <f t="shared" si="94"/>
        <v>0</v>
      </c>
      <c r="AF663" s="527">
        <f t="shared" si="95"/>
        <v>0</v>
      </c>
      <c r="AG663" s="527">
        <f t="shared" si="96"/>
        <v>311</v>
      </c>
      <c r="AH663" s="527"/>
      <c r="AI663" s="639">
        <f t="shared" si="97"/>
        <v>311</v>
      </c>
      <c r="AK663" s="778">
        <v>1</v>
      </c>
    </row>
    <row r="664" spans="1:37" ht="12.75" customHeight="1" x14ac:dyDescent="0.2">
      <c r="A664" s="527">
        <v>654</v>
      </c>
      <c r="C664" s="533" t="s">
        <v>3757</v>
      </c>
      <c r="E664" s="527" t="s">
        <v>3528</v>
      </c>
      <c r="G664" s="612">
        <v>50</v>
      </c>
      <c r="K664" s="533" t="s">
        <v>3616</v>
      </c>
      <c r="N664" s="624">
        <v>45294</v>
      </c>
      <c r="U664" s="613">
        <v>1</v>
      </c>
      <c r="W664" s="613">
        <f t="shared" si="98"/>
        <v>1</v>
      </c>
      <c r="AB664" s="527">
        <f t="shared" si="91"/>
        <v>0</v>
      </c>
      <c r="AC664" s="527">
        <f t="shared" si="92"/>
        <v>0</v>
      </c>
      <c r="AD664" s="527">
        <f t="shared" si="93"/>
        <v>0</v>
      </c>
      <c r="AE664" s="527">
        <f t="shared" si="94"/>
        <v>0</v>
      </c>
      <c r="AF664" s="527">
        <f t="shared" si="95"/>
        <v>0</v>
      </c>
      <c r="AG664" s="527">
        <f t="shared" si="96"/>
        <v>50</v>
      </c>
      <c r="AH664" s="527"/>
      <c r="AI664" s="639">
        <f t="shared" si="97"/>
        <v>50</v>
      </c>
    </row>
    <row r="665" spans="1:37" ht="12.75" customHeight="1" x14ac:dyDescent="0.2">
      <c r="A665" s="527">
        <v>655</v>
      </c>
      <c r="C665" s="533" t="s">
        <v>3758</v>
      </c>
      <c r="E665" s="527" t="s">
        <v>3762</v>
      </c>
      <c r="G665" s="612">
        <v>9500</v>
      </c>
      <c r="K665" s="533" t="s">
        <v>3616</v>
      </c>
      <c r="N665" s="624">
        <v>45294</v>
      </c>
      <c r="U665" s="613">
        <v>1</v>
      </c>
      <c r="W665" s="613">
        <f t="shared" si="98"/>
        <v>1</v>
      </c>
      <c r="AB665" s="527">
        <f t="shared" si="91"/>
        <v>0</v>
      </c>
      <c r="AC665" s="527">
        <f t="shared" si="92"/>
        <v>0</v>
      </c>
      <c r="AD665" s="527">
        <f t="shared" si="93"/>
        <v>0</v>
      </c>
      <c r="AE665" s="527">
        <f t="shared" si="94"/>
        <v>0</v>
      </c>
      <c r="AF665" s="527">
        <f t="shared" si="95"/>
        <v>0</v>
      </c>
      <c r="AG665" s="527">
        <f t="shared" si="96"/>
        <v>9500</v>
      </c>
      <c r="AH665" s="527"/>
      <c r="AI665" s="639">
        <f t="shared" si="97"/>
        <v>9500</v>
      </c>
    </row>
    <row r="666" spans="1:37" ht="12.75" customHeight="1" x14ac:dyDescent="0.2">
      <c r="A666" s="527">
        <v>656</v>
      </c>
      <c r="C666" s="533" t="s">
        <v>3763</v>
      </c>
      <c r="E666" s="527" t="s">
        <v>3528</v>
      </c>
      <c r="F666" s="728"/>
      <c r="G666" s="612">
        <v>50</v>
      </c>
      <c r="H666" s="527"/>
      <c r="J666" s="617"/>
      <c r="K666" s="533" t="s">
        <v>3616</v>
      </c>
      <c r="N666" s="624">
        <v>45296</v>
      </c>
      <c r="U666" s="613">
        <v>1</v>
      </c>
      <c r="W666" s="613">
        <f t="shared" si="98"/>
        <v>1</v>
      </c>
      <c r="AB666" s="527">
        <f t="shared" si="91"/>
        <v>0</v>
      </c>
      <c r="AC666" s="527">
        <f t="shared" si="92"/>
        <v>0</v>
      </c>
      <c r="AD666" s="527">
        <f t="shared" si="93"/>
        <v>0</v>
      </c>
      <c r="AE666" s="527">
        <f t="shared" si="94"/>
        <v>0</v>
      </c>
      <c r="AF666" s="527">
        <f t="shared" si="95"/>
        <v>0</v>
      </c>
      <c r="AG666" s="527">
        <f t="shared" si="96"/>
        <v>50</v>
      </c>
      <c r="AH666" s="527"/>
      <c r="AI666" s="639">
        <f t="shared" si="97"/>
        <v>50</v>
      </c>
    </row>
    <row r="667" spans="1:37" ht="12.75" customHeight="1" x14ac:dyDescent="0.2">
      <c r="A667" s="527">
        <v>657</v>
      </c>
      <c r="C667" s="533" t="s">
        <v>3764</v>
      </c>
      <c r="E667" s="527" t="s">
        <v>3454</v>
      </c>
      <c r="F667" s="728"/>
      <c r="G667" s="612">
        <v>1367</v>
      </c>
      <c r="H667" s="527"/>
      <c r="J667" s="617"/>
      <c r="K667" s="533" t="s">
        <v>3765</v>
      </c>
      <c r="N667" s="624">
        <v>45313</v>
      </c>
      <c r="U667" s="613">
        <v>1</v>
      </c>
      <c r="W667" s="613">
        <f t="shared" si="98"/>
        <v>1</v>
      </c>
      <c r="AB667" s="527">
        <f t="shared" si="91"/>
        <v>0</v>
      </c>
      <c r="AC667" s="527">
        <f t="shared" si="92"/>
        <v>0</v>
      </c>
      <c r="AD667" s="527">
        <f t="shared" si="93"/>
        <v>0</v>
      </c>
      <c r="AE667" s="527">
        <f t="shared" si="94"/>
        <v>0</v>
      </c>
      <c r="AF667" s="527">
        <f t="shared" si="95"/>
        <v>0</v>
      </c>
      <c r="AG667" s="527">
        <f t="shared" si="96"/>
        <v>1367</v>
      </c>
      <c r="AH667" s="527"/>
      <c r="AI667" s="639">
        <f t="shared" si="97"/>
        <v>1367</v>
      </c>
    </row>
    <row r="668" spans="1:37" ht="12.75" customHeight="1" x14ac:dyDescent="0.2">
      <c r="A668" s="527">
        <v>658</v>
      </c>
      <c r="C668" s="533" t="s">
        <v>3766</v>
      </c>
      <c r="E668" s="527" t="s">
        <v>3767</v>
      </c>
      <c r="F668" s="728"/>
      <c r="G668" s="612">
        <v>212</v>
      </c>
      <c r="H668" s="527"/>
      <c r="J668" s="617"/>
      <c r="K668" s="533" t="s">
        <v>3765</v>
      </c>
      <c r="N668" s="624">
        <v>45330</v>
      </c>
      <c r="U668" s="613">
        <v>1</v>
      </c>
      <c r="W668" s="613">
        <f t="shared" si="98"/>
        <v>1</v>
      </c>
      <c r="AB668" s="527">
        <f t="shared" si="91"/>
        <v>0</v>
      </c>
      <c r="AC668" s="527">
        <f t="shared" si="92"/>
        <v>0</v>
      </c>
      <c r="AD668" s="527">
        <f t="shared" si="93"/>
        <v>0</v>
      </c>
      <c r="AE668" s="527">
        <f t="shared" si="94"/>
        <v>0</v>
      </c>
      <c r="AF668" s="527">
        <f t="shared" si="95"/>
        <v>0</v>
      </c>
      <c r="AG668" s="527">
        <f t="shared" si="96"/>
        <v>212</v>
      </c>
      <c r="AH668" s="527"/>
      <c r="AI668" s="639">
        <f t="shared" si="97"/>
        <v>212</v>
      </c>
    </row>
    <row r="669" spans="1:37" ht="12.75" customHeight="1" x14ac:dyDescent="0.2">
      <c r="A669" s="527">
        <v>659</v>
      </c>
      <c r="C669" s="533" t="s">
        <v>3768</v>
      </c>
      <c r="E669" s="527" t="s">
        <v>3769</v>
      </c>
      <c r="F669" s="728"/>
      <c r="G669" s="612">
        <v>9.15</v>
      </c>
      <c r="H669" s="527"/>
      <c r="J669" s="617"/>
      <c r="K669" s="533" t="s">
        <v>3765</v>
      </c>
      <c r="N669" s="624">
        <v>45330</v>
      </c>
      <c r="U669" s="613">
        <v>1</v>
      </c>
      <c r="W669" s="613">
        <f t="shared" si="98"/>
        <v>1</v>
      </c>
      <c r="AB669" s="527">
        <f t="shared" si="91"/>
        <v>0</v>
      </c>
      <c r="AC669" s="527">
        <f t="shared" si="92"/>
        <v>0</v>
      </c>
      <c r="AD669" s="527">
        <f t="shared" si="93"/>
        <v>0</v>
      </c>
      <c r="AE669" s="527">
        <f t="shared" si="94"/>
        <v>0</v>
      </c>
      <c r="AF669" s="527">
        <f t="shared" si="95"/>
        <v>0</v>
      </c>
      <c r="AG669" s="527">
        <f t="shared" si="96"/>
        <v>9.15</v>
      </c>
      <c r="AH669" s="527"/>
      <c r="AI669" s="639">
        <f t="shared" si="97"/>
        <v>9.15</v>
      </c>
    </row>
    <row r="670" spans="1:37" ht="12.75" customHeight="1" x14ac:dyDescent="0.2">
      <c r="A670" s="527">
        <v>660</v>
      </c>
      <c r="C670" s="533" t="s">
        <v>3770</v>
      </c>
      <c r="E670" s="527" t="s">
        <v>3775</v>
      </c>
      <c r="F670" s="728"/>
      <c r="G670" s="612">
        <v>3150</v>
      </c>
      <c r="H670" s="527"/>
      <c r="J670" s="617"/>
      <c r="K670" s="533" t="s">
        <v>3765</v>
      </c>
      <c r="N670" s="624">
        <v>45336</v>
      </c>
      <c r="U670" s="613">
        <v>1</v>
      </c>
      <c r="W670" s="613">
        <f t="shared" si="98"/>
        <v>1</v>
      </c>
      <c r="AB670" s="527">
        <f t="shared" si="91"/>
        <v>0</v>
      </c>
      <c r="AC670" s="527">
        <f t="shared" si="92"/>
        <v>0</v>
      </c>
      <c r="AD670" s="527">
        <f t="shared" si="93"/>
        <v>0</v>
      </c>
      <c r="AE670" s="527">
        <f t="shared" si="94"/>
        <v>0</v>
      </c>
      <c r="AF670" s="527">
        <f t="shared" si="95"/>
        <v>0</v>
      </c>
      <c r="AG670" s="527">
        <f t="shared" si="96"/>
        <v>3150</v>
      </c>
      <c r="AH670" s="527"/>
      <c r="AI670" s="639">
        <f t="shared" si="97"/>
        <v>3150</v>
      </c>
    </row>
    <row r="671" spans="1:37" ht="12.75" customHeight="1" x14ac:dyDescent="0.2">
      <c r="A671" s="527">
        <v>661</v>
      </c>
      <c r="C671" s="533" t="s">
        <v>3771</v>
      </c>
      <c r="E671" s="527" t="s">
        <v>3778</v>
      </c>
      <c r="F671" s="527"/>
      <c r="G671" s="527">
        <v>450</v>
      </c>
      <c r="H671" s="527"/>
      <c r="J671" s="617"/>
      <c r="K671" s="533" t="s">
        <v>3765</v>
      </c>
      <c r="N671" s="624">
        <v>45336</v>
      </c>
      <c r="U671" s="613">
        <v>1</v>
      </c>
      <c r="W671" s="613">
        <f t="shared" si="98"/>
        <v>1</v>
      </c>
      <c r="AB671" s="527">
        <f t="shared" si="91"/>
        <v>0</v>
      </c>
      <c r="AC671" s="527">
        <f t="shared" si="92"/>
        <v>0</v>
      </c>
      <c r="AD671" s="527">
        <f t="shared" si="93"/>
        <v>0</v>
      </c>
      <c r="AE671" s="527">
        <f t="shared" si="94"/>
        <v>0</v>
      </c>
      <c r="AF671" s="527">
        <f t="shared" si="95"/>
        <v>0</v>
      </c>
      <c r="AG671" s="527">
        <f t="shared" si="96"/>
        <v>450</v>
      </c>
      <c r="AH671" s="527"/>
      <c r="AI671" s="639">
        <f t="shared" si="97"/>
        <v>450</v>
      </c>
      <c r="AK671" s="778">
        <v>1</v>
      </c>
    </row>
    <row r="672" spans="1:37" ht="12.75" customHeight="1" x14ac:dyDescent="0.2">
      <c r="A672" s="527">
        <v>662</v>
      </c>
      <c r="C672" s="533" t="s">
        <v>3772</v>
      </c>
      <c r="E672" s="527" t="s">
        <v>3769</v>
      </c>
      <c r="F672" s="728"/>
      <c r="G672" s="612">
        <v>2.82</v>
      </c>
      <c r="H672" s="527"/>
      <c r="J672" s="617"/>
      <c r="K672" s="533" t="s">
        <v>3765</v>
      </c>
      <c r="N672" s="624">
        <v>45336</v>
      </c>
      <c r="U672" s="613">
        <v>1</v>
      </c>
      <c r="W672" s="613">
        <f t="shared" si="98"/>
        <v>1</v>
      </c>
      <c r="AB672" s="527">
        <f t="shared" si="91"/>
        <v>0</v>
      </c>
      <c r="AC672" s="527">
        <f t="shared" si="92"/>
        <v>0</v>
      </c>
      <c r="AD672" s="527">
        <f t="shared" si="93"/>
        <v>0</v>
      </c>
      <c r="AE672" s="527">
        <f t="shared" si="94"/>
        <v>0</v>
      </c>
      <c r="AF672" s="527">
        <f t="shared" si="95"/>
        <v>0</v>
      </c>
      <c r="AG672" s="527">
        <f t="shared" si="96"/>
        <v>2.82</v>
      </c>
      <c r="AH672" s="527"/>
      <c r="AI672" s="639">
        <f t="shared" si="97"/>
        <v>2.82</v>
      </c>
    </row>
    <row r="673" spans="1:35" ht="12.75" customHeight="1" x14ac:dyDescent="0.2">
      <c r="A673" s="527">
        <v>663</v>
      </c>
      <c r="C673" s="533" t="s">
        <v>3773</v>
      </c>
      <c r="E673" s="527" t="s">
        <v>3776</v>
      </c>
      <c r="F673" s="728"/>
      <c r="G673" s="612">
        <v>292</v>
      </c>
      <c r="H673" s="527"/>
      <c r="J673" s="617"/>
      <c r="K673" s="533" t="s">
        <v>3765</v>
      </c>
      <c r="N673" s="624">
        <v>45336</v>
      </c>
      <c r="U673" s="613">
        <v>1</v>
      </c>
      <c r="W673" s="613">
        <f t="shared" si="98"/>
        <v>1</v>
      </c>
      <c r="AB673" s="527">
        <f t="shared" si="91"/>
        <v>0</v>
      </c>
      <c r="AC673" s="527">
        <f t="shared" si="92"/>
        <v>0</v>
      </c>
      <c r="AD673" s="527">
        <f t="shared" si="93"/>
        <v>0</v>
      </c>
      <c r="AE673" s="527">
        <f t="shared" si="94"/>
        <v>0</v>
      </c>
      <c r="AF673" s="527">
        <f t="shared" si="95"/>
        <v>0</v>
      </c>
      <c r="AG673" s="527">
        <f t="shared" si="96"/>
        <v>292</v>
      </c>
      <c r="AH673" s="527"/>
      <c r="AI673" s="639">
        <f t="shared" si="97"/>
        <v>292</v>
      </c>
    </row>
    <row r="674" spans="1:35" ht="12.75" customHeight="1" x14ac:dyDescent="0.2">
      <c r="A674" s="527">
        <v>664</v>
      </c>
      <c r="C674" s="533" t="s">
        <v>3774</v>
      </c>
      <c r="E674" s="527" t="s">
        <v>3777</v>
      </c>
      <c r="F674" s="728"/>
      <c r="G674" s="612">
        <v>44</v>
      </c>
      <c r="H674" s="527"/>
      <c r="J674" s="617"/>
      <c r="K674" s="533" t="s">
        <v>3765</v>
      </c>
      <c r="N674" s="624">
        <v>45336</v>
      </c>
      <c r="V674" s="613">
        <v>1</v>
      </c>
      <c r="W674" s="613">
        <f t="shared" si="98"/>
        <v>1</v>
      </c>
      <c r="AB674" s="527">
        <f t="shared" si="91"/>
        <v>0</v>
      </c>
      <c r="AC674" s="527">
        <f t="shared" si="92"/>
        <v>0</v>
      </c>
      <c r="AD674" s="527">
        <f t="shared" si="93"/>
        <v>0</v>
      </c>
      <c r="AE674" s="527">
        <f t="shared" si="94"/>
        <v>0</v>
      </c>
      <c r="AF674" s="527">
        <f t="shared" si="95"/>
        <v>0</v>
      </c>
      <c r="AH674" s="527">
        <f>G674</f>
        <v>44</v>
      </c>
      <c r="AI674" s="639">
        <f t="shared" si="97"/>
        <v>44</v>
      </c>
    </row>
    <row r="675" spans="1:35" ht="12.75" customHeight="1" x14ac:dyDescent="0.2">
      <c r="A675" s="527">
        <v>665</v>
      </c>
      <c r="C675" s="533" t="s">
        <v>3779</v>
      </c>
      <c r="E675" s="527" t="s">
        <v>3781</v>
      </c>
      <c r="F675" s="728"/>
      <c r="G675" s="612">
        <v>1200</v>
      </c>
      <c r="H675" s="527"/>
      <c r="J675" s="617"/>
      <c r="K675" s="533" t="s">
        <v>3765</v>
      </c>
      <c r="N675" s="624">
        <v>45342</v>
      </c>
      <c r="U675" s="613">
        <v>1</v>
      </c>
      <c r="W675" s="613">
        <f t="shared" si="98"/>
        <v>1</v>
      </c>
      <c r="AB675" s="527">
        <f t="shared" si="91"/>
        <v>0</v>
      </c>
      <c r="AC675" s="527">
        <f t="shared" si="92"/>
        <v>0</v>
      </c>
      <c r="AD675" s="527">
        <f t="shared" si="93"/>
        <v>0</v>
      </c>
      <c r="AE675" s="527">
        <f t="shared" si="94"/>
        <v>0</v>
      </c>
      <c r="AF675" s="527">
        <f t="shared" si="95"/>
        <v>0</v>
      </c>
      <c r="AG675" s="527">
        <f t="shared" si="96"/>
        <v>1200</v>
      </c>
      <c r="AH675" s="527"/>
      <c r="AI675" s="639">
        <f t="shared" si="97"/>
        <v>1200</v>
      </c>
    </row>
    <row r="676" spans="1:35" ht="12.75" customHeight="1" x14ac:dyDescent="0.2">
      <c r="A676" s="527">
        <v>666</v>
      </c>
      <c r="C676" s="533" t="s">
        <v>3780</v>
      </c>
      <c r="E676" s="527" t="s">
        <v>3782</v>
      </c>
      <c r="F676" s="728"/>
      <c r="G676" s="612">
        <v>1700</v>
      </c>
      <c r="H676" s="527"/>
      <c r="J676" s="617"/>
      <c r="K676" s="533" t="s">
        <v>3765</v>
      </c>
      <c r="N676" s="624">
        <v>45348</v>
      </c>
      <c r="U676" s="613">
        <v>1</v>
      </c>
      <c r="W676" s="613">
        <f t="shared" si="98"/>
        <v>1</v>
      </c>
      <c r="AB676" s="527">
        <f t="shared" si="91"/>
        <v>0</v>
      </c>
      <c r="AC676" s="527">
        <f t="shared" si="92"/>
        <v>0</v>
      </c>
      <c r="AD676" s="527">
        <f t="shared" si="93"/>
        <v>0</v>
      </c>
      <c r="AE676" s="527">
        <f t="shared" si="94"/>
        <v>0</v>
      </c>
      <c r="AF676" s="527">
        <f t="shared" si="95"/>
        <v>0</v>
      </c>
      <c r="AG676" s="527">
        <f t="shared" si="96"/>
        <v>1700</v>
      </c>
      <c r="AH676" s="527"/>
      <c r="AI676" s="639">
        <f t="shared" si="97"/>
        <v>1700</v>
      </c>
    </row>
    <row r="677" spans="1:35" ht="12.75" customHeight="1" x14ac:dyDescent="0.2">
      <c r="A677" s="527">
        <v>667</v>
      </c>
      <c r="C677" s="527" t="s">
        <v>3783</v>
      </c>
      <c r="E677" s="527" t="s">
        <v>3784</v>
      </c>
      <c r="F677" s="728"/>
      <c r="G677" s="612">
        <v>3400</v>
      </c>
      <c r="H677" s="527"/>
      <c r="J677" s="617"/>
      <c r="K677" s="533" t="s">
        <v>3765</v>
      </c>
      <c r="N677" s="624">
        <v>45372</v>
      </c>
      <c r="U677" s="613">
        <v>1</v>
      </c>
      <c r="W677" s="613">
        <f t="shared" si="98"/>
        <v>1</v>
      </c>
      <c r="AB677" s="527">
        <f t="shared" si="91"/>
        <v>0</v>
      </c>
      <c r="AC677" s="527">
        <f t="shared" si="92"/>
        <v>0</v>
      </c>
      <c r="AD677" s="527">
        <f t="shared" si="93"/>
        <v>0</v>
      </c>
      <c r="AE677" s="527">
        <f t="shared" si="94"/>
        <v>0</v>
      </c>
      <c r="AF677" s="527">
        <f t="shared" si="95"/>
        <v>0</v>
      </c>
      <c r="AG677" s="527">
        <f t="shared" si="96"/>
        <v>3400</v>
      </c>
      <c r="AH677" s="527"/>
      <c r="AI677" s="639">
        <f t="shared" si="97"/>
        <v>3400</v>
      </c>
    </row>
    <row r="678" spans="1:35" ht="12.75" customHeight="1" x14ac:dyDescent="0.2">
      <c r="A678" s="527">
        <v>668</v>
      </c>
      <c r="C678" s="527" t="s">
        <v>3788</v>
      </c>
      <c r="E678" s="527" t="s">
        <v>3789</v>
      </c>
      <c r="F678" s="728"/>
      <c r="G678" s="612">
        <v>165</v>
      </c>
      <c r="H678" s="527"/>
      <c r="J678" s="617"/>
      <c r="K678" s="533" t="s">
        <v>3765</v>
      </c>
      <c r="N678" s="624">
        <v>45381</v>
      </c>
      <c r="U678" s="613">
        <v>1</v>
      </c>
      <c r="W678" s="613">
        <f t="shared" si="98"/>
        <v>1</v>
      </c>
      <c r="AB678" s="527">
        <f t="shared" si="91"/>
        <v>0</v>
      </c>
      <c r="AC678" s="527">
        <f t="shared" si="92"/>
        <v>0</v>
      </c>
      <c r="AD678" s="527">
        <f t="shared" si="93"/>
        <v>0</v>
      </c>
      <c r="AE678" s="527">
        <f t="shared" si="94"/>
        <v>0</v>
      </c>
      <c r="AF678" s="527">
        <f t="shared" si="95"/>
        <v>0</v>
      </c>
      <c r="AG678" s="527">
        <f t="shared" si="96"/>
        <v>165</v>
      </c>
      <c r="AH678" s="527"/>
      <c r="AI678" s="639">
        <f t="shared" si="97"/>
        <v>165</v>
      </c>
    </row>
    <row r="679" spans="1:35" ht="12.75" customHeight="1" x14ac:dyDescent="0.2">
      <c r="A679" s="527">
        <v>669</v>
      </c>
      <c r="C679" s="527" t="s">
        <v>3785</v>
      </c>
      <c r="E679" s="527" t="s">
        <v>3790</v>
      </c>
      <c r="F679" s="728"/>
      <c r="G679" s="612">
        <v>211</v>
      </c>
      <c r="H679" s="527"/>
      <c r="J679" s="617"/>
      <c r="K679" s="533" t="s">
        <v>3765</v>
      </c>
      <c r="N679" s="624">
        <v>45386</v>
      </c>
      <c r="U679" s="613">
        <v>1</v>
      </c>
      <c r="W679" s="613">
        <f t="shared" si="98"/>
        <v>1</v>
      </c>
      <c r="AB679" s="527">
        <f t="shared" si="91"/>
        <v>0</v>
      </c>
      <c r="AC679" s="527">
        <f t="shared" si="92"/>
        <v>0</v>
      </c>
      <c r="AD679" s="527">
        <f t="shared" si="93"/>
        <v>0</v>
      </c>
      <c r="AE679" s="527">
        <f t="shared" si="94"/>
        <v>0</v>
      </c>
      <c r="AF679" s="527">
        <f t="shared" si="95"/>
        <v>0</v>
      </c>
      <c r="AG679" s="527">
        <f t="shared" si="96"/>
        <v>211</v>
      </c>
      <c r="AH679" s="527"/>
      <c r="AI679" s="639">
        <f t="shared" si="97"/>
        <v>211</v>
      </c>
    </row>
    <row r="680" spans="1:35" ht="12.75" customHeight="1" x14ac:dyDescent="0.2">
      <c r="A680" s="527">
        <v>670</v>
      </c>
      <c r="C680" s="527" t="s">
        <v>3786</v>
      </c>
      <c r="E680" s="527" t="s">
        <v>3791</v>
      </c>
      <c r="F680" s="728"/>
      <c r="G680" s="612">
        <v>840</v>
      </c>
      <c r="H680" s="527"/>
      <c r="J680" s="617"/>
      <c r="K680" s="533" t="s">
        <v>3765</v>
      </c>
      <c r="N680" s="624">
        <v>45390</v>
      </c>
      <c r="U680" s="613">
        <v>1</v>
      </c>
      <c r="W680" s="613">
        <f t="shared" si="98"/>
        <v>1</v>
      </c>
      <c r="AB680" s="527">
        <f t="shared" ref="AB680:AB735" si="99">IF(P680=1,$G680,0)</f>
        <v>0</v>
      </c>
      <c r="AC680" s="527">
        <f t="shared" ref="AC680:AC735" si="100">IF(Q680=1,$G680,0)</f>
        <v>0</v>
      </c>
      <c r="AD680" s="527">
        <f t="shared" ref="AD680:AD735" si="101">IF(R680=1,$G680,0)</f>
        <v>0</v>
      </c>
      <c r="AE680" s="527">
        <f t="shared" ref="AE680:AE735" si="102">IF(S680=1,$G680,0)</f>
        <v>0</v>
      </c>
      <c r="AF680" s="527">
        <f t="shared" ref="AF680:AF735" si="103">IF(T680=1,$G680,0)</f>
        <v>0</v>
      </c>
      <c r="AG680" s="527">
        <f t="shared" ref="AG680:AG730" si="104">IF(U680=1,$G680,0)</f>
        <v>840</v>
      </c>
      <c r="AH680" s="527"/>
      <c r="AI680" s="639">
        <f t="shared" ref="AI680:AI735" si="105">G680</f>
        <v>840</v>
      </c>
    </row>
    <row r="681" spans="1:35" ht="12.75" customHeight="1" x14ac:dyDescent="0.2">
      <c r="A681" s="527">
        <v>671</v>
      </c>
      <c r="C681" s="527" t="s">
        <v>3787</v>
      </c>
      <c r="E681" s="624" t="s">
        <v>3791</v>
      </c>
      <c r="F681" s="728"/>
      <c r="G681" s="612">
        <v>470</v>
      </c>
      <c r="H681" s="527"/>
      <c r="J681" s="617"/>
      <c r="K681" s="533" t="s">
        <v>3765</v>
      </c>
      <c r="N681" s="624">
        <v>45390</v>
      </c>
      <c r="U681" s="613">
        <v>1</v>
      </c>
      <c r="W681" s="613">
        <f t="shared" si="98"/>
        <v>1</v>
      </c>
      <c r="AB681" s="527">
        <f t="shared" si="99"/>
        <v>0</v>
      </c>
      <c r="AC681" s="527">
        <f t="shared" si="100"/>
        <v>0</v>
      </c>
      <c r="AD681" s="527">
        <f t="shared" si="101"/>
        <v>0</v>
      </c>
      <c r="AE681" s="527">
        <f t="shared" si="102"/>
        <v>0</v>
      </c>
      <c r="AF681" s="527">
        <f t="shared" si="103"/>
        <v>0</v>
      </c>
      <c r="AG681" s="527">
        <f t="shared" si="104"/>
        <v>470</v>
      </c>
      <c r="AH681" s="527"/>
      <c r="AI681" s="639">
        <f t="shared" si="105"/>
        <v>470</v>
      </c>
    </row>
    <row r="682" spans="1:35" ht="12.75" customHeight="1" x14ac:dyDescent="0.2">
      <c r="A682" s="527">
        <v>672</v>
      </c>
      <c r="C682" s="527" t="s">
        <v>3792</v>
      </c>
      <c r="E682" s="527" t="s">
        <v>3793</v>
      </c>
      <c r="F682" s="728"/>
      <c r="G682" s="612">
        <v>20</v>
      </c>
      <c r="H682" s="527"/>
      <c r="J682" s="617"/>
      <c r="K682" s="533" t="s">
        <v>3765</v>
      </c>
      <c r="N682" s="624">
        <v>45393</v>
      </c>
      <c r="U682" s="613">
        <v>1</v>
      </c>
      <c r="W682" s="613">
        <f t="shared" si="98"/>
        <v>1</v>
      </c>
      <c r="AB682" s="527">
        <f t="shared" si="99"/>
        <v>0</v>
      </c>
      <c r="AC682" s="527">
        <f t="shared" si="100"/>
        <v>0</v>
      </c>
      <c r="AD682" s="527">
        <f t="shared" si="101"/>
        <v>0</v>
      </c>
      <c r="AE682" s="527">
        <f t="shared" si="102"/>
        <v>0</v>
      </c>
      <c r="AF682" s="527">
        <f t="shared" si="103"/>
        <v>0</v>
      </c>
      <c r="AG682" s="527">
        <f t="shared" si="104"/>
        <v>20</v>
      </c>
      <c r="AH682" s="527"/>
      <c r="AI682" s="639">
        <f t="shared" si="105"/>
        <v>20</v>
      </c>
    </row>
    <row r="683" spans="1:35" ht="12.75" customHeight="1" x14ac:dyDescent="0.2">
      <c r="A683" s="527">
        <v>673</v>
      </c>
      <c r="C683" s="527" t="s">
        <v>3794</v>
      </c>
      <c r="E683" s="527" t="s">
        <v>3795</v>
      </c>
      <c r="F683" s="728"/>
      <c r="G683" s="612">
        <v>5.6</v>
      </c>
      <c r="H683" s="527"/>
      <c r="J683" s="617"/>
      <c r="K683" s="533" t="s">
        <v>3765</v>
      </c>
      <c r="N683" s="624">
        <v>45393</v>
      </c>
      <c r="U683" s="613">
        <v>1</v>
      </c>
      <c r="W683" s="613">
        <f t="shared" si="98"/>
        <v>1</v>
      </c>
      <c r="AB683" s="527">
        <f t="shared" si="99"/>
        <v>0</v>
      </c>
      <c r="AC683" s="527">
        <f t="shared" si="100"/>
        <v>0</v>
      </c>
      <c r="AD683" s="527">
        <f t="shared" si="101"/>
        <v>0</v>
      </c>
      <c r="AE683" s="527">
        <f t="shared" si="102"/>
        <v>0</v>
      </c>
      <c r="AF683" s="527">
        <f t="shared" si="103"/>
        <v>0</v>
      </c>
      <c r="AG683" s="527">
        <f t="shared" si="104"/>
        <v>5.6</v>
      </c>
      <c r="AH683" s="527"/>
      <c r="AI683" s="639">
        <f t="shared" si="105"/>
        <v>5.6</v>
      </c>
    </row>
    <row r="684" spans="1:35" ht="12.75" customHeight="1" x14ac:dyDescent="0.2">
      <c r="A684" s="527">
        <v>674</v>
      </c>
      <c r="C684" s="527" t="s">
        <v>3796</v>
      </c>
      <c r="E684" s="527" t="s">
        <v>3801</v>
      </c>
      <c r="F684" s="728"/>
      <c r="G684" s="612">
        <v>875</v>
      </c>
      <c r="H684" s="527"/>
      <c r="J684" s="617"/>
      <c r="K684" s="533" t="s">
        <v>3765</v>
      </c>
      <c r="N684" s="624">
        <v>45406</v>
      </c>
      <c r="U684" s="613">
        <v>1</v>
      </c>
      <c r="W684" s="613">
        <f t="shared" si="98"/>
        <v>1</v>
      </c>
      <c r="AB684" s="527">
        <f t="shared" si="99"/>
        <v>0</v>
      </c>
      <c r="AC684" s="527">
        <f t="shared" si="100"/>
        <v>0</v>
      </c>
      <c r="AD684" s="527">
        <f t="shared" si="101"/>
        <v>0</v>
      </c>
      <c r="AE684" s="527">
        <f t="shared" si="102"/>
        <v>0</v>
      </c>
      <c r="AF684" s="527">
        <f t="shared" si="103"/>
        <v>0</v>
      </c>
      <c r="AG684" s="527">
        <f t="shared" si="104"/>
        <v>875</v>
      </c>
      <c r="AH684" s="527"/>
      <c r="AI684" s="639">
        <f t="shared" si="105"/>
        <v>875</v>
      </c>
    </row>
    <row r="685" spans="1:35" ht="12.75" customHeight="1" x14ac:dyDescent="0.2">
      <c r="A685" s="527">
        <v>675</v>
      </c>
      <c r="C685" s="527" t="s">
        <v>3797</v>
      </c>
      <c r="E685" s="527" t="s">
        <v>3802</v>
      </c>
      <c r="F685" s="728"/>
      <c r="G685" s="612">
        <v>1603</v>
      </c>
      <c r="H685" s="527"/>
      <c r="J685" s="617"/>
      <c r="K685" s="533" t="s">
        <v>3765</v>
      </c>
      <c r="N685" s="624">
        <v>45406</v>
      </c>
      <c r="U685" s="613">
        <v>1</v>
      </c>
      <c r="W685" s="613">
        <f t="shared" si="98"/>
        <v>1</v>
      </c>
      <c r="AB685" s="527">
        <f t="shared" si="99"/>
        <v>0</v>
      </c>
      <c r="AC685" s="527">
        <f t="shared" si="100"/>
        <v>0</v>
      </c>
      <c r="AD685" s="527">
        <f t="shared" si="101"/>
        <v>0</v>
      </c>
      <c r="AE685" s="527">
        <f t="shared" si="102"/>
        <v>0</v>
      </c>
      <c r="AF685" s="527">
        <f t="shared" si="103"/>
        <v>0</v>
      </c>
      <c r="AG685" s="527">
        <f t="shared" si="104"/>
        <v>1603</v>
      </c>
      <c r="AH685" s="527"/>
      <c r="AI685" s="639">
        <f t="shared" si="105"/>
        <v>1603</v>
      </c>
    </row>
    <row r="686" spans="1:35" ht="12.75" customHeight="1" x14ac:dyDescent="0.2">
      <c r="A686" s="527">
        <v>676</v>
      </c>
      <c r="C686" s="527" t="s">
        <v>3798</v>
      </c>
      <c r="E686" s="527" t="s">
        <v>3802</v>
      </c>
      <c r="F686" s="728"/>
      <c r="G686" s="612">
        <v>1465</v>
      </c>
      <c r="H686" s="527"/>
      <c r="J686" s="617"/>
      <c r="K686" s="533" t="s">
        <v>3765</v>
      </c>
      <c r="N686" s="624">
        <v>45406</v>
      </c>
      <c r="U686" s="613">
        <v>1</v>
      </c>
      <c r="W686" s="613">
        <f t="shared" si="98"/>
        <v>1</v>
      </c>
      <c r="AB686" s="527">
        <f t="shared" si="99"/>
        <v>0</v>
      </c>
      <c r="AC686" s="527">
        <f t="shared" si="100"/>
        <v>0</v>
      </c>
      <c r="AD686" s="527">
        <f t="shared" si="101"/>
        <v>0</v>
      </c>
      <c r="AE686" s="527">
        <f t="shared" si="102"/>
        <v>0</v>
      </c>
      <c r="AF686" s="527">
        <f t="shared" si="103"/>
        <v>0</v>
      </c>
      <c r="AG686" s="527">
        <f t="shared" si="104"/>
        <v>1465</v>
      </c>
      <c r="AH686" s="527"/>
      <c r="AI686" s="639">
        <f t="shared" si="105"/>
        <v>1465</v>
      </c>
    </row>
    <row r="687" spans="1:35" ht="12.75" customHeight="1" x14ac:dyDescent="0.2">
      <c r="A687" s="527">
        <v>677</v>
      </c>
      <c r="C687" s="527" t="s">
        <v>3799</v>
      </c>
      <c r="E687" s="527" t="s">
        <v>3803</v>
      </c>
      <c r="F687" s="728"/>
      <c r="G687" s="612">
        <v>82</v>
      </c>
      <c r="H687" s="527"/>
      <c r="J687" s="617"/>
      <c r="K687" s="533" t="s">
        <v>3765</v>
      </c>
      <c r="N687" s="624">
        <v>45406</v>
      </c>
      <c r="U687" s="613">
        <v>1</v>
      </c>
      <c r="W687" s="613">
        <f t="shared" si="98"/>
        <v>1</v>
      </c>
      <c r="AB687" s="527">
        <f t="shared" si="99"/>
        <v>0</v>
      </c>
      <c r="AC687" s="527">
        <f t="shared" si="100"/>
        <v>0</v>
      </c>
      <c r="AD687" s="527">
        <f t="shared" si="101"/>
        <v>0</v>
      </c>
      <c r="AE687" s="527">
        <f t="shared" si="102"/>
        <v>0</v>
      </c>
      <c r="AF687" s="527">
        <f t="shared" si="103"/>
        <v>0</v>
      </c>
      <c r="AG687" s="527">
        <f t="shared" si="104"/>
        <v>82</v>
      </c>
      <c r="AH687" s="527"/>
      <c r="AI687" s="639">
        <f t="shared" si="105"/>
        <v>82</v>
      </c>
    </row>
    <row r="688" spans="1:35" ht="12.75" customHeight="1" x14ac:dyDescent="0.2">
      <c r="A688" s="527">
        <v>678</v>
      </c>
      <c r="C688" s="527" t="s">
        <v>3800</v>
      </c>
      <c r="E688" s="527" t="s">
        <v>3804</v>
      </c>
      <c r="F688" s="728"/>
      <c r="G688" s="612">
        <v>9200</v>
      </c>
      <c r="H688" s="527"/>
      <c r="J688" s="617"/>
      <c r="K688" s="533" t="s">
        <v>3765</v>
      </c>
      <c r="N688" s="624">
        <v>45406</v>
      </c>
      <c r="U688" s="613">
        <v>1</v>
      </c>
      <c r="W688" s="613">
        <f t="shared" si="98"/>
        <v>1</v>
      </c>
      <c r="AB688" s="527">
        <f t="shared" si="99"/>
        <v>0</v>
      </c>
      <c r="AC688" s="527">
        <f t="shared" si="100"/>
        <v>0</v>
      </c>
      <c r="AD688" s="527">
        <f t="shared" si="101"/>
        <v>0</v>
      </c>
      <c r="AE688" s="527">
        <f t="shared" si="102"/>
        <v>0</v>
      </c>
      <c r="AF688" s="527">
        <f t="shared" si="103"/>
        <v>0</v>
      </c>
      <c r="AG688" s="527">
        <f t="shared" si="104"/>
        <v>9200</v>
      </c>
      <c r="AH688" s="527"/>
      <c r="AI688" s="639">
        <f t="shared" si="105"/>
        <v>9200</v>
      </c>
    </row>
    <row r="689" spans="1:37" ht="12.75" customHeight="1" x14ac:dyDescent="0.2">
      <c r="A689" s="527">
        <v>679</v>
      </c>
      <c r="C689" s="527" t="s">
        <v>3806</v>
      </c>
      <c r="E689" s="527" t="s">
        <v>3810</v>
      </c>
      <c r="F689" s="728"/>
      <c r="G689" s="612">
        <v>1351</v>
      </c>
      <c r="H689" s="527"/>
      <c r="J689" s="617"/>
      <c r="K689" s="533" t="s">
        <v>3765</v>
      </c>
      <c r="N689" s="624">
        <v>45429</v>
      </c>
      <c r="U689" s="613">
        <v>1</v>
      </c>
      <c r="W689" s="613">
        <f t="shared" si="98"/>
        <v>1</v>
      </c>
      <c r="AB689" s="527">
        <f t="shared" si="99"/>
        <v>0</v>
      </c>
      <c r="AC689" s="527">
        <f t="shared" si="100"/>
        <v>0</v>
      </c>
      <c r="AD689" s="527">
        <f t="shared" si="101"/>
        <v>0</v>
      </c>
      <c r="AE689" s="527">
        <f t="shared" si="102"/>
        <v>0</v>
      </c>
      <c r="AF689" s="527">
        <f t="shared" si="103"/>
        <v>0</v>
      </c>
      <c r="AG689" s="527">
        <f t="shared" si="104"/>
        <v>1351</v>
      </c>
      <c r="AH689" s="527"/>
      <c r="AI689" s="639">
        <f t="shared" si="105"/>
        <v>1351</v>
      </c>
    </row>
    <row r="690" spans="1:37" ht="12.75" customHeight="1" x14ac:dyDescent="0.2">
      <c r="A690" s="527">
        <v>680</v>
      </c>
      <c r="C690" s="527" t="s">
        <v>3807</v>
      </c>
      <c r="E690" s="527" t="s">
        <v>3809</v>
      </c>
      <c r="F690" s="728"/>
      <c r="G690" s="612">
        <v>391.6</v>
      </c>
      <c r="H690" s="527"/>
      <c r="J690" s="617"/>
      <c r="K690" s="533" t="s">
        <v>3765</v>
      </c>
      <c r="N690" s="624">
        <v>45429</v>
      </c>
      <c r="U690" s="613">
        <v>1</v>
      </c>
      <c r="W690" s="613">
        <f t="shared" si="98"/>
        <v>1</v>
      </c>
      <c r="AB690" s="527">
        <f t="shared" si="99"/>
        <v>0</v>
      </c>
      <c r="AC690" s="527">
        <f t="shared" si="100"/>
        <v>0</v>
      </c>
      <c r="AD690" s="527">
        <f t="shared" si="101"/>
        <v>0</v>
      </c>
      <c r="AE690" s="527">
        <f t="shared" si="102"/>
        <v>0</v>
      </c>
      <c r="AF690" s="527">
        <f t="shared" si="103"/>
        <v>0</v>
      </c>
      <c r="AG690" s="527">
        <f t="shared" si="104"/>
        <v>391.6</v>
      </c>
      <c r="AH690" s="527"/>
      <c r="AI690" s="639">
        <f t="shared" si="105"/>
        <v>391.6</v>
      </c>
    </row>
    <row r="691" spans="1:37" ht="12.75" customHeight="1" x14ac:dyDescent="0.2">
      <c r="A691" s="527">
        <v>681</v>
      </c>
      <c r="C691" s="527" t="s">
        <v>3808</v>
      </c>
      <c r="E691" s="527" t="s">
        <v>3811</v>
      </c>
      <c r="F691" s="728"/>
      <c r="G691" s="612">
        <v>24</v>
      </c>
      <c r="H691" s="527"/>
      <c r="J691" s="617"/>
      <c r="K691" s="533" t="s">
        <v>3765</v>
      </c>
      <c r="N691" s="624">
        <v>45429</v>
      </c>
      <c r="U691" s="613">
        <v>1</v>
      </c>
      <c r="W691" s="613">
        <f t="shared" si="98"/>
        <v>1</v>
      </c>
      <c r="AB691" s="527">
        <f t="shared" si="99"/>
        <v>0</v>
      </c>
      <c r="AC691" s="527">
        <f t="shared" si="100"/>
        <v>0</v>
      </c>
      <c r="AD691" s="527">
        <f t="shared" si="101"/>
        <v>0</v>
      </c>
      <c r="AE691" s="527">
        <f t="shared" si="102"/>
        <v>0</v>
      </c>
      <c r="AF691" s="527">
        <f t="shared" si="103"/>
        <v>0</v>
      </c>
      <c r="AG691" s="527">
        <f t="shared" si="104"/>
        <v>24</v>
      </c>
      <c r="AH691" s="527"/>
      <c r="AI691" s="639">
        <f t="shared" si="105"/>
        <v>24</v>
      </c>
      <c r="AK691" s="778">
        <v>1</v>
      </c>
    </row>
    <row r="692" spans="1:37" ht="12.75" customHeight="1" x14ac:dyDescent="0.2">
      <c r="A692" s="527">
        <v>682</v>
      </c>
      <c r="C692" s="527" t="s">
        <v>3805</v>
      </c>
      <c r="E692" s="527" t="s">
        <v>3809</v>
      </c>
      <c r="F692" s="728"/>
      <c r="G692" s="612">
        <v>318.5</v>
      </c>
      <c r="H692" s="527"/>
      <c r="J692" s="617"/>
      <c r="K692" s="533" t="s">
        <v>3765</v>
      </c>
      <c r="N692" s="624">
        <v>45432</v>
      </c>
      <c r="U692" s="613">
        <v>1</v>
      </c>
      <c r="W692" s="613">
        <f t="shared" si="98"/>
        <v>1</v>
      </c>
      <c r="AB692" s="527">
        <f t="shared" si="99"/>
        <v>0</v>
      </c>
      <c r="AC692" s="527">
        <f t="shared" si="100"/>
        <v>0</v>
      </c>
      <c r="AD692" s="527">
        <f t="shared" si="101"/>
        <v>0</v>
      </c>
      <c r="AE692" s="527">
        <f t="shared" si="102"/>
        <v>0</v>
      </c>
      <c r="AF692" s="527">
        <f t="shared" si="103"/>
        <v>0</v>
      </c>
      <c r="AG692" s="527">
        <f t="shared" si="104"/>
        <v>318.5</v>
      </c>
      <c r="AH692" s="527"/>
      <c r="AI692" s="639">
        <f t="shared" si="105"/>
        <v>318.5</v>
      </c>
    </row>
    <row r="693" spans="1:37" ht="12.75" customHeight="1" x14ac:dyDescent="0.2">
      <c r="A693" s="527">
        <v>683</v>
      </c>
      <c r="C693" s="527" t="s">
        <v>3812</v>
      </c>
      <c r="E693" s="527" t="s">
        <v>3804</v>
      </c>
      <c r="G693" s="615">
        <v>4000</v>
      </c>
      <c r="K693" s="533" t="s">
        <v>3765</v>
      </c>
      <c r="N693" s="624">
        <v>45433</v>
      </c>
      <c r="U693" s="613">
        <v>1</v>
      </c>
      <c r="W693" s="613">
        <f t="shared" si="98"/>
        <v>1</v>
      </c>
      <c r="AB693" s="527">
        <f t="shared" si="99"/>
        <v>0</v>
      </c>
      <c r="AC693" s="527">
        <f t="shared" si="100"/>
        <v>0</v>
      </c>
      <c r="AD693" s="527">
        <f t="shared" si="101"/>
        <v>0</v>
      </c>
      <c r="AE693" s="527">
        <f t="shared" si="102"/>
        <v>0</v>
      </c>
      <c r="AF693" s="527">
        <f t="shared" si="103"/>
        <v>0</v>
      </c>
      <c r="AG693" s="527">
        <f t="shared" si="104"/>
        <v>4000</v>
      </c>
      <c r="AH693" s="527"/>
      <c r="AI693" s="639">
        <f t="shared" si="105"/>
        <v>4000</v>
      </c>
    </row>
    <row r="694" spans="1:37" ht="12.75" customHeight="1" x14ac:dyDescent="0.2">
      <c r="A694" s="527">
        <v>684</v>
      </c>
      <c r="C694" s="527" t="s">
        <v>3813</v>
      </c>
      <c r="E694" s="527" t="s">
        <v>3814</v>
      </c>
      <c r="G694" s="615">
        <v>66</v>
      </c>
      <c r="K694" s="533" t="s">
        <v>3765</v>
      </c>
      <c r="N694" s="624">
        <v>45433</v>
      </c>
      <c r="U694" s="613">
        <v>1</v>
      </c>
      <c r="W694" s="613">
        <f t="shared" si="98"/>
        <v>1</v>
      </c>
      <c r="AB694" s="527">
        <f t="shared" si="99"/>
        <v>0</v>
      </c>
      <c r="AC694" s="527">
        <f t="shared" si="100"/>
        <v>0</v>
      </c>
      <c r="AD694" s="527">
        <f t="shared" si="101"/>
        <v>0</v>
      </c>
      <c r="AE694" s="527">
        <f t="shared" si="102"/>
        <v>0</v>
      </c>
      <c r="AF694" s="527">
        <f t="shared" si="103"/>
        <v>0</v>
      </c>
      <c r="AG694" s="527">
        <f t="shared" si="104"/>
        <v>66</v>
      </c>
      <c r="AH694" s="527"/>
      <c r="AI694" s="639">
        <f t="shared" si="105"/>
        <v>66</v>
      </c>
    </row>
    <row r="695" spans="1:37" ht="12.75" customHeight="1" x14ac:dyDescent="0.2">
      <c r="A695" s="527">
        <v>685</v>
      </c>
      <c r="C695" s="533" t="s">
        <v>3409</v>
      </c>
      <c r="E695" s="527" t="s">
        <v>3408</v>
      </c>
      <c r="G695" s="884">
        <v>116.211</v>
      </c>
      <c r="K695" s="533" t="s">
        <v>3765</v>
      </c>
      <c r="N695" s="624">
        <v>45440</v>
      </c>
      <c r="R695" s="911">
        <v>1</v>
      </c>
      <c r="W695" s="613">
        <f t="shared" si="98"/>
        <v>1</v>
      </c>
      <c r="AB695" s="527">
        <f t="shared" si="99"/>
        <v>0</v>
      </c>
      <c r="AC695" s="527">
        <f t="shared" si="100"/>
        <v>0</v>
      </c>
      <c r="AD695" s="527">
        <f t="shared" si="101"/>
        <v>116.211</v>
      </c>
      <c r="AE695" s="527">
        <f t="shared" si="102"/>
        <v>0</v>
      </c>
      <c r="AF695" s="527">
        <f t="shared" si="103"/>
        <v>0</v>
      </c>
      <c r="AG695" s="527">
        <f t="shared" si="104"/>
        <v>0</v>
      </c>
      <c r="AH695" s="527"/>
      <c r="AI695" s="639">
        <f t="shared" si="105"/>
        <v>116.211</v>
      </c>
      <c r="AK695" s="778">
        <v>1</v>
      </c>
    </row>
    <row r="696" spans="1:37" ht="12.75" customHeight="1" x14ac:dyDescent="0.2">
      <c r="A696" s="527">
        <v>686</v>
      </c>
      <c r="C696" s="533" t="s">
        <v>3815</v>
      </c>
      <c r="E696" s="527" t="s">
        <v>3816</v>
      </c>
      <c r="F696" s="728"/>
      <c r="G696" s="615">
        <v>4000</v>
      </c>
      <c r="H696" s="527"/>
      <c r="J696" s="617"/>
      <c r="K696" s="533" t="s">
        <v>3765</v>
      </c>
      <c r="N696" s="624">
        <v>45456</v>
      </c>
      <c r="U696" s="613">
        <v>1</v>
      </c>
      <c r="W696" s="613">
        <f t="shared" si="98"/>
        <v>1</v>
      </c>
      <c r="AB696" s="527">
        <f t="shared" si="99"/>
        <v>0</v>
      </c>
      <c r="AC696" s="527">
        <f t="shared" si="100"/>
        <v>0</v>
      </c>
      <c r="AD696" s="527">
        <f t="shared" si="101"/>
        <v>0</v>
      </c>
      <c r="AE696" s="527">
        <f t="shared" si="102"/>
        <v>0</v>
      </c>
      <c r="AF696" s="527">
        <f t="shared" si="103"/>
        <v>0</v>
      </c>
      <c r="AG696" s="527">
        <f t="shared" si="104"/>
        <v>4000</v>
      </c>
      <c r="AH696" s="527"/>
      <c r="AI696" s="639">
        <f t="shared" si="105"/>
        <v>4000</v>
      </c>
    </row>
    <row r="697" spans="1:37" ht="12.75" customHeight="1" x14ac:dyDescent="0.2">
      <c r="A697" s="527">
        <v>687</v>
      </c>
      <c r="C697" s="527" t="s">
        <v>3875</v>
      </c>
      <c r="E697" s="527" t="s">
        <v>3817</v>
      </c>
      <c r="F697" s="728"/>
      <c r="G697" s="615">
        <v>2490</v>
      </c>
      <c r="H697" s="527"/>
      <c r="J697" s="617"/>
      <c r="K697" s="533" t="s">
        <v>3765</v>
      </c>
      <c r="N697" s="624">
        <v>45462</v>
      </c>
      <c r="U697" s="613">
        <v>1</v>
      </c>
      <c r="W697" s="613">
        <f t="shared" si="98"/>
        <v>1</v>
      </c>
      <c r="AB697" s="527">
        <f t="shared" si="99"/>
        <v>0</v>
      </c>
      <c r="AC697" s="527">
        <f t="shared" si="100"/>
        <v>0</v>
      </c>
      <c r="AD697" s="527">
        <f t="shared" si="101"/>
        <v>0</v>
      </c>
      <c r="AE697" s="527">
        <f t="shared" si="102"/>
        <v>0</v>
      </c>
      <c r="AF697" s="527">
        <f t="shared" si="103"/>
        <v>0</v>
      </c>
      <c r="AG697" s="527">
        <f t="shared" si="104"/>
        <v>2490</v>
      </c>
      <c r="AH697" s="527"/>
      <c r="AI697" s="639">
        <f t="shared" si="105"/>
        <v>2490</v>
      </c>
      <c r="AK697" s="778">
        <v>1</v>
      </c>
    </row>
    <row r="698" spans="1:37" ht="12.75" customHeight="1" x14ac:dyDescent="0.2">
      <c r="A698" s="527">
        <v>688</v>
      </c>
      <c r="C698" s="527" t="s">
        <v>3818</v>
      </c>
      <c r="E698" s="527" t="s">
        <v>3819</v>
      </c>
      <c r="F698" s="728"/>
      <c r="G698" s="632">
        <v>75.599999999999994</v>
      </c>
      <c r="H698" s="527"/>
      <c r="J698" s="617"/>
      <c r="K698" s="533" t="s">
        <v>3765</v>
      </c>
      <c r="N698" s="624">
        <v>45469</v>
      </c>
      <c r="U698" s="613">
        <v>1</v>
      </c>
      <c r="W698" s="613">
        <f t="shared" si="98"/>
        <v>1</v>
      </c>
      <c r="AB698" s="527">
        <f t="shared" si="99"/>
        <v>0</v>
      </c>
      <c r="AC698" s="527">
        <f t="shared" si="100"/>
        <v>0</v>
      </c>
      <c r="AD698" s="527">
        <f t="shared" si="101"/>
        <v>0</v>
      </c>
      <c r="AE698" s="527">
        <f t="shared" si="102"/>
        <v>0</v>
      </c>
      <c r="AF698" s="527">
        <f t="shared" si="103"/>
        <v>0</v>
      </c>
      <c r="AG698" s="527">
        <f t="shared" si="104"/>
        <v>75.599999999999994</v>
      </c>
      <c r="AH698" s="527"/>
      <c r="AI698" s="639">
        <f t="shared" si="105"/>
        <v>75.599999999999994</v>
      </c>
    </row>
    <row r="699" spans="1:37" ht="12.75" customHeight="1" x14ac:dyDescent="0.2">
      <c r="A699" s="527">
        <v>689</v>
      </c>
      <c r="C699" s="527" t="s">
        <v>3820</v>
      </c>
      <c r="E699" s="527" t="s">
        <v>3821</v>
      </c>
      <c r="F699" s="728"/>
      <c r="G699" s="615">
        <v>330</v>
      </c>
      <c r="H699" s="527"/>
      <c r="J699" s="617"/>
      <c r="K699" s="533" t="s">
        <v>3765</v>
      </c>
      <c r="N699" s="624">
        <v>45474</v>
      </c>
      <c r="U699" s="613">
        <v>1</v>
      </c>
      <c r="W699" s="613">
        <f t="shared" si="98"/>
        <v>1</v>
      </c>
      <c r="AB699" s="527">
        <f t="shared" si="99"/>
        <v>0</v>
      </c>
      <c r="AC699" s="527">
        <f t="shared" si="100"/>
        <v>0</v>
      </c>
      <c r="AD699" s="527">
        <f t="shared" si="101"/>
        <v>0</v>
      </c>
      <c r="AE699" s="527">
        <f t="shared" si="102"/>
        <v>0</v>
      </c>
      <c r="AF699" s="527">
        <f t="shared" si="103"/>
        <v>0</v>
      </c>
      <c r="AG699" s="527">
        <f t="shared" si="104"/>
        <v>330</v>
      </c>
      <c r="AH699" s="527"/>
      <c r="AI699" s="639">
        <f t="shared" si="105"/>
        <v>330</v>
      </c>
    </row>
    <row r="700" spans="1:37" ht="12.75" customHeight="1" x14ac:dyDescent="0.2">
      <c r="A700" s="527">
        <v>690</v>
      </c>
      <c r="C700" s="527" t="s">
        <v>3822</v>
      </c>
      <c r="E700" s="527" t="s">
        <v>3824</v>
      </c>
      <c r="F700" s="728"/>
      <c r="G700" s="615">
        <v>225</v>
      </c>
      <c r="H700" s="527"/>
      <c r="J700" s="617"/>
      <c r="K700" s="533" t="s">
        <v>3765</v>
      </c>
      <c r="N700" s="624">
        <v>45479</v>
      </c>
      <c r="U700" s="613">
        <v>1</v>
      </c>
      <c r="W700" s="613">
        <f t="shared" si="98"/>
        <v>1</v>
      </c>
      <c r="AB700" s="527">
        <f t="shared" si="99"/>
        <v>0</v>
      </c>
      <c r="AC700" s="527">
        <f t="shared" si="100"/>
        <v>0</v>
      </c>
      <c r="AD700" s="527">
        <f t="shared" si="101"/>
        <v>0</v>
      </c>
      <c r="AE700" s="527">
        <f t="shared" si="102"/>
        <v>0</v>
      </c>
      <c r="AF700" s="527">
        <f t="shared" si="103"/>
        <v>0</v>
      </c>
      <c r="AG700" s="527">
        <f t="shared" si="104"/>
        <v>225</v>
      </c>
      <c r="AH700" s="527"/>
      <c r="AI700" s="639">
        <f t="shared" si="105"/>
        <v>225</v>
      </c>
    </row>
    <row r="701" spans="1:37" ht="12.75" customHeight="1" x14ac:dyDescent="0.2">
      <c r="A701" s="527">
        <v>691</v>
      </c>
      <c r="C701" s="527" t="s">
        <v>3823</v>
      </c>
      <c r="E701" s="624" t="s">
        <v>3825</v>
      </c>
      <c r="F701" s="728"/>
      <c r="G701" s="615">
        <v>650</v>
      </c>
      <c r="H701" s="527"/>
      <c r="J701" s="617"/>
      <c r="K701" s="533" t="s">
        <v>3765</v>
      </c>
      <c r="N701" s="624">
        <v>45479</v>
      </c>
      <c r="U701" s="613">
        <v>1</v>
      </c>
      <c r="W701" s="613">
        <f t="shared" ref="W701:W730" si="106">SUM(P701:V701)</f>
        <v>1</v>
      </c>
      <c r="AB701" s="527">
        <f t="shared" si="99"/>
        <v>0</v>
      </c>
      <c r="AC701" s="527">
        <f t="shared" si="100"/>
        <v>0</v>
      </c>
      <c r="AD701" s="527">
        <f t="shared" si="101"/>
        <v>0</v>
      </c>
      <c r="AE701" s="527">
        <f t="shared" si="102"/>
        <v>0</v>
      </c>
      <c r="AF701" s="527">
        <f t="shared" si="103"/>
        <v>0</v>
      </c>
      <c r="AG701" s="527">
        <f t="shared" si="104"/>
        <v>650</v>
      </c>
      <c r="AH701" s="527"/>
      <c r="AI701" s="639">
        <f t="shared" si="105"/>
        <v>650</v>
      </c>
    </row>
    <row r="702" spans="1:37" ht="12.75" customHeight="1" x14ac:dyDescent="0.2">
      <c r="A702" s="527">
        <v>692</v>
      </c>
      <c r="C702" s="527" t="s">
        <v>3826</v>
      </c>
      <c r="E702" s="527" t="s">
        <v>3827</v>
      </c>
      <c r="F702" s="728"/>
      <c r="G702" s="615">
        <v>42700</v>
      </c>
      <c r="H702" s="527"/>
      <c r="J702" s="617"/>
      <c r="K702" s="533" t="s">
        <v>3765</v>
      </c>
      <c r="N702" s="624">
        <v>45484</v>
      </c>
      <c r="U702" s="613">
        <v>1</v>
      </c>
      <c r="W702" s="613">
        <f t="shared" si="106"/>
        <v>1</v>
      </c>
      <c r="AB702" s="527">
        <f t="shared" si="99"/>
        <v>0</v>
      </c>
      <c r="AC702" s="527">
        <f t="shared" si="100"/>
        <v>0</v>
      </c>
      <c r="AD702" s="527">
        <f t="shared" si="101"/>
        <v>0</v>
      </c>
      <c r="AE702" s="527">
        <f t="shared" si="102"/>
        <v>0</v>
      </c>
      <c r="AF702" s="527">
        <f t="shared" si="103"/>
        <v>0</v>
      </c>
      <c r="AG702" s="527">
        <f t="shared" si="104"/>
        <v>42700</v>
      </c>
      <c r="AH702" s="527"/>
      <c r="AI702" s="639">
        <f t="shared" si="105"/>
        <v>42700</v>
      </c>
    </row>
    <row r="703" spans="1:37" ht="12.75" customHeight="1" x14ac:dyDescent="0.2">
      <c r="A703" s="527">
        <v>693</v>
      </c>
      <c r="C703" s="527" t="s">
        <v>3828</v>
      </c>
      <c r="E703" s="527" t="s">
        <v>3373</v>
      </c>
      <c r="F703" s="728"/>
      <c r="G703" s="615">
        <v>2643</v>
      </c>
      <c r="H703" s="527"/>
      <c r="J703" s="617"/>
      <c r="K703" s="533" t="s">
        <v>3765</v>
      </c>
      <c r="N703" s="624">
        <v>45492</v>
      </c>
      <c r="U703" s="613">
        <v>1</v>
      </c>
      <c r="W703" s="613">
        <f t="shared" si="106"/>
        <v>1</v>
      </c>
      <c r="AB703" s="527">
        <f t="shared" si="99"/>
        <v>0</v>
      </c>
      <c r="AC703" s="527">
        <f t="shared" si="100"/>
        <v>0</v>
      </c>
      <c r="AD703" s="527">
        <f t="shared" si="101"/>
        <v>0</v>
      </c>
      <c r="AE703" s="527">
        <f t="shared" si="102"/>
        <v>0</v>
      </c>
      <c r="AF703" s="527">
        <f t="shared" si="103"/>
        <v>0</v>
      </c>
      <c r="AG703" s="527">
        <f t="shared" si="104"/>
        <v>2643</v>
      </c>
      <c r="AH703" s="527"/>
      <c r="AI703" s="639">
        <f t="shared" si="105"/>
        <v>2643</v>
      </c>
    </row>
    <row r="704" spans="1:37" ht="12.75" customHeight="1" x14ac:dyDescent="0.2">
      <c r="A704" s="527">
        <v>694</v>
      </c>
      <c r="C704" s="527" t="s">
        <v>3829</v>
      </c>
      <c r="E704" s="527" t="s">
        <v>3830</v>
      </c>
      <c r="F704" s="728"/>
      <c r="G704" s="615">
        <v>228</v>
      </c>
      <c r="H704" s="527"/>
      <c r="J704" s="617"/>
      <c r="K704" s="533" t="s">
        <v>3765</v>
      </c>
      <c r="N704" s="624">
        <v>45492</v>
      </c>
      <c r="U704" s="613">
        <v>1</v>
      </c>
      <c r="W704" s="613">
        <f t="shared" si="106"/>
        <v>1</v>
      </c>
      <c r="AB704" s="527">
        <f t="shared" si="99"/>
        <v>0</v>
      </c>
      <c r="AC704" s="527">
        <f t="shared" si="100"/>
        <v>0</v>
      </c>
      <c r="AD704" s="527">
        <f t="shared" si="101"/>
        <v>0</v>
      </c>
      <c r="AE704" s="527">
        <f t="shared" si="102"/>
        <v>0</v>
      </c>
      <c r="AF704" s="527">
        <f t="shared" si="103"/>
        <v>0</v>
      </c>
      <c r="AG704" s="527">
        <f t="shared" si="104"/>
        <v>228</v>
      </c>
      <c r="AH704" s="527"/>
      <c r="AI704" s="639">
        <f t="shared" si="105"/>
        <v>228</v>
      </c>
    </row>
    <row r="705" spans="1:37" ht="12.75" customHeight="1" x14ac:dyDescent="0.2">
      <c r="A705" s="527">
        <v>695</v>
      </c>
      <c r="C705" s="778" t="s">
        <v>3831</v>
      </c>
      <c r="E705" s="527" t="s">
        <v>3832</v>
      </c>
      <c r="F705" s="728"/>
      <c r="G705" s="615">
        <v>9025</v>
      </c>
      <c r="H705" s="527"/>
      <c r="J705" s="617"/>
      <c r="K705" s="533" t="s">
        <v>3765</v>
      </c>
      <c r="N705" s="624">
        <v>45511</v>
      </c>
      <c r="U705" s="613">
        <v>1</v>
      </c>
      <c r="W705" s="613">
        <f t="shared" si="106"/>
        <v>1</v>
      </c>
      <c r="AB705" s="527">
        <f t="shared" si="99"/>
        <v>0</v>
      </c>
      <c r="AC705" s="527">
        <f t="shared" si="100"/>
        <v>0</v>
      </c>
      <c r="AD705" s="527">
        <f t="shared" si="101"/>
        <v>0</v>
      </c>
      <c r="AE705" s="527">
        <f t="shared" si="102"/>
        <v>0</v>
      </c>
      <c r="AF705" s="527">
        <f t="shared" si="103"/>
        <v>0</v>
      </c>
      <c r="AG705" s="527">
        <f t="shared" si="104"/>
        <v>9025</v>
      </c>
      <c r="AH705" s="527"/>
      <c r="AI705" s="639">
        <f t="shared" si="105"/>
        <v>9025</v>
      </c>
    </row>
    <row r="706" spans="1:37" ht="12.75" customHeight="1" x14ac:dyDescent="0.2">
      <c r="A706" s="527">
        <v>696</v>
      </c>
      <c r="C706" s="533" t="s">
        <v>3833</v>
      </c>
      <c r="E706" s="527" t="s">
        <v>3816</v>
      </c>
      <c r="F706" s="728"/>
      <c r="G706" s="615">
        <v>10500</v>
      </c>
      <c r="H706" s="527"/>
      <c r="J706" s="617"/>
      <c r="K706" s="533" t="s">
        <v>3765</v>
      </c>
      <c r="N706" s="624">
        <v>45528</v>
      </c>
      <c r="U706" s="613">
        <v>1</v>
      </c>
      <c r="W706" s="613">
        <f t="shared" si="106"/>
        <v>1</v>
      </c>
      <c r="AB706" s="527">
        <f t="shared" si="99"/>
        <v>0</v>
      </c>
      <c r="AC706" s="527">
        <f t="shared" si="100"/>
        <v>0</v>
      </c>
      <c r="AD706" s="527">
        <f t="shared" si="101"/>
        <v>0</v>
      </c>
      <c r="AE706" s="527">
        <f t="shared" si="102"/>
        <v>0</v>
      </c>
      <c r="AF706" s="527">
        <f t="shared" si="103"/>
        <v>0</v>
      </c>
      <c r="AG706" s="527">
        <f t="shared" si="104"/>
        <v>10500</v>
      </c>
      <c r="AH706" s="527"/>
      <c r="AI706" s="639">
        <f t="shared" si="105"/>
        <v>10500</v>
      </c>
    </row>
    <row r="707" spans="1:37" ht="12.75" customHeight="1" x14ac:dyDescent="0.2">
      <c r="A707" s="527">
        <v>697</v>
      </c>
      <c r="C707" s="527" t="s">
        <v>3834</v>
      </c>
      <c r="E707" s="527" t="s">
        <v>3835</v>
      </c>
      <c r="F707" s="728"/>
      <c r="G707" s="615">
        <v>62000</v>
      </c>
      <c r="H707" s="527"/>
      <c r="J707" s="617"/>
      <c r="K707" s="533" t="s">
        <v>3765</v>
      </c>
      <c r="N707" s="624">
        <v>45528</v>
      </c>
      <c r="U707" s="613">
        <v>1</v>
      </c>
      <c r="W707" s="613">
        <f t="shared" si="106"/>
        <v>1</v>
      </c>
      <c r="AB707" s="527">
        <f t="shared" si="99"/>
        <v>0</v>
      </c>
      <c r="AC707" s="527">
        <f t="shared" si="100"/>
        <v>0</v>
      </c>
      <c r="AD707" s="527">
        <f t="shared" si="101"/>
        <v>0</v>
      </c>
      <c r="AE707" s="527">
        <f t="shared" si="102"/>
        <v>0</v>
      </c>
      <c r="AF707" s="527">
        <f t="shared" si="103"/>
        <v>0</v>
      </c>
      <c r="AG707" s="527">
        <f t="shared" si="104"/>
        <v>62000</v>
      </c>
      <c r="AH707" s="527"/>
      <c r="AI707" s="639">
        <f t="shared" si="105"/>
        <v>62000</v>
      </c>
    </row>
    <row r="708" spans="1:37" ht="12.75" customHeight="1" x14ac:dyDescent="0.2">
      <c r="A708" s="527">
        <v>698</v>
      </c>
      <c r="C708" s="527" t="s">
        <v>3836</v>
      </c>
      <c r="E708" s="527" t="s">
        <v>3837</v>
      </c>
      <c r="F708" s="728"/>
      <c r="G708" s="615">
        <v>65</v>
      </c>
      <c r="H708" s="527"/>
      <c r="J708" s="617"/>
      <c r="K708" s="533" t="s">
        <v>3765</v>
      </c>
      <c r="N708" s="624">
        <v>45528</v>
      </c>
      <c r="U708" s="613">
        <v>1</v>
      </c>
      <c r="W708" s="613">
        <f t="shared" si="106"/>
        <v>1</v>
      </c>
      <c r="AB708" s="527">
        <f t="shared" si="99"/>
        <v>0</v>
      </c>
      <c r="AC708" s="527">
        <f t="shared" si="100"/>
        <v>0</v>
      </c>
      <c r="AD708" s="527">
        <f t="shared" si="101"/>
        <v>0</v>
      </c>
      <c r="AE708" s="527">
        <f t="shared" si="102"/>
        <v>0</v>
      </c>
      <c r="AF708" s="527">
        <f t="shared" si="103"/>
        <v>0</v>
      </c>
      <c r="AG708" s="527">
        <f t="shared" si="104"/>
        <v>65</v>
      </c>
      <c r="AH708" s="527"/>
      <c r="AI708" s="639">
        <f t="shared" si="105"/>
        <v>65</v>
      </c>
    </row>
    <row r="709" spans="1:37" ht="12.75" customHeight="1" x14ac:dyDescent="0.2">
      <c r="A709" s="527">
        <v>699</v>
      </c>
      <c r="C709" s="527" t="s">
        <v>3838</v>
      </c>
      <c r="E709" s="527" t="s">
        <v>3844</v>
      </c>
      <c r="F709" s="728"/>
      <c r="G709" s="615">
        <v>21350</v>
      </c>
      <c r="H709" s="527"/>
      <c r="J709" s="617"/>
      <c r="K709" s="533" t="s">
        <v>3765</v>
      </c>
      <c r="N709" s="624">
        <v>45534</v>
      </c>
      <c r="U709" s="613">
        <v>1</v>
      </c>
      <c r="W709" s="613">
        <f t="shared" si="106"/>
        <v>1</v>
      </c>
      <c r="AB709" s="527">
        <f t="shared" si="99"/>
        <v>0</v>
      </c>
      <c r="AC709" s="527">
        <f t="shared" si="100"/>
        <v>0</v>
      </c>
      <c r="AD709" s="527">
        <f t="shared" si="101"/>
        <v>0</v>
      </c>
      <c r="AE709" s="527">
        <f t="shared" si="102"/>
        <v>0</v>
      </c>
      <c r="AF709" s="527">
        <f t="shared" si="103"/>
        <v>0</v>
      </c>
      <c r="AG709" s="527">
        <f t="shared" si="104"/>
        <v>21350</v>
      </c>
      <c r="AH709" s="527"/>
      <c r="AI709" s="639">
        <f t="shared" si="105"/>
        <v>21350</v>
      </c>
    </row>
    <row r="710" spans="1:37" ht="12.75" customHeight="1" x14ac:dyDescent="0.2">
      <c r="A710" s="527">
        <v>700</v>
      </c>
      <c r="C710" s="527" t="s">
        <v>3840</v>
      </c>
      <c r="E710" s="527" t="s">
        <v>3846</v>
      </c>
      <c r="F710" s="728"/>
      <c r="G710" s="615">
        <v>52</v>
      </c>
      <c r="H710" s="527"/>
      <c r="J710" s="617"/>
      <c r="K710" s="533" t="s">
        <v>3765</v>
      </c>
      <c r="N710" s="624">
        <v>45534</v>
      </c>
      <c r="U710" s="613">
        <v>1</v>
      </c>
      <c r="W710" s="613">
        <f t="shared" si="106"/>
        <v>1</v>
      </c>
      <c r="AB710" s="527">
        <f t="shared" si="99"/>
        <v>0</v>
      </c>
      <c r="AC710" s="527">
        <f t="shared" si="100"/>
        <v>0</v>
      </c>
      <c r="AD710" s="527">
        <f t="shared" si="101"/>
        <v>0</v>
      </c>
      <c r="AE710" s="527">
        <f t="shared" si="102"/>
        <v>0</v>
      </c>
      <c r="AF710" s="527">
        <f t="shared" si="103"/>
        <v>0</v>
      </c>
      <c r="AG710" s="527">
        <f t="shared" si="104"/>
        <v>52</v>
      </c>
      <c r="AH710" s="527"/>
      <c r="AI710" s="639">
        <f t="shared" si="105"/>
        <v>52</v>
      </c>
    </row>
    <row r="711" spans="1:37" ht="12.75" customHeight="1" x14ac:dyDescent="0.2">
      <c r="A711" s="527">
        <v>701</v>
      </c>
      <c r="C711" s="527" t="s">
        <v>3839</v>
      </c>
      <c r="E711" s="527" t="s">
        <v>3845</v>
      </c>
      <c r="F711" s="728"/>
      <c r="G711" s="615">
        <v>9390</v>
      </c>
      <c r="H711" s="527"/>
      <c r="J711" s="617"/>
      <c r="K711" s="533" t="s">
        <v>3765</v>
      </c>
      <c r="N711" s="624">
        <v>45539</v>
      </c>
      <c r="U711" s="613">
        <v>1</v>
      </c>
      <c r="W711" s="613">
        <f t="shared" si="106"/>
        <v>1</v>
      </c>
      <c r="AB711" s="527">
        <f t="shared" si="99"/>
        <v>0</v>
      </c>
      <c r="AC711" s="527">
        <f t="shared" si="100"/>
        <v>0</v>
      </c>
      <c r="AD711" s="527">
        <f t="shared" si="101"/>
        <v>0</v>
      </c>
      <c r="AE711" s="527">
        <f t="shared" si="102"/>
        <v>0</v>
      </c>
      <c r="AF711" s="527">
        <f t="shared" si="103"/>
        <v>0</v>
      </c>
      <c r="AG711" s="527">
        <f t="shared" si="104"/>
        <v>9390</v>
      </c>
      <c r="AH711" s="527"/>
      <c r="AI711" s="639">
        <f t="shared" si="105"/>
        <v>9390</v>
      </c>
    </row>
    <row r="712" spans="1:37" ht="12.75" customHeight="1" x14ac:dyDescent="0.2">
      <c r="A712" s="527">
        <v>702</v>
      </c>
      <c r="C712" s="527" t="s">
        <v>3841</v>
      </c>
      <c r="E712" s="527" t="s">
        <v>3847</v>
      </c>
      <c r="F712" s="728"/>
      <c r="G712" s="615">
        <v>423</v>
      </c>
      <c r="H712" s="527"/>
      <c r="J712" s="617"/>
      <c r="K712" s="533" t="s">
        <v>3765</v>
      </c>
      <c r="N712" s="624">
        <v>45548</v>
      </c>
      <c r="U712" s="613">
        <v>1</v>
      </c>
      <c r="W712" s="613">
        <f t="shared" si="106"/>
        <v>1</v>
      </c>
      <c r="AB712" s="527">
        <f t="shared" si="99"/>
        <v>0</v>
      </c>
      <c r="AC712" s="527">
        <f t="shared" si="100"/>
        <v>0</v>
      </c>
      <c r="AD712" s="527">
        <f t="shared" si="101"/>
        <v>0</v>
      </c>
      <c r="AE712" s="527">
        <f t="shared" si="102"/>
        <v>0</v>
      </c>
      <c r="AF712" s="527">
        <f t="shared" si="103"/>
        <v>0</v>
      </c>
      <c r="AG712" s="527">
        <f t="shared" si="104"/>
        <v>423</v>
      </c>
      <c r="AH712" s="527"/>
      <c r="AI712" s="639">
        <f t="shared" si="105"/>
        <v>423</v>
      </c>
    </row>
    <row r="713" spans="1:37" ht="12.75" customHeight="1" x14ac:dyDescent="0.2">
      <c r="A713" s="527">
        <v>703</v>
      </c>
      <c r="C713" s="527" t="s">
        <v>3842</v>
      </c>
      <c r="E713" s="527" t="s">
        <v>3849</v>
      </c>
      <c r="F713" s="728"/>
      <c r="G713" s="615">
        <v>589</v>
      </c>
      <c r="H713" s="527"/>
      <c r="J713" s="617"/>
      <c r="K713" s="533" t="s">
        <v>3765</v>
      </c>
      <c r="N713" s="624">
        <v>45548</v>
      </c>
      <c r="U713" s="613">
        <v>1</v>
      </c>
      <c r="W713" s="613">
        <f t="shared" si="106"/>
        <v>1</v>
      </c>
      <c r="AB713" s="527">
        <f t="shared" si="99"/>
        <v>0</v>
      </c>
      <c r="AC713" s="527">
        <f t="shared" si="100"/>
        <v>0</v>
      </c>
      <c r="AD713" s="527">
        <f t="shared" si="101"/>
        <v>0</v>
      </c>
      <c r="AE713" s="527">
        <f t="shared" si="102"/>
        <v>0</v>
      </c>
      <c r="AF713" s="527">
        <f t="shared" si="103"/>
        <v>0</v>
      </c>
      <c r="AG713" s="527">
        <f t="shared" si="104"/>
        <v>589</v>
      </c>
      <c r="AH713" s="527"/>
      <c r="AI713" s="639">
        <f t="shared" si="105"/>
        <v>589</v>
      </c>
      <c r="AK713" s="778">
        <v>1</v>
      </c>
    </row>
    <row r="714" spans="1:37" ht="12.75" customHeight="1" x14ac:dyDescent="0.2">
      <c r="A714" s="527">
        <v>704</v>
      </c>
      <c r="C714" s="527" t="s">
        <v>3843</v>
      </c>
      <c r="E714" s="624" t="s">
        <v>3848</v>
      </c>
      <c r="F714" s="728"/>
      <c r="G714" s="632">
        <v>88.8</v>
      </c>
      <c r="H714" s="527"/>
      <c r="J714" s="617"/>
      <c r="K714" s="533" t="s">
        <v>3765</v>
      </c>
      <c r="N714" s="624">
        <v>45548</v>
      </c>
      <c r="U714" s="613">
        <v>1</v>
      </c>
      <c r="W714" s="613">
        <f t="shared" si="106"/>
        <v>1</v>
      </c>
      <c r="AB714" s="527">
        <f t="shared" si="99"/>
        <v>0</v>
      </c>
      <c r="AC714" s="527">
        <f t="shared" si="100"/>
        <v>0</v>
      </c>
      <c r="AD714" s="527">
        <f t="shared" si="101"/>
        <v>0</v>
      </c>
      <c r="AE714" s="527">
        <f t="shared" si="102"/>
        <v>0</v>
      </c>
      <c r="AF714" s="527">
        <f t="shared" si="103"/>
        <v>0</v>
      </c>
      <c r="AG714" s="527">
        <f t="shared" si="104"/>
        <v>88.8</v>
      </c>
      <c r="AH714" s="527"/>
      <c r="AI714" s="639">
        <f t="shared" si="105"/>
        <v>88.8</v>
      </c>
    </row>
    <row r="715" spans="1:37" ht="12.75" customHeight="1" x14ac:dyDescent="0.2">
      <c r="A715" s="527">
        <v>705</v>
      </c>
      <c r="C715" s="527" t="s">
        <v>3850</v>
      </c>
      <c r="E715" s="624" t="s">
        <v>3867</v>
      </c>
      <c r="F715" s="728"/>
      <c r="G715" s="615">
        <v>785</v>
      </c>
      <c r="H715" s="527"/>
      <c r="J715" s="617"/>
      <c r="K715" s="533" t="s">
        <v>3765</v>
      </c>
      <c r="N715" s="624">
        <v>45583</v>
      </c>
      <c r="U715" s="613">
        <v>1</v>
      </c>
      <c r="W715" s="613">
        <f t="shared" si="106"/>
        <v>1</v>
      </c>
      <c r="AB715" s="527">
        <f t="shared" si="99"/>
        <v>0</v>
      </c>
      <c r="AC715" s="527">
        <f t="shared" si="100"/>
        <v>0</v>
      </c>
      <c r="AD715" s="527">
        <f t="shared" si="101"/>
        <v>0</v>
      </c>
      <c r="AE715" s="527">
        <f t="shared" si="102"/>
        <v>0</v>
      </c>
      <c r="AF715" s="527">
        <f t="shared" si="103"/>
        <v>0</v>
      </c>
      <c r="AG715" s="527">
        <f t="shared" si="104"/>
        <v>785</v>
      </c>
      <c r="AH715" s="527"/>
      <c r="AI715" s="639">
        <f t="shared" si="105"/>
        <v>785</v>
      </c>
    </row>
    <row r="716" spans="1:37" ht="12.75" customHeight="1" x14ac:dyDescent="0.2">
      <c r="A716" s="527">
        <v>706</v>
      </c>
      <c r="C716" s="527" t="s">
        <v>3851</v>
      </c>
      <c r="E716" s="624" t="s">
        <v>3852</v>
      </c>
      <c r="F716" s="728"/>
      <c r="G716" s="615">
        <v>1230</v>
      </c>
      <c r="H716" s="527"/>
      <c r="J716" s="617"/>
      <c r="K716" s="533" t="s">
        <v>3765</v>
      </c>
      <c r="N716" s="624">
        <v>45583</v>
      </c>
      <c r="U716" s="613">
        <v>1</v>
      </c>
      <c r="W716" s="613">
        <f t="shared" si="106"/>
        <v>1</v>
      </c>
      <c r="AB716" s="527">
        <f t="shared" si="99"/>
        <v>0</v>
      </c>
      <c r="AC716" s="527">
        <f t="shared" si="100"/>
        <v>0</v>
      </c>
      <c r="AD716" s="527">
        <f t="shared" si="101"/>
        <v>0</v>
      </c>
      <c r="AE716" s="527">
        <f t="shared" si="102"/>
        <v>0</v>
      </c>
      <c r="AF716" s="527">
        <f t="shared" si="103"/>
        <v>0</v>
      </c>
      <c r="AG716" s="527">
        <f t="shared" si="104"/>
        <v>1230</v>
      </c>
      <c r="AH716" s="527"/>
      <c r="AI716" s="639">
        <f t="shared" si="105"/>
        <v>1230</v>
      </c>
    </row>
    <row r="717" spans="1:37" ht="12.75" customHeight="1" x14ac:dyDescent="0.2">
      <c r="A717" s="527">
        <v>707</v>
      </c>
      <c r="C717" s="527" t="s">
        <v>3853</v>
      </c>
      <c r="E717" s="624" t="s">
        <v>3854</v>
      </c>
      <c r="F717" s="728"/>
      <c r="G717" s="615">
        <v>33180</v>
      </c>
      <c r="H717" s="527"/>
      <c r="J717" s="617"/>
      <c r="K717" s="533" t="s">
        <v>3765</v>
      </c>
      <c r="N717" s="624">
        <v>45583</v>
      </c>
      <c r="U717" s="613">
        <v>1</v>
      </c>
      <c r="W717" s="613">
        <f t="shared" si="106"/>
        <v>1</v>
      </c>
      <c r="AB717" s="527">
        <f t="shared" si="99"/>
        <v>0</v>
      </c>
      <c r="AC717" s="527">
        <f t="shared" si="100"/>
        <v>0</v>
      </c>
      <c r="AD717" s="527">
        <f t="shared" si="101"/>
        <v>0</v>
      </c>
      <c r="AE717" s="527">
        <f t="shared" si="102"/>
        <v>0</v>
      </c>
      <c r="AF717" s="527">
        <f t="shared" si="103"/>
        <v>0</v>
      </c>
      <c r="AG717" s="527">
        <f t="shared" si="104"/>
        <v>33180</v>
      </c>
      <c r="AH717" s="527"/>
      <c r="AI717" s="639">
        <f t="shared" si="105"/>
        <v>33180</v>
      </c>
    </row>
    <row r="718" spans="1:37" ht="12.75" customHeight="1" x14ac:dyDescent="0.2">
      <c r="A718" s="527">
        <v>708</v>
      </c>
      <c r="C718" s="527" t="s">
        <v>3855</v>
      </c>
      <c r="E718" s="624" t="s">
        <v>3569</v>
      </c>
      <c r="F718" s="728"/>
      <c r="G718" s="615">
        <v>50</v>
      </c>
      <c r="H718" s="527"/>
      <c r="J718" s="617"/>
      <c r="K718" s="533" t="s">
        <v>3765</v>
      </c>
      <c r="N718" s="624">
        <v>45598</v>
      </c>
      <c r="U718" s="613">
        <v>1</v>
      </c>
      <c r="W718" s="613">
        <f t="shared" si="106"/>
        <v>1</v>
      </c>
      <c r="AB718" s="527">
        <f t="shared" si="99"/>
        <v>0</v>
      </c>
      <c r="AC718" s="527">
        <f t="shared" si="100"/>
        <v>0</v>
      </c>
      <c r="AD718" s="527">
        <f t="shared" si="101"/>
        <v>0</v>
      </c>
      <c r="AE718" s="527">
        <f t="shared" si="102"/>
        <v>0</v>
      </c>
      <c r="AF718" s="527">
        <f t="shared" si="103"/>
        <v>0</v>
      </c>
      <c r="AG718" s="527">
        <f t="shared" si="104"/>
        <v>50</v>
      </c>
      <c r="AH718" s="527"/>
      <c r="AI718" s="639">
        <f t="shared" si="105"/>
        <v>50</v>
      </c>
    </row>
    <row r="719" spans="1:37" ht="12.75" customHeight="1" x14ac:dyDescent="0.2">
      <c r="A719" s="527">
        <v>709</v>
      </c>
      <c r="C719" s="527" t="s">
        <v>3860</v>
      </c>
      <c r="E719" s="527" t="s">
        <v>3863</v>
      </c>
      <c r="F719" s="728"/>
      <c r="G719" s="615">
        <v>1072</v>
      </c>
      <c r="H719" s="527"/>
      <c r="J719" s="617"/>
      <c r="K719" s="533" t="s">
        <v>3765</v>
      </c>
      <c r="N719" s="624">
        <v>45639</v>
      </c>
      <c r="U719" s="613">
        <v>1</v>
      </c>
      <c r="W719" s="613">
        <f t="shared" si="106"/>
        <v>1</v>
      </c>
      <c r="AB719" s="527">
        <f t="shared" si="99"/>
        <v>0</v>
      </c>
      <c r="AC719" s="527">
        <f t="shared" si="100"/>
        <v>0</v>
      </c>
      <c r="AD719" s="527">
        <f t="shared" si="101"/>
        <v>0</v>
      </c>
      <c r="AE719" s="527">
        <f t="shared" si="102"/>
        <v>0</v>
      </c>
      <c r="AF719" s="527">
        <f t="shared" si="103"/>
        <v>0</v>
      </c>
      <c r="AG719" s="527">
        <f t="shared" si="104"/>
        <v>1072</v>
      </c>
      <c r="AH719" s="527"/>
      <c r="AI719" s="639">
        <f t="shared" si="105"/>
        <v>1072</v>
      </c>
    </row>
    <row r="720" spans="1:37" ht="12.75" customHeight="1" x14ac:dyDescent="0.2">
      <c r="A720" s="527">
        <v>710</v>
      </c>
      <c r="C720" s="527" t="s">
        <v>3861</v>
      </c>
      <c r="E720" s="527" t="s">
        <v>3864</v>
      </c>
      <c r="F720" s="728"/>
      <c r="G720" s="615">
        <v>1040</v>
      </c>
      <c r="H720" s="527"/>
      <c r="J720" s="617"/>
      <c r="K720" s="533" t="s">
        <v>3765</v>
      </c>
      <c r="N720" s="624">
        <v>45639</v>
      </c>
      <c r="U720" s="613">
        <v>1</v>
      </c>
      <c r="W720" s="613">
        <f t="shared" si="106"/>
        <v>1</v>
      </c>
      <c r="AB720" s="527">
        <f t="shared" si="99"/>
        <v>0</v>
      </c>
      <c r="AC720" s="527">
        <f t="shared" si="100"/>
        <v>0</v>
      </c>
      <c r="AD720" s="527">
        <f t="shared" si="101"/>
        <v>0</v>
      </c>
      <c r="AE720" s="527">
        <f t="shared" si="102"/>
        <v>0</v>
      </c>
      <c r="AF720" s="527">
        <f t="shared" si="103"/>
        <v>0</v>
      </c>
      <c r="AG720" s="527">
        <f t="shared" si="104"/>
        <v>1040</v>
      </c>
      <c r="AH720" s="527"/>
      <c r="AI720" s="639">
        <f t="shared" si="105"/>
        <v>1040</v>
      </c>
    </row>
    <row r="721" spans="1:35" ht="12.75" customHeight="1" x14ac:dyDescent="0.2">
      <c r="A721" s="527">
        <v>711</v>
      </c>
      <c r="C721" s="527" t="s">
        <v>3862</v>
      </c>
      <c r="E721" s="624" t="s">
        <v>3865</v>
      </c>
      <c r="F721" s="728"/>
      <c r="G721" s="615">
        <v>300</v>
      </c>
      <c r="H721" s="527"/>
      <c r="J721" s="617"/>
      <c r="K721" s="533" t="s">
        <v>3765</v>
      </c>
      <c r="N721" s="624">
        <v>45639</v>
      </c>
      <c r="U721" s="613">
        <v>1</v>
      </c>
      <c r="W721" s="613">
        <f t="shared" si="106"/>
        <v>1</v>
      </c>
      <c r="AB721" s="527">
        <f t="shared" si="99"/>
        <v>0</v>
      </c>
      <c r="AC721" s="527">
        <f t="shared" si="100"/>
        <v>0</v>
      </c>
      <c r="AD721" s="527">
        <f t="shared" si="101"/>
        <v>0</v>
      </c>
      <c r="AE721" s="527">
        <f t="shared" si="102"/>
        <v>0</v>
      </c>
      <c r="AF721" s="527">
        <f t="shared" si="103"/>
        <v>0</v>
      </c>
      <c r="AG721" s="527">
        <f t="shared" si="104"/>
        <v>300</v>
      </c>
      <c r="AH721" s="527"/>
      <c r="AI721" s="639">
        <f t="shared" si="105"/>
        <v>300</v>
      </c>
    </row>
    <row r="722" spans="1:35" customFormat="1" ht="12.75" customHeight="1" x14ac:dyDescent="0.2">
      <c r="A722" s="527">
        <v>712</v>
      </c>
      <c r="C722" s="527" t="s">
        <v>3857</v>
      </c>
      <c r="E722" s="624" t="s">
        <v>3866</v>
      </c>
      <c r="G722" s="963">
        <v>2631.53</v>
      </c>
      <c r="K722" s="533" t="s">
        <v>3765</v>
      </c>
      <c r="N722" s="624">
        <v>45645</v>
      </c>
      <c r="U722" s="613">
        <v>1</v>
      </c>
      <c r="V722" s="613"/>
      <c r="W722" s="613">
        <f t="shared" si="106"/>
        <v>1</v>
      </c>
      <c r="AB722" s="527">
        <f t="shared" si="99"/>
        <v>0</v>
      </c>
      <c r="AC722" s="527">
        <f t="shared" si="100"/>
        <v>0</v>
      </c>
      <c r="AD722" s="527">
        <f t="shared" si="101"/>
        <v>0</v>
      </c>
      <c r="AE722" s="527">
        <f t="shared" si="102"/>
        <v>0</v>
      </c>
      <c r="AF722" s="527">
        <f t="shared" si="103"/>
        <v>0</v>
      </c>
      <c r="AG722" s="527">
        <f t="shared" si="104"/>
        <v>2631.53</v>
      </c>
      <c r="AH722" s="527"/>
      <c r="AI722" s="639">
        <f t="shared" si="105"/>
        <v>2631.53</v>
      </c>
    </row>
    <row r="723" spans="1:35" customFormat="1" ht="12.75" customHeight="1" x14ac:dyDescent="0.2">
      <c r="A723" s="527">
        <v>713</v>
      </c>
      <c r="C723" s="527" t="s">
        <v>3858</v>
      </c>
      <c r="E723" s="624" t="s">
        <v>3868</v>
      </c>
      <c r="G723" s="615">
        <v>137</v>
      </c>
      <c r="K723" s="533" t="s">
        <v>3765</v>
      </c>
      <c r="N723" s="624">
        <v>45645</v>
      </c>
      <c r="U723" s="613">
        <v>1</v>
      </c>
      <c r="V723" s="613"/>
      <c r="W723" s="613">
        <f t="shared" si="106"/>
        <v>1</v>
      </c>
      <c r="AB723" s="527">
        <f t="shared" si="99"/>
        <v>0</v>
      </c>
      <c r="AC723" s="527">
        <f t="shared" si="100"/>
        <v>0</v>
      </c>
      <c r="AD723" s="527">
        <f t="shared" si="101"/>
        <v>0</v>
      </c>
      <c r="AE723" s="527">
        <f t="shared" si="102"/>
        <v>0</v>
      </c>
      <c r="AF723" s="527">
        <f t="shared" si="103"/>
        <v>0</v>
      </c>
      <c r="AG723" s="527">
        <f t="shared" si="104"/>
        <v>137</v>
      </c>
      <c r="AH723" s="527"/>
      <c r="AI723" s="639">
        <f t="shared" si="105"/>
        <v>137</v>
      </c>
    </row>
    <row r="724" spans="1:35" customFormat="1" ht="12.75" customHeight="1" x14ac:dyDescent="0.2">
      <c r="A724" s="527">
        <v>714</v>
      </c>
      <c r="C724" s="527" t="s">
        <v>3859</v>
      </c>
      <c r="E724" s="624" t="s">
        <v>3867</v>
      </c>
      <c r="G724" s="615">
        <v>2900</v>
      </c>
      <c r="K724" s="533" t="s">
        <v>3765</v>
      </c>
      <c r="N724" s="624">
        <v>45645</v>
      </c>
      <c r="U724" s="613">
        <v>1</v>
      </c>
      <c r="V724" s="613"/>
      <c r="W724" s="613">
        <f t="shared" si="106"/>
        <v>1</v>
      </c>
      <c r="AB724" s="527">
        <f t="shared" si="99"/>
        <v>0</v>
      </c>
      <c r="AC724" s="527">
        <f t="shared" si="100"/>
        <v>0</v>
      </c>
      <c r="AD724" s="527">
        <f t="shared" si="101"/>
        <v>0</v>
      </c>
      <c r="AE724" s="527">
        <f t="shared" si="102"/>
        <v>0</v>
      </c>
      <c r="AF724" s="527">
        <f t="shared" si="103"/>
        <v>0</v>
      </c>
      <c r="AG724" s="527">
        <f t="shared" si="104"/>
        <v>2900</v>
      </c>
      <c r="AH724" s="527"/>
      <c r="AI724" s="639">
        <f t="shared" si="105"/>
        <v>2900</v>
      </c>
    </row>
    <row r="725" spans="1:35" customFormat="1" ht="12.75" customHeight="1" x14ac:dyDescent="0.2">
      <c r="A725" s="527">
        <v>715</v>
      </c>
      <c r="C725" s="527" t="s">
        <v>3869</v>
      </c>
      <c r="E725" s="980" t="s">
        <v>3867</v>
      </c>
      <c r="G725" s="632">
        <v>38.200000000000003</v>
      </c>
      <c r="K725" s="533" t="s">
        <v>3870</v>
      </c>
      <c r="N725" s="624">
        <v>45675</v>
      </c>
      <c r="U725" s="613">
        <v>1</v>
      </c>
      <c r="V725" s="613"/>
      <c r="W725" s="613">
        <f t="shared" si="106"/>
        <v>1</v>
      </c>
      <c r="AB725" s="527">
        <f t="shared" si="99"/>
        <v>0</v>
      </c>
      <c r="AC725" s="527">
        <f t="shared" si="100"/>
        <v>0</v>
      </c>
      <c r="AD725" s="527">
        <f t="shared" si="101"/>
        <v>0</v>
      </c>
      <c r="AE725" s="527">
        <f t="shared" si="102"/>
        <v>0</v>
      </c>
      <c r="AF725" s="527">
        <f t="shared" si="103"/>
        <v>0</v>
      </c>
      <c r="AG725" s="527">
        <f t="shared" si="104"/>
        <v>38.200000000000003</v>
      </c>
      <c r="AH725" s="527"/>
      <c r="AI725" s="639">
        <f t="shared" si="105"/>
        <v>38.200000000000003</v>
      </c>
    </row>
    <row r="726" spans="1:35" customFormat="1" ht="12.75" customHeight="1" x14ac:dyDescent="0.2">
      <c r="A726" s="527">
        <v>716</v>
      </c>
      <c r="C726" s="527" t="s">
        <v>3872</v>
      </c>
      <c r="E726" s="624" t="s">
        <v>3873</v>
      </c>
      <c r="G726" s="615">
        <v>215</v>
      </c>
      <c r="K726" s="533" t="s">
        <v>3870</v>
      </c>
      <c r="N726" s="624">
        <v>45675</v>
      </c>
      <c r="U726" s="613">
        <v>1</v>
      </c>
      <c r="V726" s="613"/>
      <c r="W726" s="613">
        <f t="shared" si="106"/>
        <v>1</v>
      </c>
      <c r="AB726" s="527">
        <f t="shared" si="99"/>
        <v>0</v>
      </c>
      <c r="AC726" s="527">
        <f t="shared" si="100"/>
        <v>0</v>
      </c>
      <c r="AD726" s="527">
        <f t="shared" si="101"/>
        <v>0</v>
      </c>
      <c r="AE726" s="527">
        <f t="shared" si="102"/>
        <v>0</v>
      </c>
      <c r="AF726" s="527">
        <f t="shared" si="103"/>
        <v>0</v>
      </c>
      <c r="AG726" s="527">
        <f t="shared" si="104"/>
        <v>215</v>
      </c>
      <c r="AH726" s="527"/>
      <c r="AI726" s="639">
        <f t="shared" si="105"/>
        <v>215</v>
      </c>
    </row>
    <row r="727" spans="1:35" customFormat="1" ht="12.75" customHeight="1" x14ac:dyDescent="0.2">
      <c r="A727" s="527">
        <v>717</v>
      </c>
      <c r="C727" s="527" t="s">
        <v>3876</v>
      </c>
      <c r="E727" s="624" t="s">
        <v>3819</v>
      </c>
      <c r="G727" s="615">
        <v>14700</v>
      </c>
      <c r="K727" s="533" t="s">
        <v>3870</v>
      </c>
      <c r="N727" s="624">
        <v>45696</v>
      </c>
      <c r="U727" s="613">
        <v>1</v>
      </c>
      <c r="W727" s="613">
        <f t="shared" si="106"/>
        <v>1</v>
      </c>
      <c r="AB727" s="527">
        <f t="shared" si="99"/>
        <v>0</v>
      </c>
      <c r="AC727" s="527">
        <f t="shared" si="100"/>
        <v>0</v>
      </c>
      <c r="AD727" s="527">
        <f t="shared" si="101"/>
        <v>0</v>
      </c>
      <c r="AE727" s="527">
        <f t="shared" si="102"/>
        <v>0</v>
      </c>
      <c r="AF727" s="527">
        <f t="shared" si="103"/>
        <v>0</v>
      </c>
      <c r="AG727" s="527">
        <f t="shared" si="104"/>
        <v>14700</v>
      </c>
      <c r="AI727" s="639">
        <f t="shared" si="105"/>
        <v>14700</v>
      </c>
    </row>
    <row r="728" spans="1:35" customFormat="1" ht="12.75" customHeight="1" x14ac:dyDescent="0.2">
      <c r="A728" s="527">
        <v>718</v>
      </c>
      <c r="C728" s="527" t="s">
        <v>3877</v>
      </c>
      <c r="E728" s="624" t="s">
        <v>3880</v>
      </c>
      <c r="G728" s="615">
        <v>8220</v>
      </c>
      <c r="K728" s="533" t="s">
        <v>3870</v>
      </c>
      <c r="N728" s="624">
        <v>45711</v>
      </c>
      <c r="U728" s="613">
        <v>1</v>
      </c>
      <c r="W728" s="613">
        <f t="shared" si="106"/>
        <v>1</v>
      </c>
      <c r="AB728" s="527">
        <f t="shared" si="99"/>
        <v>0</v>
      </c>
      <c r="AC728" s="527">
        <f t="shared" si="100"/>
        <v>0</v>
      </c>
      <c r="AD728" s="527">
        <f t="shared" si="101"/>
        <v>0</v>
      </c>
      <c r="AE728" s="527">
        <f t="shared" si="102"/>
        <v>0</v>
      </c>
      <c r="AF728" s="527">
        <f t="shared" si="103"/>
        <v>0</v>
      </c>
      <c r="AG728" s="527">
        <f t="shared" si="104"/>
        <v>8220</v>
      </c>
      <c r="AI728" s="639">
        <f t="shared" si="105"/>
        <v>8220</v>
      </c>
    </row>
    <row r="729" spans="1:35" customFormat="1" ht="12.75" customHeight="1" x14ac:dyDescent="0.2">
      <c r="A729" s="527">
        <v>719</v>
      </c>
      <c r="C729" s="527" t="s">
        <v>3878</v>
      </c>
      <c r="E729" s="624" t="s">
        <v>3819</v>
      </c>
      <c r="G729" s="615">
        <v>11765</v>
      </c>
      <c r="K729" s="533" t="s">
        <v>3870</v>
      </c>
      <c r="N729" s="624">
        <v>45711</v>
      </c>
      <c r="U729" s="613">
        <v>1</v>
      </c>
      <c r="W729" s="613">
        <f t="shared" si="106"/>
        <v>1</v>
      </c>
      <c r="AB729" s="527">
        <f t="shared" si="99"/>
        <v>0</v>
      </c>
      <c r="AC729" s="527">
        <f t="shared" si="100"/>
        <v>0</v>
      </c>
      <c r="AD729" s="527">
        <f t="shared" si="101"/>
        <v>0</v>
      </c>
      <c r="AE729" s="527">
        <f t="shared" si="102"/>
        <v>0</v>
      </c>
      <c r="AF729" s="527">
        <f t="shared" si="103"/>
        <v>0</v>
      </c>
      <c r="AG729" s="527">
        <f t="shared" si="104"/>
        <v>11765</v>
      </c>
      <c r="AI729" s="639">
        <f t="shared" si="105"/>
        <v>11765</v>
      </c>
    </row>
    <row r="730" spans="1:35" customFormat="1" ht="12.75" customHeight="1" x14ac:dyDescent="0.2">
      <c r="A730" s="527">
        <v>720</v>
      </c>
      <c r="C730" s="527" t="s">
        <v>3879</v>
      </c>
      <c r="E730" s="624" t="s">
        <v>3881</v>
      </c>
      <c r="G730" s="615">
        <v>6</v>
      </c>
      <c r="K730" s="533" t="s">
        <v>3870</v>
      </c>
      <c r="N730" s="624">
        <v>45711</v>
      </c>
      <c r="U730" s="613">
        <v>1</v>
      </c>
      <c r="W730" s="613">
        <f t="shared" si="106"/>
        <v>1</v>
      </c>
      <c r="AB730" s="527">
        <f t="shared" si="99"/>
        <v>0</v>
      </c>
      <c r="AC730" s="527">
        <f t="shared" si="100"/>
        <v>0</v>
      </c>
      <c r="AD730" s="527">
        <f t="shared" si="101"/>
        <v>0</v>
      </c>
      <c r="AE730" s="527">
        <f t="shared" si="102"/>
        <v>0</v>
      </c>
      <c r="AF730" s="527">
        <f t="shared" si="103"/>
        <v>0</v>
      </c>
      <c r="AG730" s="527">
        <f t="shared" si="104"/>
        <v>6</v>
      </c>
      <c r="AI730" s="639">
        <f t="shared" si="105"/>
        <v>6</v>
      </c>
    </row>
    <row r="731" spans="1:35" customFormat="1" ht="12.75" customHeight="1" x14ac:dyDescent="0.2">
      <c r="A731" s="527">
        <v>721</v>
      </c>
      <c r="C731" s="527" t="s">
        <v>3882</v>
      </c>
      <c r="E731" s="527" t="s">
        <v>3454</v>
      </c>
      <c r="G731" s="615">
        <v>1911</v>
      </c>
      <c r="K731" s="533" t="s">
        <v>3870</v>
      </c>
      <c r="N731" s="624">
        <v>45733</v>
      </c>
      <c r="U731" s="613"/>
      <c r="W731" s="613"/>
      <c r="AB731" s="527">
        <f t="shared" si="99"/>
        <v>0</v>
      </c>
      <c r="AC731" s="527">
        <f t="shared" si="100"/>
        <v>0</v>
      </c>
      <c r="AD731" s="527">
        <f t="shared" si="101"/>
        <v>0</v>
      </c>
      <c r="AE731" s="527">
        <f t="shared" si="102"/>
        <v>0</v>
      </c>
      <c r="AF731" s="527">
        <f t="shared" si="103"/>
        <v>0</v>
      </c>
      <c r="AG731" s="527"/>
      <c r="AI731" s="639">
        <f t="shared" si="105"/>
        <v>1911</v>
      </c>
    </row>
    <row r="732" spans="1:35" customFormat="1" ht="12.75" customHeight="1" x14ac:dyDescent="0.2">
      <c r="A732" s="527">
        <v>722</v>
      </c>
      <c r="C732" s="527" t="s">
        <v>3883</v>
      </c>
      <c r="E732" s="527" t="s">
        <v>3854</v>
      </c>
      <c r="G732" s="615">
        <v>1700</v>
      </c>
      <c r="K732" s="533" t="s">
        <v>3870</v>
      </c>
      <c r="N732" s="624">
        <v>45733</v>
      </c>
      <c r="U732" s="613"/>
      <c r="W732" s="613"/>
      <c r="AB732" s="527">
        <f t="shared" si="99"/>
        <v>0</v>
      </c>
      <c r="AC732" s="527">
        <f t="shared" si="100"/>
        <v>0</v>
      </c>
      <c r="AD732" s="527">
        <f t="shared" si="101"/>
        <v>0</v>
      </c>
      <c r="AE732" s="527">
        <f t="shared" si="102"/>
        <v>0</v>
      </c>
      <c r="AF732" s="527">
        <f t="shared" si="103"/>
        <v>0</v>
      </c>
      <c r="AG732" s="527"/>
      <c r="AI732" s="639">
        <f t="shared" si="105"/>
        <v>1700</v>
      </c>
    </row>
    <row r="733" spans="1:35" customFormat="1" ht="12.75" customHeight="1" x14ac:dyDescent="0.2">
      <c r="A733" s="527">
        <v>723</v>
      </c>
      <c r="C733" s="527" t="s">
        <v>3884</v>
      </c>
      <c r="E733" s="527" t="s">
        <v>3885</v>
      </c>
      <c r="G733" s="615">
        <v>600</v>
      </c>
      <c r="K733" s="533" t="s">
        <v>3870</v>
      </c>
      <c r="N733" s="624">
        <v>45733</v>
      </c>
      <c r="U733" s="613"/>
      <c r="W733" s="613"/>
      <c r="AB733" s="527">
        <f t="shared" si="99"/>
        <v>0</v>
      </c>
      <c r="AC733" s="527">
        <f t="shared" si="100"/>
        <v>0</v>
      </c>
      <c r="AD733" s="527">
        <f t="shared" si="101"/>
        <v>0</v>
      </c>
      <c r="AE733" s="527">
        <f t="shared" si="102"/>
        <v>0</v>
      </c>
      <c r="AF733" s="527">
        <f t="shared" si="103"/>
        <v>0</v>
      </c>
      <c r="AG733" s="527"/>
      <c r="AI733" s="639">
        <f t="shared" si="105"/>
        <v>600</v>
      </c>
    </row>
    <row r="734" spans="1:35" customFormat="1" ht="12.75" customHeight="1" x14ac:dyDescent="0.2">
      <c r="A734" s="527">
        <v>724</v>
      </c>
      <c r="C734" s="527" t="s">
        <v>3886</v>
      </c>
      <c r="E734" s="527" t="s">
        <v>3746</v>
      </c>
      <c r="G734" s="615">
        <v>1763</v>
      </c>
      <c r="K734" s="533" t="s">
        <v>3870</v>
      </c>
      <c r="N734" s="624">
        <v>45743</v>
      </c>
      <c r="U734" s="613"/>
      <c r="W734" s="613"/>
      <c r="AB734" s="527">
        <f t="shared" si="99"/>
        <v>0</v>
      </c>
      <c r="AC734" s="527">
        <f t="shared" si="100"/>
        <v>0</v>
      </c>
      <c r="AD734" s="527">
        <f t="shared" si="101"/>
        <v>0</v>
      </c>
      <c r="AE734" s="527">
        <f t="shared" si="102"/>
        <v>0</v>
      </c>
      <c r="AF734" s="527">
        <f t="shared" si="103"/>
        <v>0</v>
      </c>
      <c r="AG734" s="527"/>
      <c r="AI734" s="639">
        <f t="shared" si="105"/>
        <v>1763</v>
      </c>
    </row>
    <row r="735" spans="1:35" customFormat="1" ht="12.75" customHeight="1" x14ac:dyDescent="0.2">
      <c r="A735" s="527">
        <v>725</v>
      </c>
      <c r="C735" s="527" t="s">
        <v>3888</v>
      </c>
      <c r="E735" s="527" t="s">
        <v>3896</v>
      </c>
      <c r="G735" s="615">
        <v>539</v>
      </c>
      <c r="K735" s="533" t="s">
        <v>3870</v>
      </c>
      <c r="N735" s="624">
        <v>45743</v>
      </c>
      <c r="U735" s="613"/>
      <c r="W735" s="613"/>
      <c r="AB735" s="527">
        <f t="shared" si="99"/>
        <v>0</v>
      </c>
      <c r="AC735" s="527">
        <f t="shared" si="100"/>
        <v>0</v>
      </c>
      <c r="AD735" s="527">
        <f t="shared" si="101"/>
        <v>0</v>
      </c>
      <c r="AE735" s="527">
        <f t="shared" si="102"/>
        <v>0</v>
      </c>
      <c r="AF735" s="527">
        <f t="shared" si="103"/>
        <v>0</v>
      </c>
      <c r="AG735" s="527"/>
      <c r="AI735" s="639">
        <f t="shared" si="105"/>
        <v>539</v>
      </c>
    </row>
    <row r="736" spans="1:35" customFormat="1" ht="12.75" customHeight="1" x14ac:dyDescent="0.2">
      <c r="A736" s="527">
        <v>726</v>
      </c>
      <c r="C736" s="527" t="s">
        <v>3887</v>
      </c>
      <c r="E736" s="527" t="s">
        <v>3454</v>
      </c>
      <c r="G736" s="615">
        <v>1657</v>
      </c>
      <c r="K736" s="533" t="s">
        <v>3870</v>
      </c>
      <c r="N736" s="624">
        <v>45743</v>
      </c>
      <c r="U736" s="613"/>
      <c r="W736" s="613"/>
      <c r="AB736" s="527"/>
      <c r="AC736" s="527"/>
      <c r="AD736" s="527"/>
      <c r="AE736" s="527"/>
      <c r="AF736" s="527"/>
      <c r="AG736" s="527"/>
      <c r="AI736" s="639"/>
    </row>
    <row r="737" spans="1:35" customFormat="1" ht="12.75" customHeight="1" x14ac:dyDescent="0.2">
      <c r="A737" s="527">
        <v>727</v>
      </c>
      <c r="C737" s="527" t="s">
        <v>3889</v>
      </c>
      <c r="E737" s="527" t="s">
        <v>3897</v>
      </c>
      <c r="G737" s="632">
        <v>39.6</v>
      </c>
      <c r="K737" s="533" t="s">
        <v>3870</v>
      </c>
      <c r="N737" s="624">
        <v>45743</v>
      </c>
      <c r="U737" s="613"/>
      <c r="W737" s="613"/>
      <c r="AB737" s="527"/>
      <c r="AC737" s="527"/>
      <c r="AD737" s="527"/>
      <c r="AE737" s="527"/>
      <c r="AF737" s="527"/>
      <c r="AG737" s="527"/>
      <c r="AI737" s="639"/>
    </row>
    <row r="738" spans="1:35" customFormat="1" ht="12.75" customHeight="1" x14ac:dyDescent="0.2">
      <c r="A738" s="527">
        <v>728</v>
      </c>
      <c r="C738" s="527" t="s">
        <v>3890</v>
      </c>
      <c r="E738" s="527" t="s">
        <v>3897</v>
      </c>
      <c r="G738" s="615">
        <v>103</v>
      </c>
      <c r="K738" s="533" t="s">
        <v>3870</v>
      </c>
      <c r="N738" s="624">
        <v>45743</v>
      </c>
      <c r="U738" s="613"/>
      <c r="W738" s="613"/>
      <c r="AB738" s="527"/>
      <c r="AC738" s="527"/>
      <c r="AD738" s="527"/>
      <c r="AE738" s="527"/>
      <c r="AF738" s="527"/>
      <c r="AG738" s="527"/>
      <c r="AI738" s="639"/>
    </row>
    <row r="739" spans="1:35" customFormat="1" ht="12.75" customHeight="1" x14ac:dyDescent="0.2">
      <c r="A739" s="527">
        <v>729</v>
      </c>
      <c r="C739" s="527" t="s">
        <v>3891</v>
      </c>
      <c r="E739" s="527" t="s">
        <v>3897</v>
      </c>
      <c r="G739" s="615">
        <v>420</v>
      </c>
      <c r="K739" s="533" t="s">
        <v>3870</v>
      </c>
      <c r="N739" s="624">
        <v>45743</v>
      </c>
      <c r="U739" s="613"/>
      <c r="W739" s="613"/>
      <c r="AB739" s="527"/>
      <c r="AC739" s="527"/>
      <c r="AD739" s="527"/>
      <c r="AE739" s="527"/>
      <c r="AF739" s="527"/>
      <c r="AG739" s="527"/>
      <c r="AI739" s="639"/>
    </row>
    <row r="740" spans="1:35" customFormat="1" ht="12.75" customHeight="1" x14ac:dyDescent="0.2">
      <c r="A740" s="527">
        <v>730</v>
      </c>
      <c r="C740" s="527" t="s">
        <v>3892</v>
      </c>
      <c r="E740" s="527" t="s">
        <v>3854</v>
      </c>
      <c r="G740" s="615">
        <v>10000</v>
      </c>
      <c r="K740" s="533" t="s">
        <v>3870</v>
      </c>
      <c r="N740" s="624">
        <v>45743</v>
      </c>
      <c r="U740" s="613"/>
      <c r="W740" s="613"/>
      <c r="AB740" s="527"/>
      <c r="AC740" s="527"/>
      <c r="AD740" s="527"/>
      <c r="AE740" s="527"/>
      <c r="AF740" s="527"/>
      <c r="AG740" s="527"/>
      <c r="AI740" s="639"/>
    </row>
    <row r="741" spans="1:35" customFormat="1" ht="12.75" customHeight="1" x14ac:dyDescent="0.2">
      <c r="A741" s="527">
        <v>731</v>
      </c>
      <c r="C741" s="527" t="s">
        <v>3893</v>
      </c>
      <c r="E741" s="527" t="s">
        <v>3854</v>
      </c>
      <c r="G741" s="615">
        <v>3300</v>
      </c>
      <c r="K741" s="533" t="s">
        <v>3870</v>
      </c>
      <c r="N741" s="624">
        <v>45743</v>
      </c>
      <c r="U741" s="613"/>
      <c r="W741" s="613"/>
      <c r="AB741" s="527"/>
      <c r="AC741" s="527"/>
      <c r="AD741" s="527"/>
      <c r="AE741" s="527"/>
      <c r="AF741" s="527"/>
      <c r="AG741" s="527"/>
      <c r="AI741" s="639"/>
    </row>
    <row r="742" spans="1:35" customFormat="1" ht="12.75" customHeight="1" x14ac:dyDescent="0.2">
      <c r="A742" s="527">
        <v>732</v>
      </c>
      <c r="C742" s="533" t="s">
        <v>3894</v>
      </c>
      <c r="E742" s="527" t="s">
        <v>3898</v>
      </c>
      <c r="G742" s="615">
        <v>16700</v>
      </c>
      <c r="K742" s="533" t="s">
        <v>3870</v>
      </c>
      <c r="N742" s="624">
        <v>45743</v>
      </c>
      <c r="U742" s="613"/>
      <c r="W742" s="613"/>
      <c r="AB742" s="527"/>
      <c r="AC742" s="527"/>
      <c r="AD742" s="527"/>
      <c r="AE742" s="527"/>
      <c r="AF742" s="527"/>
      <c r="AG742" s="527"/>
      <c r="AI742" s="639"/>
    </row>
    <row r="743" spans="1:35" customFormat="1" ht="12.75" customHeight="1" x14ac:dyDescent="0.2">
      <c r="A743" s="527">
        <v>733</v>
      </c>
      <c r="C743" s="527" t="s">
        <v>3895</v>
      </c>
      <c r="E743" s="624" t="s">
        <v>3898</v>
      </c>
      <c r="G743" s="615">
        <v>12400</v>
      </c>
      <c r="K743" s="533" t="s">
        <v>3870</v>
      </c>
      <c r="N743" s="624">
        <v>45743</v>
      </c>
      <c r="U743" s="613"/>
      <c r="W743" s="613"/>
      <c r="AB743" s="527"/>
      <c r="AC743" s="527"/>
      <c r="AD743" s="527"/>
      <c r="AE743" s="527"/>
      <c r="AF743" s="527"/>
      <c r="AG743" s="527"/>
      <c r="AI743" s="639"/>
    </row>
    <row r="744" spans="1:35" customFormat="1" ht="12.75" customHeight="1" x14ac:dyDescent="0.2">
      <c r="A744" s="527">
        <v>734</v>
      </c>
      <c r="C744" s="533" t="s">
        <v>3899</v>
      </c>
      <c r="E744" s="624" t="s">
        <v>3901</v>
      </c>
      <c r="G744" s="615">
        <v>90</v>
      </c>
      <c r="K744" s="533" t="s">
        <v>3870</v>
      </c>
      <c r="N744" s="624">
        <v>45751</v>
      </c>
      <c r="U744" s="613"/>
      <c r="W744" s="613"/>
      <c r="AB744" s="527"/>
      <c r="AC744" s="527"/>
      <c r="AD744" s="527"/>
      <c r="AE744" s="527"/>
      <c r="AF744" s="527"/>
      <c r="AG744" s="527"/>
      <c r="AI744" s="639"/>
    </row>
    <row r="745" spans="1:35" customFormat="1" ht="12.75" customHeight="1" x14ac:dyDescent="0.2">
      <c r="A745" s="527">
        <v>735</v>
      </c>
      <c r="C745" s="527" t="s">
        <v>3900</v>
      </c>
      <c r="E745" s="624" t="s">
        <v>3902</v>
      </c>
      <c r="G745" s="615">
        <v>799</v>
      </c>
      <c r="K745" s="533" t="s">
        <v>3870</v>
      </c>
      <c r="N745" s="624">
        <v>45751</v>
      </c>
      <c r="U745" s="613"/>
      <c r="W745" s="613"/>
      <c r="AB745" s="527"/>
      <c r="AC745" s="527"/>
      <c r="AD745" s="527"/>
      <c r="AE745" s="527"/>
      <c r="AF745" s="527"/>
      <c r="AG745" s="527"/>
      <c r="AI745" s="639"/>
    </row>
    <row r="746" spans="1:35" customFormat="1" ht="12.75" customHeight="1" x14ac:dyDescent="0.2">
      <c r="A746" s="527">
        <v>736</v>
      </c>
      <c r="C746" s="527" t="s">
        <v>3903</v>
      </c>
      <c r="E746" s="624" t="s">
        <v>3904</v>
      </c>
      <c r="G746" s="615">
        <v>20</v>
      </c>
      <c r="K746" s="533" t="s">
        <v>3870</v>
      </c>
      <c r="N746" s="624">
        <v>45756</v>
      </c>
    </row>
    <row r="747" spans="1:35" customFormat="1" ht="12.75" customHeight="1" x14ac:dyDescent="0.2">
      <c r="A747" s="527">
        <v>737</v>
      </c>
      <c r="C747" s="527" t="s">
        <v>3908</v>
      </c>
      <c r="E747" s="624" t="s">
        <v>3909</v>
      </c>
      <c r="G747" s="615">
        <v>895</v>
      </c>
      <c r="K747" s="533" t="s">
        <v>3870</v>
      </c>
      <c r="N747" s="624">
        <v>45773</v>
      </c>
    </row>
    <row r="748" spans="1:35" customFormat="1" ht="12.75" customHeight="1" x14ac:dyDescent="0.2">
      <c r="A748" s="527">
        <v>738</v>
      </c>
      <c r="C748" s="527" t="s">
        <v>3905</v>
      </c>
      <c r="E748" s="624" t="s">
        <v>3907</v>
      </c>
      <c r="G748" s="615">
        <v>112</v>
      </c>
      <c r="K748" s="533" t="s">
        <v>3870</v>
      </c>
      <c r="N748" s="624">
        <v>45784</v>
      </c>
    </row>
    <row r="749" spans="1:35" customFormat="1" ht="12.75" customHeight="1" x14ac:dyDescent="0.2">
      <c r="A749" s="527">
        <v>739</v>
      </c>
      <c r="C749" s="527" t="s">
        <v>3906</v>
      </c>
      <c r="E749" s="624" t="s">
        <v>3907</v>
      </c>
      <c r="G749" s="615">
        <v>146</v>
      </c>
      <c r="K749" s="533" t="s">
        <v>3870</v>
      </c>
      <c r="N749" s="624">
        <v>45784</v>
      </c>
    </row>
    <row r="750" spans="1:35" customFormat="1" ht="12.75" customHeight="1" x14ac:dyDescent="0.2">
      <c r="A750" s="527">
        <v>740</v>
      </c>
      <c r="C750" s="527" t="s">
        <v>3910</v>
      </c>
      <c r="E750" s="624" t="s">
        <v>3911</v>
      </c>
      <c r="G750" s="615">
        <v>2900</v>
      </c>
      <c r="K750" s="533" t="s">
        <v>3870</v>
      </c>
      <c r="N750" s="624">
        <v>45797</v>
      </c>
    </row>
    <row r="751" spans="1:35" customFormat="1" ht="12.75" customHeight="1" x14ac:dyDescent="0.2">
      <c r="A751" s="527">
        <v>741</v>
      </c>
      <c r="C751" s="527" t="s">
        <v>3912</v>
      </c>
      <c r="E751" s="624" t="s">
        <v>3901</v>
      </c>
      <c r="G751" s="615">
        <v>228</v>
      </c>
      <c r="K751" s="533" t="s">
        <v>3870</v>
      </c>
      <c r="N751" s="624">
        <v>45797</v>
      </c>
    </row>
    <row r="752" spans="1:35" customFormat="1" ht="12.75" customHeight="1" x14ac:dyDescent="0.2">
      <c r="A752" s="527">
        <v>742</v>
      </c>
      <c r="C752" s="527" t="s">
        <v>3913</v>
      </c>
      <c r="E752" s="624" t="s">
        <v>3915</v>
      </c>
      <c r="G752" s="632">
        <v>69.900000000000006</v>
      </c>
      <c r="K752" s="533" t="s">
        <v>3870</v>
      </c>
      <c r="N752" s="624">
        <v>45809</v>
      </c>
    </row>
    <row r="753" spans="1:14" customFormat="1" ht="12.75" customHeight="1" x14ac:dyDescent="0.2">
      <c r="A753" s="527">
        <v>743</v>
      </c>
      <c r="C753" s="527" t="s">
        <v>3914</v>
      </c>
      <c r="E753" s="624" t="s">
        <v>3916</v>
      </c>
      <c r="G753" s="615">
        <v>455</v>
      </c>
      <c r="K753" s="533" t="s">
        <v>3870</v>
      </c>
      <c r="N753" s="624">
        <v>45809</v>
      </c>
    </row>
    <row r="754" spans="1:14" customFormat="1" ht="12.75" customHeight="1" x14ac:dyDescent="0.2">
      <c r="A754" s="527">
        <v>744</v>
      </c>
      <c r="C754" s="527" t="s">
        <v>3917</v>
      </c>
      <c r="E754" s="624" t="s">
        <v>3567</v>
      </c>
      <c r="G754" s="615">
        <v>330</v>
      </c>
      <c r="K754" s="533" t="s">
        <v>3870</v>
      </c>
      <c r="N754" s="624">
        <v>45815</v>
      </c>
    </row>
    <row r="755" spans="1:14" customFormat="1" ht="12.75" customHeight="1" x14ac:dyDescent="0.2">
      <c r="A755" s="527">
        <v>745</v>
      </c>
      <c r="C755" s="527" t="s">
        <v>3918</v>
      </c>
      <c r="E755" s="624" t="s">
        <v>3919</v>
      </c>
      <c r="G755" s="615">
        <v>374</v>
      </c>
      <c r="K755" s="533" t="s">
        <v>3870</v>
      </c>
      <c r="N755" s="624">
        <v>45818</v>
      </c>
    </row>
    <row r="756" spans="1:14" customFormat="1" ht="12.75" customHeight="1" x14ac:dyDescent="0.2">
      <c r="A756" s="527">
        <v>746</v>
      </c>
      <c r="C756" s="527" t="s">
        <v>3920</v>
      </c>
      <c r="E756" s="624" t="s">
        <v>3594</v>
      </c>
      <c r="G756" s="615">
        <v>1040</v>
      </c>
      <c r="K756" s="533" t="s">
        <v>3870</v>
      </c>
      <c r="N756" s="624">
        <v>45846</v>
      </c>
    </row>
    <row r="757" spans="1:14" customFormat="1" ht="12.75" customHeight="1" x14ac:dyDescent="0.2">
      <c r="A757" s="527">
        <v>747</v>
      </c>
      <c r="C757" s="527" t="s">
        <v>3921</v>
      </c>
      <c r="E757" s="624" t="s">
        <v>3567</v>
      </c>
      <c r="G757" s="615">
        <v>393</v>
      </c>
      <c r="K757" s="533" t="s">
        <v>3870</v>
      </c>
      <c r="N757" s="624">
        <v>45863</v>
      </c>
    </row>
    <row r="758" spans="1:14" customFormat="1" ht="12.75" customHeight="1" x14ac:dyDescent="0.2">
      <c r="A758" s="527">
        <v>748</v>
      </c>
      <c r="C758" s="527" t="s">
        <v>3922</v>
      </c>
      <c r="E758" s="624" t="s">
        <v>3929</v>
      </c>
      <c r="G758" s="963">
        <v>195.61</v>
      </c>
      <c r="K758" s="533" t="s">
        <v>3870</v>
      </c>
      <c r="N758" s="624">
        <v>45863</v>
      </c>
    </row>
    <row r="759" spans="1:14" customFormat="1" ht="12.75" customHeight="1" x14ac:dyDescent="0.2">
      <c r="A759" s="527">
        <v>749</v>
      </c>
      <c r="C759" s="527" t="s">
        <v>3923</v>
      </c>
      <c r="E759" s="624" t="s">
        <v>3567</v>
      </c>
      <c r="G759" s="615">
        <v>130</v>
      </c>
      <c r="K759" s="533" t="s">
        <v>3870</v>
      </c>
      <c r="N759" s="624">
        <v>45863</v>
      </c>
    </row>
    <row r="760" spans="1:14" customFormat="1" ht="12.75" customHeight="1" x14ac:dyDescent="0.2">
      <c r="A760" s="527">
        <v>750</v>
      </c>
      <c r="C760" s="527" t="s">
        <v>3924</v>
      </c>
      <c r="E760" s="624" t="s">
        <v>3930</v>
      </c>
      <c r="G760" s="615">
        <v>650</v>
      </c>
      <c r="K760" s="533" t="s">
        <v>3870</v>
      </c>
      <c r="N760" s="624">
        <v>45863</v>
      </c>
    </row>
    <row r="761" spans="1:14" customFormat="1" ht="12.75" customHeight="1" x14ac:dyDescent="0.2">
      <c r="A761" s="527">
        <v>751</v>
      </c>
      <c r="C761" s="527" t="s">
        <v>3925</v>
      </c>
      <c r="E761" s="527" t="s">
        <v>3454</v>
      </c>
      <c r="G761" s="615">
        <v>2428</v>
      </c>
      <c r="K761" s="533" t="s">
        <v>3870</v>
      </c>
      <c r="N761" s="624">
        <v>45863</v>
      </c>
    </row>
    <row r="762" spans="1:14" customFormat="1" ht="12.75" customHeight="1" x14ac:dyDescent="0.2">
      <c r="A762" s="527">
        <v>752</v>
      </c>
      <c r="C762" s="527" t="s">
        <v>3926</v>
      </c>
      <c r="E762" s="527" t="s">
        <v>3937</v>
      </c>
      <c r="G762" s="615">
        <v>427</v>
      </c>
      <c r="K762" s="533" t="s">
        <v>3870</v>
      </c>
      <c r="N762" s="624">
        <v>45863</v>
      </c>
    </row>
    <row r="763" spans="1:14" customFormat="1" ht="12.75" customHeight="1" x14ac:dyDescent="0.2">
      <c r="A763" s="527">
        <v>753</v>
      </c>
      <c r="C763" s="527" t="s">
        <v>3927</v>
      </c>
      <c r="E763" s="527" t="s">
        <v>3931</v>
      </c>
      <c r="G763" s="981">
        <v>21500</v>
      </c>
      <c r="K763" s="533" t="s">
        <v>3870</v>
      </c>
      <c r="N763" s="624">
        <v>45863</v>
      </c>
    </row>
    <row r="764" spans="1:14" customFormat="1" ht="12.75" customHeight="1" x14ac:dyDescent="0.2">
      <c r="A764" s="527">
        <v>754</v>
      </c>
      <c r="C764" s="527" t="s">
        <v>3928</v>
      </c>
      <c r="E764" s="624" t="s">
        <v>3932</v>
      </c>
      <c r="G764" s="615">
        <v>50</v>
      </c>
      <c r="K764" s="533" t="s">
        <v>3870</v>
      </c>
      <c r="N764" s="624">
        <v>45863</v>
      </c>
    </row>
    <row r="765" spans="1:14" customFormat="1" ht="12.75" customHeight="1" x14ac:dyDescent="0.2">
      <c r="A765" s="527">
        <v>755</v>
      </c>
      <c r="C765" s="527" t="s">
        <v>3933</v>
      </c>
      <c r="E765" s="624" t="s">
        <v>3935</v>
      </c>
      <c r="G765" s="632">
        <v>52.7</v>
      </c>
      <c r="K765" s="533" t="s">
        <v>3870</v>
      </c>
      <c r="N765" s="624">
        <v>45887</v>
      </c>
    </row>
    <row r="766" spans="1:14" customFormat="1" ht="12.75" customHeight="1" x14ac:dyDescent="0.2">
      <c r="A766" s="527">
        <v>756</v>
      </c>
      <c r="C766" s="527" t="s">
        <v>3934</v>
      </c>
      <c r="E766" s="624" t="s">
        <v>3936</v>
      </c>
      <c r="G766" s="632">
        <v>179.9</v>
      </c>
      <c r="J766">
        <v>0</v>
      </c>
      <c r="K766" s="533" t="s">
        <v>3870</v>
      </c>
      <c r="N766" s="624">
        <v>45887</v>
      </c>
    </row>
    <row r="767" spans="1:14" customFormat="1" ht="12.75" customHeight="1" x14ac:dyDescent="0.2">
      <c r="A767" s="527">
        <v>757</v>
      </c>
      <c r="C767" s="527" t="s">
        <v>3938</v>
      </c>
      <c r="E767" s="624" t="s">
        <v>3939</v>
      </c>
      <c r="G767" s="981">
        <v>329000</v>
      </c>
      <c r="K767" s="533" t="s">
        <v>3870</v>
      </c>
      <c r="N767" s="624">
        <v>45906</v>
      </c>
    </row>
    <row r="768" spans="1:14" customFormat="1" ht="12.75" customHeight="1" x14ac:dyDescent="0.2">
      <c r="A768" s="527">
        <v>758</v>
      </c>
      <c r="C768" s="527" t="s">
        <v>3940</v>
      </c>
      <c r="E768" s="624" t="s">
        <v>3941</v>
      </c>
      <c r="G768" s="981">
        <v>20000</v>
      </c>
      <c r="K768" s="533" t="s">
        <v>3870</v>
      </c>
      <c r="N768" s="624">
        <v>45906</v>
      </c>
    </row>
    <row r="769" spans="1:14" customFormat="1" ht="12.75" customHeight="1" x14ac:dyDescent="0.2">
      <c r="A769" s="527">
        <v>759</v>
      </c>
      <c r="C769" s="527" t="s">
        <v>3942</v>
      </c>
      <c r="E769" s="624" t="s">
        <v>3943</v>
      </c>
      <c r="G769" s="615">
        <v>1700</v>
      </c>
      <c r="K769" s="533" t="s">
        <v>3870</v>
      </c>
      <c r="N769" s="624">
        <v>45906</v>
      </c>
    </row>
    <row r="770" spans="1:14" customFormat="1" ht="12.75" customHeight="1" x14ac:dyDescent="0.2">
      <c r="A770" s="527">
        <v>760</v>
      </c>
      <c r="C770" s="527" t="s">
        <v>3944</v>
      </c>
      <c r="E770" s="624" t="s">
        <v>3943</v>
      </c>
      <c r="G770" s="615">
        <v>1200</v>
      </c>
      <c r="K770" s="533" t="s">
        <v>3870</v>
      </c>
      <c r="N770" s="624">
        <v>45906</v>
      </c>
    </row>
    <row r="771" spans="1:14" customFormat="1" ht="12.75" customHeight="1" x14ac:dyDescent="0.2">
      <c r="A771" s="527">
        <v>761</v>
      </c>
      <c r="C771" s="527" t="s">
        <v>3945</v>
      </c>
      <c r="E771" s="624" t="s">
        <v>3943</v>
      </c>
      <c r="G771" s="615">
        <v>1300</v>
      </c>
      <c r="K771" s="533" t="s">
        <v>3870</v>
      </c>
      <c r="N771" s="624">
        <v>45906</v>
      </c>
    </row>
    <row r="772" spans="1:14" customFormat="1" ht="12.75" customHeight="1" x14ac:dyDescent="0.2">
      <c r="A772" s="527">
        <v>762</v>
      </c>
      <c r="C772" s="527" t="s">
        <v>3946</v>
      </c>
      <c r="E772" s="624" t="s">
        <v>3947</v>
      </c>
      <c r="G772" s="963">
        <v>150.44999999999999</v>
      </c>
      <c r="K772" s="533" t="s">
        <v>3870</v>
      </c>
      <c r="N772" s="624">
        <v>45913</v>
      </c>
    </row>
    <row r="773" spans="1:14" customFormat="1" ht="12.75" customHeight="1" x14ac:dyDescent="0.2">
      <c r="A773" s="527">
        <v>763</v>
      </c>
      <c r="C773" s="527" t="s">
        <v>3948</v>
      </c>
      <c r="E773" s="527" t="s">
        <v>3454</v>
      </c>
      <c r="G773" s="615">
        <v>1278</v>
      </c>
      <c r="K773" s="533" t="s">
        <v>3870</v>
      </c>
      <c r="N773" s="624">
        <v>45913</v>
      </c>
    </row>
    <row r="774" spans="1:14" customFormat="1" ht="12.75" customHeight="1" x14ac:dyDescent="0.2">
      <c r="A774" s="527">
        <v>764</v>
      </c>
      <c r="C774" s="527" t="s">
        <v>3949</v>
      </c>
      <c r="E774" s="624" t="s">
        <v>3950</v>
      </c>
      <c r="G774" s="615">
        <v>976</v>
      </c>
      <c r="K774" s="533" t="s">
        <v>3870</v>
      </c>
      <c r="N774" s="624">
        <v>45913</v>
      </c>
    </row>
    <row r="775" spans="1:14" customFormat="1" ht="12.75" customHeight="1" x14ac:dyDescent="0.2">
      <c r="A775" s="527">
        <v>765</v>
      </c>
      <c r="C775" s="527" t="s">
        <v>3951</v>
      </c>
      <c r="E775" s="624" t="s">
        <v>3960</v>
      </c>
      <c r="G775" s="981">
        <v>18200</v>
      </c>
      <c r="K775" s="533" t="s">
        <v>3870</v>
      </c>
      <c r="N775" s="624">
        <v>45914</v>
      </c>
    </row>
    <row r="776" spans="1:14" customFormat="1" ht="12.75" customHeight="1" x14ac:dyDescent="0.2">
      <c r="A776" s="527">
        <v>766</v>
      </c>
      <c r="C776" s="527" t="s">
        <v>3952</v>
      </c>
      <c r="E776" s="624" t="s">
        <v>3961</v>
      </c>
      <c r="G776" s="615">
        <v>4831</v>
      </c>
      <c r="K776" s="533" t="s">
        <v>3870</v>
      </c>
      <c r="N776" s="624">
        <v>45914</v>
      </c>
    </row>
    <row r="777" spans="1:14" customFormat="1" ht="12.75" customHeight="1" x14ac:dyDescent="0.2">
      <c r="A777" s="527">
        <v>767</v>
      </c>
      <c r="C777" s="527" t="s">
        <v>3953</v>
      </c>
      <c r="E777" s="624" t="s">
        <v>3962</v>
      </c>
      <c r="G777" s="632">
        <v>45.7</v>
      </c>
      <c r="K777" s="533" t="s">
        <v>3870</v>
      </c>
      <c r="N777" s="624">
        <v>45914</v>
      </c>
    </row>
    <row r="778" spans="1:14" customFormat="1" ht="12.75" customHeight="1" x14ac:dyDescent="0.2">
      <c r="A778" s="527">
        <v>768</v>
      </c>
      <c r="C778" s="527" t="s">
        <v>3954</v>
      </c>
      <c r="E778" s="624" t="s">
        <v>3963</v>
      </c>
      <c r="G778" s="615">
        <v>580</v>
      </c>
      <c r="K778" s="533" t="s">
        <v>3870</v>
      </c>
      <c r="N778" s="624">
        <v>45914</v>
      </c>
    </row>
    <row r="779" spans="1:14" customFormat="1" ht="12.75" customHeight="1" x14ac:dyDescent="0.2">
      <c r="A779" s="527">
        <v>769</v>
      </c>
      <c r="C779" s="527" t="s">
        <v>3955</v>
      </c>
      <c r="E779" s="624" t="s">
        <v>3964</v>
      </c>
      <c r="G779" s="615">
        <v>2116</v>
      </c>
      <c r="K779" s="533" t="s">
        <v>3870</v>
      </c>
      <c r="N779" s="624">
        <v>45914</v>
      </c>
    </row>
    <row r="780" spans="1:14" customFormat="1" ht="12.75" customHeight="1" x14ac:dyDescent="0.2">
      <c r="A780" s="527">
        <v>770</v>
      </c>
      <c r="C780" s="527" t="s">
        <v>3956</v>
      </c>
      <c r="E780" s="624" t="s">
        <v>3965</v>
      </c>
      <c r="G780" s="632">
        <v>327.9</v>
      </c>
      <c r="K780" s="533" t="s">
        <v>3870</v>
      </c>
      <c r="N780" s="624">
        <v>45914</v>
      </c>
    </row>
    <row r="781" spans="1:14" customFormat="1" ht="12.75" customHeight="1" x14ac:dyDescent="0.2">
      <c r="A781" s="527">
        <v>771</v>
      </c>
      <c r="C781" s="527" t="s">
        <v>3957</v>
      </c>
      <c r="E781" s="624" t="s">
        <v>3966</v>
      </c>
      <c r="G781" s="615">
        <v>435</v>
      </c>
      <c r="K781" s="533" t="s">
        <v>3870</v>
      </c>
      <c r="N781" s="624">
        <v>45914</v>
      </c>
    </row>
    <row r="782" spans="1:14" customFormat="1" ht="12.75" customHeight="1" x14ac:dyDescent="0.2">
      <c r="A782" s="527">
        <v>772</v>
      </c>
      <c r="C782" s="527" t="s">
        <v>3958</v>
      </c>
      <c r="E782" s="624" t="s">
        <v>3967</v>
      </c>
      <c r="G782" s="615">
        <v>170</v>
      </c>
      <c r="K782" s="533" t="s">
        <v>3870</v>
      </c>
      <c r="N782" s="624">
        <v>45914</v>
      </c>
    </row>
    <row r="783" spans="1:14" customFormat="1" ht="12.75" customHeight="1" x14ac:dyDescent="0.2">
      <c r="A783" s="527">
        <v>773</v>
      </c>
      <c r="C783" s="527" t="s">
        <v>3959</v>
      </c>
      <c r="E783" s="624" t="s">
        <v>3968</v>
      </c>
      <c r="G783" s="981">
        <v>10200</v>
      </c>
      <c r="K783" s="533" t="s">
        <v>3870</v>
      </c>
      <c r="N783" s="624">
        <v>45914</v>
      </c>
    </row>
    <row r="784" spans="1:14" customFormat="1" ht="12.75" customHeight="1" x14ac:dyDescent="0.2">
      <c r="A784" s="527">
        <v>774</v>
      </c>
      <c r="C784" s="527" t="s">
        <v>3969</v>
      </c>
      <c r="E784" s="624" t="s">
        <v>3960</v>
      </c>
      <c r="G784" s="615">
        <v>1050</v>
      </c>
      <c r="K784" s="533" t="s">
        <v>3870</v>
      </c>
      <c r="N784" s="624">
        <v>45918</v>
      </c>
    </row>
    <row r="785" spans="1:37" customFormat="1" ht="12.75" customHeight="1" x14ac:dyDescent="0.2">
      <c r="A785" s="527"/>
      <c r="C785" s="527"/>
      <c r="K785" s="533"/>
      <c r="N785" s="624"/>
    </row>
    <row r="786" spans="1:37" ht="12.75" customHeight="1" x14ac:dyDescent="0.2">
      <c r="C786" s="527"/>
      <c r="E786" s="527" t="s">
        <v>224</v>
      </c>
      <c r="F786" s="825"/>
      <c r="G786" s="615"/>
      <c r="I786"/>
      <c r="J786" s="617"/>
      <c r="N786" s="624"/>
    </row>
    <row r="787" spans="1:37" ht="12.75" customHeight="1" x14ac:dyDescent="0.2">
      <c r="A787" s="614">
        <f>MAX(A2:A786)</f>
        <v>774</v>
      </c>
      <c r="C787" s="532" t="s">
        <v>3439</v>
      </c>
      <c r="G787" s="890">
        <f>SUM(G2:G786)</f>
        <v>1956583.8719999997</v>
      </c>
      <c r="H787" s="824" t="s">
        <v>3440</v>
      </c>
      <c r="O787" s="638" t="s">
        <v>2749</v>
      </c>
      <c r="P787" s="634">
        <f t="shared" ref="P787:X787" si="107">SUM(P2:P786)</f>
        <v>44</v>
      </c>
      <c r="Q787" s="634">
        <f t="shared" si="107"/>
        <v>2</v>
      </c>
      <c r="R787" s="634">
        <f t="shared" si="107"/>
        <v>76</v>
      </c>
      <c r="S787" s="634">
        <f t="shared" si="107"/>
        <v>2</v>
      </c>
      <c r="T787" s="634">
        <f t="shared" si="107"/>
        <v>2</v>
      </c>
      <c r="U787" s="634">
        <f t="shared" si="107"/>
        <v>593</v>
      </c>
      <c r="V787" s="634">
        <f t="shared" si="107"/>
        <v>1</v>
      </c>
      <c r="W787" s="915">
        <f t="shared" si="107"/>
        <v>720</v>
      </c>
      <c r="X787" s="612">
        <f t="shared" si="107"/>
        <v>207</v>
      </c>
      <c r="Y787" s="612">
        <f>COUNT(Y2:Y786)</f>
        <v>22</v>
      </c>
      <c r="Z787" s="612">
        <f>COUNT(Z2:Z786)</f>
        <v>14</v>
      </c>
      <c r="AA787" s="612"/>
      <c r="AB787" s="632">
        <f t="shared" ref="AB787:AI787" si="108">SUM(AB2:AB786)</f>
        <v>5709.3209999999999</v>
      </c>
      <c r="AC787" s="632">
        <f t="shared" si="108"/>
        <v>55.54</v>
      </c>
      <c r="AD787" s="632">
        <f t="shared" si="108"/>
        <v>35705.26</v>
      </c>
      <c r="AE787" s="632">
        <f t="shared" si="108"/>
        <v>1459.78</v>
      </c>
      <c r="AF787" s="632">
        <f t="shared" si="108"/>
        <v>14085</v>
      </c>
      <c r="AG787" s="632">
        <f t="shared" si="108"/>
        <v>1421367.2110000006</v>
      </c>
      <c r="AH787" s="840">
        <f t="shared" ref="AH787" si="109">SUM(AH2:AH786)</f>
        <v>44</v>
      </c>
      <c r="AI787" s="884">
        <f t="shared" si="108"/>
        <v>1484939.112</v>
      </c>
      <c r="AK787" s="778">
        <f>COUNT(AK2:AK786)</f>
        <v>37</v>
      </c>
    </row>
    <row r="788" spans="1:37" ht="12.75" customHeight="1" x14ac:dyDescent="0.2">
      <c r="A788" s="527" t="s">
        <v>115</v>
      </c>
      <c r="E788" s="612"/>
      <c r="F788" s="734"/>
      <c r="G788" s="884">
        <f>G787/1000</f>
        <v>1956.5838719999997</v>
      </c>
      <c r="H788" s="824" t="s">
        <v>2634</v>
      </c>
      <c r="K788" s="28"/>
      <c r="N788" s="624"/>
      <c r="O788" s="638" t="s">
        <v>498</v>
      </c>
      <c r="P788" s="977">
        <f t="shared" ref="P788:V788" si="110">P787/$W787</f>
        <v>6.1111111111111109E-2</v>
      </c>
      <c r="Q788" s="977">
        <f t="shared" si="110"/>
        <v>2.7777777777777779E-3</v>
      </c>
      <c r="R788" s="977">
        <f t="shared" si="110"/>
        <v>0.10555555555555556</v>
      </c>
      <c r="S788" s="978">
        <f t="shared" si="110"/>
        <v>2.7777777777777779E-3</v>
      </c>
      <c r="T788" s="978">
        <f t="shared" si="110"/>
        <v>2.7777777777777779E-3</v>
      </c>
      <c r="U788" s="977">
        <f t="shared" si="110"/>
        <v>0.82361111111111107</v>
      </c>
      <c r="V788" s="978">
        <f t="shared" si="110"/>
        <v>1.3888888888888889E-3</v>
      </c>
      <c r="W788" s="913">
        <f>SUM(P787:V787)</f>
        <v>720</v>
      </c>
      <c r="X788" s="612"/>
      <c r="Y788" s="908" t="e">
        <f>Y787/#REF!</f>
        <v>#REF!</v>
      </c>
      <c r="Z788" s="908" t="e">
        <f>Z787/#REF!</f>
        <v>#REF!</v>
      </c>
      <c r="AA788" s="908"/>
      <c r="AB788" s="909">
        <f t="shared" ref="AB788:AG788" si="111">AB787/$AI787</f>
        <v>3.8448182513762222E-3</v>
      </c>
      <c r="AC788" s="979">
        <f t="shared" si="111"/>
        <v>3.7402206966719051E-5</v>
      </c>
      <c r="AD788" s="909">
        <f t="shared" si="111"/>
        <v>2.4044932018734519E-2</v>
      </c>
      <c r="AE788" s="909">
        <f t="shared" si="111"/>
        <v>9.8305714234564532E-4</v>
      </c>
      <c r="AF788" s="908">
        <f t="shared" si="111"/>
        <v>9.485237398743929E-3</v>
      </c>
      <c r="AG788" s="908">
        <f t="shared" si="111"/>
        <v>0.95718888371498467</v>
      </c>
      <c r="AH788" s="979">
        <f t="shared" ref="AH788" si="112">AH787/$AI787</f>
        <v>2.963084455411664E-5</v>
      </c>
      <c r="AI788" s="884">
        <f>G787</f>
        <v>1956583.8719999997</v>
      </c>
      <c r="AK788" s="974">
        <f>AK787/A787</f>
        <v>4.7803617571059429E-2</v>
      </c>
    </row>
    <row r="789" spans="1:37" ht="12.75" customHeight="1" x14ac:dyDescent="0.2">
      <c r="E789" s="612"/>
      <c r="F789" s="734"/>
      <c r="G789" s="884"/>
      <c r="H789" s="824"/>
      <c r="K789" s="28"/>
      <c r="N789" s="624"/>
      <c r="U789" s="913"/>
      <c r="V789" s="913"/>
      <c r="W789" s="913"/>
      <c r="X789" s="612"/>
      <c r="Y789" s="908"/>
      <c r="Z789" s="908"/>
      <c r="AA789" s="908"/>
      <c r="AB789" s="908"/>
      <c r="AC789" s="908"/>
      <c r="AD789" s="908"/>
      <c r="AE789" s="908"/>
      <c r="AF789" s="908"/>
      <c r="AG789" s="908"/>
      <c r="AH789" s="908"/>
      <c r="AI789" s="884"/>
    </row>
    <row r="790" spans="1:37" ht="12.75" customHeight="1" x14ac:dyDescent="0.2">
      <c r="AB790" s="969">
        <v>35512</v>
      </c>
    </row>
    <row r="791" spans="1:37" ht="12.75" customHeight="1" x14ac:dyDescent="0.2">
      <c r="A791"/>
      <c r="E791" s="612"/>
      <c r="N791" s="624"/>
      <c r="X791" s="612" t="s">
        <v>2821</v>
      </c>
      <c r="Y791" s="612"/>
      <c r="Z791" s="908">
        <f>(A787-Y787)/A787</f>
        <v>0.9715762273901809</v>
      </c>
      <c r="AA791" s="908"/>
      <c r="AB791" s="969">
        <v>26660</v>
      </c>
      <c r="AC791" s="908"/>
      <c r="AD791" s="908"/>
      <c r="AE791" s="908"/>
      <c r="AF791" s="908"/>
      <c r="AG791" s="908"/>
      <c r="AH791" s="908"/>
      <c r="AI791" s="612">
        <v>9200000</v>
      </c>
    </row>
    <row r="792" spans="1:37" ht="12.75" customHeight="1" x14ac:dyDescent="0.2">
      <c r="C792" s="957"/>
      <c r="E792" s="533"/>
      <c r="F792" s="965"/>
      <c r="G792" s="885"/>
      <c r="H792" s="527"/>
      <c r="J792" s="617"/>
      <c r="N792" s="624"/>
      <c r="AB792" s="613">
        <f>(AB791-AB790)/365</f>
        <v>-24.252054794520546</v>
      </c>
      <c r="AI792" s="527">
        <f>AI787/AI791</f>
        <v>0.16140642521739129</v>
      </c>
    </row>
    <row r="793" spans="1:37" ht="12.75" customHeight="1" x14ac:dyDescent="0.2">
      <c r="A793"/>
      <c r="C793" s="533" t="s">
        <v>3466</v>
      </c>
      <c r="E793" s="533" t="s">
        <v>3467</v>
      </c>
      <c r="F793" s="728" t="s">
        <v>1025</v>
      </c>
      <c r="G793" s="615">
        <v>482</v>
      </c>
      <c r="N793" s="624"/>
    </row>
    <row r="794" spans="1:37" ht="12.75" customHeight="1" x14ac:dyDescent="0.2">
      <c r="C794" s="533" t="s">
        <v>3479</v>
      </c>
      <c r="E794" s="533" t="s">
        <v>3480</v>
      </c>
      <c r="F794" s="734" t="s">
        <v>3580</v>
      </c>
      <c r="G794" s="615">
        <v>745</v>
      </c>
      <c r="N794" s="624"/>
      <c r="U794" s="916"/>
      <c r="V794" s="916"/>
      <c r="W794" s="912"/>
      <c r="X794" s="909">
        <f>X787/U787</f>
        <v>0.34907251264755479</v>
      </c>
      <c r="Y794" s="612"/>
      <c r="Z794" s="908">
        <f>(Y787+Z787)/$A787</f>
        <v>4.6511627906976744E-2</v>
      </c>
      <c r="AA794" s="908"/>
      <c r="AB794" s="908"/>
      <c r="AC794" s="908"/>
      <c r="AD794" s="908"/>
      <c r="AE794" s="908"/>
      <c r="AF794" s="908"/>
      <c r="AG794" s="908"/>
      <c r="AH794" s="908"/>
      <c r="AI794" s="612"/>
    </row>
    <row r="795" spans="1:37" ht="12.75" customHeight="1" x14ac:dyDescent="0.2">
      <c r="A795"/>
      <c r="E795" s="612"/>
      <c r="N795" s="624"/>
    </row>
    <row r="796" spans="1:37" ht="12.75" customHeight="1" x14ac:dyDescent="0.2">
      <c r="A796"/>
      <c r="E796" s="612"/>
      <c r="N796" s="624"/>
    </row>
    <row r="797" spans="1:37" ht="12.75" customHeight="1" x14ac:dyDescent="0.2">
      <c r="A797"/>
      <c r="E797" s="612"/>
      <c r="N797" s="624"/>
    </row>
    <row r="798" spans="1:37" ht="12.75" customHeight="1" x14ac:dyDescent="0.2">
      <c r="A798"/>
      <c r="C798" s="533" t="s">
        <v>2456</v>
      </c>
      <c r="D798" s="527"/>
      <c r="E798" s="527" t="s">
        <v>2492</v>
      </c>
      <c r="F798" s="533">
        <v>8046</v>
      </c>
      <c r="G798" s="639">
        <v>5046.8</v>
      </c>
      <c r="H798" s="527"/>
      <c r="I798" s="808" t="s">
        <v>2501</v>
      </c>
      <c r="J798" s="617">
        <v>43041</v>
      </c>
    </row>
    <row r="799" spans="1:37" ht="12.75" customHeight="1" x14ac:dyDescent="0.2">
      <c r="A799"/>
      <c r="C799" s="533" t="s">
        <v>2506</v>
      </c>
      <c r="D799" s="527"/>
      <c r="E799" s="527" t="s">
        <v>2492</v>
      </c>
      <c r="F799" s="533">
        <v>8046</v>
      </c>
      <c r="I799" s="815" t="s">
        <v>2575</v>
      </c>
      <c r="N799" s="624"/>
    </row>
    <row r="800" spans="1:37" ht="12.75" customHeight="1" x14ac:dyDescent="0.2">
      <c r="C800" s="527" t="s">
        <v>2516</v>
      </c>
      <c r="D800" s="527"/>
      <c r="E800" s="527" t="s">
        <v>2511</v>
      </c>
      <c r="F800" s="533">
        <v>8046</v>
      </c>
      <c r="G800" s="639"/>
      <c r="H800" s="527"/>
      <c r="I800" s="815" t="s">
        <v>2575</v>
      </c>
      <c r="J800" s="527"/>
      <c r="N800" s="624"/>
    </row>
    <row r="804" spans="3:47" ht="12.75" customHeight="1" x14ac:dyDescent="0.2">
      <c r="C804" s="533" t="s">
        <v>131</v>
      </c>
      <c r="D804" s="811">
        <v>28</v>
      </c>
      <c r="E804" s="527" t="s">
        <v>131</v>
      </c>
      <c r="F804" s="533" t="s">
        <v>2636</v>
      </c>
      <c r="G804" s="632">
        <v>11.27</v>
      </c>
      <c r="H804" s="640">
        <v>250</v>
      </c>
      <c r="I804" s="613" t="s">
        <v>1674</v>
      </c>
      <c r="J804" s="734"/>
      <c r="K804" s="533" t="s">
        <v>2097</v>
      </c>
    </row>
    <row r="805" spans="3:47" ht="12.75" customHeight="1" x14ac:dyDescent="0.2">
      <c r="C805" s="533" t="s">
        <v>1524</v>
      </c>
      <c r="D805" s="613">
        <v>96</v>
      </c>
      <c r="E805" s="533" t="s">
        <v>2107</v>
      </c>
      <c r="F805" s="533" t="s">
        <v>2216</v>
      </c>
      <c r="H805" s="639">
        <v>1080</v>
      </c>
      <c r="I805" s="613" t="s">
        <v>1995</v>
      </c>
      <c r="J805" s="617">
        <v>42193</v>
      </c>
    </row>
    <row r="806" spans="3:47" ht="12.75" customHeight="1" x14ac:dyDescent="0.2">
      <c r="C806" s="533" t="s">
        <v>1524</v>
      </c>
      <c r="D806" s="811">
        <v>144</v>
      </c>
      <c r="E806" s="527" t="s">
        <v>2585</v>
      </c>
      <c r="F806" s="533" t="s">
        <v>2636</v>
      </c>
      <c r="H806" s="632">
        <v>395.7</v>
      </c>
      <c r="I806" s="815" t="s">
        <v>2575</v>
      </c>
      <c r="J806" s="617">
        <v>43271</v>
      </c>
    </row>
    <row r="807" spans="3:47" ht="12.75" customHeight="1" x14ac:dyDescent="0.2">
      <c r="D807" s="811"/>
      <c r="I807" s="815"/>
      <c r="J807" s="617"/>
    </row>
    <row r="808" spans="3:47" ht="12.75" customHeight="1" x14ac:dyDescent="0.2">
      <c r="C808" s="533" t="s">
        <v>1883</v>
      </c>
      <c r="D808" s="811">
        <v>3</v>
      </c>
      <c r="E808" s="527" t="s">
        <v>155</v>
      </c>
      <c r="F808" s="533">
        <v>2995</v>
      </c>
      <c r="G808" s="632">
        <v>691</v>
      </c>
      <c r="H808" s="632">
        <v>152</v>
      </c>
      <c r="I808" s="613" t="s">
        <v>1630</v>
      </c>
      <c r="J808" s="533"/>
      <c r="K808" s="533" t="s">
        <v>1299</v>
      </c>
      <c r="N808" s="621"/>
      <c r="O808" s="638" t="s">
        <v>803</v>
      </c>
      <c r="X808" s="763">
        <v>1</v>
      </c>
    </row>
    <row r="809" spans="3:47" ht="12.75" customHeight="1" x14ac:dyDescent="0.2">
      <c r="C809" s="533" t="s">
        <v>1883</v>
      </c>
      <c r="D809" s="811">
        <v>87</v>
      </c>
      <c r="E809" s="614" t="s">
        <v>1864</v>
      </c>
      <c r="F809" s="827" t="s">
        <v>50</v>
      </c>
      <c r="G809" s="639">
        <v>158</v>
      </c>
      <c r="H809" s="632">
        <v>221</v>
      </c>
      <c r="I809" s="613" t="s">
        <v>1871</v>
      </c>
      <c r="J809" s="617">
        <v>42123</v>
      </c>
      <c r="X809" s="763">
        <v>1</v>
      </c>
    </row>
    <row r="810" spans="3:47" ht="12.75" customHeight="1" x14ac:dyDescent="0.2">
      <c r="C810" s="533" t="s">
        <v>1883</v>
      </c>
      <c r="D810" s="811">
        <v>115</v>
      </c>
      <c r="E810" s="527" t="s">
        <v>2641</v>
      </c>
      <c r="F810" s="533">
        <v>8222</v>
      </c>
      <c r="G810" s="639">
        <v>35</v>
      </c>
      <c r="H810" s="632">
        <v>231.2</v>
      </c>
      <c r="I810" s="751" t="s">
        <v>2226</v>
      </c>
      <c r="J810" s="617">
        <v>42704</v>
      </c>
      <c r="N810" s="624"/>
      <c r="X810" s="763">
        <v>1</v>
      </c>
    </row>
    <row r="811" spans="3:47" ht="12.75" customHeight="1" x14ac:dyDescent="0.2">
      <c r="C811" s="533" t="s">
        <v>1883</v>
      </c>
      <c r="D811" s="811">
        <v>109</v>
      </c>
      <c r="E811" s="527" t="s">
        <v>2286</v>
      </c>
      <c r="F811" s="728">
        <v>8673</v>
      </c>
      <c r="G811" s="639"/>
      <c r="H811" s="632">
        <v>83.6</v>
      </c>
      <c r="I811" s="613" t="s">
        <v>2118</v>
      </c>
      <c r="J811" s="617">
        <v>42515</v>
      </c>
      <c r="N811" s="624"/>
      <c r="X811" s="763">
        <v>1</v>
      </c>
    </row>
    <row r="812" spans="3:47" ht="12.75" customHeight="1" x14ac:dyDescent="0.25">
      <c r="C812" s="533" t="s">
        <v>1883</v>
      </c>
      <c r="D812" s="811">
        <v>110</v>
      </c>
      <c r="E812" s="527" t="s">
        <v>2640</v>
      </c>
      <c r="F812" s="728">
        <v>10626</v>
      </c>
      <c r="G812" s="639"/>
      <c r="H812" s="632">
        <v>223.2</v>
      </c>
      <c r="I812" s="613" t="s">
        <v>2118</v>
      </c>
      <c r="J812" s="617">
        <v>42515</v>
      </c>
      <c r="X812" s="763">
        <v>1</v>
      </c>
      <c r="AJ812"/>
      <c r="AN812" s="42"/>
      <c r="AO812" s="42"/>
      <c r="AP812" s="905"/>
      <c r="AQ812" s="906"/>
      <c r="AR812" s="42"/>
      <c r="AS812" s="42"/>
      <c r="AT812" s="42"/>
      <c r="AU812" s="42"/>
    </row>
    <row r="813" spans="3:47" ht="12.75" customHeight="1" x14ac:dyDescent="0.2">
      <c r="C813" s="533" t="s">
        <v>1883</v>
      </c>
      <c r="D813" s="811">
        <v>116</v>
      </c>
      <c r="E813" s="533" t="s">
        <v>2235</v>
      </c>
      <c r="F813" s="533">
        <v>8046</v>
      </c>
      <c r="G813" s="639">
        <v>19.63</v>
      </c>
      <c r="H813" s="639">
        <v>377.8</v>
      </c>
      <c r="I813" s="751" t="s">
        <v>2226</v>
      </c>
      <c r="J813" s="617">
        <v>42704</v>
      </c>
      <c r="N813" s="624"/>
      <c r="X813" s="763">
        <v>1</v>
      </c>
    </row>
    <row r="814" spans="3:47" ht="12.75" customHeight="1" x14ac:dyDescent="0.2">
      <c r="C814" s="533" t="s">
        <v>2619</v>
      </c>
      <c r="D814" s="811">
        <v>134</v>
      </c>
      <c r="E814" s="527" t="s">
        <v>2644</v>
      </c>
      <c r="F814" s="533" t="s">
        <v>50</v>
      </c>
      <c r="H814" s="632">
        <v>242.2</v>
      </c>
      <c r="I814" s="795" t="s">
        <v>2384</v>
      </c>
      <c r="J814" s="617">
        <v>42872</v>
      </c>
      <c r="X814" s="763"/>
    </row>
    <row r="815" spans="3:47" ht="12.75" customHeight="1" x14ac:dyDescent="0.2">
      <c r="C815" s="533" t="s">
        <v>1883</v>
      </c>
      <c r="D815" s="811">
        <v>143</v>
      </c>
      <c r="E815" s="527" t="s">
        <v>2584</v>
      </c>
      <c r="F815" s="533" t="s">
        <v>2648</v>
      </c>
      <c r="G815" s="632">
        <v>391.3</v>
      </c>
      <c r="H815" s="632">
        <v>200.7</v>
      </c>
      <c r="I815" s="815" t="s">
        <v>2575</v>
      </c>
      <c r="J815" s="617">
        <v>43271</v>
      </c>
      <c r="X815" s="763">
        <v>1</v>
      </c>
    </row>
    <row r="816" spans="3:47" ht="12.75" customHeight="1" x14ac:dyDescent="0.2">
      <c r="C816" s="533" t="s">
        <v>1883</v>
      </c>
      <c r="D816" s="811">
        <v>142</v>
      </c>
      <c r="E816" s="614" t="s">
        <v>2583</v>
      </c>
      <c r="F816" s="827" t="s">
        <v>50</v>
      </c>
      <c r="G816" s="632">
        <v>169.2</v>
      </c>
      <c r="H816" s="527">
        <v>120.2</v>
      </c>
      <c r="I816" s="815" t="s">
        <v>2575</v>
      </c>
      <c r="J816" s="617">
        <v>43271</v>
      </c>
      <c r="X816" s="763">
        <v>1</v>
      </c>
    </row>
    <row r="817" spans="1:47" ht="12.75" customHeight="1" x14ac:dyDescent="0.2">
      <c r="C817" s="533" t="s">
        <v>1883</v>
      </c>
      <c r="D817" s="811">
        <v>130</v>
      </c>
      <c r="E817" s="527" t="s">
        <v>2864</v>
      </c>
      <c r="F817" s="533">
        <v>8046</v>
      </c>
      <c r="G817" s="639">
        <v>180</v>
      </c>
      <c r="H817" s="632">
        <v>221.3</v>
      </c>
      <c r="I817" s="763" t="s">
        <v>2255</v>
      </c>
      <c r="J817" s="617">
        <v>42781</v>
      </c>
      <c r="N817" s="624"/>
      <c r="X817" s="763">
        <v>1</v>
      </c>
    </row>
    <row r="818" spans="1:47" ht="12.75" customHeight="1" x14ac:dyDescent="0.2">
      <c r="C818" s="533" t="s">
        <v>1883</v>
      </c>
      <c r="D818" s="811">
        <v>58</v>
      </c>
      <c r="E818" s="533" t="s">
        <v>1700</v>
      </c>
      <c r="F818" s="533">
        <v>8455</v>
      </c>
      <c r="G818" s="639">
        <v>117</v>
      </c>
      <c r="H818" s="632">
        <v>96.7</v>
      </c>
      <c r="I818" s="613" t="s">
        <v>1690</v>
      </c>
      <c r="J818" s="617">
        <v>41808</v>
      </c>
      <c r="K818" s="533" t="s">
        <v>869</v>
      </c>
      <c r="N818"/>
      <c r="O818"/>
      <c r="P818"/>
      <c r="Q818"/>
      <c r="X818" s="763">
        <v>1</v>
      </c>
    </row>
    <row r="819" spans="1:47" ht="12.75" customHeight="1" x14ac:dyDescent="0.2">
      <c r="C819" s="533" t="s">
        <v>1883</v>
      </c>
      <c r="D819" s="811">
        <v>59</v>
      </c>
      <c r="E819" s="533" t="s">
        <v>1723</v>
      </c>
      <c r="F819" s="533">
        <v>8455</v>
      </c>
      <c r="G819" s="639">
        <v>598</v>
      </c>
      <c r="H819" s="632">
        <v>79.400000000000006</v>
      </c>
      <c r="I819" s="613" t="s">
        <v>1690</v>
      </c>
      <c r="J819" s="617">
        <v>41808</v>
      </c>
      <c r="N819"/>
      <c r="O819"/>
      <c r="P819"/>
      <c r="Q819"/>
      <c r="X819" s="763">
        <v>1</v>
      </c>
    </row>
    <row r="820" spans="1:47" ht="12.75" customHeight="1" x14ac:dyDescent="0.2">
      <c r="C820" s="533" t="s">
        <v>1883</v>
      </c>
      <c r="D820" s="811">
        <v>60</v>
      </c>
      <c r="E820" s="533" t="s">
        <v>1704</v>
      </c>
      <c r="F820" s="533">
        <v>5744</v>
      </c>
      <c r="G820" s="639">
        <v>745</v>
      </c>
      <c r="H820" s="632">
        <v>61.7</v>
      </c>
      <c r="I820" s="613" t="s">
        <v>1690</v>
      </c>
      <c r="J820" s="617">
        <v>41808</v>
      </c>
      <c r="N820"/>
      <c r="O820"/>
      <c r="P820"/>
      <c r="Q820"/>
      <c r="X820" s="763">
        <v>1</v>
      </c>
    </row>
    <row r="821" spans="1:47" ht="12.75" customHeight="1" x14ac:dyDescent="0.2">
      <c r="C821" s="533" t="s">
        <v>1883</v>
      </c>
      <c r="D821" s="811">
        <v>99</v>
      </c>
      <c r="E821" s="527" t="s">
        <v>2637</v>
      </c>
      <c r="F821" s="533">
        <v>2977</v>
      </c>
      <c r="G821" s="639">
        <v>157</v>
      </c>
      <c r="H821" s="639">
        <v>76</v>
      </c>
      <c r="I821" s="613" t="s">
        <v>2019</v>
      </c>
      <c r="J821" s="617">
        <v>42298</v>
      </c>
      <c r="N821"/>
      <c r="O821"/>
      <c r="P821"/>
      <c r="Q821"/>
      <c r="X821" s="763">
        <v>1</v>
      </c>
    </row>
    <row r="822" spans="1:47" ht="12.75" customHeight="1" x14ac:dyDescent="0.2">
      <c r="C822" s="533" t="s">
        <v>1883</v>
      </c>
      <c r="D822" s="811">
        <v>101</v>
      </c>
      <c r="E822" s="759" t="s">
        <v>2022</v>
      </c>
      <c r="F822" s="533" t="s">
        <v>2639</v>
      </c>
      <c r="G822" s="639">
        <v>499</v>
      </c>
      <c r="H822" s="639">
        <v>183.8</v>
      </c>
      <c r="I822" s="613" t="s">
        <v>2023</v>
      </c>
      <c r="J822" s="624">
        <v>42368</v>
      </c>
      <c r="N822"/>
      <c r="O822"/>
      <c r="P822"/>
      <c r="Q822"/>
      <c r="X822" s="763">
        <v>1</v>
      </c>
    </row>
    <row r="823" spans="1:47" ht="12.75" customHeight="1" x14ac:dyDescent="0.2">
      <c r="C823" s="533" t="s">
        <v>1883</v>
      </c>
      <c r="D823" s="811">
        <v>102</v>
      </c>
      <c r="E823" s="759" t="s">
        <v>2638</v>
      </c>
      <c r="F823" s="533" t="s">
        <v>2020</v>
      </c>
      <c r="G823" s="639">
        <v>1051</v>
      </c>
      <c r="H823" s="639">
        <v>207.7</v>
      </c>
      <c r="I823" s="613" t="s">
        <v>2023</v>
      </c>
      <c r="J823" s="624">
        <v>42368</v>
      </c>
      <c r="N823"/>
      <c r="O823"/>
      <c r="P823"/>
      <c r="Q823"/>
      <c r="X823" s="763">
        <v>1</v>
      </c>
    </row>
    <row r="824" spans="1:47" ht="12.75" customHeight="1" x14ac:dyDescent="0.2">
      <c r="C824" s="533" t="s">
        <v>1883</v>
      </c>
      <c r="D824" s="811">
        <v>107</v>
      </c>
      <c r="E824" s="527" t="s">
        <v>2025</v>
      </c>
      <c r="F824" s="533">
        <v>7611</v>
      </c>
      <c r="G824" s="639">
        <v>332</v>
      </c>
      <c r="H824" s="639">
        <v>203.2</v>
      </c>
      <c r="I824" s="613" t="s">
        <v>2036</v>
      </c>
      <c r="J824" s="617">
        <v>42367</v>
      </c>
      <c r="N824"/>
      <c r="O824"/>
      <c r="P824"/>
      <c r="Q824"/>
      <c r="X824" s="763">
        <v>1</v>
      </c>
    </row>
    <row r="825" spans="1:47" ht="12.75" customHeight="1" x14ac:dyDescent="0.2">
      <c r="C825" s="533" t="s">
        <v>1883</v>
      </c>
      <c r="D825" s="811">
        <v>93</v>
      </c>
      <c r="E825" s="533" t="s">
        <v>1982</v>
      </c>
      <c r="F825" s="533">
        <v>7834</v>
      </c>
      <c r="H825" s="639">
        <v>222.5</v>
      </c>
      <c r="I825" s="613" t="s">
        <v>1995</v>
      </c>
      <c r="J825" s="617">
        <v>42193</v>
      </c>
      <c r="N825"/>
      <c r="O825"/>
      <c r="P825"/>
      <c r="Q825"/>
      <c r="X825" s="763">
        <v>1</v>
      </c>
    </row>
    <row r="826" spans="1:47" ht="12.75" customHeight="1" x14ac:dyDescent="0.2">
      <c r="C826" s="533" t="s">
        <v>2677</v>
      </c>
      <c r="D826" s="811">
        <v>100</v>
      </c>
      <c r="E826" s="820" t="s">
        <v>2020</v>
      </c>
      <c r="F826" s="826" t="s">
        <v>2682</v>
      </c>
      <c r="G826" s="639">
        <v>28080</v>
      </c>
      <c r="H826" s="632">
        <f>79.81+66.09+76.72+106.44+102.48+118.04</f>
        <v>549.58000000000004</v>
      </c>
      <c r="I826" s="613" t="s">
        <v>2023</v>
      </c>
      <c r="J826" s="624">
        <v>42368</v>
      </c>
      <c r="N826"/>
      <c r="O826"/>
      <c r="P826"/>
      <c r="Q826"/>
      <c r="X826" s="763"/>
    </row>
    <row r="827" spans="1:47" ht="12.75" customHeight="1" x14ac:dyDescent="0.2">
      <c r="C827" s="533" t="s">
        <v>2740</v>
      </c>
      <c r="D827" s="811">
        <v>136</v>
      </c>
      <c r="E827" s="527" t="s">
        <v>2498</v>
      </c>
      <c r="F827" s="533">
        <v>8046</v>
      </c>
      <c r="G827" s="619">
        <v>103770</v>
      </c>
      <c r="H827" s="527"/>
      <c r="I827" s="808" t="s">
        <v>2501</v>
      </c>
      <c r="J827" s="617">
        <v>43041</v>
      </c>
      <c r="N827"/>
      <c r="O827"/>
      <c r="P827"/>
      <c r="Q827"/>
      <c r="X827" s="763">
        <v>1</v>
      </c>
    </row>
    <row r="828" spans="1:47" ht="12.75" customHeight="1" x14ac:dyDescent="0.2">
      <c r="C828" s="533" t="s">
        <v>2740</v>
      </c>
      <c r="D828" s="811">
        <v>138</v>
      </c>
      <c r="E828" s="527" t="s">
        <v>2500</v>
      </c>
      <c r="F828" s="533">
        <v>8046</v>
      </c>
      <c r="G828" s="619">
        <v>103770</v>
      </c>
      <c r="I828" s="808" t="s">
        <v>2501</v>
      </c>
      <c r="J828" s="617">
        <v>43041</v>
      </c>
      <c r="N828"/>
      <c r="O828"/>
      <c r="P828"/>
      <c r="Q828"/>
      <c r="X828" s="763"/>
    </row>
    <row r="829" spans="1:47" ht="12.75" customHeight="1" x14ac:dyDescent="0.25">
      <c r="C829" s="533" t="s">
        <v>2677</v>
      </c>
      <c r="D829" s="811">
        <v>114</v>
      </c>
      <c r="E829" s="820" t="s">
        <v>2210</v>
      </c>
      <c r="F829" s="826" t="s">
        <v>2647</v>
      </c>
      <c r="G829" s="639"/>
      <c r="H829" s="632">
        <v>308.10000000000002</v>
      </c>
      <c r="I829" s="613" t="s">
        <v>2198</v>
      </c>
      <c r="J829" s="617">
        <v>42634</v>
      </c>
      <c r="N829"/>
      <c r="O829"/>
      <c r="P829"/>
      <c r="Q829"/>
      <c r="X829" s="763"/>
      <c r="AJ829"/>
      <c r="AN829" s="42"/>
      <c r="AO829" s="42"/>
      <c r="AP829" s="905"/>
      <c r="AQ829" s="906"/>
      <c r="AR829" s="42"/>
      <c r="AS829" s="42"/>
      <c r="AT829" s="42"/>
      <c r="AU829" s="42"/>
    </row>
    <row r="830" spans="1:47" customFormat="1" ht="12.75" customHeight="1" x14ac:dyDescent="0.2">
      <c r="A830" s="527"/>
      <c r="B830" s="527"/>
      <c r="C830" s="533" t="s">
        <v>1883</v>
      </c>
      <c r="D830" s="811">
        <v>95</v>
      </c>
      <c r="E830" s="533" t="s">
        <v>1984</v>
      </c>
      <c r="F830" s="533">
        <v>8455</v>
      </c>
      <c r="G830" s="639">
        <v>192</v>
      </c>
      <c r="H830" s="639">
        <v>126.4</v>
      </c>
      <c r="I830" s="613" t="s">
        <v>1995</v>
      </c>
      <c r="J830" s="617">
        <v>42193</v>
      </c>
      <c r="K830" s="533"/>
      <c r="L830" s="527"/>
      <c r="M830" s="527"/>
      <c r="R830" s="911"/>
      <c r="S830" s="911"/>
      <c r="T830" s="911"/>
      <c r="U830" s="613"/>
      <c r="V830" s="613"/>
      <c r="W830" s="613"/>
      <c r="X830" s="763">
        <v>1</v>
      </c>
      <c r="Y830" s="613"/>
      <c r="Z830" s="613"/>
      <c r="AA830" s="613"/>
      <c r="AB830" s="613"/>
      <c r="AC830" s="613"/>
      <c r="AD830" s="613"/>
      <c r="AE830" s="613"/>
      <c r="AF830" s="613"/>
      <c r="AG830" s="613"/>
      <c r="AH830" s="613"/>
      <c r="AI830" s="527"/>
      <c r="AJ830" s="527"/>
      <c r="AK830" s="778"/>
      <c r="AL830" s="778"/>
      <c r="AM830" s="778"/>
      <c r="AN830" s="778"/>
      <c r="AO830" s="778"/>
      <c r="AP830" s="631"/>
      <c r="AQ830" s="902"/>
      <c r="AR830" s="778"/>
      <c r="AS830" s="778"/>
      <c r="AT830" s="778"/>
      <c r="AU830" s="778"/>
    </row>
    <row r="831" spans="1:47" customFormat="1" ht="12.75" customHeight="1" x14ac:dyDescent="0.2">
      <c r="A831" s="527"/>
      <c r="B831" s="527"/>
      <c r="C831" s="533" t="s">
        <v>3558</v>
      </c>
      <c r="D831" s="811">
        <v>92</v>
      </c>
      <c r="E831" s="527" t="s">
        <v>1985</v>
      </c>
      <c r="F831" s="533">
        <v>10073</v>
      </c>
      <c r="G831" s="632">
        <v>249</v>
      </c>
      <c r="H831" s="632">
        <v>203.8</v>
      </c>
      <c r="I831" s="613" t="s">
        <v>1995</v>
      </c>
      <c r="J831" s="617">
        <v>42193</v>
      </c>
      <c r="K831" s="533"/>
      <c r="L831" s="527"/>
      <c r="M831" s="527"/>
      <c r="R831" s="911"/>
      <c r="S831" s="911"/>
      <c r="T831" s="911"/>
      <c r="U831" s="613"/>
      <c r="V831" s="613"/>
      <c r="W831" s="613"/>
      <c r="X831" s="763">
        <v>1</v>
      </c>
      <c r="Y831" s="613"/>
      <c r="Z831" s="613"/>
      <c r="AA831" s="613"/>
      <c r="AB831" s="613"/>
      <c r="AC831" s="613"/>
      <c r="AD831" s="613"/>
      <c r="AE831" s="613"/>
      <c r="AF831" s="613"/>
      <c r="AG831" s="613"/>
      <c r="AH831" s="613"/>
      <c r="AI831" s="527"/>
      <c r="AJ831" s="527"/>
      <c r="AK831" s="778"/>
      <c r="AL831" s="778"/>
      <c r="AM831" s="778"/>
      <c r="AN831" s="778"/>
      <c r="AO831" s="778"/>
      <c r="AP831" s="631"/>
      <c r="AQ831" s="902"/>
      <c r="AR831" s="778"/>
      <c r="AS831" s="778"/>
      <c r="AT831" s="778"/>
      <c r="AU831" s="778"/>
    </row>
    <row r="832" spans="1:47" customFormat="1" ht="12.75" customHeight="1" x14ac:dyDescent="0.2">
      <c r="A832" s="527"/>
      <c r="B832" s="527"/>
      <c r="C832" s="533" t="s">
        <v>1883</v>
      </c>
      <c r="D832" s="811">
        <v>55</v>
      </c>
      <c r="E832" s="533" t="s">
        <v>2010</v>
      </c>
      <c r="F832" s="533">
        <v>5744</v>
      </c>
      <c r="G832" s="632">
        <v>1052</v>
      </c>
      <c r="H832" s="632">
        <v>181.7</v>
      </c>
      <c r="I832" s="613" t="s">
        <v>1670</v>
      </c>
      <c r="J832" s="617">
        <v>41605</v>
      </c>
      <c r="K832" s="533"/>
      <c r="L832" s="527"/>
      <c r="M832" s="527"/>
      <c r="R832" s="911"/>
      <c r="S832" s="911"/>
      <c r="T832" s="911"/>
      <c r="U832" s="613"/>
      <c r="V832" s="613"/>
      <c r="W832" s="613"/>
      <c r="X832" s="763">
        <v>1</v>
      </c>
      <c r="Y832" s="613"/>
      <c r="Z832" s="613"/>
      <c r="AA832" s="613"/>
      <c r="AB832" s="613"/>
      <c r="AC832" s="613"/>
      <c r="AD832" s="613"/>
      <c r="AE832" s="613"/>
      <c r="AF832" s="613"/>
      <c r="AG832" s="613"/>
      <c r="AH832" s="613"/>
      <c r="AI832" s="527"/>
      <c r="AJ832" s="527"/>
      <c r="AK832" s="778"/>
      <c r="AL832" s="778"/>
      <c r="AM832" s="778"/>
      <c r="AN832" s="778"/>
      <c r="AO832" s="778"/>
      <c r="AP832" s="631"/>
      <c r="AQ832" s="902"/>
      <c r="AR832" s="778"/>
      <c r="AS832" s="778"/>
      <c r="AT832" s="778"/>
      <c r="AU832" s="778"/>
    </row>
    <row r="833" spans="3:47" ht="12.75" customHeight="1" x14ac:dyDescent="0.2">
      <c r="C833" s="533" t="s">
        <v>1883</v>
      </c>
      <c r="D833" s="811">
        <v>77</v>
      </c>
      <c r="E833" s="533" t="s">
        <v>1800</v>
      </c>
      <c r="F833" s="533">
        <v>8641</v>
      </c>
      <c r="G833" s="639">
        <v>140</v>
      </c>
      <c r="H833" s="632">
        <v>123.5</v>
      </c>
      <c r="I833" s="635" t="s">
        <v>1795</v>
      </c>
      <c r="J833" s="617">
        <v>41955</v>
      </c>
      <c r="N833"/>
      <c r="O833"/>
      <c r="P833"/>
      <c r="Q833"/>
      <c r="X833" s="763">
        <v>1</v>
      </c>
    </row>
    <row r="834" spans="3:47" ht="12.75" customHeight="1" x14ac:dyDescent="0.2">
      <c r="C834" s="533" t="s">
        <v>1883</v>
      </c>
      <c r="D834" s="811">
        <v>64</v>
      </c>
      <c r="E834" s="533" t="s">
        <v>1801</v>
      </c>
      <c r="F834" s="533">
        <v>8701</v>
      </c>
      <c r="G834" s="639"/>
      <c r="H834" s="632">
        <v>336.4</v>
      </c>
      <c r="I834" s="613" t="s">
        <v>1690</v>
      </c>
      <c r="J834" s="617">
        <v>41808</v>
      </c>
      <c r="N834"/>
      <c r="O834"/>
      <c r="P834"/>
      <c r="Q834"/>
      <c r="X834" s="763">
        <v>1</v>
      </c>
    </row>
    <row r="835" spans="3:47" ht="12.75" customHeight="1" x14ac:dyDescent="0.25">
      <c r="C835" s="533" t="s">
        <v>1883</v>
      </c>
      <c r="D835" s="811">
        <v>111</v>
      </c>
      <c r="E835" s="533" t="s">
        <v>2112</v>
      </c>
      <c r="F835" s="533">
        <v>11243</v>
      </c>
      <c r="G835" s="639">
        <v>4700</v>
      </c>
      <c r="H835" s="632">
        <v>152.80000000000001</v>
      </c>
      <c r="I835" s="613" t="s">
        <v>2118</v>
      </c>
      <c r="J835" s="617">
        <v>42515</v>
      </c>
      <c r="N835"/>
      <c r="O835"/>
      <c r="P835"/>
      <c r="Q835"/>
      <c r="X835" s="763">
        <v>1</v>
      </c>
      <c r="AJ835"/>
      <c r="AN835" s="42"/>
      <c r="AO835" s="42"/>
      <c r="AP835" s="905"/>
      <c r="AQ835" s="906"/>
      <c r="AR835" s="42"/>
      <c r="AS835" s="42"/>
      <c r="AT835" s="42"/>
      <c r="AU835" s="42"/>
    </row>
    <row r="836" spans="3:47" ht="12.75" customHeight="1" x14ac:dyDescent="0.2">
      <c r="C836" s="533" t="s">
        <v>1883</v>
      </c>
      <c r="D836" s="811">
        <v>133</v>
      </c>
      <c r="E836" s="532" t="s">
        <v>2643</v>
      </c>
      <c r="F836" s="827" t="s">
        <v>50</v>
      </c>
      <c r="G836" s="639">
        <v>4185</v>
      </c>
      <c r="H836" s="632">
        <v>121.7</v>
      </c>
      <c r="I836" s="795" t="s">
        <v>2384</v>
      </c>
      <c r="J836" s="617">
        <v>42872</v>
      </c>
      <c r="N836"/>
      <c r="O836"/>
      <c r="P836"/>
      <c r="Q836"/>
      <c r="X836" s="763">
        <v>1</v>
      </c>
    </row>
    <row r="837" spans="3:47" ht="12.75" customHeight="1" x14ac:dyDescent="0.2">
      <c r="C837" s="533" t="s">
        <v>1883</v>
      </c>
      <c r="D837" s="811">
        <v>131</v>
      </c>
      <c r="E837" s="533" t="s">
        <v>2642</v>
      </c>
      <c r="F837" s="533">
        <v>10678</v>
      </c>
      <c r="G837" s="639">
        <v>515</v>
      </c>
      <c r="H837" s="632">
        <v>225.1</v>
      </c>
      <c r="I837" s="795" t="s">
        <v>2384</v>
      </c>
      <c r="J837" s="617">
        <v>42872</v>
      </c>
      <c r="N837"/>
      <c r="O837"/>
      <c r="P837"/>
      <c r="Q837"/>
      <c r="X837" s="763">
        <v>1</v>
      </c>
    </row>
    <row r="838" spans="3:47" ht="12.75" customHeight="1" x14ac:dyDescent="0.2">
      <c r="C838" s="533" t="s">
        <v>1883</v>
      </c>
      <c r="D838" s="811">
        <v>65</v>
      </c>
      <c r="E838" s="532" t="s">
        <v>1702</v>
      </c>
      <c r="F838" s="827" t="s">
        <v>50</v>
      </c>
      <c r="G838" s="639">
        <v>442</v>
      </c>
      <c r="H838" s="632">
        <v>148.6</v>
      </c>
      <c r="I838" s="613" t="s">
        <v>1690</v>
      </c>
      <c r="J838" s="617">
        <v>41808</v>
      </c>
      <c r="L838" s="527">
        <v>2014</v>
      </c>
      <c r="N838"/>
      <c r="O838"/>
      <c r="P838"/>
      <c r="Q838"/>
      <c r="X838" s="763">
        <v>1</v>
      </c>
    </row>
    <row r="839" spans="3:47" ht="12.75" customHeight="1" x14ac:dyDescent="0.2">
      <c r="C839" s="533" t="s">
        <v>1883</v>
      </c>
      <c r="D839" s="811">
        <v>106</v>
      </c>
      <c r="E839" s="533" t="s">
        <v>2026</v>
      </c>
      <c r="F839" s="533">
        <v>8222</v>
      </c>
      <c r="G839" s="639">
        <v>600</v>
      </c>
      <c r="H839" s="632">
        <v>166.6</v>
      </c>
      <c r="I839" s="613" t="s">
        <v>2036</v>
      </c>
      <c r="J839" s="617">
        <v>42367</v>
      </c>
      <c r="N839"/>
      <c r="O839"/>
      <c r="P839"/>
      <c r="Q839"/>
      <c r="X839" s="763">
        <v>1</v>
      </c>
    </row>
    <row r="840" spans="3:47" ht="12.75" customHeight="1" x14ac:dyDescent="0.2">
      <c r="C840" s="533" t="s">
        <v>1883</v>
      </c>
      <c r="D840" s="811">
        <v>12</v>
      </c>
      <c r="E840" s="527" t="s">
        <v>1836</v>
      </c>
      <c r="F840" s="533">
        <v>2995</v>
      </c>
      <c r="G840" s="632">
        <v>168</v>
      </c>
      <c r="H840" s="632">
        <f>815.5+112.8+65.4</f>
        <v>993.69999999999993</v>
      </c>
      <c r="I840" s="634" t="s">
        <v>1623</v>
      </c>
      <c r="J840" s="734">
        <v>39428</v>
      </c>
      <c r="K840" s="533" t="s">
        <v>1299</v>
      </c>
      <c r="N840"/>
      <c r="O840"/>
      <c r="P840"/>
      <c r="Q840"/>
      <c r="X840" s="763">
        <v>1</v>
      </c>
    </row>
    <row r="841" spans="3:47" ht="12.75" customHeight="1" x14ac:dyDescent="0.2">
      <c r="C841" s="533" t="s">
        <v>1883</v>
      </c>
      <c r="D841" s="811">
        <v>4</v>
      </c>
      <c r="E841" s="614" t="s">
        <v>2645</v>
      </c>
      <c r="F841" s="827" t="s">
        <v>50</v>
      </c>
      <c r="G841" s="632">
        <v>26</v>
      </c>
      <c r="H841" s="632">
        <v>46</v>
      </c>
      <c r="I841" s="613" t="s">
        <v>1632</v>
      </c>
      <c r="J841" s="533"/>
      <c r="K841" s="533" t="s">
        <v>2098</v>
      </c>
      <c r="N841"/>
      <c r="O841"/>
      <c r="P841"/>
      <c r="Q841"/>
      <c r="X841" s="763">
        <v>1</v>
      </c>
    </row>
    <row r="842" spans="3:47" ht="12.75" customHeight="1" x14ac:dyDescent="0.2">
      <c r="C842" s="533" t="s">
        <v>1883</v>
      </c>
      <c r="D842" s="811">
        <v>139</v>
      </c>
      <c r="E842" s="527" t="s">
        <v>2517</v>
      </c>
      <c r="F842" s="533">
        <v>8046</v>
      </c>
      <c r="H842" s="632">
        <v>61.9</v>
      </c>
      <c r="I842" s="808" t="s">
        <v>2501</v>
      </c>
      <c r="J842" s="617">
        <v>43041</v>
      </c>
      <c r="N842"/>
      <c r="O842"/>
      <c r="P842"/>
      <c r="Q842"/>
      <c r="X842" s="763">
        <v>1</v>
      </c>
    </row>
    <row r="843" spans="3:47" ht="12.75" customHeight="1" x14ac:dyDescent="0.2">
      <c r="C843" s="533" t="s">
        <v>1883</v>
      </c>
      <c r="D843" s="811">
        <v>68</v>
      </c>
      <c r="E843" s="533" t="s">
        <v>1705</v>
      </c>
      <c r="F843" s="533">
        <v>5744</v>
      </c>
      <c r="G843" s="814">
        <v>640</v>
      </c>
      <c r="H843" s="632">
        <v>129.5</v>
      </c>
      <c r="I843" s="613" t="s">
        <v>1690</v>
      </c>
      <c r="J843" s="617">
        <v>41808</v>
      </c>
      <c r="N843"/>
      <c r="O843"/>
      <c r="P843"/>
      <c r="Q843"/>
      <c r="X843" s="763">
        <v>1</v>
      </c>
    </row>
    <row r="844" spans="3:47" ht="12.75" customHeight="1" x14ac:dyDescent="0.2">
      <c r="C844" s="533" t="s">
        <v>1883</v>
      </c>
      <c r="N844" s="624"/>
      <c r="X844" s="763">
        <v>1</v>
      </c>
    </row>
    <row r="845" spans="3:47" ht="12.75" customHeight="1" x14ac:dyDescent="0.2">
      <c r="D845" s="811"/>
      <c r="H845" s="527"/>
      <c r="I845" s="815"/>
      <c r="J845" s="617"/>
      <c r="X845" s="613">
        <f>SUM(X808:X844)</f>
        <v>33</v>
      </c>
    </row>
    <row r="846" spans="3:47" ht="12.75" customHeight="1" x14ac:dyDescent="0.2">
      <c r="C846" s="533" t="s">
        <v>913</v>
      </c>
      <c r="D846" s="811">
        <v>1153</v>
      </c>
      <c r="E846" s="527" t="s">
        <v>2510</v>
      </c>
      <c r="F846" s="527" t="s">
        <v>2510</v>
      </c>
      <c r="G846" s="632" t="s">
        <v>250</v>
      </c>
      <c r="H846" s="527"/>
      <c r="J846" s="533"/>
      <c r="K846" s="533" t="s">
        <v>914</v>
      </c>
      <c r="L846" s="527">
        <v>2000</v>
      </c>
      <c r="N846" s="527">
        <v>2000</v>
      </c>
      <c r="X846" s="613">
        <f>X845+X787</f>
        <v>240</v>
      </c>
    </row>
    <row r="847" spans="3:47" ht="12.75" customHeight="1" x14ac:dyDescent="0.2">
      <c r="E847" s="533"/>
      <c r="H847" s="639"/>
      <c r="J847" s="617"/>
    </row>
    <row r="851" spans="1:14" ht="12.75" customHeight="1" x14ac:dyDescent="0.2">
      <c r="C851" s="533" t="s">
        <v>1883</v>
      </c>
      <c r="E851" s="527" t="s">
        <v>2106</v>
      </c>
      <c r="G851" s="639"/>
      <c r="I851"/>
      <c r="J851" s="617"/>
      <c r="N851" s="624"/>
    </row>
    <row r="852" spans="1:14" ht="12.75" customHeight="1" x14ac:dyDescent="0.2">
      <c r="C852" s="533" t="s">
        <v>1883</v>
      </c>
      <c r="E852" s="527" t="s">
        <v>2228</v>
      </c>
      <c r="G852" s="639">
        <v>145</v>
      </c>
      <c r="H852" s="639"/>
      <c r="J852" s="527"/>
      <c r="N852" s="624"/>
    </row>
    <row r="853" spans="1:14" ht="12.75" customHeight="1" x14ac:dyDescent="0.2">
      <c r="C853" s="533" t="s">
        <v>1883</v>
      </c>
      <c r="E853" s="527" t="s">
        <v>2211</v>
      </c>
      <c r="F853" s="533" t="s">
        <v>2229</v>
      </c>
      <c r="G853" s="639"/>
      <c r="I853"/>
      <c r="J853" s="617" t="s">
        <v>91</v>
      </c>
      <c r="N853" s="624"/>
    </row>
    <row r="854" spans="1:14" ht="12.75" customHeight="1" x14ac:dyDescent="0.2">
      <c r="C854" s="533" t="s">
        <v>1883</v>
      </c>
      <c r="E854" s="527" t="s">
        <v>2504</v>
      </c>
      <c r="H854" s="632">
        <v>242.6</v>
      </c>
      <c r="I854" s="815" t="s">
        <v>2575</v>
      </c>
      <c r="J854" s="617">
        <v>43271</v>
      </c>
    </row>
    <row r="855" spans="1:14" ht="12.75" customHeight="1" x14ac:dyDescent="0.2">
      <c r="C855" s="533" t="s">
        <v>1883</v>
      </c>
      <c r="E855" s="533" t="s">
        <v>2189</v>
      </c>
      <c r="F855" s="533" t="s">
        <v>2190</v>
      </c>
      <c r="G855" s="632">
        <v>5306</v>
      </c>
      <c r="N855" s="624"/>
    </row>
    <row r="856" spans="1:14" ht="12.75" customHeight="1" x14ac:dyDescent="0.2">
      <c r="A856" s="720"/>
      <c r="B856" s="720"/>
      <c r="C856" s="533" t="s">
        <v>1883</v>
      </c>
      <c r="D856" s="721"/>
      <c r="E856" s="527" t="s">
        <v>1881</v>
      </c>
      <c r="F856" s="533" t="s">
        <v>1862</v>
      </c>
      <c r="G856" s="639">
        <v>249</v>
      </c>
      <c r="H856" s="632">
        <v>201.2</v>
      </c>
      <c r="I856" s="721" t="s">
        <v>1871</v>
      </c>
      <c r="J856" s="722"/>
      <c r="K856" s="823"/>
      <c r="L856" s="720"/>
      <c r="M856" s="720"/>
      <c r="N856" s="624"/>
    </row>
    <row r="857" spans="1:14" ht="12.75" customHeight="1" x14ac:dyDescent="0.2">
      <c r="C857" s="533" t="s">
        <v>1883</v>
      </c>
      <c r="E857" s="533" t="s">
        <v>2445</v>
      </c>
      <c r="G857" s="632">
        <v>249</v>
      </c>
      <c r="N857" s="624"/>
    </row>
    <row r="858" spans="1:14" ht="12.75" customHeight="1" x14ac:dyDescent="0.2">
      <c r="C858" s="533" t="s">
        <v>1883</v>
      </c>
      <c r="E858" s="533" t="s">
        <v>2102</v>
      </c>
      <c r="G858" s="632">
        <v>43.35</v>
      </c>
    </row>
    <row r="859" spans="1:14" ht="12.75" customHeight="1" x14ac:dyDescent="0.2">
      <c r="C859" s="533" t="s">
        <v>1883</v>
      </c>
      <c r="E859" s="533" t="s">
        <v>2101</v>
      </c>
      <c r="G859" s="632">
        <v>38.6</v>
      </c>
    </row>
    <row r="860" spans="1:14" ht="12.75" customHeight="1" x14ac:dyDescent="0.2">
      <c r="C860" s="533" t="s">
        <v>1883</v>
      </c>
      <c r="E860" s="533" t="s">
        <v>2457</v>
      </c>
      <c r="G860" s="639">
        <v>1884</v>
      </c>
      <c r="J860" s="617"/>
      <c r="N860" s="624"/>
    </row>
    <row r="863" spans="1:14" ht="12.75" customHeight="1" x14ac:dyDescent="0.2">
      <c r="N863" s="624"/>
    </row>
    <row r="869" spans="3:14" ht="12.75" customHeight="1" x14ac:dyDescent="0.2">
      <c r="C869" s="762"/>
    </row>
    <row r="870" spans="3:14" ht="12.75" customHeight="1" x14ac:dyDescent="0.2">
      <c r="E870" s="533"/>
      <c r="J870" s="533"/>
      <c r="N870" s="624"/>
    </row>
    <row r="871" spans="3:14" ht="12.75" customHeight="1" x14ac:dyDescent="0.2">
      <c r="C871" s="527" t="s">
        <v>1627</v>
      </c>
      <c r="E871" s="533" t="s">
        <v>2680</v>
      </c>
      <c r="F871" s="533" t="s">
        <v>2681</v>
      </c>
      <c r="G871" s="619">
        <v>139</v>
      </c>
      <c r="I871" s="635"/>
      <c r="J871" s="632"/>
      <c r="N871" s="624"/>
    </row>
    <row r="872" spans="3:14" ht="12.75" customHeight="1" x14ac:dyDescent="0.2">
      <c r="C872" s="533" t="s">
        <v>1883</v>
      </c>
      <c r="E872" s="527" t="s">
        <v>2006</v>
      </c>
      <c r="F872" s="533" t="s">
        <v>1882</v>
      </c>
      <c r="G872" s="615">
        <v>243</v>
      </c>
    </row>
    <row r="873" spans="3:14" ht="12.75" customHeight="1" x14ac:dyDescent="0.2">
      <c r="C873" s="533" t="s">
        <v>1883</v>
      </c>
      <c r="E873" s="527" t="s">
        <v>2099</v>
      </c>
      <c r="F873" s="533" t="s">
        <v>2100</v>
      </c>
      <c r="G873" s="615">
        <f>22+39+78</f>
        <v>139</v>
      </c>
    </row>
    <row r="874" spans="3:14" ht="12.75" customHeight="1" x14ac:dyDescent="0.2">
      <c r="C874" s="533" t="s">
        <v>1883</v>
      </c>
      <c r="D874" s="613">
        <v>47</v>
      </c>
      <c r="E874" s="533" t="s">
        <v>1655</v>
      </c>
      <c r="G874" s="615" t="s">
        <v>1549</v>
      </c>
      <c r="K874" s="533" t="s">
        <v>1444</v>
      </c>
      <c r="N874" s="624"/>
    </row>
    <row r="875" spans="3:14" ht="12.75" customHeight="1" x14ac:dyDescent="0.2">
      <c r="C875" s="533" t="s">
        <v>1883</v>
      </c>
      <c r="D875" s="613">
        <v>51</v>
      </c>
      <c r="E875" s="533" t="s">
        <v>1626</v>
      </c>
      <c r="G875" s="615">
        <v>150</v>
      </c>
      <c r="N875" s="624"/>
    </row>
    <row r="876" spans="3:14" ht="12.75" customHeight="1" x14ac:dyDescent="0.2">
      <c r="C876" s="533" t="s">
        <v>1883</v>
      </c>
      <c r="E876" s="527" t="s">
        <v>1722</v>
      </c>
      <c r="G876" s="615">
        <v>166</v>
      </c>
    </row>
  </sheetData>
  <sortState xmlns:xlrd2="http://schemas.microsoft.com/office/spreadsheetml/2017/richdata2" ref="A709:AU714">
    <sortCondition ref="N709:N714"/>
    <sortCondition ref="C709:C714"/>
  </sortState>
  <phoneticPr fontId="0" type="noConversion"/>
  <pageMargins left="0.75" right="0.75" top="1" bottom="1" header="0.5" footer="0.5"/>
  <pageSetup orientation="portrait" horizontalDpi="1200" verticalDpi="12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K66"/>
  <sheetViews>
    <sheetView zoomScale="150" workbookViewId="0">
      <pane ySplit="1" topLeftCell="A42" activePane="bottomLeft" state="frozen"/>
      <selection pane="bottomLeft" activeCell="C54" sqref="C54"/>
    </sheetView>
  </sheetViews>
  <sheetFormatPr defaultRowHeight="12.75" x14ac:dyDescent="0.2"/>
  <cols>
    <col min="1" max="1" width="8.5" bestFit="1" customWidth="1"/>
    <col min="2" max="2" width="7.1640625" bestFit="1" customWidth="1"/>
    <col min="3" max="3" width="9.6640625" bestFit="1" customWidth="1"/>
    <col min="4" max="4" width="9.6640625" style="63" bestFit="1" customWidth="1"/>
    <col min="5" max="5" width="9.33203125" style="63"/>
    <col min="6" max="7" width="9.33203125" style="30"/>
    <col min="8" max="8" width="9.33203125" style="31"/>
    <col min="9" max="9" width="20.6640625" bestFit="1" customWidth="1"/>
    <col min="10" max="10" width="10.6640625" bestFit="1" customWidth="1"/>
  </cols>
  <sheetData>
    <row r="1" spans="1:11" x14ac:dyDescent="0.2">
      <c r="D1" s="232" t="s">
        <v>896</v>
      </c>
      <c r="E1" s="232" t="s">
        <v>1039</v>
      </c>
      <c r="F1" s="233" t="s">
        <v>998</v>
      </c>
      <c r="G1" s="233" t="s">
        <v>921</v>
      </c>
      <c r="H1" s="125" t="s">
        <v>922</v>
      </c>
      <c r="J1" t="s">
        <v>671</v>
      </c>
      <c r="K1" t="s">
        <v>1043</v>
      </c>
    </row>
    <row r="2" spans="1:11" x14ac:dyDescent="0.2">
      <c r="D2" s="232"/>
      <c r="E2" s="232"/>
      <c r="F2" s="233"/>
      <c r="G2" s="34">
        <f>SUM(G3:G54)</f>
        <v>9550.31</v>
      </c>
      <c r="H2" s="125"/>
      <c r="K2" s="35">
        <f>SUM(K3:K54)</f>
        <v>54</v>
      </c>
    </row>
    <row r="3" spans="1:11" x14ac:dyDescent="0.2">
      <c r="A3" t="s">
        <v>755</v>
      </c>
      <c r="B3">
        <v>303</v>
      </c>
      <c r="D3" s="63">
        <v>6.9400000000000003E-2</v>
      </c>
      <c r="E3" s="63">
        <v>6.7000000000000004E-2</v>
      </c>
      <c r="G3" s="242">
        <v>125</v>
      </c>
      <c r="H3" s="31">
        <f t="shared" ref="H3:H10" si="0">G3/D3</f>
        <v>1801.1527377521613</v>
      </c>
      <c r="I3" t="s">
        <v>940</v>
      </c>
      <c r="J3" t="s">
        <v>1041</v>
      </c>
      <c r="K3" s="189">
        <v>2</v>
      </c>
    </row>
    <row r="4" spans="1:11" x14ac:dyDescent="0.2">
      <c r="A4" t="s">
        <v>755</v>
      </c>
      <c r="B4">
        <v>305</v>
      </c>
      <c r="D4" s="63">
        <v>4.4699999999999997E-2</v>
      </c>
      <c r="E4" s="63">
        <v>4.3999999999999997E-2</v>
      </c>
      <c r="G4" s="242">
        <v>70</v>
      </c>
      <c r="H4" s="31">
        <f t="shared" si="0"/>
        <v>1565.9955257270694</v>
      </c>
      <c r="I4" t="s">
        <v>940</v>
      </c>
      <c r="J4" t="s">
        <v>1041</v>
      </c>
      <c r="K4" s="189">
        <v>2</v>
      </c>
    </row>
    <row r="5" spans="1:11" x14ac:dyDescent="0.2">
      <c r="A5" t="s">
        <v>755</v>
      </c>
      <c r="B5">
        <v>306</v>
      </c>
      <c r="D5" s="63">
        <v>0.1426</v>
      </c>
      <c r="E5" s="63">
        <v>8.6999999999999994E-2</v>
      </c>
      <c r="G5" s="242">
        <v>165</v>
      </c>
      <c r="H5" s="31">
        <f t="shared" si="0"/>
        <v>1157.0827489481067</v>
      </c>
      <c r="I5" t="s">
        <v>940</v>
      </c>
      <c r="J5" t="s">
        <v>1041</v>
      </c>
      <c r="K5" s="189">
        <v>3</v>
      </c>
    </row>
    <row r="6" spans="1:11" x14ac:dyDescent="0.2">
      <c r="A6" t="s">
        <v>755</v>
      </c>
      <c r="B6">
        <v>309</v>
      </c>
      <c r="D6" s="63">
        <v>0.10199999999999999</v>
      </c>
      <c r="E6" s="63">
        <v>6.4000000000000001E-2</v>
      </c>
      <c r="G6" s="242">
        <v>155</v>
      </c>
      <c r="H6" s="31">
        <f t="shared" si="0"/>
        <v>1519.607843137255</v>
      </c>
      <c r="I6" t="s">
        <v>940</v>
      </c>
      <c r="J6" t="s">
        <v>1041</v>
      </c>
      <c r="K6" s="189">
        <v>2</v>
      </c>
    </row>
    <row r="7" spans="1:11" x14ac:dyDescent="0.2">
      <c r="A7" t="s">
        <v>755</v>
      </c>
      <c r="B7">
        <v>908</v>
      </c>
      <c r="D7" s="63">
        <v>0.1183</v>
      </c>
      <c r="E7" s="63">
        <v>0.115</v>
      </c>
      <c r="G7" s="242">
        <v>155</v>
      </c>
      <c r="H7" s="31">
        <f t="shared" si="0"/>
        <v>1310.2282333051564</v>
      </c>
      <c r="I7" t="s">
        <v>940</v>
      </c>
      <c r="J7" t="s">
        <v>1041</v>
      </c>
      <c r="K7" s="189">
        <v>4</v>
      </c>
    </row>
    <row r="8" spans="1:11" x14ac:dyDescent="0.2">
      <c r="A8" t="s">
        <v>755</v>
      </c>
      <c r="B8">
        <v>1085</v>
      </c>
      <c r="D8" s="63">
        <v>0.1104</v>
      </c>
      <c r="E8" s="63">
        <v>0.108</v>
      </c>
      <c r="G8" s="242">
        <v>155</v>
      </c>
      <c r="H8" s="31">
        <f t="shared" si="0"/>
        <v>1403.9855072463768</v>
      </c>
      <c r="I8" t="s">
        <v>940</v>
      </c>
      <c r="J8" t="s">
        <v>1041</v>
      </c>
      <c r="K8" s="189">
        <v>4</v>
      </c>
    </row>
    <row r="9" spans="1:11" x14ac:dyDescent="0.2">
      <c r="G9" s="243"/>
      <c r="K9" s="189"/>
    </row>
    <row r="10" spans="1:11" x14ac:dyDescent="0.2">
      <c r="A10" t="s">
        <v>755</v>
      </c>
      <c r="B10">
        <v>280</v>
      </c>
      <c r="D10" s="63">
        <v>0.2571</v>
      </c>
      <c r="E10" s="63">
        <v>0.10299999999999999</v>
      </c>
      <c r="G10" s="244">
        <v>305</v>
      </c>
      <c r="H10" s="31">
        <f t="shared" si="0"/>
        <v>1186.3088292493194</v>
      </c>
      <c r="I10" t="s">
        <v>945</v>
      </c>
      <c r="J10" t="s">
        <v>1041</v>
      </c>
      <c r="K10" s="189">
        <v>4</v>
      </c>
    </row>
    <row r="11" spans="1:11" x14ac:dyDescent="0.2">
      <c r="G11" s="244"/>
      <c r="K11" s="189"/>
    </row>
    <row r="12" spans="1:11" x14ac:dyDescent="0.2">
      <c r="A12" t="s">
        <v>755</v>
      </c>
      <c r="B12">
        <v>305</v>
      </c>
      <c r="D12" s="63">
        <v>3.7999999999999999E-2</v>
      </c>
      <c r="E12" s="63">
        <v>3.6999999999999998E-2</v>
      </c>
      <c r="G12" s="244">
        <v>95</v>
      </c>
      <c r="H12" s="31">
        <f>G12/D12</f>
        <v>2500</v>
      </c>
      <c r="I12" t="s">
        <v>944</v>
      </c>
      <c r="J12" t="s">
        <v>1027</v>
      </c>
      <c r="K12" s="189">
        <v>2</v>
      </c>
    </row>
    <row r="13" spans="1:11" x14ac:dyDescent="0.2">
      <c r="G13" s="244"/>
      <c r="K13" s="189"/>
    </row>
    <row r="14" spans="1:11" x14ac:dyDescent="0.2">
      <c r="A14" t="s">
        <v>755</v>
      </c>
      <c r="B14">
        <v>961</v>
      </c>
      <c r="D14" s="63">
        <v>0.54310000000000003</v>
      </c>
      <c r="E14" s="63">
        <v>0.23200000000000001</v>
      </c>
      <c r="G14" s="244">
        <f>554+12</f>
        <v>566</v>
      </c>
      <c r="H14" s="31">
        <f>G14/D14</f>
        <v>1042.1653470815688</v>
      </c>
      <c r="I14" t="s">
        <v>943</v>
      </c>
      <c r="J14" t="s">
        <v>1041</v>
      </c>
      <c r="K14" s="189">
        <v>8</v>
      </c>
    </row>
    <row r="15" spans="1:11" x14ac:dyDescent="0.2">
      <c r="G15" s="244"/>
      <c r="K15" s="189"/>
    </row>
    <row r="16" spans="1:11" x14ac:dyDescent="0.2">
      <c r="A16" t="s">
        <v>755</v>
      </c>
      <c r="B16">
        <v>910</v>
      </c>
      <c r="D16" s="63">
        <f>0.092+0.0412+0.0119</f>
        <v>0.14509999999999998</v>
      </c>
      <c r="E16" s="63">
        <f>0.055+0.052</f>
        <v>0.107</v>
      </c>
      <c r="G16" s="244">
        <v>218.24733225283626</v>
      </c>
      <c r="H16" s="31">
        <f>G16/D16</f>
        <v>1504.1166936790924</v>
      </c>
      <c r="I16" t="s">
        <v>941</v>
      </c>
      <c r="J16" t="s">
        <v>1042</v>
      </c>
      <c r="K16" s="189">
        <v>5</v>
      </c>
    </row>
    <row r="17" spans="1:11" x14ac:dyDescent="0.2">
      <c r="A17" t="s">
        <v>755</v>
      </c>
      <c r="B17">
        <v>911</v>
      </c>
      <c r="D17" s="63">
        <f>0.0455+0.0279+0.0287+0.0613</f>
        <v>0.16339999999999999</v>
      </c>
      <c r="E17" s="63">
        <f>0.051+0.045</f>
        <v>9.6000000000000002E-2</v>
      </c>
      <c r="G17" s="244">
        <v>245.77266774716367</v>
      </c>
      <c r="H17" s="31">
        <f>G17/D17</f>
        <v>1504.1166936790924</v>
      </c>
      <c r="I17" t="s">
        <v>941</v>
      </c>
      <c r="J17" t="s">
        <v>1042</v>
      </c>
      <c r="K17" s="189">
        <v>4</v>
      </c>
    </row>
    <row r="18" spans="1:11" x14ac:dyDescent="0.2">
      <c r="G18" s="244"/>
      <c r="K18" s="189"/>
    </row>
    <row r="19" spans="1:11" x14ac:dyDescent="0.2">
      <c r="A19" t="s">
        <v>957</v>
      </c>
      <c r="B19">
        <v>996</v>
      </c>
      <c r="D19" s="63">
        <v>0.43830000000000002</v>
      </c>
      <c r="G19" s="244">
        <v>765</v>
      </c>
      <c r="H19" s="31">
        <f>G19/D19</f>
        <v>1745.3798767967146</v>
      </c>
      <c r="I19" t="s">
        <v>942</v>
      </c>
      <c r="J19" t="s">
        <v>1041</v>
      </c>
      <c r="K19" s="189">
        <v>9</v>
      </c>
    </row>
    <row r="20" spans="1:11" x14ac:dyDescent="0.2">
      <c r="G20" s="242"/>
      <c r="K20" s="189"/>
    </row>
    <row r="21" spans="1:11" x14ac:dyDescent="0.2">
      <c r="A21" t="s">
        <v>755</v>
      </c>
      <c r="B21">
        <v>1084</v>
      </c>
      <c r="D21" s="63">
        <v>2.5000000000000001E-2</v>
      </c>
      <c r="E21" s="63" t="s">
        <v>1040</v>
      </c>
      <c r="G21" s="242">
        <v>95.19</v>
      </c>
      <c r="H21" s="31">
        <f>G21/D21</f>
        <v>3807.6</v>
      </c>
      <c r="I21" t="s">
        <v>977</v>
      </c>
      <c r="K21" s="189"/>
    </row>
    <row r="22" spans="1:11" x14ac:dyDescent="0.2">
      <c r="A22" t="s">
        <v>755</v>
      </c>
      <c r="B22">
        <v>1084</v>
      </c>
      <c r="D22" s="63">
        <v>0.15</v>
      </c>
      <c r="E22" s="63">
        <v>0.13500000000000001</v>
      </c>
      <c r="F22" s="30">
        <v>500</v>
      </c>
      <c r="G22" s="239">
        <v>614.53</v>
      </c>
      <c r="H22" s="31">
        <f>G22/D22</f>
        <v>4096.8666666666668</v>
      </c>
      <c r="I22" t="s">
        <v>1018</v>
      </c>
      <c r="J22" t="s">
        <v>1041</v>
      </c>
      <c r="K22" s="189">
        <v>5</v>
      </c>
    </row>
    <row r="23" spans="1:11" x14ac:dyDescent="0.2">
      <c r="G23" s="242"/>
      <c r="K23" s="189"/>
    </row>
    <row r="24" spans="1:11" x14ac:dyDescent="0.2">
      <c r="A24" t="s">
        <v>755</v>
      </c>
      <c r="B24">
        <v>305</v>
      </c>
      <c r="C24" t="s">
        <v>1002</v>
      </c>
      <c r="D24" s="63">
        <v>0.54800000000000004</v>
      </c>
      <c r="G24" s="242">
        <v>519</v>
      </c>
      <c r="H24" s="31">
        <f>G24/D24</f>
        <v>947.08029197080282</v>
      </c>
      <c r="I24" t="s">
        <v>1019</v>
      </c>
      <c r="K24" s="189"/>
    </row>
    <row r="25" spans="1:11" x14ac:dyDescent="0.2">
      <c r="G25" s="242"/>
      <c r="K25" s="189"/>
    </row>
    <row r="26" spans="1:11" x14ac:dyDescent="0.2">
      <c r="A26" t="s">
        <v>755</v>
      </c>
      <c r="B26">
        <v>287</v>
      </c>
      <c r="C26" t="s">
        <v>1064</v>
      </c>
      <c r="D26" s="63">
        <v>0.23</v>
      </c>
      <c r="G26" s="242">
        <f>690*0.85</f>
        <v>586.5</v>
      </c>
      <c r="H26" s="31">
        <f>G26/D26</f>
        <v>2550</v>
      </c>
      <c r="I26" t="s">
        <v>973</v>
      </c>
      <c r="K26" s="189"/>
    </row>
    <row r="27" spans="1:11" x14ac:dyDescent="0.2">
      <c r="G27" s="242"/>
      <c r="K27" s="189"/>
    </row>
    <row r="28" spans="1:11" x14ac:dyDescent="0.2">
      <c r="A28" t="s">
        <v>755</v>
      </c>
      <c r="B28" s="41" t="s">
        <v>1062</v>
      </c>
      <c r="C28" s="41" t="s">
        <v>1064</v>
      </c>
      <c r="D28" s="63">
        <v>6.6500000000000004E-2</v>
      </c>
      <c r="G28" s="242">
        <f>0.96*232</f>
        <v>222.72</v>
      </c>
      <c r="H28" s="31">
        <f t="shared" ref="H28:H33" si="1">G28/D28</f>
        <v>3349.1729323308268</v>
      </c>
      <c r="I28" t="s">
        <v>942</v>
      </c>
      <c r="K28" s="189"/>
    </row>
    <row r="29" spans="1:11" x14ac:dyDescent="0.2">
      <c r="A29" t="s">
        <v>755</v>
      </c>
      <c r="B29">
        <v>302</v>
      </c>
      <c r="C29" t="s">
        <v>1002</v>
      </c>
      <c r="D29" s="63">
        <v>8.6999999999999994E-2</v>
      </c>
      <c r="G29" s="242">
        <f>0.96*310</f>
        <v>297.59999999999997</v>
      </c>
      <c r="H29" s="31">
        <f t="shared" si="1"/>
        <v>3420.6896551724135</v>
      </c>
      <c r="I29" t="s">
        <v>942</v>
      </c>
      <c r="K29" s="189"/>
    </row>
    <row r="30" spans="1:11" x14ac:dyDescent="0.2">
      <c r="A30" t="s">
        <v>755</v>
      </c>
      <c r="B30">
        <v>310</v>
      </c>
      <c r="C30" t="s">
        <v>1002</v>
      </c>
      <c r="D30" s="63">
        <v>0.29499999999999998</v>
      </c>
      <c r="G30" s="242">
        <f>0.96*440</f>
        <v>422.4</v>
      </c>
      <c r="H30" s="31">
        <f t="shared" si="1"/>
        <v>1431.8644067796611</v>
      </c>
      <c r="I30" t="s">
        <v>942</v>
      </c>
      <c r="K30" s="189"/>
    </row>
    <row r="31" spans="1:11" x14ac:dyDescent="0.2">
      <c r="A31" t="s">
        <v>755</v>
      </c>
      <c r="B31">
        <v>490</v>
      </c>
      <c r="C31" s="188" t="s">
        <v>1002</v>
      </c>
      <c r="D31" s="63">
        <v>9.9000000000000005E-2</v>
      </c>
      <c r="G31" s="242">
        <f>0.96*380</f>
        <v>364.8</v>
      </c>
      <c r="H31" s="31">
        <f t="shared" si="1"/>
        <v>3684.848484848485</v>
      </c>
      <c r="I31" t="s">
        <v>942</v>
      </c>
      <c r="K31" s="189"/>
    </row>
    <row r="32" spans="1:11" x14ac:dyDescent="0.2">
      <c r="A32" t="s">
        <v>755</v>
      </c>
      <c r="B32">
        <v>733</v>
      </c>
      <c r="C32" s="250" t="s">
        <v>1002</v>
      </c>
      <c r="D32" s="63">
        <v>0.03</v>
      </c>
      <c r="G32" s="242">
        <f>0.96*44</f>
        <v>42.239999999999995</v>
      </c>
      <c r="H32" s="31">
        <f t="shared" si="1"/>
        <v>1407.9999999999998</v>
      </c>
      <c r="I32" t="s">
        <v>942</v>
      </c>
      <c r="K32" s="189"/>
    </row>
    <row r="33" spans="1:11" x14ac:dyDescent="0.2">
      <c r="A33" t="s">
        <v>755</v>
      </c>
      <c r="B33">
        <v>925</v>
      </c>
      <c r="C33" t="s">
        <v>1065</v>
      </c>
      <c r="D33" s="63">
        <v>5.1999999999999998E-2</v>
      </c>
      <c r="G33" s="242">
        <f>0.96*70</f>
        <v>67.2</v>
      </c>
      <c r="H33" s="31">
        <f t="shared" si="1"/>
        <v>1292.3076923076924</v>
      </c>
      <c r="I33" t="s">
        <v>942</v>
      </c>
      <c r="K33" s="189"/>
    </row>
    <row r="34" spans="1:11" x14ac:dyDescent="0.2">
      <c r="G34" s="242"/>
      <c r="K34" s="189"/>
    </row>
    <row r="35" spans="1:11" x14ac:dyDescent="0.2">
      <c r="A35" t="s">
        <v>1044</v>
      </c>
      <c r="B35">
        <v>479</v>
      </c>
      <c r="G35" s="242"/>
      <c r="I35" s="238" t="s">
        <v>1045</v>
      </c>
      <c r="K35" s="189"/>
    </row>
    <row r="36" spans="1:11" x14ac:dyDescent="0.2">
      <c r="G36" s="242"/>
      <c r="K36" s="189"/>
    </row>
    <row r="37" spans="1:11" x14ac:dyDescent="0.2">
      <c r="A37" t="s">
        <v>957</v>
      </c>
      <c r="B37">
        <v>400</v>
      </c>
      <c r="D37" s="63">
        <v>0.22</v>
      </c>
      <c r="G37" s="242">
        <v>137.5</v>
      </c>
      <c r="I37" s="238" t="s">
        <v>1068</v>
      </c>
      <c r="K37" s="189"/>
    </row>
    <row r="38" spans="1:11" x14ac:dyDescent="0.2">
      <c r="A38" t="s">
        <v>957</v>
      </c>
      <c r="B38">
        <v>400</v>
      </c>
      <c r="D38" s="63">
        <v>0.15</v>
      </c>
      <c r="G38" s="242">
        <v>77.25</v>
      </c>
      <c r="I38" s="238" t="s">
        <v>1068</v>
      </c>
      <c r="K38" s="189"/>
    </row>
    <row r="39" spans="1:11" x14ac:dyDescent="0.2">
      <c r="A39" t="s">
        <v>957</v>
      </c>
      <c r="B39">
        <v>400</v>
      </c>
      <c r="D39" s="63">
        <v>0.1</v>
      </c>
      <c r="G39" s="242">
        <v>52.5</v>
      </c>
      <c r="I39" s="238" t="s">
        <v>1068</v>
      </c>
      <c r="K39" s="189"/>
    </row>
    <row r="40" spans="1:11" x14ac:dyDescent="0.2">
      <c r="G40" s="242"/>
      <c r="K40" s="189"/>
    </row>
    <row r="41" spans="1:11" x14ac:dyDescent="0.2">
      <c r="A41" t="s">
        <v>755</v>
      </c>
      <c r="B41">
        <v>301</v>
      </c>
      <c r="C41" s="188" t="s">
        <v>1002</v>
      </c>
      <c r="D41" s="63">
        <v>0.72</v>
      </c>
      <c r="G41" s="242">
        <v>682.5</v>
      </c>
      <c r="H41" s="31">
        <f>G41/D41</f>
        <v>947.91666666666674</v>
      </c>
      <c r="I41" t="s">
        <v>1063</v>
      </c>
      <c r="K41" s="189"/>
    </row>
    <row r="42" spans="1:11" x14ac:dyDescent="0.2">
      <c r="G42" s="242"/>
      <c r="K42" s="189"/>
    </row>
    <row r="43" spans="1:11" x14ac:dyDescent="0.2">
      <c r="A43" t="s">
        <v>755</v>
      </c>
      <c r="B43">
        <v>304</v>
      </c>
      <c r="C43" s="188" t="s">
        <v>1002</v>
      </c>
      <c r="D43" s="63">
        <v>2.8000000000000001E-2</v>
      </c>
      <c r="G43" s="242">
        <f>75*0.96</f>
        <v>72</v>
      </c>
      <c r="H43" s="31">
        <f>G43/D43</f>
        <v>2571.4285714285716</v>
      </c>
      <c r="I43" t="s">
        <v>942</v>
      </c>
      <c r="K43" s="189"/>
    </row>
    <row r="44" spans="1:11" x14ac:dyDescent="0.2">
      <c r="A44" t="s">
        <v>755</v>
      </c>
      <c r="B44">
        <v>489</v>
      </c>
      <c r="C44" s="188" t="s">
        <v>1002</v>
      </c>
      <c r="D44" s="63">
        <v>0.38400000000000001</v>
      </c>
      <c r="G44" s="242">
        <f>725*0.96</f>
        <v>696</v>
      </c>
      <c r="H44" s="31">
        <f>G44/D44</f>
        <v>1812.5</v>
      </c>
      <c r="I44" t="s">
        <v>942</v>
      </c>
      <c r="K44" s="189"/>
    </row>
    <row r="45" spans="1:11" x14ac:dyDescent="0.2">
      <c r="G45" s="242"/>
      <c r="K45" s="189"/>
    </row>
    <row r="46" spans="1:11" x14ac:dyDescent="0.2">
      <c r="A46" t="s">
        <v>755</v>
      </c>
      <c r="B46">
        <v>26</v>
      </c>
      <c r="D46" s="63">
        <v>0.17810000000000001</v>
      </c>
      <c r="F46" s="30">
        <v>119.39</v>
      </c>
      <c r="G46" s="242">
        <v>154.36000000000001</v>
      </c>
      <c r="H46" s="31">
        <f>G46/D46</f>
        <v>866.70409882088722</v>
      </c>
      <c r="I46" t="s">
        <v>973</v>
      </c>
      <c r="K46" s="189"/>
    </row>
    <row r="47" spans="1:11" x14ac:dyDescent="0.2">
      <c r="G47" s="242"/>
      <c r="K47" s="189"/>
    </row>
    <row r="48" spans="1:11" x14ac:dyDescent="0.2">
      <c r="A48" t="s">
        <v>1044</v>
      </c>
      <c r="B48">
        <v>3163</v>
      </c>
      <c r="C48" t="s">
        <v>1242</v>
      </c>
      <c r="D48" s="322">
        <v>1.234</v>
      </c>
      <c r="E48" s="63" t="s">
        <v>1236</v>
      </c>
      <c r="G48" s="242">
        <v>740</v>
      </c>
      <c r="H48" s="31">
        <f>G48/D48</f>
        <v>599.67585089141005</v>
      </c>
      <c r="I48" t="s">
        <v>1237</v>
      </c>
      <c r="K48" s="189"/>
    </row>
    <row r="49" spans="1:11" x14ac:dyDescent="0.2">
      <c r="G49" s="242"/>
      <c r="K49" s="189"/>
    </row>
    <row r="50" spans="1:11" x14ac:dyDescent="0.2">
      <c r="A50" t="s">
        <v>755</v>
      </c>
      <c r="B50">
        <v>1085</v>
      </c>
      <c r="G50" s="242"/>
      <c r="H50" s="31" t="e">
        <f>G50/D50</f>
        <v>#DIV/0!</v>
      </c>
      <c r="K50" s="189"/>
    </row>
    <row r="51" spans="1:11" x14ac:dyDescent="0.2">
      <c r="G51" s="242"/>
      <c r="K51" s="189"/>
    </row>
    <row r="52" spans="1:11" x14ac:dyDescent="0.2">
      <c r="A52" t="s">
        <v>755</v>
      </c>
      <c r="B52">
        <v>279</v>
      </c>
      <c r="D52" s="63">
        <v>0.24</v>
      </c>
      <c r="E52" s="63" t="s">
        <v>1236</v>
      </c>
      <c r="G52" s="242">
        <v>484</v>
      </c>
      <c r="H52" s="31">
        <f>G52/D52</f>
        <v>2016.6666666666667</v>
      </c>
      <c r="K52" s="189"/>
    </row>
    <row r="53" spans="1:11" x14ac:dyDescent="0.2">
      <c r="G53" s="242"/>
      <c r="K53" s="189"/>
    </row>
    <row r="54" spans="1:11" x14ac:dyDescent="0.2">
      <c r="A54" t="s">
        <v>755</v>
      </c>
      <c r="B54">
        <v>302</v>
      </c>
      <c r="C54" t="s">
        <v>824</v>
      </c>
      <c r="D54" s="63">
        <f>0.047</f>
        <v>4.7E-2</v>
      </c>
      <c r="G54" s="242">
        <v>202</v>
      </c>
      <c r="H54" s="31">
        <f>G54/D54</f>
        <v>4297.8723404255315</v>
      </c>
      <c r="K54" s="189"/>
    </row>
    <row r="56" spans="1:11" x14ac:dyDescent="0.2">
      <c r="A56" t="s">
        <v>1243</v>
      </c>
      <c r="B56">
        <v>300</v>
      </c>
      <c r="D56" s="63">
        <f>0.091</f>
        <v>9.0999999999999998E-2</v>
      </c>
      <c r="G56" s="30">
        <v>273</v>
      </c>
      <c r="H56" s="31">
        <f>G56/D56</f>
        <v>3000</v>
      </c>
    </row>
    <row r="58" spans="1:11" x14ac:dyDescent="0.2">
      <c r="A58" s="2" t="s">
        <v>1044</v>
      </c>
      <c r="B58">
        <v>6888</v>
      </c>
      <c r="D58" s="63">
        <v>0.63819999999999999</v>
      </c>
      <c r="G58" s="30">
        <v>806.99</v>
      </c>
      <c r="H58" s="31">
        <f>G58/D58</f>
        <v>1264.4782199937324</v>
      </c>
    </row>
    <row r="60" spans="1:11" x14ac:dyDescent="0.2">
      <c r="A60" s="2" t="s">
        <v>1044</v>
      </c>
      <c r="B60">
        <v>10203</v>
      </c>
      <c r="D60" s="63">
        <v>0.46779999999999999</v>
      </c>
      <c r="G60" s="30">
        <v>112</v>
      </c>
      <c r="H60" s="31">
        <f>G60/D60</f>
        <v>239.4185549380077</v>
      </c>
      <c r="I60" t="s">
        <v>2013</v>
      </c>
    </row>
    <row r="62" spans="1:11" x14ac:dyDescent="0.2">
      <c r="A62" t="s">
        <v>1044</v>
      </c>
      <c r="B62">
        <v>8687</v>
      </c>
      <c r="D62" s="63">
        <v>0.46650000000000003</v>
      </c>
      <c r="G62" s="30">
        <v>108</v>
      </c>
      <c r="H62" s="31">
        <f>G62/D62</f>
        <v>231.51125401929258</v>
      </c>
      <c r="I62" t="s">
        <v>2014</v>
      </c>
    </row>
    <row r="64" spans="1:11" x14ac:dyDescent="0.2">
      <c r="A64" s="2" t="s">
        <v>1044</v>
      </c>
      <c r="B64">
        <v>10902</v>
      </c>
    </row>
    <row r="66" spans="1:2" x14ac:dyDescent="0.2">
      <c r="A66" s="2" t="s">
        <v>2304</v>
      </c>
      <c r="B66" s="527">
        <v>10782</v>
      </c>
    </row>
  </sheetData>
  <phoneticPr fontId="32" type="noConversion"/>
  <hyperlinks>
    <hyperlink ref="I35" r:id="rId1" xr:uid="{00000000-0004-0000-0900-000000000000}"/>
    <hyperlink ref="I37" r:id="rId2" xr:uid="{00000000-0004-0000-0900-000001000000}"/>
    <hyperlink ref="I38" r:id="rId3" xr:uid="{00000000-0004-0000-0900-000002000000}"/>
    <hyperlink ref="I39" r:id="rId4" xr:uid="{00000000-0004-0000-0900-000003000000}"/>
  </hyperlinks>
  <pageMargins left="0.25" right="0.25" top="0.59" bottom="0.53" header="0.5" footer="0.5"/>
  <pageSetup orientation="portrait" r:id="rId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Q156"/>
  <sheetViews>
    <sheetView zoomScale="150" zoomScaleNormal="150" workbookViewId="0">
      <pane xSplit="1" ySplit="1" topLeftCell="B58" activePane="bottomRight" state="frozen"/>
      <selection pane="topRight" activeCell="B1" sqref="B1"/>
      <selection pane="bottomLeft" activeCell="A2" sqref="A2"/>
      <selection pane="bottomRight" activeCell="J63" sqref="J63"/>
    </sheetView>
  </sheetViews>
  <sheetFormatPr defaultRowHeight="15" x14ac:dyDescent="0.25"/>
  <cols>
    <col min="1" max="1" width="21.33203125" style="692" bestFit="1" customWidth="1"/>
    <col min="2" max="2" width="5" style="692" bestFit="1" customWidth="1"/>
    <col min="3" max="3" width="7.83203125" style="692" bestFit="1" customWidth="1"/>
    <col min="4" max="4" width="30.1640625" style="683" customWidth="1"/>
    <col min="5" max="5" width="4.1640625" style="683" bestFit="1" customWidth="1"/>
    <col min="6" max="6" width="9.5" style="696" bestFit="1" customWidth="1"/>
    <col min="7" max="7" width="10.6640625" style="689" bestFit="1" customWidth="1"/>
    <col min="8" max="9" width="9.33203125" style="683"/>
    <col min="10" max="10" width="16.1640625" style="689" bestFit="1" customWidth="1"/>
    <col min="11" max="11" width="10.1640625" style="689" bestFit="1" customWidth="1"/>
    <col min="12" max="12" width="11.6640625" style="689" bestFit="1" customWidth="1"/>
    <col min="13" max="258" width="9.33203125" style="683"/>
    <col min="259" max="259" width="12.33203125" style="683" bestFit="1" customWidth="1"/>
    <col min="260" max="260" width="27.33203125" style="683" customWidth="1"/>
    <col min="261" max="261" width="4.1640625" style="683" bestFit="1" customWidth="1"/>
    <col min="262" max="262" width="9.5" style="683" bestFit="1" customWidth="1"/>
    <col min="263" max="263" width="10.6640625" style="683" bestFit="1" customWidth="1"/>
    <col min="264" max="265" width="9.33203125" style="683"/>
    <col min="266" max="266" width="16.1640625" style="683" bestFit="1" customWidth="1"/>
    <col min="267" max="267" width="10.1640625" style="683" bestFit="1" customWidth="1"/>
    <col min="268" max="268" width="11.6640625" style="683" bestFit="1" customWidth="1"/>
    <col min="269" max="514" width="9.33203125" style="683"/>
    <col min="515" max="515" width="12.33203125" style="683" bestFit="1" customWidth="1"/>
    <col min="516" max="516" width="27.33203125" style="683" customWidth="1"/>
    <col min="517" max="517" width="4.1640625" style="683" bestFit="1" customWidth="1"/>
    <col min="518" max="518" width="9.5" style="683" bestFit="1" customWidth="1"/>
    <col min="519" max="519" width="10.6640625" style="683" bestFit="1" customWidth="1"/>
    <col min="520" max="521" width="9.33203125" style="683"/>
    <col min="522" max="522" width="16.1640625" style="683" bestFit="1" customWidth="1"/>
    <col min="523" max="523" width="10.1640625" style="683" bestFit="1" customWidth="1"/>
    <col min="524" max="524" width="11.6640625" style="683" bestFit="1" customWidth="1"/>
    <col min="525" max="770" width="9.33203125" style="683"/>
    <col min="771" max="771" width="12.33203125" style="683" bestFit="1" customWidth="1"/>
    <col min="772" max="772" width="27.33203125" style="683" customWidth="1"/>
    <col min="773" max="773" width="4.1640625" style="683" bestFit="1" customWidth="1"/>
    <col min="774" max="774" width="9.5" style="683" bestFit="1" customWidth="1"/>
    <col min="775" max="775" width="10.6640625" style="683" bestFit="1" customWidth="1"/>
    <col min="776" max="777" width="9.33203125" style="683"/>
    <col min="778" max="778" width="16.1640625" style="683" bestFit="1" customWidth="1"/>
    <col min="779" max="779" width="10.1640625" style="683" bestFit="1" customWidth="1"/>
    <col min="780" max="780" width="11.6640625" style="683" bestFit="1" customWidth="1"/>
    <col min="781" max="1026" width="9.33203125" style="683"/>
    <col min="1027" max="1027" width="12.33203125" style="683" bestFit="1" customWidth="1"/>
    <col min="1028" max="1028" width="27.33203125" style="683" customWidth="1"/>
    <col min="1029" max="1029" width="4.1640625" style="683" bestFit="1" customWidth="1"/>
    <col min="1030" max="1030" width="9.5" style="683" bestFit="1" customWidth="1"/>
    <col min="1031" max="1031" width="10.6640625" style="683" bestFit="1" customWidth="1"/>
    <col min="1032" max="1033" width="9.33203125" style="683"/>
    <col min="1034" max="1034" width="16.1640625" style="683" bestFit="1" customWidth="1"/>
    <col min="1035" max="1035" width="10.1640625" style="683" bestFit="1" customWidth="1"/>
    <col min="1036" max="1036" width="11.6640625" style="683" bestFit="1" customWidth="1"/>
    <col min="1037" max="1282" width="9.33203125" style="683"/>
    <col min="1283" max="1283" width="12.33203125" style="683" bestFit="1" customWidth="1"/>
    <col min="1284" max="1284" width="27.33203125" style="683" customWidth="1"/>
    <col min="1285" max="1285" width="4.1640625" style="683" bestFit="1" customWidth="1"/>
    <col min="1286" max="1286" width="9.5" style="683" bestFit="1" customWidth="1"/>
    <col min="1287" max="1287" width="10.6640625" style="683" bestFit="1" customWidth="1"/>
    <col min="1288" max="1289" width="9.33203125" style="683"/>
    <col min="1290" max="1290" width="16.1640625" style="683" bestFit="1" customWidth="1"/>
    <col min="1291" max="1291" width="10.1640625" style="683" bestFit="1" customWidth="1"/>
    <col min="1292" max="1292" width="11.6640625" style="683" bestFit="1" customWidth="1"/>
    <col min="1293" max="1538" width="9.33203125" style="683"/>
    <col min="1539" max="1539" width="12.33203125" style="683" bestFit="1" customWidth="1"/>
    <col min="1540" max="1540" width="27.33203125" style="683" customWidth="1"/>
    <col min="1541" max="1541" width="4.1640625" style="683" bestFit="1" customWidth="1"/>
    <col min="1542" max="1542" width="9.5" style="683" bestFit="1" customWidth="1"/>
    <col min="1543" max="1543" width="10.6640625" style="683" bestFit="1" customWidth="1"/>
    <col min="1544" max="1545" width="9.33203125" style="683"/>
    <col min="1546" max="1546" width="16.1640625" style="683" bestFit="1" customWidth="1"/>
    <col min="1547" max="1547" width="10.1640625" style="683" bestFit="1" customWidth="1"/>
    <col min="1548" max="1548" width="11.6640625" style="683" bestFit="1" customWidth="1"/>
    <col min="1549" max="1794" width="9.33203125" style="683"/>
    <col min="1795" max="1795" width="12.33203125" style="683" bestFit="1" customWidth="1"/>
    <col min="1796" max="1796" width="27.33203125" style="683" customWidth="1"/>
    <col min="1797" max="1797" width="4.1640625" style="683" bestFit="1" customWidth="1"/>
    <col min="1798" max="1798" width="9.5" style="683" bestFit="1" customWidth="1"/>
    <col min="1799" max="1799" width="10.6640625" style="683" bestFit="1" customWidth="1"/>
    <col min="1800" max="1801" width="9.33203125" style="683"/>
    <col min="1802" max="1802" width="16.1640625" style="683" bestFit="1" customWidth="1"/>
    <col min="1803" max="1803" width="10.1640625" style="683" bestFit="1" customWidth="1"/>
    <col min="1804" max="1804" width="11.6640625" style="683" bestFit="1" customWidth="1"/>
    <col min="1805" max="2050" width="9.33203125" style="683"/>
    <col min="2051" max="2051" width="12.33203125" style="683" bestFit="1" customWidth="1"/>
    <col min="2052" max="2052" width="27.33203125" style="683" customWidth="1"/>
    <col min="2053" max="2053" width="4.1640625" style="683" bestFit="1" customWidth="1"/>
    <col min="2054" max="2054" width="9.5" style="683" bestFit="1" customWidth="1"/>
    <col min="2055" max="2055" width="10.6640625" style="683" bestFit="1" customWidth="1"/>
    <col min="2056" max="2057" width="9.33203125" style="683"/>
    <col min="2058" max="2058" width="16.1640625" style="683" bestFit="1" customWidth="1"/>
    <col min="2059" max="2059" width="10.1640625" style="683" bestFit="1" customWidth="1"/>
    <col min="2060" max="2060" width="11.6640625" style="683" bestFit="1" customWidth="1"/>
    <col min="2061" max="2306" width="9.33203125" style="683"/>
    <col min="2307" max="2307" width="12.33203125" style="683" bestFit="1" customWidth="1"/>
    <col min="2308" max="2308" width="27.33203125" style="683" customWidth="1"/>
    <col min="2309" max="2309" width="4.1640625" style="683" bestFit="1" customWidth="1"/>
    <col min="2310" max="2310" width="9.5" style="683" bestFit="1" customWidth="1"/>
    <col min="2311" max="2311" width="10.6640625" style="683" bestFit="1" customWidth="1"/>
    <col min="2312" max="2313" width="9.33203125" style="683"/>
    <col min="2314" max="2314" width="16.1640625" style="683" bestFit="1" customWidth="1"/>
    <col min="2315" max="2315" width="10.1640625" style="683" bestFit="1" customWidth="1"/>
    <col min="2316" max="2316" width="11.6640625" style="683" bestFit="1" customWidth="1"/>
    <col min="2317" max="2562" width="9.33203125" style="683"/>
    <col min="2563" max="2563" width="12.33203125" style="683" bestFit="1" customWidth="1"/>
    <col min="2564" max="2564" width="27.33203125" style="683" customWidth="1"/>
    <col min="2565" max="2565" width="4.1640625" style="683" bestFit="1" customWidth="1"/>
    <col min="2566" max="2566" width="9.5" style="683" bestFit="1" customWidth="1"/>
    <col min="2567" max="2567" width="10.6640625" style="683" bestFit="1" customWidth="1"/>
    <col min="2568" max="2569" width="9.33203125" style="683"/>
    <col min="2570" max="2570" width="16.1640625" style="683" bestFit="1" customWidth="1"/>
    <col min="2571" max="2571" width="10.1640625" style="683" bestFit="1" customWidth="1"/>
    <col min="2572" max="2572" width="11.6640625" style="683" bestFit="1" customWidth="1"/>
    <col min="2573" max="2818" width="9.33203125" style="683"/>
    <col min="2819" max="2819" width="12.33203125" style="683" bestFit="1" customWidth="1"/>
    <col min="2820" max="2820" width="27.33203125" style="683" customWidth="1"/>
    <col min="2821" max="2821" width="4.1640625" style="683" bestFit="1" customWidth="1"/>
    <col min="2822" max="2822" width="9.5" style="683" bestFit="1" customWidth="1"/>
    <col min="2823" max="2823" width="10.6640625" style="683" bestFit="1" customWidth="1"/>
    <col min="2824" max="2825" width="9.33203125" style="683"/>
    <col min="2826" max="2826" width="16.1640625" style="683" bestFit="1" customWidth="1"/>
    <col min="2827" max="2827" width="10.1640625" style="683" bestFit="1" customWidth="1"/>
    <col min="2828" max="2828" width="11.6640625" style="683" bestFit="1" customWidth="1"/>
    <col min="2829" max="3074" width="9.33203125" style="683"/>
    <col min="3075" max="3075" width="12.33203125" style="683" bestFit="1" customWidth="1"/>
    <col min="3076" max="3076" width="27.33203125" style="683" customWidth="1"/>
    <col min="3077" max="3077" width="4.1640625" style="683" bestFit="1" customWidth="1"/>
    <col min="3078" max="3078" width="9.5" style="683" bestFit="1" customWidth="1"/>
    <col min="3079" max="3079" width="10.6640625" style="683" bestFit="1" customWidth="1"/>
    <col min="3080" max="3081" width="9.33203125" style="683"/>
    <col min="3082" max="3082" width="16.1640625" style="683" bestFit="1" customWidth="1"/>
    <col min="3083" max="3083" width="10.1640625" style="683" bestFit="1" customWidth="1"/>
    <col min="3084" max="3084" width="11.6640625" style="683" bestFit="1" customWidth="1"/>
    <col min="3085" max="3330" width="9.33203125" style="683"/>
    <col min="3331" max="3331" width="12.33203125" style="683" bestFit="1" customWidth="1"/>
    <col min="3332" max="3332" width="27.33203125" style="683" customWidth="1"/>
    <col min="3333" max="3333" width="4.1640625" style="683" bestFit="1" customWidth="1"/>
    <col min="3334" max="3334" width="9.5" style="683" bestFit="1" customWidth="1"/>
    <col min="3335" max="3335" width="10.6640625" style="683" bestFit="1" customWidth="1"/>
    <col min="3336" max="3337" width="9.33203125" style="683"/>
    <col min="3338" max="3338" width="16.1640625" style="683" bestFit="1" customWidth="1"/>
    <col min="3339" max="3339" width="10.1640625" style="683" bestFit="1" customWidth="1"/>
    <col min="3340" max="3340" width="11.6640625" style="683" bestFit="1" customWidth="1"/>
    <col min="3341" max="3586" width="9.33203125" style="683"/>
    <col min="3587" max="3587" width="12.33203125" style="683" bestFit="1" customWidth="1"/>
    <col min="3588" max="3588" width="27.33203125" style="683" customWidth="1"/>
    <col min="3589" max="3589" width="4.1640625" style="683" bestFit="1" customWidth="1"/>
    <col min="3590" max="3590" width="9.5" style="683" bestFit="1" customWidth="1"/>
    <col min="3591" max="3591" width="10.6640625" style="683" bestFit="1" customWidth="1"/>
    <col min="3592" max="3593" width="9.33203125" style="683"/>
    <col min="3594" max="3594" width="16.1640625" style="683" bestFit="1" customWidth="1"/>
    <col min="3595" max="3595" width="10.1640625" style="683" bestFit="1" customWidth="1"/>
    <col min="3596" max="3596" width="11.6640625" style="683" bestFit="1" customWidth="1"/>
    <col min="3597" max="3842" width="9.33203125" style="683"/>
    <col min="3843" max="3843" width="12.33203125" style="683" bestFit="1" customWidth="1"/>
    <col min="3844" max="3844" width="27.33203125" style="683" customWidth="1"/>
    <col min="3845" max="3845" width="4.1640625" style="683" bestFit="1" customWidth="1"/>
    <col min="3846" max="3846" width="9.5" style="683" bestFit="1" customWidth="1"/>
    <col min="3847" max="3847" width="10.6640625" style="683" bestFit="1" customWidth="1"/>
    <col min="3848" max="3849" width="9.33203125" style="683"/>
    <col min="3850" max="3850" width="16.1640625" style="683" bestFit="1" customWidth="1"/>
    <col min="3851" max="3851" width="10.1640625" style="683" bestFit="1" customWidth="1"/>
    <col min="3852" max="3852" width="11.6640625" style="683" bestFit="1" customWidth="1"/>
    <col min="3853" max="4098" width="9.33203125" style="683"/>
    <col min="4099" max="4099" width="12.33203125" style="683" bestFit="1" customWidth="1"/>
    <col min="4100" max="4100" width="27.33203125" style="683" customWidth="1"/>
    <col min="4101" max="4101" width="4.1640625" style="683" bestFit="1" customWidth="1"/>
    <col min="4102" max="4102" width="9.5" style="683" bestFit="1" customWidth="1"/>
    <col min="4103" max="4103" width="10.6640625" style="683" bestFit="1" customWidth="1"/>
    <col min="4104" max="4105" width="9.33203125" style="683"/>
    <col min="4106" max="4106" width="16.1640625" style="683" bestFit="1" customWidth="1"/>
    <col min="4107" max="4107" width="10.1640625" style="683" bestFit="1" customWidth="1"/>
    <col min="4108" max="4108" width="11.6640625" style="683" bestFit="1" customWidth="1"/>
    <col min="4109" max="4354" width="9.33203125" style="683"/>
    <col min="4355" max="4355" width="12.33203125" style="683" bestFit="1" customWidth="1"/>
    <col min="4356" max="4356" width="27.33203125" style="683" customWidth="1"/>
    <col min="4357" max="4357" width="4.1640625" style="683" bestFit="1" customWidth="1"/>
    <col min="4358" max="4358" width="9.5" style="683" bestFit="1" customWidth="1"/>
    <col min="4359" max="4359" width="10.6640625" style="683" bestFit="1" customWidth="1"/>
    <col min="4360" max="4361" width="9.33203125" style="683"/>
    <col min="4362" max="4362" width="16.1640625" style="683" bestFit="1" customWidth="1"/>
    <col min="4363" max="4363" width="10.1640625" style="683" bestFit="1" customWidth="1"/>
    <col min="4364" max="4364" width="11.6640625" style="683" bestFit="1" customWidth="1"/>
    <col min="4365" max="4610" width="9.33203125" style="683"/>
    <col min="4611" max="4611" width="12.33203125" style="683" bestFit="1" customWidth="1"/>
    <col min="4612" max="4612" width="27.33203125" style="683" customWidth="1"/>
    <col min="4613" max="4613" width="4.1640625" style="683" bestFit="1" customWidth="1"/>
    <col min="4614" max="4614" width="9.5" style="683" bestFit="1" customWidth="1"/>
    <col min="4615" max="4615" width="10.6640625" style="683" bestFit="1" customWidth="1"/>
    <col min="4616" max="4617" width="9.33203125" style="683"/>
    <col min="4618" max="4618" width="16.1640625" style="683" bestFit="1" customWidth="1"/>
    <col min="4619" max="4619" width="10.1640625" style="683" bestFit="1" customWidth="1"/>
    <col min="4620" max="4620" width="11.6640625" style="683" bestFit="1" customWidth="1"/>
    <col min="4621" max="4866" width="9.33203125" style="683"/>
    <col min="4867" max="4867" width="12.33203125" style="683" bestFit="1" customWidth="1"/>
    <col min="4868" max="4868" width="27.33203125" style="683" customWidth="1"/>
    <col min="4869" max="4869" width="4.1640625" style="683" bestFit="1" customWidth="1"/>
    <col min="4870" max="4870" width="9.5" style="683" bestFit="1" customWidth="1"/>
    <col min="4871" max="4871" width="10.6640625" style="683" bestFit="1" customWidth="1"/>
    <col min="4872" max="4873" width="9.33203125" style="683"/>
    <col min="4874" max="4874" width="16.1640625" style="683" bestFit="1" customWidth="1"/>
    <col min="4875" max="4875" width="10.1640625" style="683" bestFit="1" customWidth="1"/>
    <col min="4876" max="4876" width="11.6640625" style="683" bestFit="1" customWidth="1"/>
    <col min="4877" max="5122" width="9.33203125" style="683"/>
    <col min="5123" max="5123" width="12.33203125" style="683" bestFit="1" customWidth="1"/>
    <col min="5124" max="5124" width="27.33203125" style="683" customWidth="1"/>
    <col min="5125" max="5125" width="4.1640625" style="683" bestFit="1" customWidth="1"/>
    <col min="5126" max="5126" width="9.5" style="683" bestFit="1" customWidth="1"/>
    <col min="5127" max="5127" width="10.6640625" style="683" bestFit="1" customWidth="1"/>
    <col min="5128" max="5129" width="9.33203125" style="683"/>
    <col min="5130" max="5130" width="16.1640625" style="683" bestFit="1" customWidth="1"/>
    <col min="5131" max="5131" width="10.1640625" style="683" bestFit="1" customWidth="1"/>
    <col min="5132" max="5132" width="11.6640625" style="683" bestFit="1" customWidth="1"/>
    <col min="5133" max="5378" width="9.33203125" style="683"/>
    <col min="5379" max="5379" width="12.33203125" style="683" bestFit="1" customWidth="1"/>
    <col min="5380" max="5380" width="27.33203125" style="683" customWidth="1"/>
    <col min="5381" max="5381" width="4.1640625" style="683" bestFit="1" customWidth="1"/>
    <col min="5382" max="5382" width="9.5" style="683" bestFit="1" customWidth="1"/>
    <col min="5383" max="5383" width="10.6640625" style="683" bestFit="1" customWidth="1"/>
    <col min="5384" max="5385" width="9.33203125" style="683"/>
    <col min="5386" max="5386" width="16.1640625" style="683" bestFit="1" customWidth="1"/>
    <col min="5387" max="5387" width="10.1640625" style="683" bestFit="1" customWidth="1"/>
    <col min="5388" max="5388" width="11.6640625" style="683" bestFit="1" customWidth="1"/>
    <col min="5389" max="5634" width="9.33203125" style="683"/>
    <col min="5635" max="5635" width="12.33203125" style="683" bestFit="1" customWidth="1"/>
    <col min="5636" max="5636" width="27.33203125" style="683" customWidth="1"/>
    <col min="5637" max="5637" width="4.1640625" style="683" bestFit="1" customWidth="1"/>
    <col min="5638" max="5638" width="9.5" style="683" bestFit="1" customWidth="1"/>
    <col min="5639" max="5639" width="10.6640625" style="683" bestFit="1" customWidth="1"/>
    <col min="5640" max="5641" width="9.33203125" style="683"/>
    <col min="5642" max="5642" width="16.1640625" style="683" bestFit="1" customWidth="1"/>
    <col min="5643" max="5643" width="10.1640625" style="683" bestFit="1" customWidth="1"/>
    <col min="5644" max="5644" width="11.6640625" style="683" bestFit="1" customWidth="1"/>
    <col min="5645" max="5890" width="9.33203125" style="683"/>
    <col min="5891" max="5891" width="12.33203125" style="683" bestFit="1" customWidth="1"/>
    <col min="5892" max="5892" width="27.33203125" style="683" customWidth="1"/>
    <col min="5893" max="5893" width="4.1640625" style="683" bestFit="1" customWidth="1"/>
    <col min="5894" max="5894" width="9.5" style="683" bestFit="1" customWidth="1"/>
    <col min="5895" max="5895" width="10.6640625" style="683" bestFit="1" customWidth="1"/>
    <col min="5896" max="5897" width="9.33203125" style="683"/>
    <col min="5898" max="5898" width="16.1640625" style="683" bestFit="1" customWidth="1"/>
    <col min="5899" max="5899" width="10.1640625" style="683" bestFit="1" customWidth="1"/>
    <col min="5900" max="5900" width="11.6640625" style="683" bestFit="1" customWidth="1"/>
    <col min="5901" max="6146" width="9.33203125" style="683"/>
    <col min="6147" max="6147" width="12.33203125" style="683" bestFit="1" customWidth="1"/>
    <col min="6148" max="6148" width="27.33203125" style="683" customWidth="1"/>
    <col min="6149" max="6149" width="4.1640625" style="683" bestFit="1" customWidth="1"/>
    <col min="6150" max="6150" width="9.5" style="683" bestFit="1" customWidth="1"/>
    <col min="6151" max="6151" width="10.6640625" style="683" bestFit="1" customWidth="1"/>
    <col min="6152" max="6153" width="9.33203125" style="683"/>
    <col min="6154" max="6154" width="16.1640625" style="683" bestFit="1" customWidth="1"/>
    <col min="6155" max="6155" width="10.1640625" style="683" bestFit="1" customWidth="1"/>
    <col min="6156" max="6156" width="11.6640625" style="683" bestFit="1" customWidth="1"/>
    <col min="6157" max="6402" width="9.33203125" style="683"/>
    <col min="6403" max="6403" width="12.33203125" style="683" bestFit="1" customWidth="1"/>
    <col min="6404" max="6404" width="27.33203125" style="683" customWidth="1"/>
    <col min="6405" max="6405" width="4.1640625" style="683" bestFit="1" customWidth="1"/>
    <col min="6406" max="6406" width="9.5" style="683" bestFit="1" customWidth="1"/>
    <col min="6407" max="6407" width="10.6640625" style="683" bestFit="1" customWidth="1"/>
    <col min="6408" max="6409" width="9.33203125" style="683"/>
    <col min="6410" max="6410" width="16.1640625" style="683" bestFit="1" customWidth="1"/>
    <col min="6411" max="6411" width="10.1640625" style="683" bestFit="1" customWidth="1"/>
    <col min="6412" max="6412" width="11.6640625" style="683" bestFit="1" customWidth="1"/>
    <col min="6413" max="6658" width="9.33203125" style="683"/>
    <col min="6659" max="6659" width="12.33203125" style="683" bestFit="1" customWidth="1"/>
    <col min="6660" max="6660" width="27.33203125" style="683" customWidth="1"/>
    <col min="6661" max="6661" width="4.1640625" style="683" bestFit="1" customWidth="1"/>
    <col min="6662" max="6662" width="9.5" style="683" bestFit="1" customWidth="1"/>
    <col min="6663" max="6663" width="10.6640625" style="683" bestFit="1" customWidth="1"/>
    <col min="6664" max="6665" width="9.33203125" style="683"/>
    <col min="6666" max="6666" width="16.1640625" style="683" bestFit="1" customWidth="1"/>
    <col min="6667" max="6667" width="10.1640625" style="683" bestFit="1" customWidth="1"/>
    <col min="6668" max="6668" width="11.6640625" style="683" bestFit="1" customWidth="1"/>
    <col min="6669" max="6914" width="9.33203125" style="683"/>
    <col min="6915" max="6915" width="12.33203125" style="683" bestFit="1" customWidth="1"/>
    <col min="6916" max="6916" width="27.33203125" style="683" customWidth="1"/>
    <col min="6917" max="6917" width="4.1640625" style="683" bestFit="1" customWidth="1"/>
    <col min="6918" max="6918" width="9.5" style="683" bestFit="1" customWidth="1"/>
    <col min="6919" max="6919" width="10.6640625" style="683" bestFit="1" customWidth="1"/>
    <col min="6920" max="6921" width="9.33203125" style="683"/>
    <col min="6922" max="6922" width="16.1640625" style="683" bestFit="1" customWidth="1"/>
    <col min="6923" max="6923" width="10.1640625" style="683" bestFit="1" customWidth="1"/>
    <col min="6924" max="6924" width="11.6640625" style="683" bestFit="1" customWidth="1"/>
    <col min="6925" max="7170" width="9.33203125" style="683"/>
    <col min="7171" max="7171" width="12.33203125" style="683" bestFit="1" customWidth="1"/>
    <col min="7172" max="7172" width="27.33203125" style="683" customWidth="1"/>
    <col min="7173" max="7173" width="4.1640625" style="683" bestFit="1" customWidth="1"/>
    <col min="7174" max="7174" width="9.5" style="683" bestFit="1" customWidth="1"/>
    <col min="7175" max="7175" width="10.6640625" style="683" bestFit="1" customWidth="1"/>
    <col min="7176" max="7177" width="9.33203125" style="683"/>
    <col min="7178" max="7178" width="16.1640625" style="683" bestFit="1" customWidth="1"/>
    <col min="7179" max="7179" width="10.1640625" style="683" bestFit="1" customWidth="1"/>
    <col min="7180" max="7180" width="11.6640625" style="683" bestFit="1" customWidth="1"/>
    <col min="7181" max="7426" width="9.33203125" style="683"/>
    <col min="7427" max="7427" width="12.33203125" style="683" bestFit="1" customWidth="1"/>
    <col min="7428" max="7428" width="27.33203125" style="683" customWidth="1"/>
    <col min="7429" max="7429" width="4.1640625" style="683" bestFit="1" customWidth="1"/>
    <col min="7430" max="7430" width="9.5" style="683" bestFit="1" customWidth="1"/>
    <col min="7431" max="7431" width="10.6640625" style="683" bestFit="1" customWidth="1"/>
    <col min="7432" max="7433" width="9.33203125" style="683"/>
    <col min="7434" max="7434" width="16.1640625" style="683" bestFit="1" customWidth="1"/>
    <col min="7435" max="7435" width="10.1640625" style="683" bestFit="1" customWidth="1"/>
    <col min="7436" max="7436" width="11.6640625" style="683" bestFit="1" customWidth="1"/>
    <col min="7437" max="7682" width="9.33203125" style="683"/>
    <col min="7683" max="7683" width="12.33203125" style="683" bestFit="1" customWidth="1"/>
    <col min="7684" max="7684" width="27.33203125" style="683" customWidth="1"/>
    <col min="7685" max="7685" width="4.1640625" style="683" bestFit="1" customWidth="1"/>
    <col min="7686" max="7686" width="9.5" style="683" bestFit="1" customWidth="1"/>
    <col min="7687" max="7687" width="10.6640625" style="683" bestFit="1" customWidth="1"/>
    <col min="7688" max="7689" width="9.33203125" style="683"/>
    <col min="7690" max="7690" width="16.1640625" style="683" bestFit="1" customWidth="1"/>
    <col min="7691" max="7691" width="10.1640625" style="683" bestFit="1" customWidth="1"/>
    <col min="7692" max="7692" width="11.6640625" style="683" bestFit="1" customWidth="1"/>
    <col min="7693" max="7938" width="9.33203125" style="683"/>
    <col min="7939" max="7939" width="12.33203125" style="683" bestFit="1" customWidth="1"/>
    <col min="7940" max="7940" width="27.33203125" style="683" customWidth="1"/>
    <col min="7941" max="7941" width="4.1640625" style="683" bestFit="1" customWidth="1"/>
    <col min="7942" max="7942" width="9.5" style="683" bestFit="1" customWidth="1"/>
    <col min="7943" max="7943" width="10.6640625" style="683" bestFit="1" customWidth="1"/>
    <col min="7944" max="7945" width="9.33203125" style="683"/>
    <col min="7946" max="7946" width="16.1640625" style="683" bestFit="1" customWidth="1"/>
    <col min="7947" max="7947" width="10.1640625" style="683" bestFit="1" customWidth="1"/>
    <col min="7948" max="7948" width="11.6640625" style="683" bestFit="1" customWidth="1"/>
    <col min="7949" max="8194" width="9.33203125" style="683"/>
    <col min="8195" max="8195" width="12.33203125" style="683" bestFit="1" customWidth="1"/>
    <col min="8196" max="8196" width="27.33203125" style="683" customWidth="1"/>
    <col min="8197" max="8197" width="4.1640625" style="683" bestFit="1" customWidth="1"/>
    <col min="8198" max="8198" width="9.5" style="683" bestFit="1" customWidth="1"/>
    <col min="8199" max="8199" width="10.6640625" style="683" bestFit="1" customWidth="1"/>
    <col min="8200" max="8201" width="9.33203125" style="683"/>
    <col min="8202" max="8202" width="16.1640625" style="683" bestFit="1" customWidth="1"/>
    <col min="8203" max="8203" width="10.1640625" style="683" bestFit="1" customWidth="1"/>
    <col min="8204" max="8204" width="11.6640625" style="683" bestFit="1" customWidth="1"/>
    <col min="8205" max="8450" width="9.33203125" style="683"/>
    <col min="8451" max="8451" width="12.33203125" style="683" bestFit="1" customWidth="1"/>
    <col min="8452" max="8452" width="27.33203125" style="683" customWidth="1"/>
    <col min="8453" max="8453" width="4.1640625" style="683" bestFit="1" customWidth="1"/>
    <col min="8454" max="8454" width="9.5" style="683" bestFit="1" customWidth="1"/>
    <col min="8455" max="8455" width="10.6640625" style="683" bestFit="1" customWidth="1"/>
    <col min="8456" max="8457" width="9.33203125" style="683"/>
    <col min="8458" max="8458" width="16.1640625" style="683" bestFit="1" customWidth="1"/>
    <col min="8459" max="8459" width="10.1640625" style="683" bestFit="1" customWidth="1"/>
    <col min="8460" max="8460" width="11.6640625" style="683" bestFit="1" customWidth="1"/>
    <col min="8461" max="8706" width="9.33203125" style="683"/>
    <col min="8707" max="8707" width="12.33203125" style="683" bestFit="1" customWidth="1"/>
    <col min="8708" max="8708" width="27.33203125" style="683" customWidth="1"/>
    <col min="8709" max="8709" width="4.1640625" style="683" bestFit="1" customWidth="1"/>
    <col min="8710" max="8710" width="9.5" style="683" bestFit="1" customWidth="1"/>
    <col min="8711" max="8711" width="10.6640625" style="683" bestFit="1" customWidth="1"/>
    <col min="8712" max="8713" width="9.33203125" style="683"/>
    <col min="8714" max="8714" width="16.1640625" style="683" bestFit="1" customWidth="1"/>
    <col min="8715" max="8715" width="10.1640625" style="683" bestFit="1" customWidth="1"/>
    <col min="8716" max="8716" width="11.6640625" style="683" bestFit="1" customWidth="1"/>
    <col min="8717" max="8962" width="9.33203125" style="683"/>
    <col min="8963" max="8963" width="12.33203125" style="683" bestFit="1" customWidth="1"/>
    <col min="8964" max="8964" width="27.33203125" style="683" customWidth="1"/>
    <col min="8965" max="8965" width="4.1640625" style="683" bestFit="1" customWidth="1"/>
    <col min="8966" max="8966" width="9.5" style="683" bestFit="1" customWidth="1"/>
    <col min="8967" max="8967" width="10.6640625" style="683" bestFit="1" customWidth="1"/>
    <col min="8968" max="8969" width="9.33203125" style="683"/>
    <col min="8970" max="8970" width="16.1640625" style="683" bestFit="1" customWidth="1"/>
    <col min="8971" max="8971" width="10.1640625" style="683" bestFit="1" customWidth="1"/>
    <col min="8972" max="8972" width="11.6640625" style="683" bestFit="1" customWidth="1"/>
    <col min="8973" max="9218" width="9.33203125" style="683"/>
    <col min="9219" max="9219" width="12.33203125" style="683" bestFit="1" customWidth="1"/>
    <col min="9220" max="9220" width="27.33203125" style="683" customWidth="1"/>
    <col min="9221" max="9221" width="4.1640625" style="683" bestFit="1" customWidth="1"/>
    <col min="9222" max="9222" width="9.5" style="683" bestFit="1" customWidth="1"/>
    <col min="9223" max="9223" width="10.6640625" style="683" bestFit="1" customWidth="1"/>
    <col min="9224" max="9225" width="9.33203125" style="683"/>
    <col min="9226" max="9226" width="16.1640625" style="683" bestFit="1" customWidth="1"/>
    <col min="9227" max="9227" width="10.1640625" style="683" bestFit="1" customWidth="1"/>
    <col min="9228" max="9228" width="11.6640625" style="683" bestFit="1" customWidth="1"/>
    <col min="9229" max="9474" width="9.33203125" style="683"/>
    <col min="9475" max="9475" width="12.33203125" style="683" bestFit="1" customWidth="1"/>
    <col min="9476" max="9476" width="27.33203125" style="683" customWidth="1"/>
    <col min="9477" max="9477" width="4.1640625" style="683" bestFit="1" customWidth="1"/>
    <col min="9478" max="9478" width="9.5" style="683" bestFit="1" customWidth="1"/>
    <col min="9479" max="9479" width="10.6640625" style="683" bestFit="1" customWidth="1"/>
    <col min="9480" max="9481" width="9.33203125" style="683"/>
    <col min="9482" max="9482" width="16.1640625" style="683" bestFit="1" customWidth="1"/>
    <col min="9483" max="9483" width="10.1640625" style="683" bestFit="1" customWidth="1"/>
    <col min="9484" max="9484" width="11.6640625" style="683" bestFit="1" customWidth="1"/>
    <col min="9485" max="9730" width="9.33203125" style="683"/>
    <col min="9731" max="9731" width="12.33203125" style="683" bestFit="1" customWidth="1"/>
    <col min="9732" max="9732" width="27.33203125" style="683" customWidth="1"/>
    <col min="9733" max="9733" width="4.1640625" style="683" bestFit="1" customWidth="1"/>
    <col min="9734" max="9734" width="9.5" style="683" bestFit="1" customWidth="1"/>
    <col min="9735" max="9735" width="10.6640625" style="683" bestFit="1" customWidth="1"/>
    <col min="9736" max="9737" width="9.33203125" style="683"/>
    <col min="9738" max="9738" width="16.1640625" style="683" bestFit="1" customWidth="1"/>
    <col min="9739" max="9739" width="10.1640625" style="683" bestFit="1" customWidth="1"/>
    <col min="9740" max="9740" width="11.6640625" style="683" bestFit="1" customWidth="1"/>
    <col min="9741" max="9986" width="9.33203125" style="683"/>
    <col min="9987" max="9987" width="12.33203125" style="683" bestFit="1" customWidth="1"/>
    <col min="9988" max="9988" width="27.33203125" style="683" customWidth="1"/>
    <col min="9989" max="9989" width="4.1640625" style="683" bestFit="1" customWidth="1"/>
    <col min="9990" max="9990" width="9.5" style="683" bestFit="1" customWidth="1"/>
    <col min="9991" max="9991" width="10.6640625" style="683" bestFit="1" customWidth="1"/>
    <col min="9992" max="9993" width="9.33203125" style="683"/>
    <col min="9994" max="9994" width="16.1640625" style="683" bestFit="1" customWidth="1"/>
    <col min="9995" max="9995" width="10.1640625" style="683" bestFit="1" customWidth="1"/>
    <col min="9996" max="9996" width="11.6640625" style="683" bestFit="1" customWidth="1"/>
    <col min="9997" max="10242" width="9.33203125" style="683"/>
    <col min="10243" max="10243" width="12.33203125" style="683" bestFit="1" customWidth="1"/>
    <col min="10244" max="10244" width="27.33203125" style="683" customWidth="1"/>
    <col min="10245" max="10245" width="4.1640625" style="683" bestFit="1" customWidth="1"/>
    <col min="10246" max="10246" width="9.5" style="683" bestFit="1" customWidth="1"/>
    <col min="10247" max="10247" width="10.6640625" style="683" bestFit="1" customWidth="1"/>
    <col min="10248" max="10249" width="9.33203125" style="683"/>
    <col min="10250" max="10250" width="16.1640625" style="683" bestFit="1" customWidth="1"/>
    <col min="10251" max="10251" width="10.1640625" style="683" bestFit="1" customWidth="1"/>
    <col min="10252" max="10252" width="11.6640625" style="683" bestFit="1" customWidth="1"/>
    <col min="10253" max="10498" width="9.33203125" style="683"/>
    <col min="10499" max="10499" width="12.33203125" style="683" bestFit="1" customWidth="1"/>
    <col min="10500" max="10500" width="27.33203125" style="683" customWidth="1"/>
    <col min="10501" max="10501" width="4.1640625" style="683" bestFit="1" customWidth="1"/>
    <col min="10502" max="10502" width="9.5" style="683" bestFit="1" customWidth="1"/>
    <col min="10503" max="10503" width="10.6640625" style="683" bestFit="1" customWidth="1"/>
    <col min="10504" max="10505" width="9.33203125" style="683"/>
    <col min="10506" max="10506" width="16.1640625" style="683" bestFit="1" customWidth="1"/>
    <col min="10507" max="10507" width="10.1640625" style="683" bestFit="1" customWidth="1"/>
    <col min="10508" max="10508" width="11.6640625" style="683" bestFit="1" customWidth="1"/>
    <col min="10509" max="10754" width="9.33203125" style="683"/>
    <col min="10755" max="10755" width="12.33203125" style="683" bestFit="1" customWidth="1"/>
    <col min="10756" max="10756" width="27.33203125" style="683" customWidth="1"/>
    <col min="10757" max="10757" width="4.1640625" style="683" bestFit="1" customWidth="1"/>
    <col min="10758" max="10758" width="9.5" style="683" bestFit="1" customWidth="1"/>
    <col min="10759" max="10759" width="10.6640625" style="683" bestFit="1" customWidth="1"/>
    <col min="10760" max="10761" width="9.33203125" style="683"/>
    <col min="10762" max="10762" width="16.1640625" style="683" bestFit="1" customWidth="1"/>
    <col min="10763" max="10763" width="10.1640625" style="683" bestFit="1" customWidth="1"/>
    <col min="10764" max="10764" width="11.6640625" style="683" bestFit="1" customWidth="1"/>
    <col min="10765" max="11010" width="9.33203125" style="683"/>
    <col min="11011" max="11011" width="12.33203125" style="683" bestFit="1" customWidth="1"/>
    <col min="11012" max="11012" width="27.33203125" style="683" customWidth="1"/>
    <col min="11013" max="11013" width="4.1640625" style="683" bestFit="1" customWidth="1"/>
    <col min="11014" max="11014" width="9.5" style="683" bestFit="1" customWidth="1"/>
    <col min="11015" max="11015" width="10.6640625" style="683" bestFit="1" customWidth="1"/>
    <col min="11016" max="11017" width="9.33203125" style="683"/>
    <col min="11018" max="11018" width="16.1640625" style="683" bestFit="1" customWidth="1"/>
    <col min="11019" max="11019" width="10.1640625" style="683" bestFit="1" customWidth="1"/>
    <col min="11020" max="11020" width="11.6640625" style="683" bestFit="1" customWidth="1"/>
    <col min="11021" max="11266" width="9.33203125" style="683"/>
    <col min="11267" max="11267" width="12.33203125" style="683" bestFit="1" customWidth="1"/>
    <col min="11268" max="11268" width="27.33203125" style="683" customWidth="1"/>
    <col min="11269" max="11269" width="4.1640625" style="683" bestFit="1" customWidth="1"/>
    <col min="11270" max="11270" width="9.5" style="683" bestFit="1" customWidth="1"/>
    <col min="11271" max="11271" width="10.6640625" style="683" bestFit="1" customWidth="1"/>
    <col min="11272" max="11273" width="9.33203125" style="683"/>
    <col min="11274" max="11274" width="16.1640625" style="683" bestFit="1" customWidth="1"/>
    <col min="11275" max="11275" width="10.1640625" style="683" bestFit="1" customWidth="1"/>
    <col min="11276" max="11276" width="11.6640625" style="683" bestFit="1" customWidth="1"/>
    <col min="11277" max="11522" width="9.33203125" style="683"/>
    <col min="11523" max="11523" width="12.33203125" style="683" bestFit="1" customWidth="1"/>
    <col min="11524" max="11524" width="27.33203125" style="683" customWidth="1"/>
    <col min="11525" max="11525" width="4.1640625" style="683" bestFit="1" customWidth="1"/>
    <col min="11526" max="11526" width="9.5" style="683" bestFit="1" customWidth="1"/>
    <col min="11527" max="11527" width="10.6640625" style="683" bestFit="1" customWidth="1"/>
    <col min="11528" max="11529" width="9.33203125" style="683"/>
    <col min="11530" max="11530" width="16.1640625" style="683" bestFit="1" customWidth="1"/>
    <col min="11531" max="11531" width="10.1640625" style="683" bestFit="1" customWidth="1"/>
    <col min="11532" max="11532" width="11.6640625" style="683" bestFit="1" customWidth="1"/>
    <col min="11533" max="11778" width="9.33203125" style="683"/>
    <col min="11779" max="11779" width="12.33203125" style="683" bestFit="1" customWidth="1"/>
    <col min="11780" max="11780" width="27.33203125" style="683" customWidth="1"/>
    <col min="11781" max="11781" width="4.1640625" style="683" bestFit="1" customWidth="1"/>
    <col min="11782" max="11782" width="9.5" style="683" bestFit="1" customWidth="1"/>
    <col min="11783" max="11783" width="10.6640625" style="683" bestFit="1" customWidth="1"/>
    <col min="11784" max="11785" width="9.33203125" style="683"/>
    <col min="11786" max="11786" width="16.1640625" style="683" bestFit="1" customWidth="1"/>
    <col min="11787" max="11787" width="10.1640625" style="683" bestFit="1" customWidth="1"/>
    <col min="11788" max="11788" width="11.6640625" style="683" bestFit="1" customWidth="1"/>
    <col min="11789" max="12034" width="9.33203125" style="683"/>
    <col min="12035" max="12035" width="12.33203125" style="683" bestFit="1" customWidth="1"/>
    <col min="12036" max="12036" width="27.33203125" style="683" customWidth="1"/>
    <col min="12037" max="12037" width="4.1640625" style="683" bestFit="1" customWidth="1"/>
    <col min="12038" max="12038" width="9.5" style="683" bestFit="1" customWidth="1"/>
    <col min="12039" max="12039" width="10.6640625" style="683" bestFit="1" customWidth="1"/>
    <col min="12040" max="12041" width="9.33203125" style="683"/>
    <col min="12042" max="12042" width="16.1640625" style="683" bestFit="1" customWidth="1"/>
    <col min="12043" max="12043" width="10.1640625" style="683" bestFit="1" customWidth="1"/>
    <col min="12044" max="12044" width="11.6640625" style="683" bestFit="1" customWidth="1"/>
    <col min="12045" max="12290" width="9.33203125" style="683"/>
    <col min="12291" max="12291" width="12.33203125" style="683" bestFit="1" customWidth="1"/>
    <col min="12292" max="12292" width="27.33203125" style="683" customWidth="1"/>
    <col min="12293" max="12293" width="4.1640625" style="683" bestFit="1" customWidth="1"/>
    <col min="12294" max="12294" width="9.5" style="683" bestFit="1" customWidth="1"/>
    <col min="12295" max="12295" width="10.6640625" style="683" bestFit="1" customWidth="1"/>
    <col min="12296" max="12297" width="9.33203125" style="683"/>
    <col min="12298" max="12298" width="16.1640625" style="683" bestFit="1" customWidth="1"/>
    <col min="12299" max="12299" width="10.1640625" style="683" bestFit="1" customWidth="1"/>
    <col min="12300" max="12300" width="11.6640625" style="683" bestFit="1" customWidth="1"/>
    <col min="12301" max="12546" width="9.33203125" style="683"/>
    <col min="12547" max="12547" width="12.33203125" style="683" bestFit="1" customWidth="1"/>
    <col min="12548" max="12548" width="27.33203125" style="683" customWidth="1"/>
    <col min="12549" max="12549" width="4.1640625" style="683" bestFit="1" customWidth="1"/>
    <col min="12550" max="12550" width="9.5" style="683" bestFit="1" customWidth="1"/>
    <col min="12551" max="12551" width="10.6640625" style="683" bestFit="1" customWidth="1"/>
    <col min="12552" max="12553" width="9.33203125" style="683"/>
    <col min="12554" max="12554" width="16.1640625" style="683" bestFit="1" customWidth="1"/>
    <col min="12555" max="12555" width="10.1640625" style="683" bestFit="1" customWidth="1"/>
    <col min="12556" max="12556" width="11.6640625" style="683" bestFit="1" customWidth="1"/>
    <col min="12557" max="12802" width="9.33203125" style="683"/>
    <col min="12803" max="12803" width="12.33203125" style="683" bestFit="1" customWidth="1"/>
    <col min="12804" max="12804" width="27.33203125" style="683" customWidth="1"/>
    <col min="12805" max="12805" width="4.1640625" style="683" bestFit="1" customWidth="1"/>
    <col min="12806" max="12806" width="9.5" style="683" bestFit="1" customWidth="1"/>
    <col min="12807" max="12807" width="10.6640625" style="683" bestFit="1" customWidth="1"/>
    <col min="12808" max="12809" width="9.33203125" style="683"/>
    <col min="12810" max="12810" width="16.1640625" style="683" bestFit="1" customWidth="1"/>
    <col min="12811" max="12811" width="10.1640625" style="683" bestFit="1" customWidth="1"/>
    <col min="12812" max="12812" width="11.6640625" style="683" bestFit="1" customWidth="1"/>
    <col min="12813" max="13058" width="9.33203125" style="683"/>
    <col min="13059" max="13059" width="12.33203125" style="683" bestFit="1" customWidth="1"/>
    <col min="13060" max="13060" width="27.33203125" style="683" customWidth="1"/>
    <col min="13061" max="13061" width="4.1640625" style="683" bestFit="1" customWidth="1"/>
    <col min="13062" max="13062" width="9.5" style="683" bestFit="1" customWidth="1"/>
    <col min="13063" max="13063" width="10.6640625" style="683" bestFit="1" customWidth="1"/>
    <col min="13064" max="13065" width="9.33203125" style="683"/>
    <col min="13066" max="13066" width="16.1640625" style="683" bestFit="1" customWidth="1"/>
    <col min="13067" max="13067" width="10.1640625" style="683" bestFit="1" customWidth="1"/>
    <col min="13068" max="13068" width="11.6640625" style="683" bestFit="1" customWidth="1"/>
    <col min="13069" max="13314" width="9.33203125" style="683"/>
    <col min="13315" max="13315" width="12.33203125" style="683" bestFit="1" customWidth="1"/>
    <col min="13316" max="13316" width="27.33203125" style="683" customWidth="1"/>
    <col min="13317" max="13317" width="4.1640625" style="683" bestFit="1" customWidth="1"/>
    <col min="13318" max="13318" width="9.5" style="683" bestFit="1" customWidth="1"/>
    <col min="13319" max="13319" width="10.6640625" style="683" bestFit="1" customWidth="1"/>
    <col min="13320" max="13321" width="9.33203125" style="683"/>
    <col min="13322" max="13322" width="16.1640625" style="683" bestFit="1" customWidth="1"/>
    <col min="13323" max="13323" width="10.1640625" style="683" bestFit="1" customWidth="1"/>
    <col min="13324" max="13324" width="11.6640625" style="683" bestFit="1" customWidth="1"/>
    <col min="13325" max="13570" width="9.33203125" style="683"/>
    <col min="13571" max="13571" width="12.33203125" style="683" bestFit="1" customWidth="1"/>
    <col min="13572" max="13572" width="27.33203125" style="683" customWidth="1"/>
    <col min="13573" max="13573" width="4.1640625" style="683" bestFit="1" customWidth="1"/>
    <col min="13574" max="13574" width="9.5" style="683" bestFit="1" customWidth="1"/>
    <col min="13575" max="13575" width="10.6640625" style="683" bestFit="1" customWidth="1"/>
    <col min="13576" max="13577" width="9.33203125" style="683"/>
    <col min="13578" max="13578" width="16.1640625" style="683" bestFit="1" customWidth="1"/>
    <col min="13579" max="13579" width="10.1640625" style="683" bestFit="1" customWidth="1"/>
    <col min="13580" max="13580" width="11.6640625" style="683" bestFit="1" customWidth="1"/>
    <col min="13581" max="13826" width="9.33203125" style="683"/>
    <col min="13827" max="13827" width="12.33203125" style="683" bestFit="1" customWidth="1"/>
    <col min="13828" max="13828" width="27.33203125" style="683" customWidth="1"/>
    <col min="13829" max="13829" width="4.1640625" style="683" bestFit="1" customWidth="1"/>
    <col min="13830" max="13830" width="9.5" style="683" bestFit="1" customWidth="1"/>
    <col min="13831" max="13831" width="10.6640625" style="683" bestFit="1" customWidth="1"/>
    <col min="13832" max="13833" width="9.33203125" style="683"/>
    <col min="13834" max="13834" width="16.1640625" style="683" bestFit="1" customWidth="1"/>
    <col min="13835" max="13835" width="10.1640625" style="683" bestFit="1" customWidth="1"/>
    <col min="13836" max="13836" width="11.6640625" style="683" bestFit="1" customWidth="1"/>
    <col min="13837" max="14082" width="9.33203125" style="683"/>
    <col min="14083" max="14083" width="12.33203125" style="683" bestFit="1" customWidth="1"/>
    <col min="14084" max="14084" width="27.33203125" style="683" customWidth="1"/>
    <col min="14085" max="14085" width="4.1640625" style="683" bestFit="1" customWidth="1"/>
    <col min="14086" max="14086" width="9.5" style="683" bestFit="1" customWidth="1"/>
    <col min="14087" max="14087" width="10.6640625" style="683" bestFit="1" customWidth="1"/>
    <col min="14088" max="14089" width="9.33203125" style="683"/>
    <col min="14090" max="14090" width="16.1640625" style="683" bestFit="1" customWidth="1"/>
    <col min="14091" max="14091" width="10.1640625" style="683" bestFit="1" customWidth="1"/>
    <col min="14092" max="14092" width="11.6640625" style="683" bestFit="1" customWidth="1"/>
    <col min="14093" max="14338" width="9.33203125" style="683"/>
    <col min="14339" max="14339" width="12.33203125" style="683" bestFit="1" customWidth="1"/>
    <col min="14340" max="14340" width="27.33203125" style="683" customWidth="1"/>
    <col min="14341" max="14341" width="4.1640625" style="683" bestFit="1" customWidth="1"/>
    <col min="14342" max="14342" width="9.5" style="683" bestFit="1" customWidth="1"/>
    <col min="14343" max="14343" width="10.6640625" style="683" bestFit="1" customWidth="1"/>
    <col min="14344" max="14345" width="9.33203125" style="683"/>
    <col min="14346" max="14346" width="16.1640625" style="683" bestFit="1" customWidth="1"/>
    <col min="14347" max="14347" width="10.1640625" style="683" bestFit="1" customWidth="1"/>
    <col min="14348" max="14348" width="11.6640625" style="683" bestFit="1" customWidth="1"/>
    <col min="14349" max="14594" width="9.33203125" style="683"/>
    <col min="14595" max="14595" width="12.33203125" style="683" bestFit="1" customWidth="1"/>
    <col min="14596" max="14596" width="27.33203125" style="683" customWidth="1"/>
    <col min="14597" max="14597" width="4.1640625" style="683" bestFit="1" customWidth="1"/>
    <col min="14598" max="14598" width="9.5" style="683" bestFit="1" customWidth="1"/>
    <col min="14599" max="14599" width="10.6640625" style="683" bestFit="1" customWidth="1"/>
    <col min="14600" max="14601" width="9.33203125" style="683"/>
    <col min="14602" max="14602" width="16.1640625" style="683" bestFit="1" customWidth="1"/>
    <col min="14603" max="14603" width="10.1640625" style="683" bestFit="1" customWidth="1"/>
    <col min="14604" max="14604" width="11.6640625" style="683" bestFit="1" customWidth="1"/>
    <col min="14605" max="14850" width="9.33203125" style="683"/>
    <col min="14851" max="14851" width="12.33203125" style="683" bestFit="1" customWidth="1"/>
    <col min="14852" max="14852" width="27.33203125" style="683" customWidth="1"/>
    <col min="14853" max="14853" width="4.1640625" style="683" bestFit="1" customWidth="1"/>
    <col min="14854" max="14854" width="9.5" style="683" bestFit="1" customWidth="1"/>
    <col min="14855" max="14855" width="10.6640625" style="683" bestFit="1" customWidth="1"/>
    <col min="14856" max="14857" width="9.33203125" style="683"/>
    <col min="14858" max="14858" width="16.1640625" style="683" bestFit="1" customWidth="1"/>
    <col min="14859" max="14859" width="10.1640625" style="683" bestFit="1" customWidth="1"/>
    <col min="14860" max="14860" width="11.6640625" style="683" bestFit="1" customWidth="1"/>
    <col min="14861" max="15106" width="9.33203125" style="683"/>
    <col min="15107" max="15107" width="12.33203125" style="683" bestFit="1" customWidth="1"/>
    <col min="15108" max="15108" width="27.33203125" style="683" customWidth="1"/>
    <col min="15109" max="15109" width="4.1640625" style="683" bestFit="1" customWidth="1"/>
    <col min="15110" max="15110" width="9.5" style="683" bestFit="1" customWidth="1"/>
    <col min="15111" max="15111" width="10.6640625" style="683" bestFit="1" customWidth="1"/>
    <col min="15112" max="15113" width="9.33203125" style="683"/>
    <col min="15114" max="15114" width="16.1640625" style="683" bestFit="1" customWidth="1"/>
    <col min="15115" max="15115" width="10.1640625" style="683" bestFit="1" customWidth="1"/>
    <col min="15116" max="15116" width="11.6640625" style="683" bestFit="1" customWidth="1"/>
    <col min="15117" max="15362" width="9.33203125" style="683"/>
    <col min="15363" max="15363" width="12.33203125" style="683" bestFit="1" customWidth="1"/>
    <col min="15364" max="15364" width="27.33203125" style="683" customWidth="1"/>
    <col min="15365" max="15365" width="4.1640625" style="683" bestFit="1" customWidth="1"/>
    <col min="15366" max="15366" width="9.5" style="683" bestFit="1" customWidth="1"/>
    <col min="15367" max="15367" width="10.6640625" style="683" bestFit="1" customWidth="1"/>
    <col min="15368" max="15369" width="9.33203125" style="683"/>
    <col min="15370" max="15370" width="16.1640625" style="683" bestFit="1" customWidth="1"/>
    <col min="15371" max="15371" width="10.1640625" style="683" bestFit="1" customWidth="1"/>
    <col min="15372" max="15372" width="11.6640625" style="683" bestFit="1" customWidth="1"/>
    <col min="15373" max="15618" width="9.33203125" style="683"/>
    <col min="15619" max="15619" width="12.33203125" style="683" bestFit="1" customWidth="1"/>
    <col min="15620" max="15620" width="27.33203125" style="683" customWidth="1"/>
    <col min="15621" max="15621" width="4.1640625" style="683" bestFit="1" customWidth="1"/>
    <col min="15622" max="15622" width="9.5" style="683" bestFit="1" customWidth="1"/>
    <col min="15623" max="15623" width="10.6640625" style="683" bestFit="1" customWidth="1"/>
    <col min="15624" max="15625" width="9.33203125" style="683"/>
    <col min="15626" max="15626" width="16.1640625" style="683" bestFit="1" customWidth="1"/>
    <col min="15627" max="15627" width="10.1640625" style="683" bestFit="1" customWidth="1"/>
    <col min="15628" max="15628" width="11.6640625" style="683" bestFit="1" customWidth="1"/>
    <col min="15629" max="15874" width="9.33203125" style="683"/>
    <col min="15875" max="15875" width="12.33203125" style="683" bestFit="1" customWidth="1"/>
    <col min="15876" max="15876" width="27.33203125" style="683" customWidth="1"/>
    <col min="15877" max="15877" width="4.1640625" style="683" bestFit="1" customWidth="1"/>
    <col min="15878" max="15878" width="9.5" style="683" bestFit="1" customWidth="1"/>
    <col min="15879" max="15879" width="10.6640625" style="683" bestFit="1" customWidth="1"/>
    <col min="15880" max="15881" width="9.33203125" style="683"/>
    <col min="15882" max="15882" width="16.1640625" style="683" bestFit="1" customWidth="1"/>
    <col min="15883" max="15883" width="10.1640625" style="683" bestFit="1" customWidth="1"/>
    <col min="15884" max="15884" width="11.6640625" style="683" bestFit="1" customWidth="1"/>
    <col min="15885" max="16130" width="9.33203125" style="683"/>
    <col min="16131" max="16131" width="12.33203125" style="683" bestFit="1" customWidth="1"/>
    <col min="16132" max="16132" width="27.33203125" style="683" customWidth="1"/>
    <col min="16133" max="16133" width="4.1640625" style="683" bestFit="1" customWidth="1"/>
    <col min="16134" max="16134" width="9.5" style="683" bestFit="1" customWidth="1"/>
    <col min="16135" max="16135" width="10.6640625" style="683" bestFit="1" customWidth="1"/>
    <col min="16136" max="16137" width="9.33203125" style="683"/>
    <col min="16138" max="16138" width="16.1640625" style="683" bestFit="1" customWidth="1"/>
    <col min="16139" max="16139" width="10.1640625" style="683" bestFit="1" customWidth="1"/>
    <col min="16140" max="16140" width="11.6640625" style="683" bestFit="1" customWidth="1"/>
    <col min="16141" max="16384" width="9.33203125" style="683"/>
  </cols>
  <sheetData>
    <row r="1" spans="1:16" x14ac:dyDescent="0.25">
      <c r="A1" s="682" t="s">
        <v>493</v>
      </c>
      <c r="B1" s="682" t="s">
        <v>1521</v>
      </c>
      <c r="C1" s="682" t="s">
        <v>1522</v>
      </c>
      <c r="D1" s="683" t="s">
        <v>1359</v>
      </c>
      <c r="E1" s="684" t="s">
        <v>756</v>
      </c>
      <c r="F1" s="685"/>
      <c r="G1" s="694"/>
      <c r="H1" s="687" t="s">
        <v>227</v>
      </c>
      <c r="I1" s="688"/>
      <c r="J1" s="695"/>
      <c r="L1" s="690" t="s">
        <v>755</v>
      </c>
      <c r="M1" s="691" t="s">
        <v>1243</v>
      </c>
      <c r="N1" s="691" t="s">
        <v>1360</v>
      </c>
      <c r="O1" s="691" t="s">
        <v>1361</v>
      </c>
      <c r="P1" s="691" t="s">
        <v>1693</v>
      </c>
    </row>
    <row r="2" spans="1:16" x14ac:dyDescent="0.25">
      <c r="A2" s="692" t="s">
        <v>1691</v>
      </c>
      <c r="D2" s="683" t="s">
        <v>1692</v>
      </c>
      <c r="E2" s="683">
        <v>48</v>
      </c>
      <c r="F2" s="696">
        <v>42.408999999999999</v>
      </c>
      <c r="G2" s="689">
        <f>E2+F2/60</f>
        <v>48.706816666666668</v>
      </c>
      <c r="H2" s="683">
        <v>22</v>
      </c>
      <c r="I2" s="683">
        <v>23.998999999999999</v>
      </c>
      <c r="J2" s="695">
        <f>H2+I2/60</f>
        <v>22.399983333333335</v>
      </c>
      <c r="K2" s="689">
        <f>G2</f>
        <v>48.706816666666668</v>
      </c>
      <c r="L2" s="683"/>
      <c r="P2" s="689">
        <f>J2</f>
        <v>22.399983333333335</v>
      </c>
    </row>
    <row r="3" spans="1:16" x14ac:dyDescent="0.25">
      <c r="A3" s="692" t="s">
        <v>71</v>
      </c>
      <c r="B3" s="692">
        <v>968</v>
      </c>
      <c r="C3" s="693">
        <f>B3/3.2808399</f>
        <v>295.04639955152948</v>
      </c>
      <c r="D3" s="683" t="s">
        <v>1412</v>
      </c>
      <c r="E3" s="683">
        <v>53</v>
      </c>
      <c r="F3" s="696">
        <f>20+1/60</f>
        <v>20.016666666666666</v>
      </c>
      <c r="G3" s="694">
        <f>E3+F3/60</f>
        <v>53.333611111111111</v>
      </c>
      <c r="H3" s="683">
        <v>18</v>
      </c>
      <c r="I3" s="683">
        <f>20+11/60</f>
        <v>20.183333333333334</v>
      </c>
      <c r="J3" s="695">
        <f>H3+I3/60</f>
        <v>18.336388888888887</v>
      </c>
      <c r="K3" s="689">
        <f>G3</f>
        <v>53.333611111111111</v>
      </c>
      <c r="N3" s="689">
        <f>J3</f>
        <v>18.336388888888887</v>
      </c>
    </row>
    <row r="4" spans="1:16" x14ac:dyDescent="0.25">
      <c r="A4" s="692" t="s">
        <v>86</v>
      </c>
      <c r="B4" s="692">
        <v>739</v>
      </c>
      <c r="C4" s="693">
        <f>B4/3.2808399</f>
        <v>225.24719965762424</v>
      </c>
      <c r="D4" s="683" t="s">
        <v>1414</v>
      </c>
      <c r="E4" s="683">
        <v>53</v>
      </c>
      <c r="F4" s="696">
        <v>50</v>
      </c>
      <c r="G4" s="694">
        <f>E4+F4/60</f>
        <v>53.833333333333336</v>
      </c>
      <c r="H4" s="683">
        <v>18</v>
      </c>
      <c r="I4" s="683">
        <v>34</v>
      </c>
      <c r="J4" s="695">
        <f>H4+I4/60</f>
        <v>18.566666666666666</v>
      </c>
      <c r="K4" s="689">
        <f>G4</f>
        <v>53.833333333333336</v>
      </c>
      <c r="N4" s="689">
        <f>J4</f>
        <v>18.566666666666666</v>
      </c>
    </row>
    <row r="5" spans="1:16" x14ac:dyDescent="0.25">
      <c r="A5" s="692" t="s">
        <v>70</v>
      </c>
      <c r="B5" s="692">
        <v>727</v>
      </c>
      <c r="C5" s="693">
        <f>B5/3.2808399</f>
        <v>221.5895996631838</v>
      </c>
      <c r="D5" s="683" t="s">
        <v>1413</v>
      </c>
      <c r="E5" s="683">
        <v>53</v>
      </c>
      <c r="F5" s="696">
        <v>54.88</v>
      </c>
      <c r="G5" s="694">
        <f>E5+F5/60</f>
        <v>53.914666666666669</v>
      </c>
      <c r="H5" s="683">
        <v>18</v>
      </c>
      <c r="I5" s="683">
        <v>36.25</v>
      </c>
      <c r="J5" s="695">
        <f>H5+I5/60</f>
        <v>18.604166666666668</v>
      </c>
      <c r="K5" s="689">
        <f>G5</f>
        <v>53.914666666666669</v>
      </c>
      <c r="N5" s="689">
        <f>J5</f>
        <v>18.604166666666668</v>
      </c>
    </row>
    <row r="6" spans="1:16" x14ac:dyDescent="0.25">
      <c r="A6" s="707" t="s">
        <v>122</v>
      </c>
      <c r="B6" s="692">
        <v>777</v>
      </c>
      <c r="C6" s="693">
        <f>B6/3.2808399</f>
        <v>236.82959964001901</v>
      </c>
      <c r="D6" s="683" t="s">
        <v>1416</v>
      </c>
      <c r="E6" s="683">
        <v>53</v>
      </c>
      <c r="F6" s="696">
        <f>58+40.73/60</f>
        <v>58.67883333333333</v>
      </c>
      <c r="G6" s="694">
        <f>E6+F6/60</f>
        <v>53.977980555555554</v>
      </c>
      <c r="H6" s="683">
        <v>18</v>
      </c>
      <c r="I6" s="683">
        <f>32+56.68/60</f>
        <v>32.94466666666667</v>
      </c>
      <c r="J6" s="695">
        <f>H6+I6/60</f>
        <v>18.549077777777779</v>
      </c>
      <c r="K6" s="689">
        <f>G6</f>
        <v>53.977980555555554</v>
      </c>
      <c r="N6" s="689">
        <f>J6</f>
        <v>18.549077777777779</v>
      </c>
      <c r="P6" s="689"/>
    </row>
    <row r="7" spans="1:16" customFormat="1" ht="12.75" x14ac:dyDescent="0.2"/>
    <row r="8" spans="1:16" customFormat="1" ht="12.75" x14ac:dyDescent="0.2"/>
    <row r="9" spans="1:16" customFormat="1" ht="12.75" x14ac:dyDescent="0.2"/>
    <row r="10" spans="1:16" x14ac:dyDescent="0.25">
      <c r="A10" s="738" t="s">
        <v>1765</v>
      </c>
      <c r="B10" s="692">
        <v>915</v>
      </c>
      <c r="C10" s="693">
        <f t="shared" ref="C10:C21" si="0">B10/3.2808399</f>
        <v>278.89199957608417</v>
      </c>
      <c r="D10" s="683" t="s">
        <v>1389</v>
      </c>
      <c r="E10" s="683">
        <v>53</v>
      </c>
      <c r="F10" s="696">
        <v>59.524999999999999</v>
      </c>
      <c r="G10" s="694">
        <f t="shared" ref="G10:G21" si="1">E10+F10/60</f>
        <v>53.992083333333333</v>
      </c>
      <c r="H10" s="683">
        <v>18</v>
      </c>
      <c r="I10" s="697">
        <v>15.39</v>
      </c>
      <c r="J10" s="695">
        <f t="shared" ref="J10:J21" si="2">H10+I10/60</f>
        <v>18.256499999999999</v>
      </c>
      <c r="K10" s="689">
        <f t="shared" ref="K10:K21" si="3">G10</f>
        <v>53.992083333333333</v>
      </c>
      <c r="L10" s="689">
        <f t="shared" ref="L10:L21" si="4">J10</f>
        <v>18.256499999999999</v>
      </c>
    </row>
    <row r="11" spans="1:16" x14ac:dyDescent="0.25">
      <c r="A11" s="738" t="s">
        <v>1761</v>
      </c>
      <c r="B11" s="692">
        <v>900</v>
      </c>
      <c r="C11" s="693">
        <f t="shared" si="0"/>
        <v>274.31999958303356</v>
      </c>
      <c r="D11" s="683" t="s">
        <v>1385</v>
      </c>
      <c r="E11" s="683">
        <v>53</v>
      </c>
      <c r="F11" s="696">
        <v>59.661999999999999</v>
      </c>
      <c r="G11" s="694">
        <f t="shared" si="1"/>
        <v>53.994366666666664</v>
      </c>
      <c r="H11" s="683">
        <v>18</v>
      </c>
      <c r="I11" s="697">
        <v>14.976000000000001</v>
      </c>
      <c r="J11" s="695">
        <f t="shared" si="2"/>
        <v>18.249600000000001</v>
      </c>
      <c r="K11" s="689">
        <f t="shared" si="3"/>
        <v>53.994366666666664</v>
      </c>
      <c r="L11" s="689">
        <f t="shared" si="4"/>
        <v>18.249600000000001</v>
      </c>
    </row>
    <row r="12" spans="1:16" x14ac:dyDescent="0.25">
      <c r="A12" s="738" t="s">
        <v>1763</v>
      </c>
      <c r="B12" s="692">
        <v>912</v>
      </c>
      <c r="C12" s="693">
        <f t="shared" si="0"/>
        <v>277.97759957747405</v>
      </c>
      <c r="D12" s="683" t="s">
        <v>1387</v>
      </c>
      <c r="E12" s="683">
        <v>53</v>
      </c>
      <c r="F12" s="696">
        <v>59.771999999999998</v>
      </c>
      <c r="G12" s="694">
        <f t="shared" si="1"/>
        <v>53.996200000000002</v>
      </c>
      <c r="H12" s="683">
        <v>18</v>
      </c>
      <c r="I12" s="697">
        <v>14.814</v>
      </c>
      <c r="J12" s="695">
        <f t="shared" si="2"/>
        <v>18.2469</v>
      </c>
      <c r="K12" s="689">
        <f t="shared" si="3"/>
        <v>53.996200000000002</v>
      </c>
      <c r="L12" s="689">
        <f t="shared" si="4"/>
        <v>18.2469</v>
      </c>
    </row>
    <row r="13" spans="1:16" x14ac:dyDescent="0.25">
      <c r="A13" s="738" t="s">
        <v>1758</v>
      </c>
      <c r="B13" s="692">
        <v>919</v>
      </c>
      <c r="C13" s="693">
        <f t="shared" si="0"/>
        <v>280.11119957423097</v>
      </c>
      <c r="D13" s="683" t="s">
        <v>1382</v>
      </c>
      <c r="E13" s="683">
        <v>53</v>
      </c>
      <c r="F13" s="696">
        <v>59.868000000000002</v>
      </c>
      <c r="G13" s="694">
        <f t="shared" si="1"/>
        <v>53.997799999999998</v>
      </c>
      <c r="H13" s="683">
        <v>18</v>
      </c>
      <c r="I13" s="697">
        <v>14.682</v>
      </c>
      <c r="J13" s="695">
        <f t="shared" si="2"/>
        <v>18.244700000000002</v>
      </c>
      <c r="K13" s="689">
        <f t="shared" si="3"/>
        <v>53.997799999999998</v>
      </c>
      <c r="L13" s="689">
        <f t="shared" si="4"/>
        <v>18.244700000000002</v>
      </c>
    </row>
    <row r="14" spans="1:16" x14ac:dyDescent="0.25">
      <c r="A14" s="738" t="s">
        <v>1764</v>
      </c>
      <c r="B14" s="692">
        <v>926</v>
      </c>
      <c r="C14" s="693">
        <f t="shared" si="0"/>
        <v>282.24479957098788</v>
      </c>
      <c r="D14" s="683" t="s">
        <v>1388</v>
      </c>
      <c r="E14" s="683">
        <v>54</v>
      </c>
      <c r="F14" s="696">
        <v>4.5999999999999999E-2</v>
      </c>
      <c r="G14" s="694">
        <f t="shared" si="1"/>
        <v>54.000766666666664</v>
      </c>
      <c r="H14" s="683">
        <v>18</v>
      </c>
      <c r="I14" s="697">
        <v>15.226000000000001</v>
      </c>
      <c r="J14" s="695">
        <f t="shared" si="2"/>
        <v>18.253766666666667</v>
      </c>
      <c r="K14" s="689">
        <f t="shared" si="3"/>
        <v>54.000766666666664</v>
      </c>
      <c r="L14" s="689">
        <f t="shared" si="4"/>
        <v>18.253766666666667</v>
      </c>
    </row>
    <row r="15" spans="1:16" x14ac:dyDescent="0.25">
      <c r="A15" s="738" t="s">
        <v>1754</v>
      </c>
      <c r="B15" s="692">
        <v>928</v>
      </c>
      <c r="C15" s="693">
        <f t="shared" si="0"/>
        <v>282.85439957006128</v>
      </c>
      <c r="D15" s="683" t="s">
        <v>1378</v>
      </c>
      <c r="E15" s="683">
        <v>54</v>
      </c>
      <c r="F15" s="696">
        <v>9.6000000000000002E-2</v>
      </c>
      <c r="G15" s="694">
        <f t="shared" si="1"/>
        <v>54.001600000000003</v>
      </c>
      <c r="H15" s="683">
        <v>18</v>
      </c>
      <c r="I15" s="697">
        <v>14.901</v>
      </c>
      <c r="J15" s="695">
        <f t="shared" si="2"/>
        <v>18.248349999999999</v>
      </c>
      <c r="K15" s="689">
        <f t="shared" si="3"/>
        <v>54.001600000000003</v>
      </c>
      <c r="L15" s="689">
        <f t="shared" si="4"/>
        <v>18.248349999999999</v>
      </c>
    </row>
    <row r="16" spans="1:16" x14ac:dyDescent="0.25">
      <c r="A16" s="738" t="s">
        <v>1759</v>
      </c>
      <c r="B16" s="692">
        <v>923</v>
      </c>
      <c r="C16" s="693">
        <f t="shared" si="0"/>
        <v>281.33039957237776</v>
      </c>
      <c r="D16" s="683" t="s">
        <v>1383</v>
      </c>
      <c r="E16" s="683">
        <v>54</v>
      </c>
      <c r="F16" s="696">
        <v>0.113</v>
      </c>
      <c r="G16" s="694">
        <f t="shared" si="1"/>
        <v>54.001883333333332</v>
      </c>
      <c r="H16" s="683">
        <v>18</v>
      </c>
      <c r="I16" s="697">
        <v>14.8</v>
      </c>
      <c r="J16" s="695">
        <f t="shared" si="2"/>
        <v>18.246666666666666</v>
      </c>
      <c r="K16" s="689">
        <f t="shared" si="3"/>
        <v>54.001883333333332</v>
      </c>
      <c r="L16" s="689">
        <f t="shared" si="4"/>
        <v>18.246666666666666</v>
      </c>
    </row>
    <row r="17" spans="1:12" x14ac:dyDescent="0.25">
      <c r="A17" s="738" t="s">
        <v>1755</v>
      </c>
      <c r="B17" s="692">
        <v>932</v>
      </c>
      <c r="C17" s="693">
        <f t="shared" si="0"/>
        <v>284.07359956820812</v>
      </c>
      <c r="D17" s="683" t="s">
        <v>1379</v>
      </c>
      <c r="E17" s="683">
        <v>54</v>
      </c>
      <c r="F17" s="696">
        <v>0.14499999999999999</v>
      </c>
      <c r="G17" s="694">
        <f t="shared" si="1"/>
        <v>54.002416666666669</v>
      </c>
      <c r="H17" s="683">
        <v>18</v>
      </c>
      <c r="I17" s="697">
        <v>14.917</v>
      </c>
      <c r="J17" s="695">
        <f t="shared" si="2"/>
        <v>18.248616666666667</v>
      </c>
      <c r="K17" s="689">
        <f t="shared" si="3"/>
        <v>54.002416666666669</v>
      </c>
      <c r="L17" s="689">
        <f t="shared" si="4"/>
        <v>18.248616666666667</v>
      </c>
    </row>
    <row r="18" spans="1:12" x14ac:dyDescent="0.25">
      <c r="A18" s="738" t="s">
        <v>1760</v>
      </c>
      <c r="B18" s="692">
        <v>923</v>
      </c>
      <c r="C18" s="693">
        <f t="shared" si="0"/>
        <v>281.33039957237776</v>
      </c>
      <c r="D18" s="683" t="s">
        <v>1384</v>
      </c>
      <c r="E18" s="683">
        <v>54</v>
      </c>
      <c r="F18" s="696">
        <v>0.14499999999999999</v>
      </c>
      <c r="G18" s="694">
        <f t="shared" si="1"/>
        <v>54.002416666666669</v>
      </c>
      <c r="H18" s="683">
        <v>18</v>
      </c>
      <c r="I18" s="697">
        <v>14.808</v>
      </c>
      <c r="J18" s="695">
        <f t="shared" si="2"/>
        <v>18.2468</v>
      </c>
      <c r="K18" s="689">
        <f t="shared" si="3"/>
        <v>54.002416666666669</v>
      </c>
      <c r="L18" s="689">
        <f t="shared" si="4"/>
        <v>18.2468</v>
      </c>
    </row>
    <row r="19" spans="1:12" x14ac:dyDescent="0.25">
      <c r="A19" s="738" t="s">
        <v>1756</v>
      </c>
      <c r="B19" s="692">
        <v>931</v>
      </c>
      <c r="C19" s="693">
        <f t="shared" si="0"/>
        <v>283.7687995686714</v>
      </c>
      <c r="D19" s="683" t="s">
        <v>1380</v>
      </c>
      <c r="E19" s="683">
        <v>54</v>
      </c>
      <c r="F19" s="696">
        <v>0.20200000000000001</v>
      </c>
      <c r="G19" s="694">
        <f t="shared" si="1"/>
        <v>54.003366666666665</v>
      </c>
      <c r="H19" s="683">
        <v>18</v>
      </c>
      <c r="I19" s="697">
        <v>14.914</v>
      </c>
      <c r="J19" s="695">
        <f t="shared" si="2"/>
        <v>18.248566666666665</v>
      </c>
      <c r="K19" s="689">
        <f t="shared" si="3"/>
        <v>54.003366666666665</v>
      </c>
      <c r="L19" s="689">
        <f t="shared" si="4"/>
        <v>18.248566666666665</v>
      </c>
    </row>
    <row r="20" spans="1:12" x14ac:dyDescent="0.25">
      <c r="A20" s="738" t="s">
        <v>1762</v>
      </c>
      <c r="B20" s="692">
        <v>923</v>
      </c>
      <c r="C20" s="693">
        <f t="shared" si="0"/>
        <v>281.33039957237776</v>
      </c>
      <c r="D20" s="683" t="s">
        <v>1386</v>
      </c>
      <c r="E20" s="683">
        <v>54</v>
      </c>
      <c r="F20" s="696">
        <v>0.377</v>
      </c>
      <c r="G20" s="694">
        <f t="shared" si="1"/>
        <v>54.006283333333336</v>
      </c>
      <c r="H20" s="683">
        <v>18</v>
      </c>
      <c r="I20" s="697">
        <v>14.833</v>
      </c>
      <c r="J20" s="695">
        <f t="shared" si="2"/>
        <v>18.247216666666667</v>
      </c>
      <c r="K20" s="689">
        <f t="shared" si="3"/>
        <v>54.006283333333336</v>
      </c>
      <c r="L20" s="689">
        <f t="shared" si="4"/>
        <v>18.247216666666667</v>
      </c>
    </row>
    <row r="21" spans="1:12" x14ac:dyDescent="0.25">
      <c r="A21" s="738" t="s">
        <v>1757</v>
      </c>
      <c r="B21" s="692">
        <v>926</v>
      </c>
      <c r="C21" s="693">
        <f t="shared" si="0"/>
        <v>282.24479957098788</v>
      </c>
      <c r="D21" s="683" t="s">
        <v>1381</v>
      </c>
      <c r="E21" s="683">
        <v>54</v>
      </c>
      <c r="F21" s="696">
        <v>0.436</v>
      </c>
      <c r="G21" s="694">
        <f t="shared" si="1"/>
        <v>54.007266666666666</v>
      </c>
      <c r="H21" s="683">
        <v>18</v>
      </c>
      <c r="I21" s="697">
        <v>14.965</v>
      </c>
      <c r="J21" s="695">
        <f t="shared" si="2"/>
        <v>18.249416666666665</v>
      </c>
      <c r="K21" s="689">
        <f t="shared" si="3"/>
        <v>54.007266666666666</v>
      </c>
      <c r="L21" s="689">
        <f t="shared" si="4"/>
        <v>18.249416666666665</v>
      </c>
    </row>
    <row r="22" spans="1:12" x14ac:dyDescent="0.25">
      <c r="A22" s="738"/>
      <c r="C22" s="693"/>
      <c r="G22" s="694"/>
      <c r="I22" s="697"/>
      <c r="J22" s="695"/>
      <c r="K22" s="689">
        <f>AVERAGE(K10:K21)</f>
        <v>54.0005375</v>
      </c>
      <c r="L22" s="689">
        <f>AVERAGE(L10:L21)</f>
        <v>18.248925000000003</v>
      </c>
    </row>
    <row r="23" spans="1:12" x14ac:dyDescent="0.25">
      <c r="A23" s="738"/>
      <c r="C23" s="693"/>
      <c r="G23" s="694"/>
      <c r="I23" s="697"/>
      <c r="J23" s="695"/>
    </row>
    <row r="24" spans="1:12" x14ac:dyDescent="0.25">
      <c r="A24" s="738"/>
      <c r="C24" s="693"/>
      <c r="G24" s="694"/>
      <c r="I24" s="697"/>
      <c r="J24" s="695"/>
    </row>
    <row r="25" spans="1:12" x14ac:dyDescent="0.25">
      <c r="A25" s="738" t="s">
        <v>1741</v>
      </c>
      <c r="B25" s="692">
        <v>962</v>
      </c>
      <c r="C25" s="693">
        <f>B25/3.2808399</f>
        <v>293.21759955430923</v>
      </c>
      <c r="D25" s="683" t="s">
        <v>1363</v>
      </c>
      <c r="E25" s="686">
        <v>54</v>
      </c>
      <c r="F25" s="685">
        <v>6.7</v>
      </c>
      <c r="G25" s="694">
        <f>E25+F25/60</f>
        <v>54.111666666666665</v>
      </c>
      <c r="H25" s="688">
        <v>18</v>
      </c>
      <c r="I25" s="688">
        <v>13.6</v>
      </c>
      <c r="J25" s="695">
        <f>H25+I25/60</f>
        <v>18.226666666666667</v>
      </c>
      <c r="K25" s="689">
        <f>G25</f>
        <v>54.111666666666665</v>
      </c>
      <c r="L25" s="689">
        <f>J25</f>
        <v>18.226666666666667</v>
      </c>
    </row>
    <row r="26" spans="1:12" x14ac:dyDescent="0.25">
      <c r="A26" s="738" t="s">
        <v>1738</v>
      </c>
      <c r="B26" s="692">
        <v>829</v>
      </c>
      <c r="C26" s="692">
        <f>B26/3.2808399</f>
        <v>252.67919961592762</v>
      </c>
      <c r="D26" s="683" t="s">
        <v>1539</v>
      </c>
      <c r="E26" s="683">
        <v>54</v>
      </c>
      <c r="G26" s="689">
        <v>54.158000000000001</v>
      </c>
      <c r="H26" s="683">
        <v>18</v>
      </c>
      <c r="J26" s="689">
        <v>18.425000000000001</v>
      </c>
      <c r="K26" s="689">
        <f>G26</f>
        <v>54.158000000000001</v>
      </c>
      <c r="L26" s="689">
        <f>J26</f>
        <v>18.425000000000001</v>
      </c>
    </row>
    <row r="27" spans="1:12" customFormat="1" ht="12.75" x14ac:dyDescent="0.2"/>
    <row r="28" spans="1:12" customFormat="1" ht="12.75" x14ac:dyDescent="0.2"/>
    <row r="29" spans="1:12" customFormat="1" ht="12.75" x14ac:dyDescent="0.2"/>
    <row r="30" spans="1:12" customFormat="1" ht="12.75" x14ac:dyDescent="0.2"/>
    <row r="31" spans="1:12" x14ac:dyDescent="0.25">
      <c r="A31" s="692" t="s">
        <v>1540</v>
      </c>
      <c r="D31" s="683" t="s">
        <v>1511</v>
      </c>
      <c r="G31" s="689">
        <v>54.058</v>
      </c>
      <c r="J31" s="689">
        <v>18.46</v>
      </c>
      <c r="K31" s="689">
        <f>G31</f>
        <v>54.058</v>
      </c>
      <c r="L31" s="689">
        <f>J31</f>
        <v>18.46</v>
      </c>
    </row>
    <row r="32" spans="1:12" x14ac:dyDescent="0.25">
      <c r="C32" s="693"/>
      <c r="E32" s="686"/>
      <c r="F32" s="685"/>
      <c r="G32" s="694"/>
      <c r="H32" s="688"/>
      <c r="I32" s="688"/>
      <c r="J32" s="695"/>
    </row>
    <row r="33" spans="1:16" x14ac:dyDescent="0.25">
      <c r="A33" s="692" t="s">
        <v>245</v>
      </c>
      <c r="B33" s="692">
        <v>831</v>
      </c>
      <c r="C33" s="693">
        <f>B33/3.2808399</f>
        <v>253.28879961500101</v>
      </c>
      <c r="D33" s="683" t="s">
        <v>1366</v>
      </c>
      <c r="E33" s="686">
        <v>54</v>
      </c>
      <c r="F33" s="685">
        <v>8.8000000000000007</v>
      </c>
      <c r="G33" s="694">
        <f t="shared" ref="G33:G40" si="5">E33+F33/60</f>
        <v>54.146666666666668</v>
      </c>
      <c r="H33" s="688">
        <v>18</v>
      </c>
      <c r="I33" s="688">
        <v>24.2</v>
      </c>
      <c r="J33" s="695">
        <f t="shared" ref="J33:J40" si="6">H33+I33/60</f>
        <v>18.403333333333332</v>
      </c>
      <c r="K33" s="689">
        <f>G33</f>
        <v>54.146666666666668</v>
      </c>
      <c r="L33" s="689">
        <f t="shared" ref="L33:L59" si="7">J33</f>
        <v>18.403333333333332</v>
      </c>
    </row>
    <row r="34" spans="1:16" x14ac:dyDescent="0.25">
      <c r="A34" s="692" t="s">
        <v>1744</v>
      </c>
      <c r="B34" s="692">
        <v>830</v>
      </c>
      <c r="C34" s="693">
        <f>B34/3.2808399</f>
        <v>252.98399961546431</v>
      </c>
      <c r="D34" s="683" t="s">
        <v>1367</v>
      </c>
      <c r="E34" s="686">
        <v>54</v>
      </c>
      <c r="F34" s="685">
        <v>8.9</v>
      </c>
      <c r="G34" s="694">
        <f t="shared" si="5"/>
        <v>54.148333333333333</v>
      </c>
      <c r="H34" s="688">
        <v>18</v>
      </c>
      <c r="I34" s="688">
        <v>24.1</v>
      </c>
      <c r="J34" s="695">
        <f t="shared" si="6"/>
        <v>18.401666666666667</v>
      </c>
      <c r="K34" s="689">
        <f>G34</f>
        <v>54.148333333333333</v>
      </c>
      <c r="L34" s="689">
        <f t="shared" si="7"/>
        <v>18.401666666666667</v>
      </c>
    </row>
    <row r="35" spans="1:16" x14ac:dyDescent="0.25">
      <c r="A35" s="692" t="s">
        <v>1745</v>
      </c>
      <c r="B35" s="692">
        <v>831</v>
      </c>
      <c r="C35" s="693">
        <f>B35/3.2808399</f>
        <v>253.28879961500101</v>
      </c>
      <c r="D35" s="683" t="s">
        <v>1370</v>
      </c>
      <c r="E35" s="686">
        <v>54</v>
      </c>
      <c r="F35" s="685">
        <v>9</v>
      </c>
      <c r="G35" s="694">
        <f t="shared" si="5"/>
        <v>54.15</v>
      </c>
      <c r="H35" s="688">
        <v>18</v>
      </c>
      <c r="I35" s="688">
        <v>24.2</v>
      </c>
      <c r="J35" s="695">
        <f t="shared" si="6"/>
        <v>18.403333333333332</v>
      </c>
      <c r="K35" s="689">
        <f>G35</f>
        <v>54.15</v>
      </c>
      <c r="L35" s="689">
        <f t="shared" si="7"/>
        <v>18.403333333333332</v>
      </c>
    </row>
    <row r="36" spans="1:16" x14ac:dyDescent="0.25">
      <c r="A36" s="692" t="s">
        <v>1750</v>
      </c>
      <c r="B36" s="692">
        <v>831</v>
      </c>
      <c r="C36" s="693">
        <f>B36/3.2808399</f>
        <v>253.28879961500101</v>
      </c>
      <c r="D36" s="683" t="s">
        <v>1374</v>
      </c>
      <c r="E36" s="686">
        <v>54</v>
      </c>
      <c r="F36" s="685">
        <v>9</v>
      </c>
      <c r="G36" s="694">
        <f t="shared" si="5"/>
        <v>54.15</v>
      </c>
      <c r="H36" s="688">
        <v>18</v>
      </c>
      <c r="I36" s="688">
        <v>24.2</v>
      </c>
      <c r="J36" s="695">
        <f t="shared" si="6"/>
        <v>18.403333333333332</v>
      </c>
      <c r="K36" s="689">
        <f>G36</f>
        <v>54.15</v>
      </c>
      <c r="L36" s="689">
        <f t="shared" si="7"/>
        <v>18.403333333333332</v>
      </c>
    </row>
    <row r="37" spans="1:16" x14ac:dyDescent="0.25">
      <c r="A37" s="692" t="s">
        <v>1740</v>
      </c>
      <c r="B37" s="692">
        <v>833</v>
      </c>
      <c r="C37" s="693">
        <f>B37/3.2808399</f>
        <v>253.89839961407444</v>
      </c>
      <c r="D37" s="683" t="s">
        <v>1362</v>
      </c>
      <c r="E37" s="686">
        <v>54</v>
      </c>
      <c r="F37" s="685">
        <v>9.1</v>
      </c>
      <c r="G37" s="694">
        <f t="shared" si="5"/>
        <v>54.151666666666664</v>
      </c>
      <c r="H37" s="688">
        <v>18</v>
      </c>
      <c r="I37" s="688">
        <v>24.2</v>
      </c>
      <c r="J37" s="695">
        <f t="shared" si="6"/>
        <v>18.403333333333332</v>
      </c>
      <c r="K37" s="689">
        <f>G37</f>
        <v>54.151666666666664</v>
      </c>
      <c r="L37" s="689">
        <f t="shared" si="7"/>
        <v>18.403333333333332</v>
      </c>
    </row>
    <row r="38" spans="1:16" x14ac:dyDescent="0.25">
      <c r="C38" s="693"/>
      <c r="E38" s="686"/>
      <c r="F38" s="685"/>
      <c r="G38" s="694"/>
      <c r="H38" s="688"/>
      <c r="I38" s="688"/>
      <c r="J38" s="695"/>
    </row>
    <row r="39" spans="1:16" x14ac:dyDescent="0.25">
      <c r="A39" s="692" t="s">
        <v>1856</v>
      </c>
      <c r="C39" s="693"/>
      <c r="D39" s="711" t="s">
        <v>1518</v>
      </c>
      <c r="E39" s="705">
        <v>54</v>
      </c>
      <c r="F39" s="696">
        <f>9+25.2/60</f>
        <v>9.42</v>
      </c>
      <c r="G39" s="694">
        <f t="shared" si="5"/>
        <v>54.156999999999996</v>
      </c>
      <c r="H39" s="683">
        <v>18</v>
      </c>
      <c r="I39" s="683">
        <f>42+41.4/60</f>
        <v>42.69</v>
      </c>
      <c r="J39" s="695">
        <f t="shared" si="6"/>
        <v>18.711500000000001</v>
      </c>
      <c r="K39" s="689">
        <f>G39</f>
        <v>54.156999999999996</v>
      </c>
      <c r="L39" s="689">
        <f t="shared" si="7"/>
        <v>18.711500000000001</v>
      </c>
    </row>
    <row r="40" spans="1:16" x14ac:dyDescent="0.25">
      <c r="A40" s="692" t="s">
        <v>1855</v>
      </c>
      <c r="C40" s="693"/>
      <c r="D40" s="712" t="s">
        <v>1516</v>
      </c>
      <c r="E40" s="705">
        <v>54</v>
      </c>
      <c r="F40" s="696">
        <f>9+26.3/60</f>
        <v>9.4383333333333326</v>
      </c>
      <c r="G40" s="694">
        <f t="shared" si="5"/>
        <v>54.157305555555553</v>
      </c>
      <c r="H40" s="683">
        <v>18</v>
      </c>
      <c r="I40" s="683">
        <f>42+40.9/60</f>
        <v>42.681666666666665</v>
      </c>
      <c r="J40" s="695">
        <f t="shared" si="6"/>
        <v>18.71136111111111</v>
      </c>
      <c r="K40" s="689">
        <f>G40</f>
        <v>54.157305555555553</v>
      </c>
      <c r="L40" s="689">
        <f t="shared" si="7"/>
        <v>18.71136111111111</v>
      </c>
    </row>
    <row r="41" spans="1:16" x14ac:dyDescent="0.25">
      <c r="A41" s="692" t="s">
        <v>1784</v>
      </c>
      <c r="C41" s="693"/>
      <c r="D41" s="711" t="s">
        <v>1517</v>
      </c>
      <c r="E41" s="705">
        <v>54</v>
      </c>
      <c r="F41" s="696">
        <f>9+37.1/60</f>
        <v>9.6183333333333341</v>
      </c>
      <c r="G41" s="694">
        <f>E41+F41/60</f>
        <v>54.160305555555553</v>
      </c>
      <c r="H41" s="683">
        <v>18</v>
      </c>
      <c r="I41" s="683">
        <f>42+40.4/60</f>
        <v>42.673333333333332</v>
      </c>
      <c r="J41" s="695">
        <f>H41+I41/60</f>
        <v>18.711222222222222</v>
      </c>
      <c r="K41" s="689">
        <f>G41</f>
        <v>54.160305555555553</v>
      </c>
      <c r="L41" s="689">
        <f t="shared" si="7"/>
        <v>18.711222222222222</v>
      </c>
    </row>
    <row r="42" spans="1:16" customFormat="1" x14ac:dyDescent="0.25">
      <c r="K42" s="689">
        <f>AVERAGE(K39:K41)</f>
        <v>54.158203703703698</v>
      </c>
      <c r="L42" s="689">
        <f>AVERAGE(L39:L41)</f>
        <v>18.711361111111113</v>
      </c>
    </row>
    <row r="43" spans="1:16" customFormat="1" ht="12.75" x14ac:dyDescent="0.2"/>
    <row r="44" spans="1:16" x14ac:dyDescent="0.25">
      <c r="A44" s="692" t="s">
        <v>1430</v>
      </c>
      <c r="B44" s="692">
        <v>824</v>
      </c>
      <c r="C44" s="693">
        <f>B44/3.2808399</f>
        <v>251.1551996182441</v>
      </c>
      <c r="D44" s="683" t="s">
        <v>1470</v>
      </c>
      <c r="E44" s="683">
        <v>54</v>
      </c>
      <c r="F44" s="696">
        <f>10+29.54/60</f>
        <v>10.492333333333333</v>
      </c>
      <c r="G44" s="694">
        <f>E44+F44/60</f>
        <v>54.17487222222222</v>
      </c>
      <c r="H44" s="683">
        <v>18</v>
      </c>
      <c r="I44" s="683">
        <f>28+7.62/60</f>
        <v>28.126999999999999</v>
      </c>
      <c r="J44" s="695">
        <f>H44+I44/60</f>
        <v>18.468783333333334</v>
      </c>
      <c r="K44" s="689">
        <f>G44</f>
        <v>54.17487222222222</v>
      </c>
      <c r="L44" s="689">
        <f t="shared" si="7"/>
        <v>18.468783333333334</v>
      </c>
    </row>
    <row r="45" spans="1:16" x14ac:dyDescent="0.25">
      <c r="A45" s="692" t="s">
        <v>1859</v>
      </c>
      <c r="D45" s="683" t="s">
        <v>1860</v>
      </c>
      <c r="E45" s="683">
        <v>54</v>
      </c>
      <c r="F45" s="696">
        <v>12.8</v>
      </c>
      <c r="G45" s="694">
        <f>E45+F45/60</f>
        <v>54.213333333333331</v>
      </c>
      <c r="H45" s="683">
        <v>18</v>
      </c>
      <c r="I45" s="683">
        <v>20.399999999999999</v>
      </c>
      <c r="J45" s="695">
        <f>H45+I45/60</f>
        <v>18.34</v>
      </c>
      <c r="K45" s="689">
        <f>G45</f>
        <v>54.213333333333331</v>
      </c>
      <c r="L45" s="689">
        <f t="shared" si="7"/>
        <v>18.34</v>
      </c>
      <c r="P45" s="689">
        <f>L45</f>
        <v>18.34</v>
      </c>
    </row>
    <row r="46" spans="1:16" x14ac:dyDescent="0.25">
      <c r="A46" s="718" t="s">
        <v>1770</v>
      </c>
      <c r="B46" s="692">
        <v>739</v>
      </c>
      <c r="C46" s="693">
        <f>B46/3.2808399</f>
        <v>225.24719965762424</v>
      </c>
      <c r="D46" s="683" t="s">
        <v>1394</v>
      </c>
      <c r="E46" s="686">
        <v>54</v>
      </c>
      <c r="F46" s="685">
        <v>13.8</v>
      </c>
      <c r="G46" s="694">
        <f>E46+F46/60</f>
        <v>54.23</v>
      </c>
      <c r="H46" s="688">
        <v>18</v>
      </c>
      <c r="I46" s="688">
        <v>35.299999999999997</v>
      </c>
      <c r="J46" s="695">
        <f>H46+I46/60</f>
        <v>18.588333333333335</v>
      </c>
      <c r="K46" s="689">
        <f>G46</f>
        <v>54.23</v>
      </c>
      <c r="L46" s="689">
        <f t="shared" si="7"/>
        <v>18.588333333333335</v>
      </c>
    </row>
    <row r="47" spans="1:16" x14ac:dyDescent="0.25">
      <c r="A47" s="718" t="s">
        <v>1739</v>
      </c>
      <c r="D47" s="683" t="s">
        <v>1785</v>
      </c>
      <c r="F47" s="708"/>
      <c r="G47" s="689">
        <v>54.271000000000001</v>
      </c>
      <c r="J47" s="689">
        <v>18.591999999999999</v>
      </c>
      <c r="K47" s="689">
        <f>G47</f>
        <v>54.271000000000001</v>
      </c>
      <c r="L47" s="689">
        <f t="shared" si="7"/>
        <v>18.591999999999999</v>
      </c>
    </row>
    <row r="48" spans="1:16" customFormat="1" ht="12.75" x14ac:dyDescent="0.2"/>
    <row r="49" spans="1:12" customFormat="1" ht="12.75" x14ac:dyDescent="0.2"/>
    <row r="50" spans="1:12" customFormat="1" ht="12.75" x14ac:dyDescent="0.2"/>
    <row r="51" spans="1:12" x14ac:dyDescent="0.25">
      <c r="A51" s="692" t="s">
        <v>1104</v>
      </c>
      <c r="B51" s="692">
        <v>612</v>
      </c>
      <c r="C51" s="693">
        <f t="shared" ref="C51:C63" si="8">B51/3.2808399</f>
        <v>186.53759971646284</v>
      </c>
      <c r="D51" s="683" t="s">
        <v>1462</v>
      </c>
      <c r="E51" s="683">
        <v>54</v>
      </c>
      <c r="F51" s="696">
        <v>20.36</v>
      </c>
      <c r="G51" s="694">
        <f>E51+F51/60</f>
        <v>54.339333333333336</v>
      </c>
      <c r="H51" s="683">
        <v>18</v>
      </c>
      <c r="I51" s="683">
        <v>53.44</v>
      </c>
      <c r="J51" s="695">
        <f>H51+I51/60</f>
        <v>18.890666666666668</v>
      </c>
      <c r="K51" s="689">
        <f t="shared" ref="K51:K77" si="9">G51</f>
        <v>54.339333333333336</v>
      </c>
      <c r="L51" s="689">
        <f t="shared" si="7"/>
        <v>18.890666666666668</v>
      </c>
    </row>
    <row r="52" spans="1:12" x14ac:dyDescent="0.25">
      <c r="A52" s="692" t="s">
        <v>1103</v>
      </c>
      <c r="B52" s="692">
        <v>592</v>
      </c>
      <c r="C52" s="693">
        <f t="shared" si="8"/>
        <v>180.44159972572876</v>
      </c>
      <c r="D52" s="683" t="s">
        <v>1461</v>
      </c>
      <c r="E52" s="705">
        <v>54</v>
      </c>
      <c r="F52" s="696">
        <f>20+42/60</f>
        <v>20.7</v>
      </c>
      <c r="G52" s="694">
        <f>E52+F52/60</f>
        <v>54.344999999999999</v>
      </c>
      <c r="H52" s="683">
        <v>18</v>
      </c>
      <c r="I52" s="683">
        <f>54+52/60</f>
        <v>54.866666666666667</v>
      </c>
      <c r="J52" s="695">
        <f>H52+I52/60</f>
        <v>18.914444444444445</v>
      </c>
      <c r="K52" s="689">
        <f t="shared" si="9"/>
        <v>54.344999999999999</v>
      </c>
      <c r="L52" s="689">
        <f t="shared" si="7"/>
        <v>18.914444444444445</v>
      </c>
    </row>
    <row r="53" spans="1:12" customFormat="1" ht="12.75" x14ac:dyDescent="0.2"/>
    <row r="54" spans="1:12" customFormat="1" ht="12.75" x14ac:dyDescent="0.2"/>
    <row r="55" spans="1:12" x14ac:dyDescent="0.25">
      <c r="A55" s="692" t="s">
        <v>1783</v>
      </c>
      <c r="B55" s="692">
        <v>887</v>
      </c>
      <c r="C55" s="693">
        <f t="shared" si="8"/>
        <v>270.35759958905646</v>
      </c>
      <c r="D55" s="683" t="s">
        <v>1408</v>
      </c>
      <c r="E55" s="683">
        <v>54</v>
      </c>
      <c r="F55" s="696">
        <v>25.3</v>
      </c>
      <c r="G55" s="694">
        <f>E55+F55/60</f>
        <v>54.421666666666667</v>
      </c>
      <c r="H55" s="683">
        <v>18</v>
      </c>
      <c r="I55" s="683">
        <v>25</v>
      </c>
      <c r="J55" s="695">
        <f>H55+I55/60</f>
        <v>18.416666666666668</v>
      </c>
      <c r="K55" s="689">
        <f t="shared" si="9"/>
        <v>54.421666666666667</v>
      </c>
      <c r="L55" s="689">
        <f t="shared" si="7"/>
        <v>18.416666666666668</v>
      </c>
    </row>
    <row r="56" spans="1:12" x14ac:dyDescent="0.25">
      <c r="A56" s="692" t="s">
        <v>1782</v>
      </c>
      <c r="B56" s="692">
        <v>880</v>
      </c>
      <c r="C56" s="693">
        <f t="shared" si="8"/>
        <v>268.22399959229949</v>
      </c>
      <c r="D56" s="683" t="s">
        <v>1406</v>
      </c>
      <c r="E56" s="683">
        <v>54</v>
      </c>
      <c r="F56" s="696">
        <v>25.4</v>
      </c>
      <c r="G56" s="694">
        <f>E56+F56/60</f>
        <v>54.423333333333332</v>
      </c>
      <c r="H56" s="683">
        <v>18</v>
      </c>
      <c r="I56" s="683">
        <v>25.4</v>
      </c>
      <c r="J56" s="695">
        <f>H56+I56/60</f>
        <v>18.423333333333332</v>
      </c>
      <c r="K56" s="689">
        <f t="shared" si="9"/>
        <v>54.423333333333332</v>
      </c>
      <c r="L56" s="689">
        <f t="shared" si="7"/>
        <v>18.423333333333332</v>
      </c>
    </row>
    <row r="57" spans="1:12" x14ac:dyDescent="0.25">
      <c r="C57" s="693"/>
      <c r="G57" s="694"/>
      <c r="J57" s="695"/>
      <c r="K57" s="689">
        <f>AVERAGE(K55:K56)</f>
        <v>54.422499999999999</v>
      </c>
      <c r="L57" s="689">
        <f>AVERAGE(L55:L56)</f>
        <v>18.420000000000002</v>
      </c>
    </row>
    <row r="58" spans="1:12" customFormat="1" ht="12.75" x14ac:dyDescent="0.2"/>
    <row r="59" spans="1:12" x14ac:dyDescent="0.25">
      <c r="A59" s="701" t="s">
        <v>1767</v>
      </c>
      <c r="B59" s="701">
        <v>722</v>
      </c>
      <c r="C59" s="693">
        <f t="shared" si="8"/>
        <v>220.06559966550029</v>
      </c>
      <c r="D59" s="702" t="s">
        <v>1391</v>
      </c>
      <c r="E59" s="686">
        <v>54</v>
      </c>
      <c r="F59" s="685">
        <v>27</v>
      </c>
      <c r="G59" s="694">
        <f>E59+F59/60</f>
        <v>54.45</v>
      </c>
      <c r="H59" s="688">
        <v>18</v>
      </c>
      <c r="I59" s="688">
        <v>43</v>
      </c>
      <c r="J59" s="695">
        <f>H59+I59/60</f>
        <v>18.716666666666665</v>
      </c>
      <c r="K59" s="703">
        <f t="shared" si="9"/>
        <v>54.45</v>
      </c>
      <c r="L59" s="703">
        <f t="shared" si="7"/>
        <v>18.716666666666665</v>
      </c>
    </row>
    <row r="60" spans="1:12" x14ac:dyDescent="0.25">
      <c r="A60" s="701" t="s">
        <v>1779</v>
      </c>
      <c r="B60" s="701">
        <v>719</v>
      </c>
      <c r="C60" s="693">
        <f t="shared" si="8"/>
        <v>219.15119966689016</v>
      </c>
      <c r="D60" s="702" t="s">
        <v>1403</v>
      </c>
      <c r="E60" s="686">
        <v>54</v>
      </c>
      <c r="F60" s="685">
        <v>27.646000000000001</v>
      </c>
      <c r="G60" s="694">
        <f>E60+F60/60</f>
        <v>54.460766666666665</v>
      </c>
      <c r="H60" s="688">
        <v>18</v>
      </c>
      <c r="I60" s="688">
        <v>43.326000000000001</v>
      </c>
      <c r="J60" s="695">
        <f>H60+I60/60</f>
        <v>18.722100000000001</v>
      </c>
      <c r="K60" s="703">
        <f t="shared" si="9"/>
        <v>54.460766666666665</v>
      </c>
      <c r="L60" s="703">
        <f>J60</f>
        <v>18.722100000000001</v>
      </c>
    </row>
    <row r="61" spans="1:12" customFormat="1" ht="12.75" x14ac:dyDescent="0.2">
      <c r="K61" s="63">
        <f>AVERAGE(K59:K60)</f>
        <v>54.45538333333333</v>
      </c>
      <c r="L61" s="63">
        <f>AVERAGE(L59:L60)</f>
        <v>18.719383333333333</v>
      </c>
    </row>
    <row r="62" spans="1:12" customFormat="1" ht="12.75" x14ac:dyDescent="0.2"/>
    <row r="63" spans="1:12" x14ac:dyDescent="0.25">
      <c r="A63" s="692" t="s">
        <v>1430</v>
      </c>
      <c r="B63" s="692">
        <v>464</v>
      </c>
      <c r="C63" s="693">
        <f t="shared" si="8"/>
        <v>141.42719978503064</v>
      </c>
      <c r="D63" s="683" t="s">
        <v>1469</v>
      </c>
      <c r="E63" s="683">
        <v>54</v>
      </c>
      <c r="F63" s="696">
        <f>28+0.93/60</f>
        <v>28.015499999999999</v>
      </c>
      <c r="G63" s="694">
        <f>E63+F63/60</f>
        <v>54.466925000000003</v>
      </c>
      <c r="H63" s="683">
        <v>19</v>
      </c>
      <c r="I63" s="683">
        <f>23+22.25/60</f>
        <v>23.370833333333334</v>
      </c>
      <c r="J63" s="695">
        <f>H63+I63/60</f>
        <v>19.389513888888889</v>
      </c>
      <c r="K63" s="689">
        <f t="shared" si="9"/>
        <v>54.466925000000003</v>
      </c>
      <c r="L63" s="689">
        <f>J63</f>
        <v>19.389513888888889</v>
      </c>
    </row>
    <row r="64" spans="1:12" customFormat="1" ht="12.75" x14ac:dyDescent="0.2"/>
    <row r="65" spans="1:17" customFormat="1" ht="12.75" x14ac:dyDescent="0.2"/>
    <row r="66" spans="1:17" x14ac:dyDescent="0.25">
      <c r="A66" s="692" t="s">
        <v>1857</v>
      </c>
      <c r="D66" s="683" t="s">
        <v>1858</v>
      </c>
      <c r="E66" s="683">
        <v>54</v>
      </c>
      <c r="F66" s="696">
        <v>32.241999999999997</v>
      </c>
      <c r="G66" s="694">
        <f>E66+F66/60</f>
        <v>54.537366666666664</v>
      </c>
      <c r="H66" s="683">
        <v>19</v>
      </c>
      <c r="I66" s="683">
        <v>0.64300000000000002</v>
      </c>
      <c r="J66" s="695">
        <f>H66+I66/60</f>
        <v>19.010716666666667</v>
      </c>
      <c r="K66" s="689">
        <f t="shared" si="9"/>
        <v>54.537366666666664</v>
      </c>
      <c r="L66" s="689">
        <f>J66</f>
        <v>19.010716666666667</v>
      </c>
    </row>
    <row r="67" spans="1:17" x14ac:dyDescent="0.25">
      <c r="A67" s="707" t="s">
        <v>1468</v>
      </c>
      <c r="B67" s="692">
        <v>575</v>
      </c>
      <c r="C67" s="693">
        <f t="shared" ref="C67:C77" si="10">B67/3.2808399</f>
        <v>175.25999973360479</v>
      </c>
      <c r="D67" s="683" t="s">
        <v>1419</v>
      </c>
      <c r="E67" s="683">
        <v>54</v>
      </c>
      <c r="F67" s="696">
        <v>32.246000000000002</v>
      </c>
      <c r="G67" s="694">
        <f>E67+F67/60</f>
        <v>54.537433333333333</v>
      </c>
      <c r="H67" s="683">
        <v>19</v>
      </c>
      <c r="I67" s="683">
        <v>0.64500000000000002</v>
      </c>
      <c r="J67" s="695">
        <f>H67+I67/60</f>
        <v>19.010750000000002</v>
      </c>
      <c r="K67" s="689">
        <f t="shared" si="9"/>
        <v>54.537433333333333</v>
      </c>
      <c r="L67" s="689">
        <f>J67</f>
        <v>19.010750000000002</v>
      </c>
      <c r="Q67" s="689"/>
    </row>
    <row r="68" spans="1:17" x14ac:dyDescent="0.25">
      <c r="A68" s="707" t="s">
        <v>2747</v>
      </c>
      <c r="C68" s="693"/>
      <c r="D68" s="683" t="s">
        <v>2748</v>
      </c>
      <c r="E68" s="683">
        <v>54</v>
      </c>
      <c r="F68" s="696">
        <f>27+19.5/60</f>
        <v>27.324999999999999</v>
      </c>
      <c r="G68" s="694">
        <f>E68+F68/60</f>
        <v>54.455416666666665</v>
      </c>
      <c r="H68" s="683">
        <v>19</v>
      </c>
      <c r="I68" s="683">
        <f>3+35.5/60</f>
        <v>3.5916666666666668</v>
      </c>
      <c r="J68" s="695">
        <f>H68+I68/60</f>
        <v>19.059861111111111</v>
      </c>
      <c r="K68" s="689">
        <f>G68</f>
        <v>54.455416666666665</v>
      </c>
      <c r="L68" s="689">
        <f>J68</f>
        <v>19.059861111111111</v>
      </c>
      <c r="Q68" s="689"/>
    </row>
    <row r="69" spans="1:17" customFormat="1" ht="12.75" x14ac:dyDescent="0.2">
      <c r="K69" s="63">
        <f>AVERAGE(K66:K68)</f>
        <v>54.51007222222222</v>
      </c>
      <c r="L69" s="63">
        <f>AVERAGE(L66:L68)</f>
        <v>19.027109259259259</v>
      </c>
    </row>
    <row r="70" spans="1:17" customFormat="1" ht="12.75" x14ac:dyDescent="0.2"/>
    <row r="71" spans="1:17" x14ac:dyDescent="0.25">
      <c r="A71" s="704" t="s">
        <v>1777</v>
      </c>
      <c r="B71" s="704">
        <v>518</v>
      </c>
      <c r="C71" s="693">
        <f t="shared" si="10"/>
        <v>157.88639976001267</v>
      </c>
      <c r="D71" s="705" t="s">
        <v>1401</v>
      </c>
      <c r="E71" s="705">
        <v>54</v>
      </c>
      <c r="F71" s="706">
        <v>33.5</v>
      </c>
      <c r="G71" s="694">
        <f>E71+F71/60</f>
        <v>54.55833333333333</v>
      </c>
      <c r="H71" s="683">
        <v>19</v>
      </c>
      <c r="I71" s="683">
        <v>23.8</v>
      </c>
      <c r="J71" s="695">
        <f>H71+I71/60</f>
        <v>19.396666666666668</v>
      </c>
      <c r="K71" s="689">
        <f t="shared" si="9"/>
        <v>54.55833333333333</v>
      </c>
      <c r="L71" s="689">
        <f>J71</f>
        <v>19.396666666666668</v>
      </c>
    </row>
    <row r="72" spans="1:17" x14ac:dyDescent="0.25">
      <c r="A72" s="698" t="s">
        <v>1775</v>
      </c>
      <c r="B72" s="698">
        <v>520</v>
      </c>
      <c r="C72" s="693">
        <f t="shared" si="10"/>
        <v>158.49599975908606</v>
      </c>
      <c r="D72" s="699" t="s">
        <v>1399</v>
      </c>
      <c r="E72" s="686">
        <v>54</v>
      </c>
      <c r="F72" s="685">
        <v>33.799999999999997</v>
      </c>
      <c r="G72" s="694">
        <f>E72+F72/60</f>
        <v>54.563333333333333</v>
      </c>
      <c r="H72" s="688">
        <v>19</v>
      </c>
      <c r="I72" s="688">
        <v>23.8</v>
      </c>
      <c r="J72" s="695">
        <f>H72+I72/60</f>
        <v>19.396666666666668</v>
      </c>
      <c r="K72" s="700">
        <f t="shared" si="9"/>
        <v>54.563333333333333</v>
      </c>
      <c r="L72" s="700">
        <f>J72</f>
        <v>19.396666666666668</v>
      </c>
    </row>
    <row r="73" spans="1:17" x14ac:dyDescent="0.25">
      <c r="A73" s="704" t="s">
        <v>1778</v>
      </c>
      <c r="B73" s="704">
        <v>516</v>
      </c>
      <c r="C73" s="693">
        <f t="shared" si="10"/>
        <v>157.27679976093927</v>
      </c>
      <c r="D73" s="705" t="s">
        <v>1402</v>
      </c>
      <c r="E73" s="705">
        <v>54</v>
      </c>
      <c r="F73" s="706">
        <v>33.799999999999997</v>
      </c>
      <c r="G73" s="694">
        <f>E73+F73/60</f>
        <v>54.563333333333333</v>
      </c>
      <c r="H73" s="683">
        <v>19</v>
      </c>
      <c r="I73" s="683">
        <v>23.9</v>
      </c>
      <c r="J73" s="695">
        <f>H73+I73/60</f>
        <v>19.398333333333333</v>
      </c>
      <c r="K73" s="689">
        <f t="shared" si="9"/>
        <v>54.563333333333333</v>
      </c>
      <c r="L73" s="689">
        <f>J73</f>
        <v>19.398333333333333</v>
      </c>
    </row>
    <row r="74" spans="1:17" customFormat="1" ht="12.75" x14ac:dyDescent="0.2">
      <c r="G74" s="63">
        <f>AVERAGE(G71:G73)</f>
        <v>54.561666666666667</v>
      </c>
      <c r="J74" s="63">
        <f>AVERAGE(J71:J73)</f>
        <v>19.397222222222222</v>
      </c>
      <c r="K74" s="63">
        <f>AVERAGE(K71:K73)</f>
        <v>54.561666666666667</v>
      </c>
      <c r="L74" s="63">
        <f>AVERAGE(L71:L73)</f>
        <v>19.397222222222222</v>
      </c>
    </row>
    <row r="75" spans="1:17" customFormat="1" ht="12.75" x14ac:dyDescent="0.2"/>
    <row r="76" spans="1:17" customFormat="1" ht="12.75" x14ac:dyDescent="0.2"/>
    <row r="77" spans="1:17" x14ac:dyDescent="0.25">
      <c r="A77" s="692" t="s">
        <v>1105</v>
      </c>
      <c r="B77" s="692">
        <v>571</v>
      </c>
      <c r="C77" s="693">
        <f t="shared" si="10"/>
        <v>174.04079973545797</v>
      </c>
      <c r="D77" s="683" t="s">
        <v>1407</v>
      </c>
      <c r="E77" s="683">
        <v>54</v>
      </c>
      <c r="F77" s="696">
        <v>34.4</v>
      </c>
      <c r="G77" s="694">
        <f>E77+F77/60</f>
        <v>54.573333333333331</v>
      </c>
      <c r="H77" s="683">
        <v>19</v>
      </c>
      <c r="I77" s="683">
        <v>17.5</v>
      </c>
      <c r="J77" s="695">
        <f>H77+I77/60</f>
        <v>19.291666666666668</v>
      </c>
      <c r="K77" s="689">
        <f t="shared" si="9"/>
        <v>54.573333333333331</v>
      </c>
      <c r="L77" s="689">
        <f>J77</f>
        <v>19.291666666666668</v>
      </c>
    </row>
    <row r="79" spans="1:17" x14ac:dyDescent="0.25">
      <c r="A79" s="736" t="s">
        <v>1766</v>
      </c>
      <c r="B79" s="698">
        <v>478</v>
      </c>
      <c r="C79" s="693">
        <f t="shared" ref="C79:C99" si="11">B79/3.2808399</f>
        <v>145.69439977854449</v>
      </c>
      <c r="D79" s="699" t="s">
        <v>1390</v>
      </c>
      <c r="E79" s="686">
        <v>54</v>
      </c>
      <c r="F79" s="685">
        <v>35</v>
      </c>
      <c r="G79" s="694">
        <f t="shared" ref="G79:G99" si="12">E79+F79/60</f>
        <v>54.583333333333336</v>
      </c>
      <c r="H79" s="688">
        <v>19</v>
      </c>
      <c r="I79" s="688">
        <v>25</v>
      </c>
      <c r="J79" s="695">
        <f t="shared" ref="J79:J99" si="13">H79+I79/60</f>
        <v>19.416666666666668</v>
      </c>
      <c r="K79" s="700">
        <f t="shared" ref="K79:K99" si="14">G79</f>
        <v>54.583333333333336</v>
      </c>
      <c r="L79" s="700">
        <f t="shared" ref="L79:L99" si="15">J79</f>
        <v>19.416666666666668</v>
      </c>
    </row>
    <row r="80" spans="1:17" x14ac:dyDescent="0.25">
      <c r="A80" s="736" t="s">
        <v>1781</v>
      </c>
      <c r="B80" s="704">
        <v>583</v>
      </c>
      <c r="C80" s="693">
        <f t="shared" si="11"/>
        <v>177.69839972989843</v>
      </c>
      <c r="D80" s="705" t="s">
        <v>1405</v>
      </c>
      <c r="E80" s="705">
        <v>54</v>
      </c>
      <c r="F80" s="706">
        <v>46.506999999999998</v>
      </c>
      <c r="G80" s="694">
        <f t="shared" si="12"/>
        <v>54.775116666666669</v>
      </c>
      <c r="H80" s="683">
        <v>19</v>
      </c>
      <c r="I80" s="683">
        <v>19.605</v>
      </c>
      <c r="J80" s="695">
        <f t="shared" si="13"/>
        <v>19.326750000000001</v>
      </c>
      <c r="K80" s="689">
        <f t="shared" si="14"/>
        <v>54.775116666666669</v>
      </c>
      <c r="L80" s="689">
        <f t="shared" si="15"/>
        <v>19.326750000000001</v>
      </c>
    </row>
    <row r="81" spans="1:12" x14ac:dyDescent="0.25">
      <c r="A81" s="736" t="s">
        <v>1774</v>
      </c>
      <c r="B81" s="692">
        <v>585</v>
      </c>
      <c r="C81" s="693">
        <f t="shared" si="11"/>
        <v>178.30799972897182</v>
      </c>
      <c r="D81" s="683" t="s">
        <v>1398</v>
      </c>
      <c r="E81" s="686">
        <v>54</v>
      </c>
      <c r="F81" s="685">
        <v>46.6</v>
      </c>
      <c r="G81" s="694">
        <f t="shared" si="12"/>
        <v>54.776666666666664</v>
      </c>
      <c r="H81" s="688">
        <v>19</v>
      </c>
      <c r="I81" s="688">
        <v>19.899999999999999</v>
      </c>
      <c r="J81" s="695">
        <f t="shared" si="13"/>
        <v>19.331666666666667</v>
      </c>
      <c r="K81" s="689">
        <f t="shared" si="14"/>
        <v>54.776666666666664</v>
      </c>
      <c r="L81" s="689">
        <f t="shared" si="15"/>
        <v>19.331666666666667</v>
      </c>
    </row>
    <row r="82" spans="1:12" x14ac:dyDescent="0.25">
      <c r="A82" s="736" t="s">
        <v>1780</v>
      </c>
      <c r="B82" s="692">
        <v>586</v>
      </c>
      <c r="C82" s="693">
        <f t="shared" si="11"/>
        <v>178.61279972850855</v>
      </c>
      <c r="D82" s="683" t="s">
        <v>1404</v>
      </c>
      <c r="E82" s="686">
        <v>54</v>
      </c>
      <c r="F82" s="685">
        <v>46.631</v>
      </c>
      <c r="G82" s="694">
        <f t="shared" si="12"/>
        <v>54.777183333333333</v>
      </c>
      <c r="H82" s="688">
        <v>19</v>
      </c>
      <c r="I82" s="688">
        <v>19.686</v>
      </c>
      <c r="J82" s="695">
        <f t="shared" si="13"/>
        <v>19.328099999999999</v>
      </c>
      <c r="K82" s="689">
        <f t="shared" si="14"/>
        <v>54.777183333333333</v>
      </c>
      <c r="L82" s="689">
        <f t="shared" si="15"/>
        <v>19.328099999999999</v>
      </c>
    </row>
    <row r="83" spans="1:12" x14ac:dyDescent="0.25">
      <c r="A83" s="736" t="s">
        <v>1773</v>
      </c>
      <c r="B83" s="692">
        <v>582</v>
      </c>
      <c r="C83" s="693">
        <f t="shared" si="11"/>
        <v>177.39359973036173</v>
      </c>
      <c r="D83" s="683" t="s">
        <v>1397</v>
      </c>
      <c r="E83" s="686">
        <v>54</v>
      </c>
      <c r="F83" s="685">
        <v>46.734000000000002</v>
      </c>
      <c r="G83" s="694">
        <f t="shared" si="12"/>
        <v>54.7789</v>
      </c>
      <c r="H83" s="688">
        <v>19</v>
      </c>
      <c r="I83" s="688">
        <v>19.904</v>
      </c>
      <c r="J83" s="695">
        <f t="shared" si="13"/>
        <v>19.331733333333332</v>
      </c>
      <c r="K83" s="689">
        <f t="shared" si="14"/>
        <v>54.7789</v>
      </c>
      <c r="L83" s="689">
        <f t="shared" si="15"/>
        <v>19.331733333333332</v>
      </c>
    </row>
    <row r="84" spans="1:12" x14ac:dyDescent="0.25">
      <c r="A84" s="736" t="s">
        <v>1772</v>
      </c>
      <c r="B84" s="692">
        <v>585</v>
      </c>
      <c r="C84" s="693">
        <f t="shared" si="11"/>
        <v>178.30799972897182</v>
      </c>
      <c r="D84" s="683" t="s">
        <v>1396</v>
      </c>
      <c r="E84" s="686">
        <v>54</v>
      </c>
      <c r="F84" s="685">
        <v>46.783000000000001</v>
      </c>
      <c r="G84" s="694">
        <f t="shared" si="12"/>
        <v>54.779716666666666</v>
      </c>
      <c r="H84" s="688">
        <v>19</v>
      </c>
      <c r="I84" s="688">
        <v>19.809000000000001</v>
      </c>
      <c r="J84" s="695">
        <f t="shared" si="13"/>
        <v>19.33015</v>
      </c>
      <c r="K84" s="689">
        <f t="shared" si="14"/>
        <v>54.779716666666666</v>
      </c>
      <c r="L84" s="689">
        <f t="shared" si="15"/>
        <v>19.33015</v>
      </c>
    </row>
    <row r="85" spans="1:12" x14ac:dyDescent="0.25">
      <c r="A85" s="736" t="s">
        <v>1776</v>
      </c>
      <c r="B85" s="704">
        <v>588</v>
      </c>
      <c r="C85" s="693">
        <f t="shared" si="11"/>
        <v>179.22239972758194</v>
      </c>
      <c r="D85" s="705" t="s">
        <v>1400</v>
      </c>
      <c r="E85" s="705">
        <v>54</v>
      </c>
      <c r="F85" s="706">
        <v>46.9</v>
      </c>
      <c r="G85" s="694">
        <f t="shared" si="12"/>
        <v>54.781666666666666</v>
      </c>
      <c r="H85" s="683">
        <v>19</v>
      </c>
      <c r="I85" s="683">
        <v>19.5</v>
      </c>
      <c r="J85" s="695">
        <f t="shared" si="13"/>
        <v>19.324999999999999</v>
      </c>
      <c r="K85" s="689">
        <f t="shared" si="14"/>
        <v>54.781666666666666</v>
      </c>
      <c r="L85" s="689">
        <f t="shared" si="15"/>
        <v>19.324999999999999</v>
      </c>
    </row>
    <row r="86" spans="1:12" x14ac:dyDescent="0.25">
      <c r="A86" s="736" t="s">
        <v>1749</v>
      </c>
      <c r="B86" s="692">
        <v>583</v>
      </c>
      <c r="C86" s="693">
        <f t="shared" si="11"/>
        <v>177.69839972989843</v>
      </c>
      <c r="D86" s="683" t="s">
        <v>1373</v>
      </c>
      <c r="E86" s="686">
        <v>54</v>
      </c>
      <c r="F86" s="685">
        <v>46.9</v>
      </c>
      <c r="G86" s="694">
        <f t="shared" si="12"/>
        <v>54.781666666666666</v>
      </c>
      <c r="H86" s="688">
        <v>19</v>
      </c>
      <c r="I86" s="688">
        <v>19.7</v>
      </c>
      <c r="J86" s="695">
        <f t="shared" si="13"/>
        <v>19.328333333333333</v>
      </c>
      <c r="K86" s="689">
        <f t="shared" si="14"/>
        <v>54.781666666666666</v>
      </c>
      <c r="L86" s="689">
        <f t="shared" si="15"/>
        <v>19.328333333333333</v>
      </c>
    </row>
    <row r="87" spans="1:12" x14ac:dyDescent="0.25">
      <c r="A87" s="736" t="s">
        <v>1742</v>
      </c>
      <c r="B87" s="692">
        <v>589</v>
      </c>
      <c r="C87" s="693">
        <f t="shared" si="11"/>
        <v>179.52719972711864</v>
      </c>
      <c r="D87" s="683" t="s">
        <v>1364</v>
      </c>
      <c r="E87" s="686">
        <v>54</v>
      </c>
      <c r="F87" s="685">
        <v>46.96</v>
      </c>
      <c r="G87" s="694">
        <f t="shared" si="12"/>
        <v>54.782666666666664</v>
      </c>
      <c r="H87" s="688">
        <v>19</v>
      </c>
      <c r="I87" s="688">
        <v>19.32</v>
      </c>
      <c r="J87" s="695">
        <f t="shared" si="13"/>
        <v>19.321999999999999</v>
      </c>
      <c r="K87" s="689">
        <f t="shared" si="14"/>
        <v>54.782666666666664</v>
      </c>
      <c r="L87" s="689">
        <f t="shared" si="15"/>
        <v>19.321999999999999</v>
      </c>
    </row>
    <row r="88" spans="1:12" x14ac:dyDescent="0.25">
      <c r="A88" s="736" t="s">
        <v>1743</v>
      </c>
      <c r="B88" s="692">
        <v>588</v>
      </c>
      <c r="C88" s="693">
        <f t="shared" si="11"/>
        <v>179.22239972758194</v>
      </c>
      <c r="D88" s="683" t="s">
        <v>1365</v>
      </c>
      <c r="E88" s="686">
        <v>54</v>
      </c>
      <c r="F88" s="685">
        <v>47</v>
      </c>
      <c r="G88" s="694">
        <f t="shared" si="12"/>
        <v>54.783333333333331</v>
      </c>
      <c r="H88" s="688">
        <v>19</v>
      </c>
      <c r="I88" s="688">
        <v>19.600000000000001</v>
      </c>
      <c r="J88" s="695">
        <f t="shared" si="13"/>
        <v>19.326666666666668</v>
      </c>
      <c r="K88" s="689">
        <f t="shared" si="14"/>
        <v>54.783333333333331</v>
      </c>
      <c r="L88" s="689">
        <f t="shared" si="15"/>
        <v>19.326666666666668</v>
      </c>
    </row>
    <row r="89" spans="1:12" x14ac:dyDescent="0.25">
      <c r="A89" s="736" t="s">
        <v>1753</v>
      </c>
      <c r="B89" s="692">
        <v>588</v>
      </c>
      <c r="C89" s="693">
        <f t="shared" si="11"/>
        <v>179.22239972758194</v>
      </c>
      <c r="D89" s="683" t="s">
        <v>1377</v>
      </c>
      <c r="E89" s="686">
        <v>54</v>
      </c>
      <c r="F89" s="685">
        <v>47</v>
      </c>
      <c r="G89" s="694">
        <f t="shared" si="12"/>
        <v>54.783333333333331</v>
      </c>
      <c r="H89" s="688">
        <v>19</v>
      </c>
      <c r="I89" s="688">
        <v>19.600000000000001</v>
      </c>
      <c r="J89" s="695">
        <f t="shared" si="13"/>
        <v>19.326666666666668</v>
      </c>
      <c r="K89" s="689">
        <f t="shared" si="14"/>
        <v>54.783333333333331</v>
      </c>
      <c r="L89" s="689">
        <f t="shared" si="15"/>
        <v>19.326666666666668</v>
      </c>
    </row>
    <row r="90" spans="1:12" x14ac:dyDescent="0.25">
      <c r="A90" s="736" t="s">
        <v>1746</v>
      </c>
      <c r="B90" s="692">
        <v>585</v>
      </c>
      <c r="C90" s="693">
        <f t="shared" si="11"/>
        <v>178.30799972897182</v>
      </c>
      <c r="D90" s="683" t="s">
        <v>1369</v>
      </c>
      <c r="E90" s="686">
        <v>54</v>
      </c>
      <c r="F90" s="685">
        <v>47</v>
      </c>
      <c r="G90" s="694">
        <f t="shared" si="12"/>
        <v>54.783333333333331</v>
      </c>
      <c r="H90" s="688">
        <v>19</v>
      </c>
      <c r="I90" s="688">
        <v>19.8</v>
      </c>
      <c r="J90" s="695">
        <f t="shared" si="13"/>
        <v>19.329999999999998</v>
      </c>
      <c r="K90" s="689">
        <f t="shared" si="14"/>
        <v>54.783333333333331</v>
      </c>
      <c r="L90" s="689">
        <f t="shared" si="15"/>
        <v>19.329999999999998</v>
      </c>
    </row>
    <row r="91" spans="1:12" x14ac:dyDescent="0.25">
      <c r="A91" s="736" t="s">
        <v>1747</v>
      </c>
      <c r="B91" s="692">
        <v>585</v>
      </c>
      <c r="C91" s="693">
        <f t="shared" si="11"/>
        <v>178.30799972897182</v>
      </c>
      <c r="D91" s="683" t="s">
        <v>1371</v>
      </c>
      <c r="E91" s="686">
        <v>54</v>
      </c>
      <c r="F91" s="685">
        <v>47</v>
      </c>
      <c r="G91" s="694">
        <f t="shared" si="12"/>
        <v>54.783333333333331</v>
      </c>
      <c r="H91" s="688">
        <v>19</v>
      </c>
      <c r="I91" s="688">
        <v>19.8</v>
      </c>
      <c r="J91" s="695">
        <f t="shared" si="13"/>
        <v>19.329999999999998</v>
      </c>
      <c r="K91" s="689">
        <f t="shared" si="14"/>
        <v>54.783333333333331</v>
      </c>
      <c r="L91" s="689">
        <f t="shared" si="15"/>
        <v>19.329999999999998</v>
      </c>
    </row>
    <row r="92" spans="1:12" x14ac:dyDescent="0.25">
      <c r="A92" s="736" t="s">
        <v>1771</v>
      </c>
      <c r="B92" s="692">
        <v>582</v>
      </c>
      <c r="C92" s="693">
        <f t="shared" si="11"/>
        <v>177.39359973036173</v>
      </c>
      <c r="D92" s="683" t="s">
        <v>1395</v>
      </c>
      <c r="E92" s="686">
        <v>54</v>
      </c>
      <c r="F92" s="685">
        <v>47</v>
      </c>
      <c r="G92" s="694">
        <f t="shared" si="12"/>
        <v>54.783333333333331</v>
      </c>
      <c r="H92" s="688">
        <v>19</v>
      </c>
      <c r="I92" s="688">
        <v>19.899999999999999</v>
      </c>
      <c r="J92" s="695">
        <f t="shared" si="13"/>
        <v>19.331666666666667</v>
      </c>
      <c r="K92" s="689">
        <f t="shared" si="14"/>
        <v>54.783333333333331</v>
      </c>
      <c r="L92" s="689">
        <f t="shared" si="15"/>
        <v>19.331666666666667</v>
      </c>
    </row>
    <row r="93" spans="1:12" x14ac:dyDescent="0.25">
      <c r="A93" s="736" t="s">
        <v>246</v>
      </c>
      <c r="B93" s="692">
        <v>585</v>
      </c>
      <c r="C93" s="693">
        <f t="shared" si="11"/>
        <v>178.30799972897182</v>
      </c>
      <c r="D93" s="683" t="s">
        <v>1368</v>
      </c>
      <c r="E93" s="686">
        <v>54</v>
      </c>
      <c r="F93" s="685">
        <v>47.1</v>
      </c>
      <c r="G93" s="694">
        <f t="shared" si="12"/>
        <v>54.784999999999997</v>
      </c>
      <c r="H93" s="688">
        <v>19</v>
      </c>
      <c r="I93" s="688">
        <v>19.600000000000001</v>
      </c>
      <c r="J93" s="695">
        <f t="shared" si="13"/>
        <v>19.326666666666668</v>
      </c>
      <c r="K93" s="689">
        <f t="shared" si="14"/>
        <v>54.784999999999997</v>
      </c>
      <c r="L93" s="689">
        <f t="shared" si="15"/>
        <v>19.326666666666668</v>
      </c>
    </row>
    <row r="94" spans="1:12" x14ac:dyDescent="0.25">
      <c r="A94" s="736" t="s">
        <v>1748</v>
      </c>
      <c r="B94" s="692">
        <v>578</v>
      </c>
      <c r="C94" s="693">
        <f t="shared" si="11"/>
        <v>176.17439973221491</v>
      </c>
      <c r="D94" s="683" t="s">
        <v>1372</v>
      </c>
      <c r="E94" s="686">
        <v>54</v>
      </c>
      <c r="F94" s="685">
        <v>47.1</v>
      </c>
      <c r="G94" s="694">
        <f t="shared" si="12"/>
        <v>54.784999999999997</v>
      </c>
      <c r="H94" s="688">
        <v>19</v>
      </c>
      <c r="I94" s="688">
        <v>19.7</v>
      </c>
      <c r="J94" s="695">
        <f t="shared" si="13"/>
        <v>19.328333333333333</v>
      </c>
      <c r="K94" s="689">
        <f t="shared" si="14"/>
        <v>54.784999999999997</v>
      </c>
      <c r="L94" s="689">
        <f t="shared" si="15"/>
        <v>19.328333333333333</v>
      </c>
    </row>
    <row r="95" spans="1:12" x14ac:dyDescent="0.25">
      <c r="A95" s="736" t="s">
        <v>1752</v>
      </c>
      <c r="B95" s="692">
        <v>584</v>
      </c>
      <c r="C95" s="693">
        <f t="shared" si="11"/>
        <v>178.00319972943512</v>
      </c>
      <c r="D95" s="683" t="s">
        <v>1376</v>
      </c>
      <c r="E95" s="686">
        <v>54</v>
      </c>
      <c r="F95" s="685">
        <v>47.1</v>
      </c>
      <c r="G95" s="694">
        <f t="shared" si="12"/>
        <v>54.784999999999997</v>
      </c>
      <c r="H95" s="688">
        <v>19</v>
      </c>
      <c r="I95" s="688">
        <v>19.97</v>
      </c>
      <c r="J95" s="695">
        <f t="shared" si="13"/>
        <v>19.332833333333333</v>
      </c>
      <c r="K95" s="689">
        <f t="shared" si="14"/>
        <v>54.784999999999997</v>
      </c>
      <c r="L95" s="689">
        <f t="shared" si="15"/>
        <v>19.332833333333333</v>
      </c>
    </row>
    <row r="96" spans="1:12" x14ac:dyDescent="0.25">
      <c r="A96" s="737" t="s">
        <v>2203</v>
      </c>
      <c r="B96" s="692">
        <v>585</v>
      </c>
      <c r="C96" s="692">
        <f t="shared" si="11"/>
        <v>178.30799972897182</v>
      </c>
      <c r="D96" s="683" t="s">
        <v>2204</v>
      </c>
      <c r="E96" s="683">
        <v>54</v>
      </c>
      <c r="F96" s="697">
        <v>47.146000000000001</v>
      </c>
      <c r="G96" s="694">
        <f t="shared" si="12"/>
        <v>54.785766666666667</v>
      </c>
      <c r="H96" s="683">
        <v>19</v>
      </c>
      <c r="I96" s="689">
        <v>19.899999999999999</v>
      </c>
      <c r="J96" s="695">
        <f t="shared" si="13"/>
        <v>19.331666666666667</v>
      </c>
      <c r="K96" s="689">
        <f t="shared" si="14"/>
        <v>54.785766666666667</v>
      </c>
      <c r="L96" s="689">
        <f t="shared" si="15"/>
        <v>19.331666666666667</v>
      </c>
    </row>
    <row r="97" spans="1:16" x14ac:dyDescent="0.25">
      <c r="A97" s="736" t="s">
        <v>1751</v>
      </c>
      <c r="B97" s="692">
        <v>587</v>
      </c>
      <c r="C97" s="693">
        <f t="shared" si="11"/>
        <v>178.91759972804525</v>
      </c>
      <c r="D97" s="683" t="s">
        <v>1375</v>
      </c>
      <c r="E97" s="686">
        <v>54</v>
      </c>
      <c r="F97" s="685">
        <v>47.3</v>
      </c>
      <c r="G97" s="694">
        <f t="shared" si="12"/>
        <v>54.788333333333334</v>
      </c>
      <c r="H97" s="688">
        <v>19</v>
      </c>
      <c r="I97" s="688">
        <v>19.96</v>
      </c>
      <c r="J97" s="695">
        <f t="shared" si="13"/>
        <v>19.332666666666668</v>
      </c>
      <c r="K97" s="689">
        <f t="shared" si="14"/>
        <v>54.788333333333334</v>
      </c>
      <c r="L97" s="689">
        <f t="shared" si="15"/>
        <v>19.332666666666668</v>
      </c>
    </row>
    <row r="98" spans="1:16" x14ac:dyDescent="0.25">
      <c r="A98" s="736" t="s">
        <v>1768</v>
      </c>
      <c r="B98" s="692">
        <v>588</v>
      </c>
      <c r="C98" s="693">
        <f t="shared" si="11"/>
        <v>179.22239972758194</v>
      </c>
      <c r="D98" s="683" t="s">
        <v>1392</v>
      </c>
      <c r="E98" s="686">
        <v>54</v>
      </c>
      <c r="F98" s="685">
        <v>47.5</v>
      </c>
      <c r="G98" s="694">
        <f t="shared" si="12"/>
        <v>54.791666666666664</v>
      </c>
      <c r="H98" s="688">
        <v>19</v>
      </c>
      <c r="I98" s="688">
        <v>19.5</v>
      </c>
      <c r="J98" s="695">
        <f t="shared" si="13"/>
        <v>19.324999999999999</v>
      </c>
      <c r="K98" s="689">
        <f t="shared" si="14"/>
        <v>54.791666666666664</v>
      </c>
      <c r="L98" s="689">
        <f t="shared" si="15"/>
        <v>19.324999999999999</v>
      </c>
    </row>
    <row r="99" spans="1:16" x14ac:dyDescent="0.25">
      <c r="A99" s="736" t="s">
        <v>1769</v>
      </c>
      <c r="B99" s="692">
        <v>591</v>
      </c>
      <c r="C99" s="693">
        <f t="shared" si="11"/>
        <v>180.13679972619207</v>
      </c>
      <c r="D99" s="683" t="s">
        <v>1393</v>
      </c>
      <c r="E99" s="686">
        <v>54</v>
      </c>
      <c r="F99" s="685">
        <v>47.7</v>
      </c>
      <c r="G99" s="694">
        <f t="shared" si="12"/>
        <v>54.795000000000002</v>
      </c>
      <c r="H99" s="688">
        <v>19</v>
      </c>
      <c r="I99" s="688">
        <v>20</v>
      </c>
      <c r="J99" s="695">
        <f t="shared" si="13"/>
        <v>19.333333333333332</v>
      </c>
      <c r="K99" s="689">
        <f t="shared" si="14"/>
        <v>54.795000000000002</v>
      </c>
      <c r="L99" s="689">
        <f t="shared" si="15"/>
        <v>19.333333333333332</v>
      </c>
    </row>
    <row r="100" spans="1:16" x14ac:dyDescent="0.25">
      <c r="A100" s="692" t="s">
        <v>55</v>
      </c>
      <c r="B100" s="692">
        <v>459</v>
      </c>
      <c r="C100" s="693">
        <f>B100/3.2808399</f>
        <v>139.90319978734712</v>
      </c>
      <c r="D100" s="683" t="s">
        <v>1415</v>
      </c>
      <c r="E100" s="683">
        <v>55</v>
      </c>
      <c r="F100" s="696">
        <f>7+8/60</f>
        <v>7.1333333333333337</v>
      </c>
      <c r="G100" s="694">
        <f t="shared" ref="G100:G107" si="16">E100+F100/60</f>
        <v>55.11888888888889</v>
      </c>
      <c r="H100" s="683">
        <v>19</v>
      </c>
      <c r="I100" s="683">
        <f>32+1/60</f>
        <v>32.016666666666666</v>
      </c>
      <c r="J100" s="695">
        <f t="shared" ref="J100:J107" si="17">H100+I100/60</f>
        <v>19.53361111111111</v>
      </c>
      <c r="K100" s="689">
        <f t="shared" ref="K100:K107" si="18">G100</f>
        <v>55.11888888888889</v>
      </c>
      <c r="O100" s="689">
        <f>J100</f>
        <v>19.53361111111111</v>
      </c>
    </row>
    <row r="101" spans="1:16" x14ac:dyDescent="0.25">
      <c r="A101" s="692" t="s">
        <v>1733</v>
      </c>
      <c r="D101" s="683" t="s">
        <v>1737</v>
      </c>
      <c r="E101" s="683">
        <v>55</v>
      </c>
      <c r="F101" s="696">
        <v>28.85</v>
      </c>
      <c r="G101" s="689">
        <f t="shared" si="16"/>
        <v>55.480833333333337</v>
      </c>
      <c r="H101" s="689">
        <v>19</v>
      </c>
      <c r="I101" s="683">
        <v>22.044</v>
      </c>
      <c r="J101" s="695">
        <f t="shared" si="17"/>
        <v>19.3674</v>
      </c>
      <c r="K101" s="689">
        <f t="shared" si="18"/>
        <v>55.480833333333337</v>
      </c>
      <c r="O101" s="689">
        <f>J101</f>
        <v>19.3674</v>
      </c>
    </row>
    <row r="102" spans="1:16" x14ac:dyDescent="0.25">
      <c r="A102" s="692" t="s">
        <v>10</v>
      </c>
      <c r="B102" s="692">
        <v>359</v>
      </c>
      <c r="C102" s="693">
        <f>B102/3.2808399</f>
        <v>109.42319983367673</v>
      </c>
      <c r="D102" s="683" t="s">
        <v>1411</v>
      </c>
      <c r="E102" s="683">
        <v>57</v>
      </c>
      <c r="F102" s="696">
        <v>18.899999999999999</v>
      </c>
      <c r="G102" s="694">
        <f t="shared" si="16"/>
        <v>57.314999999999998</v>
      </c>
      <c r="H102" s="683">
        <v>21</v>
      </c>
      <c r="I102" s="683">
        <v>2.4</v>
      </c>
      <c r="J102" s="695">
        <f t="shared" si="17"/>
        <v>21.04</v>
      </c>
      <c r="K102" s="689">
        <f t="shared" si="18"/>
        <v>57.314999999999998</v>
      </c>
      <c r="M102" s="689">
        <f>J102</f>
        <v>21.04</v>
      </c>
    </row>
    <row r="103" spans="1:16" x14ac:dyDescent="0.25">
      <c r="A103" s="692" t="s">
        <v>1338</v>
      </c>
      <c r="B103" s="692">
        <v>454</v>
      </c>
      <c r="C103" s="693">
        <f>B103/3.2808399</f>
        <v>138.3791997896636</v>
      </c>
      <c r="D103" s="683" t="s">
        <v>1409</v>
      </c>
      <c r="E103" s="683">
        <v>57</v>
      </c>
      <c r="F103" s="696">
        <v>19</v>
      </c>
      <c r="G103" s="694">
        <f t="shared" si="16"/>
        <v>57.31666666666667</v>
      </c>
      <c r="H103" s="683">
        <v>20</v>
      </c>
      <c r="I103" s="683">
        <v>34.390999999999998</v>
      </c>
      <c r="J103" s="695">
        <f t="shared" si="17"/>
        <v>20.573183333333333</v>
      </c>
      <c r="K103" s="689">
        <f t="shared" si="18"/>
        <v>57.31666666666667</v>
      </c>
      <c r="M103" s="689">
        <f>J103</f>
        <v>20.573183333333333</v>
      </c>
    </row>
    <row r="104" spans="1:16" x14ac:dyDescent="0.25">
      <c r="A104" s="692" t="s">
        <v>899</v>
      </c>
      <c r="B104" s="692">
        <v>373</v>
      </c>
      <c r="C104" s="693">
        <f>B104/3.2808399</f>
        <v>113.69039982719059</v>
      </c>
      <c r="D104" s="683" t="s">
        <v>1410</v>
      </c>
      <c r="E104" s="683">
        <v>57</v>
      </c>
      <c r="F104" s="696">
        <f>20+3.9/60</f>
        <v>20.065000000000001</v>
      </c>
      <c r="G104" s="694">
        <f t="shared" si="16"/>
        <v>57.334416666666669</v>
      </c>
      <c r="H104" s="683">
        <v>21</v>
      </c>
      <c r="I104" s="683">
        <f>0+23.6/60</f>
        <v>0.39333333333333337</v>
      </c>
      <c r="J104" s="695">
        <f t="shared" si="17"/>
        <v>21.006555555555554</v>
      </c>
      <c r="K104" s="689">
        <f t="shared" si="18"/>
        <v>57.334416666666669</v>
      </c>
      <c r="M104" s="689">
        <f>J104</f>
        <v>21.006555555555554</v>
      </c>
    </row>
    <row r="105" spans="1:16" x14ac:dyDescent="0.25">
      <c r="A105" s="692" t="s">
        <v>3407</v>
      </c>
      <c r="C105" s="693"/>
      <c r="D105" t="s">
        <v>3410</v>
      </c>
      <c r="E105" s="683">
        <v>53</v>
      </c>
      <c r="F105" s="696">
        <v>14.5</v>
      </c>
      <c r="G105" s="694">
        <f t="shared" si="16"/>
        <v>53.241666666666667</v>
      </c>
      <c r="H105" s="683">
        <v>18</v>
      </c>
      <c r="I105" s="697">
        <v>55.505000000000003</v>
      </c>
      <c r="J105" s="695">
        <f t="shared" si="17"/>
        <v>18.925083333333333</v>
      </c>
      <c r="K105" s="689">
        <f t="shared" si="18"/>
        <v>53.241666666666667</v>
      </c>
      <c r="M105" s="689"/>
    </row>
    <row r="106" spans="1:16" x14ac:dyDescent="0.25">
      <c r="A106" s="692" t="s">
        <v>3409</v>
      </c>
      <c r="C106" s="693"/>
      <c r="D106" t="s">
        <v>3411</v>
      </c>
      <c r="E106" s="683">
        <v>53</v>
      </c>
      <c r="F106" s="696">
        <f>14+31/60</f>
        <v>14.516666666666667</v>
      </c>
      <c r="G106" s="694">
        <f t="shared" si="16"/>
        <v>53.241944444444442</v>
      </c>
      <c r="H106" s="683">
        <v>18</v>
      </c>
      <c r="I106" s="683">
        <f>57+39/60</f>
        <v>57.65</v>
      </c>
      <c r="J106" s="695">
        <f t="shared" si="17"/>
        <v>18.960833333333333</v>
      </c>
      <c r="K106" s="689">
        <f t="shared" si="18"/>
        <v>53.241944444444442</v>
      </c>
      <c r="M106" s="689"/>
    </row>
    <row r="107" spans="1:16" x14ac:dyDescent="0.25">
      <c r="A107" s="692" t="s">
        <v>3412</v>
      </c>
      <c r="C107" s="693"/>
      <c r="D107" t="s">
        <v>3413</v>
      </c>
      <c r="E107" s="683">
        <v>54</v>
      </c>
      <c r="F107" s="696">
        <f>31+45/60</f>
        <v>31.75</v>
      </c>
      <c r="G107" s="694">
        <f t="shared" si="16"/>
        <v>54.529166666666669</v>
      </c>
      <c r="H107" s="683">
        <v>19</v>
      </c>
      <c r="I107" s="683">
        <f>23+44/60</f>
        <v>23.733333333333334</v>
      </c>
      <c r="J107" s="695">
        <f t="shared" si="17"/>
        <v>19.395555555555557</v>
      </c>
      <c r="K107" s="689">
        <f t="shared" si="18"/>
        <v>54.529166666666669</v>
      </c>
      <c r="M107" s="689"/>
    </row>
    <row r="109" spans="1:16" x14ac:dyDescent="0.25">
      <c r="G109" s="683"/>
      <c r="J109" s="683"/>
    </row>
    <row r="112" spans="1:16" x14ac:dyDescent="0.25">
      <c r="A112" s="707" t="s">
        <v>1417</v>
      </c>
      <c r="B112" s="707"/>
      <c r="C112" s="707"/>
      <c r="D112" s="683" t="s">
        <v>1418</v>
      </c>
      <c r="E112" s="683">
        <v>57</v>
      </c>
      <c r="F112" s="696">
        <f>11+48.33/60</f>
        <v>11.8055</v>
      </c>
      <c r="G112" s="694">
        <f>E112+F112/60</f>
        <v>57.196758333333335</v>
      </c>
      <c r="H112" s="683">
        <v>20</v>
      </c>
      <c r="I112" s="683">
        <f>59+30.02/60</f>
        <v>59.50033333333333</v>
      </c>
      <c r="J112" s="695">
        <f>H112+I112/60</f>
        <v>20.991672222222221</v>
      </c>
      <c r="K112" s="689">
        <f>G112</f>
        <v>57.196758333333335</v>
      </c>
      <c r="P112" s="689">
        <f>J112</f>
        <v>20.991672222222221</v>
      </c>
    </row>
    <row r="115" spans="1:12" x14ac:dyDescent="0.25">
      <c r="A115" s="692">
        <v>302</v>
      </c>
      <c r="D115" s="683" t="s">
        <v>1368</v>
      </c>
      <c r="E115" s="683">
        <v>54</v>
      </c>
      <c r="F115" s="696">
        <v>47.1</v>
      </c>
      <c r="G115" s="689">
        <v>54.784999999999997</v>
      </c>
      <c r="H115" s="683">
        <v>19</v>
      </c>
      <c r="I115" s="683">
        <v>19.600000000000001</v>
      </c>
      <c r="J115" s="689">
        <v>19.326666666666668</v>
      </c>
      <c r="K115" s="689">
        <v>54.784999999999997</v>
      </c>
      <c r="L115" s="689">
        <v>19.326666666666668</v>
      </c>
    </row>
    <row r="116" spans="1:12" x14ac:dyDescent="0.25">
      <c r="A116" s="692">
        <v>303</v>
      </c>
      <c r="D116" s="683" t="s">
        <v>1369</v>
      </c>
      <c r="E116" s="683">
        <v>54</v>
      </c>
      <c r="F116" s="696">
        <v>47</v>
      </c>
      <c r="G116" s="689">
        <v>54.783333333333331</v>
      </c>
      <c r="H116" s="683">
        <v>19</v>
      </c>
      <c r="I116" s="683">
        <v>19.8</v>
      </c>
      <c r="J116" s="689">
        <v>19.329999999999998</v>
      </c>
      <c r="K116" s="689">
        <v>54.783333333333331</v>
      </c>
      <c r="L116" s="689">
        <v>19.329999999999998</v>
      </c>
    </row>
    <row r="117" spans="1:12" x14ac:dyDescent="0.25">
      <c r="A117" s="692">
        <v>305</v>
      </c>
      <c r="D117" s="683" t="s">
        <v>1371</v>
      </c>
      <c r="E117" s="683">
        <v>54</v>
      </c>
      <c r="F117" s="696">
        <v>47</v>
      </c>
      <c r="G117" s="689">
        <v>54.783333333333331</v>
      </c>
      <c r="H117" s="683">
        <v>19</v>
      </c>
      <c r="I117" s="683">
        <v>19.8</v>
      </c>
      <c r="J117" s="689">
        <v>19.329999999999998</v>
      </c>
      <c r="K117" s="689">
        <v>54.783333333333331</v>
      </c>
      <c r="L117" s="689">
        <v>19.329999999999998</v>
      </c>
    </row>
    <row r="118" spans="1:12" x14ac:dyDescent="0.25">
      <c r="A118" s="692">
        <v>306</v>
      </c>
      <c r="D118" s="683" t="s">
        <v>1372</v>
      </c>
      <c r="E118" s="683">
        <v>54</v>
      </c>
      <c r="F118" s="696">
        <v>47.1</v>
      </c>
      <c r="G118" s="689">
        <v>54.784999999999997</v>
      </c>
      <c r="H118" s="683">
        <v>19</v>
      </c>
      <c r="I118" s="683">
        <v>19.7</v>
      </c>
      <c r="J118" s="689">
        <v>19.328333333333333</v>
      </c>
      <c r="K118" s="689">
        <v>54.784999999999997</v>
      </c>
      <c r="L118" s="689">
        <v>19.328333333333333</v>
      </c>
    </row>
    <row r="119" spans="1:12" x14ac:dyDescent="0.25">
      <c r="A119" s="692">
        <v>307</v>
      </c>
      <c r="D119" s="683" t="s">
        <v>1373</v>
      </c>
      <c r="E119" s="683">
        <v>54</v>
      </c>
      <c r="F119" s="696">
        <v>46.9</v>
      </c>
      <c r="G119" s="689">
        <v>54.781666666666666</v>
      </c>
      <c r="H119" s="683">
        <v>19</v>
      </c>
      <c r="I119" s="683">
        <v>19.7</v>
      </c>
      <c r="J119" s="689">
        <v>19.328333333333333</v>
      </c>
      <c r="K119" s="689">
        <v>54.781666666666666</v>
      </c>
      <c r="L119" s="689">
        <v>19.328333333333333</v>
      </c>
    </row>
    <row r="120" spans="1:12" x14ac:dyDescent="0.25">
      <c r="A120" s="692">
        <v>309</v>
      </c>
      <c r="D120" s="683" t="s">
        <v>1375</v>
      </c>
      <c r="E120" s="683">
        <v>54</v>
      </c>
      <c r="F120" s="696">
        <v>47.3</v>
      </c>
      <c r="G120" s="689">
        <v>54.788333333333334</v>
      </c>
      <c r="H120" s="683">
        <v>19</v>
      </c>
      <c r="I120" s="683">
        <v>19.96</v>
      </c>
      <c r="J120" s="689">
        <v>19.332666666666668</v>
      </c>
      <c r="K120" s="689">
        <v>54.788333333333334</v>
      </c>
      <c r="L120" s="689">
        <v>19.332666666666668</v>
      </c>
    </row>
    <row r="121" spans="1:12" x14ac:dyDescent="0.25">
      <c r="A121" s="692">
        <v>310</v>
      </c>
      <c r="D121" s="683" t="s">
        <v>1376</v>
      </c>
      <c r="E121" s="683">
        <v>54</v>
      </c>
      <c r="F121" s="696">
        <v>47.1</v>
      </c>
      <c r="G121" s="689">
        <v>54.784999999999997</v>
      </c>
      <c r="H121" s="683">
        <v>19</v>
      </c>
      <c r="I121" s="683">
        <v>19.97</v>
      </c>
      <c r="J121" s="689">
        <v>19.332833333333333</v>
      </c>
      <c r="K121" s="689">
        <v>54.784999999999997</v>
      </c>
      <c r="L121" s="689">
        <v>19.332833333333333</v>
      </c>
    </row>
    <row r="122" spans="1:12" x14ac:dyDescent="0.25">
      <c r="A122" s="692">
        <v>311</v>
      </c>
      <c r="D122" s="683" t="s">
        <v>1377</v>
      </c>
      <c r="E122" s="683">
        <v>54</v>
      </c>
      <c r="F122" s="696">
        <v>47</v>
      </c>
      <c r="G122" s="689">
        <v>54.783333333333331</v>
      </c>
      <c r="H122" s="683">
        <v>19</v>
      </c>
      <c r="I122" s="683">
        <v>19.600000000000001</v>
      </c>
      <c r="J122" s="689">
        <v>19.326666666666668</v>
      </c>
      <c r="K122" s="689">
        <v>54.783333333333331</v>
      </c>
      <c r="L122" s="689">
        <v>19.326666666666668</v>
      </c>
    </row>
    <row r="123" spans="1:12" x14ac:dyDescent="0.25">
      <c r="A123" s="692">
        <v>730</v>
      </c>
      <c r="D123" s="683" t="s">
        <v>1392</v>
      </c>
      <c r="E123" s="683">
        <v>54</v>
      </c>
      <c r="F123" s="696">
        <v>47.5</v>
      </c>
      <c r="G123" s="689">
        <v>54.791666666666664</v>
      </c>
      <c r="H123" s="683">
        <v>19</v>
      </c>
      <c r="I123" s="683">
        <v>19.5</v>
      </c>
      <c r="J123" s="689">
        <v>19.324999999999999</v>
      </c>
      <c r="K123" s="689">
        <v>54.791666666666664</v>
      </c>
      <c r="L123" s="689">
        <v>19.324999999999999</v>
      </c>
    </row>
    <row r="124" spans="1:12" x14ac:dyDescent="0.25">
      <c r="A124" s="692">
        <v>731</v>
      </c>
      <c r="D124" s="683" t="s">
        <v>1393</v>
      </c>
      <c r="E124" s="683">
        <v>54</v>
      </c>
      <c r="F124" s="696">
        <v>47.7</v>
      </c>
      <c r="G124" s="689">
        <v>54.795000000000002</v>
      </c>
      <c r="H124" s="683">
        <v>19</v>
      </c>
      <c r="I124" s="683">
        <v>20</v>
      </c>
      <c r="J124" s="689">
        <v>19.333333333333332</v>
      </c>
      <c r="K124" s="689">
        <v>54.795000000000002</v>
      </c>
      <c r="L124" s="689">
        <v>19.333333333333332</v>
      </c>
    </row>
    <row r="125" spans="1:12" x14ac:dyDescent="0.25">
      <c r="A125" s="692">
        <v>733</v>
      </c>
      <c r="D125" s="683" t="s">
        <v>1394</v>
      </c>
      <c r="E125" s="683">
        <v>54</v>
      </c>
      <c r="F125" s="696">
        <v>13.8</v>
      </c>
      <c r="G125" s="689">
        <v>54.23</v>
      </c>
      <c r="H125" s="683">
        <v>18</v>
      </c>
      <c r="I125" s="683">
        <v>35.299999999999997</v>
      </c>
      <c r="J125" s="689">
        <v>18.588333333333335</v>
      </c>
      <c r="K125" s="689">
        <v>54.23</v>
      </c>
      <c r="L125" s="689">
        <v>18.588333333333335</v>
      </c>
    </row>
    <row r="126" spans="1:12" x14ac:dyDescent="0.25">
      <c r="A126" s="692">
        <v>908</v>
      </c>
      <c r="D126" s="683" t="s">
        <v>1395</v>
      </c>
      <c r="E126" s="683">
        <v>54</v>
      </c>
      <c r="F126" s="696">
        <v>47</v>
      </c>
      <c r="G126" s="689">
        <v>54.783333333333331</v>
      </c>
      <c r="H126" s="683">
        <v>19</v>
      </c>
      <c r="I126" s="683">
        <v>19.899999999999999</v>
      </c>
      <c r="J126" s="689">
        <v>19.331666666666667</v>
      </c>
      <c r="K126" s="689">
        <v>54.783333333333331</v>
      </c>
      <c r="L126" s="689">
        <v>19.331666666666667</v>
      </c>
    </row>
    <row r="127" spans="1:12" x14ac:dyDescent="0.25">
      <c r="A127" s="692">
        <v>909</v>
      </c>
      <c r="D127" s="683" t="s">
        <v>1396</v>
      </c>
      <c r="E127" s="683">
        <v>54</v>
      </c>
      <c r="F127" s="696">
        <v>46.783000000000001</v>
      </c>
      <c r="G127" s="689">
        <v>54.779716666666666</v>
      </c>
      <c r="H127" s="683">
        <v>19</v>
      </c>
      <c r="I127" s="683">
        <v>19.809000000000001</v>
      </c>
      <c r="J127" s="689">
        <v>19.33015</v>
      </c>
      <c r="K127" s="689">
        <v>54.779716666666666</v>
      </c>
      <c r="L127" s="689">
        <v>19.33015</v>
      </c>
    </row>
    <row r="128" spans="1:12" x14ac:dyDescent="0.25">
      <c r="A128" s="692">
        <v>911</v>
      </c>
      <c r="D128" s="683" t="s">
        <v>1398</v>
      </c>
      <c r="E128" s="683">
        <v>54</v>
      </c>
      <c r="F128" s="696">
        <v>46.6</v>
      </c>
      <c r="G128" s="689">
        <v>54.776666666666664</v>
      </c>
      <c r="H128" s="683">
        <v>19</v>
      </c>
      <c r="I128" s="683">
        <v>19.899999999999999</v>
      </c>
      <c r="J128" s="689">
        <v>19.331666666666667</v>
      </c>
      <c r="K128" s="689">
        <v>54.776666666666664</v>
      </c>
      <c r="L128" s="689">
        <v>19.331666666666667</v>
      </c>
    </row>
    <row r="129" spans="1:12" x14ac:dyDescent="0.25">
      <c r="A129" s="692">
        <v>950</v>
      </c>
      <c r="D129" s="683" t="s">
        <v>1400</v>
      </c>
      <c r="E129" s="683">
        <v>54</v>
      </c>
      <c r="F129" s="696">
        <v>46.9</v>
      </c>
      <c r="G129" s="689">
        <v>54.781666666666666</v>
      </c>
      <c r="H129" s="683">
        <v>19</v>
      </c>
      <c r="I129" s="683">
        <v>19.5</v>
      </c>
      <c r="J129" s="689">
        <v>19.324999999999999</v>
      </c>
      <c r="K129" s="689">
        <v>54.781666666666666</v>
      </c>
      <c r="L129" s="689">
        <v>19.324999999999999</v>
      </c>
    </row>
    <row r="130" spans="1:12" x14ac:dyDescent="0.25">
      <c r="A130" s="692">
        <v>1085</v>
      </c>
      <c r="D130" s="683" t="s">
        <v>1404</v>
      </c>
      <c r="E130" s="683">
        <v>54</v>
      </c>
      <c r="F130" s="696">
        <v>46.631</v>
      </c>
      <c r="G130" s="689">
        <v>54.777183333333333</v>
      </c>
      <c r="H130" s="683">
        <v>19</v>
      </c>
      <c r="I130" s="683">
        <v>19.686</v>
      </c>
      <c r="J130" s="689">
        <v>19.328099999999999</v>
      </c>
      <c r="K130" s="689">
        <v>54.777183333333333</v>
      </c>
      <c r="L130" s="689">
        <v>19.328099999999999</v>
      </c>
    </row>
    <row r="131" spans="1:12" x14ac:dyDescent="0.25">
      <c r="G131" s="709">
        <f>AVERAGE(G115:G130)</f>
        <v>54.749389583333333</v>
      </c>
      <c r="L131" s="709">
        <f>AVERAGE(L115:L130)</f>
        <v>19.283046875</v>
      </c>
    </row>
    <row r="141" spans="1:12" x14ac:dyDescent="0.25">
      <c r="A141" s="692">
        <v>3981</v>
      </c>
      <c r="D141" s="683" t="s">
        <v>896</v>
      </c>
      <c r="E141" s="683" t="s">
        <v>1420</v>
      </c>
      <c r="F141" s="683"/>
    </row>
    <row r="142" spans="1:12" x14ac:dyDescent="0.25">
      <c r="A142" s="692">
        <v>3909</v>
      </c>
      <c r="D142" s="683" t="s">
        <v>896</v>
      </c>
      <c r="E142" s="683" t="s">
        <v>755</v>
      </c>
      <c r="F142" s="683"/>
    </row>
    <row r="143" spans="1:12" x14ac:dyDescent="0.25">
      <c r="A143" s="710">
        <f>E143*F143</f>
        <v>8202.0848384766232</v>
      </c>
      <c r="B143" s="710"/>
      <c r="C143" s="710"/>
      <c r="D143" s="683" t="s">
        <v>68</v>
      </c>
      <c r="E143" s="683">
        <f>0.7947/0.9689</f>
        <v>0.82020848384766232</v>
      </c>
      <c r="F143" s="683">
        <f>100*100</f>
        <v>10000</v>
      </c>
      <c r="G143" s="689" t="s">
        <v>1421</v>
      </c>
      <c r="H143" s="683" t="s">
        <v>1422</v>
      </c>
    </row>
    <row r="144" spans="1:12" x14ac:dyDescent="0.25">
      <c r="F144" s="683"/>
    </row>
    <row r="145" spans="1:6" x14ac:dyDescent="0.25">
      <c r="A145" s="692">
        <f>A142/A143</f>
        <v>0.47658614571536428</v>
      </c>
      <c r="D145" s="683" t="s">
        <v>1423</v>
      </c>
      <c r="F145" s="683"/>
    </row>
    <row r="146" spans="1:6" x14ac:dyDescent="0.25">
      <c r="F146" s="683"/>
    </row>
    <row r="147" spans="1:6" x14ac:dyDescent="0.25">
      <c r="A147" s="692">
        <v>550000</v>
      </c>
      <c r="D147" s="683" t="s">
        <v>1424</v>
      </c>
      <c r="E147" s="683" t="s">
        <v>1425</v>
      </c>
    </row>
    <row r="149" spans="1:6" x14ac:dyDescent="0.25">
      <c r="A149" s="692">
        <f>A145/A147</f>
        <v>8.6652026493702597E-7</v>
      </c>
      <c r="D149" s="683" t="s">
        <v>1426</v>
      </c>
    </row>
    <row r="151" spans="1:6" x14ac:dyDescent="0.25">
      <c r="A151" s="692">
        <v>510072000</v>
      </c>
      <c r="D151" s="683" t="s">
        <v>68</v>
      </c>
      <c r="E151" s="683" t="s">
        <v>1427</v>
      </c>
    </row>
    <row r="153" spans="1:6" x14ac:dyDescent="0.25">
      <c r="A153" s="692">
        <f>A149*A151</f>
        <v>441.98772457695873</v>
      </c>
      <c r="D153" s="683" t="s">
        <v>1428</v>
      </c>
    </row>
    <row r="155" spans="1:6" x14ac:dyDescent="0.25">
      <c r="A155" s="692" t="s">
        <v>2795</v>
      </c>
      <c r="C155" s="692">
        <v>116.64766199315336</v>
      </c>
      <c r="D155" s="683" t="s">
        <v>2797</v>
      </c>
    </row>
    <row r="156" spans="1:6" x14ac:dyDescent="0.25">
      <c r="A156" s="692" t="s">
        <v>2796</v>
      </c>
      <c r="C156" s="692">
        <v>339.67969789352367</v>
      </c>
      <c r="D156" s="683" t="s">
        <v>2797</v>
      </c>
    </row>
  </sheetData>
  <sortState xmlns:xlrd2="http://schemas.microsoft.com/office/spreadsheetml/2017/richdata2" ref="A79:WVT99">
    <sortCondition ref="K79:K99"/>
  </sortState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Z113"/>
  <sheetViews>
    <sheetView zoomScale="120" workbookViewId="0">
      <pane xSplit="1" ySplit="2" topLeftCell="B15" activePane="bottomRight" state="frozen"/>
      <selection pane="topRight" activeCell="C1" sqref="C1"/>
      <selection pane="bottomLeft" activeCell="A3" sqref="A3"/>
      <selection pane="bottomRight" activeCell="B54" sqref="B54"/>
    </sheetView>
  </sheetViews>
  <sheetFormatPr defaultRowHeight="12.75" x14ac:dyDescent="0.2"/>
  <cols>
    <col min="1" max="1" width="21.5" customWidth="1"/>
    <col min="2" max="2" width="7" bestFit="1" customWidth="1"/>
    <col min="3" max="3" width="5.83203125" customWidth="1"/>
    <col min="4" max="4" width="6.6640625" style="67" customWidth="1"/>
    <col min="5" max="5" width="10.5" customWidth="1"/>
    <col min="7" max="7" width="10" customWidth="1"/>
    <col min="9" max="9" width="10" customWidth="1"/>
    <col min="11" max="11" width="37.6640625" bestFit="1" customWidth="1"/>
    <col min="16" max="16" width="20" bestFit="1" customWidth="1"/>
  </cols>
  <sheetData>
    <row r="1" spans="1:26" x14ac:dyDescent="0.2">
      <c r="D1" s="90">
        <v>2.5</v>
      </c>
      <c r="E1" s="91" t="s">
        <v>386</v>
      </c>
      <c r="F1" s="92"/>
      <c r="G1" s="94" t="s">
        <v>406</v>
      </c>
      <c r="H1" s="95"/>
      <c r="I1" s="97" t="s">
        <v>387</v>
      </c>
      <c r="J1" s="98"/>
    </row>
    <row r="2" spans="1:26" x14ac:dyDescent="0.2">
      <c r="B2" t="s">
        <v>398</v>
      </c>
      <c r="C2" s="64" t="s">
        <v>378</v>
      </c>
      <c r="D2" s="67" t="s">
        <v>410</v>
      </c>
      <c r="E2" s="91"/>
      <c r="F2" s="93" t="s">
        <v>378</v>
      </c>
      <c r="G2" s="96"/>
      <c r="H2" s="96" t="s">
        <v>378</v>
      </c>
      <c r="I2" s="97"/>
      <c r="J2" s="99" t="s">
        <v>378</v>
      </c>
    </row>
    <row r="3" spans="1:26" x14ac:dyDescent="0.2">
      <c r="A3" s="80" t="s">
        <v>383</v>
      </c>
      <c r="B3" s="84">
        <f>AVERAGE(65,80)</f>
        <v>72.5</v>
      </c>
      <c r="C3" s="84">
        <f>(80-65)/2</f>
        <v>7.5</v>
      </c>
      <c r="D3" s="88">
        <f>B3/rho</f>
        <v>29</v>
      </c>
      <c r="E3" s="102" t="s">
        <v>433</v>
      </c>
      <c r="G3" t="s">
        <v>434</v>
      </c>
      <c r="I3">
        <v>4.2999999999999997E-2</v>
      </c>
      <c r="J3">
        <f>I3-0.027</f>
        <v>1.5999999999999997E-2</v>
      </c>
      <c r="K3" s="36" t="s">
        <v>385</v>
      </c>
      <c r="P3" t="s">
        <v>141</v>
      </c>
      <c r="Q3">
        <v>1.6E-2</v>
      </c>
      <c r="R3">
        <v>7.000000000000001E-3</v>
      </c>
      <c r="S3" s="30">
        <v>0.04</v>
      </c>
      <c r="T3" s="30">
        <v>2.7000000000000003E-2</v>
      </c>
      <c r="U3">
        <v>1</v>
      </c>
      <c r="V3" t="s">
        <v>400</v>
      </c>
      <c r="Y3">
        <v>1</v>
      </c>
      <c r="Z3">
        <f t="shared" ref="Z3:Z9" si="0">Y3-0.05</f>
        <v>0.95</v>
      </c>
    </row>
    <row r="4" spans="1:26" x14ac:dyDescent="0.2">
      <c r="A4" s="80" t="s">
        <v>137</v>
      </c>
      <c r="B4" s="84" t="s">
        <v>421</v>
      </c>
      <c r="C4" s="84"/>
      <c r="D4" s="88">
        <f>90/rho</f>
        <v>36</v>
      </c>
      <c r="E4" t="s">
        <v>392</v>
      </c>
      <c r="I4" s="36">
        <v>0.16</v>
      </c>
      <c r="J4" s="36">
        <v>0.03</v>
      </c>
      <c r="K4" s="36" t="s">
        <v>399</v>
      </c>
      <c r="P4" t="s">
        <v>384</v>
      </c>
      <c r="Q4">
        <v>0.08</v>
      </c>
      <c r="R4">
        <v>0.03</v>
      </c>
      <c r="S4" s="30">
        <v>8.3000000000000004E-2</v>
      </c>
      <c r="T4" s="30">
        <v>0.06</v>
      </c>
      <c r="U4">
        <v>2</v>
      </c>
      <c r="V4" t="s">
        <v>400</v>
      </c>
      <c r="Y4">
        <v>2</v>
      </c>
      <c r="Z4">
        <f t="shared" si="0"/>
        <v>1.95</v>
      </c>
    </row>
    <row r="5" spans="1:26" x14ac:dyDescent="0.2">
      <c r="A5" s="80" t="s">
        <v>376</v>
      </c>
      <c r="B5" s="50"/>
      <c r="C5" s="50"/>
      <c r="D5" s="88">
        <f t="shared" ref="D5:D50" si="1">B5/rho</f>
        <v>0</v>
      </c>
      <c r="G5" t="s">
        <v>408</v>
      </c>
      <c r="K5" s="36" t="s">
        <v>409</v>
      </c>
      <c r="P5" t="s">
        <v>140</v>
      </c>
      <c r="Q5">
        <v>0.06</v>
      </c>
      <c r="R5">
        <v>0.03</v>
      </c>
      <c r="S5" s="30">
        <v>6.2E-2</v>
      </c>
      <c r="T5" s="30">
        <v>0.03</v>
      </c>
      <c r="U5">
        <v>3</v>
      </c>
      <c r="V5" t="s">
        <v>400</v>
      </c>
      <c r="Y5">
        <v>3</v>
      </c>
      <c r="Z5">
        <f t="shared" si="0"/>
        <v>2.95</v>
      </c>
    </row>
    <row r="6" spans="1:26" x14ac:dyDescent="0.2">
      <c r="A6" s="80" t="s">
        <v>301</v>
      </c>
      <c r="B6" s="84">
        <v>70</v>
      </c>
      <c r="C6" s="84">
        <v>15</v>
      </c>
      <c r="D6" s="88">
        <f t="shared" si="1"/>
        <v>28</v>
      </c>
      <c r="G6" t="s">
        <v>407</v>
      </c>
      <c r="I6" s="36" t="s">
        <v>396</v>
      </c>
      <c r="K6" s="36" t="s">
        <v>302</v>
      </c>
      <c r="P6" s="82" t="s">
        <v>144</v>
      </c>
      <c r="Q6">
        <v>0.04</v>
      </c>
      <c r="R6">
        <v>0.02</v>
      </c>
      <c r="S6" s="30">
        <v>0.05</v>
      </c>
      <c r="T6" s="30">
        <v>2.1999999999999992E-2</v>
      </c>
      <c r="U6">
        <v>4</v>
      </c>
      <c r="V6" t="s">
        <v>400</v>
      </c>
      <c r="Y6">
        <v>4</v>
      </c>
      <c r="Z6">
        <f t="shared" si="0"/>
        <v>3.95</v>
      </c>
    </row>
    <row r="7" spans="1:26" x14ac:dyDescent="0.2">
      <c r="A7" s="80" t="s">
        <v>301</v>
      </c>
      <c r="B7" s="84">
        <v>80</v>
      </c>
      <c r="C7" s="84">
        <v>5</v>
      </c>
      <c r="D7" s="88">
        <f t="shared" si="1"/>
        <v>32</v>
      </c>
      <c r="E7" s="36" t="s">
        <v>395</v>
      </c>
      <c r="G7" t="s">
        <v>436</v>
      </c>
      <c r="K7" s="36" t="s">
        <v>394</v>
      </c>
      <c r="P7" s="82" t="s">
        <v>143</v>
      </c>
      <c r="Q7">
        <v>0.03</v>
      </c>
      <c r="R7">
        <v>0.03</v>
      </c>
      <c r="S7" s="30">
        <v>0.03</v>
      </c>
      <c r="T7" s="30">
        <v>0.03</v>
      </c>
      <c r="U7">
        <v>5</v>
      </c>
      <c r="V7" t="s">
        <v>400</v>
      </c>
      <c r="Y7">
        <v>5</v>
      </c>
      <c r="Z7">
        <f t="shared" si="0"/>
        <v>4.95</v>
      </c>
    </row>
    <row r="8" spans="1:26" x14ac:dyDescent="0.2">
      <c r="A8" s="80" t="s">
        <v>301</v>
      </c>
      <c r="B8" s="84"/>
      <c r="C8" s="84"/>
      <c r="D8" s="88">
        <f t="shared" si="1"/>
        <v>0</v>
      </c>
      <c r="E8" t="s">
        <v>357</v>
      </c>
      <c r="I8" t="s">
        <v>393</v>
      </c>
      <c r="K8" s="36" t="s">
        <v>394</v>
      </c>
      <c r="P8" t="s">
        <v>383</v>
      </c>
      <c r="Q8">
        <v>7.4999999999999997E-3</v>
      </c>
      <c r="R8">
        <v>7.4999999999999997E-3</v>
      </c>
      <c r="S8" s="30">
        <v>0.16</v>
      </c>
      <c r="T8" s="30">
        <v>0.03</v>
      </c>
      <c r="U8">
        <v>6</v>
      </c>
      <c r="V8" t="s">
        <v>401</v>
      </c>
      <c r="Y8">
        <v>6</v>
      </c>
      <c r="Z8">
        <f t="shared" si="0"/>
        <v>5.95</v>
      </c>
    </row>
    <row r="9" spans="1:26" x14ac:dyDescent="0.2">
      <c r="A9" s="80" t="s">
        <v>139</v>
      </c>
      <c r="B9" s="84">
        <v>380</v>
      </c>
      <c r="C9" s="84">
        <v>20</v>
      </c>
      <c r="D9" s="88">
        <f t="shared" si="1"/>
        <v>152</v>
      </c>
      <c r="E9">
        <v>0.23</v>
      </c>
      <c r="F9" s="40">
        <v>7.0000000000000007E-2</v>
      </c>
      <c r="I9">
        <v>0.27500000000000002</v>
      </c>
      <c r="J9" s="40">
        <v>1.4999999999999999E-2</v>
      </c>
      <c r="K9" s="36" t="s">
        <v>385</v>
      </c>
      <c r="P9" t="s">
        <v>139</v>
      </c>
      <c r="Q9">
        <v>0.23</v>
      </c>
      <c r="R9">
        <v>1.4999999999999999E-2</v>
      </c>
      <c r="S9">
        <v>0.27500000000000002</v>
      </c>
      <c r="T9">
        <v>1.4999999999999999E-2</v>
      </c>
      <c r="U9">
        <v>8</v>
      </c>
      <c r="V9" t="s">
        <v>402</v>
      </c>
      <c r="Y9">
        <v>7</v>
      </c>
      <c r="Z9">
        <f t="shared" si="0"/>
        <v>6.95</v>
      </c>
    </row>
    <row r="10" spans="1:26" x14ac:dyDescent="0.2">
      <c r="A10" s="80" t="s">
        <v>139</v>
      </c>
      <c r="B10" s="84"/>
      <c r="C10" s="84"/>
      <c r="D10" s="88"/>
      <c r="E10">
        <v>0.23</v>
      </c>
      <c r="F10">
        <v>7.0000000000000007E-2</v>
      </c>
      <c r="G10">
        <v>1.2E-2</v>
      </c>
      <c r="H10">
        <v>3.0000000000000001E-3</v>
      </c>
      <c r="I10" t="s">
        <v>431</v>
      </c>
      <c r="K10" s="36" t="s">
        <v>426</v>
      </c>
    </row>
    <row r="11" spans="1:26" x14ac:dyDescent="0.2">
      <c r="A11" s="80" t="s">
        <v>139</v>
      </c>
      <c r="B11" s="84">
        <v>370</v>
      </c>
      <c r="C11" s="84"/>
      <c r="D11" s="88"/>
      <c r="E11" s="36" t="s">
        <v>413</v>
      </c>
      <c r="G11" t="s">
        <v>381</v>
      </c>
      <c r="I11" s="36" t="s">
        <v>414</v>
      </c>
      <c r="K11" s="36" t="s">
        <v>379</v>
      </c>
    </row>
    <row r="12" spans="1:26" ht="12.75" customHeight="1" x14ac:dyDescent="0.2">
      <c r="A12" s="80" t="s">
        <v>382</v>
      </c>
      <c r="B12" s="84"/>
      <c r="C12" s="84"/>
      <c r="D12" s="88">
        <f t="shared" si="1"/>
        <v>0</v>
      </c>
      <c r="E12" s="36">
        <v>7.5999999999999998E-2</v>
      </c>
      <c r="F12" s="36">
        <v>0.02</v>
      </c>
      <c r="I12">
        <v>8</v>
      </c>
      <c r="J12">
        <v>3</v>
      </c>
      <c r="K12" s="36" t="s">
        <v>385</v>
      </c>
      <c r="P12" s="81" t="s">
        <v>147</v>
      </c>
      <c r="Q12">
        <v>2.5000000000000001E-2</v>
      </c>
      <c r="R12">
        <v>2.5000000000000001E-2</v>
      </c>
      <c r="S12">
        <v>1.2</v>
      </c>
      <c r="T12">
        <v>0.28000000000000003</v>
      </c>
      <c r="U12">
        <v>8</v>
      </c>
      <c r="V12" t="s">
        <v>403</v>
      </c>
      <c r="Y12">
        <v>8</v>
      </c>
      <c r="Z12">
        <f>Y12-0.05</f>
        <v>7.95</v>
      </c>
    </row>
    <row r="13" spans="1:26" ht="12.75" customHeight="1" x14ac:dyDescent="0.2">
      <c r="A13" s="80" t="s">
        <v>382</v>
      </c>
      <c r="B13" s="84" t="s">
        <v>419</v>
      </c>
      <c r="C13" s="84"/>
      <c r="D13" s="88"/>
      <c r="E13" t="s">
        <v>420</v>
      </c>
      <c r="G13">
        <v>9</v>
      </c>
      <c r="H13">
        <v>2</v>
      </c>
      <c r="I13" s="36">
        <v>9</v>
      </c>
      <c r="J13" s="36">
        <v>2</v>
      </c>
      <c r="K13" s="36" t="s">
        <v>379</v>
      </c>
      <c r="P13" s="81"/>
    </row>
    <row r="14" spans="1:26" ht="12.75" customHeight="1" x14ac:dyDescent="0.2">
      <c r="A14" s="80" t="s">
        <v>382</v>
      </c>
      <c r="B14" s="84"/>
      <c r="C14" s="84"/>
      <c r="D14" s="88"/>
      <c r="I14" s="36"/>
      <c r="J14" s="36"/>
      <c r="K14" s="36" t="s">
        <v>741</v>
      </c>
      <c r="P14" s="81"/>
    </row>
    <row r="15" spans="1:26" x14ac:dyDescent="0.2">
      <c r="A15" s="80" t="s">
        <v>140</v>
      </c>
      <c r="B15" s="84"/>
      <c r="C15" s="84"/>
      <c r="D15" s="88">
        <f t="shared" si="1"/>
        <v>0</v>
      </c>
      <c r="E15" s="36">
        <v>0.06</v>
      </c>
      <c r="F15" s="36">
        <v>0.03</v>
      </c>
      <c r="I15" s="36">
        <v>6.2E-2</v>
      </c>
      <c r="J15" s="36">
        <v>0.03</v>
      </c>
      <c r="K15" s="36" t="s">
        <v>385</v>
      </c>
      <c r="P15" s="81" t="s">
        <v>146</v>
      </c>
      <c r="Q15">
        <v>2.5000000000000001E-2</v>
      </c>
      <c r="R15">
        <v>2.5000000000000001E-2</v>
      </c>
      <c r="S15">
        <v>1.1000000000000001</v>
      </c>
      <c r="T15">
        <v>0.2</v>
      </c>
      <c r="U15">
        <v>9</v>
      </c>
      <c r="V15" t="s">
        <v>403</v>
      </c>
      <c r="Y15">
        <v>9</v>
      </c>
      <c r="Z15">
        <f>Y15-0.05</f>
        <v>8.9499999999999993</v>
      </c>
    </row>
    <row r="16" spans="1:26" x14ac:dyDescent="0.2">
      <c r="A16" s="80" t="s">
        <v>140</v>
      </c>
      <c r="B16" s="84">
        <v>5</v>
      </c>
      <c r="C16" s="84"/>
      <c r="D16" s="88"/>
      <c r="E16" t="s">
        <v>416</v>
      </c>
      <c r="G16" t="s">
        <v>415</v>
      </c>
      <c r="I16">
        <v>0.06</v>
      </c>
      <c r="J16">
        <v>0.03</v>
      </c>
      <c r="K16" s="36" t="s">
        <v>379</v>
      </c>
      <c r="P16" s="81"/>
    </row>
    <row r="17" spans="1:26" x14ac:dyDescent="0.2">
      <c r="A17" s="80" t="s">
        <v>428</v>
      </c>
      <c r="B17" s="84"/>
      <c r="C17" s="84"/>
      <c r="D17" s="88"/>
      <c r="E17">
        <v>0.08</v>
      </c>
      <c r="F17">
        <v>0.02</v>
      </c>
      <c r="K17" s="36" t="s">
        <v>426</v>
      </c>
      <c r="P17" s="81"/>
    </row>
    <row r="18" spans="1:26" x14ac:dyDescent="0.2">
      <c r="A18" s="80" t="s">
        <v>428</v>
      </c>
      <c r="B18" s="84"/>
      <c r="C18" s="84"/>
      <c r="D18" s="88"/>
      <c r="G18" t="s">
        <v>432</v>
      </c>
      <c r="K18" s="36" t="s">
        <v>425</v>
      </c>
      <c r="P18" s="81"/>
    </row>
    <row r="19" spans="1:26" x14ac:dyDescent="0.2">
      <c r="A19" s="80" t="s">
        <v>141</v>
      </c>
      <c r="B19" s="84"/>
      <c r="C19" s="84"/>
      <c r="D19" s="88">
        <f t="shared" si="1"/>
        <v>0</v>
      </c>
      <c r="E19" s="36">
        <v>1.4999999999999999E-2</v>
      </c>
      <c r="F19" s="36">
        <v>6.0000000000000001E-3</v>
      </c>
      <c r="I19" s="36">
        <v>0.04</v>
      </c>
      <c r="J19" s="36">
        <f>0.067-0.04</f>
        <v>2.7000000000000003E-2</v>
      </c>
      <c r="K19" s="36" t="s">
        <v>385</v>
      </c>
      <c r="P19" t="s">
        <v>142</v>
      </c>
      <c r="Q19">
        <v>0.02</v>
      </c>
      <c r="R19">
        <v>0.01</v>
      </c>
      <c r="S19">
        <v>3</v>
      </c>
      <c r="T19">
        <v>1</v>
      </c>
      <c r="U19">
        <v>10</v>
      </c>
      <c r="V19" t="s">
        <v>404</v>
      </c>
      <c r="Y19">
        <v>10</v>
      </c>
      <c r="Z19">
        <f>Y19-0.05</f>
        <v>9.9499999999999993</v>
      </c>
    </row>
    <row r="20" spans="1:26" x14ac:dyDescent="0.2">
      <c r="A20" s="80" t="s">
        <v>141</v>
      </c>
      <c r="B20" s="84"/>
      <c r="C20" s="84"/>
      <c r="D20" s="88"/>
      <c r="E20">
        <v>1.4999999999999999E-2</v>
      </c>
      <c r="F20">
        <v>6.0000000000000001E-3</v>
      </c>
      <c r="K20" s="36" t="s">
        <v>426</v>
      </c>
    </row>
    <row r="21" spans="1:26" x14ac:dyDescent="0.2">
      <c r="A21" s="80" t="s">
        <v>141</v>
      </c>
      <c r="B21" s="84"/>
      <c r="C21" s="84"/>
      <c r="D21" s="88"/>
      <c r="E21" t="s">
        <v>437</v>
      </c>
      <c r="G21" t="s">
        <v>439</v>
      </c>
      <c r="I21">
        <v>0.05</v>
      </c>
      <c r="J21">
        <v>0.03</v>
      </c>
      <c r="K21" s="36" t="s">
        <v>438</v>
      </c>
    </row>
    <row r="22" spans="1:26" x14ac:dyDescent="0.2">
      <c r="A22" s="80" t="s">
        <v>141</v>
      </c>
      <c r="B22" s="84">
        <v>164</v>
      </c>
      <c r="C22" s="84"/>
      <c r="D22" s="88">
        <f t="shared" si="1"/>
        <v>65.599999999999994</v>
      </c>
      <c r="E22">
        <v>8.9999999999999993E-3</v>
      </c>
      <c r="G22">
        <v>2.5000000000000001E-3</v>
      </c>
      <c r="I22">
        <f>G22+E22</f>
        <v>1.15E-2</v>
      </c>
      <c r="K22" s="36" t="s">
        <v>379</v>
      </c>
    </row>
    <row r="23" spans="1:26" x14ac:dyDescent="0.2">
      <c r="A23" s="80" t="s">
        <v>141</v>
      </c>
      <c r="B23" s="84"/>
      <c r="C23" s="84"/>
      <c r="D23" s="88"/>
      <c r="G23" s="32">
        <v>0.01</v>
      </c>
      <c r="H23" s="32">
        <v>5.0000000000000001E-3</v>
      </c>
      <c r="I23">
        <v>2.5000000000000001E-2</v>
      </c>
      <c r="K23" s="36" t="s">
        <v>425</v>
      </c>
    </row>
    <row r="24" spans="1:26" x14ac:dyDescent="0.2">
      <c r="A24" s="80" t="s">
        <v>142</v>
      </c>
      <c r="B24" s="101" t="s">
        <v>423</v>
      </c>
      <c r="C24" s="84"/>
      <c r="D24" s="88"/>
      <c r="E24" s="36" t="s">
        <v>424</v>
      </c>
      <c r="I24" s="36">
        <v>3</v>
      </c>
      <c r="J24" s="36">
        <v>1</v>
      </c>
      <c r="K24" s="36" t="s">
        <v>422</v>
      </c>
    </row>
    <row r="25" spans="1:26" x14ac:dyDescent="0.2">
      <c r="A25" s="80" t="s">
        <v>142</v>
      </c>
      <c r="B25" s="84"/>
      <c r="C25" s="84"/>
      <c r="D25" s="88">
        <f t="shared" si="1"/>
        <v>0</v>
      </c>
      <c r="E25">
        <v>0.02</v>
      </c>
      <c r="F25">
        <v>0.01</v>
      </c>
      <c r="I25">
        <v>3</v>
      </c>
      <c r="J25">
        <v>1</v>
      </c>
      <c r="K25" s="36" t="s">
        <v>385</v>
      </c>
      <c r="P25" t="s">
        <v>382</v>
      </c>
      <c r="Q25">
        <v>7.5999999999999998E-2</v>
      </c>
      <c r="R25">
        <v>0.02</v>
      </c>
      <c r="S25">
        <v>8</v>
      </c>
      <c r="T25">
        <v>3</v>
      </c>
      <c r="U25">
        <v>11</v>
      </c>
      <c r="V25" t="s">
        <v>405</v>
      </c>
      <c r="Y25">
        <v>11</v>
      </c>
      <c r="Z25">
        <f>Y25-0.05</f>
        <v>10.95</v>
      </c>
    </row>
    <row r="26" spans="1:26" x14ac:dyDescent="0.2">
      <c r="A26" s="80" t="s">
        <v>142</v>
      </c>
      <c r="B26" s="84"/>
      <c r="C26" s="84"/>
      <c r="D26" s="88">
        <f t="shared" si="1"/>
        <v>0</v>
      </c>
      <c r="E26">
        <v>0.02</v>
      </c>
      <c r="F26">
        <v>0.02</v>
      </c>
      <c r="I26" t="s">
        <v>358</v>
      </c>
      <c r="K26" s="36" t="s">
        <v>389</v>
      </c>
      <c r="P26" t="s">
        <v>301</v>
      </c>
      <c r="Q26">
        <v>5.5E-2</v>
      </c>
      <c r="R26">
        <v>5.0000000000000001E-3</v>
      </c>
      <c r="S26" s="30">
        <v>0.13500000000000001</v>
      </c>
      <c r="T26" s="30">
        <v>7.4999999999999997E-2</v>
      </c>
      <c r="U26">
        <v>12</v>
      </c>
      <c r="V26" t="s">
        <v>401</v>
      </c>
      <c r="Y26">
        <v>12</v>
      </c>
      <c r="Z26">
        <f>Y26-0.05</f>
        <v>11.95</v>
      </c>
    </row>
    <row r="27" spans="1:26" x14ac:dyDescent="0.2">
      <c r="A27" s="80" t="s">
        <v>142</v>
      </c>
      <c r="B27" s="84"/>
      <c r="C27" s="84"/>
      <c r="D27" s="88"/>
      <c r="E27" t="s">
        <v>380</v>
      </c>
      <c r="G27" s="41" t="s">
        <v>358</v>
      </c>
      <c r="I27" t="s">
        <v>411</v>
      </c>
      <c r="K27" s="36" t="s">
        <v>379</v>
      </c>
      <c r="S27" s="30"/>
      <c r="T27" s="30"/>
    </row>
    <row r="28" spans="1:26" x14ac:dyDescent="0.2">
      <c r="A28" s="80" t="s">
        <v>142</v>
      </c>
      <c r="B28" s="84"/>
      <c r="C28" s="84"/>
      <c r="D28" s="88"/>
      <c r="E28" t="s">
        <v>380</v>
      </c>
      <c r="G28" s="41">
        <v>3</v>
      </c>
      <c r="H28">
        <v>1</v>
      </c>
      <c r="I28">
        <v>3</v>
      </c>
      <c r="J28">
        <v>1</v>
      </c>
      <c r="K28" s="36" t="s">
        <v>379</v>
      </c>
      <c r="S28" s="30"/>
      <c r="T28" s="30"/>
    </row>
    <row r="29" spans="1:26" x14ac:dyDescent="0.2">
      <c r="A29" s="80" t="s">
        <v>142</v>
      </c>
      <c r="B29" s="84"/>
      <c r="C29" s="84"/>
      <c r="D29" s="88"/>
      <c r="G29" s="41"/>
      <c r="I29">
        <v>0.2</v>
      </c>
      <c r="K29" s="36" t="s">
        <v>742</v>
      </c>
      <c r="S29" s="30"/>
      <c r="T29" s="30"/>
    </row>
    <row r="30" spans="1:26" x14ac:dyDescent="0.2">
      <c r="A30" s="592" t="s">
        <v>143</v>
      </c>
      <c r="B30" s="85"/>
      <c r="C30" s="85"/>
      <c r="D30" s="88">
        <f t="shared" si="1"/>
        <v>0</v>
      </c>
      <c r="E30" s="87">
        <v>0.25</v>
      </c>
      <c r="F30" s="87">
        <v>0.1</v>
      </c>
      <c r="G30" s="87"/>
      <c r="H30" s="87"/>
      <c r="I30" s="87">
        <v>0.3</v>
      </c>
      <c r="J30" s="87">
        <v>0.15</v>
      </c>
      <c r="K30" t="s">
        <v>388</v>
      </c>
      <c r="P30" t="s">
        <v>301</v>
      </c>
      <c r="U30">
        <v>13</v>
      </c>
      <c r="Y30">
        <v>13</v>
      </c>
      <c r="Z30">
        <f>Y30-0.05</f>
        <v>12.95</v>
      </c>
    </row>
    <row r="31" spans="1:26" x14ac:dyDescent="0.2">
      <c r="A31" s="592" t="s">
        <v>143</v>
      </c>
      <c r="B31" s="85"/>
      <c r="C31" s="85"/>
      <c r="D31" s="88">
        <f t="shared" si="1"/>
        <v>0</v>
      </c>
      <c r="E31" s="103" t="s">
        <v>391</v>
      </c>
      <c r="F31" s="83"/>
      <c r="G31" s="83"/>
      <c r="H31" s="83"/>
      <c r="I31" s="103" t="s">
        <v>391</v>
      </c>
      <c r="J31" s="83"/>
      <c r="K31" s="36" t="s">
        <v>389</v>
      </c>
    </row>
    <row r="32" spans="1:26" x14ac:dyDescent="0.2">
      <c r="A32" s="592" t="s">
        <v>143</v>
      </c>
      <c r="B32" s="85"/>
      <c r="C32" s="85"/>
      <c r="D32" s="88"/>
      <c r="E32" s="83"/>
      <c r="F32" s="83"/>
      <c r="G32" s="83">
        <v>1E-3</v>
      </c>
      <c r="H32" s="83">
        <v>2.0000000000000001E-4</v>
      </c>
      <c r="I32" s="83"/>
      <c r="J32" s="83"/>
      <c r="K32" s="36" t="s">
        <v>425</v>
      </c>
    </row>
    <row r="33" spans="1:11" x14ac:dyDescent="0.2">
      <c r="A33" s="592" t="s">
        <v>144</v>
      </c>
      <c r="B33" s="85"/>
      <c r="C33" s="85"/>
      <c r="D33" s="88">
        <f t="shared" si="1"/>
        <v>0</v>
      </c>
      <c r="E33" s="36">
        <v>0.04</v>
      </c>
      <c r="F33" s="36">
        <v>0.02</v>
      </c>
      <c r="I33" s="36">
        <v>0.05</v>
      </c>
      <c r="J33" s="36">
        <f>0.072-I33</f>
        <v>2.1999999999999992E-2</v>
      </c>
      <c r="K33" t="s">
        <v>385</v>
      </c>
    </row>
    <row r="34" spans="1:11" x14ac:dyDescent="0.2">
      <c r="A34" s="592" t="s">
        <v>144</v>
      </c>
      <c r="B34" s="85"/>
      <c r="C34" s="85"/>
      <c r="D34" s="88">
        <f t="shared" si="1"/>
        <v>0</v>
      </c>
      <c r="E34">
        <v>0.04</v>
      </c>
      <c r="F34">
        <v>0.02</v>
      </c>
      <c r="I34">
        <v>0.05</v>
      </c>
      <c r="J34">
        <v>0.03</v>
      </c>
      <c r="K34" s="36" t="s">
        <v>389</v>
      </c>
    </row>
    <row r="35" spans="1:11" x14ac:dyDescent="0.2">
      <c r="A35" s="592" t="s">
        <v>144</v>
      </c>
      <c r="B35" s="84">
        <v>165</v>
      </c>
      <c r="C35" s="85"/>
      <c r="D35" s="88"/>
      <c r="E35" t="s">
        <v>418</v>
      </c>
      <c r="G35" t="s">
        <v>418</v>
      </c>
      <c r="I35" t="s">
        <v>381</v>
      </c>
      <c r="K35" s="36" t="s">
        <v>379</v>
      </c>
    </row>
    <row r="36" spans="1:11" x14ac:dyDescent="0.2">
      <c r="A36" s="80" t="s">
        <v>145</v>
      </c>
      <c r="B36" s="84"/>
      <c r="C36" s="84"/>
      <c r="D36" s="88">
        <f t="shared" si="1"/>
        <v>0</v>
      </c>
      <c r="E36">
        <v>0.02</v>
      </c>
      <c r="F36">
        <v>0.02</v>
      </c>
      <c r="I36">
        <v>3.5999999999999997E-2</v>
      </c>
      <c r="J36">
        <f>0.07-0.036</f>
        <v>3.4000000000000009E-2</v>
      </c>
      <c r="K36" t="s">
        <v>385</v>
      </c>
    </row>
    <row r="37" spans="1:11" x14ac:dyDescent="0.2">
      <c r="A37" s="80" t="s">
        <v>145</v>
      </c>
      <c r="B37" s="84"/>
      <c r="C37" s="84"/>
      <c r="D37" s="88">
        <f t="shared" si="1"/>
        <v>0</v>
      </c>
      <c r="E37">
        <v>0.02</v>
      </c>
      <c r="F37">
        <v>0.02</v>
      </c>
      <c r="I37">
        <v>0.03</v>
      </c>
      <c r="J37">
        <v>0.03</v>
      </c>
      <c r="K37" s="36" t="s">
        <v>389</v>
      </c>
    </row>
    <row r="38" spans="1:11" x14ac:dyDescent="0.2">
      <c r="A38" s="80" t="s">
        <v>145</v>
      </c>
      <c r="B38" s="84">
        <v>575</v>
      </c>
      <c r="C38" s="84"/>
      <c r="D38" s="88"/>
      <c r="E38" t="s">
        <v>391</v>
      </c>
      <c r="G38" t="s">
        <v>412</v>
      </c>
      <c r="I38" t="s">
        <v>380</v>
      </c>
      <c r="K38" s="36" t="s">
        <v>379</v>
      </c>
    </row>
    <row r="39" spans="1:11" x14ac:dyDescent="0.2">
      <c r="A39" s="80" t="s">
        <v>145</v>
      </c>
      <c r="B39" s="84"/>
      <c r="C39" s="84"/>
      <c r="D39" s="88"/>
      <c r="G39" t="s">
        <v>429</v>
      </c>
      <c r="I39" t="s">
        <v>430</v>
      </c>
      <c r="K39" s="36" t="s">
        <v>425</v>
      </c>
    </row>
    <row r="40" spans="1:11" x14ac:dyDescent="0.2">
      <c r="A40" s="80" t="s">
        <v>145</v>
      </c>
      <c r="B40" s="84"/>
      <c r="C40" s="84"/>
      <c r="D40" s="88"/>
      <c r="E40" t="s">
        <v>440</v>
      </c>
      <c r="K40" s="36" t="s">
        <v>438</v>
      </c>
    </row>
    <row r="41" spans="1:11" x14ac:dyDescent="0.2">
      <c r="A41" s="80" t="s">
        <v>384</v>
      </c>
      <c r="B41" s="84">
        <v>570</v>
      </c>
      <c r="C41" s="84">
        <v>30</v>
      </c>
      <c r="D41" s="88">
        <f t="shared" si="1"/>
        <v>228</v>
      </c>
      <c r="E41" s="36">
        <v>0.08</v>
      </c>
      <c r="F41" s="36">
        <v>0.03</v>
      </c>
      <c r="G41" t="s">
        <v>435</v>
      </c>
      <c r="I41" s="104">
        <v>0.08</v>
      </c>
      <c r="J41" s="104">
        <v>0.06</v>
      </c>
      <c r="K41" s="36" t="s">
        <v>397</v>
      </c>
    </row>
    <row r="42" spans="1:11" x14ac:dyDescent="0.2">
      <c r="A42" s="81" t="s">
        <v>146</v>
      </c>
      <c r="B42" s="86"/>
      <c r="C42" s="86"/>
      <c r="D42" s="88">
        <f t="shared" si="1"/>
        <v>0</v>
      </c>
      <c r="E42" s="36" t="s">
        <v>390</v>
      </c>
      <c r="I42" s="36">
        <v>1.1000000000000001</v>
      </c>
      <c r="J42" s="36">
        <v>0.2</v>
      </c>
      <c r="K42" s="36" t="s">
        <v>422</v>
      </c>
    </row>
    <row r="43" spans="1:11" x14ac:dyDescent="0.2">
      <c r="A43" s="81" t="s">
        <v>146</v>
      </c>
      <c r="B43" s="86"/>
      <c r="C43" s="86"/>
      <c r="D43" s="88"/>
      <c r="E43">
        <v>2.5000000000000001E-2</v>
      </c>
      <c r="F43">
        <v>2.5000000000000001E-2</v>
      </c>
      <c r="I43">
        <v>1.125</v>
      </c>
      <c r="J43">
        <v>0.2</v>
      </c>
      <c r="K43" s="36" t="s">
        <v>385</v>
      </c>
    </row>
    <row r="44" spans="1:11" x14ac:dyDescent="0.2">
      <c r="A44" s="81" t="s">
        <v>146</v>
      </c>
      <c r="B44" s="86"/>
      <c r="C44" s="86"/>
      <c r="D44" s="88">
        <f t="shared" si="1"/>
        <v>0</v>
      </c>
      <c r="E44" t="s">
        <v>390</v>
      </c>
      <c r="I44">
        <v>1.1000000000000001</v>
      </c>
      <c r="J44">
        <v>0.2</v>
      </c>
      <c r="K44" s="36" t="s">
        <v>389</v>
      </c>
    </row>
    <row r="45" spans="1:11" ht="14.25" customHeight="1" x14ac:dyDescent="0.2">
      <c r="A45" s="81" t="s">
        <v>146</v>
      </c>
      <c r="B45" s="86"/>
      <c r="C45" s="86"/>
      <c r="D45" s="100" t="s">
        <v>417</v>
      </c>
      <c r="E45" t="s">
        <v>390</v>
      </c>
      <c r="G45">
        <v>1.1000000000000001</v>
      </c>
      <c r="H45">
        <v>0.2</v>
      </c>
      <c r="I45">
        <v>1.1000000000000001</v>
      </c>
      <c r="J45">
        <v>0.2</v>
      </c>
      <c r="K45" s="36" t="s">
        <v>379</v>
      </c>
    </row>
    <row r="46" spans="1:11" ht="14.25" customHeight="1" x14ac:dyDescent="0.2">
      <c r="A46" s="81" t="s">
        <v>146</v>
      </c>
      <c r="B46" s="86"/>
      <c r="C46" s="86"/>
      <c r="D46" s="100"/>
      <c r="G46">
        <v>6.0000000000000001E-3</v>
      </c>
      <c r="H46">
        <v>3.0000000000000001E-3</v>
      </c>
      <c r="K46" s="36" t="s">
        <v>425</v>
      </c>
    </row>
    <row r="47" spans="1:11" x14ac:dyDescent="0.2">
      <c r="A47" s="81" t="s">
        <v>147</v>
      </c>
      <c r="B47" s="86"/>
      <c r="C47" s="86"/>
      <c r="D47" s="88">
        <f t="shared" si="1"/>
        <v>0</v>
      </c>
      <c r="E47" s="36" t="s">
        <v>390</v>
      </c>
      <c r="F47" s="36"/>
      <c r="G47" s="36">
        <v>0.9</v>
      </c>
      <c r="H47" s="36">
        <v>0.1</v>
      </c>
      <c r="I47" s="104">
        <v>0.9</v>
      </c>
      <c r="J47" s="104">
        <v>0.1</v>
      </c>
      <c r="K47" s="36" t="s">
        <v>422</v>
      </c>
    </row>
    <row r="48" spans="1:11" x14ac:dyDescent="0.2">
      <c r="A48" s="81" t="s">
        <v>147</v>
      </c>
      <c r="B48" s="86"/>
      <c r="C48" s="86"/>
      <c r="D48" s="88"/>
      <c r="E48">
        <v>2.5000000000000001E-2</v>
      </c>
      <c r="F48">
        <v>2.5000000000000001E-2</v>
      </c>
      <c r="I48" s="50">
        <v>0.92500000000000004</v>
      </c>
      <c r="J48" s="50">
        <v>0.1</v>
      </c>
      <c r="K48" s="36" t="s">
        <v>427</v>
      </c>
    </row>
    <row r="49" spans="1:11" x14ac:dyDescent="0.2">
      <c r="A49" s="81" t="s">
        <v>147</v>
      </c>
      <c r="B49" s="86"/>
      <c r="C49" s="86"/>
      <c r="D49" s="88">
        <f t="shared" si="1"/>
        <v>0</v>
      </c>
      <c r="E49">
        <v>0.03</v>
      </c>
      <c r="F49">
        <v>0.02</v>
      </c>
      <c r="I49">
        <v>1.1000000000000001</v>
      </c>
      <c r="J49">
        <v>0.2</v>
      </c>
      <c r="K49" s="36" t="s">
        <v>389</v>
      </c>
    </row>
    <row r="50" spans="1:11" x14ac:dyDescent="0.2">
      <c r="A50" s="81" t="s">
        <v>147</v>
      </c>
      <c r="B50" s="50">
        <v>40</v>
      </c>
      <c r="C50" s="50"/>
      <c r="D50" s="88">
        <f t="shared" si="1"/>
        <v>16</v>
      </c>
      <c r="E50" t="s">
        <v>390</v>
      </c>
      <c r="G50">
        <v>0.9</v>
      </c>
      <c r="H50">
        <v>0.1</v>
      </c>
      <c r="I50">
        <v>0.9</v>
      </c>
      <c r="J50">
        <v>0.1</v>
      </c>
      <c r="K50" s="36" t="s">
        <v>379</v>
      </c>
    </row>
    <row r="51" spans="1:11" x14ac:dyDescent="0.2">
      <c r="B51" s="50"/>
      <c r="C51" s="50"/>
      <c r="D51" s="89"/>
    </row>
    <row r="52" spans="1:11" x14ac:dyDescent="0.2">
      <c r="B52" s="50"/>
      <c r="C52" s="50"/>
      <c r="D52" s="89"/>
    </row>
    <row r="53" spans="1:11" x14ac:dyDescent="0.2">
      <c r="B53" s="50"/>
      <c r="C53" s="50"/>
      <c r="D53" s="89"/>
    </row>
    <row r="54" spans="1:11" x14ac:dyDescent="0.2">
      <c r="B54" s="50"/>
      <c r="C54" s="50"/>
      <c r="D54" s="89"/>
    </row>
    <row r="55" spans="1:11" x14ac:dyDescent="0.2">
      <c r="B55" s="50"/>
      <c r="C55" s="50"/>
      <c r="D55" s="89"/>
    </row>
    <row r="56" spans="1:11" x14ac:dyDescent="0.2">
      <c r="B56" s="50"/>
      <c r="C56" s="50"/>
      <c r="D56" s="89"/>
    </row>
    <row r="57" spans="1:11" x14ac:dyDescent="0.2">
      <c r="B57" s="50"/>
      <c r="C57" s="50"/>
      <c r="D57" s="89"/>
    </row>
    <row r="58" spans="1:11" x14ac:dyDescent="0.2">
      <c r="B58" s="50"/>
      <c r="C58" s="50"/>
      <c r="D58" s="89"/>
    </row>
    <row r="59" spans="1:11" x14ac:dyDescent="0.2">
      <c r="B59" s="50"/>
      <c r="C59" s="50"/>
      <c r="D59" s="89"/>
    </row>
    <row r="60" spans="1:11" x14ac:dyDescent="0.2">
      <c r="B60" s="50"/>
      <c r="C60" s="50"/>
      <c r="D60" s="89"/>
    </row>
    <row r="61" spans="1:11" x14ac:dyDescent="0.2">
      <c r="B61" s="50"/>
      <c r="C61" s="50"/>
      <c r="D61" s="89"/>
    </row>
    <row r="62" spans="1:11" x14ac:dyDescent="0.2">
      <c r="B62" s="50"/>
      <c r="C62" s="50"/>
      <c r="D62" s="89"/>
    </row>
    <row r="63" spans="1:11" x14ac:dyDescent="0.2">
      <c r="B63" s="50"/>
      <c r="C63" s="50"/>
      <c r="D63" s="89"/>
    </row>
    <row r="64" spans="1:11" x14ac:dyDescent="0.2">
      <c r="B64" s="50"/>
      <c r="C64" s="50"/>
      <c r="D64" s="89"/>
    </row>
    <row r="65" spans="2:4" x14ac:dyDescent="0.2">
      <c r="B65" s="50"/>
      <c r="C65" s="50"/>
      <c r="D65" s="89"/>
    </row>
    <row r="66" spans="2:4" x14ac:dyDescent="0.2">
      <c r="B66" s="50"/>
      <c r="C66" s="50"/>
      <c r="D66" s="89"/>
    </row>
    <row r="67" spans="2:4" x14ac:dyDescent="0.2">
      <c r="B67" s="50"/>
      <c r="C67" s="50"/>
      <c r="D67" s="89"/>
    </row>
    <row r="68" spans="2:4" x14ac:dyDescent="0.2">
      <c r="B68" s="50"/>
      <c r="C68" s="50"/>
      <c r="D68" s="89"/>
    </row>
    <row r="69" spans="2:4" x14ac:dyDescent="0.2">
      <c r="B69" s="50"/>
      <c r="C69" s="50"/>
      <c r="D69" s="89"/>
    </row>
    <row r="70" spans="2:4" x14ac:dyDescent="0.2">
      <c r="B70" s="50"/>
      <c r="C70" s="50"/>
      <c r="D70" s="89"/>
    </row>
    <row r="71" spans="2:4" x14ac:dyDescent="0.2">
      <c r="B71" s="50"/>
      <c r="C71" s="50"/>
      <c r="D71" s="89"/>
    </row>
    <row r="72" spans="2:4" x14ac:dyDescent="0.2">
      <c r="B72" s="50"/>
      <c r="C72" s="50"/>
      <c r="D72" s="89"/>
    </row>
    <row r="73" spans="2:4" x14ac:dyDescent="0.2">
      <c r="B73" s="50"/>
      <c r="C73" s="50"/>
      <c r="D73" s="89"/>
    </row>
    <row r="74" spans="2:4" x14ac:dyDescent="0.2">
      <c r="B74" s="50"/>
      <c r="C74" s="50"/>
      <c r="D74" s="89"/>
    </row>
    <row r="75" spans="2:4" x14ac:dyDescent="0.2">
      <c r="B75" s="50"/>
      <c r="C75" s="50"/>
      <c r="D75" s="89"/>
    </row>
    <row r="76" spans="2:4" x14ac:dyDescent="0.2">
      <c r="B76" s="50"/>
      <c r="C76" s="50"/>
      <c r="D76" s="89"/>
    </row>
    <row r="77" spans="2:4" x14ac:dyDescent="0.2">
      <c r="B77" s="50"/>
      <c r="C77" s="50"/>
      <c r="D77" s="89"/>
    </row>
    <row r="78" spans="2:4" x14ac:dyDescent="0.2">
      <c r="B78" s="50"/>
      <c r="C78" s="50"/>
      <c r="D78" s="89"/>
    </row>
    <row r="79" spans="2:4" x14ac:dyDescent="0.2">
      <c r="B79" s="50"/>
      <c r="C79" s="50"/>
      <c r="D79" s="89"/>
    </row>
    <row r="80" spans="2:4" x14ac:dyDescent="0.2">
      <c r="B80" s="50"/>
      <c r="C80" s="50"/>
      <c r="D80" s="89"/>
    </row>
    <row r="81" spans="2:4" x14ac:dyDescent="0.2">
      <c r="B81" s="50"/>
      <c r="C81" s="50"/>
      <c r="D81" s="89"/>
    </row>
    <row r="82" spans="2:4" x14ac:dyDescent="0.2">
      <c r="B82" s="50"/>
      <c r="C82" s="50"/>
      <c r="D82" s="89"/>
    </row>
    <row r="83" spans="2:4" x14ac:dyDescent="0.2">
      <c r="B83" s="50"/>
      <c r="C83" s="50"/>
      <c r="D83" s="89"/>
    </row>
    <row r="84" spans="2:4" x14ac:dyDescent="0.2">
      <c r="B84" s="50"/>
      <c r="C84" s="50"/>
      <c r="D84" s="89"/>
    </row>
    <row r="85" spans="2:4" x14ac:dyDescent="0.2">
      <c r="B85" s="50"/>
      <c r="C85" s="50"/>
      <c r="D85" s="89"/>
    </row>
    <row r="86" spans="2:4" x14ac:dyDescent="0.2">
      <c r="B86" s="50"/>
      <c r="C86" s="50"/>
      <c r="D86" s="89"/>
    </row>
    <row r="87" spans="2:4" x14ac:dyDescent="0.2">
      <c r="B87" s="50"/>
      <c r="C87" s="50"/>
      <c r="D87" s="89"/>
    </row>
    <row r="88" spans="2:4" x14ac:dyDescent="0.2">
      <c r="B88" s="50"/>
      <c r="C88" s="50"/>
      <c r="D88" s="89"/>
    </row>
    <row r="89" spans="2:4" x14ac:dyDescent="0.2">
      <c r="B89" s="50"/>
      <c r="C89" s="50"/>
      <c r="D89" s="89"/>
    </row>
    <row r="90" spans="2:4" x14ac:dyDescent="0.2">
      <c r="B90" s="50"/>
      <c r="C90" s="50"/>
      <c r="D90" s="89"/>
    </row>
    <row r="91" spans="2:4" x14ac:dyDescent="0.2">
      <c r="B91" s="50"/>
      <c r="C91" s="50"/>
      <c r="D91" s="89"/>
    </row>
    <row r="92" spans="2:4" x14ac:dyDescent="0.2">
      <c r="B92" s="50"/>
      <c r="C92" s="50"/>
      <c r="D92" s="89"/>
    </row>
    <row r="93" spans="2:4" x14ac:dyDescent="0.2">
      <c r="B93" s="50"/>
      <c r="C93" s="50"/>
      <c r="D93" s="89"/>
    </row>
    <row r="94" spans="2:4" x14ac:dyDescent="0.2">
      <c r="B94" s="50"/>
      <c r="C94" s="50"/>
      <c r="D94" s="89"/>
    </row>
    <row r="95" spans="2:4" x14ac:dyDescent="0.2">
      <c r="B95" s="50"/>
      <c r="C95" s="50"/>
      <c r="D95" s="89"/>
    </row>
    <row r="96" spans="2:4" x14ac:dyDescent="0.2">
      <c r="B96" s="50"/>
      <c r="C96" s="50"/>
      <c r="D96" s="89"/>
    </row>
    <row r="97" spans="2:4" x14ac:dyDescent="0.2">
      <c r="B97" s="50"/>
      <c r="C97" s="50"/>
      <c r="D97" s="89"/>
    </row>
    <row r="98" spans="2:4" x14ac:dyDescent="0.2">
      <c r="B98" s="50"/>
      <c r="C98" s="50"/>
      <c r="D98" s="89"/>
    </row>
    <row r="99" spans="2:4" x14ac:dyDescent="0.2">
      <c r="B99" s="50"/>
      <c r="C99" s="50"/>
      <c r="D99" s="89"/>
    </row>
    <row r="100" spans="2:4" x14ac:dyDescent="0.2">
      <c r="B100" s="50"/>
      <c r="C100" s="50"/>
      <c r="D100" s="89"/>
    </row>
    <row r="101" spans="2:4" x14ac:dyDescent="0.2">
      <c r="B101" s="50"/>
      <c r="C101" s="50"/>
      <c r="D101" s="89"/>
    </row>
    <row r="102" spans="2:4" x14ac:dyDescent="0.2">
      <c r="B102" s="50"/>
      <c r="C102" s="50"/>
      <c r="D102" s="89"/>
    </row>
    <row r="103" spans="2:4" x14ac:dyDescent="0.2">
      <c r="B103" s="50"/>
      <c r="C103" s="50"/>
      <c r="D103" s="89"/>
    </row>
    <row r="104" spans="2:4" x14ac:dyDescent="0.2">
      <c r="B104" s="50"/>
      <c r="C104" s="50"/>
      <c r="D104" s="89"/>
    </row>
    <row r="105" spans="2:4" x14ac:dyDescent="0.2">
      <c r="B105" s="50"/>
      <c r="C105" s="50"/>
      <c r="D105" s="89"/>
    </row>
    <row r="106" spans="2:4" x14ac:dyDescent="0.2">
      <c r="B106" s="50"/>
      <c r="C106" s="50"/>
      <c r="D106" s="89"/>
    </row>
    <row r="107" spans="2:4" x14ac:dyDescent="0.2">
      <c r="B107" s="50"/>
      <c r="C107" s="50"/>
      <c r="D107" s="89"/>
    </row>
    <row r="108" spans="2:4" x14ac:dyDescent="0.2">
      <c r="B108" s="50"/>
      <c r="C108" s="50"/>
      <c r="D108" s="89"/>
    </row>
    <row r="109" spans="2:4" x14ac:dyDescent="0.2">
      <c r="B109" s="50"/>
      <c r="C109" s="50"/>
      <c r="D109" s="89"/>
    </row>
    <row r="110" spans="2:4" x14ac:dyDescent="0.2">
      <c r="B110" s="50"/>
      <c r="C110" s="50"/>
      <c r="D110" s="89"/>
    </row>
    <row r="111" spans="2:4" x14ac:dyDescent="0.2">
      <c r="B111" s="50"/>
      <c r="C111" s="50"/>
      <c r="D111" s="89"/>
    </row>
    <row r="112" spans="2:4" x14ac:dyDescent="0.2">
      <c r="B112" s="50"/>
      <c r="C112" s="50"/>
      <c r="D112" s="89"/>
    </row>
    <row r="113" spans="2:4" x14ac:dyDescent="0.2">
      <c r="B113" s="50"/>
      <c r="C113" s="50"/>
      <c r="D113" s="89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B129"/>
  <sheetViews>
    <sheetView workbookViewId="0">
      <pane ySplit="2" topLeftCell="A64" activePane="bottomLeft" state="frozen"/>
      <selection pane="bottomLeft" activeCell="B69" sqref="B69"/>
    </sheetView>
  </sheetViews>
  <sheetFormatPr defaultColWidth="9.33203125" defaultRowHeight="15.75" x14ac:dyDescent="0.25"/>
  <cols>
    <col min="1" max="1" width="19.5" style="610" customWidth="1"/>
    <col min="2" max="2" width="82.33203125" style="680" bestFit="1" customWidth="1"/>
    <col min="3" max="3" width="20" style="610" bestFit="1" customWidth="1"/>
    <col min="4" max="16384" width="9.33203125" style="610"/>
  </cols>
  <sheetData>
    <row r="1" spans="1:2" x14ac:dyDescent="0.25">
      <c r="A1" s="681" t="s">
        <v>1553</v>
      </c>
    </row>
    <row r="2" spans="1:2" x14ac:dyDescent="0.25">
      <c r="A2" s="610" t="s">
        <v>1713</v>
      </c>
      <c r="B2" s="680" t="s">
        <v>1714</v>
      </c>
    </row>
    <row r="3" spans="1:2" x14ac:dyDescent="0.25">
      <c r="A3" s="610" t="s">
        <v>1685</v>
      </c>
      <c r="B3" s="610" t="s">
        <v>1678</v>
      </c>
    </row>
    <row r="4" spans="1:2" x14ac:dyDescent="0.25">
      <c r="A4" s="610" t="s">
        <v>54</v>
      </c>
      <c r="B4" s="680" t="s">
        <v>1709</v>
      </c>
    </row>
    <row r="5" spans="1:2" x14ac:dyDescent="0.25">
      <c r="A5" s="610" t="s">
        <v>120</v>
      </c>
      <c r="B5" s="680" t="s">
        <v>1599</v>
      </c>
    </row>
    <row r="6" spans="1:2" x14ac:dyDescent="0.25">
      <c r="A6" s="610" t="s">
        <v>121</v>
      </c>
      <c r="B6" s="680" t="s">
        <v>1599</v>
      </c>
    </row>
    <row r="7" spans="1:2" x14ac:dyDescent="0.25">
      <c r="A7" s="610" t="s">
        <v>1459</v>
      </c>
      <c r="B7" s="680" t="s">
        <v>1606</v>
      </c>
    </row>
    <row r="8" spans="1:2" x14ac:dyDescent="0.25">
      <c r="A8" s="610" t="s">
        <v>1532</v>
      </c>
      <c r="B8" s="680" t="s">
        <v>1533</v>
      </c>
    </row>
    <row r="9" spans="1:2" x14ac:dyDescent="0.25">
      <c r="A9" s="610" t="s">
        <v>1535</v>
      </c>
      <c r="B9" s="680" t="s">
        <v>1604</v>
      </c>
    </row>
    <row r="10" spans="1:2" x14ac:dyDescent="0.25">
      <c r="A10" s="610" t="s">
        <v>1660</v>
      </c>
      <c r="B10" s="610" t="s">
        <v>1520</v>
      </c>
    </row>
    <row r="11" spans="1:2" x14ac:dyDescent="0.25">
      <c r="A11" s="610" t="s">
        <v>1797</v>
      </c>
      <c r="B11" s="610" t="s">
        <v>1804</v>
      </c>
    </row>
    <row r="12" spans="1:2" x14ac:dyDescent="0.25">
      <c r="A12" s="610" t="s">
        <v>1818</v>
      </c>
      <c r="B12" s="680" t="s">
        <v>1718</v>
      </c>
    </row>
    <row r="13" spans="1:2" x14ac:dyDescent="0.25">
      <c r="A13" s="610" t="s">
        <v>1819</v>
      </c>
      <c r="B13" s="680" t="s">
        <v>1605</v>
      </c>
    </row>
    <row r="14" spans="1:2" x14ac:dyDescent="0.25">
      <c r="A14" s="610" t="s">
        <v>1524</v>
      </c>
      <c r="B14" s="680" t="s">
        <v>1829</v>
      </c>
    </row>
    <row r="15" spans="1:2" x14ac:dyDescent="0.25">
      <c r="A15" s="610" t="s">
        <v>1524</v>
      </c>
      <c r="B15" s="680" t="s">
        <v>1830</v>
      </c>
    </row>
    <row r="16" spans="1:2" x14ac:dyDescent="0.25">
      <c r="A16" s="610" t="s">
        <v>55</v>
      </c>
      <c r="B16" s="680" t="s">
        <v>1440</v>
      </c>
    </row>
    <row r="17" spans="1:2" x14ac:dyDescent="0.25">
      <c r="A17" s="610" t="s">
        <v>52</v>
      </c>
      <c r="B17" s="680" t="s">
        <v>1441</v>
      </c>
    </row>
    <row r="18" spans="1:2" x14ac:dyDescent="0.25">
      <c r="A18" s="610" t="s">
        <v>53</v>
      </c>
      <c r="B18" s="680" t="s">
        <v>1712</v>
      </c>
    </row>
    <row r="20" spans="1:2" x14ac:dyDescent="0.25">
      <c r="A20" s="610" t="s">
        <v>1625</v>
      </c>
      <c r="B20" s="680" t="s">
        <v>1598</v>
      </c>
    </row>
    <row r="21" spans="1:2" x14ac:dyDescent="0.25">
      <c r="A21" s="610" t="s">
        <v>1299</v>
      </c>
      <c r="B21" s="680" t="s">
        <v>155</v>
      </c>
    </row>
    <row r="22" spans="1:2" x14ac:dyDescent="0.25">
      <c r="A22" s="610" t="s">
        <v>1299</v>
      </c>
      <c r="B22" s="680" t="s">
        <v>1836</v>
      </c>
    </row>
    <row r="23" spans="1:2" x14ac:dyDescent="0.25">
      <c r="A23" s="610" t="s">
        <v>3</v>
      </c>
      <c r="B23" s="680" t="s">
        <v>1715</v>
      </c>
    </row>
    <row r="24" spans="1:2" x14ac:dyDescent="0.25">
      <c r="A24" s="610" t="s">
        <v>4</v>
      </c>
      <c r="B24" s="680" t="s">
        <v>1710</v>
      </c>
    </row>
    <row r="25" spans="1:2" x14ac:dyDescent="0.25">
      <c r="A25" s="610" t="s">
        <v>5</v>
      </c>
      <c r="B25" s="680" t="s">
        <v>1436</v>
      </c>
    </row>
    <row r="26" spans="1:2" x14ac:dyDescent="0.25">
      <c r="A26" s="610" t="s">
        <v>7</v>
      </c>
      <c r="B26" s="680" t="s">
        <v>616</v>
      </c>
    </row>
    <row r="27" spans="1:2" x14ac:dyDescent="0.25">
      <c r="A27" s="610" t="s">
        <v>617</v>
      </c>
      <c r="B27" s="680" t="s">
        <v>1716</v>
      </c>
    </row>
    <row r="28" spans="1:2" x14ac:dyDescent="0.25">
      <c r="A28" s="610" t="s">
        <v>619</v>
      </c>
      <c r="B28" s="680" t="s">
        <v>1438</v>
      </c>
    </row>
    <row r="29" spans="1:2" x14ac:dyDescent="0.25">
      <c r="A29" s="610" t="s">
        <v>49</v>
      </c>
      <c r="B29" s="680" t="s">
        <v>1711</v>
      </c>
    </row>
    <row r="30" spans="1:2" x14ac:dyDescent="0.25">
      <c r="A30" s="610" t="s">
        <v>48</v>
      </c>
      <c r="B30" s="680" t="s">
        <v>1717</v>
      </c>
    </row>
    <row r="31" spans="1:2" x14ac:dyDescent="0.25">
      <c r="A31" s="610" t="s">
        <v>1454</v>
      </c>
      <c r="B31" s="680" t="s">
        <v>1601</v>
      </c>
    </row>
    <row r="32" spans="1:2" x14ac:dyDescent="0.25">
      <c r="A32" s="610" t="s">
        <v>1302</v>
      </c>
      <c r="B32" s="680" t="s">
        <v>1600</v>
      </c>
    </row>
    <row r="33" spans="1:2" x14ac:dyDescent="0.25">
      <c r="A33" s="610" t="s">
        <v>81</v>
      </c>
      <c r="B33" s="680" t="s">
        <v>1602</v>
      </c>
    </row>
    <row r="34" spans="1:2" x14ac:dyDescent="0.25">
      <c r="A34" s="610" t="s">
        <v>82</v>
      </c>
      <c r="B34" s="680" t="s">
        <v>1603</v>
      </c>
    </row>
    <row r="35" spans="1:2" x14ac:dyDescent="0.25">
      <c r="A35" s="610" t="s">
        <v>217</v>
      </c>
      <c r="B35" s="680" t="s">
        <v>1560</v>
      </c>
    </row>
    <row r="36" spans="1:2" x14ac:dyDescent="0.25">
      <c r="A36" s="610" t="s">
        <v>1443</v>
      </c>
      <c r="B36" s="680" t="s">
        <v>135</v>
      </c>
    </row>
    <row r="37" spans="1:2" x14ac:dyDescent="0.25">
      <c r="A37" s="610" t="s">
        <v>1452</v>
      </c>
      <c r="B37" s="610" t="s">
        <v>1562</v>
      </c>
    </row>
    <row r="38" spans="1:2" x14ac:dyDescent="0.25">
      <c r="A38" s="610" t="s">
        <v>1450</v>
      </c>
      <c r="B38" s="680" t="s">
        <v>1506</v>
      </c>
    </row>
    <row r="39" spans="1:2" x14ac:dyDescent="0.25">
      <c r="A39" s="610" t="s">
        <v>1525</v>
      </c>
      <c r="B39" s="610" t="s">
        <v>1805</v>
      </c>
    </row>
    <row r="40" spans="1:2" x14ac:dyDescent="0.25">
      <c r="A40" s="610" t="s">
        <v>1515</v>
      </c>
      <c r="B40" s="680" t="s">
        <v>1514</v>
      </c>
    </row>
    <row r="41" spans="1:2" x14ac:dyDescent="0.25">
      <c r="A41" s="610" t="s">
        <v>1512</v>
      </c>
      <c r="B41" s="680" t="s">
        <v>1513</v>
      </c>
    </row>
    <row r="42" spans="1:2" x14ac:dyDescent="0.25">
      <c r="A42" s="610" t="s">
        <v>1542</v>
      </c>
      <c r="B42" s="680" t="s">
        <v>1550</v>
      </c>
    </row>
    <row r="43" spans="1:2" x14ac:dyDescent="0.25">
      <c r="A43" s="610" t="s">
        <v>1551</v>
      </c>
      <c r="B43" s="680" t="s">
        <v>1564</v>
      </c>
    </row>
    <row r="44" spans="1:2" x14ac:dyDescent="0.25">
      <c r="A44" s="610" t="s">
        <v>1624</v>
      </c>
      <c r="B44" s="610" t="s">
        <v>1541</v>
      </c>
    </row>
    <row r="45" spans="1:2" x14ac:dyDescent="0.25">
      <c r="A45" s="610" t="s">
        <v>1651</v>
      </c>
      <c r="B45" s="610" t="s">
        <v>1708</v>
      </c>
    </row>
    <row r="46" spans="1:2" x14ac:dyDescent="0.25">
      <c r="A46" s="610" t="s">
        <v>1652</v>
      </c>
      <c r="B46" s="610" t="s">
        <v>1677</v>
      </c>
    </row>
    <row r="47" spans="1:2" x14ac:dyDescent="0.25">
      <c r="A47" s="610" t="s">
        <v>1653</v>
      </c>
      <c r="B47" s="610" t="s">
        <v>1834</v>
      </c>
    </row>
    <row r="48" spans="1:2" x14ac:dyDescent="0.25">
      <c r="A48" s="610" t="s">
        <v>1657</v>
      </c>
      <c r="B48" s="610" t="s">
        <v>1833</v>
      </c>
    </row>
    <row r="49" spans="1:2" x14ac:dyDescent="0.25">
      <c r="A49" s="610" t="s">
        <v>1658</v>
      </c>
      <c r="B49" s="610" t="s">
        <v>1659</v>
      </c>
    </row>
    <row r="50" spans="1:2" x14ac:dyDescent="0.25">
      <c r="A50" s="610" t="s">
        <v>1669</v>
      </c>
      <c r="B50" s="610" t="s">
        <v>1537</v>
      </c>
    </row>
    <row r="51" spans="1:2" x14ac:dyDescent="0.25">
      <c r="A51" s="610" t="s">
        <v>1661</v>
      </c>
      <c r="B51" s="610" t="s">
        <v>1666</v>
      </c>
    </row>
    <row r="52" spans="1:2" x14ac:dyDescent="0.25">
      <c r="A52" s="610" t="s">
        <v>1667</v>
      </c>
      <c r="B52" s="610" t="s">
        <v>1827</v>
      </c>
    </row>
    <row r="53" spans="1:2" x14ac:dyDescent="0.25">
      <c r="A53" s="610" t="s">
        <v>1668</v>
      </c>
      <c r="B53" s="610" t="s">
        <v>1676</v>
      </c>
    </row>
    <row r="54" spans="1:2" x14ac:dyDescent="0.25">
      <c r="A54" s="610" t="s">
        <v>1675</v>
      </c>
      <c r="B54" s="610" t="s">
        <v>1547</v>
      </c>
    </row>
    <row r="55" spans="1:2" x14ac:dyDescent="0.25">
      <c r="A55" s="610" t="s">
        <v>1683</v>
      </c>
      <c r="B55" s="610" t="s">
        <v>1689</v>
      </c>
    </row>
    <row r="56" spans="1:2" x14ac:dyDescent="0.25">
      <c r="A56" s="610" t="s">
        <v>1686</v>
      </c>
      <c r="B56" s="610" t="s">
        <v>1687</v>
      </c>
    </row>
    <row r="57" spans="1:2" x14ac:dyDescent="0.25">
      <c r="A57" s="610" t="s">
        <v>1688</v>
      </c>
      <c r="B57" s="610" t="s">
        <v>1684</v>
      </c>
    </row>
    <row r="58" spans="1:2" x14ac:dyDescent="0.25">
      <c r="A58" s="610" t="s">
        <v>1695</v>
      </c>
      <c r="B58" s="610" t="s">
        <v>1719</v>
      </c>
    </row>
    <row r="59" spans="1:2" x14ac:dyDescent="0.25">
      <c r="A59" s="610" t="s">
        <v>1694</v>
      </c>
      <c r="B59" s="610" t="s">
        <v>1835</v>
      </c>
    </row>
    <row r="60" spans="1:2" x14ac:dyDescent="0.25">
      <c r="A60" s="610" t="s">
        <v>1721</v>
      </c>
      <c r="B60" s="610" t="s">
        <v>1811</v>
      </c>
    </row>
    <row r="61" spans="1:2" x14ac:dyDescent="0.25">
      <c r="A61" s="610" t="s">
        <v>1793</v>
      </c>
      <c r="B61" s="610" t="s">
        <v>1707</v>
      </c>
    </row>
    <row r="62" spans="1:2" x14ac:dyDescent="0.25">
      <c r="A62" s="610" t="s">
        <v>1787</v>
      </c>
      <c r="B62" s="610" t="s">
        <v>1726</v>
      </c>
    </row>
    <row r="63" spans="1:2" x14ac:dyDescent="0.25">
      <c r="A63" s="610" t="s">
        <v>1790</v>
      </c>
      <c r="B63" s="610" t="s">
        <v>1788</v>
      </c>
    </row>
    <row r="64" spans="1:2" x14ac:dyDescent="0.25">
      <c r="A64" s="610" t="s">
        <v>1791</v>
      </c>
      <c r="B64" s="610" t="s">
        <v>1792</v>
      </c>
    </row>
    <row r="65" spans="1:2" x14ac:dyDescent="0.25">
      <c r="A65" s="610" t="s">
        <v>1798</v>
      </c>
      <c r="B65" s="610" t="s">
        <v>1727</v>
      </c>
    </row>
    <row r="66" spans="1:2" x14ac:dyDescent="0.25">
      <c r="A66" s="610" t="s">
        <v>1799</v>
      </c>
      <c r="B66" s="610" t="s">
        <v>1831</v>
      </c>
    </row>
    <row r="67" spans="1:2" x14ac:dyDescent="0.25">
      <c r="A67" s="610" t="s">
        <v>1812</v>
      </c>
      <c r="B67" s="610" t="s">
        <v>1828</v>
      </c>
    </row>
    <row r="68" spans="1:2" x14ac:dyDescent="0.25">
      <c r="A68" s="610" t="s">
        <v>1808</v>
      </c>
      <c r="B68" s="610" t="s">
        <v>1814</v>
      </c>
    </row>
    <row r="69" spans="1:2" x14ac:dyDescent="0.25">
      <c r="A69" s="610" t="s">
        <v>1809</v>
      </c>
      <c r="B69" s="610" t="s">
        <v>1823</v>
      </c>
    </row>
    <row r="70" spans="1:2" x14ac:dyDescent="0.25">
      <c r="A70" s="610" t="s">
        <v>1810</v>
      </c>
      <c r="B70" s="610" t="s">
        <v>1832</v>
      </c>
    </row>
    <row r="71" spans="1:2" x14ac:dyDescent="0.25">
      <c r="A71" s="610" t="s">
        <v>1813</v>
      </c>
      <c r="B71" s="610" t="s">
        <v>1816</v>
      </c>
    </row>
    <row r="72" spans="1:2" x14ac:dyDescent="0.25">
      <c r="A72" s="610" t="s">
        <v>1817</v>
      </c>
      <c r="B72" s="610" t="s">
        <v>1822</v>
      </c>
    </row>
    <row r="73" spans="1:2" x14ac:dyDescent="0.25">
      <c r="A73" s="610" t="s">
        <v>1844</v>
      </c>
      <c r="B73" s="610" t="s">
        <v>1732</v>
      </c>
    </row>
    <row r="74" spans="1:2" x14ac:dyDescent="0.25">
      <c r="A74" s="610" t="s">
        <v>1845</v>
      </c>
      <c r="B74" s="610" t="s">
        <v>1846</v>
      </c>
    </row>
    <row r="75" spans="1:2" x14ac:dyDescent="0.25">
      <c r="A75" s="610" t="s">
        <v>1305</v>
      </c>
      <c r="B75" s="610" t="s">
        <v>1839</v>
      </c>
    </row>
    <row r="76" spans="1:2" x14ac:dyDescent="0.25">
      <c r="A76" s="610" t="s">
        <v>1305</v>
      </c>
      <c r="B76" s="610" t="s">
        <v>1731</v>
      </c>
    </row>
    <row r="77" spans="1:2" x14ac:dyDescent="0.25">
      <c r="A77" s="610" t="s">
        <v>1305</v>
      </c>
      <c r="B77" s="610" t="s">
        <v>1825</v>
      </c>
    </row>
    <row r="78" spans="1:2" x14ac:dyDescent="0.25">
      <c r="A78" s="610" t="s">
        <v>1305</v>
      </c>
      <c r="B78" s="610" t="s">
        <v>1703</v>
      </c>
    </row>
    <row r="79" spans="1:2" x14ac:dyDescent="0.25">
      <c r="A79" s="610" t="s">
        <v>1305</v>
      </c>
      <c r="B79" s="610" t="s">
        <v>1700</v>
      </c>
    </row>
    <row r="80" spans="1:2" x14ac:dyDescent="0.25">
      <c r="A80" s="610" t="s">
        <v>1305</v>
      </c>
      <c r="B80" s="610" t="s">
        <v>1723</v>
      </c>
    </row>
    <row r="81" spans="1:2" x14ac:dyDescent="0.25">
      <c r="A81" s="610" t="s">
        <v>1305</v>
      </c>
      <c r="B81" s="610" t="s">
        <v>1704</v>
      </c>
    </row>
    <row r="82" spans="1:2" x14ac:dyDescent="0.25">
      <c r="A82" s="610" t="s">
        <v>1305</v>
      </c>
      <c r="B82" s="610" t="s">
        <v>1701</v>
      </c>
    </row>
    <row r="83" spans="1:2" x14ac:dyDescent="0.25">
      <c r="A83" s="610" t="s">
        <v>1305</v>
      </c>
      <c r="B83" s="610" t="s">
        <v>1838</v>
      </c>
    </row>
    <row r="84" spans="1:2" x14ac:dyDescent="0.25">
      <c r="A84" s="610" t="s">
        <v>1305</v>
      </c>
      <c r="B84" s="680" t="s">
        <v>1528</v>
      </c>
    </row>
    <row r="85" spans="1:2" x14ac:dyDescent="0.25">
      <c r="A85" s="610" t="s">
        <v>1305</v>
      </c>
      <c r="B85" s="610" t="s">
        <v>1671</v>
      </c>
    </row>
    <row r="86" spans="1:2" x14ac:dyDescent="0.25">
      <c r="A86" s="610" t="s">
        <v>1305</v>
      </c>
      <c r="B86" s="610" t="s">
        <v>1800</v>
      </c>
    </row>
    <row r="87" spans="1:2" x14ac:dyDescent="0.25">
      <c r="A87" s="610" t="s">
        <v>1305</v>
      </c>
      <c r="B87" s="610" t="s">
        <v>1801</v>
      </c>
    </row>
    <row r="88" spans="1:2" x14ac:dyDescent="0.25">
      <c r="A88" s="610" t="s">
        <v>1305</v>
      </c>
      <c r="B88" s="610" t="s">
        <v>1824</v>
      </c>
    </row>
    <row r="89" spans="1:2" x14ac:dyDescent="0.25">
      <c r="A89" s="610" t="s">
        <v>1305</v>
      </c>
      <c r="B89" s="610" t="s">
        <v>1826</v>
      </c>
    </row>
    <row r="90" spans="1:2" x14ac:dyDescent="0.25">
      <c r="A90" s="610" t="s">
        <v>1305</v>
      </c>
      <c r="B90" s="610" t="s">
        <v>1702</v>
      </c>
    </row>
    <row r="91" spans="1:2" x14ac:dyDescent="0.25">
      <c r="A91" s="610" t="s">
        <v>1305</v>
      </c>
      <c r="B91" s="610" t="s">
        <v>1698</v>
      </c>
    </row>
    <row r="92" spans="1:2" x14ac:dyDescent="0.25">
      <c r="A92" s="610" t="s">
        <v>1305</v>
      </c>
      <c r="B92" s="610" t="s">
        <v>1802</v>
      </c>
    </row>
    <row r="93" spans="1:2" x14ac:dyDescent="0.25">
      <c r="A93" s="610" t="s">
        <v>1305</v>
      </c>
      <c r="B93" s="610" t="s">
        <v>1803</v>
      </c>
    </row>
    <row r="94" spans="1:2" x14ac:dyDescent="0.25">
      <c r="A94" s="610" t="s">
        <v>1305</v>
      </c>
      <c r="B94" s="610" t="s">
        <v>1837</v>
      </c>
    </row>
    <row r="95" spans="1:2" x14ac:dyDescent="0.25">
      <c r="A95" s="610" t="s">
        <v>1305</v>
      </c>
      <c r="B95" s="610" t="s">
        <v>1705</v>
      </c>
    </row>
    <row r="96" spans="1:2" x14ac:dyDescent="0.25">
      <c r="A96" s="610" t="s">
        <v>1724</v>
      </c>
      <c r="B96" s="610" t="s">
        <v>1703</v>
      </c>
    </row>
    <row r="97" spans="1:2" x14ac:dyDescent="0.25">
      <c r="B97" s="610"/>
    </row>
    <row r="98" spans="1:2" x14ac:dyDescent="0.25">
      <c r="A98" s="717">
        <v>42031</v>
      </c>
      <c r="B98" s="610"/>
    </row>
    <row r="99" spans="1:2" x14ac:dyDescent="0.25">
      <c r="B99" s="610"/>
    </row>
    <row r="101" spans="1:2" x14ac:dyDescent="0.25">
      <c r="B101" s="610"/>
    </row>
    <row r="102" spans="1:2" x14ac:dyDescent="0.25">
      <c r="B102" s="610"/>
    </row>
    <row r="103" spans="1:2" x14ac:dyDescent="0.25">
      <c r="B103" s="610"/>
    </row>
    <row r="104" spans="1:2" x14ac:dyDescent="0.25">
      <c r="B104" s="610"/>
    </row>
    <row r="106" spans="1:2" x14ac:dyDescent="0.25">
      <c r="B106" s="610"/>
    </row>
    <row r="107" spans="1:2" x14ac:dyDescent="0.25">
      <c r="B107" s="610"/>
    </row>
    <row r="108" spans="1:2" x14ac:dyDescent="0.25">
      <c r="B108" s="610"/>
    </row>
    <row r="109" spans="1:2" x14ac:dyDescent="0.25">
      <c r="B109" s="610"/>
    </row>
    <row r="110" spans="1:2" x14ac:dyDescent="0.25">
      <c r="B110" s="610"/>
    </row>
    <row r="119" spans="2:2" x14ac:dyDescent="0.25">
      <c r="B119" s="610"/>
    </row>
    <row r="120" spans="2:2" x14ac:dyDescent="0.25">
      <c r="B120" s="610"/>
    </row>
    <row r="121" spans="2:2" x14ac:dyDescent="0.25">
      <c r="B121" s="610"/>
    </row>
    <row r="122" spans="2:2" x14ac:dyDescent="0.25">
      <c r="B122" s="610"/>
    </row>
    <row r="123" spans="2:2" x14ac:dyDescent="0.25">
      <c r="B123" s="610"/>
    </row>
    <row r="124" spans="2:2" x14ac:dyDescent="0.25">
      <c r="B124" s="610"/>
    </row>
    <row r="125" spans="2:2" x14ac:dyDescent="0.25">
      <c r="B125" s="610"/>
    </row>
    <row r="126" spans="2:2" x14ac:dyDescent="0.25">
      <c r="B126" s="610"/>
    </row>
    <row r="127" spans="2:2" x14ac:dyDescent="0.25">
      <c r="B127" s="610"/>
    </row>
    <row r="128" spans="2:2" x14ac:dyDescent="0.25">
      <c r="B128" s="610"/>
    </row>
    <row r="129" spans="2:2" x14ac:dyDescent="0.25">
      <c r="B129" s="610"/>
    </row>
  </sheetData>
  <sortState xmlns:xlrd2="http://schemas.microsoft.com/office/spreadsheetml/2017/richdata2" ref="A72:B87">
    <sortCondition ref="A72:A87"/>
    <sortCondition ref="B72:B87"/>
  </sortState>
  <phoneticPr fontId="32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BE21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9" sqref="E19"/>
    </sheetView>
  </sheetViews>
  <sheetFormatPr defaultRowHeight="12.75" x14ac:dyDescent="0.2"/>
  <cols>
    <col min="1" max="1" width="9.33203125" style="28"/>
    <col min="2" max="2" width="9.6640625" bestFit="1" customWidth="1"/>
    <col min="6" max="6" width="11.33203125" style="30" customWidth="1"/>
    <col min="7" max="7" width="10.5" style="30" customWidth="1"/>
    <col min="8" max="8" width="11.33203125" style="30" customWidth="1"/>
    <col min="14" max="14" width="9.33203125" style="36"/>
    <col min="17" max="17" width="3.6640625" bestFit="1" customWidth="1"/>
    <col min="18" max="19" width="3.6640625" customWidth="1"/>
    <col min="20" max="20" width="7.5" customWidth="1"/>
    <col min="27" max="27" width="7.33203125" customWidth="1"/>
    <col min="29" max="29" width="11.6640625" bestFit="1" customWidth="1"/>
    <col min="40" max="40" width="14.33203125" bestFit="1" customWidth="1"/>
    <col min="41" max="41" width="10.33203125" bestFit="1" customWidth="1"/>
  </cols>
  <sheetData>
    <row r="1" spans="1:45" x14ac:dyDescent="0.2">
      <c r="B1" s="58" t="s">
        <v>195</v>
      </c>
      <c r="C1" s="58" t="s">
        <v>228</v>
      </c>
      <c r="D1" s="58" t="s">
        <v>347</v>
      </c>
      <c r="E1" s="58" t="s">
        <v>260</v>
      </c>
      <c r="F1" s="183" t="s">
        <v>455</v>
      </c>
      <c r="G1" s="183" t="s">
        <v>475</v>
      </c>
      <c r="H1" s="183" t="s">
        <v>547</v>
      </c>
      <c r="I1" s="184" t="s">
        <v>301</v>
      </c>
      <c r="J1" s="36" t="s">
        <v>455</v>
      </c>
      <c r="K1" s="36" t="s">
        <v>475</v>
      </c>
      <c r="L1" s="36" t="s">
        <v>547</v>
      </c>
      <c r="M1" s="36" t="s">
        <v>301</v>
      </c>
      <c r="N1" s="58" t="s">
        <v>279</v>
      </c>
      <c r="O1" s="58" t="s">
        <v>355</v>
      </c>
      <c r="P1" s="59">
        <v>0.95</v>
      </c>
      <c r="Q1" s="58" t="s">
        <v>227</v>
      </c>
      <c r="R1" s="128" t="s">
        <v>513</v>
      </c>
      <c r="S1" s="129" t="s">
        <v>356</v>
      </c>
      <c r="T1" s="129"/>
      <c r="U1" s="58" t="s">
        <v>372</v>
      </c>
      <c r="V1" s="105" t="s">
        <v>354</v>
      </c>
      <c r="W1" s="106" t="s">
        <v>362</v>
      </c>
      <c r="X1" s="105" t="s">
        <v>354</v>
      </c>
      <c r="Y1" s="105">
        <v>1.36</v>
      </c>
      <c r="Z1" s="66">
        <v>1.104267935933502E-2</v>
      </c>
      <c r="AA1">
        <f>Z1*Y1</f>
        <v>1.5018043928695627E-2</v>
      </c>
      <c r="AB1" s="41" t="s">
        <v>750</v>
      </c>
      <c r="AD1">
        <f>Z1*Y1</f>
        <v>1.5018043928695627E-2</v>
      </c>
      <c r="AF1" s="58" t="s">
        <v>279</v>
      </c>
      <c r="AG1" s="58">
        <v>0.95</v>
      </c>
      <c r="AH1" s="58">
        <v>1.3595650656381495E-2</v>
      </c>
      <c r="AI1" t="s">
        <v>359</v>
      </c>
      <c r="AJ1" s="64" t="s">
        <v>360</v>
      </c>
      <c r="AK1" s="64" t="s">
        <v>361</v>
      </c>
      <c r="AN1" s="36" t="s">
        <v>140</v>
      </c>
      <c r="AO1" s="36" t="s">
        <v>769</v>
      </c>
    </row>
    <row r="2" spans="1:45" x14ac:dyDescent="0.2">
      <c r="A2" s="1" t="str">
        <f>means!A3</f>
        <v>SiO2</v>
      </c>
      <c r="B2" s="30">
        <f>means!B3</f>
        <v>44.9253</v>
      </c>
      <c r="C2" s="30">
        <f>means!M3</f>
        <v>44.534349351901156</v>
      </c>
      <c r="D2" s="30">
        <f>means!L3</f>
        <v>45.10465833333334</v>
      </c>
      <c r="E2" s="30">
        <f>means!C3</f>
        <v>44.689608</v>
      </c>
      <c r="F2" s="30">
        <f>means!EQ3</f>
        <v>44.255780940352103</v>
      </c>
      <c r="G2" s="30">
        <f>means!AQ3</f>
        <v>44.539814841251307</v>
      </c>
      <c r="H2" s="30">
        <f>means!AJ3</f>
        <v>43.211307500000004</v>
      </c>
      <c r="I2" s="30">
        <f>means!AI3</f>
        <v>44.108071135318973</v>
      </c>
      <c r="J2">
        <f t="shared" ref="J2:M8" si="0">F2*100/F$15</f>
        <v>44.51289959516054</v>
      </c>
      <c r="K2">
        <f t="shared" si="0"/>
        <v>44.647696675013222</v>
      </c>
      <c r="L2">
        <f t="shared" si="0"/>
        <v>44.465453441854756</v>
      </c>
      <c r="M2">
        <f t="shared" si="0"/>
        <v>44.439094403128919</v>
      </c>
      <c r="N2" s="72">
        <f>AVERAGE(B2:E2,J2:M2)</f>
        <v>44.664882475048998</v>
      </c>
      <c r="O2" s="30">
        <f>STDEV(B2:E2,J2:M2)</f>
        <v>0.23694986837436544</v>
      </c>
      <c r="P2" s="33">
        <f t="shared" ref="P2:P12" si="1">O2*TINV(0.05,S2)/SQRT(S2)</f>
        <v>0.19318418053864542</v>
      </c>
      <c r="Q2">
        <f>COUNT(B2:I2)</f>
        <v>8</v>
      </c>
      <c r="S2">
        <f t="shared" ref="S2:S12" si="2">Q2-R2</f>
        <v>8</v>
      </c>
      <c r="V2">
        <f>10.64</f>
        <v>10.64</v>
      </c>
      <c r="W2" s="63">
        <f>2.1393</f>
        <v>2.1393</v>
      </c>
      <c r="X2">
        <f>V2*W2</f>
        <v>22.762152</v>
      </c>
      <c r="Y2">
        <f>X2*Y$1</f>
        <v>30.956526720000003</v>
      </c>
      <c r="Z2" s="30">
        <f t="shared" ref="Z2:Z12" si="3">(N2-Y2*Z$1)/(1-Z$1)</f>
        <v>44.817949724754612</v>
      </c>
      <c r="AA2" s="30">
        <f t="shared" ref="AA2:AA12" si="4">Z2/N2</f>
        <v>1.003427015615481</v>
      </c>
      <c r="AB2" s="30">
        <v>45</v>
      </c>
      <c r="AC2" s="30">
        <f>Z2/AB2</f>
        <v>0.99595443832788022</v>
      </c>
      <c r="AD2" s="33"/>
      <c r="AE2" t="s">
        <v>148</v>
      </c>
      <c r="AF2" s="33">
        <v>44.546852166284971</v>
      </c>
      <c r="AG2" s="33">
        <v>0.26454734732820112</v>
      </c>
      <c r="AH2" s="33">
        <v>44.995391261169374</v>
      </c>
      <c r="AI2">
        <v>45</v>
      </c>
      <c r="AN2" s="30">
        <f>(means!D3-FUpCr!AN$18*FUpCr!$Y2)/(1-AN$18)</f>
        <v>44.157536518251248</v>
      </c>
      <c r="AO2" s="30">
        <f>(means!K3-FUpCr!AO$18*FUpCr!$Y2)/(1-AO$18)</f>
        <v>44.525809169135556</v>
      </c>
      <c r="AQ2" s="30">
        <f t="shared" ref="AQ2:AQ11" si="5">AN2*99.9/AQ$15</f>
        <v>44.280404628880497</v>
      </c>
      <c r="AR2" s="30">
        <f t="shared" ref="AR2:AR11" si="6">AO2*99.9/AR$15</f>
        <v>44.565647925887667</v>
      </c>
    </row>
    <row r="3" spans="1:45" x14ac:dyDescent="0.2">
      <c r="A3" s="1" t="str">
        <f>means!A4</f>
        <v>TiO2</v>
      </c>
      <c r="B3" s="30">
        <f>means!B4</f>
        <v>0.26515582000000004</v>
      </c>
      <c r="C3" s="30">
        <f>means!M4</f>
        <v>0.21816232289134785</v>
      </c>
      <c r="D3" s="30">
        <f>means!L4</f>
        <v>0.23742434612709523</v>
      </c>
      <c r="E3" s="30">
        <f>means!C4</f>
        <v>0.24932416260014553</v>
      </c>
      <c r="F3" s="30">
        <f>means!EQ4</f>
        <v>0.29456086973517542</v>
      </c>
      <c r="G3" s="30">
        <f>means!AQ4</f>
        <v>0.17099626240818011</v>
      </c>
      <c r="H3" s="30">
        <f>means!AJ4</f>
        <v>0.16337664700204088</v>
      </c>
      <c r="I3" s="30">
        <f>means!AI4</f>
        <v>0.20575323135015058</v>
      </c>
      <c r="J3">
        <f t="shared" si="0"/>
        <v>0.29627221891885808</v>
      </c>
      <c r="K3">
        <f t="shared" si="0"/>
        <v>0.17141043993497895</v>
      </c>
      <c r="L3">
        <f t="shared" si="0"/>
        <v>0.16811841879016476</v>
      </c>
      <c r="M3">
        <f t="shared" si="0"/>
        <v>0.20729737293809333</v>
      </c>
      <c r="N3" s="34">
        <f t="shared" ref="N3:N14" si="7">AVERAGE(B3:E3,J3:M3)</f>
        <v>0.22664563777508548</v>
      </c>
      <c r="O3" s="30">
        <f t="shared" ref="O3:O14" si="8">STDEV(B3:E3,J3:M3)</f>
        <v>4.453582090360949E-2</v>
      </c>
      <c r="P3" s="30">
        <f t="shared" si="1"/>
        <v>3.6309857966608017E-2</v>
      </c>
      <c r="Q3">
        <f t="shared" ref="Q3:Q17" si="9">COUNT(B3:I3)</f>
        <v>8</v>
      </c>
      <c r="S3">
        <f t="shared" si="2"/>
        <v>8</v>
      </c>
      <c r="V3">
        <f>0.0436</f>
        <v>4.36E-2</v>
      </c>
      <c r="W3" s="63">
        <f>1.6683</f>
        <v>1.6682999999999999</v>
      </c>
      <c r="X3">
        <f t="shared" ref="X3:X85" si="10">V3*W3</f>
        <v>7.2737879999999991E-2</v>
      </c>
      <c r="Y3">
        <f t="shared" ref="Y3:Y70" si="11">X3*Y$1</f>
        <v>9.89235168E-2</v>
      </c>
      <c r="Z3" s="30">
        <f t="shared" si="3"/>
        <v>0.22807178064251316</v>
      </c>
      <c r="AA3" s="30">
        <f t="shared" si="4"/>
        <v>1.0062923905415859</v>
      </c>
      <c r="AB3" s="30">
        <v>0.23</v>
      </c>
      <c r="AC3" s="30">
        <f t="shared" ref="AC3:AC11" si="12">Z3/AB3</f>
        <v>0.99161643757614415</v>
      </c>
      <c r="AE3" t="s">
        <v>149</v>
      </c>
      <c r="AF3" s="30">
        <v>0.21703447259719807</v>
      </c>
      <c r="AG3" s="30">
        <v>3.763210814198488E-2</v>
      </c>
      <c r="AH3" s="30">
        <v>0.23384271334809392</v>
      </c>
      <c r="AI3">
        <v>0.56000000000000005</v>
      </c>
      <c r="AN3" s="30">
        <f>(means!D4-FUpCr!AN$18*FUpCr!$Y3)/(1-AN$18)</f>
        <v>0.29152591558694835</v>
      </c>
      <c r="AO3" s="30">
        <f>(means!K4-FUpCr!AO$18*FUpCr!$Y3)/(1-AO$18)</f>
        <v>0.28881340848694737</v>
      </c>
      <c r="AQ3" s="30">
        <f t="shared" si="5"/>
        <v>0.29233708489737459</v>
      </c>
      <c r="AR3" s="30">
        <f t="shared" si="6"/>
        <v>0.2890718196723287</v>
      </c>
    </row>
    <row r="4" spans="1:45" x14ac:dyDescent="0.2">
      <c r="A4" s="1" t="str">
        <f>means!A5</f>
        <v>Al2O3</v>
      </c>
      <c r="B4" s="30">
        <f>means!B5</f>
        <v>25.810192393612429</v>
      </c>
      <c r="C4" s="30">
        <f>means!M5</f>
        <v>28.030696790090825</v>
      </c>
      <c r="D4" s="30">
        <f>means!L5</f>
        <v>28.72645</v>
      </c>
      <c r="E4" s="30">
        <f>means!C5</f>
        <v>28.882200024464737</v>
      </c>
      <c r="F4" s="30">
        <f>means!EQ5</f>
        <v>27.192989944624188</v>
      </c>
      <c r="G4" s="30">
        <f>means!AQ5</f>
        <v>29.679169661949047</v>
      </c>
      <c r="H4" s="30">
        <f>means!AJ5</f>
        <v>28.651428992236099</v>
      </c>
      <c r="I4" s="30">
        <f>means!AI5</f>
        <v>28.381071350454118</v>
      </c>
      <c r="J4">
        <f t="shared" si="0"/>
        <v>27.350976649326213</v>
      </c>
      <c r="K4">
        <f t="shared" si="0"/>
        <v>29.751056876996387</v>
      </c>
      <c r="L4">
        <f t="shared" si="0"/>
        <v>29.48299543810105</v>
      </c>
      <c r="M4">
        <f t="shared" si="0"/>
        <v>28.594066268176825</v>
      </c>
      <c r="N4" s="34">
        <f t="shared" si="7"/>
        <v>28.328579305096056</v>
      </c>
      <c r="O4" s="30">
        <f t="shared" si="8"/>
        <v>1.2693143790640502</v>
      </c>
      <c r="P4" s="33">
        <f t="shared" si="1"/>
        <v>1.0348664037997686</v>
      </c>
      <c r="Q4">
        <f t="shared" si="9"/>
        <v>8</v>
      </c>
      <c r="S4">
        <f t="shared" si="2"/>
        <v>8</v>
      </c>
      <c r="V4">
        <f>0.8868</f>
        <v>0.88680000000000003</v>
      </c>
      <c r="W4" s="63">
        <f>1.8895</f>
        <v>1.8895</v>
      </c>
      <c r="X4">
        <f t="shared" si="10"/>
        <v>1.6756086000000001</v>
      </c>
      <c r="Y4">
        <f t="shared" si="11"/>
        <v>2.2788276960000005</v>
      </c>
      <c r="Z4" s="30">
        <f t="shared" si="3"/>
        <v>28.619450355247359</v>
      </c>
      <c r="AA4" s="30">
        <f t="shared" si="4"/>
        <v>1.010267759883708</v>
      </c>
      <c r="AB4" s="30">
        <v>28.4</v>
      </c>
      <c r="AC4" s="30">
        <f t="shared" si="12"/>
        <v>1.0077271251847661</v>
      </c>
      <c r="AE4" t="s">
        <v>150</v>
      </c>
      <c r="AF4" s="33">
        <v>28.154954852760206</v>
      </c>
      <c r="AG4" s="33">
        <v>1.4465199608764514</v>
      </c>
      <c r="AH4" s="33">
        <v>28.331872267316665</v>
      </c>
      <c r="AI4">
        <v>24.6</v>
      </c>
      <c r="AN4" s="30">
        <f>(means!D5-FUpCr!AN$18*FUpCr!$Y4)/(1-AN$18)</f>
        <v>27.024877626555121</v>
      </c>
      <c r="AO4" s="30">
        <f>(means!K5-FUpCr!AO$18*FUpCr!$Y4)/(1-AO$18)</f>
        <v>26.843095699722351</v>
      </c>
      <c r="AQ4" s="30">
        <f t="shared" si="5"/>
        <v>27.100074204892071</v>
      </c>
      <c r="AR4" s="30">
        <f t="shared" si="6"/>
        <v>26.867113130960774</v>
      </c>
    </row>
    <row r="5" spans="1:45" x14ac:dyDescent="0.2">
      <c r="A5" s="1" t="str">
        <f>means!A6</f>
        <v>Cr2O3</v>
      </c>
      <c r="B5" s="32">
        <f>means!B6</f>
        <v>0.12902209783815002</v>
      </c>
      <c r="C5" s="32">
        <f>means!M6</f>
        <v>0.1052118191443492</v>
      </c>
      <c r="D5" s="32">
        <f>means!L6</f>
        <v>9.2661020223713628E-2</v>
      </c>
      <c r="E5" s="32">
        <f>means!C6</f>
        <v>8.3600599312839002E-2</v>
      </c>
      <c r="F5" s="32">
        <f>means!EQ6</f>
        <v>0.10869455150433986</v>
      </c>
      <c r="G5" s="30">
        <f>means!AQ6</f>
        <v>7.5165848577834912E-2</v>
      </c>
      <c r="H5" s="32">
        <f>means!AJ6</f>
        <v>7.4609244289561588E-2</v>
      </c>
      <c r="I5" s="32">
        <f>means!AI6</f>
        <v>9.3131129052111392E-2</v>
      </c>
      <c r="J5">
        <f t="shared" si="0"/>
        <v>0.1093260485940753</v>
      </c>
      <c r="K5">
        <f t="shared" si="0"/>
        <v>7.5347911067536522E-2</v>
      </c>
      <c r="L5">
        <f t="shared" si="0"/>
        <v>7.6774670108963231E-2</v>
      </c>
      <c r="M5">
        <f t="shared" si="0"/>
        <v>9.3830061693692582E-2</v>
      </c>
      <c r="N5" s="37">
        <f>AVERAGE(B5:E5,J5:M5)</f>
        <v>9.5721778497914939E-2</v>
      </c>
      <c r="O5" s="30">
        <f>STDEV(B5:E5,J5:M5)</f>
        <v>1.8197352685692648E-2</v>
      </c>
      <c r="P5" s="32">
        <f>O5*TINV(0.05,S5)/SQRT(S5)</f>
        <v>1.4836221225512917E-2</v>
      </c>
      <c r="Q5">
        <f>COUNT(B5:I5)</f>
        <v>8</v>
      </c>
      <c r="S5">
        <f>Q5-R5</f>
        <v>8</v>
      </c>
      <c r="U5" s="31"/>
      <c r="V5">
        <v>0.26600000000000001</v>
      </c>
      <c r="W5" s="63">
        <v>1.4616</v>
      </c>
      <c r="X5">
        <f>V5*W5</f>
        <v>0.38878560000000001</v>
      </c>
      <c r="Y5">
        <f>X5*Y$1</f>
        <v>0.528748416</v>
      </c>
      <c r="Z5" s="32">
        <f>(N5-Y5*Z$1)/(1-Z$1)</f>
        <v>9.0886610981394819E-2</v>
      </c>
      <c r="AA5" s="30">
        <f>Z5/N5</f>
        <v>0.94948727873223293</v>
      </c>
      <c r="AB5" s="30">
        <v>9.4E-2</v>
      </c>
      <c r="AC5" s="30">
        <f>Z5/AB5</f>
        <v>0.96687884022760451</v>
      </c>
      <c r="AE5" t="s">
        <v>158</v>
      </c>
      <c r="AF5" s="32">
        <v>9.5763558256452275E-2</v>
      </c>
      <c r="AG5" s="32">
        <v>7.3612245297905486E-3</v>
      </c>
      <c r="AH5" s="32">
        <v>2.525676542140871E-2</v>
      </c>
      <c r="AI5">
        <v>7.4999999999999997E-2</v>
      </c>
      <c r="AN5" s="30">
        <f>(means!D6-FUpCr!AN$18*FUpCr!$Y5)/(1-AN$18)</f>
        <v>0.12415367831285683</v>
      </c>
      <c r="AO5" s="30">
        <f>(means!K6-FUpCr!AO$18*FUpCr!$Y5)/(1-AO$18)</f>
        <v>0.13104086679428625</v>
      </c>
      <c r="AQ5" s="30">
        <f t="shared" si="5"/>
        <v>0.12449913526278579</v>
      </c>
      <c r="AR5" s="30">
        <f t="shared" si="6"/>
        <v>0.13115811351734913</v>
      </c>
      <c r="AS5">
        <f>AR5/AQ5</f>
        <v>1.0534861406105989</v>
      </c>
    </row>
    <row r="6" spans="1:45" x14ac:dyDescent="0.2">
      <c r="A6" s="1" t="str">
        <f>means!A7</f>
        <v>FeO</v>
      </c>
      <c r="B6" s="30">
        <f>means!B7</f>
        <v>5.4657937109167998</v>
      </c>
      <c r="C6" s="30">
        <f>means!M7</f>
        <v>4.7</v>
      </c>
      <c r="D6" s="30">
        <f>means!L7</f>
        <v>4.2903933333333333</v>
      </c>
      <c r="E6" s="30">
        <f>means!C7</f>
        <v>4.3741051506307764</v>
      </c>
      <c r="F6" s="30">
        <f>means!EQ7</f>
        <v>4.8138966076971279</v>
      </c>
      <c r="G6" s="30">
        <f>means!AQ7</f>
        <v>3.8349425829251205</v>
      </c>
      <c r="H6" s="30">
        <f>means!AJ7</f>
        <v>3.5562431827199008</v>
      </c>
      <c r="I6" s="30">
        <f>means!AI7</f>
        <v>4.3987890146887576</v>
      </c>
      <c r="J6">
        <f t="shared" si="0"/>
        <v>4.8418645385269148</v>
      </c>
      <c r="K6">
        <f t="shared" si="0"/>
        <v>3.8442313651010718</v>
      </c>
      <c r="L6">
        <f t="shared" si="0"/>
        <v>3.6594580173058899</v>
      </c>
      <c r="M6">
        <f t="shared" si="0"/>
        <v>4.4318011477648467</v>
      </c>
      <c r="N6" s="34">
        <f t="shared" si="7"/>
        <v>4.4509559079474545</v>
      </c>
      <c r="O6" s="30">
        <f t="shared" si="8"/>
        <v>0.56963210551950783</v>
      </c>
      <c r="P6" s="32">
        <f t="shared" si="1"/>
        <v>0.46441853826830182</v>
      </c>
      <c r="Q6">
        <f t="shared" si="9"/>
        <v>8</v>
      </c>
      <c r="S6">
        <f t="shared" si="2"/>
        <v>8</v>
      </c>
      <c r="V6">
        <v>19.04</v>
      </c>
      <c r="W6" s="63">
        <v>1.2865</v>
      </c>
      <c r="X6">
        <f t="shared" si="10"/>
        <v>24.494959999999999</v>
      </c>
      <c r="Y6">
        <f t="shared" si="11"/>
        <v>33.313145599999999</v>
      </c>
      <c r="Z6" s="30">
        <f t="shared" si="3"/>
        <v>4.1286812255868739</v>
      </c>
      <c r="AA6" s="30">
        <f t="shared" si="4"/>
        <v>0.92759427659457616</v>
      </c>
      <c r="AB6" s="30">
        <v>4.1500000000000004</v>
      </c>
      <c r="AC6" s="30">
        <f t="shared" si="12"/>
        <v>0.99486294592454783</v>
      </c>
      <c r="AE6" t="s">
        <v>151</v>
      </c>
      <c r="AF6" s="32">
        <v>4.3748254214014155</v>
      </c>
      <c r="AG6" s="32">
        <v>1.9509079652721351E-2</v>
      </c>
      <c r="AH6" s="32">
        <v>9.3562963444866448E-2</v>
      </c>
      <c r="AI6" s="30">
        <v>0.1</v>
      </c>
      <c r="AN6" s="30">
        <f>(means!D7-FUpCr!AN$18*FUpCr!$Y6)/(1-AN$18)</f>
        <v>6.0350826379384683</v>
      </c>
      <c r="AO6" s="30">
        <f>(means!K7-FUpCr!AO$18*FUpCr!$Y6)/(1-AO$18)</f>
        <v>5.5272088016083796</v>
      </c>
      <c r="AQ6" s="30">
        <f t="shared" si="5"/>
        <v>6.0518752232972179</v>
      </c>
      <c r="AR6" s="30">
        <f t="shared" si="6"/>
        <v>5.5321541834234296</v>
      </c>
      <c r="AS6">
        <f>AR6/AQ6</f>
        <v>0.91412231404357491</v>
      </c>
    </row>
    <row r="7" spans="1:45" x14ac:dyDescent="0.2">
      <c r="A7" s="1" t="str">
        <f>means!A8</f>
        <v>MnO</v>
      </c>
      <c r="B7" s="30">
        <f>means!B8</f>
        <v>7.2045986929713882E-2</v>
      </c>
      <c r="C7" s="30">
        <f>means!M8</f>
        <v>6.5506793652413742E-2</v>
      </c>
      <c r="D7" s="30">
        <f>means!L8</f>
        <v>6.3470399999999996E-2</v>
      </c>
      <c r="E7" s="30">
        <f>means!C8</f>
        <v>7.418206050468093E-2</v>
      </c>
      <c r="F7" s="30">
        <f>means!EQ8</f>
        <v>6.8539090960536578E-2</v>
      </c>
      <c r="G7" s="30">
        <f>means!AQ8</f>
        <v>5.2510115863912757E-2</v>
      </c>
      <c r="H7" s="30">
        <f>means!AJ8</f>
        <v>6.2604112603657142E-2</v>
      </c>
      <c r="I7" s="30">
        <f>means!AI8</f>
        <v>6.3589362090729601E-2</v>
      </c>
      <c r="J7">
        <f t="shared" si="0"/>
        <v>6.893729156834684E-2</v>
      </c>
      <c r="K7">
        <f t="shared" si="0"/>
        <v>5.2637302912413975E-2</v>
      </c>
      <c r="L7">
        <f t="shared" si="0"/>
        <v>6.4421106772724918E-2</v>
      </c>
      <c r="M7">
        <f t="shared" si="0"/>
        <v>6.4066588999443091E-2</v>
      </c>
      <c r="N7" s="37">
        <f t="shared" si="7"/>
        <v>6.565844141746717E-2</v>
      </c>
      <c r="O7" s="30">
        <f t="shared" si="8"/>
        <v>6.5751614833802095E-3</v>
      </c>
      <c r="P7" s="32">
        <f t="shared" si="1"/>
        <v>5.3607000999435425E-3</v>
      </c>
      <c r="Q7">
        <f t="shared" si="9"/>
        <v>8</v>
      </c>
      <c r="S7">
        <f t="shared" si="2"/>
        <v>8</v>
      </c>
      <c r="U7">
        <v>5.0999999999999996</v>
      </c>
      <c r="V7">
        <v>0.19900000000000001</v>
      </c>
      <c r="W7" s="63">
        <v>1.2911999999999999</v>
      </c>
      <c r="X7">
        <f t="shared" si="10"/>
        <v>0.25694879999999998</v>
      </c>
      <c r="Y7">
        <f t="shared" si="11"/>
        <v>0.34945036800000001</v>
      </c>
      <c r="Z7" s="32">
        <f t="shared" si="3"/>
        <v>6.24896259543401E-2</v>
      </c>
      <c r="AA7" s="30">
        <f t="shared" si="4"/>
        <v>0.95173788176025653</v>
      </c>
      <c r="AB7" s="30">
        <v>0.06</v>
      </c>
      <c r="AC7" s="30">
        <f t="shared" si="12"/>
        <v>1.0414937659056684</v>
      </c>
      <c r="AE7" t="s">
        <v>152</v>
      </c>
      <c r="AF7" s="33">
        <v>6.1881115700525784E-2</v>
      </c>
      <c r="AG7" s="33">
        <v>0.58457947902414609</v>
      </c>
      <c r="AH7" s="33">
        <v>4.1501429236589482</v>
      </c>
      <c r="AI7">
        <v>6.6</v>
      </c>
      <c r="AN7" s="30">
        <f>(means!D8-FUpCr!AN$18*FUpCr!$Y7)/(1-AN$18)</f>
        <v>7.9555492824757809E-2</v>
      </c>
      <c r="AO7" s="30">
        <f>(means!K8-FUpCr!AO$18*FUpCr!$Y7)/(1-AO$18)</f>
        <v>8.1700185189574087E-2</v>
      </c>
      <c r="AQ7" s="30">
        <f t="shared" si="5"/>
        <v>7.9776855560641333E-2</v>
      </c>
      <c r="AR7" s="30">
        <f t="shared" si="6"/>
        <v>8.1773285125658499E-2</v>
      </c>
    </row>
    <row r="8" spans="1:45" x14ac:dyDescent="0.2">
      <c r="A8" s="1" t="str">
        <f>means!A9</f>
        <v>MgO</v>
      </c>
      <c r="B8" s="30">
        <f>means!B9</f>
        <v>8.1963234544395629</v>
      </c>
      <c r="C8" s="30">
        <f>means!M9</f>
        <v>5.3237599325756104</v>
      </c>
      <c r="D8" s="30">
        <f>means!L9</f>
        <v>4.1056579825006061</v>
      </c>
      <c r="E8" s="30">
        <f>means!C9</f>
        <v>4.5848337727199739</v>
      </c>
      <c r="F8" s="30">
        <f>means!EQ9</f>
        <v>6.4787944444584067</v>
      </c>
      <c r="G8" s="30">
        <f>means!AQ9</f>
        <v>4.2224831251933743</v>
      </c>
      <c r="H8" s="30">
        <f>means!AJ9</f>
        <v>4.6859978618900948</v>
      </c>
      <c r="I8" s="30">
        <f>means!AI9</f>
        <v>5.3249015693655792</v>
      </c>
      <c r="J8">
        <f t="shared" si="0"/>
        <v>6.5164351521115984</v>
      </c>
      <c r="K8">
        <f t="shared" si="0"/>
        <v>4.232710586268329</v>
      </c>
      <c r="L8">
        <f t="shared" si="0"/>
        <v>4.8220021983020285</v>
      </c>
      <c r="M8">
        <f t="shared" si="0"/>
        <v>5.36486401326502</v>
      </c>
      <c r="N8" s="34">
        <f t="shared" si="7"/>
        <v>5.3933233865228409</v>
      </c>
      <c r="O8" s="30">
        <f t="shared" si="8"/>
        <v>1.3684718301481855</v>
      </c>
      <c r="P8" s="32">
        <f t="shared" si="1"/>
        <v>1.115709035464475</v>
      </c>
      <c r="Q8">
        <f t="shared" si="9"/>
        <v>8</v>
      </c>
      <c r="S8">
        <f t="shared" si="2"/>
        <v>8</v>
      </c>
      <c r="U8" s="32">
        <f>0.0548*1.2912</f>
        <v>7.0757760000000003E-2</v>
      </c>
      <c r="V8">
        <v>9.89</v>
      </c>
      <c r="W8" s="63">
        <v>1.6583000000000001</v>
      </c>
      <c r="X8">
        <f t="shared" si="10"/>
        <v>16.400587000000002</v>
      </c>
      <c r="Y8">
        <f t="shared" si="11"/>
        <v>22.304798320000003</v>
      </c>
      <c r="Z8" s="30">
        <f t="shared" si="3"/>
        <v>5.2044901666394576</v>
      </c>
      <c r="AA8" s="30">
        <f t="shared" si="4"/>
        <v>0.96498759552315161</v>
      </c>
      <c r="AB8" s="30">
        <v>5.13</v>
      </c>
      <c r="AC8" s="30">
        <f t="shared" si="12"/>
        <v>1.0145205003195823</v>
      </c>
      <c r="AD8" s="32"/>
      <c r="AE8" t="s">
        <v>153</v>
      </c>
      <c r="AF8" s="32">
        <v>5.3296012661868826</v>
      </c>
      <c r="AG8" s="32">
        <v>6.580718192981767E-3</v>
      </c>
      <c r="AH8" s="32">
        <v>6.044910779326277E-2</v>
      </c>
      <c r="AN8" s="30">
        <f>(means!D9-FUpCr!AN$18*FUpCr!$Y8)/(1-AN$18)</f>
        <v>5.9627759839640504</v>
      </c>
      <c r="AO8" s="30">
        <f>(means!K9-FUpCr!AO$18*FUpCr!$Y8)/(1-AO$18)</f>
        <v>6.4338408698066702</v>
      </c>
      <c r="AP8">
        <f>AO8/AN8</f>
        <v>1.0790009363272199</v>
      </c>
      <c r="AQ8" s="30">
        <f t="shared" si="5"/>
        <v>5.9793673764424851</v>
      </c>
      <c r="AR8" s="30">
        <f t="shared" si="6"/>
        <v>6.4395974461873573</v>
      </c>
    </row>
    <row r="9" spans="1:45" x14ac:dyDescent="0.2">
      <c r="A9" s="1" t="str">
        <f>means!A10</f>
        <v>CaO</v>
      </c>
      <c r="B9" s="30">
        <f>means!B10</f>
        <v>14.935746259671438</v>
      </c>
      <c r="C9" s="30">
        <f>means!M10</f>
        <v>15.968466402280423</v>
      </c>
      <c r="D9" s="30">
        <f>means!L10</f>
        <v>16.850106666666665</v>
      </c>
      <c r="E9" s="30">
        <f>means!C10</f>
        <v>16.431009709330272</v>
      </c>
      <c r="F9" s="180">
        <f>F4*nonmare!$C$666+nonmare!$C$667</f>
        <v>15.816192417697163</v>
      </c>
      <c r="G9" s="180">
        <f>G4*nonmare!$C$666+nonmare!$C$667</f>
        <v>16.816142405829975</v>
      </c>
      <c r="H9" s="180">
        <f>H4*nonmare!$C$666+nonmare!$C$667</f>
        <v>16.402781592320938</v>
      </c>
      <c r="I9" s="180">
        <f>I4*nonmare!$C$666+nonmare!$C$667</f>
        <v>16.29404282383706</v>
      </c>
      <c r="J9" s="185">
        <f>J4*nonmare!$C$666+nonmare!$C$667</f>
        <v>15.879735210839213</v>
      </c>
      <c r="K9" s="185">
        <f>K4*nonmare!$C$666+nonmare!$C$667</f>
        <v>16.845055689665642</v>
      </c>
      <c r="L9" s="185">
        <f>L4*nonmare!$C$666+nonmare!$C$667</f>
        <v>16.737240461838638</v>
      </c>
      <c r="M9" s="185">
        <f>M4*nonmare!$C$666+nonmare!$C$667</f>
        <v>16.379710108452485</v>
      </c>
      <c r="N9" s="34">
        <f t="shared" si="7"/>
        <v>16.253383813593096</v>
      </c>
      <c r="O9" s="30">
        <f t="shared" si="8"/>
        <v>0.64859631436884047</v>
      </c>
      <c r="P9" s="33">
        <f t="shared" si="1"/>
        <v>0.90039603113934819</v>
      </c>
      <c r="Q9">
        <f t="shared" si="9"/>
        <v>8</v>
      </c>
      <c r="R9">
        <v>4</v>
      </c>
      <c r="S9">
        <f t="shared" si="2"/>
        <v>4</v>
      </c>
      <c r="U9">
        <v>6.4</v>
      </c>
      <c r="V9">
        <v>0.92800000000000005</v>
      </c>
      <c r="W9" s="63">
        <v>1.3992</v>
      </c>
      <c r="X9">
        <f t="shared" si="10"/>
        <v>1.2984576000000001</v>
      </c>
      <c r="Y9">
        <f t="shared" si="11"/>
        <v>1.7659023360000003</v>
      </c>
      <c r="Z9" s="30">
        <f t="shared" si="3"/>
        <v>16.41515076687044</v>
      </c>
      <c r="AA9" s="30">
        <f t="shared" si="4"/>
        <v>1.009952816910781</v>
      </c>
      <c r="AB9" s="30">
        <v>16.5</v>
      </c>
      <c r="AC9" s="30">
        <f t="shared" si="12"/>
        <v>0.99485762223457208</v>
      </c>
      <c r="AE9" t="s">
        <v>154</v>
      </c>
      <c r="AF9" s="33">
        <v>16.550985286321701</v>
      </c>
      <c r="AG9" s="33">
        <v>1.879025481137347</v>
      </c>
      <c r="AH9" s="33">
        <v>5.1289377285386815</v>
      </c>
      <c r="AI9">
        <v>6.8</v>
      </c>
      <c r="AN9" s="30">
        <f>(means!D10-FUpCr!AN$18*FUpCr!$Y9)/(1-AN$18)</f>
        <v>15.60137112062845</v>
      </c>
      <c r="AO9" s="30">
        <f>(means!K10-FUpCr!AO$18*FUpCr!$Y9)/(1-AO$18)</f>
        <v>15.62498794008644</v>
      </c>
      <c r="AQ9" s="30">
        <f t="shared" si="5"/>
        <v>15.644781852837776</v>
      </c>
      <c r="AR9" s="30">
        <f t="shared" si="6"/>
        <v>15.638968148541165</v>
      </c>
    </row>
    <row r="10" spans="1:45" x14ac:dyDescent="0.2">
      <c r="A10" s="1" t="str">
        <f>means!A11</f>
        <v>Na2O</v>
      </c>
      <c r="B10" s="32">
        <f>means!B11</f>
        <v>0.30293232698366818</v>
      </c>
      <c r="C10" s="32">
        <f>means!M11</f>
        <v>0.44534284994448053</v>
      </c>
      <c r="D10" s="32">
        <f>means!L11</f>
        <v>0.333536</v>
      </c>
      <c r="E10" s="32">
        <f>means!C11</f>
        <v>0.34490749146860505</v>
      </c>
      <c r="F10" s="32">
        <f>means!EQ11</f>
        <v>0.3415549064314598</v>
      </c>
      <c r="G10" s="30">
        <f>means!AQ11</f>
        <v>0.34080744964293075</v>
      </c>
      <c r="H10" s="32">
        <f>means!AJ11</f>
        <v>0.33799969196185486</v>
      </c>
      <c r="I10" s="32">
        <f>means!AI11</f>
        <v>0.34760881351976902</v>
      </c>
      <c r="J10">
        <f t="shared" ref="J10:M14" si="13">F10*100/F$15</f>
        <v>0.34353928307602161</v>
      </c>
      <c r="K10">
        <f t="shared" si="13"/>
        <v>0.34163293427411395</v>
      </c>
      <c r="L10">
        <f t="shared" si="13"/>
        <v>0.34780964603515196</v>
      </c>
      <c r="M10">
        <f t="shared" si="13"/>
        <v>0.35021755614689143</v>
      </c>
      <c r="N10" s="34">
        <f t="shared" si="7"/>
        <v>0.35123976099111653</v>
      </c>
      <c r="O10" s="30">
        <f t="shared" si="8"/>
        <v>4.0895196002414556E-2</v>
      </c>
      <c r="P10" s="30">
        <f t="shared" si="1"/>
        <v>3.3341672573591705E-2</v>
      </c>
      <c r="Q10">
        <f t="shared" si="9"/>
        <v>8</v>
      </c>
      <c r="S10">
        <f t="shared" si="2"/>
        <v>8</v>
      </c>
      <c r="V10">
        <v>0.5</v>
      </c>
      <c r="W10" s="63">
        <v>1.3480000000000001</v>
      </c>
      <c r="X10">
        <f t="shared" si="10"/>
        <v>0.67400000000000004</v>
      </c>
      <c r="Y10">
        <f t="shared" si="11"/>
        <v>0.91664000000000012</v>
      </c>
      <c r="Z10" s="32">
        <f t="shared" si="3"/>
        <v>0.34492651226060328</v>
      </c>
      <c r="AA10" s="30">
        <f t="shared" si="4"/>
        <v>0.98202581418260071</v>
      </c>
      <c r="AB10" s="30">
        <v>0.34</v>
      </c>
      <c r="AC10" s="30">
        <f t="shared" si="12"/>
        <v>1.0144897419429508</v>
      </c>
      <c r="AE10" t="s">
        <v>156</v>
      </c>
      <c r="AF10" s="33">
        <v>0.34604924445325835</v>
      </c>
      <c r="AG10" s="33">
        <v>0.91365108187379063</v>
      </c>
      <c r="AH10" s="33">
        <v>16.526730820292094</v>
      </c>
      <c r="AI10">
        <v>15.8</v>
      </c>
      <c r="AN10" s="30">
        <f>(means!D11-FUpCr!AN$18*FUpCr!$Y10)/(1-AN$18)</f>
        <v>0.31974191163350218</v>
      </c>
      <c r="AO10" s="30">
        <f>(means!K11-FUpCr!AO$18*FUpCr!$Y10)/(1-AO$18)</f>
        <v>0.32987844768002289</v>
      </c>
      <c r="AQ10" s="30">
        <f t="shared" si="5"/>
        <v>0.32063159180293727</v>
      </c>
      <c r="AR10" s="30">
        <f t="shared" si="6"/>
        <v>0.33017360115348293</v>
      </c>
    </row>
    <row r="11" spans="1:45" x14ac:dyDescent="0.2">
      <c r="A11" s="1" t="str">
        <f>means!A12</f>
        <v>K2O</v>
      </c>
      <c r="B11" s="32">
        <f>means!B12</f>
        <v>2.4003459005058535E-2</v>
      </c>
      <c r="C11" s="32">
        <f>means!M12</f>
        <v>2.281459211999106E-2</v>
      </c>
      <c r="D11" s="32">
        <f>means!L12</f>
        <v>3.3023269766698622E-2</v>
      </c>
      <c r="E11" s="32">
        <f>means!C12</f>
        <v>3.3307520162188332E-2</v>
      </c>
      <c r="F11" s="167"/>
      <c r="G11" s="167"/>
      <c r="H11" s="167"/>
      <c r="I11" s="167"/>
      <c r="J11">
        <f t="shared" si="13"/>
        <v>0</v>
      </c>
      <c r="K11">
        <f t="shared" si="13"/>
        <v>0</v>
      </c>
      <c r="L11">
        <f t="shared" si="13"/>
        <v>0</v>
      </c>
      <c r="M11">
        <f t="shared" si="13"/>
        <v>0</v>
      </c>
      <c r="N11" s="37">
        <f t="shared" si="7"/>
        <v>1.4143605131742069E-2</v>
      </c>
      <c r="O11" s="30">
        <f t="shared" si="8"/>
        <v>1.5566751997522946E-2</v>
      </c>
      <c r="P11" s="32" t="e">
        <f t="shared" si="1"/>
        <v>#NUM!</v>
      </c>
      <c r="Q11">
        <f t="shared" si="9"/>
        <v>4</v>
      </c>
      <c r="R11">
        <v>4</v>
      </c>
      <c r="S11">
        <f t="shared" si="2"/>
        <v>0</v>
      </c>
      <c r="V11">
        <v>5.5800000000000002E-2</v>
      </c>
      <c r="W11" s="63">
        <v>1.2045999999999999</v>
      </c>
      <c r="X11">
        <f t="shared" si="10"/>
        <v>6.7216680000000001E-2</v>
      </c>
      <c r="Y11">
        <f t="shared" si="11"/>
        <v>9.1414684800000007E-2</v>
      </c>
      <c r="Z11" s="32">
        <f t="shared" si="3"/>
        <v>1.3280797669056588E-2</v>
      </c>
      <c r="AA11" s="30">
        <f t="shared" si="4"/>
        <v>0.93899663808139644</v>
      </c>
      <c r="AB11" s="30">
        <v>2.5999999999999999E-2</v>
      </c>
      <c r="AC11" s="30">
        <f t="shared" si="12"/>
        <v>0.51079991034833039</v>
      </c>
      <c r="AE11" t="s">
        <v>157</v>
      </c>
      <c r="AF11" s="30">
        <v>2.6227421118041539E-2</v>
      </c>
      <c r="AG11" s="30">
        <v>5.5896310119065144E-2</v>
      </c>
      <c r="AH11" s="30">
        <v>0.34667958346016986</v>
      </c>
      <c r="AI11">
        <v>0.45</v>
      </c>
      <c r="AN11" s="30">
        <f>(means!D12-FUpCr!AN$18*FUpCr!$Y11)/(1-AN$18)</f>
        <v>2.6179202634058141E-2</v>
      </c>
      <c r="AO11" s="30">
        <f>(means!K12-FUpCr!AO$18*FUpCr!$Y11)/(1-AO$18)</f>
        <v>2.4320585075659609E-2</v>
      </c>
      <c r="AQ11" s="30">
        <f t="shared" si="5"/>
        <v>2.6252046126223911E-2</v>
      </c>
      <c r="AR11" s="30">
        <f t="shared" si="6"/>
        <v>2.434234553079739E-2</v>
      </c>
    </row>
    <row r="12" spans="1:45" x14ac:dyDescent="0.2">
      <c r="A12" s="1" t="str">
        <f>means!A13</f>
        <v>P2O5</v>
      </c>
      <c r="B12" s="32">
        <f>means!B13</f>
        <v>2.0622600000000001E-2</v>
      </c>
      <c r="C12" s="32">
        <f>means!M13</f>
        <v>2.589282E-2</v>
      </c>
      <c r="D12" s="32">
        <f>means!L13</f>
        <v>2.9467163333333334E-2</v>
      </c>
      <c r="E12" s="32">
        <f>means!C13</f>
        <v>0.03</v>
      </c>
      <c r="F12" s="167">
        <f>F65*$N87</f>
        <v>3.9827005493631301E-2</v>
      </c>
      <c r="G12" s="167">
        <f>G65*$N87</f>
        <v>2.0698745220966465E-2</v>
      </c>
      <c r="H12" s="167">
        <f>H65*$N87</f>
        <v>2.6053234604455928E-2</v>
      </c>
      <c r="I12" s="167">
        <f>I65*$N87</f>
        <v>2.9865144290292293E-2</v>
      </c>
      <c r="J12">
        <f t="shared" si="13"/>
        <v>4.0058393706876756E-2</v>
      </c>
      <c r="K12">
        <f t="shared" si="13"/>
        <v>2.074888055715875E-2</v>
      </c>
      <c r="L12">
        <f t="shared" si="13"/>
        <v>2.680939220166282E-2</v>
      </c>
      <c r="M12">
        <f t="shared" si="13"/>
        <v>3.0089276912783507E-2</v>
      </c>
      <c r="N12" s="37">
        <f t="shared" si="7"/>
        <v>2.7961065838976899E-2</v>
      </c>
      <c r="O12" s="30">
        <f t="shared" si="8"/>
        <v>6.1964609313942386E-3</v>
      </c>
      <c r="P12" s="32">
        <f t="shared" si="1"/>
        <v>8.602066811259447E-3</v>
      </c>
      <c r="Q12">
        <f t="shared" si="9"/>
        <v>8</v>
      </c>
      <c r="R12">
        <v>4</v>
      </c>
      <c r="S12">
        <f t="shared" si="2"/>
        <v>4</v>
      </c>
      <c r="V12">
        <v>0.122</v>
      </c>
      <c r="W12" s="63">
        <v>2.2913999999999999</v>
      </c>
      <c r="X12">
        <f t="shared" si="10"/>
        <v>0.27955079999999999</v>
      </c>
      <c r="Y12">
        <f t="shared" si="11"/>
        <v>0.38018908800000001</v>
      </c>
      <c r="Z12" s="32">
        <f t="shared" si="3"/>
        <v>2.4028094183964312E-2</v>
      </c>
      <c r="AA12" s="30">
        <f t="shared" si="4"/>
        <v>0.85934113965247561</v>
      </c>
      <c r="AB12" s="30"/>
      <c r="AC12" s="30"/>
      <c r="AE12" t="s">
        <v>261</v>
      </c>
      <c r="AF12" s="32">
        <v>2.7079984720667808E-2</v>
      </c>
      <c r="AG12" s="32">
        <v>1.464455421622151E-2</v>
      </c>
      <c r="AH12" s="32">
        <v>2.8263378151768735E-2</v>
      </c>
      <c r="AN12" s="30" t="e">
        <f>(means!#REF!-FUpCr!AN$18*FUpCr!$Y12)/(1-AN$18)</f>
        <v>#REF!</v>
      </c>
      <c r="AO12" s="30" t="e">
        <f>(means!#REF!-FUpCr!AO$18*FUpCr!$Y12)/(1-AO$18)</f>
        <v>#REF!</v>
      </c>
    </row>
    <row r="13" spans="1:45" x14ac:dyDescent="0.2">
      <c r="A13" s="1" t="str">
        <f>means!A14</f>
        <v>Zr2O3</v>
      </c>
      <c r="B13" s="32">
        <f>means!B14</f>
        <v>4.1870122276629566E-3</v>
      </c>
      <c r="C13" s="32">
        <f>means!M14</f>
        <v>3.0527466593236715E-3</v>
      </c>
      <c r="D13" s="32">
        <f>means!L14</f>
        <v>4.873670227446684E-3</v>
      </c>
      <c r="E13" s="32">
        <f>means!C14</f>
        <v>5.7985755363701048E-3</v>
      </c>
      <c r="F13" s="32">
        <f>means!EQ14</f>
        <v>7.0199011377655935E-3</v>
      </c>
      <c r="G13" s="32">
        <f>means!AQ14</f>
        <v>2.8056530742324136E-3</v>
      </c>
      <c r="H13" s="32">
        <f>means!AJ14</f>
        <v>3.8611159177348378E-3</v>
      </c>
      <c r="I13" s="32">
        <f>means!AI14</f>
        <v>4.488721478571189E-3</v>
      </c>
      <c r="J13">
        <f t="shared" si="13"/>
        <v>7.0606855844317406E-3</v>
      </c>
      <c r="K13">
        <f t="shared" si="13"/>
        <v>2.8124487692667722E-3</v>
      </c>
      <c r="L13">
        <f t="shared" si="13"/>
        <v>3.9731792441976607E-3</v>
      </c>
      <c r="M13">
        <f t="shared" si="13"/>
        <v>4.5224085388728468E-3</v>
      </c>
      <c r="N13" s="107">
        <f t="shared" si="7"/>
        <v>4.5350908484465546E-3</v>
      </c>
      <c r="O13" s="30">
        <f t="shared" si="8"/>
        <v>1.3985483580758701E-3</v>
      </c>
      <c r="P13" s="32">
        <f>O13*TINV(0.05,S13)/SQRT(S13)</f>
        <v>1.1402302957674245E-3</v>
      </c>
      <c r="Q13">
        <f>COUNT(B13:I13)</f>
        <v>8</v>
      </c>
      <c r="S13">
        <f>Q13-R13</f>
        <v>8</v>
      </c>
      <c r="W13" s="63"/>
      <c r="Z13" s="32"/>
      <c r="AA13" s="30"/>
      <c r="AB13" s="30"/>
      <c r="AC13" s="30"/>
      <c r="AF13" s="32">
        <v>4.7431058456749555E-3</v>
      </c>
      <c r="AG13" s="32"/>
      <c r="AH13" s="32"/>
      <c r="AN13" s="30">
        <f>(means!D13-FUpCr!AN$18*FUpCr!$Y13)/(1-AN$18)</f>
        <v>0</v>
      </c>
      <c r="AO13" s="30">
        <f>(means!K13-FUpCr!AO$18*FUpCr!$Y13)/(1-AO$18)</f>
        <v>2.5145921906953868E-2</v>
      </c>
    </row>
    <row r="14" spans="1:45" x14ac:dyDescent="0.2">
      <c r="A14" s="1" t="str">
        <f>means!A15</f>
        <v>BaO</v>
      </c>
      <c r="B14" s="32">
        <f>means!B15</f>
        <v>3.3542373333333331E-3</v>
      </c>
      <c r="C14" s="32">
        <f>means!M15</f>
        <v>2.8025668345048301E-3</v>
      </c>
      <c r="D14" s="32">
        <f>means!L15</f>
        <v>3.5499034752854166E-3</v>
      </c>
      <c r="E14" s="32">
        <f>means!C15</f>
        <v>4.7483141231421866E-3</v>
      </c>
      <c r="F14" s="32">
        <f>F59*1.1165/10000</f>
        <v>4.5220317581393266E-3</v>
      </c>
      <c r="G14" s="32">
        <f>G59*1.1165/10000</f>
        <v>2.8341943662257511E-3</v>
      </c>
      <c r="H14" s="32">
        <f>H59*1.1165/10000</f>
        <v>3.2417102078674638E-3</v>
      </c>
      <c r="I14" s="32">
        <f>I59*1.1165/10000</f>
        <v>3.7956849121949161E-3</v>
      </c>
      <c r="J14">
        <f t="shared" si="13"/>
        <v>4.5483040032098833E-3</v>
      </c>
      <c r="K14">
        <f t="shared" si="13"/>
        <v>2.8410591923718836E-3</v>
      </c>
      <c r="L14">
        <f t="shared" si="13"/>
        <v>3.3357961760336922E-3</v>
      </c>
      <c r="M14">
        <f t="shared" si="13"/>
        <v>3.8241708557166126E-3</v>
      </c>
      <c r="N14" s="107">
        <f t="shared" si="7"/>
        <v>3.6255439991997301E-3</v>
      </c>
      <c r="O14" s="30">
        <f t="shared" si="8"/>
        <v>7.1788795653165483E-4</v>
      </c>
      <c r="P14" s="32">
        <f>O14*TINV(0.05,S14)/SQRT(S14)</f>
        <v>5.8529087841491343E-4</v>
      </c>
      <c r="Q14">
        <f>COUNT(B14:I14)</f>
        <v>8</v>
      </c>
      <c r="S14">
        <f>Q14-R14</f>
        <v>8</v>
      </c>
      <c r="W14" s="63"/>
      <c r="Z14" s="32"/>
      <c r="AA14" s="30"/>
      <c r="AB14" s="30"/>
      <c r="AC14" s="30"/>
      <c r="AF14" s="32">
        <v>3.6975673768224315E-3</v>
      </c>
      <c r="AG14" s="32"/>
      <c r="AH14" s="32"/>
      <c r="AN14" s="30">
        <f>(means!D14-FUpCr!AN$18*FUpCr!$Y14)/(1-AN$18)</f>
        <v>4.6833889207857455E-3</v>
      </c>
      <c r="AO14" s="30">
        <f>(means!K14-FUpCr!AO$18*FUpCr!$Y14)/(1-AO$18)</f>
        <v>5.8508051715751228E-3</v>
      </c>
    </row>
    <row r="15" spans="1:45" x14ac:dyDescent="0.2">
      <c r="A15" s="69" t="s">
        <v>159</v>
      </c>
      <c r="B15" s="39">
        <f>SUM(B2:B14)</f>
        <v>100.15467935895779</v>
      </c>
      <c r="C15" s="39">
        <f t="shared" ref="C15:I15" si="14">SUM(C2:C14)</f>
        <v>99.446058988094421</v>
      </c>
      <c r="D15" s="39">
        <f t="shared" si="14"/>
        <v>99.875272088987501</v>
      </c>
      <c r="E15" s="39">
        <f t="shared" si="14"/>
        <v>99.78762538085374</v>
      </c>
      <c r="F15" s="39">
        <f t="shared" si="14"/>
        <v>99.422372711850059</v>
      </c>
      <c r="G15" s="39">
        <f t="shared" si="14"/>
        <v>99.758370886303112</v>
      </c>
      <c r="H15" s="39">
        <f t="shared" si="14"/>
        <v>97.179504885754199</v>
      </c>
      <c r="I15" s="39">
        <f t="shared" si="14"/>
        <v>99.255107980358304</v>
      </c>
      <c r="J15" s="39">
        <f>SUM(J2:J14)</f>
        <v>99.971653371416309</v>
      </c>
      <c r="K15" s="39">
        <f>SUM(K2:K14)</f>
        <v>99.988182169752491</v>
      </c>
      <c r="L15" s="39">
        <f>SUM(L2:L14)</f>
        <v>99.858391766731245</v>
      </c>
      <c r="M15" s="39">
        <f>SUM(M2:M14)</f>
        <v>99.963383376873594</v>
      </c>
      <c r="N15" s="72">
        <f>SUM(N2:N12)</f>
        <v>99.872495177860756</v>
      </c>
      <c r="O15" s="33">
        <f>STDEV(B15:I15)</f>
        <v>0.92701064066630534</v>
      </c>
      <c r="P15" s="33">
        <f>O15*TINV(0.05,S15)/SQRT(S15)</f>
        <v>0.75578767861893936</v>
      </c>
      <c r="Q15">
        <f t="shared" si="9"/>
        <v>8</v>
      </c>
      <c r="S15">
        <f>Q15-R15</f>
        <v>8</v>
      </c>
      <c r="X15" s="34">
        <f>SUM(X2:X12)+(X37*(58.93+16)/58.93+X38*(58.69+16)/58.69)/10000</f>
        <v>69.834715419443782</v>
      </c>
      <c r="Y15" s="34">
        <f>SUM(Y2:Y12)+(Y37*(58.93+16)/58.93+Y38*(58.69+16)/58.69)/10000</f>
        <v>94.975212970443536</v>
      </c>
      <c r="Z15" s="39">
        <f>SUM(Z2:Z12)</f>
        <v>99.949405660790617</v>
      </c>
      <c r="AA15" s="30"/>
      <c r="AB15" s="30"/>
      <c r="AC15" s="30"/>
      <c r="AD15" s="39"/>
      <c r="AE15" s="69" t="s">
        <v>159</v>
      </c>
      <c r="AF15" s="33">
        <v>99.731254789801326</v>
      </c>
      <c r="AG15" s="33">
        <v>0.31268798993073821</v>
      </c>
      <c r="AH15" s="33">
        <v>99.921129512595343</v>
      </c>
      <c r="AI15" s="33">
        <f>SUM(AI2:AI12)</f>
        <v>99.984999999999985</v>
      </c>
      <c r="AN15" s="72" t="e">
        <f>SUM(AN2:AN14)</f>
        <v>#REF!</v>
      </c>
      <c r="AO15" s="72" t="e">
        <f>SUM(AO2:AO14)</f>
        <v>#REF!</v>
      </c>
      <c r="AQ15" s="30">
        <f>SUM(AN2:AN11)</f>
        <v>99.622800088329456</v>
      </c>
      <c r="AR15" s="30">
        <f>SUM(AO2:AO11)</f>
        <v>99.810695973585879</v>
      </c>
    </row>
    <row r="16" spans="1:45" x14ac:dyDescent="0.2">
      <c r="A16" s="70" t="s">
        <v>160</v>
      </c>
      <c r="B16" s="49">
        <f>(B8/40.304)/(B8/40.304+B6/71.846)</f>
        <v>0.72775272371218425</v>
      </c>
      <c r="C16" s="49">
        <f t="shared" ref="C16:N16" si="15">(C8/40.304)/(C8/40.304+C6/71.846)</f>
        <v>0.66878424622350063</v>
      </c>
      <c r="D16" s="49">
        <f t="shared" si="15"/>
        <v>0.63042996843471388</v>
      </c>
      <c r="E16" s="49">
        <f t="shared" si="15"/>
        <v>0.65138350229126429</v>
      </c>
      <c r="F16" s="49">
        <f t="shared" si="15"/>
        <v>0.70580616821742659</v>
      </c>
      <c r="G16" s="49">
        <f>(G8/40.304)/(G8/40.304+G6/71.846)</f>
        <v>0.66247497554061152</v>
      </c>
      <c r="H16" s="49">
        <f t="shared" si="15"/>
        <v>0.70139475336851642</v>
      </c>
      <c r="I16" s="49">
        <f t="shared" si="15"/>
        <v>0.68333464897175578</v>
      </c>
      <c r="J16" s="49">
        <f>(J8/40.304)/(J8/40.304+J6/71.846)</f>
        <v>0.70580616821742648</v>
      </c>
      <c r="K16" s="49">
        <f>(K8/40.304)/(K8/40.304+K6/71.846)</f>
        <v>0.66247497554061152</v>
      </c>
      <c r="L16" s="49">
        <f>(L8/40.304)/(L8/40.304+L6/71.846)</f>
        <v>0.70139475336851642</v>
      </c>
      <c r="M16" s="49">
        <f>(M8/40.304)/(M8/40.304+M6/71.846)</f>
        <v>0.68333464897175578</v>
      </c>
      <c r="N16" s="38">
        <f t="shared" si="15"/>
        <v>0.68354622743691684</v>
      </c>
      <c r="O16" s="32">
        <f>STDEV(B16:I16)</f>
        <v>3.1881070990070468E-2</v>
      </c>
      <c r="P16" s="30">
        <f>O16*TINV(0.05,S16)/SQRT(S16)</f>
        <v>2.5992496286938012E-2</v>
      </c>
      <c r="Q16">
        <f t="shared" si="9"/>
        <v>8</v>
      </c>
      <c r="S16">
        <f>Q16-R16</f>
        <v>8</v>
      </c>
      <c r="U16" s="49">
        <f>(U9/40.304)/(U9/40.304+U7/71.846)</f>
        <v>0.69107112369034251</v>
      </c>
      <c r="V16" s="38">
        <f>(V8/40.304)/(V8/40.304+V6/71.846)</f>
        <v>0.48077356865285453</v>
      </c>
      <c r="X16" s="38">
        <f>(X8/40.304)/(X8/40.304+X6/71.846)</f>
        <v>0.5441159742931998</v>
      </c>
      <c r="Y16" s="38">
        <f>(Y8/40.304)/(Y8/40.304+Y6/71.846)</f>
        <v>0.54411597429319991</v>
      </c>
      <c r="Z16" s="38">
        <f>(Z8/40.304)/(Z8/40.304+Z6/71.846)</f>
        <v>0.6920323432163844</v>
      </c>
      <c r="AA16" s="30"/>
      <c r="AB16" s="30"/>
      <c r="AC16" s="30"/>
      <c r="AD16" s="39"/>
      <c r="AE16" s="70" t="s">
        <v>160</v>
      </c>
      <c r="AF16" s="49">
        <v>0.68470600396162362</v>
      </c>
      <c r="AG16" s="109">
        <v>4.666927925403995E-2</v>
      </c>
      <c r="AH16" s="49">
        <v>0.68779483013179821</v>
      </c>
      <c r="AI16" s="49">
        <f>(AI9/40.304)/(AI9/40.304+AI7/71.846)</f>
        <v>0.64746781962237021</v>
      </c>
      <c r="AN16" s="49">
        <f>(AN8/40.304)/(AN8/40.304+AN6/71.846)</f>
        <v>0.63784449269884635</v>
      </c>
      <c r="AO16" s="49">
        <f>(AO8/40.304)/(AO8/40.304+AO6/71.846)</f>
        <v>0.67479714546034508</v>
      </c>
      <c r="AQ16" s="49">
        <f>(AQ8/40.304)/(AQ8/40.304+AQ6/71.846)</f>
        <v>0.63784449269884635</v>
      </c>
      <c r="AR16" s="49">
        <f>(AR8/40.304)/(AR8/40.304+AR6/71.846)</f>
        <v>0.67479714546034508</v>
      </c>
    </row>
    <row r="17" spans="1:42" x14ac:dyDescent="0.2">
      <c r="A17" s="71" t="s">
        <v>370</v>
      </c>
      <c r="B17" s="39">
        <f>(B6/1.2865)/(B7/1.2912)</f>
        <v>76.142506396339456</v>
      </c>
      <c r="C17" s="39">
        <f t="shared" ref="C17:I17" si="16">(C6/1.2865)/(C7/1.2912)</f>
        <v>72.010403119186691</v>
      </c>
      <c r="D17" s="39">
        <f t="shared" si="16"/>
        <v>67.843711806532127</v>
      </c>
      <c r="E17" s="39">
        <f t="shared" si="16"/>
        <v>59.17987636877082</v>
      </c>
      <c r="F17" s="39">
        <f t="shared" si="16"/>
        <v>70.492375358869523</v>
      </c>
      <c r="G17" s="39">
        <f>(G6/1.2865)/(G7/1.2912)</f>
        <v>73.299264406963971</v>
      </c>
      <c r="H17" s="39">
        <f t="shared" si="16"/>
        <v>57.012792597514292</v>
      </c>
      <c r="I17" s="39">
        <f t="shared" si="16"/>
        <v>69.427637996023108</v>
      </c>
      <c r="N17" s="72">
        <f>AVERAGE(B17:I17)</f>
        <v>68.176071006274995</v>
      </c>
      <c r="O17" s="31">
        <f>STDEV(B17:I17)</f>
        <v>6.7295272324471167</v>
      </c>
      <c r="P17" s="33">
        <f>O17*TINV(0.05,S17)/SQRT(S17)</f>
        <v>5.486553812972871</v>
      </c>
      <c r="Q17">
        <f t="shared" si="9"/>
        <v>8</v>
      </c>
      <c r="S17">
        <f>Q17-R17</f>
        <v>8</v>
      </c>
      <c r="U17" s="39">
        <f>(U7/1.2865)/(U8/1.2912)</f>
        <v>72.340220311431722</v>
      </c>
      <c r="V17" s="39"/>
      <c r="X17" s="39">
        <f>(X7/1.2865)/(X8/1.2912)</f>
        <v>1.5724285780318297E-2</v>
      </c>
      <c r="Y17" s="39">
        <f>(Y7/1.2865)/(Y8/1.2912)</f>
        <v>1.5724285780318297E-2</v>
      </c>
      <c r="Z17" s="39">
        <f>(Z7/1.2865)/(Z8/1.2912)</f>
        <v>1.2050732873356321E-2</v>
      </c>
      <c r="AA17" s="30"/>
      <c r="AB17" s="30"/>
      <c r="AC17" s="30"/>
      <c r="AD17" s="39"/>
      <c r="AE17" s="71" t="s">
        <v>370</v>
      </c>
      <c r="AF17" s="31">
        <v>70.876605186612977</v>
      </c>
      <c r="AG17" s="31">
        <v>5.5886692248830041</v>
      </c>
      <c r="AH17" s="31">
        <v>68.905975426026885</v>
      </c>
      <c r="AI17" s="39"/>
    </row>
    <row r="18" spans="1:42" x14ac:dyDescent="0.2">
      <c r="A18" s="71"/>
      <c r="B18" s="39"/>
      <c r="C18" s="39"/>
      <c r="D18" s="39"/>
      <c r="E18" s="55"/>
      <c r="F18" s="38"/>
      <c r="G18" s="38"/>
      <c r="H18" s="38"/>
      <c r="I18" s="39"/>
      <c r="N18" s="72"/>
      <c r="O18" s="33"/>
      <c r="P18" s="33"/>
      <c r="V18" s="39"/>
      <c r="X18" s="33"/>
      <c r="Z18" s="39"/>
      <c r="AA18" s="30"/>
      <c r="AB18" s="30"/>
      <c r="AC18" s="30"/>
      <c r="AE18" s="71"/>
      <c r="AF18" s="31">
        <v>1.1653252147756903E-2</v>
      </c>
      <c r="AG18" s="31"/>
      <c r="AH18" s="31"/>
      <c r="AI18" s="39"/>
      <c r="AM18" s="184" t="s">
        <v>362</v>
      </c>
      <c r="AN18" s="32">
        <v>9.9395061632807091E-3</v>
      </c>
      <c r="AO18" s="32">
        <v>2.5734985197616158E-2</v>
      </c>
      <c r="AP18" s="33">
        <f>AO18/AN18</f>
        <v>2.589161350157247</v>
      </c>
    </row>
    <row r="19" spans="1:42" x14ac:dyDescent="0.2">
      <c r="A19" s="71" t="s">
        <v>159</v>
      </c>
      <c r="B19" s="39"/>
      <c r="C19" s="39"/>
      <c r="D19" s="39"/>
      <c r="E19" s="55"/>
      <c r="F19" s="38"/>
      <c r="G19" s="38"/>
      <c r="H19" s="38"/>
      <c r="I19" s="39"/>
      <c r="N19" s="72"/>
      <c r="O19" s="33"/>
      <c r="P19" s="33"/>
      <c r="V19" s="39">
        <v>6.25</v>
      </c>
      <c r="X19" s="33"/>
      <c r="Z19" s="39"/>
      <c r="AA19" s="30"/>
      <c r="AB19" s="30"/>
      <c r="AC19" s="30"/>
      <c r="AE19" s="71"/>
      <c r="AF19" s="31"/>
      <c r="AG19" s="31"/>
      <c r="AH19" s="31"/>
      <c r="AI19" s="39"/>
      <c r="AM19" s="184"/>
      <c r="AN19" s="32"/>
      <c r="AO19" s="32"/>
    </row>
    <row r="20" spans="1:42" x14ac:dyDescent="0.2">
      <c r="A20" s="1" t="s">
        <v>335</v>
      </c>
      <c r="B20" s="50"/>
      <c r="C20" s="50"/>
      <c r="D20" s="50"/>
      <c r="E20" s="50"/>
      <c r="F20" s="38"/>
      <c r="G20" s="38"/>
      <c r="H20" s="38"/>
      <c r="I20" s="40"/>
      <c r="N20" s="34" t="e">
        <f>AVERAGE(B20:I20)</f>
        <v>#DIV/0!</v>
      </c>
      <c r="O20" s="30" t="e">
        <f>STDEV(B20:I20)</f>
        <v>#DIV/0!</v>
      </c>
      <c r="P20" s="33" t="e">
        <f>O20*TINV(0.05,S20)/SQRT(S20)</f>
        <v>#DIV/0!</v>
      </c>
      <c r="Q20">
        <f t="shared" ref="Q20:Q85" si="17">COUNT(B20:I20)</f>
        <v>0</v>
      </c>
      <c r="S20">
        <f>Q20-R20</f>
        <v>0</v>
      </c>
      <c r="V20">
        <v>1.5</v>
      </c>
      <c r="W20">
        <v>1</v>
      </c>
      <c r="X20">
        <f t="shared" si="10"/>
        <v>1.5</v>
      </c>
      <c r="Y20">
        <f t="shared" si="11"/>
        <v>2.04</v>
      </c>
      <c r="Z20" t="e">
        <f>(N20-Y20*Z$1)/(1-Z$1)</f>
        <v>#DIV/0!</v>
      </c>
      <c r="AA20" s="30" t="e">
        <f>Z20/N20</f>
        <v>#DIV/0!</v>
      </c>
      <c r="AE20" t="s">
        <v>335</v>
      </c>
      <c r="AF20" s="68" t="e">
        <v>#DIV/0!</v>
      </c>
      <c r="AG20" s="41" t="e">
        <v>#DIV/0!</v>
      </c>
      <c r="AH20" s="67">
        <v>2.8546481280377565</v>
      </c>
      <c r="AJ20" s="38"/>
    </row>
    <row r="21" spans="1:42" x14ac:dyDescent="0.2">
      <c r="A21" s="1" t="s">
        <v>336</v>
      </c>
      <c r="B21" s="50"/>
      <c r="C21" s="50"/>
      <c r="D21" s="50"/>
      <c r="E21" s="50"/>
      <c r="F21" s="38"/>
      <c r="G21" s="38"/>
      <c r="H21" s="38"/>
      <c r="I21" s="40"/>
      <c r="N21" s="35" t="e">
        <f>AVERAGE(B21:I21)</f>
        <v>#DIV/0!</v>
      </c>
      <c r="O21" s="30" t="e">
        <f>STDEV(B21:I21)</f>
        <v>#DIV/0!</v>
      </c>
      <c r="P21" s="33" t="e">
        <f>O21*TINV(0.05,S21)/SQRT(S21)</f>
        <v>#DIV/0!</v>
      </c>
      <c r="Q21">
        <f t="shared" si="17"/>
        <v>0</v>
      </c>
      <c r="S21">
        <f>Q21-R21</f>
        <v>0</v>
      </c>
      <c r="V21">
        <v>60.7</v>
      </c>
      <c r="W21">
        <v>1</v>
      </c>
      <c r="X21">
        <f t="shared" si="10"/>
        <v>60.7</v>
      </c>
      <c r="Y21">
        <f t="shared" si="11"/>
        <v>82.552000000000007</v>
      </c>
      <c r="Z21" t="e">
        <f>(N21-Y21*Z$1)/(1-Z$1)</f>
        <v>#DIV/0!</v>
      </c>
      <c r="AA21" s="30" t="e">
        <f>Z21/N21</f>
        <v>#DIV/0!</v>
      </c>
      <c r="AE21" t="s">
        <v>336</v>
      </c>
      <c r="AF21" s="41" t="e">
        <v>#DIV/0!</v>
      </c>
      <c r="AG21" s="41" t="e">
        <v>#DIV/0!</v>
      </c>
      <c r="AH21" s="67">
        <v>38.341156902381719</v>
      </c>
      <c r="AJ21" s="38"/>
      <c r="AN21" s="33"/>
      <c r="AO21" s="33"/>
    </row>
    <row r="22" spans="1:42" x14ac:dyDescent="0.2">
      <c r="A22" s="1" t="s">
        <v>193</v>
      </c>
      <c r="B22" s="31">
        <f>B10*7419</f>
        <v>2247.4549338918341</v>
      </c>
      <c r="C22" s="31">
        <f t="shared" ref="C22:I22" si="18">C10*7419</f>
        <v>3303.9986037381009</v>
      </c>
      <c r="D22" s="31">
        <f t="shared" si="18"/>
        <v>2474.503584</v>
      </c>
      <c r="E22" s="31">
        <f t="shared" si="18"/>
        <v>2558.868679205581</v>
      </c>
      <c r="F22" s="31">
        <f t="shared" si="18"/>
        <v>2533.9958508150003</v>
      </c>
      <c r="G22" s="31">
        <f t="shared" si="18"/>
        <v>2528.4504689009032</v>
      </c>
      <c r="H22" s="31">
        <f t="shared" si="18"/>
        <v>2507.6197146650011</v>
      </c>
      <c r="I22" s="31">
        <f t="shared" si="18"/>
        <v>2578.9097875031662</v>
      </c>
      <c r="J22">
        <f>F22*100/F$15</f>
        <v>2548.7179411410043</v>
      </c>
      <c r="K22">
        <f>G22*100/G$15</f>
        <v>2534.5747393796514</v>
      </c>
      <c r="L22">
        <f>H22*100/H$15</f>
        <v>2580.3997639347922</v>
      </c>
      <c r="M22">
        <f>I22*100/I$15</f>
        <v>2598.2640490537869</v>
      </c>
      <c r="N22" s="35">
        <f t="shared" ref="N22:N85" si="19">AVERAGE(B22:I22)</f>
        <v>2591.725202839948</v>
      </c>
      <c r="O22" s="30">
        <f t="shared" ref="O22:O85" si="20">STDEV(B22:I22)</f>
        <v>305.95289385998927</v>
      </c>
      <c r="P22" s="30">
        <f t="shared" ref="P22:P85" si="21">O22*TINV(0.05,S22)/SQRT(S22)</f>
        <v>249.44204227362854</v>
      </c>
      <c r="Q22">
        <f t="shared" si="17"/>
        <v>8</v>
      </c>
      <c r="S22">
        <f t="shared" ref="S22:S85" si="22">Q22-R22</f>
        <v>8</v>
      </c>
      <c r="U22">
        <f>0.44*7419</f>
        <v>3264.36</v>
      </c>
      <c r="AA22" s="30"/>
      <c r="AE22" s="1" t="s">
        <v>363</v>
      </c>
      <c r="AF22" s="65">
        <v>2567.3393445987231</v>
      </c>
      <c r="AG22" s="65"/>
      <c r="AH22" s="65"/>
      <c r="AI22" s="65">
        <f>AI11/$W11</f>
        <v>0.3735679893740661</v>
      </c>
      <c r="AJ22" s="38"/>
    </row>
    <row r="23" spans="1:42" x14ac:dyDescent="0.2">
      <c r="A23" s="1" t="s">
        <v>191</v>
      </c>
      <c r="B23" s="50"/>
      <c r="C23" s="50"/>
      <c r="D23" s="50"/>
      <c r="E23" s="50"/>
      <c r="F23" s="38"/>
      <c r="G23" s="38"/>
      <c r="H23" s="38"/>
      <c r="I23" s="40"/>
      <c r="N23" s="34" t="e">
        <f t="shared" si="19"/>
        <v>#DIV/0!</v>
      </c>
      <c r="O23" s="30" t="e">
        <f t="shared" si="20"/>
        <v>#DIV/0!</v>
      </c>
      <c r="P23" s="30" t="e">
        <f t="shared" si="21"/>
        <v>#DIV/0!</v>
      </c>
      <c r="Q23">
        <f t="shared" si="17"/>
        <v>0</v>
      </c>
      <c r="S23">
        <f t="shared" si="22"/>
        <v>0</v>
      </c>
      <c r="U23">
        <f>6.4*0.603</f>
        <v>3.8592</v>
      </c>
      <c r="AA23" s="30"/>
      <c r="AE23" s="1" t="s">
        <v>364</v>
      </c>
      <c r="AF23" s="68" t="e">
        <v>#DIV/0!</v>
      </c>
      <c r="AG23" s="68"/>
      <c r="AH23" s="68"/>
      <c r="AI23" s="68">
        <f>AI9/$W9</f>
        <v>4.8599199542595768</v>
      </c>
      <c r="AJ23" s="38"/>
    </row>
    <row r="24" spans="1:42" x14ac:dyDescent="0.2">
      <c r="A24" s="1" t="s">
        <v>189</v>
      </c>
      <c r="B24" s="50"/>
      <c r="C24" s="50"/>
      <c r="D24" s="50"/>
      <c r="E24" s="50"/>
      <c r="F24" s="38"/>
      <c r="G24" s="38"/>
      <c r="H24" s="38"/>
      <c r="I24" s="40"/>
      <c r="N24" s="34" t="e">
        <f t="shared" si="19"/>
        <v>#DIV/0!</v>
      </c>
      <c r="O24" s="30" t="e">
        <f t="shared" si="20"/>
        <v>#DIV/0!</v>
      </c>
      <c r="P24" s="30" t="e">
        <f t="shared" si="21"/>
        <v>#DIV/0!</v>
      </c>
      <c r="Q24">
        <f t="shared" si="17"/>
        <v>0</v>
      </c>
      <c r="S24">
        <f t="shared" si="22"/>
        <v>0</v>
      </c>
      <c r="U24">
        <f>26.5*0.5293</f>
        <v>14.026450000000001</v>
      </c>
      <c r="AA24" s="30"/>
      <c r="AE24" s="1" t="s">
        <v>365</v>
      </c>
      <c r="AF24" s="68" t="e">
        <v>#DIV/0!</v>
      </c>
      <c r="AG24" s="68"/>
      <c r="AH24" s="68"/>
      <c r="AI24" s="68">
        <f>AI4/$W4</f>
        <v>13.019317279703627</v>
      </c>
      <c r="AJ24" s="38"/>
    </row>
    <row r="25" spans="1:42" x14ac:dyDescent="0.2">
      <c r="A25" s="1" t="s">
        <v>187</v>
      </c>
      <c r="B25" s="50"/>
      <c r="C25" s="50"/>
      <c r="D25" s="50"/>
      <c r="E25" s="50"/>
      <c r="F25" s="38"/>
      <c r="G25" s="38"/>
      <c r="H25" s="38"/>
      <c r="I25" s="40"/>
      <c r="N25" s="34" t="e">
        <f t="shared" si="19"/>
        <v>#DIV/0!</v>
      </c>
      <c r="O25" s="30" t="e">
        <f t="shared" si="20"/>
        <v>#DIV/0!</v>
      </c>
      <c r="P25" s="30" t="e">
        <f t="shared" si="21"/>
        <v>#DIV/0!</v>
      </c>
      <c r="Q25">
        <f t="shared" si="17"/>
        <v>0</v>
      </c>
      <c r="S25">
        <f t="shared" si="22"/>
        <v>0</v>
      </c>
      <c r="U25">
        <f>45.1*0.4674</f>
        <v>21.079740000000001</v>
      </c>
      <c r="AA25" s="30"/>
      <c r="AE25" s="1" t="s">
        <v>366</v>
      </c>
      <c r="AF25" s="65" t="e">
        <v>#DIV/0!</v>
      </c>
      <c r="AG25" s="65"/>
      <c r="AH25" s="65"/>
      <c r="AI25" s="65">
        <f>AI2/$W2</f>
        <v>21.034917963819943</v>
      </c>
      <c r="AJ25" s="38"/>
    </row>
    <row r="26" spans="1:42" x14ac:dyDescent="0.2">
      <c r="A26" s="1" t="s">
        <v>303</v>
      </c>
      <c r="B26" s="50"/>
      <c r="C26" s="50"/>
      <c r="D26" s="50"/>
      <c r="E26" s="50"/>
      <c r="F26" s="38"/>
      <c r="G26" s="38"/>
      <c r="H26" s="38"/>
      <c r="I26" s="40"/>
      <c r="N26" s="34" t="e">
        <f t="shared" si="19"/>
        <v>#DIV/0!</v>
      </c>
      <c r="O26" s="30" t="e">
        <f t="shared" si="20"/>
        <v>#DIV/0!</v>
      </c>
      <c r="P26" s="30" t="e">
        <f t="shared" si="21"/>
        <v>#DIV/0!</v>
      </c>
      <c r="Q26">
        <f t="shared" si="17"/>
        <v>0</v>
      </c>
      <c r="S26">
        <f t="shared" si="22"/>
        <v>0</v>
      </c>
      <c r="AA26" s="30"/>
      <c r="AE26" s="1" t="s">
        <v>303</v>
      </c>
      <c r="AF26" s="67" t="e">
        <v>#DIV/0!</v>
      </c>
      <c r="AG26" s="67"/>
      <c r="AH26" s="67"/>
      <c r="AI26" s="67"/>
      <c r="AJ26" s="38"/>
      <c r="AK26" s="33"/>
    </row>
    <row r="27" spans="1:42" x14ac:dyDescent="0.2">
      <c r="A27" s="1" t="s">
        <v>304</v>
      </c>
      <c r="B27" s="50"/>
      <c r="C27" s="50"/>
      <c r="D27" s="50"/>
      <c r="E27" s="50"/>
      <c r="F27" s="38"/>
      <c r="G27" s="38"/>
      <c r="H27" s="38"/>
      <c r="I27" s="76"/>
      <c r="N27" s="34" t="e">
        <f t="shared" si="19"/>
        <v>#DIV/0!</v>
      </c>
      <c r="O27" s="30" t="e">
        <f t="shared" si="20"/>
        <v>#DIV/0!</v>
      </c>
      <c r="P27" s="30" t="e">
        <f t="shared" si="21"/>
        <v>#DIV/0!</v>
      </c>
      <c r="Q27">
        <f t="shared" si="17"/>
        <v>0</v>
      </c>
      <c r="S27">
        <f t="shared" si="22"/>
        <v>0</v>
      </c>
      <c r="V27">
        <v>704</v>
      </c>
      <c r="W27">
        <v>1</v>
      </c>
      <c r="X27">
        <f t="shared" si="10"/>
        <v>704</v>
      </c>
      <c r="Y27">
        <f t="shared" si="11"/>
        <v>957.44</v>
      </c>
      <c r="Z27" t="e">
        <f>(N27-Y27*Z$1)/(1-Z$1)</f>
        <v>#DIV/0!</v>
      </c>
      <c r="AA27" s="30" t="e">
        <f>Z27/N27</f>
        <v>#DIV/0!</v>
      </c>
      <c r="AE27" t="s">
        <v>304</v>
      </c>
      <c r="AF27" s="67" t="e">
        <v>#DIV/0!</v>
      </c>
      <c r="AG27" s="67">
        <v>267.01869810971959</v>
      </c>
      <c r="AH27" s="67">
        <v>220.35849054837291</v>
      </c>
      <c r="AJ27" s="38"/>
    </row>
    <row r="28" spans="1:42" x14ac:dyDescent="0.2">
      <c r="A28" s="1" t="s">
        <v>194</v>
      </c>
      <c r="B28" s="31">
        <f>B11*8301</f>
        <v>199.25271320099091</v>
      </c>
      <c r="C28" s="31">
        <f t="shared" ref="C28:I28" si="23">C11*8301</f>
        <v>189.38392918804578</v>
      </c>
      <c r="D28" s="31">
        <f t="shared" si="23"/>
        <v>274.12616233336524</v>
      </c>
      <c r="E28" s="31">
        <f t="shared" si="23"/>
        <v>276.48572486632537</v>
      </c>
      <c r="F28" s="31">
        <f t="shared" si="23"/>
        <v>0</v>
      </c>
      <c r="G28" s="31">
        <f t="shared" si="23"/>
        <v>0</v>
      </c>
      <c r="H28" s="31">
        <f t="shared" si="23"/>
        <v>0</v>
      </c>
      <c r="I28" s="31">
        <f t="shared" si="23"/>
        <v>0</v>
      </c>
      <c r="J28">
        <f>F28*100/F$15</f>
        <v>0</v>
      </c>
      <c r="K28">
        <f>G28*100/G$15</f>
        <v>0</v>
      </c>
      <c r="L28">
        <f>H28*100/H$15</f>
        <v>0</v>
      </c>
      <c r="M28">
        <f>I28*100/I$15</f>
        <v>0</v>
      </c>
      <c r="N28" s="35">
        <f t="shared" si="19"/>
        <v>117.40606619859091</v>
      </c>
      <c r="O28" s="31">
        <f t="shared" si="20"/>
        <v>129.219608331438</v>
      </c>
      <c r="P28" s="31">
        <f t="shared" si="21"/>
        <v>179.38557452369852</v>
      </c>
      <c r="Q28">
        <f t="shared" si="17"/>
        <v>8</v>
      </c>
      <c r="R28">
        <v>4</v>
      </c>
      <c r="S28">
        <f t="shared" si="22"/>
        <v>4</v>
      </c>
      <c r="U28">
        <f>0.052*8301</f>
        <v>431.65199999999999</v>
      </c>
      <c r="V28">
        <v>558</v>
      </c>
      <c r="W28">
        <v>1</v>
      </c>
      <c r="X28">
        <f t="shared" si="10"/>
        <v>558</v>
      </c>
      <c r="Y28">
        <f t="shared" si="11"/>
        <v>758.88000000000011</v>
      </c>
      <c r="Z28">
        <f>(N28-Y28*Z$1)/(1-Z$1)</f>
        <v>110.24337998302057</v>
      </c>
      <c r="AA28" s="30">
        <f>Z28/N28</f>
        <v>0.93899219650665466</v>
      </c>
      <c r="AE28" s="1" t="s">
        <v>194</v>
      </c>
      <c r="AF28" s="67">
        <v>217.71382270086281</v>
      </c>
      <c r="AG28" s="67"/>
      <c r="AH28" s="67"/>
      <c r="AI28" s="67">
        <v>600</v>
      </c>
      <c r="AJ28" s="38"/>
      <c r="AK28" s="33" t="e">
        <f>AI28/AH28</f>
        <v>#DIV/0!</v>
      </c>
    </row>
    <row r="29" spans="1:42" x14ac:dyDescent="0.2">
      <c r="A29" s="1"/>
      <c r="B29" s="31">
        <f>means!B54</f>
        <v>199.26242159271573</v>
      </c>
      <c r="C29" s="31">
        <f>means!M54</f>
        <v>178.35123751730737</v>
      </c>
      <c r="D29" s="31">
        <f>means!L54</f>
        <v>235.98817871524449</v>
      </c>
      <c r="E29" s="31">
        <f>means!C54</f>
        <v>282.83462500000002</v>
      </c>
      <c r="F29" s="31" t="e">
        <f>means!#REF!*8301</f>
        <v>#REF!</v>
      </c>
      <c r="G29" s="31" t="e">
        <f>means!#REF!*8301</f>
        <v>#REF!</v>
      </c>
      <c r="H29" s="31" t="e">
        <f>means!#REF!*8301</f>
        <v>#REF!</v>
      </c>
      <c r="I29" s="31" t="e">
        <f>means!#REF!*8301</f>
        <v>#REF!</v>
      </c>
      <c r="N29" s="35" t="e">
        <f>AVERAGE(B29:I29)</f>
        <v>#REF!</v>
      </c>
      <c r="O29" s="31" t="e">
        <f>STDEV(B29:I29)</f>
        <v>#REF!</v>
      </c>
      <c r="P29" s="31" t="e">
        <f>O29*TINV(0.05,S29)/SQRT(S29)</f>
        <v>#REF!</v>
      </c>
      <c r="Q29">
        <f>COUNT(B29:I29)</f>
        <v>4</v>
      </c>
      <c r="R29">
        <v>4</v>
      </c>
      <c r="S29">
        <f>Q29-R29</f>
        <v>0</v>
      </c>
      <c r="AA29" s="30"/>
      <c r="AE29" s="1"/>
      <c r="AF29" s="67">
        <v>217.71829572433631</v>
      </c>
      <c r="AG29" s="67"/>
      <c r="AH29" s="67"/>
      <c r="AI29" s="67"/>
      <c r="AJ29" s="38"/>
      <c r="AK29" s="33"/>
    </row>
    <row r="30" spans="1:42" x14ac:dyDescent="0.2">
      <c r="A30" s="1" t="s">
        <v>192</v>
      </c>
      <c r="B30" s="50"/>
      <c r="C30" s="50"/>
      <c r="D30" s="50"/>
      <c r="E30" s="50"/>
      <c r="F30" s="38"/>
      <c r="G30" s="38"/>
      <c r="H30" s="38"/>
      <c r="I30" s="50"/>
      <c r="N30" s="34" t="e">
        <f t="shared" si="19"/>
        <v>#DIV/0!</v>
      </c>
      <c r="O30" s="30" t="e">
        <f t="shared" si="20"/>
        <v>#DIV/0!</v>
      </c>
      <c r="P30" s="30" t="e">
        <f t="shared" si="21"/>
        <v>#DIV/0!</v>
      </c>
      <c r="Q30">
        <f t="shared" si="17"/>
        <v>0</v>
      </c>
      <c r="S30">
        <f t="shared" si="22"/>
        <v>0</v>
      </c>
      <c r="U30">
        <f>15.5*0.7147</f>
        <v>11.07785</v>
      </c>
      <c r="Y30">
        <f t="shared" si="11"/>
        <v>0</v>
      </c>
      <c r="AA30" s="30"/>
      <c r="AE30" s="1" t="s">
        <v>367</v>
      </c>
      <c r="AF30" s="68" t="e">
        <v>#DIV/0!</v>
      </c>
      <c r="AG30" s="68"/>
      <c r="AH30" s="68"/>
      <c r="AI30" s="68">
        <f>AI10/$W10</f>
        <v>11.72106824925816</v>
      </c>
      <c r="AJ30" s="38"/>
    </row>
    <row r="31" spans="1:42" x14ac:dyDescent="0.2">
      <c r="A31" s="1" t="s">
        <v>162</v>
      </c>
      <c r="B31" s="30">
        <f>means!B55</f>
        <v>9.069591848533026</v>
      </c>
      <c r="C31" s="30">
        <f>means!M55</f>
        <v>9.13122527314815</v>
      </c>
      <c r="D31" s="30">
        <f>means!L55</f>
        <v>8.5956313263560453</v>
      </c>
      <c r="E31" s="30">
        <f>means!C55</f>
        <v>7.503236226864372</v>
      </c>
      <c r="F31" s="30">
        <f>means!EQ55</f>
        <v>9.9390281014393427</v>
      </c>
      <c r="G31" s="30">
        <f>means!AQ55</f>
        <v>7.0150941732189294</v>
      </c>
      <c r="H31" s="30">
        <f>means!AJ55</f>
        <v>5.9438679342467369</v>
      </c>
      <c r="I31" s="30">
        <f>means!AI55</f>
        <v>7.8951303327001039</v>
      </c>
      <c r="J31">
        <f>F31*100/F$15</f>
        <v>9.9967721855170719</v>
      </c>
      <c r="K31">
        <f>G31*100/G$15</f>
        <v>7.0320857396660896</v>
      </c>
      <c r="L31">
        <f>H31*100/H$15</f>
        <v>6.1163801371847324</v>
      </c>
      <c r="M31">
        <f>I31*100/I$15</f>
        <v>7.9543818886001105</v>
      </c>
      <c r="N31" s="34">
        <f t="shared" si="19"/>
        <v>8.136600652063338</v>
      </c>
      <c r="O31" s="30">
        <f t="shared" si="20"/>
        <v>1.3007973677643248</v>
      </c>
      <c r="P31" s="30">
        <f t="shared" si="21"/>
        <v>1.0605343453550717</v>
      </c>
      <c r="Q31">
        <f t="shared" si="17"/>
        <v>8</v>
      </c>
      <c r="S31">
        <f t="shared" si="22"/>
        <v>8</v>
      </c>
      <c r="V31">
        <v>5.82</v>
      </c>
      <c r="W31">
        <v>1</v>
      </c>
      <c r="X31">
        <f t="shared" si="10"/>
        <v>5.82</v>
      </c>
      <c r="Y31">
        <f t="shared" si="11"/>
        <v>7.9152000000000013</v>
      </c>
      <c r="Z31">
        <f>(N31-Y31*Z$1)/(1-Z$1)</f>
        <v>8.1390728076959977</v>
      </c>
      <c r="AA31" s="30">
        <f>Z31/N31</f>
        <v>1.0003038315063468</v>
      </c>
      <c r="AB31" s="181">
        <v>8.3000000000000007</v>
      </c>
      <c r="AC31" s="30">
        <f>Z31/AB31</f>
        <v>0.98061118165012018</v>
      </c>
      <c r="AE31" t="s">
        <v>162</v>
      </c>
      <c r="AF31" s="33">
        <v>8.0047137774575212</v>
      </c>
      <c r="AG31" s="33">
        <v>0.66401449993600037</v>
      </c>
      <c r="AH31" s="33">
        <v>8.2659674804406826</v>
      </c>
      <c r="AI31">
        <v>10</v>
      </c>
      <c r="AJ31" s="38">
        <f>AF31/X31</f>
        <v>1.3753803741335946</v>
      </c>
      <c r="AN31" s="30">
        <f>(means!D55-FUpCr!AN$18*FUpCr!$Y31)/(1-AN$18)</f>
        <v>12.980443279038358</v>
      </c>
      <c r="AO31" s="30">
        <f>(means!K55-FUpCr!AO$18*FUpCr!$Y31)/(1-AO$18)</f>
        <v>12.830276990058287</v>
      </c>
      <c r="AP31">
        <f>AO31/AN31</f>
        <v>0.98843134354105078</v>
      </c>
    </row>
    <row r="32" spans="1:42" x14ac:dyDescent="0.2">
      <c r="A32" s="1" t="s">
        <v>188</v>
      </c>
      <c r="B32" s="50"/>
      <c r="C32" s="50"/>
      <c r="D32" s="50"/>
      <c r="E32" s="50"/>
      <c r="F32" s="38"/>
      <c r="G32" s="38"/>
      <c r="H32" s="38"/>
      <c r="I32" s="76"/>
      <c r="N32" s="34" t="e">
        <f t="shared" si="19"/>
        <v>#DIV/0!</v>
      </c>
      <c r="O32" s="30" t="e">
        <f t="shared" si="20"/>
        <v>#DIV/0!</v>
      </c>
      <c r="P32" s="30" t="e">
        <f t="shared" si="21"/>
        <v>#DIV/0!</v>
      </c>
      <c r="Q32">
        <f t="shared" si="17"/>
        <v>0</v>
      </c>
      <c r="S32">
        <f t="shared" si="22"/>
        <v>0</v>
      </c>
      <c r="U32">
        <f>0.5*0.5994</f>
        <v>0.29970000000000002</v>
      </c>
      <c r="Y32">
        <f t="shared" si="11"/>
        <v>0</v>
      </c>
      <c r="AA32" s="30"/>
      <c r="AE32" t="s">
        <v>368</v>
      </c>
      <c r="AF32" s="65" t="e">
        <v>#DIV/0!</v>
      </c>
      <c r="AG32" s="65"/>
      <c r="AH32" s="65"/>
      <c r="AI32" s="65">
        <f>AI3/$W3</f>
        <v>0.33567104237846918</v>
      </c>
      <c r="AJ32" s="38"/>
    </row>
    <row r="33" spans="1:43" x14ac:dyDescent="0.2">
      <c r="A33" s="1" t="s">
        <v>305</v>
      </c>
      <c r="B33" s="50"/>
      <c r="C33" s="50"/>
      <c r="D33" s="50"/>
      <c r="E33" s="50"/>
      <c r="F33" s="38"/>
      <c r="G33" s="38"/>
      <c r="H33" s="38"/>
      <c r="I33" s="76"/>
      <c r="N33" s="34" t="e">
        <f t="shared" si="19"/>
        <v>#DIV/0!</v>
      </c>
      <c r="O33" s="30" t="e">
        <f t="shared" si="20"/>
        <v>#DIV/0!</v>
      </c>
      <c r="P33" s="30" t="e">
        <f t="shared" si="21"/>
        <v>#DIV/0!</v>
      </c>
      <c r="Q33">
        <f t="shared" si="17"/>
        <v>0</v>
      </c>
      <c r="S33">
        <f t="shared" si="22"/>
        <v>0</v>
      </c>
      <c r="V33">
        <v>56.5</v>
      </c>
      <c r="W33">
        <v>1</v>
      </c>
      <c r="X33">
        <f t="shared" si="10"/>
        <v>56.5</v>
      </c>
      <c r="Y33">
        <f t="shared" si="11"/>
        <v>76.84</v>
      </c>
      <c r="Z33" t="e">
        <f>(N33-Y33*Z$1)/(1-Z$1)</f>
        <v>#DIV/0!</v>
      </c>
      <c r="AA33" s="30" t="e">
        <f>Z33/N33</f>
        <v>#DIV/0!</v>
      </c>
      <c r="AE33" t="s">
        <v>305</v>
      </c>
      <c r="AF33" s="31" t="e">
        <v>#DIV/0!</v>
      </c>
      <c r="AG33" s="31">
        <v>5.4956990913102048</v>
      </c>
      <c r="AH33" s="31">
        <v>23.082158928320531</v>
      </c>
      <c r="AI33">
        <v>24</v>
      </c>
      <c r="AJ33" s="38" t="e">
        <f>AF33/X33</f>
        <v>#DIV/0!</v>
      </c>
    </row>
    <row r="34" spans="1:43" x14ac:dyDescent="0.2">
      <c r="A34" s="1" t="s">
        <v>163</v>
      </c>
      <c r="B34" s="76">
        <f t="shared" ref="B34:I34" si="24">B5*6842</f>
        <v>882.76919340862241</v>
      </c>
      <c r="C34" s="76">
        <f t="shared" si="24"/>
        <v>719.85926658563722</v>
      </c>
      <c r="D34" s="76">
        <f t="shared" si="24"/>
        <v>633.98670037064869</v>
      </c>
      <c r="E34" s="76">
        <f t="shared" si="24"/>
        <v>571.99530049844441</v>
      </c>
      <c r="F34" s="76">
        <f t="shared" si="24"/>
        <v>743.68812139269335</v>
      </c>
      <c r="G34" s="76">
        <f t="shared" si="24"/>
        <v>514.28473596954643</v>
      </c>
      <c r="H34" s="76">
        <f t="shared" si="24"/>
        <v>510.47644942918038</v>
      </c>
      <c r="I34" s="76">
        <f t="shared" si="24"/>
        <v>637.20318497454616</v>
      </c>
      <c r="J34">
        <f t="shared" ref="J34:M35" si="25">F34*100/F$15</f>
        <v>748.00882448066318</v>
      </c>
      <c r="K34">
        <f t="shared" si="25"/>
        <v>515.53040752408481</v>
      </c>
      <c r="L34">
        <f t="shared" si="25"/>
        <v>525.29229288552642</v>
      </c>
      <c r="M34">
        <f t="shared" si="25"/>
        <v>641.98528210824475</v>
      </c>
      <c r="N34" s="35">
        <f t="shared" si="19"/>
        <v>651.78286907866493</v>
      </c>
      <c r="O34" s="31">
        <f t="shared" si="20"/>
        <v>126.60637598463995</v>
      </c>
      <c r="P34" s="31">
        <f t="shared" si="21"/>
        <v>103.2216188317003</v>
      </c>
      <c r="Q34">
        <f t="shared" si="17"/>
        <v>8</v>
      </c>
      <c r="S34">
        <f t="shared" si="22"/>
        <v>8</v>
      </c>
      <c r="Y34" s="31"/>
      <c r="Z34" s="76">
        <f>Z5*6842</f>
        <v>621.84619233470335</v>
      </c>
      <c r="AA34" s="30"/>
      <c r="AE34" s="1" t="s">
        <v>163</v>
      </c>
      <c r="AF34" s="67">
        <v>655.21426559064628</v>
      </c>
      <c r="AG34" s="67"/>
      <c r="AH34" s="67"/>
      <c r="AI34" s="67">
        <v>680</v>
      </c>
      <c r="AJ34" s="38"/>
      <c r="AN34" s="31">
        <f>(means!D56-FUpCr!AN$18*FUpCr!$Y34)/(1-AN$18)</f>
        <v>902.28127059592225</v>
      </c>
      <c r="AO34" s="31">
        <f>(means!K56-FUpCr!AO$18*FUpCr!$Y34)/(1-AO$18)</f>
        <v>1150.5084059393942</v>
      </c>
      <c r="AP34">
        <f>AO34/AN34</f>
        <v>1.2751105929302149</v>
      </c>
    </row>
    <row r="35" spans="1:43" x14ac:dyDescent="0.2">
      <c r="A35" s="1" t="s">
        <v>164</v>
      </c>
      <c r="B35" s="76">
        <f>B7*7745</f>
        <v>557.99616877063397</v>
      </c>
      <c r="C35" s="76">
        <f t="shared" ref="C35:I35" si="26">C7*7745</f>
        <v>507.35011683794443</v>
      </c>
      <c r="D35" s="76">
        <f t="shared" si="26"/>
        <v>491.57824799999997</v>
      </c>
      <c r="E35" s="76">
        <f t="shared" si="26"/>
        <v>574.54005860875384</v>
      </c>
      <c r="F35" s="76">
        <f t="shared" si="26"/>
        <v>530.83525948935585</v>
      </c>
      <c r="G35" s="76">
        <f t="shared" si="26"/>
        <v>406.69084736600428</v>
      </c>
      <c r="H35" s="76">
        <f t="shared" si="26"/>
        <v>484.86885211532456</v>
      </c>
      <c r="I35" s="76">
        <f t="shared" si="26"/>
        <v>492.49960939270073</v>
      </c>
      <c r="J35">
        <f t="shared" si="25"/>
        <v>533.91932319684622</v>
      </c>
      <c r="K35">
        <f t="shared" si="25"/>
        <v>407.67591105664621</v>
      </c>
      <c r="L35">
        <f t="shared" si="25"/>
        <v>498.94147195475449</v>
      </c>
      <c r="M35">
        <f t="shared" si="25"/>
        <v>496.19573180068676</v>
      </c>
      <c r="N35" s="35">
        <f t="shared" si="19"/>
        <v>505.79489507258967</v>
      </c>
      <c r="O35" s="31">
        <f t="shared" si="20"/>
        <v>51.711698415557301</v>
      </c>
      <c r="P35" s="31">
        <f t="shared" si="21"/>
        <v>42.160319189912521</v>
      </c>
      <c r="Q35">
        <f t="shared" si="17"/>
        <v>8</v>
      </c>
      <c r="S35">
        <f t="shared" si="22"/>
        <v>8</v>
      </c>
      <c r="Y35">
        <f t="shared" si="11"/>
        <v>0</v>
      </c>
      <c r="Z35">
        <f>Z7*7745</f>
        <v>483.98215301636407</v>
      </c>
      <c r="AA35" s="30"/>
      <c r="AE35" s="1" t="s">
        <v>164</v>
      </c>
      <c r="AF35" s="67">
        <v>479.26924110057229</v>
      </c>
      <c r="AG35" s="67"/>
      <c r="AH35" s="67"/>
      <c r="AI35" s="67"/>
      <c r="AJ35" s="38"/>
      <c r="AQ35">
        <f>AP34/AP31</f>
        <v>1.2900345595700526</v>
      </c>
    </row>
    <row r="36" spans="1:43" x14ac:dyDescent="0.2">
      <c r="A36" s="1" t="s">
        <v>190</v>
      </c>
      <c r="B36" s="50"/>
      <c r="C36" s="50"/>
      <c r="D36" s="50"/>
      <c r="E36" s="50"/>
      <c r="F36" s="38"/>
      <c r="G36" s="38"/>
      <c r="H36" s="38"/>
      <c r="I36" s="50"/>
      <c r="N36" s="34" t="e">
        <f t="shared" si="19"/>
        <v>#DIV/0!</v>
      </c>
      <c r="O36" s="30" t="e">
        <f t="shared" si="20"/>
        <v>#DIV/0!</v>
      </c>
      <c r="P36" s="30" t="e">
        <f t="shared" si="21"/>
        <v>#DIV/0!</v>
      </c>
      <c r="Q36">
        <f t="shared" si="17"/>
        <v>0</v>
      </c>
      <c r="S36">
        <f t="shared" si="22"/>
        <v>0</v>
      </c>
      <c r="U36">
        <f>5.1*0.7773</f>
        <v>3.9642299999999997</v>
      </c>
      <c r="Y36">
        <f t="shared" si="11"/>
        <v>0</v>
      </c>
      <c r="AA36" s="30"/>
      <c r="AE36" s="1" t="s">
        <v>369</v>
      </c>
      <c r="AF36" s="68" t="e">
        <v>#DIV/0!</v>
      </c>
      <c r="AG36" s="68"/>
      <c r="AH36" s="68"/>
      <c r="AI36" s="65">
        <f>AI7/$W7</f>
        <v>5.1115241635687729</v>
      </c>
      <c r="AJ36" s="38"/>
    </row>
    <row r="37" spans="1:43" x14ac:dyDescent="0.2">
      <c r="A37" s="1" t="s">
        <v>165</v>
      </c>
      <c r="B37" s="33">
        <f>means!B58</f>
        <v>21.016666666666669</v>
      </c>
      <c r="C37" s="33">
        <f>means!M58</f>
        <v>15.30457363425926</v>
      </c>
      <c r="D37" s="33">
        <f>means!L58</f>
        <v>15.184271460261957</v>
      </c>
      <c r="E37" s="33">
        <f>means!C58</f>
        <v>22.653990162281385</v>
      </c>
      <c r="F37" s="33">
        <f>means!EQ58</f>
        <v>15.729349326022392</v>
      </c>
      <c r="G37" s="33">
        <f>means!AQ58</f>
        <v>13.853951687643876</v>
      </c>
      <c r="H37" s="33">
        <f>means!AJ58</f>
        <v>13.882872547865375</v>
      </c>
      <c r="I37" s="33">
        <f>means!AI58</f>
        <v>20.437961514437006</v>
      </c>
      <c r="J37">
        <f t="shared" ref="J37:M38" si="27">F37*100/F$15</f>
        <v>15.820734203970197</v>
      </c>
      <c r="K37">
        <f t="shared" si="27"/>
        <v>13.887507950018088</v>
      </c>
      <c r="L37">
        <f t="shared" si="27"/>
        <v>14.285802921291177</v>
      </c>
      <c r="M37">
        <f t="shared" si="27"/>
        <v>20.591344798578522</v>
      </c>
      <c r="N37" s="72">
        <f t="shared" si="19"/>
        <v>17.257954624929738</v>
      </c>
      <c r="O37" s="33">
        <f t="shared" si="20"/>
        <v>3.5211294433205804</v>
      </c>
      <c r="P37" s="33">
        <f t="shared" si="21"/>
        <v>2.8707612742948196</v>
      </c>
      <c r="Q37">
        <f t="shared" si="17"/>
        <v>8</v>
      </c>
      <c r="S37">
        <f t="shared" si="22"/>
        <v>8</v>
      </c>
      <c r="V37">
        <v>502</v>
      </c>
      <c r="W37">
        <v>1</v>
      </c>
      <c r="X37">
        <f t="shared" si="10"/>
        <v>502</v>
      </c>
      <c r="Y37">
        <f t="shared" si="11"/>
        <v>682.72</v>
      </c>
      <c r="Z37">
        <f t="shared" ref="Z37:Z63" si="28">(N37-Y37*Z$1)/(1-Z$1)</f>
        <v>9.8274175941469846</v>
      </c>
      <c r="AA37" s="30">
        <f t="shared" ref="AA37:AA63" si="29">Z37/N37</f>
        <v>0.56944277625755979</v>
      </c>
      <c r="AB37" s="181">
        <v>9.6</v>
      </c>
      <c r="AC37" s="30">
        <f>Z37/AB37</f>
        <v>1.0236893327236443</v>
      </c>
      <c r="AE37" t="s">
        <v>165</v>
      </c>
      <c r="AF37" s="31">
        <v>17.280895792155277</v>
      </c>
      <c r="AG37" s="31">
        <v>4.4114010117173574</v>
      </c>
      <c r="AH37" s="31">
        <v>9.1699193546330573</v>
      </c>
      <c r="AI37">
        <v>15</v>
      </c>
      <c r="AJ37" s="38">
        <f>AH37/X37</f>
        <v>1.8266771622775013E-2</v>
      </c>
      <c r="AN37" s="30">
        <f>(means!D58-FUpCr!AN$18*FUpCr!$Y37)/(1-AN$18)</f>
        <v>13.02360862886434</v>
      </c>
      <c r="AO37" s="30">
        <f>(means!K58-FUpCr!AO$18*FUpCr!$Y37)/(1-AO$18)</f>
        <v>10.846371845806695</v>
      </c>
      <c r="AP37">
        <f>AO37/AN37</f>
        <v>0.83282384743716764</v>
      </c>
    </row>
    <row r="38" spans="1:43" x14ac:dyDescent="0.2">
      <c r="A38" s="1" t="s">
        <v>166</v>
      </c>
      <c r="B38" s="31">
        <f>means!B59</f>
        <v>201.16060124295419</v>
      </c>
      <c r="C38" s="31">
        <f>means!M59</f>
        <v>132.20166686799337</v>
      </c>
      <c r="D38" s="31">
        <f>means!L59</f>
        <v>151.53160928801051</v>
      </c>
      <c r="E38" s="31">
        <f>means!C59</f>
        <v>307.72019223086733</v>
      </c>
      <c r="F38" s="31">
        <f>means!EQ59</f>
        <v>146.61402787297234</v>
      </c>
      <c r="G38" s="31">
        <f>means!AQ59</f>
        <v>157.06613052707107</v>
      </c>
      <c r="H38" s="31">
        <f>means!AJ59</f>
        <v>129.25024650115523</v>
      </c>
      <c r="I38" s="31">
        <f>means!AI59</f>
        <v>239.88957698616056</v>
      </c>
      <c r="J38">
        <f t="shared" si="27"/>
        <v>147.46583075209344</v>
      </c>
      <c r="K38">
        <f t="shared" si="27"/>
        <v>157.44656727211685</v>
      </c>
      <c r="L38">
        <f t="shared" si="27"/>
        <v>133.00154868364879</v>
      </c>
      <c r="M38">
        <f t="shared" si="27"/>
        <v>241.68990580679491</v>
      </c>
      <c r="N38" s="35">
        <f t="shared" si="19"/>
        <v>183.17925643964807</v>
      </c>
      <c r="O38" s="31">
        <f t="shared" si="20"/>
        <v>62.766428142020764</v>
      </c>
      <c r="P38" s="31">
        <f t="shared" si="21"/>
        <v>51.173191481991374</v>
      </c>
      <c r="Q38">
        <f t="shared" si="17"/>
        <v>8</v>
      </c>
      <c r="S38">
        <f t="shared" si="22"/>
        <v>8</v>
      </c>
      <c r="V38">
        <v>11000</v>
      </c>
      <c r="W38">
        <v>1</v>
      </c>
      <c r="X38">
        <f t="shared" si="10"/>
        <v>11000</v>
      </c>
      <c r="Y38">
        <f t="shared" si="11"/>
        <v>14960.000000000002</v>
      </c>
      <c r="Z38">
        <f t="shared" si="28"/>
        <v>18.18154620903951</v>
      </c>
      <c r="AA38" s="30">
        <f t="shared" si="29"/>
        <v>9.9255486469505189E-2</v>
      </c>
      <c r="AB38" s="181">
        <v>5</v>
      </c>
      <c r="AC38" s="30">
        <f>Z38/AB38</f>
        <v>3.6363092418079019</v>
      </c>
      <c r="AE38" t="s">
        <v>166</v>
      </c>
      <c r="AF38" s="31">
        <v>183.38580403806142</v>
      </c>
      <c r="AG38" s="31">
        <v>89.518607216958159</v>
      </c>
      <c r="AH38" s="31">
        <v>-1.5573041619977614</v>
      </c>
      <c r="AI38">
        <v>100</v>
      </c>
      <c r="AJ38" s="38">
        <f>AH38/X38</f>
        <v>-1.4157310563616012E-4</v>
      </c>
      <c r="AN38" s="30">
        <f>(means!D59-FUpCr!AN$18*FUpCr!$Y38)/(1-AN$18)</f>
        <v>25.224777835736596</v>
      </c>
      <c r="AO38" s="30">
        <f>(means!K59-FUpCr!AO$18*FUpCr!$Y38)/(1-AO$18)</f>
        <v>-47.298277422734813</v>
      </c>
    </row>
    <row r="39" spans="1:43" x14ac:dyDescent="0.2">
      <c r="A39" s="1" t="s">
        <v>262</v>
      </c>
      <c r="B39" s="50"/>
      <c r="C39" s="50"/>
      <c r="D39" s="50"/>
      <c r="E39" s="50"/>
      <c r="F39" s="38"/>
      <c r="G39" s="38"/>
      <c r="H39" s="38"/>
      <c r="I39" s="39"/>
      <c r="N39" s="34" t="e">
        <f t="shared" si="19"/>
        <v>#DIV/0!</v>
      </c>
      <c r="O39" s="30" t="e">
        <f t="shared" si="20"/>
        <v>#DIV/0!</v>
      </c>
      <c r="P39" s="30" t="e">
        <f t="shared" si="21"/>
        <v>#DIV/0!</v>
      </c>
      <c r="Q39">
        <f t="shared" si="17"/>
        <v>0</v>
      </c>
      <c r="S39">
        <f t="shared" si="22"/>
        <v>0</v>
      </c>
      <c r="V39">
        <v>312</v>
      </c>
      <c r="W39">
        <v>1</v>
      </c>
      <c r="X39">
        <f t="shared" si="10"/>
        <v>312</v>
      </c>
      <c r="Y39">
        <f t="shared" si="11"/>
        <v>424.32000000000005</v>
      </c>
      <c r="Z39" t="e">
        <f t="shared" si="28"/>
        <v>#DIV/0!</v>
      </c>
      <c r="AA39" s="30" t="e">
        <f t="shared" si="29"/>
        <v>#DIV/0!</v>
      </c>
      <c r="AE39" t="s">
        <v>262</v>
      </c>
      <c r="AF39" s="31" t="e">
        <v>#DIV/0!</v>
      </c>
      <c r="AG39" s="31">
        <v>11.843275738947396</v>
      </c>
      <c r="AH39" s="31">
        <v>9.7983714771638439</v>
      </c>
      <c r="AJ39" s="38">
        <f>AH39/X39</f>
        <v>3.1405036785781548E-2</v>
      </c>
    </row>
    <row r="40" spans="1:43" x14ac:dyDescent="0.2">
      <c r="A40" s="60" t="s">
        <v>306</v>
      </c>
      <c r="F40"/>
      <c r="G40"/>
      <c r="H40"/>
      <c r="N40" s="34" t="e">
        <f t="shared" si="19"/>
        <v>#DIV/0!</v>
      </c>
      <c r="O40" s="30" t="e">
        <f t="shared" si="20"/>
        <v>#DIV/0!</v>
      </c>
      <c r="P40" s="30" t="e">
        <f t="shared" si="21"/>
        <v>#DIV/0!</v>
      </c>
      <c r="Q40">
        <f t="shared" si="17"/>
        <v>0</v>
      </c>
      <c r="S40">
        <f t="shared" si="22"/>
        <v>0</v>
      </c>
      <c r="V40">
        <v>10</v>
      </c>
      <c r="W40">
        <v>1</v>
      </c>
      <c r="X40">
        <f t="shared" si="10"/>
        <v>10</v>
      </c>
      <c r="Y40">
        <f t="shared" si="11"/>
        <v>13.600000000000001</v>
      </c>
      <c r="Z40" t="e">
        <f t="shared" si="28"/>
        <v>#DIV/0!</v>
      </c>
      <c r="AA40" s="30" t="e">
        <f t="shared" si="29"/>
        <v>#DIV/0!</v>
      </c>
      <c r="AE40" t="s">
        <v>306</v>
      </c>
      <c r="AF40" s="33" t="e">
        <v>#DIV/0!</v>
      </c>
      <c r="AG40" s="33">
        <v>0.69126821057224386</v>
      </c>
      <c r="AH40" s="33">
        <v>3.518695328189839</v>
      </c>
      <c r="AJ40" s="38">
        <f>AH40/X40</f>
        <v>0.35186953281898392</v>
      </c>
    </row>
    <row r="41" spans="1:43" x14ac:dyDescent="0.2">
      <c r="A41" s="1" t="s">
        <v>332</v>
      </c>
      <c r="F41"/>
      <c r="G41"/>
      <c r="H41"/>
      <c r="N41" s="34" t="e">
        <f t="shared" si="19"/>
        <v>#DIV/0!</v>
      </c>
      <c r="O41" s="30" t="e">
        <f t="shared" si="20"/>
        <v>#DIV/0!</v>
      </c>
      <c r="P41" s="30" t="e">
        <f t="shared" si="21"/>
        <v>#DIV/0!</v>
      </c>
      <c r="Q41">
        <f t="shared" si="17"/>
        <v>0</v>
      </c>
      <c r="S41">
        <f t="shared" si="22"/>
        <v>0</v>
      </c>
      <c r="V41">
        <v>32.700000000000003</v>
      </c>
      <c r="W41">
        <v>1</v>
      </c>
      <c r="X41">
        <f t="shared" si="10"/>
        <v>32.700000000000003</v>
      </c>
      <c r="Y41">
        <f t="shared" si="11"/>
        <v>44.472000000000008</v>
      </c>
      <c r="Z41" t="e">
        <f t="shared" si="28"/>
        <v>#DIV/0!</v>
      </c>
      <c r="AA41" s="30" t="e">
        <f t="shared" si="29"/>
        <v>#DIV/0!</v>
      </c>
      <c r="AE41" t="s">
        <v>332</v>
      </c>
      <c r="AF41" s="33" t="e">
        <v>#DIV/0!</v>
      </c>
      <c r="AG41" s="33">
        <v>0.51150715874459629</v>
      </c>
      <c r="AH41" s="41">
        <v>-0.16803070713683224</v>
      </c>
      <c r="AJ41" s="38"/>
    </row>
    <row r="42" spans="1:43" x14ac:dyDescent="0.2">
      <c r="A42" s="61" t="s">
        <v>307</v>
      </c>
      <c r="F42"/>
      <c r="G42"/>
      <c r="H42"/>
      <c r="N42" s="34" t="e">
        <f t="shared" si="19"/>
        <v>#DIV/0!</v>
      </c>
      <c r="O42" s="30" t="e">
        <f t="shared" si="20"/>
        <v>#DIV/0!</v>
      </c>
      <c r="P42" s="30" t="e">
        <f t="shared" si="21"/>
        <v>#DIV/0!</v>
      </c>
      <c r="Q42">
        <f t="shared" si="17"/>
        <v>0</v>
      </c>
      <c r="S42">
        <f t="shared" si="22"/>
        <v>0</v>
      </c>
      <c r="V42">
        <v>1.86</v>
      </c>
      <c r="W42">
        <v>1</v>
      </c>
      <c r="X42">
        <f t="shared" si="10"/>
        <v>1.86</v>
      </c>
      <c r="Y42">
        <f t="shared" si="11"/>
        <v>2.5296000000000003</v>
      </c>
      <c r="Z42" t="e">
        <f t="shared" si="28"/>
        <v>#DIV/0!</v>
      </c>
      <c r="AA42" s="30" t="e">
        <f t="shared" si="29"/>
        <v>#DIV/0!</v>
      </c>
      <c r="AE42" t="s">
        <v>307</v>
      </c>
      <c r="AF42" s="30" t="e">
        <v>#DIV/0!</v>
      </c>
      <c r="AG42" s="30">
        <v>7.4547954248801715E-2</v>
      </c>
      <c r="AH42" s="41">
        <v>3.2375935524930392E-2</v>
      </c>
      <c r="AJ42" s="38"/>
    </row>
    <row r="43" spans="1:43" x14ac:dyDescent="0.2">
      <c r="A43" s="61" t="s">
        <v>308</v>
      </c>
      <c r="F43"/>
      <c r="G43"/>
      <c r="H43"/>
      <c r="N43" s="34" t="e">
        <f t="shared" si="19"/>
        <v>#DIV/0!</v>
      </c>
      <c r="O43" s="30" t="e">
        <f t="shared" si="20"/>
        <v>#DIV/0!</v>
      </c>
      <c r="P43" s="30" t="e">
        <f t="shared" si="21"/>
        <v>#DIV/0!</v>
      </c>
      <c r="Q43">
        <f t="shared" si="17"/>
        <v>0</v>
      </c>
      <c r="S43">
        <f t="shared" si="22"/>
        <v>0</v>
      </c>
      <c r="V43">
        <v>18.600000000000001</v>
      </c>
      <c r="W43">
        <v>1</v>
      </c>
      <c r="X43">
        <f t="shared" si="10"/>
        <v>18.600000000000001</v>
      </c>
      <c r="Y43">
        <f t="shared" si="11"/>
        <v>25.296000000000003</v>
      </c>
      <c r="Z43" t="e">
        <f t="shared" si="28"/>
        <v>#DIV/0!</v>
      </c>
      <c r="AA43" s="30" t="e">
        <f t="shared" si="29"/>
        <v>#DIV/0!</v>
      </c>
      <c r="AE43" t="s">
        <v>308</v>
      </c>
      <c r="AF43" s="30" t="e">
        <v>#DIV/0!</v>
      </c>
      <c r="AG43" s="30">
        <v>0.13477544982040629</v>
      </c>
      <c r="AH43" s="41">
        <v>-0.10696762344590406</v>
      </c>
      <c r="AJ43" s="38"/>
    </row>
    <row r="44" spans="1:43" x14ac:dyDescent="0.2">
      <c r="A44" s="61" t="s">
        <v>309</v>
      </c>
      <c r="F44"/>
      <c r="G44"/>
      <c r="H44"/>
      <c r="N44" s="34" t="e">
        <f t="shared" si="19"/>
        <v>#DIV/0!</v>
      </c>
      <c r="O44" s="30" t="e">
        <f t="shared" si="20"/>
        <v>#DIV/0!</v>
      </c>
      <c r="P44" s="30" t="e">
        <f t="shared" si="21"/>
        <v>#DIV/0!</v>
      </c>
      <c r="Q44">
        <f t="shared" si="17"/>
        <v>0</v>
      </c>
      <c r="S44">
        <f t="shared" si="22"/>
        <v>0</v>
      </c>
      <c r="V44">
        <v>3.57</v>
      </c>
      <c r="W44">
        <v>1</v>
      </c>
      <c r="X44">
        <f t="shared" si="10"/>
        <v>3.57</v>
      </c>
      <c r="Y44">
        <f t="shared" si="11"/>
        <v>4.8552</v>
      </c>
      <c r="Z44" t="e">
        <f t="shared" si="28"/>
        <v>#DIV/0!</v>
      </c>
      <c r="AA44" s="30" t="e">
        <f t="shared" si="29"/>
        <v>#DIV/0!</v>
      </c>
      <c r="AE44" t="s">
        <v>309</v>
      </c>
      <c r="AF44" s="30" t="e">
        <v>#DIV/0!</v>
      </c>
      <c r="AG44" s="30">
        <v>1.7573530284682594E-2</v>
      </c>
      <c r="AH44" s="41">
        <v>3.8871324786454213E-2</v>
      </c>
      <c r="AJ44" s="38"/>
    </row>
    <row r="45" spans="1:43" x14ac:dyDescent="0.2">
      <c r="A45" s="1" t="s">
        <v>263</v>
      </c>
      <c r="B45" s="33">
        <f>means!B60</f>
        <v>0.5575</v>
      </c>
      <c r="C45" s="33">
        <f>means!M60</f>
        <v>0.36333333333333329</v>
      </c>
      <c r="D45" s="33">
        <f>means!L60</f>
        <v>0.98666666666666658</v>
      </c>
      <c r="E45" s="33">
        <f>means!C60</f>
        <v>1.4386986201888163</v>
      </c>
      <c r="F45" s="132">
        <f>F11*$N98</f>
        <v>0</v>
      </c>
      <c r="G45" s="132">
        <f>G11*$N98</f>
        <v>0</v>
      </c>
      <c r="H45" s="132">
        <f>H11*$N98</f>
        <v>0</v>
      </c>
      <c r="I45" s="132">
        <f>I11*$N98</f>
        <v>0</v>
      </c>
      <c r="J45">
        <f t="shared" ref="J45:M48" si="30">F45*100/F$15</f>
        <v>0</v>
      </c>
      <c r="K45">
        <f t="shared" si="30"/>
        <v>0</v>
      </c>
      <c r="L45">
        <f t="shared" si="30"/>
        <v>0</v>
      </c>
      <c r="M45">
        <f t="shared" si="30"/>
        <v>0</v>
      </c>
      <c r="N45" s="72">
        <f t="shared" si="19"/>
        <v>0.41827482752360201</v>
      </c>
      <c r="O45" s="30">
        <f t="shared" si="20"/>
        <v>0.54596592531510268</v>
      </c>
      <c r="P45" s="30">
        <f t="shared" si="21"/>
        <v>0.7579222104729505</v>
      </c>
      <c r="Q45">
        <f t="shared" si="17"/>
        <v>8</v>
      </c>
      <c r="R45">
        <v>4</v>
      </c>
      <c r="S45">
        <f t="shared" si="22"/>
        <v>4</v>
      </c>
      <c r="V45">
        <v>2.2999999999999998</v>
      </c>
      <c r="W45">
        <v>1</v>
      </c>
      <c r="X45">
        <f t="shared" si="10"/>
        <v>2.2999999999999998</v>
      </c>
      <c r="Y45">
        <f t="shared" si="11"/>
        <v>3.1280000000000001</v>
      </c>
      <c r="Z45">
        <f t="shared" si="28"/>
        <v>0.38801808579465535</v>
      </c>
      <c r="AA45" s="30">
        <f t="shared" si="29"/>
        <v>0.92766301068586454</v>
      </c>
      <c r="AB45" s="181">
        <v>0.79</v>
      </c>
      <c r="AC45" s="30">
        <f>Z45/AB45</f>
        <v>0.49116213391728525</v>
      </c>
      <c r="AE45" t="s">
        <v>263</v>
      </c>
      <c r="AF45" s="33">
        <v>0.72208264889960105</v>
      </c>
      <c r="AG45" s="33">
        <v>0.59149434734812623</v>
      </c>
      <c r="AH45" s="33">
        <v>0.78934895090700752</v>
      </c>
      <c r="AI45">
        <v>1.7</v>
      </c>
      <c r="AJ45" s="38">
        <f>AH45/X45</f>
        <v>0.34319519604652504</v>
      </c>
      <c r="AK45" s="33">
        <f>AI45/AH45</f>
        <v>2.1536736041095663</v>
      </c>
    </row>
    <row r="46" spans="1:43" x14ac:dyDescent="0.2">
      <c r="A46" s="1" t="s">
        <v>167</v>
      </c>
      <c r="B46" s="31">
        <f>means!B61</f>
        <v>135.12073035602447</v>
      </c>
      <c r="C46" s="31">
        <f>means!M61</f>
        <v>160.86198452983271</v>
      </c>
      <c r="D46" s="31">
        <f>means!L61</f>
        <v>154.71718284629287</v>
      </c>
      <c r="E46" s="31">
        <f>means!C61</f>
        <v>152.37044624505791</v>
      </c>
      <c r="F46" s="126">
        <f>F66*nonmare!$C$657+nonmare!$C$658</f>
        <v>154.84472859183671</v>
      </c>
      <c r="G46" s="126">
        <f>G66*nonmare!$C$657+nonmare!$C$658</f>
        <v>147.44928688947937</v>
      </c>
      <c r="H46" s="126">
        <f>H66*nonmare!$C$657+nonmare!$C$658</f>
        <v>157.22900551036105</v>
      </c>
      <c r="I46" s="126">
        <f>I66*nonmare!$C$657+nonmare!$C$658</f>
        <v>146.17276133398431</v>
      </c>
      <c r="J46">
        <f t="shared" si="30"/>
        <v>155.74435045984467</v>
      </c>
      <c r="K46">
        <f t="shared" si="30"/>
        <v>147.80643025689611</v>
      </c>
      <c r="L46">
        <f t="shared" si="30"/>
        <v>161.79235086163695</v>
      </c>
      <c r="M46">
        <f t="shared" si="30"/>
        <v>147.26976203875631</v>
      </c>
      <c r="N46" s="35">
        <f t="shared" si="19"/>
        <v>151.09576578785865</v>
      </c>
      <c r="O46" s="31">
        <f t="shared" si="20"/>
        <v>8.0580429221990144</v>
      </c>
      <c r="P46" s="31">
        <f t="shared" si="21"/>
        <v>11.186356914406588</v>
      </c>
      <c r="Q46">
        <f t="shared" si="17"/>
        <v>8</v>
      </c>
      <c r="R46">
        <v>4</v>
      </c>
      <c r="S46">
        <f t="shared" si="22"/>
        <v>4</v>
      </c>
      <c r="V46">
        <v>7.8</v>
      </c>
      <c r="W46">
        <v>1</v>
      </c>
      <c r="X46">
        <f t="shared" si="10"/>
        <v>7.8</v>
      </c>
      <c r="Y46">
        <f t="shared" si="11"/>
        <v>10.608000000000001</v>
      </c>
      <c r="Z46">
        <f t="shared" si="28"/>
        <v>152.66444961184783</v>
      </c>
      <c r="AA46" s="30">
        <f t="shared" si="29"/>
        <v>1.0103820501905503</v>
      </c>
      <c r="AB46" s="181">
        <v>156</v>
      </c>
      <c r="AC46" s="30">
        <f>Z46/AB46</f>
        <v>0.97861826674261432</v>
      </c>
      <c r="AE46" t="s">
        <v>167</v>
      </c>
      <c r="AF46" s="31">
        <v>152.74792186145379</v>
      </c>
      <c r="AG46" s="31">
        <v>16.740616692497767</v>
      </c>
      <c r="AH46" s="31">
        <v>153.42581632750043</v>
      </c>
      <c r="AI46">
        <v>120</v>
      </c>
      <c r="AJ46" s="38">
        <f>AH46/X46</f>
        <v>19.669976452243645</v>
      </c>
      <c r="AK46" s="33">
        <f>AI46/AH46</f>
        <v>0.78213694978066672</v>
      </c>
    </row>
    <row r="47" spans="1:43" x14ac:dyDescent="0.2">
      <c r="A47" s="1" t="s">
        <v>316</v>
      </c>
      <c r="B47" s="33">
        <f>means!B62</f>
        <v>9.132600386805743</v>
      </c>
      <c r="C47" s="33">
        <f>means!M62</f>
        <v>5.9672356228668217</v>
      </c>
      <c r="D47" s="33">
        <f>means!L62</f>
        <v>10.226099390973742</v>
      </c>
      <c r="E47" s="33">
        <f>means!C62</f>
        <v>12.188117913772475</v>
      </c>
      <c r="F47" s="33">
        <f>means!EQ62</f>
        <v>12.43024274582366</v>
      </c>
      <c r="G47" s="33">
        <f>means!AQ62</f>
        <v>6.469145874252729</v>
      </c>
      <c r="H47" s="33">
        <f>means!AJ62</f>
        <v>7.5671009573708439</v>
      </c>
      <c r="I47" s="33">
        <f>means!AI62</f>
        <v>9.0303144286318737</v>
      </c>
      <c r="J47">
        <f t="shared" si="30"/>
        <v>12.502460368602842</v>
      </c>
      <c r="K47">
        <f t="shared" si="30"/>
        <v>6.4848150754444074</v>
      </c>
      <c r="L47">
        <f t="shared" si="30"/>
        <v>7.786725160070378</v>
      </c>
      <c r="M47">
        <f t="shared" si="30"/>
        <v>9.0980853402717496</v>
      </c>
      <c r="N47" s="34">
        <f t="shared" si="19"/>
        <v>9.1263571650622364</v>
      </c>
      <c r="O47" s="30">
        <f t="shared" si="20"/>
        <v>2.4195877938545762</v>
      </c>
      <c r="P47" s="30">
        <f t="shared" si="21"/>
        <v>1.9726792355022638</v>
      </c>
      <c r="Q47">
        <f t="shared" si="17"/>
        <v>8</v>
      </c>
      <c r="S47">
        <f t="shared" si="22"/>
        <v>8</v>
      </c>
      <c r="V47">
        <v>1.56</v>
      </c>
      <c r="W47">
        <v>1</v>
      </c>
      <c r="X47">
        <f t="shared" si="10"/>
        <v>1.56</v>
      </c>
      <c r="Y47">
        <f t="shared" si="11"/>
        <v>2.1216000000000004</v>
      </c>
      <c r="Z47">
        <f t="shared" si="28"/>
        <v>9.2045721554863693</v>
      </c>
      <c r="AA47" s="30">
        <f t="shared" si="29"/>
        <v>1.0085702311458462</v>
      </c>
      <c r="AE47" t="s">
        <v>316</v>
      </c>
      <c r="AF47" s="31">
        <v>9.1498172044819555</v>
      </c>
      <c r="AG47" s="31">
        <v>2.810110939782076</v>
      </c>
      <c r="AH47" s="31">
        <v>9.2890064480885641</v>
      </c>
      <c r="AJ47" s="38">
        <f>AH47/X47</f>
        <v>5.9544913128772841</v>
      </c>
    </row>
    <row r="48" spans="1:43" x14ac:dyDescent="0.2">
      <c r="A48" s="1" t="s">
        <v>168</v>
      </c>
      <c r="B48" s="31">
        <f>means!B63</f>
        <v>30.996537071831188</v>
      </c>
      <c r="C48" s="31">
        <f>means!M63</f>
        <v>22.599545893719807</v>
      </c>
      <c r="D48" s="31">
        <f>means!L63</f>
        <v>36.079880274257356</v>
      </c>
      <c r="E48" s="31">
        <f>means!C63</f>
        <v>42.926973174193847</v>
      </c>
      <c r="F48" s="31">
        <f>means!EQ63</f>
        <v>51.968471555860184</v>
      </c>
      <c r="G48" s="31">
        <f>means!AQ63</f>
        <v>20.770307034589973</v>
      </c>
      <c r="H48" s="31">
        <f>means!AJ63</f>
        <v>28.58392003061029</v>
      </c>
      <c r="I48" s="31">
        <f>means!AI63</f>
        <v>33.230096820929738</v>
      </c>
      <c r="J48">
        <f t="shared" si="30"/>
        <v>52.270399647851207</v>
      </c>
      <c r="K48">
        <f t="shared" si="30"/>
        <v>20.820615703781254</v>
      </c>
      <c r="L48">
        <f t="shared" si="30"/>
        <v>29.413527126130152</v>
      </c>
      <c r="M48">
        <f t="shared" si="30"/>
        <v>33.479482816648265</v>
      </c>
      <c r="N48" s="35">
        <f t="shared" si="19"/>
        <v>33.394466481999046</v>
      </c>
      <c r="O48" s="31">
        <f t="shared" si="20"/>
        <v>10.336426211770746</v>
      </c>
      <c r="P48" s="31">
        <f t="shared" si="21"/>
        <v>8.4272426109316854</v>
      </c>
      <c r="Q48">
        <f t="shared" si="17"/>
        <v>8</v>
      </c>
      <c r="S48">
        <f t="shared" si="22"/>
        <v>8</v>
      </c>
      <c r="V48">
        <v>3.94</v>
      </c>
      <c r="W48">
        <v>1</v>
      </c>
      <c r="X48">
        <f t="shared" si="10"/>
        <v>3.94</v>
      </c>
      <c r="Y48">
        <f t="shared" si="11"/>
        <v>5.3584000000000005</v>
      </c>
      <c r="Z48">
        <f t="shared" si="28"/>
        <v>33.707516687701712</v>
      </c>
      <c r="AA48" s="30">
        <f t="shared" si="29"/>
        <v>1.0093743137316302</v>
      </c>
      <c r="AE48" t="s">
        <v>168</v>
      </c>
      <c r="AF48" s="31">
        <v>35.113309488265877</v>
      </c>
      <c r="AG48" s="31">
        <v>17.134653618372795</v>
      </c>
      <c r="AH48" s="31">
        <v>35.851555759675577</v>
      </c>
      <c r="AJ48" s="38">
        <f>AH48/X48</f>
        <v>9.0993796344354259</v>
      </c>
    </row>
    <row r="49" spans="1:57" x14ac:dyDescent="0.2">
      <c r="A49" s="61" t="s">
        <v>317</v>
      </c>
      <c r="F49"/>
      <c r="G49"/>
      <c r="H49"/>
      <c r="N49" s="34" t="e">
        <f t="shared" si="19"/>
        <v>#DIV/0!</v>
      </c>
      <c r="O49" s="30" t="e">
        <f t="shared" si="20"/>
        <v>#DIV/0!</v>
      </c>
      <c r="P49" s="30" t="e">
        <f t="shared" si="21"/>
        <v>#DIV/0!</v>
      </c>
      <c r="Q49">
        <f t="shared" si="17"/>
        <v>0</v>
      </c>
      <c r="S49">
        <f t="shared" si="22"/>
        <v>0</v>
      </c>
      <c r="V49">
        <v>0.246</v>
      </c>
      <c r="W49">
        <v>1</v>
      </c>
      <c r="X49">
        <f t="shared" si="10"/>
        <v>0.246</v>
      </c>
      <c r="Y49">
        <f t="shared" si="11"/>
        <v>0.33456000000000002</v>
      </c>
      <c r="Z49" t="e">
        <f t="shared" si="28"/>
        <v>#DIV/0!</v>
      </c>
      <c r="AA49" s="30" t="e">
        <f t="shared" si="29"/>
        <v>#DIV/0!</v>
      </c>
      <c r="AE49" t="s">
        <v>317</v>
      </c>
      <c r="AF49" s="31" t="e">
        <v>#DIV/0!</v>
      </c>
      <c r="AG49" s="31">
        <v>2.1450572593554691</v>
      </c>
      <c r="AH49" s="31">
        <v>2.186956382310139</v>
      </c>
      <c r="AJ49" s="38">
        <f>AH49/X49</f>
        <v>8.8900665947566626</v>
      </c>
    </row>
    <row r="50" spans="1:57" x14ac:dyDescent="0.2">
      <c r="A50" s="61" t="s">
        <v>312</v>
      </c>
      <c r="F50"/>
      <c r="G50"/>
      <c r="H50"/>
      <c r="N50" s="34" t="e">
        <f t="shared" si="19"/>
        <v>#DIV/0!</v>
      </c>
      <c r="O50" s="30" t="e">
        <f t="shared" si="20"/>
        <v>#DIV/0!</v>
      </c>
      <c r="P50" s="30" t="e">
        <f t="shared" si="21"/>
        <v>#DIV/0!</v>
      </c>
      <c r="Q50">
        <f t="shared" si="17"/>
        <v>0</v>
      </c>
      <c r="S50">
        <f t="shared" si="22"/>
        <v>0</v>
      </c>
      <c r="V50">
        <v>0.92800000000000005</v>
      </c>
      <c r="W50">
        <v>1</v>
      </c>
      <c r="X50">
        <f t="shared" si="10"/>
        <v>0.92800000000000005</v>
      </c>
      <c r="Y50">
        <f t="shared" si="11"/>
        <v>1.2620800000000001</v>
      </c>
      <c r="Z50" t="e">
        <f t="shared" si="28"/>
        <v>#DIV/0!</v>
      </c>
      <c r="AA50" s="30" t="e">
        <f t="shared" si="29"/>
        <v>#DIV/0!</v>
      </c>
      <c r="AE50" t="s">
        <v>312</v>
      </c>
      <c r="AF50" s="68" t="e">
        <v>#DIV/0!</v>
      </c>
      <c r="AG50" s="64" t="e">
        <v>#DIV/0!</v>
      </c>
      <c r="AH50" s="41">
        <v>0.90018965692801101</v>
      </c>
      <c r="AJ50" s="38"/>
    </row>
    <row r="51" spans="1:57" x14ac:dyDescent="0.2">
      <c r="A51" s="61" t="s">
        <v>324</v>
      </c>
      <c r="F51"/>
      <c r="G51"/>
      <c r="H51"/>
      <c r="N51" s="34" t="e">
        <f t="shared" si="19"/>
        <v>#DIV/0!</v>
      </c>
      <c r="O51" s="30" t="e">
        <f t="shared" si="20"/>
        <v>#DIV/0!</v>
      </c>
      <c r="P51" s="30" t="e">
        <f t="shared" si="21"/>
        <v>#DIV/0!</v>
      </c>
      <c r="Q51">
        <f t="shared" si="17"/>
        <v>0</v>
      </c>
      <c r="S51">
        <f t="shared" si="22"/>
        <v>0</v>
      </c>
      <c r="V51">
        <v>0.19900000000000001</v>
      </c>
      <c r="W51">
        <v>1</v>
      </c>
      <c r="X51">
        <f t="shared" si="10"/>
        <v>0.19900000000000001</v>
      </c>
      <c r="Y51">
        <f t="shared" si="11"/>
        <v>0.27064000000000005</v>
      </c>
      <c r="Z51" t="e">
        <f t="shared" si="28"/>
        <v>#DIV/0!</v>
      </c>
      <c r="AA51" s="30" t="e">
        <f t="shared" si="29"/>
        <v>#DIV/0!</v>
      </c>
      <c r="AE51" t="s">
        <v>324</v>
      </c>
      <c r="AF51" s="29" t="e">
        <v>#DIV/0!</v>
      </c>
      <c r="AG51" s="64" t="e">
        <v>#DIV/0!</v>
      </c>
      <c r="AH51" s="29">
        <v>-1.489160412019614E-3</v>
      </c>
      <c r="AJ51" s="38"/>
    </row>
    <row r="52" spans="1:57" x14ac:dyDescent="0.2">
      <c r="A52" s="61" t="s">
        <v>333</v>
      </c>
      <c r="F52"/>
      <c r="G52"/>
      <c r="H52"/>
      <c r="N52" s="34" t="e">
        <f t="shared" si="19"/>
        <v>#DIV/0!</v>
      </c>
      <c r="O52" s="30" t="e">
        <f t="shared" si="20"/>
        <v>#DIV/0!</v>
      </c>
      <c r="P52" s="30" t="e">
        <f t="shared" si="21"/>
        <v>#DIV/0!</v>
      </c>
      <c r="Q52">
        <f t="shared" si="17"/>
        <v>0</v>
      </c>
      <c r="S52">
        <f t="shared" si="22"/>
        <v>0</v>
      </c>
      <c r="V52">
        <v>0.68600000000000005</v>
      </c>
      <c r="W52">
        <v>1</v>
      </c>
      <c r="X52">
        <f t="shared" si="10"/>
        <v>0.68600000000000005</v>
      </c>
      <c r="Y52">
        <f t="shared" si="11"/>
        <v>0.93296000000000012</v>
      </c>
      <c r="Z52" t="e">
        <f t="shared" si="28"/>
        <v>#DIV/0!</v>
      </c>
      <c r="AA52" s="30" t="e">
        <f t="shared" si="29"/>
        <v>#DIV/0!</v>
      </c>
      <c r="AE52" t="s">
        <v>333</v>
      </c>
      <c r="AF52" s="32" t="e">
        <v>#DIV/0!</v>
      </c>
      <c r="AG52" s="32">
        <v>6.5281164094738928E-3</v>
      </c>
      <c r="AH52" s="29">
        <v>2.2265432567259795E-3</v>
      </c>
      <c r="AJ52" s="38"/>
    </row>
    <row r="53" spans="1:57" x14ac:dyDescent="0.2">
      <c r="A53" s="61" t="s">
        <v>345</v>
      </c>
      <c r="F53"/>
      <c r="G53"/>
      <c r="H53"/>
      <c r="N53" s="34" t="e">
        <f t="shared" si="19"/>
        <v>#DIV/0!</v>
      </c>
      <c r="O53" s="30" t="e">
        <f t="shared" si="20"/>
        <v>#DIV/0!</v>
      </c>
      <c r="P53" s="30" t="e">
        <f t="shared" si="21"/>
        <v>#DIV/0!</v>
      </c>
      <c r="Q53">
        <f t="shared" si="17"/>
        <v>0</v>
      </c>
      <c r="S53">
        <f t="shared" si="22"/>
        <v>0</v>
      </c>
      <c r="V53">
        <v>0.08</v>
      </c>
      <c r="W53">
        <v>1</v>
      </c>
      <c r="X53">
        <f t="shared" si="10"/>
        <v>0.08</v>
      </c>
      <c r="Y53">
        <f t="shared" si="11"/>
        <v>0.10880000000000001</v>
      </c>
      <c r="Z53" t="e">
        <f t="shared" si="28"/>
        <v>#DIV/0!</v>
      </c>
      <c r="AA53" s="30" t="e">
        <f t="shared" si="29"/>
        <v>#DIV/0!</v>
      </c>
      <c r="AE53" t="s">
        <v>345</v>
      </c>
      <c r="AF53" s="41" t="e">
        <v>#DIV/0!</v>
      </c>
      <c r="AG53" s="64" t="e">
        <v>#DIV/0!</v>
      </c>
      <c r="AH53" s="29">
        <v>-5.6105222089571606E-5</v>
      </c>
      <c r="AJ53" s="38"/>
    </row>
    <row r="54" spans="1:57" x14ac:dyDescent="0.2">
      <c r="A54" s="61" t="s">
        <v>318</v>
      </c>
      <c r="F54"/>
      <c r="G54"/>
      <c r="H54"/>
      <c r="N54" s="34" t="e">
        <f t="shared" si="19"/>
        <v>#DIV/0!</v>
      </c>
      <c r="O54" s="30" t="e">
        <f t="shared" si="20"/>
        <v>#DIV/0!</v>
      </c>
      <c r="P54" s="30" t="e">
        <f t="shared" si="21"/>
        <v>#DIV/0!</v>
      </c>
      <c r="Q54">
        <f t="shared" si="17"/>
        <v>0</v>
      </c>
      <c r="S54">
        <f t="shared" si="22"/>
        <v>0</v>
      </c>
      <c r="V54">
        <v>1.72</v>
      </c>
      <c r="W54">
        <v>1</v>
      </c>
      <c r="X54">
        <f t="shared" si="10"/>
        <v>1.72</v>
      </c>
      <c r="Y54">
        <f t="shared" si="11"/>
        <v>2.3391999999999999</v>
      </c>
      <c r="Z54" t="e">
        <f t="shared" si="28"/>
        <v>#DIV/0!</v>
      </c>
      <c r="AA54" s="30" t="e">
        <f t="shared" si="29"/>
        <v>#DIV/0!</v>
      </c>
      <c r="AE54" t="s">
        <v>318</v>
      </c>
      <c r="AF54" s="68" t="e">
        <v>#DIV/0!</v>
      </c>
      <c r="AG54" s="108">
        <v>0.27967262212769151</v>
      </c>
      <c r="AH54" s="41">
        <v>0.22461390989708885</v>
      </c>
      <c r="AJ54" s="38"/>
    </row>
    <row r="55" spans="1:57" x14ac:dyDescent="0.2">
      <c r="A55" s="61" t="s">
        <v>319</v>
      </c>
      <c r="F55"/>
      <c r="G55"/>
      <c r="H55"/>
      <c r="N55" s="34" t="e">
        <f t="shared" si="19"/>
        <v>#DIV/0!</v>
      </c>
      <c r="O55" s="30" t="e">
        <f t="shared" si="20"/>
        <v>#DIV/0!</v>
      </c>
      <c r="P55" s="30" t="e">
        <f t="shared" si="21"/>
        <v>#DIV/0!</v>
      </c>
      <c r="Q55">
        <f t="shared" si="17"/>
        <v>0</v>
      </c>
      <c r="S55">
        <f t="shared" si="22"/>
        <v>0</v>
      </c>
      <c r="V55" s="32">
        <v>9.8499999999999994E-3</v>
      </c>
      <c r="W55">
        <v>1</v>
      </c>
      <c r="X55">
        <v>0.14199999999999999</v>
      </c>
      <c r="Y55">
        <f t="shared" si="11"/>
        <v>0.19311999999999999</v>
      </c>
      <c r="Z55" t="e">
        <f t="shared" si="28"/>
        <v>#DIV/0!</v>
      </c>
      <c r="AA55" s="30" t="e">
        <f t="shared" si="29"/>
        <v>#DIV/0!</v>
      </c>
      <c r="AE55" t="s">
        <v>319</v>
      </c>
      <c r="AF55" s="41" t="e">
        <v>#DIV/0!</v>
      </c>
      <c r="AG55" s="64">
        <v>3.6142308090347804E-2</v>
      </c>
      <c r="AH55" s="29">
        <v>7.4404245911921744E-3</v>
      </c>
      <c r="AJ55" s="38"/>
    </row>
    <row r="56" spans="1:57" x14ac:dyDescent="0.2">
      <c r="A56" s="61" t="s">
        <v>343</v>
      </c>
      <c r="N56" s="34" t="e">
        <f t="shared" si="19"/>
        <v>#DIV/0!</v>
      </c>
      <c r="O56" s="30" t="e">
        <f t="shared" si="20"/>
        <v>#DIV/0!</v>
      </c>
      <c r="P56" s="30" t="e">
        <f t="shared" si="21"/>
        <v>#DIV/0!</v>
      </c>
      <c r="Q56">
        <f t="shared" si="17"/>
        <v>0</v>
      </c>
      <c r="S56">
        <f t="shared" si="22"/>
        <v>0</v>
      </c>
      <c r="V56">
        <v>2.3199999999999998</v>
      </c>
      <c r="W56">
        <v>1</v>
      </c>
      <c r="X56">
        <f t="shared" si="10"/>
        <v>2.3199999999999998</v>
      </c>
      <c r="Y56">
        <f t="shared" si="11"/>
        <v>3.1552000000000002</v>
      </c>
      <c r="Z56" t="e">
        <f t="shared" si="28"/>
        <v>#DIV/0!</v>
      </c>
      <c r="AA56" s="30" t="e">
        <f t="shared" si="29"/>
        <v>#DIV/0!</v>
      </c>
      <c r="AE56" t="s">
        <v>343</v>
      </c>
      <c r="AF56" s="41" t="e">
        <v>#DIV/0!</v>
      </c>
      <c r="AG56" s="64" t="e">
        <v>#DIV/0!</v>
      </c>
      <c r="AH56" s="29">
        <v>-3.6399809714447631E-2</v>
      </c>
      <c r="AJ56" s="38"/>
    </row>
    <row r="57" spans="1:57" x14ac:dyDescent="0.2">
      <c r="A57" s="61" t="s">
        <v>337</v>
      </c>
      <c r="F57"/>
      <c r="G57"/>
      <c r="H57"/>
      <c r="N57" s="34" t="e">
        <f t="shared" si="19"/>
        <v>#DIV/0!</v>
      </c>
      <c r="O57" s="30" t="e">
        <f t="shared" si="20"/>
        <v>#DIV/0!</v>
      </c>
      <c r="P57" s="30" t="e">
        <f t="shared" si="21"/>
        <v>#DIV/0!</v>
      </c>
      <c r="Q57">
        <f t="shared" si="17"/>
        <v>0</v>
      </c>
      <c r="S57">
        <f t="shared" si="22"/>
        <v>0</v>
      </c>
      <c r="V57">
        <v>0.433</v>
      </c>
      <c r="W57">
        <v>1</v>
      </c>
      <c r="X57">
        <f t="shared" si="10"/>
        <v>0.433</v>
      </c>
      <c r="Y57">
        <f t="shared" si="11"/>
        <v>0.58888000000000007</v>
      </c>
      <c r="Z57" t="e">
        <f t="shared" si="28"/>
        <v>#DIV/0!</v>
      </c>
      <c r="AA57" s="30" t="e">
        <f t="shared" si="29"/>
        <v>#DIV/0!</v>
      </c>
      <c r="AE57" t="s">
        <v>337</v>
      </c>
      <c r="AF57" s="41" t="e">
        <v>#DIV/0!</v>
      </c>
      <c r="AG57" s="64" t="e">
        <v>#DIV/0!</v>
      </c>
      <c r="AH57" s="41">
        <v>1.9176534555314839</v>
      </c>
      <c r="AJ57" s="38"/>
    </row>
    <row r="58" spans="1:57" x14ac:dyDescent="0.2">
      <c r="A58" s="61" t="s">
        <v>264</v>
      </c>
      <c r="B58" s="31"/>
      <c r="C58" s="31"/>
      <c r="D58" s="31"/>
      <c r="E58" s="31"/>
      <c r="F58" s="31"/>
      <c r="G58" s="31"/>
      <c r="H58" s="31"/>
      <c r="I58" s="31"/>
      <c r="N58" s="34" t="e">
        <f t="shared" si="19"/>
        <v>#DIV/0!</v>
      </c>
      <c r="O58" s="30" t="e">
        <f t="shared" si="20"/>
        <v>#DIV/0!</v>
      </c>
      <c r="P58" s="30" t="e">
        <f t="shared" si="21"/>
        <v>#DIV/0!</v>
      </c>
      <c r="Q58">
        <f t="shared" si="17"/>
        <v>0</v>
      </c>
      <c r="S58">
        <f t="shared" si="22"/>
        <v>0</v>
      </c>
      <c r="V58">
        <v>0.187</v>
      </c>
      <c r="W58">
        <v>1</v>
      </c>
      <c r="X58">
        <f t="shared" si="10"/>
        <v>0.187</v>
      </c>
      <c r="Y58">
        <f t="shared" si="11"/>
        <v>0.25431999999999999</v>
      </c>
      <c r="Z58" t="e">
        <f t="shared" si="28"/>
        <v>#DIV/0!</v>
      </c>
      <c r="AA58" s="30" t="e">
        <f t="shared" si="29"/>
        <v>#DIV/0!</v>
      </c>
      <c r="AE58" t="s">
        <v>264</v>
      </c>
      <c r="AF58" s="32" t="e">
        <v>#DIV/0!</v>
      </c>
      <c r="AG58" s="32">
        <v>1.5883911715801592E-2</v>
      </c>
      <c r="AH58" s="32">
        <v>3.4584587021212664E-2</v>
      </c>
      <c r="AI58">
        <v>7.0000000000000007E-2</v>
      </c>
      <c r="AJ58" s="38">
        <f>AH58/X58</f>
        <v>0.18494431562145811</v>
      </c>
    </row>
    <row r="59" spans="1:57" x14ac:dyDescent="0.2">
      <c r="A59" s="1" t="s">
        <v>169</v>
      </c>
      <c r="B59" s="31">
        <f>means!B64</f>
        <v>30.066666666666666</v>
      </c>
      <c r="C59" s="31">
        <f>means!M64</f>
        <v>25.121610205314006</v>
      </c>
      <c r="D59" s="31">
        <f>means!L64</f>
        <v>31.820576149923063</v>
      </c>
      <c r="E59" s="31">
        <f>means!C64</f>
        <v>42.56287310095184</v>
      </c>
      <c r="F59" s="126">
        <f>F60*nonmare!$C$660+nonmare!$C$661</f>
        <v>40.501851841821107</v>
      </c>
      <c r="G59" s="126">
        <f>G60*nonmare!$C$660+nonmare!$C$661</f>
        <v>25.384633821995081</v>
      </c>
      <c r="H59" s="126">
        <f>H60*nonmare!$C$660+nonmare!$C$661</f>
        <v>29.034574186005049</v>
      </c>
      <c r="I59" s="126">
        <f>I60*nonmare!$C$660+nonmare!$C$661</f>
        <v>33.996282240885947</v>
      </c>
      <c r="J59">
        <f t="shared" ref="J59:J68" si="31">F59*100/F$15</f>
        <v>40.737160799013729</v>
      </c>
      <c r="K59">
        <f t="shared" ref="K59:K68" si="32">G59*100/G$15</f>
        <v>25.446119053935359</v>
      </c>
      <c r="L59">
        <f t="shared" ref="L59:L68" si="33">H59*100/H$15</f>
        <v>29.87726086908815</v>
      </c>
      <c r="M59">
        <f t="shared" ref="M59:M68" si="34">I59*100/I$15</f>
        <v>34.251418322584975</v>
      </c>
      <c r="N59" s="34">
        <f t="shared" si="19"/>
        <v>32.311133526695343</v>
      </c>
      <c r="O59" s="30">
        <f t="shared" si="20"/>
        <v>6.4443277372063479</v>
      </c>
      <c r="P59" s="30">
        <f t="shared" si="21"/>
        <v>8.9461611011284674</v>
      </c>
      <c r="Q59">
        <f t="shared" si="17"/>
        <v>8</v>
      </c>
      <c r="R59">
        <v>4</v>
      </c>
      <c r="S59">
        <f t="shared" si="22"/>
        <v>4</v>
      </c>
      <c r="V59">
        <v>2.34</v>
      </c>
      <c r="W59">
        <v>1</v>
      </c>
      <c r="X59">
        <f t="shared" si="10"/>
        <v>2.34</v>
      </c>
      <c r="Y59">
        <f t="shared" si="11"/>
        <v>3.1823999999999999</v>
      </c>
      <c r="Z59">
        <f t="shared" si="28"/>
        <v>32.636384432639829</v>
      </c>
      <c r="AA59" s="30">
        <f t="shared" si="29"/>
        <v>1.0100662177535729</v>
      </c>
      <c r="AE59" t="s">
        <v>169</v>
      </c>
      <c r="AF59" s="31">
        <v>32.727852602673806</v>
      </c>
      <c r="AG59" s="31">
        <v>10.660661598300997</v>
      </c>
      <c r="AH59" s="31">
        <v>33.749978078335062</v>
      </c>
      <c r="AI59">
        <v>66</v>
      </c>
      <c r="AJ59" s="38">
        <f>AH59/X59</f>
        <v>14.423067554844044</v>
      </c>
      <c r="AK59" s="33">
        <f>AI59/AH59</f>
        <v>1.9555568257499705</v>
      </c>
      <c r="BC59" t="s">
        <v>444</v>
      </c>
    </row>
    <row r="60" spans="1:57" x14ac:dyDescent="0.2">
      <c r="A60" s="1" t="s">
        <v>170</v>
      </c>
      <c r="B60" s="30">
        <f>means!B65</f>
        <v>2.1761771209712388</v>
      </c>
      <c r="C60" s="30">
        <f>means!M65</f>
        <v>1.3179879638888889</v>
      </c>
      <c r="D60" s="30">
        <f>means!L65</f>
        <v>2.5726423455288159</v>
      </c>
      <c r="E60" s="30">
        <f>means!C65</f>
        <v>3.3764442638661256</v>
      </c>
      <c r="F60" s="30">
        <f>means!EQ65</f>
        <v>3.2912099611606123</v>
      </c>
      <c r="G60" s="30">
        <f>means!AQ65</f>
        <v>1.5362867948219678</v>
      </c>
      <c r="H60" s="179">
        <v>1.96</v>
      </c>
      <c r="I60" s="30">
        <f>means!AI65</f>
        <v>2.5359933076773706</v>
      </c>
      <c r="J60">
        <f t="shared" si="31"/>
        <v>3.3103313382988055</v>
      </c>
      <c r="K60">
        <f t="shared" si="32"/>
        <v>1.5400079022670778</v>
      </c>
      <c r="L60">
        <f t="shared" si="33"/>
        <v>2.0168861760555457</v>
      </c>
      <c r="M60">
        <f t="shared" si="34"/>
        <v>2.5550254886420767</v>
      </c>
      <c r="N60" s="34">
        <f t="shared" si="19"/>
        <v>2.3458427197393772</v>
      </c>
      <c r="O60" s="30">
        <f t="shared" si="20"/>
        <v>0.74956952357763473</v>
      </c>
      <c r="P60" s="30">
        <f t="shared" si="21"/>
        <v>0.61112072001789741</v>
      </c>
      <c r="Q60">
        <f t="shared" si="17"/>
        <v>8</v>
      </c>
      <c r="S60">
        <f t="shared" si="22"/>
        <v>8</v>
      </c>
      <c r="T60">
        <v>0.31900000000000001</v>
      </c>
      <c r="U60" s="30">
        <f>N60/T60</f>
        <v>7.3537389333522798</v>
      </c>
      <c r="V60" s="30">
        <v>0.23469999999999999</v>
      </c>
      <c r="W60">
        <v>1</v>
      </c>
      <c r="X60">
        <f>V60*W60</f>
        <v>0.23469999999999999</v>
      </c>
      <c r="Y60">
        <f t="shared" si="11"/>
        <v>0.31919200000000003</v>
      </c>
      <c r="Z60">
        <f>(N60-Y60*Z$1)/(1-Z$1)</f>
        <v>2.3684722646189775</v>
      </c>
      <c r="AA60" s="30">
        <f>Z60/N60</f>
        <v>1.0096466590403446</v>
      </c>
      <c r="AB60" s="181">
        <v>2.4</v>
      </c>
      <c r="AC60" s="30">
        <f>Z60/AB60</f>
        <v>0.98686344359124067</v>
      </c>
      <c r="AD60">
        <v>57</v>
      </c>
      <c r="AE60" t="s">
        <v>170</v>
      </c>
      <c r="AF60" s="33">
        <v>2.3699329971338265</v>
      </c>
      <c r="AG60" s="33">
        <v>0.9093700447790759</v>
      </c>
      <c r="AH60" s="33">
        <v>2.3521990547056326</v>
      </c>
      <c r="AI60">
        <v>5.3</v>
      </c>
      <c r="AJ60" s="73">
        <f>AH60/Y60</f>
        <v>7.3692293500640131</v>
      </c>
      <c r="AK60" s="33">
        <f>AI60/AH60</f>
        <v>2.2532106665875995</v>
      </c>
      <c r="AV60" s="63">
        <f t="shared" ref="AV60:AY63" si="35">B60/$V60</f>
        <v>9.2721649807040425</v>
      </c>
      <c r="AW60" s="63">
        <f t="shared" si="35"/>
        <v>5.6156283080054923</v>
      </c>
      <c r="AX60" s="63">
        <f t="shared" si="35"/>
        <v>10.96140752249176</v>
      </c>
      <c r="AY60" s="63">
        <f t="shared" si="35"/>
        <v>14.386213310038883</v>
      </c>
      <c r="AZ60" s="63">
        <f>I60/$V60</f>
        <v>10.805254826064639</v>
      </c>
      <c r="BA60" s="63">
        <f>AJ60</f>
        <v>7.3692293500640131</v>
      </c>
      <c r="BC60" s="2">
        <v>1.25</v>
      </c>
      <c r="BD60" s="30">
        <v>2.3879486272595272</v>
      </c>
      <c r="BE60" s="30">
        <f>BD60/$V60</f>
        <v>10.174472208178642</v>
      </c>
    </row>
    <row r="61" spans="1:57" x14ac:dyDescent="0.2">
      <c r="A61" s="1" t="s">
        <v>171</v>
      </c>
      <c r="B61" s="30">
        <f>means!B66</f>
        <v>5.6925588957941899</v>
      </c>
      <c r="C61" s="30">
        <f>means!M66</f>
        <v>3.4302247731481477</v>
      </c>
      <c r="D61" s="30">
        <f>means!L66</f>
        <v>6.5401751774535315</v>
      </c>
      <c r="E61" s="30">
        <f>means!C66</f>
        <v>8.5406438680501893</v>
      </c>
      <c r="F61" s="30">
        <f>means!EQ66</f>
        <v>8.2355211331962526</v>
      </c>
      <c r="G61" s="30">
        <f>means!AQ66</f>
        <v>3.7468070794343626</v>
      </c>
      <c r="H61" s="179">
        <v>5.08</v>
      </c>
      <c r="I61" s="30">
        <f>means!AI66</f>
        <v>6.5968952530752505</v>
      </c>
      <c r="J61">
        <f t="shared" si="31"/>
        <v>8.2833681278808076</v>
      </c>
      <c r="K61">
        <f t="shared" si="32"/>
        <v>3.755882384752137</v>
      </c>
      <c r="L61">
        <f t="shared" si="33"/>
        <v>5.2274396807970263</v>
      </c>
      <c r="M61">
        <f t="shared" si="34"/>
        <v>6.6464037844588484</v>
      </c>
      <c r="N61" s="34">
        <f t="shared" si="19"/>
        <v>5.9828532725189909</v>
      </c>
      <c r="O61" s="30">
        <f t="shared" si="20"/>
        <v>1.8791977836675116</v>
      </c>
      <c r="P61" s="30">
        <f t="shared" si="21"/>
        <v>1.5321016483295993</v>
      </c>
      <c r="Q61">
        <f t="shared" si="17"/>
        <v>8</v>
      </c>
      <c r="S61">
        <f t="shared" si="22"/>
        <v>8</v>
      </c>
      <c r="T61">
        <v>0.82</v>
      </c>
      <c r="U61" s="30">
        <f>N61/T61</f>
        <v>7.2961625274621849</v>
      </c>
      <c r="V61">
        <v>0.60319999999999996</v>
      </c>
      <c r="W61">
        <v>1</v>
      </c>
      <c r="X61">
        <f t="shared" si="10"/>
        <v>0.60319999999999996</v>
      </c>
      <c r="Y61">
        <f t="shared" si="11"/>
        <v>0.82035199999999997</v>
      </c>
      <c r="Z61">
        <f t="shared" si="28"/>
        <v>6.0404976673323638</v>
      </c>
      <c r="AA61" s="30">
        <f t="shared" si="29"/>
        <v>1.0096349337327308</v>
      </c>
      <c r="AB61" s="181">
        <v>6.3</v>
      </c>
      <c r="AC61" s="30">
        <f>Z61/AB61</f>
        <v>0.95880915354481966</v>
      </c>
      <c r="AD61">
        <v>58</v>
      </c>
      <c r="AE61" t="s">
        <v>171</v>
      </c>
      <c r="AF61" s="33">
        <v>6.1731084512772565</v>
      </c>
      <c r="AG61" s="33">
        <v>2.3754529367021506</v>
      </c>
      <c r="AH61" s="75">
        <v>5.6</v>
      </c>
      <c r="AI61">
        <v>12</v>
      </c>
      <c r="AJ61" s="73">
        <f>AH61/Y61</f>
        <v>6.8263379622405989</v>
      </c>
      <c r="AK61" s="33">
        <f t="shared" ref="AK61:AK85" si="36">AI61/AH61</f>
        <v>2.1428571428571428</v>
      </c>
      <c r="AV61" s="63">
        <f t="shared" si="35"/>
        <v>9.4372660739293615</v>
      </c>
      <c r="AW61" s="63">
        <f t="shared" si="35"/>
        <v>5.6867121570758421</v>
      </c>
      <c r="AX61" s="63">
        <f t="shared" si="35"/>
        <v>10.842465479863282</v>
      </c>
      <c r="AY61" s="63">
        <f t="shared" si="35"/>
        <v>14.158892354194611</v>
      </c>
      <c r="AZ61" s="63">
        <f>I61/$V61</f>
        <v>10.93649743546958</v>
      </c>
      <c r="BA61" s="63">
        <f t="shared" ref="BA61:BA74" si="37">AJ61</f>
        <v>6.8263379622405989</v>
      </c>
      <c r="BC61" s="2">
        <v>3.3</v>
      </c>
      <c r="BD61" s="30">
        <v>6.5334265905593867</v>
      </c>
      <c r="BE61" s="30">
        <f t="shared" ref="BE61:BE74" si="38">BD61/$V61</f>
        <v>10.831277504243015</v>
      </c>
    </row>
    <row r="62" spans="1:57" x14ac:dyDescent="0.2">
      <c r="A62" s="1" t="s">
        <v>320</v>
      </c>
      <c r="B62" s="30"/>
      <c r="C62" s="30"/>
      <c r="D62" s="30"/>
      <c r="E62" s="30"/>
      <c r="I62" s="30"/>
      <c r="N62" s="168">
        <v>0.78</v>
      </c>
      <c r="O62" s="30" t="e">
        <f t="shared" si="20"/>
        <v>#DIV/0!</v>
      </c>
      <c r="P62" s="30" t="e">
        <f t="shared" si="21"/>
        <v>#DIV/0!</v>
      </c>
      <c r="Q62">
        <f t="shared" si="17"/>
        <v>0</v>
      </c>
      <c r="S62">
        <f t="shared" si="22"/>
        <v>0</v>
      </c>
      <c r="T62">
        <v>0.121</v>
      </c>
      <c r="U62" s="30">
        <f>N62/T62</f>
        <v>6.4462809917355379</v>
      </c>
      <c r="V62">
        <v>8.9099999999999999E-2</v>
      </c>
      <c r="W62">
        <v>1</v>
      </c>
      <c r="X62">
        <f t="shared" si="10"/>
        <v>8.9099999999999999E-2</v>
      </c>
      <c r="Y62">
        <f t="shared" si="11"/>
        <v>0.12117600000000001</v>
      </c>
      <c r="Z62">
        <f t="shared" si="28"/>
        <v>0.78735641673750045</v>
      </c>
      <c r="AA62" s="30">
        <f t="shared" si="29"/>
        <v>1.0094313035096159</v>
      </c>
      <c r="AD62">
        <v>59</v>
      </c>
      <c r="AE62" t="s">
        <v>320</v>
      </c>
      <c r="AF62" s="33" t="e">
        <v>#DIV/0!</v>
      </c>
      <c r="AG62" s="33">
        <v>0.29325272056869189</v>
      </c>
      <c r="AH62" s="33">
        <v>0.77710980908624627</v>
      </c>
      <c r="AI62">
        <v>1.6</v>
      </c>
      <c r="AJ62" s="73">
        <f t="shared" ref="AJ62:AJ74" si="39">AH62/Y62</f>
        <v>6.4130670189331731</v>
      </c>
      <c r="AK62" s="33">
        <f t="shared" si="36"/>
        <v>2.0589110847556253</v>
      </c>
      <c r="AV62" s="63">
        <f t="shared" si="35"/>
        <v>0</v>
      </c>
      <c r="AW62" s="63">
        <f t="shared" si="35"/>
        <v>0</v>
      </c>
      <c r="AX62" s="63">
        <f t="shared" si="35"/>
        <v>0</v>
      </c>
      <c r="AY62" s="63">
        <f t="shared" si="35"/>
        <v>0</v>
      </c>
      <c r="AZ62" s="63">
        <f>I62/$V62</f>
        <v>0</v>
      </c>
      <c r="BA62" s="63">
        <f t="shared" si="37"/>
        <v>6.4130670189331731</v>
      </c>
      <c r="BC62" s="51">
        <v>0.41912954712725864</v>
      </c>
      <c r="BD62" s="30">
        <v>0.76061651515831341</v>
      </c>
      <c r="BE62" s="30">
        <f t="shared" si="38"/>
        <v>8.5366612251213621</v>
      </c>
    </row>
    <row r="63" spans="1:57" x14ac:dyDescent="0.2">
      <c r="A63" s="1" t="s">
        <v>172</v>
      </c>
      <c r="B63" s="30">
        <f>means!B68</f>
        <v>3.3783200847906727</v>
      </c>
      <c r="C63" s="30">
        <f>means!M68</f>
        <v>1.8230119798888891</v>
      </c>
      <c r="D63" s="30">
        <f>means!L68</f>
        <v>4.1351291791884535</v>
      </c>
      <c r="E63" s="30">
        <f>means!C68</f>
        <v>5.014985901108937</v>
      </c>
      <c r="F63" s="30">
        <f>means!EQ68</f>
        <v>5.0138907927804439</v>
      </c>
      <c r="G63" s="30">
        <f>means!AQ68</f>
        <v>2.4716351759394901</v>
      </c>
      <c r="H63" s="179">
        <v>3.04</v>
      </c>
      <c r="I63" s="30">
        <f>means!AI68</f>
        <v>3.7652962784593629</v>
      </c>
      <c r="J63">
        <f t="shared" si="31"/>
        <v>5.0430206562379123</v>
      </c>
      <c r="K63">
        <f t="shared" si="32"/>
        <v>2.4776218316119749</v>
      </c>
      <c r="L63">
        <f t="shared" si="33"/>
        <v>3.1282316200045197</v>
      </c>
      <c r="M63">
        <f t="shared" si="34"/>
        <v>3.7935541606629264</v>
      </c>
      <c r="N63" s="34">
        <f t="shared" si="19"/>
        <v>3.580283674019531</v>
      </c>
      <c r="O63" s="30">
        <f t="shared" si="20"/>
        <v>1.140518935075433</v>
      </c>
      <c r="P63" s="30">
        <f t="shared" si="21"/>
        <v>0.92986004749852247</v>
      </c>
      <c r="Q63">
        <f t="shared" si="17"/>
        <v>8</v>
      </c>
      <c r="S63">
        <f t="shared" si="22"/>
        <v>8</v>
      </c>
      <c r="T63">
        <v>0.61499999999999999</v>
      </c>
      <c r="U63" s="30">
        <f>N63/T63</f>
        <v>5.8215994699504572</v>
      </c>
      <c r="V63">
        <v>0.45240000000000002</v>
      </c>
      <c r="W63">
        <v>1</v>
      </c>
      <c r="X63">
        <f t="shared" si="10"/>
        <v>0.45240000000000002</v>
      </c>
      <c r="Y63">
        <f t="shared" si="11"/>
        <v>0.61526400000000003</v>
      </c>
      <c r="Z63">
        <f t="shared" si="28"/>
        <v>3.6133910294846863</v>
      </c>
      <c r="AA63" s="30">
        <f t="shared" si="29"/>
        <v>1.0092471319257186</v>
      </c>
      <c r="AD63">
        <v>60</v>
      </c>
      <c r="AE63" t="s">
        <v>172</v>
      </c>
      <c r="AF63" s="33">
        <v>3.6435559486307842</v>
      </c>
      <c r="AG63" s="33">
        <v>1.3065759636489898</v>
      </c>
      <c r="AH63" s="33">
        <v>3.6408276014354062</v>
      </c>
      <c r="AI63">
        <v>7.4</v>
      </c>
      <c r="AJ63" s="73">
        <f t="shared" si="39"/>
        <v>5.9175046832504519</v>
      </c>
      <c r="AK63" s="33">
        <f t="shared" si="36"/>
        <v>2.0325049164872651</v>
      </c>
      <c r="AV63" s="63">
        <f t="shared" si="35"/>
        <v>7.4675510273887546</v>
      </c>
      <c r="AW63" s="63">
        <f t="shared" si="35"/>
        <v>4.0296462862265452</v>
      </c>
      <c r="AX63" s="63">
        <f t="shared" si="35"/>
        <v>9.1404270097003835</v>
      </c>
      <c r="AY63" s="63">
        <f t="shared" si="35"/>
        <v>11.085291558596236</v>
      </c>
      <c r="AZ63" s="63">
        <f>I63/$V63</f>
        <v>8.3229360708650812</v>
      </c>
      <c r="BA63" s="63">
        <f t="shared" si="37"/>
        <v>5.9175046832504519</v>
      </c>
      <c r="BC63" s="2">
        <v>2</v>
      </c>
      <c r="BD63" s="30">
        <v>3.5397276837223415</v>
      </c>
      <c r="BE63" s="30">
        <f t="shared" si="38"/>
        <v>7.8243317500493843</v>
      </c>
    </row>
    <row r="64" spans="1:57" x14ac:dyDescent="0.2">
      <c r="A64" s="70" t="s">
        <v>441</v>
      </c>
      <c r="B64" s="30"/>
      <c r="C64" s="30"/>
      <c r="D64" s="30"/>
      <c r="E64" s="30"/>
      <c r="I64" s="30"/>
      <c r="N64" s="34" t="e">
        <f t="shared" si="19"/>
        <v>#DIV/0!</v>
      </c>
      <c r="O64" s="30" t="e">
        <f t="shared" si="20"/>
        <v>#DIV/0!</v>
      </c>
      <c r="P64" s="30" t="e">
        <f t="shared" si="21"/>
        <v>#DIV/0!</v>
      </c>
      <c r="Q64">
        <f t="shared" si="17"/>
        <v>0</v>
      </c>
      <c r="S64">
        <f t="shared" si="22"/>
        <v>0</v>
      </c>
      <c r="AA64" s="30"/>
      <c r="AD64">
        <v>61</v>
      </c>
      <c r="AF64" s="33" t="e">
        <v>#DIV/0!</v>
      </c>
      <c r="AG64" s="33"/>
      <c r="AH64" s="33"/>
      <c r="AJ64" s="73">
        <f>(AJ63+AJ65)/2</f>
        <v>5.6910238230541941</v>
      </c>
      <c r="AK64" s="33"/>
      <c r="AV64" s="73">
        <f>10^((LOG10(AV63)+LOG10(AV65))/2)</f>
        <v>7.1068541312510689</v>
      </c>
      <c r="AW64" s="73">
        <f>10^((LOG10(AW63)+LOG10(AW65))/2)</f>
        <v>4.1362605825066083</v>
      </c>
      <c r="AX64" s="73">
        <f>10^((LOG10(AX63)+LOG10(AX65))/2)</f>
        <v>8.6189497641245651</v>
      </c>
      <c r="AY64" s="73">
        <f>10^((LOG10(AY63)+LOG10(AY65))/2)</f>
        <v>10.776065382628252</v>
      </c>
      <c r="AZ64" s="73">
        <f>10^((LOG10(AZ63)+LOG10(AZ65))/2)</f>
        <v>7.9738951379875758</v>
      </c>
      <c r="BA64" s="63">
        <f t="shared" si="37"/>
        <v>5.6910238230541941</v>
      </c>
      <c r="BC64" s="2">
        <v>0.61</v>
      </c>
      <c r="BE64" s="30">
        <f>(BE63+BE65)/2</f>
        <v>7.6530055161211212</v>
      </c>
    </row>
    <row r="65" spans="1:57" x14ac:dyDescent="0.2">
      <c r="A65" s="1" t="s">
        <v>173</v>
      </c>
      <c r="B65" s="30">
        <f>means!B69</f>
        <v>0.9949225562460855</v>
      </c>
      <c r="C65" s="30">
        <f>means!M69</f>
        <v>0.624541826388889</v>
      </c>
      <c r="D65" s="30">
        <f>means!L69</f>
        <v>1.1955146065137465</v>
      </c>
      <c r="E65" s="30">
        <f>means!C69</f>
        <v>1.5409409199956108</v>
      </c>
      <c r="F65" s="30">
        <f>means!EQ69</f>
        <v>1.4986153986748916</v>
      </c>
      <c r="G65" s="30">
        <f>means!AQ69</f>
        <v>0.77885489850219747</v>
      </c>
      <c r="H65" s="30">
        <f>means!AJ69</f>
        <v>0.98033427518849381</v>
      </c>
      <c r="I65" s="30">
        <f>means!AI69</f>
        <v>1.1237692757050615</v>
      </c>
      <c r="J65">
        <f t="shared" si="31"/>
        <v>1.5073221024590104</v>
      </c>
      <c r="K65">
        <f t="shared" si="32"/>
        <v>0.78074139702008172</v>
      </c>
      <c r="L65">
        <f t="shared" si="33"/>
        <v>1.008787065071993</v>
      </c>
      <c r="M65">
        <f t="shared" si="34"/>
        <v>1.1322029652392753</v>
      </c>
      <c r="N65" s="34">
        <f t="shared" si="19"/>
        <v>1.092186719651872</v>
      </c>
      <c r="O65" s="30">
        <f t="shared" si="20"/>
        <v>0.3200621762506507</v>
      </c>
      <c r="P65" s="30">
        <f t="shared" si="21"/>
        <v>0.26094527785391536</v>
      </c>
      <c r="Q65">
        <f t="shared" si="17"/>
        <v>8</v>
      </c>
      <c r="S65">
        <f t="shared" si="22"/>
        <v>8</v>
      </c>
      <c r="T65">
        <v>0.2</v>
      </c>
      <c r="U65" s="30">
        <f>N65/T65</f>
        <v>5.4609335982593592</v>
      </c>
      <c r="V65">
        <v>0.14710000000000001</v>
      </c>
      <c r="W65">
        <v>1</v>
      </c>
      <c r="X65">
        <f t="shared" si="10"/>
        <v>0.14710000000000001</v>
      </c>
      <c r="Y65">
        <f t="shared" si="11"/>
        <v>0.20005600000000004</v>
      </c>
      <c r="Z65">
        <f t="shared" ref="Z65:Z85" si="40">(N65-Y65*Z$1)/(1-Z$1)</f>
        <v>1.1021482349550262</v>
      </c>
      <c r="AA65" s="30">
        <f t="shared" ref="AA65:AA85" si="41">Z65/N65</f>
        <v>1.0091207072233304</v>
      </c>
      <c r="AB65" s="181">
        <v>1.1100000000000001</v>
      </c>
      <c r="AC65" s="30">
        <f>Z65/AB65</f>
        <v>0.99292633779732087</v>
      </c>
      <c r="AD65">
        <v>62</v>
      </c>
      <c r="AE65" t="s">
        <v>173</v>
      </c>
      <c r="AF65" s="33">
        <v>1.0786814160525113</v>
      </c>
      <c r="AG65" s="33">
        <v>0.40025903211421837</v>
      </c>
      <c r="AH65" s="33">
        <v>1.0932146069775075</v>
      </c>
      <c r="AI65">
        <v>2</v>
      </c>
      <c r="AJ65" s="73">
        <f t="shared" si="39"/>
        <v>5.4645429628579363</v>
      </c>
      <c r="AK65" s="33">
        <f t="shared" si="36"/>
        <v>1.8294669566568911</v>
      </c>
      <c r="AV65" s="63">
        <f t="shared" ref="AV65:AV74" si="42">B65/$V65</f>
        <v>6.7635795801909273</v>
      </c>
      <c r="AW65" s="63">
        <f t="shared" ref="AW65:AW74" si="43">C65/$V65</f>
        <v>4.2456956246695379</v>
      </c>
      <c r="AX65" s="63">
        <f t="shared" ref="AX65:AX74" si="44">D65/$V65</f>
        <v>8.1272237016570124</v>
      </c>
      <c r="AY65" s="63">
        <f t="shared" ref="AY65:AY74" si="45">E65/$V65</f>
        <v>10.475465125734948</v>
      </c>
      <c r="AZ65" s="63">
        <f t="shared" ref="AZ65:AZ74" si="46">I65/$V65</f>
        <v>7.6394920170296494</v>
      </c>
      <c r="BA65" s="63">
        <f t="shared" si="37"/>
        <v>5.4645429628579363</v>
      </c>
      <c r="BC65" s="6">
        <v>0.8</v>
      </c>
      <c r="BD65" s="30">
        <v>1.1005550224105696</v>
      </c>
      <c r="BE65" s="30">
        <f t="shared" si="38"/>
        <v>7.481679282192859</v>
      </c>
    </row>
    <row r="66" spans="1:57" x14ac:dyDescent="0.2">
      <c r="A66" s="1" t="s">
        <v>174</v>
      </c>
      <c r="B66" s="30">
        <f>means!B70</f>
        <v>0.68731492990316523</v>
      </c>
      <c r="C66" s="30">
        <f>means!M70</f>
        <v>0.93954622499999985</v>
      </c>
      <c r="D66" s="30">
        <f>means!L70</f>
        <v>0.80395902119236962</v>
      </c>
      <c r="E66" s="30">
        <f>means!C70</f>
        <v>0.81670153504236531</v>
      </c>
      <c r="F66" s="30">
        <f>means!EQ70</f>
        <v>0.82006327949978519</v>
      </c>
      <c r="G66" s="30">
        <f>means!AQ70</f>
        <v>0.76981861939071428</v>
      </c>
      <c r="H66" s="30">
        <f>means!AJ70</f>
        <v>0.83626206629286781</v>
      </c>
      <c r="I66" s="30">
        <f>means!AI70</f>
        <v>0.76114589972936564</v>
      </c>
      <c r="J66">
        <f t="shared" si="31"/>
        <v>0.82482770942967298</v>
      </c>
      <c r="K66">
        <f t="shared" si="32"/>
        <v>0.77168323074170286</v>
      </c>
      <c r="L66">
        <f t="shared" si="33"/>
        <v>0.86053336789067925</v>
      </c>
      <c r="M66">
        <f t="shared" si="34"/>
        <v>0.76685816500243953</v>
      </c>
      <c r="N66" s="34">
        <f t="shared" si="19"/>
        <v>0.8043514470063291</v>
      </c>
      <c r="O66" s="30">
        <f t="shared" si="20"/>
        <v>7.216275039015127E-2</v>
      </c>
      <c r="P66" s="30">
        <f t="shared" si="21"/>
        <v>5.8833971485946476E-2</v>
      </c>
      <c r="Q66">
        <f t="shared" si="17"/>
        <v>8</v>
      </c>
      <c r="S66">
        <f t="shared" si="22"/>
        <v>8</v>
      </c>
      <c r="V66">
        <v>5.6000000000000001E-2</v>
      </c>
      <c r="W66">
        <v>1</v>
      </c>
      <c r="X66">
        <f t="shared" si="10"/>
        <v>5.6000000000000001E-2</v>
      </c>
      <c r="Y66">
        <f t="shared" si="11"/>
        <v>7.6160000000000005E-2</v>
      </c>
      <c r="Z66">
        <f t="shared" si="40"/>
        <v>0.81248241938872867</v>
      </c>
      <c r="AA66" s="30">
        <f t="shared" si="41"/>
        <v>1.0101087309691079</v>
      </c>
      <c r="AB66" s="181">
        <v>0.8</v>
      </c>
      <c r="AC66" s="30">
        <f>Z66/AB66</f>
        <v>1.0156030242359109</v>
      </c>
      <c r="AD66">
        <v>63</v>
      </c>
      <c r="AE66" t="s">
        <v>174</v>
      </c>
      <c r="AF66" s="30">
        <v>0.80101820320658079</v>
      </c>
      <c r="AG66" s="30">
        <v>9.4819835502032004E-2</v>
      </c>
      <c r="AH66" s="30">
        <v>0.8063144339212418</v>
      </c>
      <c r="AI66" s="33">
        <v>1</v>
      </c>
      <c r="AJ66" s="73">
        <f t="shared" si="39"/>
        <v>10.587111789932271</v>
      </c>
      <c r="AK66" s="33"/>
      <c r="AV66" s="63">
        <f t="shared" si="42"/>
        <v>12.273480891127949</v>
      </c>
      <c r="AW66" s="63">
        <f t="shared" si="43"/>
        <v>16.777611160714283</v>
      </c>
      <c r="AX66" s="63">
        <f t="shared" si="44"/>
        <v>14.356411092720887</v>
      </c>
      <c r="AY66" s="63">
        <f t="shared" si="45"/>
        <v>14.583955982899381</v>
      </c>
      <c r="AZ66" s="63">
        <f t="shared" si="46"/>
        <v>13.591891066595815</v>
      </c>
      <c r="BA66" s="63">
        <f t="shared" si="37"/>
        <v>10.587111789932271</v>
      </c>
      <c r="BC66" s="51">
        <v>0.72307827056238716</v>
      </c>
      <c r="BD66" s="30">
        <v>0.75270594176207162</v>
      </c>
      <c r="BE66" s="30">
        <f t="shared" si="38"/>
        <v>13.441177531465565</v>
      </c>
    </row>
    <row r="67" spans="1:57" x14ac:dyDescent="0.2">
      <c r="A67" s="1" t="s">
        <v>313</v>
      </c>
      <c r="B67" s="30"/>
      <c r="C67" s="30"/>
      <c r="D67" s="30"/>
      <c r="E67" s="30"/>
      <c r="I67" s="30"/>
      <c r="N67" s="168">
        <v>1.27</v>
      </c>
      <c r="O67" s="30" t="e">
        <f t="shared" si="20"/>
        <v>#DIV/0!</v>
      </c>
      <c r="P67" s="30" t="e">
        <f t="shared" si="21"/>
        <v>#DIV/0!</v>
      </c>
      <c r="Q67">
        <f t="shared" si="17"/>
        <v>0</v>
      </c>
      <c r="S67">
        <f t="shared" si="22"/>
        <v>0</v>
      </c>
      <c r="V67">
        <v>0.1966</v>
      </c>
      <c r="W67">
        <v>1</v>
      </c>
      <c r="X67">
        <f t="shared" si="10"/>
        <v>0.1966</v>
      </c>
      <c r="Y67">
        <f t="shared" si="11"/>
        <v>0.267376</v>
      </c>
      <c r="Z67">
        <f t="shared" si="40"/>
        <v>1.281195281251168</v>
      </c>
      <c r="AA67" s="30">
        <f t="shared" si="41"/>
        <v>1.0088151820875337</v>
      </c>
      <c r="AD67">
        <v>64</v>
      </c>
      <c r="AE67" t="s">
        <v>313</v>
      </c>
      <c r="AF67" s="33" t="e">
        <v>#DIV/0!</v>
      </c>
      <c r="AG67" s="33">
        <v>0.4587768331069782</v>
      </c>
      <c r="AH67" s="33">
        <v>1.2945083178016106</v>
      </c>
      <c r="AI67">
        <v>2.2999999999999998</v>
      </c>
      <c r="AJ67" s="73">
        <f t="shared" si="39"/>
        <v>4.8415277279995612</v>
      </c>
      <c r="AK67" s="33">
        <f t="shared" si="36"/>
        <v>1.7767363626569495</v>
      </c>
      <c r="AV67" s="63">
        <f t="shared" si="42"/>
        <v>0</v>
      </c>
      <c r="AW67" s="63">
        <f t="shared" si="43"/>
        <v>0</v>
      </c>
      <c r="AX67" s="63">
        <f t="shared" si="44"/>
        <v>0</v>
      </c>
      <c r="AY67" s="63">
        <f t="shared" si="45"/>
        <v>0</v>
      </c>
      <c r="AZ67" s="63">
        <f t="shared" si="46"/>
        <v>0</v>
      </c>
      <c r="BA67" s="63">
        <f t="shared" si="37"/>
        <v>4.8415277279995612</v>
      </c>
      <c r="BC67" s="52">
        <v>0.12903846153846155</v>
      </c>
      <c r="BD67" s="30">
        <v>1.2854827045310677</v>
      </c>
      <c r="BE67" s="30">
        <f t="shared" si="38"/>
        <v>6.538569199039002</v>
      </c>
    </row>
    <row r="68" spans="1:57" x14ac:dyDescent="0.2">
      <c r="A68" s="1" t="s">
        <v>175</v>
      </c>
      <c r="B68" s="30">
        <f>means!B72</f>
        <v>0.21142388110035171</v>
      </c>
      <c r="C68" s="30">
        <f>means!M72</f>
        <v>0.14212174120370369</v>
      </c>
      <c r="D68" s="30">
        <f>means!L72</f>
        <v>0.25133997357332194</v>
      </c>
      <c r="E68" s="30">
        <f>means!C72</f>
        <v>0.31764563707017401</v>
      </c>
      <c r="F68" s="30">
        <f>means!EQ72</f>
        <v>0.31883724011880282</v>
      </c>
      <c r="G68" s="30">
        <f>means!AQ72</f>
        <v>0.16635168465424974</v>
      </c>
      <c r="H68" s="30">
        <f>means!AJ72</f>
        <v>0.20747613329212719</v>
      </c>
      <c r="I68" s="30">
        <f>means!AI72</f>
        <v>0.22968727920904281</v>
      </c>
      <c r="J68">
        <f t="shared" si="31"/>
        <v>0.32068963093736436</v>
      </c>
      <c r="K68">
        <f t="shared" si="32"/>
        <v>0.16675461234611033</v>
      </c>
      <c r="L68">
        <f t="shared" si="33"/>
        <v>0.21349782913181076</v>
      </c>
      <c r="M68">
        <f t="shared" si="34"/>
        <v>0.23141104159041959</v>
      </c>
      <c r="N68" s="34">
        <f t="shared" si="19"/>
        <v>0.2306104462777217</v>
      </c>
      <c r="O68" s="30">
        <f t="shared" si="20"/>
        <v>6.3978140484265367E-2</v>
      </c>
      <c r="P68" s="30">
        <f t="shared" si="21"/>
        <v>5.2161095199731569E-2</v>
      </c>
      <c r="Q68">
        <f t="shared" si="17"/>
        <v>8</v>
      </c>
      <c r="S68">
        <f t="shared" si="22"/>
        <v>8</v>
      </c>
      <c r="V68">
        <v>3.6299999999999999E-2</v>
      </c>
      <c r="W68">
        <v>1</v>
      </c>
      <c r="X68">
        <f t="shared" si="10"/>
        <v>3.6299999999999999E-2</v>
      </c>
      <c r="Y68">
        <f t="shared" si="11"/>
        <v>4.9368000000000002E-2</v>
      </c>
      <c r="Z68">
        <f t="shared" si="40"/>
        <v>0.23263419611886735</v>
      </c>
      <c r="AA68" s="30">
        <f t="shared" si="41"/>
        <v>1.0087756208524417</v>
      </c>
      <c r="AB68" s="181">
        <v>0.24</v>
      </c>
      <c r="AC68" s="30">
        <f>Z68/AB68</f>
        <v>0.96930915049528066</v>
      </c>
      <c r="AD68">
        <v>65</v>
      </c>
      <c r="AE68" t="s">
        <v>175</v>
      </c>
      <c r="AF68" s="30">
        <v>0.22555500374182158</v>
      </c>
      <c r="AG68" s="30">
        <v>7.6287048977164387E-2</v>
      </c>
      <c r="AH68" s="30">
        <v>0.22928384277176886</v>
      </c>
      <c r="AI68">
        <v>0.41</v>
      </c>
      <c r="AJ68" s="73">
        <f t="shared" si="39"/>
        <v>4.6443818419172107</v>
      </c>
      <c r="AK68" s="33">
        <f t="shared" si="36"/>
        <v>1.7881765895214761</v>
      </c>
      <c r="AV68" s="63">
        <f t="shared" si="42"/>
        <v>5.8243493416074852</v>
      </c>
      <c r="AW68" s="63">
        <f t="shared" si="43"/>
        <v>3.9151994821956939</v>
      </c>
      <c r="AX68" s="63">
        <f t="shared" si="44"/>
        <v>6.9239662141411005</v>
      </c>
      <c r="AY68" s="63">
        <f t="shared" si="45"/>
        <v>8.7505685143298635</v>
      </c>
      <c r="AZ68" s="63">
        <f t="shared" si="46"/>
        <v>6.3274732564474601</v>
      </c>
      <c r="BA68" s="63">
        <f t="shared" si="37"/>
        <v>4.6443818419172107</v>
      </c>
      <c r="BC68" s="50">
        <v>0.9</v>
      </c>
      <c r="BD68" s="30">
        <v>0.22543756989437971</v>
      </c>
      <c r="BE68" s="30">
        <f t="shared" si="38"/>
        <v>6.2104013745008189</v>
      </c>
    </row>
    <row r="69" spans="1:57" x14ac:dyDescent="0.2">
      <c r="A69" s="1" t="s">
        <v>314</v>
      </c>
      <c r="B69" s="30"/>
      <c r="C69" s="30"/>
      <c r="D69" s="30"/>
      <c r="E69" s="30"/>
      <c r="I69" s="30"/>
      <c r="N69" s="168">
        <v>1.48</v>
      </c>
      <c r="O69" s="30" t="e">
        <f t="shared" si="20"/>
        <v>#DIV/0!</v>
      </c>
      <c r="P69" s="30" t="e">
        <f t="shared" si="21"/>
        <v>#DIV/0!</v>
      </c>
      <c r="Q69">
        <f t="shared" si="17"/>
        <v>0</v>
      </c>
      <c r="S69">
        <f t="shared" si="22"/>
        <v>0</v>
      </c>
      <c r="V69">
        <v>0.2427</v>
      </c>
      <c r="W69">
        <v>1</v>
      </c>
      <c r="X69">
        <f t="shared" si="10"/>
        <v>0.2427</v>
      </c>
      <c r="Y69">
        <f t="shared" si="11"/>
        <v>0.33007200000000003</v>
      </c>
      <c r="Z69">
        <f t="shared" si="40"/>
        <v>1.4928400750217361</v>
      </c>
      <c r="AA69" s="30">
        <f t="shared" si="41"/>
        <v>1.008675726366038</v>
      </c>
      <c r="AD69">
        <v>66</v>
      </c>
      <c r="AE69" t="s">
        <v>314</v>
      </c>
      <c r="AF69" s="33" t="e">
        <v>#DIV/0!</v>
      </c>
      <c r="AG69" s="33">
        <v>0.49758439327149251</v>
      </c>
      <c r="AH69" s="33">
        <v>1.5137540780530816</v>
      </c>
      <c r="AI69">
        <v>2.6</v>
      </c>
      <c r="AJ69" s="73">
        <f t="shared" si="39"/>
        <v>4.5861329590303974</v>
      </c>
      <c r="AK69" s="33">
        <f t="shared" si="36"/>
        <v>1.7175841424282048</v>
      </c>
      <c r="AV69" s="63">
        <f t="shared" si="42"/>
        <v>0</v>
      </c>
      <c r="AW69" s="63">
        <f t="shared" si="43"/>
        <v>0</v>
      </c>
      <c r="AX69" s="63">
        <f t="shared" si="44"/>
        <v>0</v>
      </c>
      <c r="AY69" s="63">
        <f t="shared" si="45"/>
        <v>0</v>
      </c>
      <c r="AZ69" s="63">
        <f t="shared" si="46"/>
        <v>0</v>
      </c>
      <c r="BA69" s="63">
        <f t="shared" si="37"/>
        <v>4.5861329590303974</v>
      </c>
      <c r="BC69" s="52">
        <v>0.20575578418387871</v>
      </c>
      <c r="BD69" s="30">
        <v>1.5026189328911521</v>
      </c>
      <c r="BE69" s="30">
        <f t="shared" si="38"/>
        <v>6.1912605393125348</v>
      </c>
    </row>
    <row r="70" spans="1:57" x14ac:dyDescent="0.2">
      <c r="A70" s="1" t="s">
        <v>315</v>
      </c>
      <c r="B70" s="30"/>
      <c r="C70" s="30"/>
      <c r="D70" s="30"/>
      <c r="E70" s="30"/>
      <c r="I70" s="30"/>
      <c r="N70" s="168">
        <v>0.33</v>
      </c>
      <c r="O70" s="30" t="e">
        <f t="shared" si="20"/>
        <v>#DIV/0!</v>
      </c>
      <c r="P70" s="30" t="e">
        <f t="shared" si="21"/>
        <v>#DIV/0!</v>
      </c>
      <c r="Q70">
        <f t="shared" si="17"/>
        <v>0</v>
      </c>
      <c r="S70">
        <f t="shared" si="22"/>
        <v>0</v>
      </c>
      <c r="V70">
        <v>5.5599999999999997E-2</v>
      </c>
      <c r="W70">
        <v>1</v>
      </c>
      <c r="X70">
        <f t="shared" si="10"/>
        <v>5.5599999999999997E-2</v>
      </c>
      <c r="Y70">
        <f t="shared" si="11"/>
        <v>7.5616000000000003E-2</v>
      </c>
      <c r="Z70">
        <f t="shared" si="40"/>
        <v>0.33284044709262611</v>
      </c>
      <c r="AA70" s="30">
        <f t="shared" si="41"/>
        <v>1.0086074154322002</v>
      </c>
      <c r="AD70">
        <v>67</v>
      </c>
      <c r="AE70" t="s">
        <v>315</v>
      </c>
      <c r="AF70" s="30" t="e">
        <v>#DIV/0!</v>
      </c>
      <c r="AG70" s="30">
        <v>0.10730510835110531</v>
      </c>
      <c r="AH70" s="30">
        <v>0.33787825451169212</v>
      </c>
      <c r="AI70">
        <v>0.53</v>
      </c>
      <c r="AJ70" s="73">
        <f t="shared" si="39"/>
        <v>4.4683433996996946</v>
      </c>
      <c r="AK70" s="33">
        <f t="shared" si="36"/>
        <v>1.5686123416434887</v>
      </c>
      <c r="AV70" s="63">
        <f t="shared" si="42"/>
        <v>0</v>
      </c>
      <c r="AW70" s="63">
        <f t="shared" si="43"/>
        <v>0</v>
      </c>
      <c r="AX70" s="63">
        <f t="shared" si="44"/>
        <v>0</v>
      </c>
      <c r="AY70" s="63">
        <f t="shared" si="45"/>
        <v>0</v>
      </c>
      <c r="AZ70" s="63">
        <f t="shared" si="46"/>
        <v>0</v>
      </c>
      <c r="BA70" s="63">
        <f t="shared" si="37"/>
        <v>4.4683433996996946</v>
      </c>
      <c r="BC70" s="52">
        <v>0.58424427891414643</v>
      </c>
      <c r="BD70" s="30">
        <v>0.33240841474242711</v>
      </c>
      <c r="BE70" s="30">
        <f t="shared" si="38"/>
        <v>5.9785686104753077</v>
      </c>
    </row>
    <row r="71" spans="1:57" x14ac:dyDescent="0.2">
      <c r="A71" s="1" t="s">
        <v>321</v>
      </c>
      <c r="B71" s="30"/>
      <c r="C71" s="30"/>
      <c r="D71" s="30"/>
      <c r="E71" s="30"/>
      <c r="I71" s="30"/>
      <c r="N71" s="168">
        <v>0.92</v>
      </c>
      <c r="O71" s="30" t="e">
        <f t="shared" si="20"/>
        <v>#DIV/0!</v>
      </c>
      <c r="P71" s="30" t="e">
        <f t="shared" si="21"/>
        <v>#DIV/0!</v>
      </c>
      <c r="Q71">
        <f t="shared" si="17"/>
        <v>0</v>
      </c>
      <c r="S71">
        <f t="shared" si="22"/>
        <v>0</v>
      </c>
      <c r="V71">
        <v>0.15890000000000001</v>
      </c>
      <c r="W71">
        <v>1</v>
      </c>
      <c r="X71">
        <f t="shared" si="10"/>
        <v>0.15890000000000001</v>
      </c>
      <c r="Y71">
        <f t="shared" ref="Y71:Y85" si="47">X71*Y$1</f>
        <v>0.21610400000000005</v>
      </c>
      <c r="Z71">
        <f t="shared" si="40"/>
        <v>0.9278596898653656</v>
      </c>
      <c r="AA71" s="30">
        <f t="shared" si="41"/>
        <v>1.0085431411580061</v>
      </c>
      <c r="AD71">
        <v>68</v>
      </c>
      <c r="AE71" t="s">
        <v>321</v>
      </c>
      <c r="AF71" s="33" t="e">
        <v>#DIV/0!</v>
      </c>
      <c r="AG71" s="33">
        <v>0.29557229907205318</v>
      </c>
      <c r="AH71" s="33">
        <v>0.94840231717518031</v>
      </c>
      <c r="AI71">
        <v>1.51</v>
      </c>
      <c r="AJ71" s="73">
        <f t="shared" si="39"/>
        <v>4.3886384202753312</v>
      </c>
      <c r="AK71" s="33">
        <f t="shared" si="36"/>
        <v>1.5921513187541976</v>
      </c>
      <c r="AV71" s="63">
        <f t="shared" si="42"/>
        <v>0</v>
      </c>
      <c r="AW71" s="63">
        <f t="shared" si="43"/>
        <v>0</v>
      </c>
      <c r="AX71" s="63">
        <f t="shared" si="44"/>
        <v>0</v>
      </c>
      <c r="AY71" s="63">
        <f t="shared" si="45"/>
        <v>0</v>
      </c>
      <c r="AZ71" s="63">
        <f t="shared" si="46"/>
        <v>0</v>
      </c>
      <c r="BA71" s="63">
        <f t="shared" si="37"/>
        <v>4.3886384202753312</v>
      </c>
      <c r="BC71" s="53">
        <v>8.8415090067248001E-2</v>
      </c>
      <c r="BD71" s="30">
        <v>0.91741542165798806</v>
      </c>
      <c r="BE71" s="30">
        <f t="shared" si="38"/>
        <v>5.773539469213266</v>
      </c>
    </row>
    <row r="72" spans="1:57" x14ac:dyDescent="0.2">
      <c r="A72" s="1" t="s">
        <v>325</v>
      </c>
      <c r="B72" s="30"/>
      <c r="C72" s="30"/>
      <c r="D72" s="30"/>
      <c r="E72" s="30"/>
      <c r="I72" s="30"/>
      <c r="N72" s="168">
        <v>0.13600000000000001</v>
      </c>
      <c r="O72" s="30" t="e">
        <f t="shared" si="20"/>
        <v>#DIV/0!</v>
      </c>
      <c r="P72" s="30" t="e">
        <f t="shared" si="21"/>
        <v>#DIV/0!</v>
      </c>
      <c r="Q72">
        <f t="shared" si="17"/>
        <v>0</v>
      </c>
      <c r="S72">
        <f t="shared" si="22"/>
        <v>0</v>
      </c>
      <c r="V72">
        <v>2.4199999999999999E-2</v>
      </c>
      <c r="W72">
        <v>1</v>
      </c>
      <c r="X72">
        <f t="shared" si="10"/>
        <v>2.4199999999999999E-2</v>
      </c>
      <c r="Y72">
        <f t="shared" si="47"/>
        <v>3.2912000000000004E-2</v>
      </c>
      <c r="Z72">
        <f t="shared" si="40"/>
        <v>0.13715107872305116</v>
      </c>
      <c r="AA72" s="30">
        <f t="shared" si="41"/>
        <v>1.0084638141400819</v>
      </c>
      <c r="AD72">
        <v>69</v>
      </c>
      <c r="AE72" t="s">
        <v>325</v>
      </c>
      <c r="AF72" s="30" t="e">
        <v>#DIV/0!</v>
      </c>
      <c r="AG72" s="30">
        <v>4.2056851313618061E-2</v>
      </c>
      <c r="AH72" s="30">
        <v>0.14106492623467337</v>
      </c>
      <c r="AI72">
        <v>0.22</v>
      </c>
      <c r="AJ72" s="73">
        <f t="shared" si="39"/>
        <v>4.2861243994492391</v>
      </c>
      <c r="AK72" s="33">
        <f t="shared" si="36"/>
        <v>1.5595655551828063</v>
      </c>
      <c r="AV72" s="63">
        <f t="shared" si="42"/>
        <v>0</v>
      </c>
      <c r="AW72" s="63">
        <f t="shared" si="43"/>
        <v>0</v>
      </c>
      <c r="AX72" s="63">
        <f t="shared" si="44"/>
        <v>0</v>
      </c>
      <c r="AY72" s="63">
        <f t="shared" si="45"/>
        <v>0</v>
      </c>
      <c r="AZ72" s="63">
        <f t="shared" si="46"/>
        <v>0</v>
      </c>
      <c r="BA72" s="63">
        <f t="shared" si="37"/>
        <v>4.2861243994492391</v>
      </c>
      <c r="BC72" s="6">
        <v>0.59</v>
      </c>
      <c r="BD72" s="30">
        <v>0.13493647855261359</v>
      </c>
      <c r="BE72" s="30">
        <f t="shared" si="38"/>
        <v>5.5758875434964299</v>
      </c>
    </row>
    <row r="73" spans="1:57" x14ac:dyDescent="0.2">
      <c r="A73" s="1" t="s">
        <v>176</v>
      </c>
      <c r="B73" s="30">
        <f>means!B77</f>
        <v>0.85061940550175841</v>
      </c>
      <c r="C73" s="30">
        <f>means!M77</f>
        <v>0.62845689583333331</v>
      </c>
      <c r="D73" s="30">
        <f>means!L77</f>
        <v>1.0085782608345351</v>
      </c>
      <c r="E73" s="30">
        <f>means!C77</f>
        <v>1.2053248031402946</v>
      </c>
      <c r="F73" s="30">
        <f>means!EQ77</f>
        <v>1.1833270276445054</v>
      </c>
      <c r="G73" s="30">
        <f>means!AQ77</f>
        <v>0.65205306586146072</v>
      </c>
      <c r="H73" s="30">
        <f>means!AJ77</f>
        <v>0.72673289085762782</v>
      </c>
      <c r="I73" s="30">
        <f>means!AI77</f>
        <v>0.88827960155324237</v>
      </c>
      <c r="J73">
        <f t="shared" ref="J73:J85" si="48">F73*100/F$15</f>
        <v>1.1902019589434578</v>
      </c>
      <c r="K73">
        <f t="shared" ref="K73:K85" si="49">G73*100/G$15</f>
        <v>0.65363243211401312</v>
      </c>
      <c r="L73">
        <f t="shared" ref="L73:L85" si="50">H73*100/H$15</f>
        <v>0.74782526594675158</v>
      </c>
      <c r="M73">
        <f t="shared" ref="M73:M85" si="51">I73*100/I$15</f>
        <v>0.89494598275891746</v>
      </c>
      <c r="N73" s="34">
        <f t="shared" si="19"/>
        <v>0.89292149390334474</v>
      </c>
      <c r="O73" s="30">
        <f t="shared" si="20"/>
        <v>0.22446650347510458</v>
      </c>
      <c r="P73" s="30">
        <f t="shared" si="21"/>
        <v>0.18300654830371865</v>
      </c>
      <c r="Q73">
        <f t="shared" si="17"/>
        <v>8</v>
      </c>
      <c r="S73">
        <f t="shared" si="22"/>
        <v>8</v>
      </c>
      <c r="V73">
        <v>0.16250000000000001</v>
      </c>
      <c r="W73">
        <v>1</v>
      </c>
      <c r="X73">
        <f t="shared" si="10"/>
        <v>0.16250000000000001</v>
      </c>
      <c r="Y73">
        <f t="shared" si="47"/>
        <v>0.22100000000000003</v>
      </c>
      <c r="Z73">
        <f t="shared" si="40"/>
        <v>0.90042415701828415</v>
      </c>
      <c r="AA73" s="30">
        <f t="shared" si="41"/>
        <v>1.0084023771027641</v>
      </c>
      <c r="AB73" s="181">
        <v>0.93</v>
      </c>
      <c r="AC73" s="30">
        <f>Z73/AB73</f>
        <v>0.96819801829923025</v>
      </c>
      <c r="AD73">
        <v>70</v>
      </c>
      <c r="AE73" t="s">
        <v>176</v>
      </c>
      <c r="AF73" s="33">
        <v>0.88630932014675901</v>
      </c>
      <c r="AG73" s="33">
        <v>0.26862331376454185</v>
      </c>
      <c r="AH73" s="30">
        <v>0.9162238428411823</v>
      </c>
      <c r="AI73">
        <v>1.4</v>
      </c>
      <c r="AJ73" s="73">
        <f t="shared" si="39"/>
        <v>4.1458092436252585</v>
      </c>
      <c r="AK73" s="33">
        <f t="shared" si="36"/>
        <v>1.5280108795888159</v>
      </c>
      <c r="AV73" s="63">
        <f t="shared" si="42"/>
        <v>5.2345809569338977</v>
      </c>
      <c r="AW73" s="63">
        <f t="shared" si="43"/>
        <v>3.8674270512820508</v>
      </c>
      <c r="AX73" s="63">
        <f t="shared" si="44"/>
        <v>6.2066354512894462</v>
      </c>
      <c r="AY73" s="63">
        <f t="shared" si="45"/>
        <v>7.4173834039402742</v>
      </c>
      <c r="AZ73" s="63">
        <f t="shared" si="46"/>
        <v>5.4663360095584146</v>
      </c>
      <c r="BA73" s="63">
        <f t="shared" si="37"/>
        <v>4.1458092436252585</v>
      </c>
      <c r="BC73" s="2">
        <v>8.8999999999999996E-2</v>
      </c>
      <c r="BD73" s="30">
        <v>0.87511745251618978</v>
      </c>
      <c r="BE73" s="30">
        <f t="shared" si="38"/>
        <v>5.3853381693303986</v>
      </c>
    </row>
    <row r="74" spans="1:57" x14ac:dyDescent="0.2">
      <c r="A74" s="1" t="s">
        <v>177</v>
      </c>
      <c r="B74" s="30">
        <f>means!B78</f>
        <v>0.12763648407766054</v>
      </c>
      <c r="C74" s="30">
        <f>means!M78</f>
        <v>9.0678601666666664E-2</v>
      </c>
      <c r="D74" s="30">
        <f>means!L78</f>
        <v>0.14500129890882527</v>
      </c>
      <c r="E74" s="30">
        <f>means!C78</f>
        <v>0.17282561429566756</v>
      </c>
      <c r="F74" s="30">
        <f>means!EQ78</f>
        <v>0.18304381996801464</v>
      </c>
      <c r="G74" s="30">
        <f>means!AQ78</f>
        <v>9.3700460402403665E-2</v>
      </c>
      <c r="H74" s="30">
        <f>means!AJ78</f>
        <v>9.5151626907624617E-2</v>
      </c>
      <c r="I74" s="30">
        <f>means!AI78</f>
        <v>0.12540013241472014</v>
      </c>
      <c r="J74">
        <f t="shared" si="48"/>
        <v>0.18410727382107409</v>
      </c>
      <c r="K74">
        <f t="shared" si="49"/>
        <v>9.3927416386135859E-2</v>
      </c>
      <c r="L74">
        <f t="shared" si="50"/>
        <v>9.7913265785297451E-2</v>
      </c>
      <c r="M74">
        <f t="shared" si="51"/>
        <v>0.12634123821570545</v>
      </c>
      <c r="N74" s="34">
        <f t="shared" si="19"/>
        <v>0.12917975483019789</v>
      </c>
      <c r="O74" s="30">
        <f t="shared" si="20"/>
        <v>3.5801675273716409E-2</v>
      </c>
      <c r="P74" s="30">
        <f t="shared" si="21"/>
        <v>2.918894763316034E-2</v>
      </c>
      <c r="Q74">
        <f t="shared" si="17"/>
        <v>8</v>
      </c>
      <c r="S74">
        <f t="shared" si="22"/>
        <v>8</v>
      </c>
      <c r="V74">
        <v>2.4299999999999999E-2</v>
      </c>
      <c r="W74">
        <v>1</v>
      </c>
      <c r="X74">
        <f t="shared" si="10"/>
        <v>2.4299999999999999E-2</v>
      </c>
      <c r="Y74">
        <f t="shared" si="47"/>
        <v>3.3048000000000001E-2</v>
      </c>
      <c r="Z74">
        <f t="shared" si="40"/>
        <v>0.13025316024687694</v>
      </c>
      <c r="AA74" s="30">
        <f t="shared" si="41"/>
        <v>1.008309393512087</v>
      </c>
      <c r="AB74" s="181">
        <v>0.13400000000000001</v>
      </c>
      <c r="AC74" s="32">
        <f>Z74/AB74</f>
        <v>0.97203850930505176</v>
      </c>
      <c r="AD74">
        <v>71</v>
      </c>
      <c r="AE74" t="s">
        <v>177</v>
      </c>
      <c r="AF74" s="30">
        <v>0.1293708839336434</v>
      </c>
      <c r="AG74" s="30">
        <v>3.7799842013484256E-2</v>
      </c>
      <c r="AH74" s="30">
        <v>0.13329904700531481</v>
      </c>
      <c r="AI74">
        <v>0.21</v>
      </c>
      <c r="AJ74" s="73">
        <f t="shared" si="39"/>
        <v>4.033498154360772</v>
      </c>
      <c r="AK74" s="33">
        <f t="shared" si="36"/>
        <v>1.5754051114230923</v>
      </c>
      <c r="AV74" s="63">
        <f t="shared" si="42"/>
        <v>5.2525302089572241</v>
      </c>
      <c r="AW74" s="63">
        <f t="shared" si="43"/>
        <v>3.7316296982167354</v>
      </c>
      <c r="AX74" s="63">
        <f t="shared" si="44"/>
        <v>5.9671316423384884</v>
      </c>
      <c r="AY74" s="63">
        <f t="shared" si="45"/>
        <v>7.1121651973525752</v>
      </c>
      <c r="AZ74" s="63">
        <f t="shared" si="46"/>
        <v>5.1604992763259325</v>
      </c>
      <c r="BA74" s="63">
        <f t="shared" si="37"/>
        <v>4.033498154360772</v>
      </c>
      <c r="BD74" s="30">
        <v>0.12751201702612236</v>
      </c>
      <c r="BE74" s="30">
        <f t="shared" si="38"/>
        <v>5.2474081080708794</v>
      </c>
    </row>
    <row r="75" spans="1:57" x14ac:dyDescent="0.2">
      <c r="A75" s="1" t="s">
        <v>178</v>
      </c>
      <c r="B75" s="30">
        <f>means!B79</f>
        <v>0.76430315074432731</v>
      </c>
      <c r="C75" s="30">
        <f>means!M79</f>
        <v>0.44600030972222221</v>
      </c>
      <c r="D75" s="30">
        <f>means!L79</f>
        <v>0.88738756777878947</v>
      </c>
      <c r="E75" s="30">
        <f>means!C79</f>
        <v>1.1553911720724492</v>
      </c>
      <c r="F75" s="30">
        <f>means!EQ79</f>
        <v>1.1785752798720586</v>
      </c>
      <c r="G75" s="30">
        <f>means!AQ79</f>
        <v>0.59124673383359738</v>
      </c>
      <c r="H75" s="30">
        <f>means!AJ79</f>
        <v>0.60810655227050858</v>
      </c>
      <c r="I75" s="30">
        <f>means!AI79</f>
        <v>0.83040235272647622</v>
      </c>
      <c r="J75">
        <f t="shared" si="48"/>
        <v>1.1854226043144767</v>
      </c>
      <c r="K75">
        <f t="shared" si="49"/>
        <v>0.59267881840958958</v>
      </c>
      <c r="L75">
        <f t="shared" si="50"/>
        <v>0.6257559687975448</v>
      </c>
      <c r="M75">
        <f t="shared" si="51"/>
        <v>0.83663437542257812</v>
      </c>
      <c r="N75" s="34">
        <f t="shared" si="19"/>
        <v>0.80767663987755356</v>
      </c>
      <c r="O75" s="30">
        <f t="shared" si="20"/>
        <v>0.26314109158194293</v>
      </c>
      <c r="P75" s="30">
        <f t="shared" si="21"/>
        <v>0.21453776907352726</v>
      </c>
      <c r="Q75">
        <f t="shared" si="17"/>
        <v>8</v>
      </c>
      <c r="S75">
        <f t="shared" si="22"/>
        <v>8</v>
      </c>
      <c r="V75">
        <v>0.104</v>
      </c>
      <c r="W75">
        <v>1</v>
      </c>
      <c r="X75">
        <f t="shared" si="10"/>
        <v>0.104</v>
      </c>
      <c r="Y75">
        <f t="shared" si="47"/>
        <v>0.14144000000000001</v>
      </c>
      <c r="Z75">
        <f t="shared" si="40"/>
        <v>0.81511582601638777</v>
      </c>
      <c r="AA75" s="30">
        <f t="shared" si="41"/>
        <v>1.0092105996032794</v>
      </c>
      <c r="AB75" s="181">
        <v>0.82</v>
      </c>
      <c r="AC75" s="30">
        <f>Z75/AB75</f>
        <v>0.99404369026388761</v>
      </c>
      <c r="AE75" t="s">
        <v>178</v>
      </c>
      <c r="AF75" s="33">
        <v>0.80468521848419605</v>
      </c>
      <c r="AG75" s="33">
        <v>0.31712803386658395</v>
      </c>
      <c r="AH75" s="30">
        <v>0.80633890548394438</v>
      </c>
      <c r="AJ75" s="38">
        <f>AH75/X75</f>
        <v>7.7532587065763883</v>
      </c>
      <c r="AK75" s="33"/>
    </row>
    <row r="76" spans="1:57" x14ac:dyDescent="0.2">
      <c r="A76" s="1" t="s">
        <v>179</v>
      </c>
      <c r="B76" s="30">
        <f>means!B80</f>
        <v>9.3291342679577977E-2</v>
      </c>
      <c r="C76" s="30">
        <f>means!M80</f>
        <v>5.6465362318840577E-2</v>
      </c>
      <c r="D76" s="30">
        <f>means!L80</f>
        <v>0.11076109571345316</v>
      </c>
      <c r="E76" s="30">
        <f>means!C80</f>
        <v>0.15283542384955404</v>
      </c>
      <c r="F76" s="30">
        <f>means!EQ80</f>
        <v>0.12126780900159928</v>
      </c>
      <c r="G76" s="30">
        <f>means!AQ80</f>
        <v>7.9217181380609278E-2</v>
      </c>
      <c r="H76" s="30">
        <f>means!AJ80</f>
        <v>0.12263044448695874</v>
      </c>
      <c r="I76" s="30">
        <f>means!AI80</f>
        <v>0.1125814614905022</v>
      </c>
      <c r="J76">
        <f t="shared" si="48"/>
        <v>0.12197235460580141</v>
      </c>
      <c r="K76">
        <f t="shared" si="49"/>
        <v>7.9409056780703549E-2</v>
      </c>
      <c r="L76">
        <f t="shared" si="50"/>
        <v>0.12618961645372148</v>
      </c>
      <c r="M76">
        <f t="shared" si="51"/>
        <v>0.11342636543479563</v>
      </c>
      <c r="N76" s="34">
        <f t="shared" si="19"/>
        <v>0.1061312651151369</v>
      </c>
      <c r="O76" s="30">
        <f t="shared" si="20"/>
        <v>2.9523816295375021E-2</v>
      </c>
      <c r="P76" s="30">
        <f t="shared" si="21"/>
        <v>2.4070636951712989E-2</v>
      </c>
      <c r="Q76">
        <f t="shared" si="17"/>
        <v>8</v>
      </c>
      <c r="S76">
        <f t="shared" si="22"/>
        <v>8</v>
      </c>
      <c r="V76">
        <v>1.4200000000000001E-2</v>
      </c>
      <c r="W76">
        <v>1</v>
      </c>
      <c r="X76">
        <f t="shared" si="10"/>
        <v>1.4200000000000001E-2</v>
      </c>
      <c r="Y76">
        <f t="shared" si="47"/>
        <v>1.9312000000000003E-2</v>
      </c>
      <c r="Z76">
        <f t="shared" si="40"/>
        <v>0.10710068744193507</v>
      </c>
      <c r="AA76" s="30">
        <f t="shared" si="41"/>
        <v>1.0091341823330429</v>
      </c>
      <c r="AB76" s="181">
        <v>0.11</v>
      </c>
      <c r="AC76" s="30">
        <f>Z76/AB76</f>
        <v>0.97364261310850064</v>
      </c>
      <c r="AE76" t="s">
        <v>179</v>
      </c>
      <c r="AF76" s="30">
        <v>0.11034562742141799</v>
      </c>
      <c r="AG76" s="30">
        <v>4.2393917521911864E-2</v>
      </c>
      <c r="AH76" s="30">
        <v>0.10752716995021719</v>
      </c>
      <c r="AJ76" s="38">
        <f>AH76/X76</f>
        <v>7.5723359119871256</v>
      </c>
      <c r="AK76" s="33"/>
    </row>
    <row r="77" spans="1:57" x14ac:dyDescent="0.2">
      <c r="A77" s="1" t="s">
        <v>326</v>
      </c>
      <c r="F77"/>
      <c r="G77"/>
      <c r="H77"/>
      <c r="N77" s="34" t="e">
        <f t="shared" si="19"/>
        <v>#DIV/0!</v>
      </c>
      <c r="O77" s="30" t="e">
        <f t="shared" si="20"/>
        <v>#DIV/0!</v>
      </c>
      <c r="P77" s="30" t="e">
        <f t="shared" si="21"/>
        <v>#DIV/0!</v>
      </c>
      <c r="Q77">
        <f t="shared" si="17"/>
        <v>0</v>
      </c>
      <c r="S77">
        <f t="shared" si="22"/>
        <v>0</v>
      </c>
      <c r="V77">
        <v>9.2600000000000002E-2</v>
      </c>
      <c r="W77">
        <v>1</v>
      </c>
      <c r="X77">
        <f t="shared" si="10"/>
        <v>9.2600000000000002E-2</v>
      </c>
      <c r="Y77">
        <f t="shared" si="47"/>
        <v>0.12593600000000002</v>
      </c>
      <c r="Z77" t="e">
        <f t="shared" si="40"/>
        <v>#DIV/0!</v>
      </c>
      <c r="AA77" s="30" t="e">
        <f t="shared" si="41"/>
        <v>#DIV/0!</v>
      </c>
      <c r="AE77" t="s">
        <v>326</v>
      </c>
      <c r="AF77" s="33" t="e">
        <v>#DIV/0!</v>
      </c>
      <c r="AG77" s="33">
        <v>0.19611998107989334</v>
      </c>
      <c r="AH77" s="33">
        <v>0.24545985617349181</v>
      </c>
      <c r="AJ77" s="38">
        <f>AH77/X77</f>
        <v>2.6507543863228058</v>
      </c>
      <c r="AK77" s="33"/>
    </row>
    <row r="78" spans="1:57" x14ac:dyDescent="0.2">
      <c r="A78" s="1" t="s">
        <v>180</v>
      </c>
      <c r="B78" s="30">
        <f>means!B81</f>
        <v>6.7225971961266087</v>
      </c>
      <c r="C78" s="30">
        <f>means!M81</f>
        <v>5.3582509057971013</v>
      </c>
      <c r="D78" s="30">
        <f>means!L81</f>
        <v>6.7710629218130203</v>
      </c>
      <c r="E78" s="30">
        <f>means!C81</f>
        <v>15.417996808473378</v>
      </c>
      <c r="F78" s="30">
        <f>means!EQ81</f>
        <v>5.1338496687228696</v>
      </c>
      <c r="G78" s="30">
        <f>means!AQ81</f>
        <v>5.6082214714939163</v>
      </c>
      <c r="H78" s="30">
        <f>means!AJ81</f>
        <v>3.4317872069579551</v>
      </c>
      <c r="I78" s="30">
        <f>means!AI81</f>
        <v>10.731931892871524</v>
      </c>
      <c r="J78">
        <f t="shared" si="48"/>
        <v>5.1636764731032931</v>
      </c>
      <c r="K78">
        <f t="shared" si="49"/>
        <v>5.6218053900316134</v>
      </c>
      <c r="L78">
        <f t="shared" si="50"/>
        <v>3.5313898861621285</v>
      </c>
      <c r="M78">
        <f t="shared" si="51"/>
        <v>10.812473142435426</v>
      </c>
      <c r="N78" s="34">
        <f t="shared" si="19"/>
        <v>7.3969622590320458</v>
      </c>
      <c r="O78" s="30">
        <f t="shared" si="20"/>
        <v>3.8638575339230963</v>
      </c>
      <c r="P78" s="30">
        <f t="shared" si="21"/>
        <v>3.1501859719528689</v>
      </c>
      <c r="Q78">
        <f t="shared" si="17"/>
        <v>8</v>
      </c>
      <c r="S78">
        <f t="shared" si="22"/>
        <v>8</v>
      </c>
      <c r="V78">
        <v>481</v>
      </c>
      <c r="W78">
        <v>1</v>
      </c>
      <c r="X78">
        <f t="shared" si="10"/>
        <v>481</v>
      </c>
      <c r="Y78">
        <f t="shared" si="47"/>
        <v>654.16000000000008</v>
      </c>
      <c r="Z78" s="107">
        <f t="shared" si="40"/>
        <v>0.17521800558308429</v>
      </c>
      <c r="AA78" s="30">
        <f t="shared" si="41"/>
        <v>2.3687832849104331E-2</v>
      </c>
      <c r="AE78" t="s">
        <v>180</v>
      </c>
      <c r="AF78" s="33">
        <v>7.4981842968173122</v>
      </c>
      <c r="AG78" s="33">
        <v>5.7168422376917558</v>
      </c>
      <c r="AH78" s="32">
        <v>3.1740243640911349E-7</v>
      </c>
      <c r="AJ78" s="38"/>
      <c r="AK78" s="33"/>
      <c r="AM78" s="32"/>
      <c r="AN78" s="30">
        <f>(means!D81-FUpCr!AN$18*FUpCr!$Y78)/(1-AN$18)</f>
        <v>-1.0161707783225666E-5</v>
      </c>
      <c r="AO78" s="30">
        <f>(means!K81-FUpCr!AO$18*FUpCr!$Y78)/(1-AO$18)</f>
        <v>-1.8487441435831542E-4</v>
      </c>
    </row>
    <row r="79" spans="1:57" x14ac:dyDescent="0.2">
      <c r="A79" s="1" t="s">
        <v>181</v>
      </c>
      <c r="B79" s="30">
        <f>means!B82</f>
        <v>2.2089948964576793</v>
      </c>
      <c r="C79" s="30">
        <f>means!M82</f>
        <v>1.9664814097106729</v>
      </c>
      <c r="D79" s="30">
        <f>means!L82</f>
        <v>2.8125792247100185</v>
      </c>
      <c r="E79" s="30">
        <f>means!C82</f>
        <v>4.8078249501800556</v>
      </c>
      <c r="F79" s="30">
        <f>means!EQ82</f>
        <v>5.1109709846927123</v>
      </c>
      <c r="G79" s="30">
        <f>means!AQ82</f>
        <v>3.1089105802864059</v>
      </c>
      <c r="H79" s="30">
        <f>means!AJ82</f>
        <v>1.6741096280162664</v>
      </c>
      <c r="I79" s="30">
        <f>means!AI82</f>
        <v>0</v>
      </c>
      <c r="J79">
        <f t="shared" si="48"/>
        <v>5.1406648677612381</v>
      </c>
      <c r="K79">
        <f t="shared" si="49"/>
        <v>3.1164408085910926</v>
      </c>
      <c r="L79">
        <f t="shared" si="50"/>
        <v>1.7226982479323978</v>
      </c>
      <c r="M79">
        <f t="shared" si="51"/>
        <v>0</v>
      </c>
      <c r="N79" s="34">
        <f t="shared" si="19"/>
        <v>2.7112339592567265</v>
      </c>
      <c r="O79" s="30">
        <f t="shared" si="20"/>
        <v>1.6714478765748957</v>
      </c>
      <c r="P79" s="30">
        <f t="shared" si="21"/>
        <v>1.362724067181263</v>
      </c>
      <c r="Q79">
        <f t="shared" si="17"/>
        <v>8</v>
      </c>
      <c r="S79">
        <f t="shared" si="22"/>
        <v>8</v>
      </c>
      <c r="V79">
        <v>140</v>
      </c>
      <c r="W79">
        <v>1</v>
      </c>
      <c r="X79">
        <f t="shared" si="10"/>
        <v>140</v>
      </c>
      <c r="Y79">
        <f t="shared" si="47"/>
        <v>190.4</v>
      </c>
      <c r="Z79">
        <f t="shared" si="40"/>
        <v>0.61550462950717255</v>
      </c>
      <c r="AA79" s="30">
        <f t="shared" si="41"/>
        <v>0.22702010920367441</v>
      </c>
      <c r="AE79" t="s">
        <v>181</v>
      </c>
      <c r="AF79" s="33">
        <v>4.7957206654978899</v>
      </c>
      <c r="AG79" s="33">
        <v>1.3508918759617803</v>
      </c>
      <c r="AH79" s="33">
        <v>0.57826182180141716</v>
      </c>
      <c r="AJ79" s="38"/>
      <c r="AK79" s="33"/>
      <c r="AM79" s="63"/>
      <c r="AN79" s="30">
        <f>(means!D82-FUpCr!AN$18*FUpCr!$Y79)/(1-AN$18)</f>
        <v>0.59312062847571012</v>
      </c>
      <c r="AO79" s="30">
        <f>(means!K82-FUpCr!AO$18*FUpCr!$Y79)/(1-AO$18)</f>
        <v>1.8792193414527014</v>
      </c>
    </row>
    <row r="80" spans="1:57" x14ac:dyDescent="0.2">
      <c r="A80" s="1" t="s">
        <v>181</v>
      </c>
      <c r="B80" s="132">
        <f t="shared" ref="B80:I80" si="52">B38/$N$102</f>
        <v>2.9135526625962354</v>
      </c>
      <c r="C80" s="132">
        <f t="shared" si="52"/>
        <v>1.9147711635525531</v>
      </c>
      <c r="D80" s="132">
        <f t="shared" si="52"/>
        <v>2.1947405256328203</v>
      </c>
      <c r="E80" s="132">
        <f t="shared" si="52"/>
        <v>4.4569313268557922</v>
      </c>
      <c r="F80" s="132">
        <f t="shared" si="52"/>
        <v>2.1235156817181124</v>
      </c>
      <c r="G80" s="132">
        <f t="shared" si="52"/>
        <v>2.2749009496553403</v>
      </c>
      <c r="H80" s="132">
        <f t="shared" si="52"/>
        <v>1.8720236343887469</v>
      </c>
      <c r="I80" s="132">
        <f t="shared" si="52"/>
        <v>3.4744920796541576</v>
      </c>
      <c r="J80">
        <f t="shared" si="48"/>
        <v>2.1358529511989937</v>
      </c>
      <c r="K80">
        <f t="shared" si="49"/>
        <v>2.280411086752907</v>
      </c>
      <c r="L80">
        <f t="shared" si="50"/>
        <v>1.9263564231877166</v>
      </c>
      <c r="M80">
        <f t="shared" si="51"/>
        <v>3.5005675278109907</v>
      </c>
      <c r="N80" s="34">
        <f>AVERAGE(B80:I80)</f>
        <v>2.65311600300672</v>
      </c>
      <c r="O80" s="30">
        <f>STDEV(B80:I80)</f>
        <v>0.90909100840264534</v>
      </c>
      <c r="P80" s="30">
        <f>O80*TINV(0.05,S80)/SQRT(S80)</f>
        <v>1.2620206402294254</v>
      </c>
      <c r="Q80">
        <f>COUNT(B80:I80)</f>
        <v>8</v>
      </c>
      <c r="R80">
        <v>4</v>
      </c>
      <c r="S80">
        <f>Q80-R80</f>
        <v>4</v>
      </c>
      <c r="V80">
        <v>140</v>
      </c>
      <c r="W80">
        <v>1</v>
      </c>
      <c r="X80">
        <f>V80*W80</f>
        <v>140</v>
      </c>
      <c r="Y80">
        <f t="shared" si="47"/>
        <v>190.4</v>
      </c>
      <c r="Z80">
        <f>(N80-Y80*Z$1)/(1-Z$1)</f>
        <v>0.55673772922035669</v>
      </c>
      <c r="AA80" s="30">
        <f>Z80/N80</f>
        <v>0.20984296524894414</v>
      </c>
      <c r="AF80" s="33">
        <v>2.7346790431586454</v>
      </c>
      <c r="AG80" s="33"/>
      <c r="AH80" s="33"/>
      <c r="AJ80" s="38"/>
      <c r="AK80" s="33"/>
      <c r="AM80" s="63"/>
      <c r="AN80" s="63"/>
      <c r="AO80" s="63"/>
    </row>
    <row r="81" spans="1:37" x14ac:dyDescent="0.2">
      <c r="A81" s="1" t="s">
        <v>346</v>
      </c>
      <c r="F81"/>
      <c r="G81"/>
      <c r="H81"/>
      <c r="N81" s="34" t="e">
        <f t="shared" si="19"/>
        <v>#DIV/0!</v>
      </c>
      <c r="O81" s="30" t="e">
        <f t="shared" si="20"/>
        <v>#DIV/0!</v>
      </c>
      <c r="P81" s="30" t="e">
        <f t="shared" si="21"/>
        <v>#DIV/0!</v>
      </c>
      <c r="Q81">
        <f t="shared" si="17"/>
        <v>0</v>
      </c>
      <c r="S81">
        <f t="shared" si="22"/>
        <v>0</v>
      </c>
      <c r="V81">
        <v>0.14199999999999999</v>
      </c>
      <c r="W81">
        <v>1</v>
      </c>
      <c r="X81">
        <f t="shared" si="10"/>
        <v>0.14199999999999999</v>
      </c>
      <c r="Y81">
        <f t="shared" si="47"/>
        <v>0.19311999999999999</v>
      </c>
      <c r="Z81" t="e">
        <f t="shared" si="40"/>
        <v>#DIV/0!</v>
      </c>
      <c r="AA81" s="30" t="e">
        <f t="shared" si="41"/>
        <v>#DIV/0!</v>
      </c>
      <c r="AE81" t="s">
        <v>346</v>
      </c>
      <c r="AF81" s="41" t="e">
        <v>#DIV/0!</v>
      </c>
      <c r="AG81" s="41" t="e">
        <v>#DIV/0!</v>
      </c>
      <c r="AH81" s="41">
        <v>-4.9749661243015959E-4</v>
      </c>
      <c r="AJ81" s="38"/>
      <c r="AK81" s="33"/>
    </row>
    <row r="82" spans="1:37" x14ac:dyDescent="0.2">
      <c r="A82" s="1" t="s">
        <v>322</v>
      </c>
      <c r="F82"/>
      <c r="G82"/>
      <c r="H82"/>
      <c r="N82" s="34" t="e">
        <f t="shared" si="19"/>
        <v>#DIV/0!</v>
      </c>
      <c r="O82" s="30" t="e">
        <f t="shared" si="20"/>
        <v>#DIV/0!</v>
      </c>
      <c r="P82" s="30" t="e">
        <f t="shared" si="21"/>
        <v>#DIV/0!</v>
      </c>
      <c r="Q82">
        <f t="shared" si="17"/>
        <v>0</v>
      </c>
      <c r="S82">
        <f t="shared" si="22"/>
        <v>0</v>
      </c>
      <c r="V82">
        <v>2.4700000000000002</v>
      </c>
      <c r="W82">
        <v>1</v>
      </c>
      <c r="X82">
        <f t="shared" si="10"/>
        <v>2.4700000000000002</v>
      </c>
      <c r="Y82">
        <f t="shared" si="47"/>
        <v>3.3592000000000004</v>
      </c>
      <c r="Z82" t="e">
        <f t="shared" si="40"/>
        <v>#DIV/0!</v>
      </c>
      <c r="AA82" s="30" t="e">
        <f t="shared" si="41"/>
        <v>#DIV/0!</v>
      </c>
      <c r="AE82" t="s">
        <v>322</v>
      </c>
      <c r="AF82" s="33" t="e">
        <v>#DIV/0!</v>
      </c>
      <c r="AG82" s="33">
        <v>0.38723901525372623</v>
      </c>
      <c r="AH82" s="33">
        <v>0.72179203466647912</v>
      </c>
      <c r="AJ82" s="38">
        <f>AH82/X82</f>
        <v>0.29222349581638829</v>
      </c>
      <c r="AK82" s="33"/>
    </row>
    <row r="83" spans="1:37" x14ac:dyDescent="0.2">
      <c r="A83" s="1" t="s">
        <v>344</v>
      </c>
      <c r="F83"/>
      <c r="G83"/>
      <c r="H83"/>
      <c r="N83" s="34" t="e">
        <f t="shared" si="19"/>
        <v>#DIV/0!</v>
      </c>
      <c r="O83" s="30" t="e">
        <f t="shared" si="20"/>
        <v>#DIV/0!</v>
      </c>
      <c r="P83" s="30" t="e">
        <f t="shared" si="21"/>
        <v>#DIV/0!</v>
      </c>
      <c r="Q83">
        <f t="shared" si="17"/>
        <v>0</v>
      </c>
      <c r="S83">
        <f t="shared" si="22"/>
        <v>0</v>
      </c>
      <c r="V83">
        <v>0.114</v>
      </c>
      <c r="W83">
        <v>1</v>
      </c>
      <c r="X83">
        <f t="shared" si="10"/>
        <v>0.114</v>
      </c>
      <c r="Y83">
        <f t="shared" si="47"/>
        <v>0.15504000000000001</v>
      </c>
      <c r="Z83" t="e">
        <f t="shared" si="40"/>
        <v>#DIV/0!</v>
      </c>
      <c r="AA83" s="30" t="e">
        <f t="shared" si="41"/>
        <v>#DIV/0!</v>
      </c>
      <c r="AE83" t="s">
        <v>344</v>
      </c>
      <c r="AF83" s="41" t="e">
        <v>#DIV/0!</v>
      </c>
      <c r="AG83" s="41" t="e">
        <v>#DIV/0!</v>
      </c>
      <c r="AH83" s="41">
        <v>-1.5068495703535567E-3</v>
      </c>
      <c r="AJ83" s="38"/>
      <c r="AK83" s="33"/>
    </row>
    <row r="84" spans="1:37" x14ac:dyDescent="0.2">
      <c r="A84" s="1" t="s">
        <v>182</v>
      </c>
      <c r="B84" s="30">
        <f>means!B83</f>
        <v>0.31116165630871512</v>
      </c>
      <c r="C84" s="30">
        <f>means!M83</f>
        <v>0.19947743240740742</v>
      </c>
      <c r="D84" s="30" t="e">
        <f>means!L83</f>
        <v>#DIV/0!</v>
      </c>
      <c r="E84" s="30">
        <f>means!C83</f>
        <v>0.52035697213120291</v>
      </c>
      <c r="F84" s="30">
        <f>means!EQ83</f>
        <v>0.59504030157642218</v>
      </c>
      <c r="G84" s="30">
        <f>means!AQ83</f>
        <v>0.23328503094262901</v>
      </c>
      <c r="H84" s="30">
        <f>means!AJ83</f>
        <v>0.29317971773778162</v>
      </c>
      <c r="I84" s="30">
        <f>means!AI83</f>
        <v>0.41006949540104021</v>
      </c>
      <c r="J84">
        <f t="shared" si="48"/>
        <v>0.59849738579564182</v>
      </c>
      <c r="K84">
        <f t="shared" si="49"/>
        <v>0.23385008082029451</v>
      </c>
      <c r="L84">
        <f t="shared" si="50"/>
        <v>0.30168883663530538</v>
      </c>
      <c r="M84">
        <f t="shared" si="51"/>
        <v>0.41314699439165314</v>
      </c>
      <c r="N84" s="34" t="e">
        <f t="shared" si="19"/>
        <v>#DIV/0!</v>
      </c>
      <c r="O84" s="30" t="e">
        <f t="shared" si="20"/>
        <v>#DIV/0!</v>
      </c>
      <c r="P84" s="30" t="e">
        <f t="shared" si="21"/>
        <v>#DIV/0!</v>
      </c>
      <c r="Q84">
        <f t="shared" si="17"/>
        <v>7</v>
      </c>
      <c r="S84">
        <f t="shared" si="22"/>
        <v>7</v>
      </c>
      <c r="V84">
        <v>2.9399999999999999E-2</v>
      </c>
      <c r="W84">
        <v>1</v>
      </c>
      <c r="X84">
        <f t="shared" si="10"/>
        <v>2.9399999999999999E-2</v>
      </c>
      <c r="Y84">
        <f t="shared" si="47"/>
        <v>3.9983999999999999E-2</v>
      </c>
      <c r="Z84" t="e">
        <f t="shared" si="40"/>
        <v>#DIV/0!</v>
      </c>
      <c r="AA84" s="30" t="e">
        <f t="shared" si="41"/>
        <v>#DIV/0!</v>
      </c>
      <c r="AB84" s="181">
        <v>0.39</v>
      </c>
      <c r="AC84" s="30" t="e">
        <f>Z84/AB84</f>
        <v>#DIV/0!</v>
      </c>
      <c r="AE84" t="s">
        <v>182</v>
      </c>
      <c r="AF84" s="30">
        <v>0.37459077034613486</v>
      </c>
      <c r="AG84" s="30">
        <v>0.14203563920627604</v>
      </c>
      <c r="AH84" s="30">
        <v>0.36564496215093079</v>
      </c>
      <c r="AI84">
        <v>0.9</v>
      </c>
      <c r="AJ84" s="38">
        <f>AH84/X84</f>
        <v>12.436903474521456</v>
      </c>
      <c r="AK84" s="33">
        <f t="shared" si="36"/>
        <v>2.4614040754334212</v>
      </c>
    </row>
    <row r="85" spans="1:37" ht="13.5" thickBot="1" x14ac:dyDescent="0.25">
      <c r="A85" s="1" t="s">
        <v>183</v>
      </c>
      <c r="B85" s="30">
        <f>means!B84</f>
        <v>0.10268374524256878</v>
      </c>
      <c r="C85" s="30">
        <f>means!M84</f>
        <v>5.1689888582167956E-2</v>
      </c>
      <c r="D85" s="30" t="e">
        <f>means!L84</f>
        <v>#DIV/0!</v>
      </c>
      <c r="E85" s="30">
        <f>means!C84</f>
        <v>0.13562765636598115</v>
      </c>
      <c r="F85" s="30">
        <f>means!EQ84</f>
        <v>0.22134201507882112</v>
      </c>
      <c r="G85" s="30">
        <f>means!AQ84</f>
        <v>6.7802026966426496E-2</v>
      </c>
      <c r="H85" s="30">
        <f>means!AJ84</f>
        <v>0.2518781769216053</v>
      </c>
      <c r="I85" s="30">
        <f>means!AI84</f>
        <v>0.24163291346370963</v>
      </c>
      <c r="J85">
        <f t="shared" si="48"/>
        <v>0.22262797501355502</v>
      </c>
      <c r="K85">
        <f t="shared" si="49"/>
        <v>6.7966253221699066E-2</v>
      </c>
      <c r="L85">
        <f t="shared" si="50"/>
        <v>0.25918857810370338</v>
      </c>
      <c r="M85">
        <f t="shared" si="51"/>
        <v>0.24344632571607963</v>
      </c>
      <c r="N85" s="34" t="e">
        <f t="shared" si="19"/>
        <v>#DIV/0!</v>
      </c>
      <c r="O85" s="30" t="e">
        <f t="shared" si="20"/>
        <v>#DIV/0!</v>
      </c>
      <c r="P85" s="30" t="e">
        <f t="shared" si="21"/>
        <v>#DIV/0!</v>
      </c>
      <c r="Q85">
        <f t="shared" si="17"/>
        <v>7</v>
      </c>
      <c r="S85">
        <f t="shared" si="22"/>
        <v>7</v>
      </c>
      <c r="V85">
        <v>8.0999999999999996E-3</v>
      </c>
      <c r="W85">
        <v>1</v>
      </c>
      <c r="X85">
        <f t="shared" si="10"/>
        <v>8.0999999999999996E-3</v>
      </c>
      <c r="Y85">
        <f t="shared" si="47"/>
        <v>1.1016E-2</v>
      </c>
      <c r="Z85" t="e">
        <f t="shared" si="40"/>
        <v>#DIV/0!</v>
      </c>
      <c r="AA85" s="30" t="e">
        <f t="shared" si="41"/>
        <v>#DIV/0!</v>
      </c>
      <c r="AB85" s="182">
        <v>0.13</v>
      </c>
      <c r="AC85" s="30" t="e">
        <f>Z85/AB85</f>
        <v>#DIV/0!</v>
      </c>
      <c r="AE85" t="s">
        <v>183</v>
      </c>
      <c r="AF85" s="30">
        <v>0.14966504939180886</v>
      </c>
      <c r="AG85" s="30">
        <v>6.7197916654349432E-2</v>
      </c>
      <c r="AH85" s="30">
        <v>0.12426222526830215</v>
      </c>
      <c r="AI85">
        <v>0.24</v>
      </c>
      <c r="AJ85" s="38">
        <f>AH85/X85</f>
        <v>15.341015465222489</v>
      </c>
      <c r="AK85" s="33">
        <f t="shared" si="36"/>
        <v>1.9313995019950863</v>
      </c>
    </row>
    <row r="86" spans="1:37" x14ac:dyDescent="0.2">
      <c r="P86" s="33" t="e">
        <f t="shared" ref="P86:P98" si="53">O86*TINV(0.05,S86)/SQRT(S86)</f>
        <v>#NUM!</v>
      </c>
      <c r="Q86">
        <f t="shared" ref="Q86:Q98" si="54">COUNT(B86:I86)</f>
        <v>0</v>
      </c>
      <c r="AK86" s="72">
        <f>AVERAGE(AK59:AK85)</f>
        <v>1.8607220919826268</v>
      </c>
    </row>
    <row r="87" spans="1:37" x14ac:dyDescent="0.2">
      <c r="A87" s="28" t="s">
        <v>656</v>
      </c>
      <c r="B87">
        <f>B12/B65</f>
        <v>2.0727844464407921E-2</v>
      </c>
      <c r="C87">
        <f>C12/C65</f>
        <v>4.1458904601654474E-2</v>
      </c>
      <c r="D87">
        <f>D12/D65</f>
        <v>2.4648099799686143E-2</v>
      </c>
      <c r="E87">
        <f>E12/E65</f>
        <v>1.946862440390346E-2</v>
      </c>
      <c r="F87"/>
      <c r="G87"/>
      <c r="H87"/>
      <c r="N87" s="34">
        <f>AVERAGE(B87:I87)</f>
        <v>2.6575868317412998E-2</v>
      </c>
      <c r="P87" s="33">
        <f t="shared" si="53"/>
        <v>0</v>
      </c>
      <c r="Q87">
        <f t="shared" si="54"/>
        <v>4</v>
      </c>
      <c r="S87">
        <f t="shared" ref="S87:S98" si="55">Q87-R87</f>
        <v>4</v>
      </c>
      <c r="AE87" t="s">
        <v>348</v>
      </c>
      <c r="AF87">
        <v>2.6368575590956338E-2</v>
      </c>
      <c r="AK87">
        <f>1/AK86</f>
        <v>0.53742576836634715</v>
      </c>
    </row>
    <row r="88" spans="1:37" x14ac:dyDescent="0.2">
      <c r="A88" s="28" t="s">
        <v>349</v>
      </c>
      <c r="B88" s="31">
        <f>B33/B6</f>
        <v>0</v>
      </c>
      <c r="C88" s="31">
        <f>C33/C6</f>
        <v>0</v>
      </c>
      <c r="D88" s="31">
        <f>D33/D6</f>
        <v>0</v>
      </c>
      <c r="E88" s="31"/>
      <c r="I88" s="31">
        <f>I33/I6</f>
        <v>0</v>
      </c>
      <c r="N88" s="34">
        <f t="shared" ref="N88:N98" si="56">AVERAGE(B88:I88)</f>
        <v>0</v>
      </c>
      <c r="O88" s="30">
        <f t="shared" ref="O88:O98" si="57">STDEV(B88:I88)</f>
        <v>0</v>
      </c>
      <c r="P88" s="33">
        <f t="shared" si="53"/>
        <v>0</v>
      </c>
      <c r="Q88">
        <f t="shared" si="54"/>
        <v>4</v>
      </c>
      <c r="S88">
        <f t="shared" si="55"/>
        <v>4</v>
      </c>
      <c r="U88" s="57"/>
      <c r="V88" s="62"/>
      <c r="W88" s="62"/>
      <c r="AE88" t="s">
        <v>349</v>
      </c>
      <c r="AF88">
        <v>0</v>
      </c>
    </row>
    <row r="89" spans="1:37" x14ac:dyDescent="0.2">
      <c r="A89" s="28" t="s">
        <v>350</v>
      </c>
      <c r="B89" s="30">
        <f>B33/B9</f>
        <v>0</v>
      </c>
      <c r="C89" s="30">
        <f>C33/C9</f>
        <v>0</v>
      </c>
      <c r="D89" s="30">
        <f>D33/D9</f>
        <v>0</v>
      </c>
      <c r="E89" s="30"/>
      <c r="I89" s="30">
        <f>I33/I9</f>
        <v>0</v>
      </c>
      <c r="N89" s="34">
        <f t="shared" si="56"/>
        <v>0</v>
      </c>
      <c r="O89" s="30">
        <f t="shared" si="57"/>
        <v>0</v>
      </c>
      <c r="P89" s="33">
        <f t="shared" si="53"/>
        <v>0</v>
      </c>
      <c r="Q89">
        <f t="shared" si="54"/>
        <v>4</v>
      </c>
      <c r="S89">
        <f t="shared" si="55"/>
        <v>4</v>
      </c>
      <c r="U89" s="57"/>
      <c r="V89" s="62"/>
      <c r="W89" s="62"/>
      <c r="AE89" t="s">
        <v>350</v>
      </c>
      <c r="AF89">
        <v>0</v>
      </c>
    </row>
    <row r="90" spans="1:37" x14ac:dyDescent="0.2">
      <c r="A90" s="28" t="s">
        <v>351</v>
      </c>
      <c r="D90">
        <f>D49/D76</f>
        <v>0</v>
      </c>
      <c r="E90">
        <f>E49/E76</f>
        <v>0</v>
      </c>
      <c r="N90" s="34">
        <f t="shared" si="56"/>
        <v>0</v>
      </c>
      <c r="O90" s="30">
        <f t="shared" si="57"/>
        <v>0</v>
      </c>
      <c r="P90" s="33">
        <f t="shared" si="53"/>
        <v>0</v>
      </c>
      <c r="Q90">
        <f t="shared" si="54"/>
        <v>2</v>
      </c>
      <c r="S90">
        <f t="shared" si="55"/>
        <v>2</v>
      </c>
      <c r="U90" s="57"/>
      <c r="V90" s="62"/>
      <c r="W90" s="62"/>
      <c r="AE90" t="s">
        <v>351</v>
      </c>
      <c r="AF90">
        <v>0</v>
      </c>
    </row>
    <row r="91" spans="1:37" x14ac:dyDescent="0.2">
      <c r="A91" s="28" t="s">
        <v>352</v>
      </c>
      <c r="B91">
        <f>B5/B65</f>
        <v>0.12968054350376745</v>
      </c>
      <c r="C91">
        <f>C5/C65</f>
        <v>0.16846240667768506</v>
      </c>
      <c r="D91">
        <f>D5/D65</f>
        <v>7.7507225523511969E-2</v>
      </c>
      <c r="E91">
        <f>E5/E65</f>
        <v>5.4252955598763079E-2</v>
      </c>
      <c r="N91" s="37">
        <f t="shared" si="56"/>
        <v>0.1074757828259319</v>
      </c>
      <c r="O91" s="30">
        <f t="shared" si="57"/>
        <v>5.1456141358237187E-2</v>
      </c>
      <c r="P91" s="33">
        <f t="shared" si="53"/>
        <v>7.143257590322169E-2</v>
      </c>
      <c r="Q91">
        <f t="shared" si="54"/>
        <v>4</v>
      </c>
      <c r="S91">
        <f t="shared" si="55"/>
        <v>4</v>
      </c>
      <c r="U91" s="57"/>
      <c r="V91" s="62"/>
      <c r="W91" s="62"/>
      <c r="AE91" t="s">
        <v>352</v>
      </c>
      <c r="AF91">
        <v>0.10603436481943032</v>
      </c>
    </row>
    <row r="92" spans="1:37" x14ac:dyDescent="0.2">
      <c r="A92" s="28" t="s">
        <v>353</v>
      </c>
      <c r="B92" s="33">
        <f>B59/B65</f>
        <v>30.220107563055326</v>
      </c>
      <c r="C92" s="33">
        <f>C59/C65</f>
        <v>40.224063695729662</v>
      </c>
      <c r="D92" s="33">
        <f>D59/D65</f>
        <v>26.616635193371163</v>
      </c>
      <c r="E92" s="33">
        <f>E59/E65</f>
        <v>27.621352998447907</v>
      </c>
      <c r="F92" s="33"/>
      <c r="G92" s="33">
        <f>G59/G65</f>
        <v>32.592250329055943</v>
      </c>
      <c r="H92" s="33"/>
      <c r="I92" s="33"/>
      <c r="N92" s="72">
        <f t="shared" si="56"/>
        <v>31.454881955932002</v>
      </c>
      <c r="O92" s="33">
        <f t="shared" si="57"/>
        <v>5.4272783005477718</v>
      </c>
      <c r="P92" s="33">
        <f t="shared" si="53"/>
        <v>6.2391944952990785</v>
      </c>
      <c r="Q92">
        <f t="shared" si="54"/>
        <v>5</v>
      </c>
      <c r="S92">
        <f t="shared" si="55"/>
        <v>5</v>
      </c>
      <c r="U92" s="57"/>
      <c r="V92" s="62"/>
      <c r="W92" s="62"/>
      <c r="AE92" t="s">
        <v>353</v>
      </c>
      <c r="AF92">
        <v>32.569421868934846</v>
      </c>
    </row>
    <row r="93" spans="1:37" x14ac:dyDescent="0.2">
      <c r="A93" s="28" t="s">
        <v>184</v>
      </c>
      <c r="B93" s="30">
        <f t="shared" ref="B93:G93" si="58">B60/B65</f>
        <v>2.1872829270070144</v>
      </c>
      <c r="C93" s="30">
        <f t="shared" si="58"/>
        <v>2.1103277766190884</v>
      </c>
      <c r="D93" s="30">
        <f t="shared" si="58"/>
        <v>2.1519120983648432</v>
      </c>
      <c r="E93" s="30">
        <f t="shared" si="58"/>
        <v>2.1911575064641302</v>
      </c>
      <c r="F93" s="30">
        <f t="shared" si="58"/>
        <v>2.1961671847698696</v>
      </c>
      <c r="G93" s="30">
        <f t="shared" si="58"/>
        <v>1.9724942319504888</v>
      </c>
      <c r="H93" s="33"/>
      <c r="I93" s="30">
        <f>I60/I65</f>
        <v>2.2566850353568078</v>
      </c>
      <c r="N93" s="34">
        <f t="shared" si="56"/>
        <v>2.1522895372188917</v>
      </c>
      <c r="O93" s="33"/>
      <c r="P93" s="33"/>
      <c r="U93" s="57"/>
      <c r="V93" s="62"/>
      <c r="W93" s="62"/>
    </row>
    <row r="94" spans="1:37" x14ac:dyDescent="0.2">
      <c r="A94" s="28" t="s">
        <v>743</v>
      </c>
      <c r="B94" s="30">
        <f t="shared" ref="B94:G94" si="59">B61/B65</f>
        <v>5.7216100489998185</v>
      </c>
      <c r="C94" s="30">
        <f t="shared" si="59"/>
        <v>5.4923859831482593</v>
      </c>
      <c r="D94" s="30">
        <f t="shared" si="59"/>
        <v>5.4705941205732396</v>
      </c>
      <c r="E94" s="30">
        <f t="shared" si="59"/>
        <v>5.542486254485679</v>
      </c>
      <c r="F94" s="30">
        <f t="shared" si="59"/>
        <v>5.4954200660678385</v>
      </c>
      <c r="G94" s="30">
        <f t="shared" si="59"/>
        <v>4.8106612497909218</v>
      </c>
      <c r="H94" s="33"/>
      <c r="I94" s="30">
        <f>I61/I65</f>
        <v>5.8703288973052832</v>
      </c>
      <c r="N94" s="34">
        <f t="shared" si="56"/>
        <v>5.4862123743387201</v>
      </c>
      <c r="O94" s="33"/>
      <c r="P94" s="33"/>
      <c r="U94" s="57"/>
      <c r="V94" s="62"/>
      <c r="W94" s="62"/>
    </row>
    <row r="95" spans="1:37" x14ac:dyDescent="0.2">
      <c r="A95" s="28" t="s">
        <v>481</v>
      </c>
      <c r="B95" s="30">
        <f t="shared" ref="B95:G95" si="60">B63/B65</f>
        <v>3.3955608540400548</v>
      </c>
      <c r="C95" s="30">
        <f t="shared" si="60"/>
        <v>2.9189589917933505</v>
      </c>
      <c r="D95" s="30">
        <f t="shared" si="60"/>
        <v>3.4588696421258707</v>
      </c>
      <c r="E95" s="30">
        <f t="shared" si="60"/>
        <v>3.2544958966520414</v>
      </c>
      <c r="F95" s="30">
        <f t="shared" si="60"/>
        <v>3.3456821524814409</v>
      </c>
      <c r="G95" s="30">
        <f t="shared" si="60"/>
        <v>3.1734218795986897</v>
      </c>
      <c r="H95" s="33"/>
      <c r="I95" s="30">
        <f>I63/I65</f>
        <v>3.3505955002168815</v>
      </c>
      <c r="N95" s="34">
        <f t="shared" si="56"/>
        <v>3.2710835595583325</v>
      </c>
      <c r="O95" s="33"/>
      <c r="P95" s="33"/>
      <c r="U95" s="57"/>
      <c r="V95" s="62"/>
      <c r="W95" s="62"/>
    </row>
    <row r="96" spans="1:37" x14ac:dyDescent="0.2">
      <c r="A96" s="28" t="s">
        <v>451</v>
      </c>
      <c r="B96" s="30">
        <f>B65/B73</f>
        <v>1.1696447903856677</v>
      </c>
      <c r="C96" s="30">
        <f t="shared" ref="C96:I96" si="61">C65/C73</f>
        <v>0.99377034531659814</v>
      </c>
      <c r="D96" s="30">
        <f t="shared" si="61"/>
        <v>1.1853463959500112</v>
      </c>
      <c r="E96" s="30">
        <f t="shared" si="61"/>
        <v>1.2784445453880302</v>
      </c>
      <c r="F96" s="30">
        <f t="shared" si="61"/>
        <v>1.2664422967317746</v>
      </c>
      <c r="G96" s="30">
        <f t="shared" si="61"/>
        <v>1.1944655109829325</v>
      </c>
      <c r="H96" s="30">
        <f t="shared" si="61"/>
        <v>1.348960928452801</v>
      </c>
      <c r="I96" s="30">
        <f t="shared" si="61"/>
        <v>1.2651076009626279</v>
      </c>
      <c r="N96" s="34"/>
      <c r="O96" s="33"/>
      <c r="P96" s="33"/>
      <c r="U96" s="57"/>
      <c r="V96" s="62"/>
      <c r="W96" s="62"/>
    </row>
    <row r="97" spans="1:32" x14ac:dyDescent="0.2">
      <c r="A97" s="28" t="s">
        <v>452</v>
      </c>
      <c r="B97" s="31">
        <f>B28/B84</f>
        <v>640.35111383809078</v>
      </c>
      <c r="C97" s="31">
        <f>C28/C84</f>
        <v>949.40027502085081</v>
      </c>
      <c r="D97" s="31" t="e">
        <f>D28/D84</f>
        <v>#DIV/0!</v>
      </c>
      <c r="E97" s="31">
        <f>E28/E84</f>
        <v>531.33856116875893</v>
      </c>
      <c r="N97" s="34" t="e">
        <f t="shared" si="56"/>
        <v>#DIV/0!</v>
      </c>
      <c r="O97" s="30" t="e">
        <f t="shared" si="57"/>
        <v>#DIV/0!</v>
      </c>
      <c r="P97" s="33" t="e">
        <f t="shared" si="53"/>
        <v>#DIV/0!</v>
      </c>
      <c r="Q97">
        <f t="shared" si="54"/>
        <v>3</v>
      </c>
      <c r="S97">
        <f t="shared" si="55"/>
        <v>3</v>
      </c>
      <c r="U97" s="57"/>
      <c r="V97" s="62"/>
      <c r="W97" s="62"/>
      <c r="AF97">
        <v>633.93795442112139</v>
      </c>
    </row>
    <row r="98" spans="1:32" x14ac:dyDescent="0.2">
      <c r="A98" s="28" t="s">
        <v>657</v>
      </c>
      <c r="B98" s="31">
        <f>B45/B11</f>
        <v>23.225819240573259</v>
      </c>
      <c r="C98" s="31">
        <f>C45/C11</f>
        <v>15.92548012352875</v>
      </c>
      <c r="D98" s="31">
        <f>D45/D11</f>
        <v>29.87792164849898</v>
      </c>
      <c r="E98" s="31">
        <f>E45/E11</f>
        <v>43.194408145163237</v>
      </c>
      <c r="N98" s="34">
        <f t="shared" si="56"/>
        <v>28.055907289441055</v>
      </c>
      <c r="O98" s="30">
        <f t="shared" si="57"/>
        <v>11.58980814150423</v>
      </c>
      <c r="P98" s="33">
        <f t="shared" si="53"/>
        <v>16.089233042330477</v>
      </c>
      <c r="Q98">
        <f t="shared" si="54"/>
        <v>4</v>
      </c>
      <c r="S98">
        <f t="shared" si="55"/>
        <v>4</v>
      </c>
      <c r="U98" s="57"/>
      <c r="V98" s="62"/>
      <c r="W98" s="62"/>
      <c r="AF98">
        <v>27.044077004787415</v>
      </c>
    </row>
    <row r="100" spans="1:32" x14ac:dyDescent="0.2">
      <c r="A100" s="28" t="s">
        <v>442</v>
      </c>
      <c r="B100" s="32">
        <f t="shared" ref="B100:G100" si="62">B11/B66</f>
        <v>3.4923523352592308E-2</v>
      </c>
      <c r="C100" s="32">
        <f t="shared" si="62"/>
        <v>2.4282564830688413E-2</v>
      </c>
      <c r="D100" s="32">
        <f t="shared" si="62"/>
        <v>4.1075812194657724E-2</v>
      </c>
      <c r="E100" s="32">
        <f t="shared" si="62"/>
        <v>4.0782977297159788E-2</v>
      </c>
      <c r="F100" s="32">
        <f t="shared" si="62"/>
        <v>0</v>
      </c>
      <c r="G100" s="32">
        <f t="shared" si="62"/>
        <v>0</v>
      </c>
      <c r="I100" s="111">
        <f>N100*I66</f>
        <v>2.6842738309556389E-2</v>
      </c>
      <c r="N100" s="37">
        <f>AVERAGE(B100:E100)</f>
        <v>3.5266219418774558E-2</v>
      </c>
      <c r="AF100">
        <v>3.3418567874000549E-2</v>
      </c>
    </row>
    <row r="101" spans="1:32" x14ac:dyDescent="0.2">
      <c r="A101" s="28" t="s">
        <v>443</v>
      </c>
      <c r="B101" s="31">
        <f>B46/B66</f>
        <v>196.59216536306207</v>
      </c>
      <c r="C101" s="31">
        <f>C46/C66</f>
        <v>171.21242175160964</v>
      </c>
      <c r="D101" s="31">
        <f>D46/D66</f>
        <v>192.44411564264601</v>
      </c>
      <c r="E101" s="31">
        <f>E46/E66</f>
        <v>186.56809092094321</v>
      </c>
      <c r="F101" s="31"/>
      <c r="G101" s="31">
        <f>G46/G66</f>
        <v>191.53769884934786</v>
      </c>
      <c r="I101" s="110">
        <f>N101*I66</f>
        <v>142.10913508930997</v>
      </c>
      <c r="N101" s="35">
        <f>AVERAGE(B101:E101)</f>
        <v>186.70419841956522</v>
      </c>
      <c r="AF101">
        <v>191.62268997216185</v>
      </c>
    </row>
    <row r="102" spans="1:32" x14ac:dyDescent="0.2">
      <c r="A102" s="28" t="s">
        <v>644</v>
      </c>
      <c r="B102" s="31">
        <f>B38/B79</f>
        <v>91.064312355602624</v>
      </c>
      <c r="C102" s="31">
        <f>C38/C79</f>
        <v>67.227519271308097</v>
      </c>
      <c r="D102" s="31">
        <f>D38/D79</f>
        <v>53.87638789219659</v>
      </c>
      <c r="E102" s="31">
        <f>E38/E79</f>
        <v>64.004034135923149</v>
      </c>
      <c r="F102" s="31"/>
      <c r="G102" s="31"/>
      <c r="H102" s="31"/>
      <c r="I102" s="31"/>
      <c r="N102" s="34">
        <f>AVERAGE(B102:I102)</f>
        <v>69.043063413757608</v>
      </c>
      <c r="O102" s="30">
        <f>STDEV(B102:I102)</f>
        <v>15.744326681179327</v>
      </c>
      <c r="P102" s="30">
        <f>O102*TINV(0.05,S102)/SQRT(S102)</f>
        <v>21.856629374297682</v>
      </c>
      <c r="Q102">
        <f>COUNT(B102:I102)</f>
        <v>4</v>
      </c>
      <c r="S102">
        <f>Q102-R102</f>
        <v>4</v>
      </c>
      <c r="AF102">
        <v>67.059351808336785</v>
      </c>
    </row>
    <row r="103" spans="1:32" x14ac:dyDescent="0.2">
      <c r="A103" s="28" t="s">
        <v>645</v>
      </c>
      <c r="B103" s="33">
        <f>B78/B79</f>
        <v>3.0432832628571909</v>
      </c>
      <c r="C103" s="33">
        <f>C78/C79</f>
        <v>2.7247910299774749</v>
      </c>
      <c r="D103" s="33">
        <f>D78/D79</f>
        <v>2.4074212247340796</v>
      </c>
      <c r="E103" s="33">
        <f>E78/E79</f>
        <v>3.2068548601995097</v>
      </c>
      <c r="I103" s="33"/>
    </row>
    <row r="105" spans="1:32" x14ac:dyDescent="0.2">
      <c r="A105"/>
      <c r="B105" s="58" t="s">
        <v>447</v>
      </c>
      <c r="C105" s="58" t="s">
        <v>354</v>
      </c>
      <c r="N105" s="102"/>
    </row>
    <row r="106" spans="1:32" x14ac:dyDescent="0.2">
      <c r="A106" t="s">
        <v>152</v>
      </c>
      <c r="B106">
        <v>4.1500000000000004</v>
      </c>
      <c r="C106" s="30">
        <f>19.04*1.2865</f>
        <v>24.494959999999999</v>
      </c>
      <c r="E106" s="28"/>
      <c r="F106" s="118"/>
      <c r="G106" s="118"/>
      <c r="H106" s="118"/>
      <c r="I106" s="33"/>
      <c r="N106" s="72"/>
      <c r="O106" s="33"/>
    </row>
    <row r="107" spans="1:32" x14ac:dyDescent="0.2">
      <c r="A107" t="s">
        <v>149</v>
      </c>
      <c r="B107">
        <v>0.23</v>
      </c>
      <c r="C107" s="30">
        <f>0.0436*1.6683</f>
        <v>7.2737879999999991E-2</v>
      </c>
      <c r="E107" s="28"/>
      <c r="F107" s="118"/>
      <c r="G107" s="118"/>
      <c r="H107" s="118"/>
      <c r="I107" s="30"/>
      <c r="N107" s="34"/>
      <c r="O107" s="30"/>
    </row>
    <row r="108" spans="1:32" x14ac:dyDescent="0.2">
      <c r="A108" t="s">
        <v>448</v>
      </c>
      <c r="B108" s="31">
        <f>B106/B107</f>
        <v>18.043478260869566</v>
      </c>
      <c r="C108" s="31">
        <f>C106/C107</f>
        <v>336.756584052216</v>
      </c>
      <c r="D108" s="33"/>
      <c r="E108" s="28"/>
      <c r="F108" s="118"/>
      <c r="G108" s="118"/>
      <c r="H108" s="118"/>
      <c r="I108" s="33"/>
      <c r="N108" s="72"/>
      <c r="O108" s="33"/>
    </row>
    <row r="109" spans="1:32" x14ac:dyDescent="0.2">
      <c r="A109"/>
      <c r="E109" s="28"/>
      <c r="F109" s="118"/>
      <c r="G109" s="118"/>
      <c r="H109" s="118"/>
      <c r="I109" s="32"/>
      <c r="N109" s="37"/>
      <c r="O109" s="32"/>
    </row>
    <row r="110" spans="1:32" x14ac:dyDescent="0.2">
      <c r="A110" t="s">
        <v>173</v>
      </c>
      <c r="B110">
        <v>1.0900000000000001</v>
      </c>
      <c r="C110">
        <v>0.14710000000000001</v>
      </c>
      <c r="E110" s="28"/>
      <c r="F110" s="118"/>
      <c r="G110" s="118"/>
      <c r="H110" s="118"/>
      <c r="I110" s="33"/>
      <c r="N110" s="72"/>
      <c r="O110" s="33"/>
    </row>
    <row r="111" spans="1:32" x14ac:dyDescent="0.2">
      <c r="A111" t="s">
        <v>449</v>
      </c>
      <c r="B111" s="114">
        <f>B110/(B107*5994)</f>
        <v>7.9064571818195008E-4</v>
      </c>
      <c r="C111" s="114">
        <f>C110/(C107*5994)</f>
        <v>3.3739239959346097E-4</v>
      </c>
      <c r="D111" s="33">
        <f>B111/C111</f>
        <v>2.343401093606833</v>
      </c>
      <c r="E111" s="28"/>
      <c r="F111" s="118"/>
      <c r="G111" s="118"/>
      <c r="H111" s="118"/>
      <c r="I111" s="32"/>
      <c r="N111" s="37"/>
      <c r="O111" s="32"/>
    </row>
    <row r="112" spans="1:32" x14ac:dyDescent="0.2">
      <c r="A112" s="28" t="s">
        <v>182</v>
      </c>
      <c r="B112">
        <v>0.37</v>
      </c>
      <c r="C112">
        <v>2.9399999999999999E-2</v>
      </c>
      <c r="E112" s="28"/>
      <c r="F112" s="118"/>
      <c r="G112" s="118"/>
      <c r="H112" s="118"/>
      <c r="I112" s="33"/>
      <c r="N112" s="72"/>
      <c r="O112" s="33"/>
    </row>
    <row r="113" spans="1:15" x14ac:dyDescent="0.2">
      <c r="A113" s="28" t="s">
        <v>450</v>
      </c>
      <c r="B113" s="30">
        <f>B110/B112</f>
        <v>2.9459459459459461</v>
      </c>
      <c r="C113" s="30">
        <f>C110/C112</f>
        <v>5.0034013605442178</v>
      </c>
      <c r="D113" s="33">
        <f>B113/C113</f>
        <v>0.58878865269076008</v>
      </c>
      <c r="E113" s="28"/>
      <c r="F113" s="118"/>
      <c r="G113" s="118"/>
      <c r="H113" s="118"/>
      <c r="I113" s="33"/>
      <c r="N113" s="72"/>
      <c r="O113" s="33"/>
    </row>
    <row r="114" spans="1:15" x14ac:dyDescent="0.2">
      <c r="A114" s="28" t="s">
        <v>176</v>
      </c>
      <c r="B114">
        <v>0.92</v>
      </c>
      <c r="C114">
        <v>0.16250000000000001</v>
      </c>
      <c r="E114" s="28"/>
      <c r="F114" s="118"/>
      <c r="G114" s="118"/>
      <c r="H114" s="118"/>
      <c r="I114" s="30"/>
      <c r="N114" s="34"/>
      <c r="O114" s="30"/>
    </row>
    <row r="115" spans="1:15" x14ac:dyDescent="0.2">
      <c r="A115" s="28" t="s">
        <v>451</v>
      </c>
      <c r="B115" s="30">
        <f>B110/B114</f>
        <v>1.1847826086956521</v>
      </c>
      <c r="C115" s="30">
        <f>C110/C114</f>
        <v>0.90523076923076928</v>
      </c>
      <c r="D115" s="33">
        <f>B115/C115</f>
        <v>1.3088183134809208</v>
      </c>
      <c r="E115" s="28"/>
      <c r="F115" s="118"/>
      <c r="G115" s="118"/>
      <c r="H115" s="118"/>
      <c r="I115" s="32"/>
      <c r="N115" s="37"/>
      <c r="O115" s="32"/>
    </row>
    <row r="116" spans="1:15" x14ac:dyDescent="0.2">
      <c r="E116" s="28"/>
      <c r="F116" s="118"/>
      <c r="G116" s="118"/>
      <c r="H116" s="118"/>
      <c r="I116" s="30"/>
      <c r="N116" s="34"/>
      <c r="O116" s="30"/>
    </row>
    <row r="117" spans="1:15" x14ac:dyDescent="0.2">
      <c r="E117" s="28"/>
      <c r="F117" s="118"/>
      <c r="G117" s="118"/>
      <c r="H117" s="118"/>
      <c r="I117" s="33"/>
      <c r="N117" s="72"/>
      <c r="O117" s="33"/>
    </row>
    <row r="118" spans="1:15" x14ac:dyDescent="0.2">
      <c r="E118" s="28"/>
      <c r="F118" s="118"/>
      <c r="G118" s="118"/>
      <c r="H118" s="118"/>
      <c r="I118" s="30"/>
      <c r="N118" s="34"/>
      <c r="O118" s="30"/>
    </row>
    <row r="119" spans="1:15" x14ac:dyDescent="0.2">
      <c r="E119" s="28"/>
      <c r="F119" s="118"/>
      <c r="G119" s="118"/>
      <c r="H119" s="118"/>
    </row>
    <row r="120" spans="1:15" x14ac:dyDescent="0.2">
      <c r="E120" s="28"/>
      <c r="F120" s="118"/>
      <c r="G120" s="118"/>
      <c r="H120" s="118"/>
    </row>
    <row r="121" spans="1:15" x14ac:dyDescent="0.2">
      <c r="E121" s="28"/>
      <c r="F121" s="118"/>
      <c r="G121" s="118"/>
      <c r="H121" s="118"/>
      <c r="I121" s="33"/>
      <c r="N121" s="72"/>
      <c r="O121" s="33"/>
    </row>
    <row r="122" spans="1:15" x14ac:dyDescent="0.2">
      <c r="E122" s="28"/>
      <c r="F122" s="118"/>
      <c r="G122" s="118"/>
      <c r="H122" s="118"/>
      <c r="I122" s="31"/>
      <c r="N122" s="35"/>
      <c r="O122" s="31"/>
    </row>
    <row r="123" spans="1:15" x14ac:dyDescent="0.2">
      <c r="E123" s="28"/>
      <c r="F123" s="118"/>
      <c r="G123" s="118"/>
      <c r="H123" s="118"/>
      <c r="I123" s="31"/>
      <c r="N123" s="35"/>
      <c r="O123" s="31"/>
    </row>
    <row r="124" spans="1:15" x14ac:dyDescent="0.2">
      <c r="E124" s="28"/>
      <c r="F124" s="118"/>
      <c r="G124" s="118"/>
      <c r="H124" s="118"/>
      <c r="I124" s="31"/>
      <c r="N124" s="35"/>
      <c r="O124" s="31"/>
    </row>
    <row r="125" spans="1:15" x14ac:dyDescent="0.2">
      <c r="E125" s="28"/>
      <c r="F125" s="118"/>
      <c r="G125" s="118"/>
      <c r="H125" s="118"/>
      <c r="I125" s="31"/>
      <c r="N125" s="35"/>
      <c r="O125" s="31"/>
    </row>
    <row r="126" spans="1:15" x14ac:dyDescent="0.2">
      <c r="E126" s="28"/>
      <c r="F126" s="118"/>
      <c r="G126" s="118"/>
      <c r="H126" s="118"/>
      <c r="I126" s="31"/>
      <c r="N126" s="35"/>
      <c r="O126" s="31"/>
    </row>
    <row r="127" spans="1:15" x14ac:dyDescent="0.2">
      <c r="E127" s="28"/>
      <c r="F127" s="118"/>
      <c r="G127" s="118"/>
      <c r="H127" s="118"/>
      <c r="I127" s="33"/>
      <c r="N127" s="72"/>
      <c r="O127" s="33"/>
    </row>
    <row r="128" spans="1:15" x14ac:dyDescent="0.2">
      <c r="A128" s="28" t="s">
        <v>747</v>
      </c>
      <c r="E128" s="28"/>
      <c r="F128" s="68">
        <v>2.7159251984230757</v>
      </c>
      <c r="G128" s="68">
        <v>1.18181732343942</v>
      </c>
      <c r="H128" s="68">
        <v>13.983328889172965</v>
      </c>
      <c r="I128" s="68">
        <v>6.349791849399959</v>
      </c>
      <c r="N128" s="72"/>
      <c r="O128" s="33"/>
    </row>
    <row r="129" spans="1:15" x14ac:dyDescent="0.2">
      <c r="A129" s="28" t="s">
        <v>748</v>
      </c>
      <c r="E129" s="28"/>
      <c r="F129" s="65" t="e">
        <f>means!EQ12/means!#REF!</f>
        <v>#REF!</v>
      </c>
      <c r="G129" s="65" t="e">
        <f>means!AQ12/means!#REF!</f>
        <v>#REF!</v>
      </c>
      <c r="H129" s="65" t="e">
        <f>means!AJ12/means!#REF!</f>
        <v>#REF!</v>
      </c>
      <c r="I129" s="65" t="e">
        <f>means!AI12/means!#REF!</f>
        <v>#REF!</v>
      </c>
      <c r="N129" s="34"/>
      <c r="O129" s="30"/>
    </row>
    <row r="130" spans="1:15" x14ac:dyDescent="0.2">
      <c r="E130" s="28"/>
      <c r="F130" s="118"/>
      <c r="G130" s="118"/>
      <c r="H130" s="118"/>
      <c r="I130" s="33"/>
      <c r="N130" s="72"/>
      <c r="O130" s="33"/>
    </row>
    <row r="131" spans="1:15" x14ac:dyDescent="0.2">
      <c r="E131" s="28"/>
      <c r="F131" s="118"/>
      <c r="G131" s="118"/>
      <c r="H131" s="118"/>
      <c r="I131" s="31"/>
      <c r="N131" s="35"/>
      <c r="O131" s="31"/>
    </row>
    <row r="132" spans="1:15" x14ac:dyDescent="0.2">
      <c r="E132" s="28"/>
      <c r="F132" s="118"/>
      <c r="G132" s="118"/>
      <c r="H132" s="118"/>
      <c r="I132" s="31"/>
      <c r="N132" s="35"/>
      <c r="O132" s="31"/>
    </row>
    <row r="133" spans="1:15" x14ac:dyDescent="0.2">
      <c r="E133" s="28"/>
      <c r="F133" s="118"/>
      <c r="G133" s="118"/>
      <c r="H133" s="118"/>
      <c r="I133" s="31"/>
      <c r="N133" s="35"/>
      <c r="O133" s="31"/>
    </row>
    <row r="134" spans="1:15" x14ac:dyDescent="0.2">
      <c r="E134" s="28"/>
      <c r="F134" s="118"/>
      <c r="G134" s="118"/>
      <c r="H134" s="118"/>
      <c r="I134" s="33"/>
      <c r="N134" s="72"/>
      <c r="O134" s="33"/>
    </row>
    <row r="135" spans="1:15" x14ac:dyDescent="0.2">
      <c r="E135" s="28"/>
      <c r="F135" s="118"/>
      <c r="G135" s="118"/>
      <c r="H135" s="118"/>
      <c r="I135" s="32"/>
      <c r="N135" s="37"/>
      <c r="O135" s="32"/>
    </row>
    <row r="136" spans="1:15" x14ac:dyDescent="0.2">
      <c r="E136" s="28"/>
      <c r="F136" s="118"/>
      <c r="G136" s="118"/>
      <c r="H136" s="118"/>
      <c r="I136" s="31"/>
      <c r="N136" s="35"/>
      <c r="O136" s="31"/>
    </row>
    <row r="137" spans="1:15" x14ac:dyDescent="0.2">
      <c r="E137" s="28"/>
      <c r="F137" s="118"/>
      <c r="G137" s="118"/>
      <c r="H137" s="118"/>
      <c r="I137" s="33"/>
      <c r="N137" s="72"/>
      <c r="O137" s="33"/>
    </row>
    <row r="138" spans="1:15" x14ac:dyDescent="0.2">
      <c r="E138" s="28"/>
      <c r="F138" s="118"/>
      <c r="G138" s="118"/>
      <c r="H138" s="118"/>
      <c r="I138" s="33"/>
      <c r="N138" s="72"/>
      <c r="O138" s="33"/>
    </row>
    <row r="139" spans="1:15" x14ac:dyDescent="0.2">
      <c r="E139" s="28"/>
      <c r="F139" s="118"/>
      <c r="G139" s="118"/>
      <c r="H139" s="118"/>
      <c r="I139" s="33"/>
      <c r="N139" s="72"/>
      <c r="O139" s="33"/>
    </row>
    <row r="140" spans="1:15" x14ac:dyDescent="0.2">
      <c r="E140" s="28"/>
      <c r="F140" s="118"/>
      <c r="G140" s="118"/>
      <c r="H140" s="118"/>
      <c r="I140" s="33"/>
      <c r="N140" s="72"/>
      <c r="O140" s="33"/>
    </row>
    <row r="141" spans="1:15" x14ac:dyDescent="0.2">
      <c r="E141" s="28"/>
      <c r="F141" s="118"/>
      <c r="G141" s="118"/>
      <c r="H141" s="118"/>
      <c r="I141" s="33"/>
      <c r="N141" s="72"/>
      <c r="O141" s="33"/>
    </row>
    <row r="142" spans="1:15" x14ac:dyDescent="0.2">
      <c r="E142" s="28"/>
      <c r="F142" s="118"/>
      <c r="G142" s="118"/>
      <c r="H142" s="118"/>
      <c r="I142" s="30"/>
      <c r="N142" s="34"/>
      <c r="O142" s="30"/>
    </row>
    <row r="143" spans="1:15" x14ac:dyDescent="0.2">
      <c r="E143" s="28"/>
      <c r="F143" s="118"/>
      <c r="G143" s="118"/>
      <c r="H143" s="118"/>
      <c r="I143" s="33"/>
      <c r="N143" s="72"/>
      <c r="O143" s="33"/>
    </row>
    <row r="144" spans="1:15" x14ac:dyDescent="0.2">
      <c r="E144" s="28"/>
      <c r="F144" s="118"/>
      <c r="G144" s="118"/>
      <c r="H144" s="118"/>
      <c r="I144" s="30"/>
      <c r="N144" s="34"/>
      <c r="O144" s="30"/>
    </row>
    <row r="145" spans="5:15" x14ac:dyDescent="0.2">
      <c r="E145" s="28"/>
      <c r="F145" s="118"/>
      <c r="G145" s="118"/>
      <c r="H145" s="118"/>
      <c r="I145" s="33"/>
      <c r="N145" s="72"/>
      <c r="O145" s="33"/>
    </row>
    <row r="146" spans="5:15" x14ac:dyDescent="0.2">
      <c r="E146" s="28"/>
      <c r="F146" s="118"/>
      <c r="G146" s="118"/>
      <c r="H146" s="118"/>
      <c r="I146" s="30"/>
      <c r="N146" s="34"/>
      <c r="O146" s="30"/>
    </row>
    <row r="147" spans="5:15" x14ac:dyDescent="0.2">
      <c r="E147" s="28"/>
      <c r="F147" s="118"/>
      <c r="G147" s="118"/>
      <c r="H147" s="118"/>
      <c r="I147" s="33"/>
      <c r="N147" s="72"/>
      <c r="O147" s="33"/>
    </row>
    <row r="148" spans="5:15" x14ac:dyDescent="0.2">
      <c r="E148" s="28"/>
      <c r="F148" s="118"/>
      <c r="G148" s="118"/>
      <c r="H148" s="118"/>
      <c r="I148" s="30"/>
      <c r="N148" s="34"/>
      <c r="O148" s="30"/>
    </row>
    <row r="149" spans="5:15" x14ac:dyDescent="0.2">
      <c r="E149" s="28"/>
      <c r="F149" s="118"/>
      <c r="G149" s="118"/>
      <c r="H149" s="118"/>
      <c r="I149" s="33"/>
      <c r="N149" s="72"/>
      <c r="O149" s="33"/>
    </row>
    <row r="150" spans="5:15" x14ac:dyDescent="0.2">
      <c r="E150" s="28"/>
      <c r="F150" s="118"/>
      <c r="G150" s="118"/>
      <c r="H150" s="118"/>
      <c r="I150" s="30"/>
      <c r="N150" s="34"/>
      <c r="O150" s="30"/>
    </row>
    <row r="151" spans="5:15" x14ac:dyDescent="0.2">
      <c r="E151" s="28"/>
      <c r="F151" s="118"/>
      <c r="G151" s="118"/>
      <c r="H151" s="118"/>
      <c r="I151" s="33"/>
      <c r="N151" s="72"/>
      <c r="O151" s="33"/>
    </row>
    <row r="152" spans="5:15" x14ac:dyDescent="0.2">
      <c r="E152" s="28"/>
      <c r="F152" s="118"/>
      <c r="G152" s="118"/>
      <c r="H152" s="118"/>
      <c r="I152" s="30"/>
      <c r="N152" s="34"/>
      <c r="O152" s="30"/>
    </row>
    <row r="153" spans="5:15" x14ac:dyDescent="0.2">
      <c r="E153" s="28"/>
      <c r="F153" s="118"/>
      <c r="G153" s="118"/>
      <c r="H153" s="118"/>
      <c r="I153" s="30"/>
      <c r="N153" s="34"/>
      <c r="O153" s="30"/>
    </row>
    <row r="154" spans="5:15" x14ac:dyDescent="0.2">
      <c r="E154" s="28"/>
      <c r="F154" s="118"/>
      <c r="G154" s="118"/>
      <c r="H154" s="118"/>
      <c r="I154" s="31"/>
      <c r="N154" s="35"/>
      <c r="O154" s="31"/>
    </row>
    <row r="155" spans="5:15" x14ac:dyDescent="0.2">
      <c r="E155" s="28"/>
      <c r="F155" s="118"/>
      <c r="G155" s="118"/>
      <c r="H155" s="118"/>
      <c r="I155" s="33"/>
      <c r="N155" s="72"/>
      <c r="O155" s="33"/>
    </row>
    <row r="156" spans="5:15" x14ac:dyDescent="0.2">
      <c r="E156" s="28"/>
      <c r="F156" s="118"/>
      <c r="G156" s="118"/>
      <c r="H156" s="118"/>
      <c r="I156" s="33"/>
      <c r="N156" s="72"/>
      <c r="O156" s="33"/>
    </row>
    <row r="157" spans="5:15" x14ac:dyDescent="0.2">
      <c r="E157" s="28"/>
      <c r="F157" s="118"/>
      <c r="G157" s="118"/>
      <c r="H157" s="118"/>
      <c r="I157" s="30"/>
      <c r="N157" s="34"/>
      <c r="O157" s="30"/>
    </row>
    <row r="158" spans="5:15" x14ac:dyDescent="0.2">
      <c r="E158" s="28"/>
      <c r="F158" s="118"/>
      <c r="G158" s="118"/>
      <c r="H158" s="118"/>
      <c r="I158" s="30"/>
      <c r="N158" s="34"/>
      <c r="O158" s="30"/>
    </row>
    <row r="210" spans="14:26" x14ac:dyDescent="0.2">
      <c r="Z210">
        <v>1.9437053089252785E-2</v>
      </c>
    </row>
    <row r="211" spans="14:26" x14ac:dyDescent="0.2">
      <c r="N211" s="34"/>
      <c r="V211">
        <v>481</v>
      </c>
      <c r="Z211" s="55">
        <f>(N211-V211*Z210)/(1-Z210)</f>
        <v>-9.534546012966544</v>
      </c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D102"/>
  <sheetViews>
    <sheetView zoomScale="150" zoomScaleNormal="150" workbookViewId="0">
      <pane xSplit="1" ySplit="1" topLeftCell="B92" activePane="bottomRight" state="frozen"/>
      <selection pane="topRight" activeCell="B1" sqref="B1"/>
      <selection pane="bottomLeft" activeCell="A2" sqref="A2"/>
      <selection pane="bottomRight" activeCell="C79" sqref="C79"/>
    </sheetView>
  </sheetViews>
  <sheetFormatPr defaultRowHeight="12.75" x14ac:dyDescent="0.2"/>
  <cols>
    <col min="1" max="1" width="38.5" customWidth="1"/>
    <col min="2" max="2" width="9.33203125" style="113"/>
    <col min="3" max="3" width="8.33203125" customWidth="1"/>
    <col min="4" max="4" width="28.1640625" customWidth="1"/>
  </cols>
  <sheetData>
    <row r="1" spans="1:4" ht="38.25" x14ac:dyDescent="0.2">
      <c r="B1" s="608" t="s">
        <v>1578</v>
      </c>
      <c r="C1" s="608" t="s">
        <v>1579</v>
      </c>
    </row>
    <row r="2" spans="1:4" x14ac:dyDescent="0.2">
      <c r="A2" s="602" t="s">
        <v>1570</v>
      </c>
      <c r="B2" s="603">
        <v>1</v>
      </c>
      <c r="C2" s="603">
        <v>1</v>
      </c>
    </row>
    <row r="3" spans="1:4" x14ac:dyDescent="0.2">
      <c r="A3" s="602" t="s">
        <v>147</v>
      </c>
      <c r="B3" s="603">
        <v>1</v>
      </c>
      <c r="C3" s="603">
        <v>1</v>
      </c>
    </row>
    <row r="4" spans="1:4" x14ac:dyDescent="0.2">
      <c r="A4" s="602" t="s">
        <v>142</v>
      </c>
      <c r="B4" s="603">
        <v>1</v>
      </c>
      <c r="C4" s="603">
        <v>1</v>
      </c>
    </row>
    <row r="5" spans="1:4" x14ac:dyDescent="0.2">
      <c r="A5" s="602" t="s">
        <v>1588</v>
      </c>
      <c r="B5" s="603">
        <v>1</v>
      </c>
      <c r="C5" s="603">
        <v>1</v>
      </c>
    </row>
    <row r="6" spans="1:4" x14ac:dyDescent="0.2">
      <c r="A6" s="602" t="s">
        <v>1589</v>
      </c>
      <c r="B6" s="603">
        <v>1</v>
      </c>
      <c r="C6" s="603">
        <v>1</v>
      </c>
    </row>
    <row r="7" spans="1:4" x14ac:dyDescent="0.2">
      <c r="A7" s="602" t="s">
        <v>1596</v>
      </c>
      <c r="B7" s="603">
        <v>1</v>
      </c>
      <c r="C7" s="603">
        <v>1</v>
      </c>
    </row>
    <row r="8" spans="1:4" ht="25.5" x14ac:dyDescent="0.2">
      <c r="A8" s="602" t="s">
        <v>1597</v>
      </c>
      <c r="B8" s="603">
        <v>1</v>
      </c>
      <c r="C8" s="603">
        <v>1</v>
      </c>
    </row>
    <row r="9" spans="1:4" x14ac:dyDescent="0.2">
      <c r="A9" s="602" t="s">
        <v>1052</v>
      </c>
      <c r="B9" s="603">
        <v>1</v>
      </c>
      <c r="C9" s="603">
        <v>1</v>
      </c>
    </row>
    <row r="10" spans="1:4" x14ac:dyDescent="0.2">
      <c r="A10" s="602" t="s">
        <v>1053</v>
      </c>
      <c r="B10" s="609"/>
      <c r="C10" s="603">
        <v>1</v>
      </c>
    </row>
    <row r="11" spans="1:4" x14ac:dyDescent="0.2">
      <c r="A11" s="602" t="s">
        <v>1594</v>
      </c>
      <c r="B11" s="603">
        <v>1</v>
      </c>
      <c r="C11" s="603">
        <v>1</v>
      </c>
    </row>
    <row r="12" spans="1:4" x14ac:dyDescent="0.2">
      <c r="A12" s="602" t="s">
        <v>2208</v>
      </c>
      <c r="B12" s="603">
        <v>1</v>
      </c>
      <c r="C12" s="603">
        <v>1</v>
      </c>
    </row>
    <row r="13" spans="1:4" x14ac:dyDescent="0.2">
      <c r="A13" s="602" t="s">
        <v>1566</v>
      </c>
      <c r="B13" s="603">
        <v>1</v>
      </c>
      <c r="C13" s="603">
        <v>1</v>
      </c>
    </row>
    <row r="14" spans="1:4" x14ac:dyDescent="0.2">
      <c r="A14" s="602" t="s">
        <v>1595</v>
      </c>
      <c r="B14" s="603">
        <v>1</v>
      </c>
      <c r="C14" s="603">
        <v>1</v>
      </c>
    </row>
    <row r="15" spans="1:4" x14ac:dyDescent="0.2">
      <c r="A15" s="602" t="s">
        <v>900</v>
      </c>
      <c r="B15" s="603">
        <v>1</v>
      </c>
      <c r="C15" s="603">
        <v>1</v>
      </c>
    </row>
    <row r="16" spans="1:4" x14ac:dyDescent="0.2">
      <c r="A16" s="602" t="s">
        <v>1112</v>
      </c>
      <c r="B16" s="603"/>
      <c r="C16" s="603"/>
      <c r="D16" s="602" t="s">
        <v>1567</v>
      </c>
    </row>
    <row r="17" spans="1:4" x14ac:dyDescent="0.2">
      <c r="A17" s="602" t="s">
        <v>1569</v>
      </c>
      <c r="B17" s="603">
        <v>1</v>
      </c>
      <c r="C17" s="603">
        <v>1</v>
      </c>
    </row>
    <row r="18" spans="1:4" x14ac:dyDescent="0.2">
      <c r="A18" s="602" t="s">
        <v>69</v>
      </c>
      <c r="B18" s="603">
        <v>1</v>
      </c>
      <c r="C18" s="603">
        <v>1</v>
      </c>
    </row>
    <row r="19" spans="1:4" x14ac:dyDescent="0.2">
      <c r="A19" s="602" t="s">
        <v>120</v>
      </c>
      <c r="B19" s="603">
        <v>1</v>
      </c>
      <c r="C19" s="603">
        <v>1</v>
      </c>
    </row>
    <row r="20" spans="1:4" x14ac:dyDescent="0.2">
      <c r="A20" s="602" t="s">
        <v>121</v>
      </c>
      <c r="B20" s="603">
        <v>1</v>
      </c>
      <c r="C20" s="603">
        <v>1</v>
      </c>
    </row>
    <row r="21" spans="1:4" x14ac:dyDescent="0.2">
      <c r="A21" s="602" t="s">
        <v>1459</v>
      </c>
      <c r="B21" s="603">
        <v>1</v>
      </c>
      <c r="C21" s="603">
        <v>1</v>
      </c>
    </row>
    <row r="22" spans="1:4" x14ac:dyDescent="0.2">
      <c r="A22" s="602" t="s">
        <v>1471</v>
      </c>
      <c r="B22" s="603">
        <v>1</v>
      </c>
      <c r="C22" s="603">
        <v>1</v>
      </c>
    </row>
    <row r="23" spans="1:4" x14ac:dyDescent="0.2">
      <c r="A23" s="602" t="s">
        <v>2207</v>
      </c>
      <c r="B23" s="603">
        <v>1</v>
      </c>
      <c r="C23" s="603">
        <v>1</v>
      </c>
    </row>
    <row r="24" spans="1:4" ht="38.25" x14ac:dyDescent="0.2">
      <c r="A24" s="602" t="s">
        <v>2206</v>
      </c>
      <c r="B24" s="603">
        <v>1</v>
      </c>
      <c r="C24" s="603">
        <v>1</v>
      </c>
    </row>
    <row r="25" spans="1:4" x14ac:dyDescent="0.2">
      <c r="A25" s="602" t="s">
        <v>1859</v>
      </c>
      <c r="B25" s="603">
        <v>1</v>
      </c>
      <c r="C25" s="603">
        <v>1</v>
      </c>
    </row>
    <row r="26" spans="1:4" x14ac:dyDescent="0.2">
      <c r="A26" s="602"/>
      <c r="B26" s="603"/>
      <c r="C26" s="603"/>
    </row>
    <row r="27" spans="1:4" x14ac:dyDescent="0.2">
      <c r="A27" s="602"/>
      <c r="B27" s="603"/>
      <c r="C27" s="603"/>
    </row>
    <row r="28" spans="1:4" x14ac:dyDescent="0.2">
      <c r="A28" s="605" t="s">
        <v>1590</v>
      </c>
      <c r="B28" s="603"/>
      <c r="C28" s="603"/>
      <c r="D28" s="602" t="s">
        <v>147</v>
      </c>
    </row>
    <row r="29" spans="1:4" x14ac:dyDescent="0.2">
      <c r="A29" s="605" t="s">
        <v>1301</v>
      </c>
      <c r="B29" s="603">
        <v>1</v>
      </c>
      <c r="C29" s="603">
        <v>1</v>
      </c>
      <c r="D29" s="224"/>
    </row>
    <row r="30" spans="1:4" x14ac:dyDescent="0.2">
      <c r="A30" s="605" t="s">
        <v>55</v>
      </c>
      <c r="B30" s="603"/>
      <c r="C30" s="603"/>
      <c r="D30" s="602" t="s">
        <v>1569</v>
      </c>
    </row>
    <row r="31" spans="1:4" x14ac:dyDescent="0.2">
      <c r="A31" s="602" t="s">
        <v>1573</v>
      </c>
      <c r="B31" s="603">
        <v>1</v>
      </c>
      <c r="C31" s="603">
        <v>1</v>
      </c>
      <c r="D31" s="224"/>
    </row>
    <row r="32" spans="1:4" ht="25.5" x14ac:dyDescent="0.2">
      <c r="A32" s="605" t="s">
        <v>1591</v>
      </c>
      <c r="B32" s="603"/>
      <c r="C32" s="603"/>
      <c r="D32" s="602" t="s">
        <v>1581</v>
      </c>
    </row>
    <row r="33" spans="1:4" x14ac:dyDescent="0.2">
      <c r="A33" s="605" t="s">
        <v>1307</v>
      </c>
      <c r="B33" s="603">
        <v>1</v>
      </c>
      <c r="C33" s="603">
        <v>1</v>
      </c>
      <c r="D33" s="224"/>
    </row>
    <row r="34" spans="1:4" x14ac:dyDescent="0.2">
      <c r="A34" s="602" t="s">
        <v>1523</v>
      </c>
      <c r="B34" s="606"/>
      <c r="C34" s="606"/>
      <c r="D34" s="224"/>
    </row>
    <row r="35" spans="1:4" x14ac:dyDescent="0.2">
      <c r="A35" s="605" t="s">
        <v>1592</v>
      </c>
      <c r="B35" s="603">
        <v>1</v>
      </c>
      <c r="C35" s="603">
        <v>1</v>
      </c>
      <c r="D35" s="224"/>
    </row>
    <row r="36" spans="1:4" x14ac:dyDescent="0.2">
      <c r="A36" s="605" t="s">
        <v>856</v>
      </c>
      <c r="B36" s="603"/>
      <c r="C36" s="603"/>
      <c r="D36" s="602" t="s">
        <v>147</v>
      </c>
    </row>
    <row r="37" spans="1:4" x14ac:dyDescent="0.2">
      <c r="A37" s="602" t="s">
        <v>1229</v>
      </c>
      <c r="B37" s="603"/>
      <c r="C37" s="603"/>
      <c r="D37" s="602" t="s">
        <v>147</v>
      </c>
    </row>
    <row r="38" spans="1:4" x14ac:dyDescent="0.2">
      <c r="A38" s="602" t="s">
        <v>62</v>
      </c>
      <c r="B38" s="609"/>
      <c r="C38" s="603">
        <v>1</v>
      </c>
      <c r="D38" s="224" t="s">
        <v>140</v>
      </c>
    </row>
    <row r="39" spans="1:4" x14ac:dyDescent="0.2">
      <c r="A39" s="602" t="s">
        <v>1593</v>
      </c>
      <c r="B39" s="603">
        <v>1</v>
      </c>
      <c r="C39" s="603">
        <v>1</v>
      </c>
      <c r="D39" s="224"/>
    </row>
    <row r="40" spans="1:4" x14ac:dyDescent="0.2">
      <c r="A40" s="602" t="s">
        <v>243</v>
      </c>
      <c r="B40" s="603">
        <v>1</v>
      </c>
      <c r="C40" s="603">
        <v>1</v>
      </c>
      <c r="D40" s="224"/>
    </row>
    <row r="41" spans="1:4" x14ac:dyDescent="0.2">
      <c r="A41" s="602"/>
      <c r="B41" s="603"/>
      <c r="C41" s="603"/>
      <c r="D41" s="224"/>
    </row>
    <row r="42" spans="1:4" x14ac:dyDescent="0.2">
      <c r="A42" s="602" t="s">
        <v>889</v>
      </c>
      <c r="B42" s="603">
        <v>1</v>
      </c>
      <c r="C42" s="603">
        <v>1</v>
      </c>
      <c r="D42" s="224"/>
    </row>
    <row r="43" spans="1:4" x14ac:dyDescent="0.2">
      <c r="A43" s="602" t="s">
        <v>1090</v>
      </c>
      <c r="B43" s="603">
        <v>1</v>
      </c>
      <c r="C43" s="603">
        <v>1</v>
      </c>
      <c r="D43" s="224"/>
    </row>
    <row r="44" spans="1:4" x14ac:dyDescent="0.2">
      <c r="A44" s="602" t="s">
        <v>1581</v>
      </c>
      <c r="B44" s="603">
        <v>1</v>
      </c>
      <c r="C44" s="603">
        <v>1</v>
      </c>
      <c r="D44" s="224"/>
    </row>
    <row r="45" spans="1:4" x14ac:dyDescent="0.2">
      <c r="A45" s="602" t="s">
        <v>884</v>
      </c>
      <c r="B45" s="609"/>
      <c r="C45" s="603">
        <v>1</v>
      </c>
      <c r="D45" s="224" t="s">
        <v>1300</v>
      </c>
    </row>
    <row r="46" spans="1:4" ht="38.25" x14ac:dyDescent="0.2">
      <c r="A46" s="602" t="s">
        <v>1582</v>
      </c>
      <c r="B46" s="603">
        <v>1</v>
      </c>
      <c r="C46" s="603">
        <v>1</v>
      </c>
      <c r="D46" s="224"/>
    </row>
    <row r="47" spans="1:4" x14ac:dyDescent="0.2">
      <c r="A47" s="602" t="s">
        <v>1583</v>
      </c>
      <c r="B47" s="603">
        <v>1</v>
      </c>
      <c r="C47" s="603">
        <v>1</v>
      </c>
      <c r="D47" s="224"/>
    </row>
    <row r="48" spans="1:4" x14ac:dyDescent="0.2">
      <c r="A48" s="602" t="s">
        <v>876</v>
      </c>
      <c r="B48" s="603">
        <v>1</v>
      </c>
      <c r="C48" s="603">
        <v>1</v>
      </c>
      <c r="D48" s="224"/>
    </row>
    <row r="49" spans="1:4" x14ac:dyDescent="0.2">
      <c r="A49" s="602" t="s">
        <v>1584</v>
      </c>
      <c r="B49" s="603">
        <v>1</v>
      </c>
      <c r="C49" s="603">
        <v>1</v>
      </c>
      <c r="D49" s="224"/>
    </row>
    <row r="50" spans="1:4" x14ac:dyDescent="0.2">
      <c r="A50" s="602" t="s">
        <v>1585</v>
      </c>
      <c r="B50" s="603">
        <v>1</v>
      </c>
      <c r="C50" s="603">
        <v>1</v>
      </c>
      <c r="D50" s="224"/>
    </row>
    <row r="51" spans="1:4" x14ac:dyDescent="0.2">
      <c r="A51" s="602" t="s">
        <v>1335</v>
      </c>
      <c r="B51" s="603"/>
      <c r="C51" s="603"/>
      <c r="D51" s="602" t="s">
        <v>1581</v>
      </c>
    </row>
    <row r="52" spans="1:4" x14ac:dyDescent="0.2">
      <c r="A52" s="602" t="s">
        <v>5</v>
      </c>
      <c r="B52" s="603">
        <v>1</v>
      </c>
      <c r="C52" s="603">
        <v>1</v>
      </c>
      <c r="D52" s="224"/>
    </row>
    <row r="53" spans="1:4" x14ac:dyDescent="0.2">
      <c r="A53" s="602" t="s">
        <v>475</v>
      </c>
      <c r="B53" s="603">
        <v>1</v>
      </c>
      <c r="C53" s="603">
        <v>1</v>
      </c>
      <c r="D53" s="224"/>
    </row>
    <row r="54" spans="1:4" x14ac:dyDescent="0.2">
      <c r="A54" s="602" t="s">
        <v>1347</v>
      </c>
      <c r="B54" s="603"/>
      <c r="C54" s="603"/>
      <c r="D54" s="602" t="s">
        <v>143</v>
      </c>
    </row>
    <row r="55" spans="1:4" x14ac:dyDescent="0.2">
      <c r="A55" s="602" t="s">
        <v>7</v>
      </c>
      <c r="B55" s="603">
        <v>1</v>
      </c>
      <c r="C55" s="603">
        <v>1</v>
      </c>
      <c r="D55" s="224"/>
    </row>
    <row r="56" spans="1:4" x14ac:dyDescent="0.2">
      <c r="A56" s="602" t="s">
        <v>12</v>
      </c>
      <c r="B56" s="603">
        <v>1</v>
      </c>
      <c r="C56" s="603">
        <v>1</v>
      </c>
      <c r="D56" s="224"/>
    </row>
    <row r="57" spans="1:4" ht="25.5" x14ac:dyDescent="0.2">
      <c r="A57" s="602" t="s">
        <v>1586</v>
      </c>
      <c r="B57" s="603">
        <v>1</v>
      </c>
      <c r="C57" s="603">
        <v>1</v>
      </c>
      <c r="D57" s="224"/>
    </row>
    <row r="58" spans="1:4" x14ac:dyDescent="0.2">
      <c r="A58" s="602" t="s">
        <v>11</v>
      </c>
      <c r="B58" s="603">
        <v>1</v>
      </c>
      <c r="C58" s="603">
        <v>1</v>
      </c>
      <c r="D58" s="224"/>
    </row>
    <row r="59" spans="1:4" x14ac:dyDescent="0.2">
      <c r="A59" s="602" t="s">
        <v>49</v>
      </c>
      <c r="B59" s="609"/>
      <c r="C59" s="603">
        <v>1</v>
      </c>
      <c r="D59" s="227" t="s">
        <v>38</v>
      </c>
    </row>
    <row r="60" spans="1:4" x14ac:dyDescent="0.2">
      <c r="A60" s="602" t="s">
        <v>48</v>
      </c>
      <c r="B60" s="609"/>
      <c r="C60" s="603">
        <v>1</v>
      </c>
      <c r="D60" s="227" t="s">
        <v>38</v>
      </c>
    </row>
    <row r="61" spans="1:4" x14ac:dyDescent="0.2">
      <c r="A61" s="602" t="s">
        <v>101</v>
      </c>
      <c r="B61" s="603">
        <v>1</v>
      </c>
      <c r="C61" s="603">
        <v>1</v>
      </c>
      <c r="D61" s="224"/>
    </row>
    <row r="62" spans="1:4" x14ac:dyDescent="0.2">
      <c r="A62" s="602" t="s">
        <v>1303</v>
      </c>
      <c r="B62" s="603">
        <v>1</v>
      </c>
      <c r="C62" s="603">
        <v>1</v>
      </c>
      <c r="D62" s="224"/>
    </row>
    <row r="63" spans="1:4" x14ac:dyDescent="0.2">
      <c r="A63" s="602" t="s">
        <v>217</v>
      </c>
      <c r="B63" s="603">
        <v>1</v>
      </c>
      <c r="C63" s="603">
        <v>1</v>
      </c>
      <c r="D63" s="224"/>
    </row>
    <row r="64" spans="1:4" x14ac:dyDescent="0.2">
      <c r="A64" s="602" t="s">
        <v>1465</v>
      </c>
      <c r="B64" s="607"/>
      <c r="C64" s="607"/>
      <c r="D64" s="224"/>
    </row>
    <row r="65" spans="1:4" x14ac:dyDescent="0.2">
      <c r="A65" s="602" t="s">
        <v>1443</v>
      </c>
      <c r="B65" s="603">
        <v>1</v>
      </c>
      <c r="C65" s="603">
        <v>1</v>
      </c>
      <c r="D65" s="224"/>
    </row>
    <row r="66" spans="1:4" x14ac:dyDescent="0.2">
      <c r="A66" s="602" t="s">
        <v>1446</v>
      </c>
      <c r="B66" s="603">
        <v>1</v>
      </c>
      <c r="C66" s="603">
        <v>1</v>
      </c>
      <c r="D66" s="224"/>
    </row>
    <row r="67" spans="1:4" x14ac:dyDescent="0.2">
      <c r="A67" s="602" t="s">
        <v>1457</v>
      </c>
      <c r="B67" s="609"/>
      <c r="C67" s="603">
        <v>1</v>
      </c>
      <c r="D67" s="227" t="s">
        <v>243</v>
      </c>
    </row>
    <row r="68" spans="1:4" x14ac:dyDescent="0.2">
      <c r="A68" s="602" t="s">
        <v>1512</v>
      </c>
      <c r="B68" s="603">
        <v>1</v>
      </c>
      <c r="C68" s="603">
        <v>1</v>
      </c>
      <c r="D68" s="224"/>
    </row>
    <row r="69" spans="1:4" x14ac:dyDescent="0.2">
      <c r="A69" s="602" t="s">
        <v>1543</v>
      </c>
      <c r="B69" s="603">
        <v>1</v>
      </c>
      <c r="C69" s="603">
        <v>1</v>
      </c>
      <c r="D69" s="224"/>
    </row>
    <row r="70" spans="1:4" x14ac:dyDescent="0.2">
      <c r="A70" s="602" t="s">
        <v>1551</v>
      </c>
      <c r="B70" s="603">
        <v>1</v>
      </c>
      <c r="C70" s="603">
        <v>1</v>
      </c>
      <c r="D70" s="224"/>
    </row>
    <row r="71" spans="1:4" ht="25.5" x14ac:dyDescent="0.2">
      <c r="A71" s="602" t="s">
        <v>1587</v>
      </c>
      <c r="B71" s="603">
        <v>1</v>
      </c>
      <c r="C71" s="603">
        <v>1</v>
      </c>
      <c r="D71" s="224"/>
    </row>
    <row r="72" spans="1:4" x14ac:dyDescent="0.2">
      <c r="A72" s="605" t="s">
        <v>1575</v>
      </c>
      <c r="B72" s="604">
        <v>1</v>
      </c>
      <c r="C72" s="604">
        <v>1</v>
      </c>
      <c r="D72" s="224"/>
    </row>
    <row r="73" spans="1:4" x14ac:dyDescent="0.2">
      <c r="A73" s="605" t="s">
        <v>1576</v>
      </c>
      <c r="B73" s="603">
        <v>1</v>
      </c>
      <c r="C73" s="603">
        <v>1</v>
      </c>
      <c r="D73" s="224"/>
    </row>
    <row r="74" spans="1:4" x14ac:dyDescent="0.2">
      <c r="A74" s="605" t="s">
        <v>1577</v>
      </c>
      <c r="B74" s="603">
        <v>1</v>
      </c>
      <c r="C74" s="603">
        <v>1</v>
      </c>
      <c r="D74" s="224"/>
    </row>
    <row r="75" spans="1:4" x14ac:dyDescent="0.2">
      <c r="A75" s="605"/>
      <c r="B75" s="603"/>
      <c r="C75" s="603"/>
      <c r="D75" s="224"/>
    </row>
    <row r="76" spans="1:4" x14ac:dyDescent="0.2">
      <c r="A76" s="605"/>
      <c r="B76" s="603"/>
      <c r="C76" s="603"/>
      <c r="D76" s="224"/>
    </row>
    <row r="77" spans="1:4" x14ac:dyDescent="0.2">
      <c r="A77" s="605"/>
      <c r="B77" s="603"/>
      <c r="C77" s="603"/>
      <c r="D77" s="224"/>
    </row>
    <row r="78" spans="1:4" x14ac:dyDescent="0.2">
      <c r="A78" s="605"/>
      <c r="B78" s="603"/>
      <c r="C78" s="603"/>
      <c r="D78" s="224"/>
    </row>
    <row r="79" spans="1:4" x14ac:dyDescent="0.2">
      <c r="A79" s="605"/>
      <c r="B79" s="603"/>
      <c r="C79" s="603"/>
      <c r="D79" s="224"/>
    </row>
    <row r="80" spans="1:4" x14ac:dyDescent="0.2">
      <c r="A80" s="605"/>
      <c r="B80" s="603"/>
      <c r="C80" s="603"/>
      <c r="D80" s="224"/>
    </row>
    <row r="81" spans="1:4" x14ac:dyDescent="0.2">
      <c r="A81" s="605"/>
      <c r="B81" s="603"/>
      <c r="C81" s="603"/>
      <c r="D81" s="224"/>
    </row>
    <row r="82" spans="1:4" x14ac:dyDescent="0.2">
      <c r="A82" s="605"/>
      <c r="B82" s="603"/>
      <c r="C82" s="603"/>
      <c r="D82" s="224"/>
    </row>
    <row r="83" spans="1:4" x14ac:dyDescent="0.2">
      <c r="A83" s="605"/>
      <c r="B83" s="603"/>
      <c r="C83" s="603"/>
      <c r="D83" s="224"/>
    </row>
    <row r="84" spans="1:4" x14ac:dyDescent="0.2">
      <c r="A84" s="605"/>
      <c r="B84" s="603"/>
      <c r="C84" s="603"/>
      <c r="D84" s="224"/>
    </row>
    <row r="85" spans="1:4" x14ac:dyDescent="0.2">
      <c r="A85" s="605"/>
      <c r="B85" s="603"/>
      <c r="C85" s="603"/>
      <c r="D85" s="224"/>
    </row>
    <row r="86" spans="1:4" x14ac:dyDescent="0.2">
      <c r="A86" s="602" t="s">
        <v>1574</v>
      </c>
      <c r="B86" s="603">
        <v>1</v>
      </c>
      <c r="C86" s="603">
        <v>1</v>
      </c>
      <c r="D86" s="224"/>
    </row>
    <row r="87" spans="1:4" x14ac:dyDescent="0.2">
      <c r="A87" s="605" t="s">
        <v>769</v>
      </c>
      <c r="B87" s="603">
        <v>1</v>
      </c>
      <c r="C87" s="603">
        <v>1</v>
      </c>
      <c r="D87" s="224"/>
    </row>
    <row r="88" spans="1:4" x14ac:dyDescent="0.2">
      <c r="A88" s="605" t="s">
        <v>1580</v>
      </c>
      <c r="B88" s="603">
        <v>1</v>
      </c>
      <c r="C88" s="603">
        <v>1</v>
      </c>
      <c r="D88" s="224"/>
    </row>
    <row r="89" spans="1:4" x14ac:dyDescent="0.2">
      <c r="A89" s="602" t="s">
        <v>143</v>
      </c>
      <c r="B89" s="603">
        <v>1</v>
      </c>
      <c r="C89" s="603">
        <v>1</v>
      </c>
      <c r="D89" s="224"/>
    </row>
    <row r="90" spans="1:4" x14ac:dyDescent="0.2">
      <c r="A90" s="602" t="s">
        <v>1338</v>
      </c>
      <c r="B90" s="603">
        <v>1</v>
      </c>
      <c r="C90" s="603">
        <v>1</v>
      </c>
      <c r="D90" s="224"/>
    </row>
    <row r="91" spans="1:4" x14ac:dyDescent="0.2">
      <c r="A91" s="602" t="s">
        <v>899</v>
      </c>
      <c r="B91" s="603">
        <v>1</v>
      </c>
      <c r="C91" s="603">
        <v>1</v>
      </c>
      <c r="D91" s="224"/>
    </row>
    <row r="92" spans="1:4" x14ac:dyDescent="0.2">
      <c r="A92" s="602" t="s">
        <v>10</v>
      </c>
      <c r="B92" s="603"/>
      <c r="C92" s="603"/>
      <c r="D92" s="602" t="s">
        <v>1571</v>
      </c>
    </row>
    <row r="93" spans="1:4" x14ac:dyDescent="0.2">
      <c r="A93" s="602" t="s">
        <v>71</v>
      </c>
      <c r="B93" s="603">
        <v>1</v>
      </c>
      <c r="C93" s="603">
        <v>1</v>
      </c>
      <c r="D93" s="224"/>
    </row>
    <row r="94" spans="1:4" x14ac:dyDescent="0.2">
      <c r="A94" s="602" t="s">
        <v>70</v>
      </c>
      <c r="B94" s="603">
        <v>1</v>
      </c>
      <c r="C94" s="603">
        <v>1</v>
      </c>
      <c r="D94" s="224"/>
    </row>
    <row r="95" spans="1:4" x14ac:dyDescent="0.2">
      <c r="A95" s="602" t="s">
        <v>86</v>
      </c>
      <c r="B95" s="603">
        <v>1</v>
      </c>
      <c r="C95" s="603">
        <v>1</v>
      </c>
      <c r="D95" s="224"/>
    </row>
    <row r="96" spans="1:4" x14ac:dyDescent="0.2">
      <c r="A96" s="602" t="s">
        <v>133</v>
      </c>
      <c r="B96" s="603"/>
      <c r="C96" s="603"/>
      <c r="D96" s="227" t="s">
        <v>124</v>
      </c>
    </row>
    <row r="97" spans="1:4" x14ac:dyDescent="0.2">
      <c r="A97" s="602" t="s">
        <v>140</v>
      </c>
      <c r="B97" s="603">
        <v>1</v>
      </c>
      <c r="C97" s="603">
        <v>1</v>
      </c>
      <c r="D97" s="224"/>
    </row>
    <row r="98" spans="1:4" x14ac:dyDescent="0.2">
      <c r="A98" s="602" t="s">
        <v>146</v>
      </c>
      <c r="B98" s="603"/>
      <c r="C98" s="603"/>
      <c r="D98" s="602" t="s">
        <v>147</v>
      </c>
    </row>
    <row r="99" spans="1:4" x14ac:dyDescent="0.2">
      <c r="A99" s="602" t="s">
        <v>1572</v>
      </c>
      <c r="B99" s="603"/>
      <c r="C99" s="603"/>
      <c r="D99" s="602" t="s">
        <v>143</v>
      </c>
    </row>
    <row r="100" spans="1:4" x14ac:dyDescent="0.2">
      <c r="A100" s="602" t="s">
        <v>1568</v>
      </c>
      <c r="B100" s="603">
        <v>1</v>
      </c>
      <c r="C100" s="603">
        <v>1</v>
      </c>
      <c r="D100" s="224"/>
    </row>
    <row r="101" spans="1:4" x14ac:dyDescent="0.2">
      <c r="A101" s="602" t="s">
        <v>505</v>
      </c>
      <c r="B101" s="603">
        <v>1</v>
      </c>
      <c r="C101" s="603">
        <v>1</v>
      </c>
      <c r="D101" s="224"/>
    </row>
    <row r="102" spans="1:4" x14ac:dyDescent="0.2">
      <c r="A102" s="15">
        <f>COUNTA(A2:A101)</f>
        <v>86</v>
      </c>
      <c r="B102" s="599">
        <f>COUNT(B2:B101)</f>
        <v>66</v>
      </c>
      <c r="C102" s="599">
        <f>COUNT(C2:C101)</f>
        <v>72</v>
      </c>
    </row>
  </sheetData>
  <sortState xmlns:xlrd2="http://schemas.microsoft.com/office/spreadsheetml/2017/richdata2" ref="A7:D24">
    <sortCondition ref="A7:A2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H40"/>
  <sheetViews>
    <sheetView zoomScale="150" workbookViewId="0">
      <pane xSplit="1" ySplit="1" topLeftCell="B26" activePane="bottomRight" state="frozen"/>
      <selection pane="topRight" activeCell="B1" sqref="B1"/>
      <selection pane="bottomLeft" activeCell="A2" sqref="A2"/>
      <selection pane="bottomRight" activeCell="H54" sqref="H54"/>
    </sheetView>
  </sheetViews>
  <sheetFormatPr defaultRowHeight="12.75" x14ac:dyDescent="0.2"/>
  <cols>
    <col min="1" max="1" width="18.83203125" customWidth="1"/>
    <col min="2" max="5" width="9.33203125" style="113"/>
    <col min="8" max="8" width="9.33203125" style="113"/>
  </cols>
  <sheetData>
    <row r="1" spans="1:8" x14ac:dyDescent="0.2">
      <c r="B1" s="490" t="s">
        <v>1001</v>
      </c>
      <c r="C1" s="491" t="s">
        <v>117</v>
      </c>
      <c r="D1" s="491" t="s">
        <v>118</v>
      </c>
      <c r="E1" s="492" t="s">
        <v>1357</v>
      </c>
      <c r="F1" s="492" t="s">
        <v>1358</v>
      </c>
    </row>
    <row r="2" spans="1:8" x14ac:dyDescent="0.2">
      <c r="A2" t="s">
        <v>141</v>
      </c>
      <c r="B2" s="113">
        <v>1</v>
      </c>
      <c r="C2" s="113">
        <v>1</v>
      </c>
      <c r="D2" s="113">
        <v>1</v>
      </c>
      <c r="E2" s="113">
        <v>1</v>
      </c>
      <c r="F2" s="113">
        <v>1</v>
      </c>
      <c r="H2" s="113">
        <v>1</v>
      </c>
    </row>
    <row r="3" spans="1:8" x14ac:dyDescent="0.2">
      <c r="A3" t="s">
        <v>147</v>
      </c>
      <c r="B3" s="113">
        <v>1</v>
      </c>
      <c r="C3" s="113">
        <v>1</v>
      </c>
      <c r="D3" s="113">
        <v>1</v>
      </c>
      <c r="E3" s="113">
        <v>1</v>
      </c>
      <c r="F3" s="113">
        <v>1</v>
      </c>
    </row>
    <row r="4" spans="1:8" x14ac:dyDescent="0.2">
      <c r="A4" t="s">
        <v>145</v>
      </c>
      <c r="B4" s="113">
        <v>1</v>
      </c>
      <c r="C4" s="113">
        <v>1</v>
      </c>
      <c r="D4" s="113">
        <v>1</v>
      </c>
      <c r="F4" s="113">
        <v>1</v>
      </c>
      <c r="H4" s="113">
        <v>1</v>
      </c>
    </row>
    <row r="5" spans="1:8" x14ac:dyDescent="0.2">
      <c r="A5" t="s">
        <v>299</v>
      </c>
      <c r="B5" s="113">
        <v>1</v>
      </c>
      <c r="F5" s="113"/>
    </row>
    <row r="6" spans="1:8" x14ac:dyDescent="0.2">
      <c r="A6" t="s">
        <v>1301</v>
      </c>
      <c r="B6" s="113">
        <v>1</v>
      </c>
      <c r="C6" s="113">
        <v>1</v>
      </c>
      <c r="D6" s="113">
        <v>1</v>
      </c>
      <c r="E6" s="113">
        <v>1</v>
      </c>
      <c r="F6" s="113">
        <v>1</v>
      </c>
      <c r="H6" s="113">
        <v>1</v>
      </c>
    </row>
    <row r="7" spans="1:8" x14ac:dyDescent="0.2">
      <c r="A7" t="s">
        <v>768</v>
      </c>
      <c r="B7" s="113">
        <v>1</v>
      </c>
      <c r="C7" s="113">
        <v>1</v>
      </c>
      <c r="D7" s="113">
        <v>1</v>
      </c>
      <c r="E7" s="113">
        <v>1</v>
      </c>
      <c r="F7" s="113">
        <v>1</v>
      </c>
      <c r="H7" s="113">
        <v>1</v>
      </c>
    </row>
    <row r="8" spans="1:8" x14ac:dyDescent="0.2">
      <c r="A8" t="s">
        <v>852</v>
      </c>
      <c r="B8" s="113">
        <v>1</v>
      </c>
      <c r="F8" s="113"/>
    </row>
    <row r="9" spans="1:8" x14ac:dyDescent="0.2">
      <c r="A9" t="s">
        <v>853</v>
      </c>
      <c r="B9" s="113">
        <v>1</v>
      </c>
      <c r="F9" s="113"/>
    </row>
    <row r="10" spans="1:8" x14ac:dyDescent="0.2">
      <c r="A10" t="s">
        <v>854</v>
      </c>
      <c r="B10" s="113">
        <v>1</v>
      </c>
      <c r="F10" s="113"/>
    </row>
    <row r="11" spans="1:8" x14ac:dyDescent="0.2">
      <c r="A11" t="s">
        <v>874</v>
      </c>
      <c r="B11" s="113">
        <v>1</v>
      </c>
      <c r="F11" s="113"/>
    </row>
    <row r="12" spans="1:8" x14ac:dyDescent="0.2">
      <c r="A12" t="s">
        <v>1160</v>
      </c>
      <c r="B12" s="113">
        <v>1</v>
      </c>
      <c r="F12" s="113"/>
    </row>
    <row r="13" spans="1:8" x14ac:dyDescent="0.2">
      <c r="A13" t="s">
        <v>1307</v>
      </c>
      <c r="B13" s="113">
        <v>1</v>
      </c>
      <c r="C13" s="113">
        <v>1</v>
      </c>
      <c r="D13" s="113">
        <v>1</v>
      </c>
      <c r="E13" s="113">
        <v>1</v>
      </c>
      <c r="F13" s="113">
        <v>1</v>
      </c>
      <c r="H13" s="113">
        <v>1</v>
      </c>
    </row>
    <row r="14" spans="1:8" x14ac:dyDescent="0.2">
      <c r="A14" t="s">
        <v>1010</v>
      </c>
      <c r="B14" s="113">
        <v>1</v>
      </c>
      <c r="C14" s="113">
        <v>1</v>
      </c>
      <c r="D14" s="113">
        <v>1</v>
      </c>
      <c r="E14" s="113">
        <v>1</v>
      </c>
      <c r="F14" s="113">
        <v>1</v>
      </c>
      <c r="H14" s="113">
        <v>1</v>
      </c>
    </row>
    <row r="15" spans="1:8" x14ac:dyDescent="0.2">
      <c r="A15" t="s">
        <v>1011</v>
      </c>
      <c r="B15" s="113">
        <v>1</v>
      </c>
      <c r="F15" s="113"/>
    </row>
    <row r="16" spans="1:8" x14ac:dyDescent="0.2">
      <c r="A16" t="s">
        <v>856</v>
      </c>
      <c r="B16" s="113">
        <v>1</v>
      </c>
      <c r="C16" s="113">
        <v>1</v>
      </c>
      <c r="D16" s="113">
        <v>1</v>
      </c>
      <c r="F16" s="113">
        <v>1</v>
      </c>
      <c r="H16" s="113">
        <v>1</v>
      </c>
    </row>
    <row r="17" spans="1:8" x14ac:dyDescent="0.2">
      <c r="A17" t="s">
        <v>1229</v>
      </c>
      <c r="B17" s="113">
        <v>1</v>
      </c>
      <c r="C17" s="113">
        <v>1</v>
      </c>
      <c r="D17" s="113">
        <v>1</v>
      </c>
      <c r="F17" s="113"/>
      <c r="H17" s="113">
        <v>1</v>
      </c>
    </row>
    <row r="18" spans="1:8" x14ac:dyDescent="0.2">
      <c r="A18" t="s">
        <v>62</v>
      </c>
      <c r="B18" s="113">
        <v>1</v>
      </c>
      <c r="C18" s="113">
        <v>1</v>
      </c>
      <c r="D18" s="113">
        <v>1</v>
      </c>
      <c r="E18" s="113">
        <v>1</v>
      </c>
      <c r="F18" s="113">
        <v>1</v>
      </c>
      <c r="H18" s="113">
        <v>1</v>
      </c>
    </row>
    <row r="19" spans="1:8" x14ac:dyDescent="0.2">
      <c r="A19" t="s">
        <v>242</v>
      </c>
      <c r="B19" s="113">
        <v>1</v>
      </c>
      <c r="C19" s="113">
        <v>1</v>
      </c>
      <c r="D19" s="113">
        <v>1</v>
      </c>
      <c r="E19" s="113">
        <v>1</v>
      </c>
      <c r="F19" s="113">
        <v>1</v>
      </c>
      <c r="H19" s="113">
        <v>1</v>
      </c>
    </row>
    <row r="20" spans="1:8" x14ac:dyDescent="0.2">
      <c r="A20" t="s">
        <v>243</v>
      </c>
      <c r="B20" s="113">
        <v>1</v>
      </c>
      <c r="D20" s="113">
        <v>1</v>
      </c>
      <c r="F20" s="113">
        <v>1</v>
      </c>
      <c r="H20" s="113">
        <v>1</v>
      </c>
    </row>
    <row r="21" spans="1:8" x14ac:dyDescent="0.2">
      <c r="A21" t="s">
        <v>244</v>
      </c>
      <c r="B21" s="113">
        <v>1</v>
      </c>
      <c r="D21" s="113">
        <v>1</v>
      </c>
      <c r="F21" s="113">
        <v>1</v>
      </c>
    </row>
    <row r="22" spans="1:8" x14ac:dyDescent="0.2">
      <c r="A22" t="s">
        <v>247</v>
      </c>
      <c r="B22" s="113">
        <v>1</v>
      </c>
      <c r="F22" s="113"/>
    </row>
    <row r="23" spans="1:8" x14ac:dyDescent="0.2">
      <c r="A23" t="s">
        <v>769</v>
      </c>
      <c r="B23" s="113">
        <v>1</v>
      </c>
      <c r="C23" s="113">
        <v>1</v>
      </c>
      <c r="D23" s="113">
        <v>1</v>
      </c>
      <c r="E23" s="113">
        <v>1</v>
      </c>
      <c r="F23" s="113">
        <v>1</v>
      </c>
      <c r="H23" s="113">
        <v>1</v>
      </c>
    </row>
    <row r="24" spans="1:8" x14ac:dyDescent="0.2">
      <c r="A24" t="s">
        <v>137</v>
      </c>
      <c r="B24" s="113">
        <v>1</v>
      </c>
      <c r="C24" s="113">
        <v>1</v>
      </c>
      <c r="D24" s="113">
        <v>1</v>
      </c>
      <c r="E24" s="113">
        <v>1</v>
      </c>
      <c r="F24" s="113">
        <v>1</v>
      </c>
      <c r="H24" s="113">
        <v>1</v>
      </c>
    </row>
    <row r="25" spans="1:8" x14ac:dyDescent="0.2">
      <c r="A25" t="s">
        <v>298</v>
      </c>
      <c r="B25" s="113">
        <v>1</v>
      </c>
      <c r="F25" s="113"/>
    </row>
    <row r="26" spans="1:8" x14ac:dyDescent="0.2">
      <c r="A26" t="s">
        <v>143</v>
      </c>
      <c r="B26" s="113">
        <v>1</v>
      </c>
      <c r="C26" s="113">
        <v>1</v>
      </c>
      <c r="D26" s="113">
        <v>1</v>
      </c>
      <c r="F26" s="113"/>
      <c r="H26" s="113">
        <v>1</v>
      </c>
    </row>
    <row r="27" spans="1:8" x14ac:dyDescent="0.2">
      <c r="A27" t="s">
        <v>207</v>
      </c>
      <c r="B27" s="113">
        <v>1</v>
      </c>
      <c r="C27" s="113">
        <v>1</v>
      </c>
      <c r="D27" s="113">
        <v>1</v>
      </c>
      <c r="E27" s="113">
        <v>1</v>
      </c>
      <c r="F27" s="113">
        <v>1</v>
      </c>
    </row>
    <row r="28" spans="1:8" x14ac:dyDescent="0.2">
      <c r="A28" t="s">
        <v>46</v>
      </c>
      <c r="B28" s="113">
        <v>1</v>
      </c>
      <c r="C28" s="113">
        <v>1</v>
      </c>
      <c r="D28" s="113">
        <v>1</v>
      </c>
      <c r="F28" s="113"/>
    </row>
    <row r="29" spans="1:8" x14ac:dyDescent="0.2">
      <c r="A29" t="s">
        <v>597</v>
      </c>
      <c r="B29" s="113">
        <v>1</v>
      </c>
      <c r="C29" s="113">
        <v>1</v>
      </c>
      <c r="D29" s="113">
        <v>1</v>
      </c>
      <c r="F29" s="113"/>
    </row>
    <row r="30" spans="1:8" x14ac:dyDescent="0.2">
      <c r="A30" t="s">
        <v>216</v>
      </c>
      <c r="B30" s="113">
        <v>1</v>
      </c>
      <c r="C30" s="113">
        <v>1</v>
      </c>
      <c r="D30" s="113">
        <v>1</v>
      </c>
      <c r="E30" s="113">
        <v>1</v>
      </c>
      <c r="F30" s="113">
        <v>1</v>
      </c>
    </row>
    <row r="31" spans="1:8" x14ac:dyDescent="0.2">
      <c r="A31" t="s">
        <v>221</v>
      </c>
      <c r="B31" s="113">
        <v>1</v>
      </c>
      <c r="F31" s="113"/>
    </row>
    <row r="32" spans="1:8" x14ac:dyDescent="0.2">
      <c r="A32" t="s">
        <v>228</v>
      </c>
      <c r="B32" s="113">
        <v>1</v>
      </c>
      <c r="F32" s="113"/>
    </row>
    <row r="33" spans="1:8" x14ac:dyDescent="0.2">
      <c r="A33" t="s">
        <v>47</v>
      </c>
      <c r="B33" s="113">
        <v>1</v>
      </c>
      <c r="F33" s="113"/>
    </row>
    <row r="34" spans="1:8" x14ac:dyDescent="0.2">
      <c r="A34" t="s">
        <v>598</v>
      </c>
      <c r="B34" s="113">
        <v>1</v>
      </c>
      <c r="C34" s="113">
        <v>1</v>
      </c>
      <c r="D34" s="113">
        <v>1</v>
      </c>
      <c r="E34" s="113">
        <v>1</v>
      </c>
      <c r="F34" s="113">
        <v>1</v>
      </c>
    </row>
    <row r="35" spans="1:8" x14ac:dyDescent="0.2">
      <c r="A35" t="s">
        <v>116</v>
      </c>
      <c r="B35" s="113">
        <v>1</v>
      </c>
      <c r="C35" s="113">
        <v>1</v>
      </c>
      <c r="D35" s="113">
        <v>1</v>
      </c>
      <c r="E35" s="113">
        <v>1</v>
      </c>
      <c r="F35" s="113">
        <v>1</v>
      </c>
    </row>
    <row r="36" spans="1:8" x14ac:dyDescent="0.2">
      <c r="B36" s="129">
        <f>SUM(B2:B35)</f>
        <v>34</v>
      </c>
      <c r="C36" s="129">
        <f>SUM(C2:C35)</f>
        <v>20</v>
      </c>
      <c r="D36" s="129">
        <f>SUM(D2:D35)</f>
        <v>22</v>
      </c>
      <c r="E36" s="129">
        <f>SUM(E2:E35)</f>
        <v>14</v>
      </c>
      <c r="F36" s="129">
        <f>SUM(F2:F35)</f>
        <v>18</v>
      </c>
      <c r="H36" s="129">
        <f>SUM(H2:H35)</f>
        <v>14</v>
      </c>
    </row>
    <row r="37" spans="1:8" x14ac:dyDescent="0.2">
      <c r="A37" t="s">
        <v>115</v>
      </c>
      <c r="B37" s="113">
        <f>B36-1</f>
        <v>33</v>
      </c>
      <c r="C37" s="113">
        <f>C36-1</f>
        <v>19</v>
      </c>
      <c r="D37" s="113">
        <f>D36-1</f>
        <v>21</v>
      </c>
      <c r="E37" s="113">
        <f>E36-1</f>
        <v>13</v>
      </c>
      <c r="F37" s="113">
        <f>F36-1</f>
        <v>17</v>
      </c>
    </row>
    <row r="39" spans="1:8" x14ac:dyDescent="0.2">
      <c r="B39" s="113">
        <v>36821</v>
      </c>
    </row>
    <row r="40" spans="1:8" x14ac:dyDescent="0.2">
      <c r="B40" s="447">
        <f>B37/B39</f>
        <v>8.9622769615165258E-4</v>
      </c>
    </row>
  </sheetData>
  <phoneticPr fontId="32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D62"/>
  <sheetViews>
    <sheetView topLeftCell="A41" zoomScale="200" workbookViewId="0">
      <selection activeCell="C62" sqref="C62"/>
    </sheetView>
  </sheetViews>
  <sheetFormatPr defaultRowHeight="12.75" x14ac:dyDescent="0.2"/>
  <cols>
    <col min="1" max="1" width="11.5" customWidth="1"/>
    <col min="4" max="4" width="9.33203125" style="31"/>
  </cols>
  <sheetData>
    <row r="1" spans="1:4" x14ac:dyDescent="0.2">
      <c r="A1" s="188">
        <v>43474</v>
      </c>
      <c r="B1" t="s">
        <v>1063</v>
      </c>
    </row>
    <row r="2" spans="1:4" x14ac:dyDescent="0.2">
      <c r="B2" s="13" t="s">
        <v>921</v>
      </c>
      <c r="C2" s="13" t="s">
        <v>896</v>
      </c>
    </row>
    <row r="3" spans="1:4" x14ac:dyDescent="0.2">
      <c r="A3" s="2" t="s">
        <v>12</v>
      </c>
      <c r="B3">
        <v>17.95</v>
      </c>
      <c r="C3">
        <v>1.2E-2</v>
      </c>
      <c r="D3" s="31">
        <f t="shared" ref="D3:D34" si="0">B3/C3</f>
        <v>1495.8333333333333</v>
      </c>
    </row>
    <row r="4" spans="1:4" x14ac:dyDescent="0.2">
      <c r="A4" s="2" t="s">
        <v>2522</v>
      </c>
      <c r="B4">
        <v>69</v>
      </c>
      <c r="C4">
        <v>0.26500000000000001</v>
      </c>
      <c r="D4" s="31">
        <f t="shared" si="0"/>
        <v>260.37735849056605</v>
      </c>
    </row>
    <row r="5" spans="1:4" x14ac:dyDescent="0.2">
      <c r="A5" s="2" t="s">
        <v>1813</v>
      </c>
      <c r="B5">
        <v>70</v>
      </c>
      <c r="C5" s="2">
        <v>0.34200000000000003</v>
      </c>
      <c r="D5" s="31">
        <f t="shared" si="0"/>
        <v>204.67836257309941</v>
      </c>
    </row>
    <row r="6" spans="1:4" x14ac:dyDescent="0.2">
      <c r="A6" s="2" t="s">
        <v>120</v>
      </c>
      <c r="B6">
        <v>350</v>
      </c>
      <c r="C6" s="2">
        <v>0.34200000000000003</v>
      </c>
      <c r="D6" s="31">
        <f t="shared" si="0"/>
        <v>1023.3918128654969</v>
      </c>
    </row>
    <row r="7" spans="1:4" x14ac:dyDescent="0.2">
      <c r="A7" s="2" t="s">
        <v>1000</v>
      </c>
      <c r="B7">
        <v>195</v>
      </c>
      <c r="C7" s="2">
        <v>0.38200000000000001</v>
      </c>
      <c r="D7" s="31">
        <f t="shared" si="0"/>
        <v>510.47120418848169</v>
      </c>
    </row>
    <row r="8" spans="1:4" x14ac:dyDescent="0.2">
      <c r="A8" s="2" t="s">
        <v>2436</v>
      </c>
      <c r="B8">
        <v>120</v>
      </c>
      <c r="C8">
        <v>0.42</v>
      </c>
      <c r="D8" s="31">
        <f t="shared" si="0"/>
        <v>285.71428571428572</v>
      </c>
    </row>
    <row r="9" spans="1:4" x14ac:dyDescent="0.2">
      <c r="A9" s="2" t="s">
        <v>2436</v>
      </c>
      <c r="B9">
        <v>61</v>
      </c>
      <c r="C9" s="2">
        <v>0.61</v>
      </c>
      <c r="D9" s="31">
        <f t="shared" si="0"/>
        <v>100</v>
      </c>
    </row>
    <row r="10" spans="1:4" x14ac:dyDescent="0.2">
      <c r="A10" s="2" t="s">
        <v>2522</v>
      </c>
      <c r="B10">
        <v>70</v>
      </c>
      <c r="C10" s="2">
        <v>0.7</v>
      </c>
      <c r="D10" s="31">
        <f t="shared" si="0"/>
        <v>100</v>
      </c>
    </row>
    <row r="11" spans="1:4" x14ac:dyDescent="0.2">
      <c r="A11" s="2" t="s">
        <v>2424</v>
      </c>
      <c r="B11">
        <v>117</v>
      </c>
      <c r="C11" s="2">
        <v>0.78</v>
      </c>
      <c r="D11" s="31">
        <f t="shared" si="0"/>
        <v>150</v>
      </c>
    </row>
    <row r="12" spans="1:4" x14ac:dyDescent="0.2">
      <c r="A12" s="2" t="s">
        <v>2522</v>
      </c>
      <c r="B12">
        <v>74.25</v>
      </c>
      <c r="C12" s="2">
        <v>0.78</v>
      </c>
      <c r="D12" s="31">
        <f t="shared" si="0"/>
        <v>95.192307692307693</v>
      </c>
    </row>
    <row r="13" spans="1:4" x14ac:dyDescent="0.2">
      <c r="A13" s="2" t="s">
        <v>2602</v>
      </c>
      <c r="B13">
        <v>400</v>
      </c>
      <c r="C13" s="830">
        <v>7.38</v>
      </c>
      <c r="D13" s="831">
        <f t="shared" si="0"/>
        <v>54.200542005420054</v>
      </c>
    </row>
    <row r="14" spans="1:4" x14ac:dyDescent="0.2">
      <c r="A14" s="2" t="s">
        <v>2522</v>
      </c>
      <c r="B14">
        <v>117</v>
      </c>
      <c r="C14" s="830">
        <v>1.9</v>
      </c>
      <c r="D14" s="831">
        <f t="shared" si="0"/>
        <v>61.578947368421055</v>
      </c>
    </row>
    <row r="15" spans="1:4" x14ac:dyDescent="0.2">
      <c r="A15" s="2" t="s">
        <v>2522</v>
      </c>
      <c r="B15">
        <v>88</v>
      </c>
      <c r="C15" s="830">
        <v>1.4</v>
      </c>
      <c r="D15" s="831">
        <f t="shared" si="0"/>
        <v>62.857142857142861</v>
      </c>
    </row>
    <row r="16" spans="1:4" x14ac:dyDescent="0.2">
      <c r="A16" s="2" t="s">
        <v>2436</v>
      </c>
      <c r="B16">
        <v>410</v>
      </c>
      <c r="C16" s="833">
        <v>6.5</v>
      </c>
      <c r="D16" s="831">
        <f t="shared" si="0"/>
        <v>63.07692307692308</v>
      </c>
    </row>
    <row r="17" spans="1:4" x14ac:dyDescent="0.2">
      <c r="A17" s="2" t="s">
        <v>2436</v>
      </c>
      <c r="B17">
        <v>95</v>
      </c>
      <c r="C17" s="832">
        <v>1</v>
      </c>
      <c r="D17" s="831">
        <f t="shared" si="0"/>
        <v>95</v>
      </c>
    </row>
    <row r="18" spans="1:4" x14ac:dyDescent="0.2">
      <c r="A18" s="2" t="s">
        <v>2522</v>
      </c>
      <c r="B18">
        <v>99</v>
      </c>
      <c r="C18" s="832">
        <v>1</v>
      </c>
      <c r="D18" s="831">
        <f t="shared" si="0"/>
        <v>99</v>
      </c>
    </row>
    <row r="19" spans="1:4" x14ac:dyDescent="0.2">
      <c r="A19" s="2" t="s">
        <v>2522</v>
      </c>
      <c r="B19">
        <v>179</v>
      </c>
      <c r="C19" s="830">
        <v>1.8</v>
      </c>
      <c r="D19" s="831">
        <f t="shared" si="0"/>
        <v>99.444444444444443</v>
      </c>
    </row>
    <row r="20" spans="1:4" x14ac:dyDescent="0.2">
      <c r="A20" s="2" t="s">
        <v>2522</v>
      </c>
      <c r="B20">
        <v>199</v>
      </c>
      <c r="C20" s="830">
        <v>2</v>
      </c>
      <c r="D20" s="831">
        <f t="shared" si="0"/>
        <v>99.5</v>
      </c>
    </row>
    <row r="21" spans="1:4" x14ac:dyDescent="0.2">
      <c r="A21" s="2" t="s">
        <v>2522</v>
      </c>
      <c r="B21">
        <v>110</v>
      </c>
      <c r="C21" s="830">
        <v>1.1000000000000001</v>
      </c>
      <c r="D21" s="831">
        <f t="shared" si="0"/>
        <v>99.999999999999986</v>
      </c>
    </row>
    <row r="22" spans="1:4" x14ac:dyDescent="0.2">
      <c r="A22" s="2" t="s">
        <v>1471</v>
      </c>
      <c r="B22">
        <v>250</v>
      </c>
      <c r="C22" s="830">
        <v>2.5</v>
      </c>
      <c r="D22" s="831">
        <f t="shared" si="0"/>
        <v>100</v>
      </c>
    </row>
    <row r="23" spans="1:4" x14ac:dyDescent="0.2">
      <c r="A23" s="2" t="s">
        <v>2522</v>
      </c>
      <c r="B23">
        <v>260</v>
      </c>
      <c r="C23" s="833">
        <v>2.6</v>
      </c>
      <c r="D23" s="831">
        <f t="shared" si="0"/>
        <v>100</v>
      </c>
    </row>
    <row r="24" spans="1:4" x14ac:dyDescent="0.2">
      <c r="A24" s="2" t="s">
        <v>2435</v>
      </c>
      <c r="B24">
        <v>1070</v>
      </c>
      <c r="C24" s="833">
        <v>10.7</v>
      </c>
      <c r="D24" s="831">
        <f t="shared" si="0"/>
        <v>100</v>
      </c>
    </row>
    <row r="25" spans="1:4" x14ac:dyDescent="0.2">
      <c r="A25" s="2" t="s">
        <v>2522</v>
      </c>
      <c r="B25">
        <v>299</v>
      </c>
      <c r="C25" s="830">
        <v>2.8</v>
      </c>
      <c r="D25" s="831">
        <f t="shared" si="0"/>
        <v>106.78571428571429</v>
      </c>
    </row>
    <row r="26" spans="1:4" x14ac:dyDescent="0.2">
      <c r="A26" s="2" t="s">
        <v>12</v>
      </c>
      <c r="B26">
        <v>225</v>
      </c>
      <c r="C26" s="830">
        <v>1.96</v>
      </c>
      <c r="D26" s="831">
        <f t="shared" si="0"/>
        <v>114.79591836734694</v>
      </c>
    </row>
    <row r="27" spans="1:4" x14ac:dyDescent="0.2">
      <c r="A27" s="2" t="s">
        <v>2522</v>
      </c>
      <c r="B27">
        <v>582</v>
      </c>
      <c r="C27" s="830">
        <v>4.5999999999999996</v>
      </c>
      <c r="D27" s="831">
        <f t="shared" si="0"/>
        <v>126.5217391304348</v>
      </c>
    </row>
    <row r="28" spans="1:4" x14ac:dyDescent="0.2">
      <c r="A28" s="2" t="s">
        <v>2522</v>
      </c>
      <c r="B28">
        <v>132</v>
      </c>
      <c r="C28" s="833">
        <v>1</v>
      </c>
      <c r="D28" s="831">
        <f t="shared" si="0"/>
        <v>132</v>
      </c>
    </row>
    <row r="29" spans="1:4" x14ac:dyDescent="0.2">
      <c r="A29" s="2" t="s">
        <v>2435</v>
      </c>
      <c r="B29">
        <v>625</v>
      </c>
      <c r="C29" s="833">
        <v>4.7</v>
      </c>
      <c r="D29" s="831">
        <f t="shared" si="0"/>
        <v>132.97872340425531</v>
      </c>
    </row>
    <row r="30" spans="1:4" x14ac:dyDescent="0.2">
      <c r="A30" s="2" t="s">
        <v>2522</v>
      </c>
      <c r="B30">
        <v>519</v>
      </c>
      <c r="C30" s="833">
        <v>3.87</v>
      </c>
      <c r="D30" s="831">
        <f t="shared" si="0"/>
        <v>134.10852713178295</v>
      </c>
    </row>
    <row r="31" spans="1:4" x14ac:dyDescent="0.2">
      <c r="A31" s="2" t="s">
        <v>1551</v>
      </c>
      <c r="B31">
        <v>110</v>
      </c>
      <c r="C31" s="830">
        <v>0.81299999999999994</v>
      </c>
      <c r="D31" s="831">
        <f t="shared" si="0"/>
        <v>135.30135301353013</v>
      </c>
    </row>
    <row r="32" spans="1:4" x14ac:dyDescent="0.2">
      <c r="A32" s="2" t="s">
        <v>1813</v>
      </c>
      <c r="B32">
        <v>275</v>
      </c>
      <c r="C32" s="830">
        <v>1.944</v>
      </c>
      <c r="D32" s="831">
        <f t="shared" si="0"/>
        <v>141.46090534979425</v>
      </c>
    </row>
    <row r="33" spans="1:4" x14ac:dyDescent="0.2">
      <c r="A33" s="2" t="s">
        <v>2424</v>
      </c>
      <c r="B33">
        <v>1305</v>
      </c>
      <c r="C33" s="830">
        <v>8.6999999999999993</v>
      </c>
      <c r="D33" s="831">
        <f t="shared" si="0"/>
        <v>150</v>
      </c>
    </row>
    <row r="34" spans="1:4" x14ac:dyDescent="0.2">
      <c r="A34" s="2" t="s">
        <v>2522</v>
      </c>
      <c r="B34">
        <v>1758</v>
      </c>
      <c r="C34" s="830">
        <v>11.72</v>
      </c>
      <c r="D34" s="831">
        <f t="shared" si="0"/>
        <v>150</v>
      </c>
    </row>
    <row r="35" spans="1:4" x14ac:dyDescent="0.2">
      <c r="A35" s="2" t="s">
        <v>2522</v>
      </c>
      <c r="B35">
        <v>319</v>
      </c>
      <c r="C35" s="833">
        <v>2.1230000000000002</v>
      </c>
      <c r="D35" s="831">
        <f t="shared" ref="D35:D53" si="1">B35/C35</f>
        <v>150.25906735751295</v>
      </c>
    </row>
    <row r="36" spans="1:4" x14ac:dyDescent="0.2">
      <c r="A36" s="2" t="s">
        <v>2424</v>
      </c>
      <c r="B36">
        <v>1008</v>
      </c>
      <c r="C36" s="830">
        <v>5.6</v>
      </c>
      <c r="D36" s="831">
        <f t="shared" si="1"/>
        <v>180</v>
      </c>
    </row>
    <row r="37" spans="1:4" x14ac:dyDescent="0.2">
      <c r="A37" s="2" t="s">
        <v>2436</v>
      </c>
      <c r="B37">
        <v>200</v>
      </c>
      <c r="C37" s="830">
        <v>0.88</v>
      </c>
      <c r="D37" s="831">
        <f t="shared" si="1"/>
        <v>227.27272727272728</v>
      </c>
    </row>
    <row r="38" spans="1:4" x14ac:dyDescent="0.2">
      <c r="A38" s="2" t="s">
        <v>11</v>
      </c>
      <c r="B38">
        <v>5400</v>
      </c>
      <c r="C38" s="833">
        <v>10.8</v>
      </c>
      <c r="D38" s="831">
        <f t="shared" si="1"/>
        <v>499.99999999999994</v>
      </c>
    </row>
    <row r="39" spans="1:4" x14ac:dyDescent="0.2">
      <c r="A39" s="2" t="s">
        <v>11</v>
      </c>
      <c r="B39">
        <v>2800</v>
      </c>
      <c r="C39" s="830">
        <v>5.57</v>
      </c>
      <c r="D39" s="831">
        <f t="shared" si="1"/>
        <v>502.69299820466784</v>
      </c>
    </row>
    <row r="40" spans="1:4" x14ac:dyDescent="0.2">
      <c r="A40" s="2" t="s">
        <v>11</v>
      </c>
      <c r="B40">
        <v>1220</v>
      </c>
      <c r="C40" s="830">
        <v>2.33</v>
      </c>
      <c r="D40" s="831">
        <f t="shared" si="1"/>
        <v>523.6051502145923</v>
      </c>
    </row>
    <row r="41" spans="1:4" x14ac:dyDescent="0.2">
      <c r="A41" s="2" t="s">
        <v>2252</v>
      </c>
      <c r="B41">
        <v>2700</v>
      </c>
      <c r="C41" s="830">
        <v>3.35</v>
      </c>
      <c r="D41" s="831">
        <f t="shared" si="1"/>
        <v>805.97014925373128</v>
      </c>
    </row>
    <row r="42" spans="1:4" x14ac:dyDescent="0.2">
      <c r="A42" s="2" t="s">
        <v>2252</v>
      </c>
      <c r="B42">
        <v>2735</v>
      </c>
      <c r="C42" s="830">
        <v>3.39</v>
      </c>
      <c r="D42" s="831">
        <f t="shared" si="1"/>
        <v>806.78466076696168</v>
      </c>
    </row>
    <row r="43" spans="1:4" x14ac:dyDescent="0.2">
      <c r="A43" s="2" t="s">
        <v>1998</v>
      </c>
      <c r="B43">
        <v>8320</v>
      </c>
      <c r="C43" s="830">
        <v>9.64</v>
      </c>
      <c r="D43" s="831">
        <f t="shared" si="1"/>
        <v>863.07053941908714</v>
      </c>
    </row>
    <row r="44" spans="1:4" x14ac:dyDescent="0.2">
      <c r="A44" s="2" t="s">
        <v>2435</v>
      </c>
      <c r="B44">
        <v>975</v>
      </c>
      <c r="C44" s="2">
        <v>13.4</v>
      </c>
      <c r="D44" s="31">
        <f t="shared" si="1"/>
        <v>72.761194029850742</v>
      </c>
    </row>
    <row r="45" spans="1:4" x14ac:dyDescent="0.2">
      <c r="A45" s="2" t="s">
        <v>2435</v>
      </c>
      <c r="B45">
        <v>1100</v>
      </c>
      <c r="C45" s="2">
        <v>14.89</v>
      </c>
      <c r="D45" s="31">
        <f t="shared" si="1"/>
        <v>73.875083948959031</v>
      </c>
    </row>
    <row r="46" spans="1:4" x14ac:dyDescent="0.2">
      <c r="A46" s="2" t="s">
        <v>2424</v>
      </c>
      <c r="B46">
        <v>1940</v>
      </c>
      <c r="C46">
        <v>19.399999999999999</v>
      </c>
      <c r="D46" s="31">
        <f t="shared" si="1"/>
        <v>100.00000000000001</v>
      </c>
    </row>
    <row r="47" spans="1:4" x14ac:dyDescent="0.2">
      <c r="A47" s="2" t="s">
        <v>2424</v>
      </c>
      <c r="B47">
        <v>1000</v>
      </c>
      <c r="C47" s="2">
        <v>24.9</v>
      </c>
      <c r="D47" s="31">
        <f t="shared" si="1"/>
        <v>40.160642570281126</v>
      </c>
    </row>
    <row r="48" spans="1:4" x14ac:dyDescent="0.2">
      <c r="A48" s="2" t="s">
        <v>11</v>
      </c>
      <c r="B48">
        <v>33000</v>
      </c>
      <c r="C48">
        <v>36.799999999999997</v>
      </c>
      <c r="D48" s="31">
        <f t="shared" si="1"/>
        <v>896.73913043478262</v>
      </c>
    </row>
    <row r="49" spans="1:4" x14ac:dyDescent="0.2">
      <c r="A49" s="2" t="s">
        <v>2436</v>
      </c>
      <c r="B49">
        <v>2000</v>
      </c>
      <c r="C49" s="2">
        <v>39.35</v>
      </c>
      <c r="D49" s="31">
        <f t="shared" si="1"/>
        <v>50.825921219822106</v>
      </c>
    </row>
    <row r="50" spans="1:4" x14ac:dyDescent="0.2">
      <c r="A50" t="s">
        <v>2424</v>
      </c>
      <c r="B50">
        <v>7875</v>
      </c>
      <c r="C50">
        <v>52.5</v>
      </c>
      <c r="D50" s="31">
        <f t="shared" si="1"/>
        <v>150</v>
      </c>
    </row>
    <row r="51" spans="1:4" x14ac:dyDescent="0.2">
      <c r="A51" s="2" t="s">
        <v>2602</v>
      </c>
      <c r="B51">
        <v>3499</v>
      </c>
      <c r="C51" s="2">
        <v>79.319999999999993</v>
      </c>
      <c r="D51" s="31">
        <f t="shared" si="1"/>
        <v>44.11245587493697</v>
      </c>
    </row>
    <row r="52" spans="1:4" x14ac:dyDescent="0.2">
      <c r="A52" s="2" t="s">
        <v>2453</v>
      </c>
      <c r="B52">
        <v>24470</v>
      </c>
      <c r="C52">
        <v>244.7</v>
      </c>
      <c r="D52" s="31">
        <f t="shared" si="1"/>
        <v>100</v>
      </c>
    </row>
    <row r="53" spans="1:4" x14ac:dyDescent="0.2">
      <c r="A53" s="2" t="s">
        <v>11</v>
      </c>
      <c r="B53">
        <v>250000</v>
      </c>
      <c r="C53" s="2">
        <v>640.44000000000005</v>
      </c>
      <c r="D53" s="31">
        <f t="shared" si="1"/>
        <v>390.35662981700079</v>
      </c>
    </row>
    <row r="55" spans="1:4" x14ac:dyDescent="0.2">
      <c r="A55" s="2" t="s">
        <v>2665</v>
      </c>
      <c r="B55">
        <v>7100</v>
      </c>
      <c r="C55">
        <v>144</v>
      </c>
      <c r="D55" s="31">
        <f t="shared" ref="D55:D62" si="2">B55/C55</f>
        <v>49.305555555555557</v>
      </c>
    </row>
    <row r="56" spans="1:4" x14ac:dyDescent="0.2">
      <c r="B56">
        <v>17900</v>
      </c>
      <c r="C56">
        <v>559</v>
      </c>
      <c r="D56" s="31">
        <f t="shared" si="2"/>
        <v>32.021466905187836</v>
      </c>
    </row>
    <row r="57" spans="1:4" x14ac:dyDescent="0.2">
      <c r="B57">
        <v>11285</v>
      </c>
      <c r="C57">
        <v>68</v>
      </c>
      <c r="D57" s="31">
        <f t="shared" si="2"/>
        <v>165.95588235294119</v>
      </c>
    </row>
    <row r="58" spans="1:4" x14ac:dyDescent="0.2">
      <c r="B58">
        <v>425</v>
      </c>
      <c r="C58">
        <v>4.5199999999999996</v>
      </c>
      <c r="D58" s="31">
        <f t="shared" si="2"/>
        <v>94.026548672566378</v>
      </c>
    </row>
    <row r="59" spans="1:4" x14ac:dyDescent="0.2">
      <c r="B59">
        <v>3970</v>
      </c>
      <c r="C59">
        <v>85</v>
      </c>
      <c r="D59" s="31">
        <f t="shared" si="2"/>
        <v>46.705882352941174</v>
      </c>
    </row>
    <row r="60" spans="1:4" x14ac:dyDescent="0.2">
      <c r="B60">
        <v>53000</v>
      </c>
      <c r="C60">
        <v>1225</v>
      </c>
      <c r="D60" s="31">
        <f t="shared" si="2"/>
        <v>43.265306122448976</v>
      </c>
    </row>
    <row r="61" spans="1:4" x14ac:dyDescent="0.2">
      <c r="B61">
        <v>1100</v>
      </c>
      <c r="C61">
        <v>37</v>
      </c>
      <c r="D61" s="31">
        <f t="shared" si="2"/>
        <v>29.72972972972973</v>
      </c>
    </row>
    <row r="62" spans="1:4" x14ac:dyDescent="0.2">
      <c r="B62">
        <v>417</v>
      </c>
      <c r="C62">
        <v>47</v>
      </c>
      <c r="D62" s="31">
        <f t="shared" si="2"/>
        <v>8.8723404255319149</v>
      </c>
    </row>
  </sheetData>
  <sortState xmlns:xlrd2="http://schemas.microsoft.com/office/spreadsheetml/2017/richdata2" ref="A13:D43">
    <sortCondition ref="D13:D43"/>
  </sortState>
  <phoneticPr fontId="32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6"/>
  <dimension ref="A1:X738"/>
  <sheetViews>
    <sheetView zoomScale="120" zoomScaleNormal="120" workbookViewId="0">
      <pane xSplit="1" ySplit="2" topLeftCell="B455" activePane="bottomRight" state="frozen"/>
      <selection pane="topRight" activeCell="B1" sqref="B1"/>
      <selection pane="bottomLeft" activeCell="A2" sqref="A2"/>
      <selection pane="bottomRight" activeCell="B484" sqref="B484:R484"/>
    </sheetView>
  </sheetViews>
  <sheetFormatPr defaultColWidth="9.33203125" defaultRowHeight="12.75" x14ac:dyDescent="0.2"/>
  <cols>
    <col min="1" max="1" width="19.5" style="611" customWidth="1"/>
    <col min="2" max="2" width="12" style="611" customWidth="1"/>
    <col min="3" max="3" width="16.6640625" style="816" customWidth="1"/>
    <col min="4" max="4" width="16.83203125" style="816" bestFit="1" customWidth="1"/>
    <col min="5" max="7" width="4.6640625" style="792" bestFit="1" customWidth="1"/>
    <col min="8" max="8" width="1.5" style="611" customWidth="1"/>
    <col min="9" max="9" width="8.6640625" style="919" bestFit="1" customWidth="1"/>
    <col min="10" max="10" width="8" style="755" customWidth="1"/>
    <col min="11" max="12" width="8" style="764" customWidth="1"/>
    <col min="13" max="13" width="0.83203125" style="764" customWidth="1"/>
    <col min="14" max="14" width="21.5" style="930" customWidth="1"/>
    <col min="15" max="15" width="1" style="527" customWidth="1"/>
    <col min="16" max="16" width="3.83203125" style="758" customWidth="1"/>
    <col min="17" max="17" width="5.83203125" style="758" bestFit="1" customWidth="1"/>
    <col min="18" max="18" width="3.83203125" style="758" customWidth="1"/>
    <col min="19" max="19" width="9.5" style="527" customWidth="1"/>
    <col min="20" max="20" width="8.5" style="527" customWidth="1"/>
    <col min="21" max="21" width="7.83203125" style="527" customWidth="1"/>
    <col min="22" max="24" width="9.33203125" style="527"/>
    <col min="25" max="16384" width="9.33203125" style="611"/>
  </cols>
  <sheetData>
    <row r="1" spans="1:18" ht="12.75" customHeight="1" x14ac:dyDescent="0.2">
      <c r="A1" s="985" t="s">
        <v>2906</v>
      </c>
      <c r="B1" s="985" t="s">
        <v>3035</v>
      </c>
      <c r="C1" s="985" t="s">
        <v>628</v>
      </c>
      <c r="D1" s="985" t="s">
        <v>3222</v>
      </c>
      <c r="E1" s="982" t="s">
        <v>3207</v>
      </c>
      <c r="F1" s="982"/>
      <c r="G1" s="982"/>
      <c r="H1" s="527"/>
      <c r="I1" s="984" t="s">
        <v>785</v>
      </c>
      <c r="J1" s="986" t="s">
        <v>3067</v>
      </c>
      <c r="K1" s="950" t="s">
        <v>2167</v>
      </c>
      <c r="L1" s="986" t="s">
        <v>3068</v>
      </c>
      <c r="M1" s="637"/>
      <c r="N1" s="985" t="s">
        <v>2902</v>
      </c>
      <c r="P1" s="983" t="s">
        <v>2969</v>
      </c>
      <c r="Q1" s="983"/>
      <c r="R1" s="983"/>
    </row>
    <row r="2" spans="1:18" ht="33" customHeight="1" x14ac:dyDescent="0.2">
      <c r="A2" s="985"/>
      <c r="B2" s="985"/>
      <c r="C2" s="985"/>
      <c r="D2" s="985"/>
      <c r="E2" s="792">
        <v>1</v>
      </c>
      <c r="F2" s="792">
        <v>2</v>
      </c>
      <c r="G2" s="792">
        <v>3</v>
      </c>
      <c r="I2" s="984"/>
      <c r="J2" s="986"/>
      <c r="K2" s="949" t="s">
        <v>3069</v>
      </c>
      <c r="L2" s="986"/>
      <c r="N2" s="985"/>
      <c r="P2" s="948" t="s">
        <v>1040</v>
      </c>
      <c r="Q2" s="948" t="s">
        <v>303</v>
      </c>
      <c r="R2" s="948" t="s">
        <v>2167</v>
      </c>
    </row>
    <row r="3" spans="1:18" x14ac:dyDescent="0.2">
      <c r="A3" s="611" t="s">
        <v>195</v>
      </c>
      <c r="B3" s="611" t="s">
        <v>3139</v>
      </c>
      <c r="D3" s="816" t="s">
        <v>795</v>
      </c>
      <c r="E3" s="792">
        <v>115</v>
      </c>
      <c r="I3" s="754">
        <v>77.7</v>
      </c>
      <c r="J3" s="755">
        <v>77.7</v>
      </c>
      <c r="K3" s="917">
        <f t="shared" ref="K3:K34" si="0">I3-J3</f>
        <v>0</v>
      </c>
      <c r="L3" s="917"/>
      <c r="M3" s="917"/>
      <c r="P3" s="758">
        <v>1</v>
      </c>
    </row>
    <row r="4" spans="1:18" ht="12.75" customHeight="1" x14ac:dyDescent="0.2">
      <c r="A4" s="611" t="s">
        <v>267</v>
      </c>
      <c r="B4" s="611" t="s">
        <v>3139</v>
      </c>
      <c r="D4" s="816" t="s">
        <v>795</v>
      </c>
      <c r="E4" s="792">
        <v>329</v>
      </c>
      <c r="I4" s="813">
        <v>373.17</v>
      </c>
      <c r="J4" s="755">
        <v>373.17</v>
      </c>
      <c r="K4" s="917">
        <f t="shared" si="0"/>
        <v>0</v>
      </c>
      <c r="L4" s="917"/>
      <c r="M4" s="917"/>
      <c r="P4" s="758">
        <v>1</v>
      </c>
    </row>
    <row r="5" spans="1:18" ht="12.75" customHeight="1" x14ac:dyDescent="0.2">
      <c r="A5" s="611" t="s">
        <v>375</v>
      </c>
      <c r="B5" s="611" t="s">
        <v>3139</v>
      </c>
      <c r="D5" s="816" t="s">
        <v>795</v>
      </c>
      <c r="E5" s="792">
        <v>329</v>
      </c>
      <c r="I5" s="813">
        <v>503.6</v>
      </c>
      <c r="J5" s="755">
        <v>503.6</v>
      </c>
      <c r="K5" s="917">
        <f t="shared" si="0"/>
        <v>0</v>
      </c>
      <c r="L5" s="917"/>
      <c r="M5" s="917"/>
      <c r="P5" s="758">
        <v>1</v>
      </c>
    </row>
    <row r="6" spans="1:18" ht="12.75" customHeight="1" x14ac:dyDescent="0.2">
      <c r="A6" s="611" t="s">
        <v>1301</v>
      </c>
      <c r="B6" s="611" t="s">
        <v>3139</v>
      </c>
      <c r="D6" s="816" t="s">
        <v>795</v>
      </c>
      <c r="E6" s="792">
        <v>362</v>
      </c>
      <c r="I6" s="918">
        <v>58</v>
      </c>
      <c r="J6" s="755">
        <v>56.83</v>
      </c>
      <c r="K6" s="917">
        <f t="shared" si="0"/>
        <v>1.1700000000000017</v>
      </c>
      <c r="L6" s="917"/>
      <c r="M6" s="917"/>
      <c r="P6" s="758">
        <v>1</v>
      </c>
    </row>
    <row r="7" spans="1:18" ht="12.75" customHeight="1" x14ac:dyDescent="0.2">
      <c r="A7" s="611" t="s">
        <v>768</v>
      </c>
      <c r="B7" s="611" t="s">
        <v>3139</v>
      </c>
      <c r="D7" s="816" t="s">
        <v>795</v>
      </c>
      <c r="E7" s="792">
        <v>342</v>
      </c>
      <c r="I7" s="918">
        <v>523</v>
      </c>
      <c r="J7" s="755">
        <v>240.48</v>
      </c>
      <c r="K7" s="764">
        <f t="shared" si="0"/>
        <v>282.52</v>
      </c>
      <c r="N7" s="930" t="s">
        <v>2892</v>
      </c>
      <c r="P7" s="758">
        <v>1</v>
      </c>
    </row>
    <row r="8" spans="1:18" ht="12.75" customHeight="1" x14ac:dyDescent="0.2">
      <c r="A8" s="611" t="s">
        <v>852</v>
      </c>
      <c r="B8" s="611" t="s">
        <v>3139</v>
      </c>
      <c r="D8" s="816" t="s">
        <v>795</v>
      </c>
      <c r="E8" s="792">
        <v>344</v>
      </c>
      <c r="F8" s="792">
        <v>347</v>
      </c>
      <c r="I8" s="918">
        <f>122+183+181</f>
        <v>486</v>
      </c>
      <c r="J8" s="755">
        <v>189.48</v>
      </c>
      <c r="K8" s="764">
        <f t="shared" si="0"/>
        <v>296.52</v>
      </c>
      <c r="N8" s="930" t="s">
        <v>2892</v>
      </c>
      <c r="P8" s="758">
        <v>1</v>
      </c>
    </row>
    <row r="9" spans="1:18" ht="12.75" customHeight="1" x14ac:dyDescent="0.2">
      <c r="A9" s="611" t="s">
        <v>853</v>
      </c>
      <c r="B9" s="611" t="s">
        <v>3139</v>
      </c>
      <c r="D9" s="816" t="s">
        <v>795</v>
      </c>
      <c r="E9" s="792">
        <v>344</v>
      </c>
      <c r="F9" s="792">
        <v>347</v>
      </c>
      <c r="I9" s="918">
        <f>220+111+126</f>
        <v>457</v>
      </c>
      <c r="J9" s="755">
        <v>190.33</v>
      </c>
      <c r="K9" s="764">
        <f t="shared" si="0"/>
        <v>266.66999999999996</v>
      </c>
      <c r="N9" s="930" t="s">
        <v>2892</v>
      </c>
      <c r="P9" s="758">
        <v>1</v>
      </c>
    </row>
    <row r="10" spans="1:18" ht="12.75" customHeight="1" x14ac:dyDescent="0.2">
      <c r="A10" s="611" t="s">
        <v>854</v>
      </c>
      <c r="B10" s="611" t="s">
        <v>3139</v>
      </c>
      <c r="D10" s="816" t="s">
        <v>795</v>
      </c>
      <c r="E10" s="792">
        <v>344</v>
      </c>
      <c r="F10" s="792">
        <v>347</v>
      </c>
      <c r="I10" s="918">
        <f>120+112+135</f>
        <v>367</v>
      </c>
      <c r="J10" s="755">
        <v>190.67</v>
      </c>
      <c r="K10" s="764">
        <f t="shared" si="0"/>
        <v>176.33</v>
      </c>
      <c r="N10" s="930" t="s">
        <v>2892</v>
      </c>
      <c r="P10" s="758">
        <v>1</v>
      </c>
    </row>
    <row r="11" spans="1:18" ht="12.75" customHeight="1" x14ac:dyDescent="0.2">
      <c r="A11" s="611" t="s">
        <v>874</v>
      </c>
      <c r="B11" s="611" t="s">
        <v>3139</v>
      </c>
      <c r="D11" s="816" t="s">
        <v>795</v>
      </c>
      <c r="E11" s="792">
        <v>345</v>
      </c>
      <c r="F11" s="792">
        <v>347</v>
      </c>
      <c r="I11" s="918">
        <f>246+226</f>
        <v>472</v>
      </c>
      <c r="J11" s="755">
        <v>210.86</v>
      </c>
      <c r="K11" s="764">
        <f t="shared" si="0"/>
        <v>261.14</v>
      </c>
      <c r="N11" s="930" t="s">
        <v>2892</v>
      </c>
      <c r="P11" s="758">
        <v>1</v>
      </c>
    </row>
    <row r="12" spans="1:18" ht="12.75" customHeight="1" x14ac:dyDescent="0.2">
      <c r="A12" s="611" t="s">
        <v>1160</v>
      </c>
      <c r="B12" s="611" t="s">
        <v>3139</v>
      </c>
      <c r="D12" s="816" t="s">
        <v>795</v>
      </c>
      <c r="E12" s="792">
        <v>357</v>
      </c>
      <c r="I12" s="918">
        <v>255</v>
      </c>
      <c r="J12" s="755">
        <v>249.77</v>
      </c>
      <c r="K12" s="917">
        <f t="shared" si="0"/>
        <v>5.2299999999999898</v>
      </c>
      <c r="L12" s="917"/>
      <c r="M12" s="917"/>
      <c r="N12" s="930" t="s">
        <v>2892</v>
      </c>
      <c r="P12" s="758">
        <v>1</v>
      </c>
    </row>
    <row r="13" spans="1:18" ht="12.75" customHeight="1" x14ac:dyDescent="0.2">
      <c r="A13" s="611" t="s">
        <v>1307</v>
      </c>
      <c r="B13" s="611" t="s">
        <v>3139</v>
      </c>
      <c r="D13" s="816" t="s">
        <v>795</v>
      </c>
      <c r="E13" s="792">
        <v>362</v>
      </c>
      <c r="I13" s="918">
        <f>155+170</f>
        <v>325</v>
      </c>
      <c r="J13" s="755">
        <v>282.44</v>
      </c>
      <c r="K13" s="917">
        <f t="shared" si="0"/>
        <v>42.56</v>
      </c>
      <c r="L13" s="917"/>
      <c r="M13" s="917"/>
      <c r="N13" s="930" t="s">
        <v>250</v>
      </c>
      <c r="P13" s="758">
        <v>1</v>
      </c>
    </row>
    <row r="14" spans="1:18" ht="12.75" customHeight="1" x14ac:dyDescent="0.2">
      <c r="A14" s="611" t="s">
        <v>1607</v>
      </c>
      <c r="B14" s="611" t="s">
        <v>3139</v>
      </c>
      <c r="D14" s="816" t="s">
        <v>795</v>
      </c>
      <c r="E14" s="792">
        <v>252</v>
      </c>
      <c r="I14" s="918">
        <v>240</v>
      </c>
      <c r="J14" s="755">
        <v>53.44</v>
      </c>
      <c r="K14" s="764">
        <f t="shared" si="0"/>
        <v>186.56</v>
      </c>
      <c r="N14" s="930" t="s">
        <v>2893</v>
      </c>
      <c r="P14" s="758">
        <v>1</v>
      </c>
    </row>
    <row r="15" spans="1:18" x14ac:dyDescent="0.2">
      <c r="A15" s="611" t="s">
        <v>3063</v>
      </c>
      <c r="B15" s="611" t="s">
        <v>3139</v>
      </c>
      <c r="D15" s="816" t="s">
        <v>795</v>
      </c>
      <c r="E15" s="792">
        <v>238</v>
      </c>
      <c r="I15" s="918">
        <v>1044</v>
      </c>
      <c r="J15" s="755">
        <v>87.26</v>
      </c>
      <c r="K15" s="764">
        <f t="shared" si="0"/>
        <v>956.74</v>
      </c>
      <c r="N15" s="930" t="s">
        <v>2892</v>
      </c>
      <c r="P15" s="758">
        <v>1</v>
      </c>
    </row>
    <row r="16" spans="1:18" x14ac:dyDescent="0.2">
      <c r="A16" s="611" t="s">
        <v>3064</v>
      </c>
      <c r="B16" s="611" t="s">
        <v>3139</v>
      </c>
      <c r="D16" s="816" t="s">
        <v>795</v>
      </c>
      <c r="E16" s="792">
        <v>238</v>
      </c>
      <c r="F16" s="792">
        <v>252</v>
      </c>
      <c r="I16" s="918">
        <v>66</v>
      </c>
      <c r="J16" s="755">
        <v>32.17</v>
      </c>
      <c r="K16" s="764">
        <f t="shared" si="0"/>
        <v>33.83</v>
      </c>
      <c r="N16" s="930" t="s">
        <v>2892</v>
      </c>
      <c r="P16" s="758">
        <v>1</v>
      </c>
    </row>
    <row r="17" spans="1:16" ht="25.5" x14ac:dyDescent="0.2">
      <c r="A17" s="816" t="s">
        <v>3065</v>
      </c>
      <c r="B17" s="611" t="s">
        <v>3139</v>
      </c>
      <c r="D17" s="816" t="s">
        <v>795</v>
      </c>
      <c r="E17" s="792">
        <v>252</v>
      </c>
      <c r="I17" s="918">
        <v>365</v>
      </c>
      <c r="J17" s="755">
        <v>192.87</v>
      </c>
      <c r="K17" s="764">
        <f t="shared" si="0"/>
        <v>172.13</v>
      </c>
      <c r="N17" s="930" t="s">
        <v>2892</v>
      </c>
      <c r="P17" s="758">
        <v>1</v>
      </c>
    </row>
    <row r="18" spans="1:16" ht="12.75" customHeight="1" x14ac:dyDescent="0.2">
      <c r="A18" s="611" t="s">
        <v>856</v>
      </c>
      <c r="B18" s="611" t="s">
        <v>3139</v>
      </c>
      <c r="D18" s="816" t="s">
        <v>795</v>
      </c>
      <c r="E18" s="792">
        <v>344</v>
      </c>
      <c r="I18" s="918">
        <f>61+87+97</f>
        <v>245</v>
      </c>
      <c r="J18" s="755">
        <v>240.16</v>
      </c>
      <c r="K18" s="917">
        <f t="shared" si="0"/>
        <v>4.8400000000000034</v>
      </c>
      <c r="L18" s="917"/>
      <c r="M18" s="917"/>
      <c r="P18" s="758">
        <v>1</v>
      </c>
    </row>
    <row r="19" spans="1:16" ht="12.75" customHeight="1" x14ac:dyDescent="0.2">
      <c r="A19" s="611" t="s">
        <v>1229</v>
      </c>
      <c r="B19" s="611" t="s">
        <v>3139</v>
      </c>
      <c r="D19" s="816" t="s">
        <v>795</v>
      </c>
      <c r="E19" s="792">
        <v>357</v>
      </c>
      <c r="I19" s="918">
        <v>450</v>
      </c>
      <c r="J19" s="755">
        <v>422.9</v>
      </c>
      <c r="K19" s="917">
        <f t="shared" si="0"/>
        <v>27.100000000000023</v>
      </c>
      <c r="L19" s="917"/>
      <c r="M19" s="917"/>
      <c r="N19" s="930" t="s">
        <v>250</v>
      </c>
      <c r="P19" s="758">
        <v>1</v>
      </c>
    </row>
    <row r="20" spans="1:16" ht="12.75" customHeight="1" x14ac:dyDescent="0.2">
      <c r="A20" s="611" t="s">
        <v>62</v>
      </c>
      <c r="B20" s="611" t="s">
        <v>3139</v>
      </c>
      <c r="D20" s="816" t="s">
        <v>795</v>
      </c>
      <c r="E20" s="792">
        <v>366</v>
      </c>
      <c r="I20" s="764">
        <v>168</v>
      </c>
      <c r="J20" s="755">
        <v>152.58000000000001</v>
      </c>
      <c r="K20" s="917">
        <f t="shared" si="0"/>
        <v>15.419999999999987</v>
      </c>
      <c r="L20" s="917"/>
      <c r="M20" s="917"/>
      <c r="P20" s="758">
        <v>1</v>
      </c>
    </row>
    <row r="21" spans="1:16" ht="12.75" customHeight="1" x14ac:dyDescent="0.2">
      <c r="A21" s="611" t="s">
        <v>242</v>
      </c>
      <c r="B21" s="611" t="s">
        <v>3139</v>
      </c>
      <c r="D21" s="816" t="s">
        <v>795</v>
      </c>
      <c r="E21" s="792">
        <v>371</v>
      </c>
      <c r="F21" s="792">
        <v>372</v>
      </c>
      <c r="I21" s="918">
        <f>145+190+185</f>
        <v>520</v>
      </c>
      <c r="J21" s="755">
        <v>481.37</v>
      </c>
      <c r="K21" s="917">
        <f t="shared" si="0"/>
        <v>38.629999999999995</v>
      </c>
      <c r="L21" s="917"/>
      <c r="M21" s="917"/>
      <c r="P21" s="758">
        <v>1</v>
      </c>
    </row>
    <row r="22" spans="1:16" ht="12.75" customHeight="1" x14ac:dyDescent="0.2">
      <c r="A22" s="611" t="s">
        <v>243</v>
      </c>
      <c r="B22" s="611" t="s">
        <v>3139</v>
      </c>
      <c r="D22" s="816" t="s">
        <v>795</v>
      </c>
      <c r="E22" s="792">
        <v>371</v>
      </c>
      <c r="F22" s="792">
        <v>372</v>
      </c>
      <c r="I22" s="918">
        <f>135+147+310</f>
        <v>592</v>
      </c>
      <c r="J22" s="755">
        <v>556.14</v>
      </c>
      <c r="K22" s="917">
        <f t="shared" si="0"/>
        <v>35.860000000000014</v>
      </c>
      <c r="L22" s="917"/>
      <c r="M22" s="917"/>
      <c r="P22" s="758">
        <v>1</v>
      </c>
    </row>
    <row r="23" spans="1:16" ht="12.75" customHeight="1" x14ac:dyDescent="0.2">
      <c r="A23" s="611" t="s">
        <v>244</v>
      </c>
      <c r="B23" s="611" t="s">
        <v>3139</v>
      </c>
      <c r="D23" s="816" t="s">
        <v>795</v>
      </c>
      <c r="E23" s="792">
        <v>371</v>
      </c>
      <c r="F23" s="792">
        <v>372</v>
      </c>
      <c r="I23" s="918">
        <v>514</v>
      </c>
      <c r="J23" s="755">
        <v>318.32</v>
      </c>
      <c r="K23" s="764">
        <f t="shared" si="0"/>
        <v>195.68</v>
      </c>
      <c r="N23" s="930" t="s">
        <v>2892</v>
      </c>
      <c r="P23" s="758">
        <v>1</v>
      </c>
    </row>
    <row r="24" spans="1:16" ht="12.75" customHeight="1" x14ac:dyDescent="0.2">
      <c r="A24" s="611" t="s">
        <v>247</v>
      </c>
      <c r="B24" s="611" t="s">
        <v>3139</v>
      </c>
      <c r="D24" s="816" t="s">
        <v>795</v>
      </c>
      <c r="E24" s="792">
        <v>371</v>
      </c>
      <c r="F24" s="792">
        <v>372</v>
      </c>
      <c r="I24" s="918">
        <v>517</v>
      </c>
      <c r="J24" s="755">
        <v>325.93</v>
      </c>
      <c r="K24" s="764">
        <f t="shared" si="0"/>
        <v>191.07</v>
      </c>
      <c r="N24" s="930" t="s">
        <v>2892</v>
      </c>
      <c r="P24" s="758">
        <v>1</v>
      </c>
    </row>
    <row r="25" spans="1:16" ht="12.75" customHeight="1" x14ac:dyDescent="0.2">
      <c r="A25" s="611" t="s">
        <v>2002</v>
      </c>
      <c r="B25" s="611" t="s">
        <v>3139</v>
      </c>
      <c r="D25" s="816" t="s">
        <v>795</v>
      </c>
      <c r="E25" s="792">
        <v>388</v>
      </c>
      <c r="I25" s="918">
        <v>416</v>
      </c>
      <c r="J25" s="755">
        <v>265.58</v>
      </c>
      <c r="K25" s="764">
        <f t="shared" si="0"/>
        <v>150.42000000000002</v>
      </c>
      <c r="N25" s="930" t="s">
        <v>2892</v>
      </c>
      <c r="P25" s="758">
        <v>1</v>
      </c>
    </row>
    <row r="26" spans="1:16" ht="12.75" customHeight="1" x14ac:dyDescent="0.2">
      <c r="A26" s="611" t="s">
        <v>769</v>
      </c>
      <c r="B26" s="611" t="s">
        <v>3139</v>
      </c>
      <c r="D26" s="816" t="s">
        <v>795</v>
      </c>
      <c r="E26" s="792">
        <v>342</v>
      </c>
      <c r="I26" s="764">
        <v>607</v>
      </c>
      <c r="J26" s="755">
        <v>493.59</v>
      </c>
      <c r="K26" s="764">
        <f t="shared" si="0"/>
        <v>113.41000000000003</v>
      </c>
      <c r="N26" s="930" t="s">
        <v>670</v>
      </c>
      <c r="P26" s="758">
        <v>1</v>
      </c>
    </row>
    <row r="27" spans="1:16" ht="12.75" customHeight="1" x14ac:dyDescent="0.2">
      <c r="A27" s="611" t="s">
        <v>137</v>
      </c>
      <c r="B27" s="611" t="s">
        <v>3139</v>
      </c>
      <c r="D27" s="816" t="s">
        <v>795</v>
      </c>
      <c r="E27" s="792">
        <v>304</v>
      </c>
      <c r="I27" s="918">
        <v>282</v>
      </c>
      <c r="J27" s="755">
        <v>280.95</v>
      </c>
      <c r="K27" s="917">
        <f t="shared" si="0"/>
        <v>1.0500000000000114</v>
      </c>
      <c r="L27" s="917"/>
      <c r="M27" s="917"/>
      <c r="P27" s="758">
        <v>1</v>
      </c>
    </row>
    <row r="28" spans="1:16" ht="12.75" customHeight="1" x14ac:dyDescent="0.2">
      <c r="A28" s="611" t="s">
        <v>298</v>
      </c>
      <c r="B28" s="611" t="s">
        <v>3139</v>
      </c>
      <c r="D28" s="816" t="s">
        <v>795</v>
      </c>
      <c r="E28" s="792">
        <v>344</v>
      </c>
      <c r="I28" s="918">
        <v>228</v>
      </c>
      <c r="J28" s="755">
        <v>114.75</v>
      </c>
      <c r="K28" s="764">
        <f t="shared" si="0"/>
        <v>113.25</v>
      </c>
      <c r="N28" s="930" t="s">
        <v>2892</v>
      </c>
      <c r="P28" s="758">
        <v>1</v>
      </c>
    </row>
    <row r="29" spans="1:16" ht="12.75" customHeight="1" x14ac:dyDescent="0.2">
      <c r="A29" s="611" t="s">
        <v>143</v>
      </c>
      <c r="B29" s="611" t="s">
        <v>3139</v>
      </c>
      <c r="D29" s="816" t="s">
        <v>795</v>
      </c>
      <c r="E29" s="792">
        <v>311</v>
      </c>
      <c r="I29" s="918">
        <v>548</v>
      </c>
      <c r="J29" s="755">
        <v>463.7</v>
      </c>
      <c r="K29" s="764">
        <f t="shared" si="0"/>
        <v>84.300000000000011</v>
      </c>
      <c r="N29" s="930" t="s">
        <v>670</v>
      </c>
      <c r="P29" s="758">
        <v>1</v>
      </c>
    </row>
    <row r="30" spans="1:16" ht="12.75" customHeight="1" x14ac:dyDescent="0.2">
      <c r="A30" s="611" t="s">
        <v>147</v>
      </c>
      <c r="B30" s="611" t="s">
        <v>3140</v>
      </c>
      <c r="D30" s="816" t="s">
        <v>629</v>
      </c>
      <c r="E30" s="792">
        <v>268</v>
      </c>
      <c r="F30" s="792">
        <v>271</v>
      </c>
      <c r="I30" s="754">
        <v>246.29999999999998</v>
      </c>
      <c r="J30" s="755">
        <v>246.29999999999998</v>
      </c>
      <c r="K30" s="917">
        <f t="shared" si="0"/>
        <v>0</v>
      </c>
      <c r="L30" s="917"/>
      <c r="M30" s="917"/>
      <c r="P30" s="758">
        <v>1</v>
      </c>
    </row>
    <row r="31" spans="1:16" ht="12.75" customHeight="1" x14ac:dyDescent="0.2">
      <c r="A31" s="611" t="s">
        <v>207</v>
      </c>
      <c r="B31" s="611" t="s">
        <v>3140</v>
      </c>
      <c r="D31" s="816" t="s">
        <v>629</v>
      </c>
      <c r="E31" s="792">
        <v>339</v>
      </c>
      <c r="I31" s="813">
        <v>42</v>
      </c>
      <c r="J31" s="755">
        <v>41.64</v>
      </c>
      <c r="K31" s="917">
        <f t="shared" si="0"/>
        <v>0.35999999999999943</v>
      </c>
      <c r="L31" s="917"/>
      <c r="M31" s="917"/>
      <c r="P31" s="758">
        <v>1</v>
      </c>
    </row>
    <row r="32" spans="1:16" ht="12.75" customHeight="1" x14ac:dyDescent="0.2">
      <c r="A32" s="611" t="s">
        <v>46</v>
      </c>
      <c r="B32" s="611" t="s">
        <v>3140</v>
      </c>
      <c r="D32" s="816" t="s">
        <v>629</v>
      </c>
      <c r="E32" s="792">
        <v>271</v>
      </c>
      <c r="I32" s="813">
        <v>19.03</v>
      </c>
      <c r="J32" s="755">
        <v>19.03</v>
      </c>
      <c r="K32" s="917">
        <f t="shared" si="0"/>
        <v>0</v>
      </c>
      <c r="L32" s="917"/>
      <c r="M32" s="917"/>
      <c r="P32" s="758">
        <v>1</v>
      </c>
    </row>
    <row r="33" spans="1:18" ht="12.75" customHeight="1" x14ac:dyDescent="0.2">
      <c r="A33" s="611" t="s">
        <v>216</v>
      </c>
      <c r="B33" s="611" t="s">
        <v>3140</v>
      </c>
      <c r="D33" s="816" t="s">
        <v>629</v>
      </c>
      <c r="E33" s="792">
        <v>358</v>
      </c>
      <c r="I33" s="813">
        <v>103</v>
      </c>
      <c r="J33" s="755">
        <v>100.81</v>
      </c>
      <c r="K33" s="917">
        <f t="shared" si="0"/>
        <v>2.1899999999999977</v>
      </c>
      <c r="L33" s="917"/>
      <c r="M33" s="917"/>
      <c r="P33" s="758">
        <v>1</v>
      </c>
    </row>
    <row r="34" spans="1:18" ht="12.75" customHeight="1" x14ac:dyDescent="0.2">
      <c r="A34" s="611" t="s">
        <v>221</v>
      </c>
      <c r="B34" s="611" t="s">
        <v>3140</v>
      </c>
      <c r="D34" s="816" t="s">
        <v>629</v>
      </c>
      <c r="E34" s="792">
        <v>358</v>
      </c>
      <c r="I34" s="813">
        <v>134</v>
      </c>
      <c r="J34" s="755">
        <v>133.38999999999999</v>
      </c>
      <c r="K34" s="917">
        <f t="shared" si="0"/>
        <v>0.61000000000001364</v>
      </c>
      <c r="L34" s="917"/>
      <c r="M34" s="917"/>
      <c r="P34" s="758">
        <v>1</v>
      </c>
    </row>
    <row r="35" spans="1:18" ht="12.75" customHeight="1" x14ac:dyDescent="0.2">
      <c r="A35" s="611" t="s">
        <v>228</v>
      </c>
      <c r="B35" s="611" t="s">
        <v>3140</v>
      </c>
      <c r="D35" s="816" t="s">
        <v>2894</v>
      </c>
      <c r="E35" s="792">
        <v>361</v>
      </c>
      <c r="I35" s="813">
        <f>304.9+132.2</f>
        <v>437.09999999999997</v>
      </c>
      <c r="J35" s="755">
        <v>262.70999999999998</v>
      </c>
      <c r="K35" s="764">
        <f t="shared" ref="K35:K52" si="1">I35-J35</f>
        <v>174.39</v>
      </c>
      <c r="P35" s="758">
        <v>1</v>
      </c>
    </row>
    <row r="36" spans="1:18" ht="12.75" customHeight="1" x14ac:dyDescent="0.2">
      <c r="A36" s="611" t="s">
        <v>47</v>
      </c>
      <c r="B36" s="611" t="s">
        <v>3140</v>
      </c>
      <c r="D36" s="816" t="s">
        <v>629</v>
      </c>
      <c r="E36" s="792">
        <v>334</v>
      </c>
      <c r="I36" s="813">
        <v>320</v>
      </c>
      <c r="J36" s="755">
        <v>203.78</v>
      </c>
      <c r="K36" s="764">
        <f t="shared" si="1"/>
        <v>116.22</v>
      </c>
      <c r="P36" s="758">
        <v>1</v>
      </c>
    </row>
    <row r="37" spans="1:18" ht="12.75" customHeight="1" x14ac:dyDescent="0.2">
      <c r="A37" s="611" t="s">
        <v>598</v>
      </c>
      <c r="B37" s="611" t="s">
        <v>3140</v>
      </c>
      <c r="D37" s="816" t="s">
        <v>629</v>
      </c>
      <c r="E37" s="792">
        <v>339</v>
      </c>
      <c r="I37" s="919">
        <f>62+31+22</f>
        <v>115</v>
      </c>
      <c r="J37" s="755">
        <v>106.7</v>
      </c>
      <c r="K37" s="917">
        <f t="shared" si="1"/>
        <v>8.2999999999999972</v>
      </c>
      <c r="L37" s="917"/>
      <c r="M37" s="917"/>
      <c r="P37" s="758">
        <v>1</v>
      </c>
    </row>
    <row r="38" spans="1:18" ht="25.5" customHeight="1" x14ac:dyDescent="0.2">
      <c r="A38" s="611" t="s">
        <v>1720</v>
      </c>
      <c r="B38" s="816" t="s">
        <v>3141</v>
      </c>
      <c r="D38" s="816" t="s">
        <v>3142</v>
      </c>
      <c r="E38" s="792">
        <v>386</v>
      </c>
      <c r="F38" s="792">
        <v>388</v>
      </c>
      <c r="I38" s="813">
        <v>300.60000000000002</v>
      </c>
      <c r="J38" s="755">
        <v>163.47999999999999</v>
      </c>
      <c r="K38" s="764">
        <f t="shared" si="1"/>
        <v>137.12000000000003</v>
      </c>
      <c r="P38" s="758">
        <v>1</v>
      </c>
    </row>
    <row r="39" spans="1:18" x14ac:dyDescent="0.2">
      <c r="A39" s="816" t="s">
        <v>142</v>
      </c>
      <c r="B39" s="611" t="s">
        <v>2889</v>
      </c>
      <c r="D39" s="816" t="s">
        <v>3143</v>
      </c>
      <c r="E39" s="792">
        <v>358</v>
      </c>
      <c r="I39" s="813">
        <v>212</v>
      </c>
      <c r="J39" s="755">
        <v>207.63</v>
      </c>
      <c r="K39" s="917">
        <f t="shared" si="1"/>
        <v>4.3700000000000045</v>
      </c>
      <c r="L39" s="917"/>
      <c r="M39" s="917"/>
      <c r="N39" s="930" t="s">
        <v>3254</v>
      </c>
      <c r="P39" s="758">
        <v>1</v>
      </c>
    </row>
    <row r="40" spans="1:18" ht="12.75" customHeight="1" x14ac:dyDescent="0.2">
      <c r="A40" s="611" t="s">
        <v>1523</v>
      </c>
      <c r="B40" s="611" t="s">
        <v>2889</v>
      </c>
      <c r="D40" s="816" t="s">
        <v>3144</v>
      </c>
      <c r="E40" s="792">
        <v>377</v>
      </c>
      <c r="I40" s="813">
        <v>330.4</v>
      </c>
      <c r="J40" s="755">
        <v>231.82</v>
      </c>
      <c r="K40" s="764">
        <f t="shared" si="1"/>
        <v>98.579999999999984</v>
      </c>
      <c r="N40" s="930" t="s">
        <v>2938</v>
      </c>
      <c r="P40" s="758">
        <v>1</v>
      </c>
    </row>
    <row r="41" spans="1:18" x14ac:dyDescent="0.2">
      <c r="A41" s="611" t="s">
        <v>2</v>
      </c>
      <c r="B41" s="611" t="s">
        <v>2890</v>
      </c>
      <c r="D41" s="816" t="s">
        <v>3145</v>
      </c>
      <c r="E41" s="792">
        <v>369</v>
      </c>
      <c r="I41" s="813">
        <v>102</v>
      </c>
      <c r="J41" s="755">
        <v>100.5</v>
      </c>
      <c r="K41" s="917">
        <f t="shared" si="1"/>
        <v>1.5</v>
      </c>
      <c r="L41" s="917"/>
      <c r="M41" s="917"/>
      <c r="Q41" s="758">
        <v>1</v>
      </c>
    </row>
    <row r="42" spans="1:18" x14ac:dyDescent="0.2">
      <c r="A42" s="611" t="s">
        <v>2586</v>
      </c>
      <c r="B42" s="611" t="s">
        <v>2890</v>
      </c>
      <c r="D42" s="816" t="s">
        <v>1444</v>
      </c>
      <c r="E42" s="792">
        <v>398</v>
      </c>
      <c r="I42" s="919">
        <v>182.2</v>
      </c>
      <c r="J42" s="755">
        <v>177.32</v>
      </c>
      <c r="K42" s="917">
        <f t="shared" si="1"/>
        <v>4.8799999999999955</v>
      </c>
      <c r="L42" s="917">
        <v>0</v>
      </c>
      <c r="M42" s="917"/>
      <c r="N42" s="931"/>
      <c r="P42" s="758">
        <v>1</v>
      </c>
    </row>
    <row r="43" spans="1:18" x14ac:dyDescent="0.2">
      <c r="A43" s="611" t="s">
        <v>1476</v>
      </c>
      <c r="B43" s="611" t="s">
        <v>2890</v>
      </c>
      <c r="D43" s="816" t="s">
        <v>2096</v>
      </c>
      <c r="E43" s="792">
        <v>329</v>
      </c>
      <c r="I43" s="813">
        <v>48</v>
      </c>
      <c r="J43" s="755">
        <v>46.93</v>
      </c>
      <c r="K43" s="917">
        <f t="shared" si="1"/>
        <v>1.0700000000000003</v>
      </c>
      <c r="L43" s="917"/>
      <c r="M43" s="917"/>
      <c r="N43" s="930" t="s">
        <v>3232</v>
      </c>
      <c r="R43" s="758">
        <v>1</v>
      </c>
    </row>
    <row r="44" spans="1:18" x14ac:dyDescent="0.2">
      <c r="A44" s="611" t="s">
        <v>1538</v>
      </c>
      <c r="B44" s="611" t="s">
        <v>2890</v>
      </c>
      <c r="D44" s="816" t="s">
        <v>3146</v>
      </c>
      <c r="E44" s="792">
        <v>355</v>
      </c>
      <c r="F44" s="792">
        <v>358</v>
      </c>
      <c r="I44" s="813">
        <v>471.6</v>
      </c>
      <c r="J44" s="755">
        <v>386.58</v>
      </c>
      <c r="K44" s="764">
        <f t="shared" si="1"/>
        <v>85.020000000000039</v>
      </c>
      <c r="N44" s="941" t="s">
        <v>2967</v>
      </c>
      <c r="Q44" s="758">
        <v>1</v>
      </c>
    </row>
    <row r="45" spans="1:18" ht="25.5" x14ac:dyDescent="0.2">
      <c r="A45" s="611" t="s">
        <v>1538</v>
      </c>
      <c r="B45" s="611" t="s">
        <v>2890</v>
      </c>
      <c r="D45" s="816" t="s">
        <v>3147</v>
      </c>
      <c r="E45" s="792">
        <v>336</v>
      </c>
      <c r="F45" s="792">
        <v>338</v>
      </c>
      <c r="I45" s="813">
        <v>101.78</v>
      </c>
      <c r="J45" s="755">
        <v>92.71</v>
      </c>
      <c r="K45" s="917">
        <f t="shared" si="1"/>
        <v>9.0700000000000074</v>
      </c>
      <c r="L45" s="917"/>
      <c r="M45" s="917"/>
      <c r="N45" s="930" t="s">
        <v>2986</v>
      </c>
      <c r="R45" s="758">
        <v>1</v>
      </c>
    </row>
    <row r="46" spans="1:18" x14ac:dyDescent="0.2">
      <c r="A46" s="611" t="s">
        <v>1538</v>
      </c>
      <c r="B46" s="611" t="s">
        <v>2890</v>
      </c>
      <c r="D46" s="816" t="s">
        <v>3148</v>
      </c>
      <c r="E46" s="792">
        <v>366</v>
      </c>
      <c r="I46" s="813">
        <f>369</f>
        <v>369</v>
      </c>
      <c r="J46" s="755">
        <v>145.94999999999999</v>
      </c>
      <c r="K46" s="764">
        <f t="shared" si="1"/>
        <v>223.05</v>
      </c>
      <c r="L46" s="764">
        <v>58</v>
      </c>
      <c r="N46" s="930" t="s">
        <v>2928</v>
      </c>
      <c r="Q46" s="758">
        <v>1</v>
      </c>
    </row>
    <row r="47" spans="1:18" x14ac:dyDescent="0.2">
      <c r="A47" s="611" t="s">
        <v>1477</v>
      </c>
      <c r="B47" s="611" t="s">
        <v>2890</v>
      </c>
      <c r="C47" s="920"/>
      <c r="D47" s="816" t="s">
        <v>2914</v>
      </c>
      <c r="E47" s="792">
        <v>349</v>
      </c>
      <c r="I47" s="813">
        <f>J47+200.9</f>
        <v>434.46000000000004</v>
      </c>
      <c r="J47" s="755">
        <v>233.56</v>
      </c>
      <c r="K47" s="764">
        <f t="shared" si="1"/>
        <v>200.90000000000003</v>
      </c>
      <c r="N47" s="930" t="s">
        <v>3227</v>
      </c>
      <c r="Q47" s="758">
        <v>1</v>
      </c>
    </row>
    <row r="48" spans="1:18" x14ac:dyDescent="0.2">
      <c r="A48" s="611" t="s">
        <v>1260</v>
      </c>
      <c r="B48" s="611" t="s">
        <v>2890</v>
      </c>
      <c r="D48" s="816" t="s">
        <v>2914</v>
      </c>
      <c r="E48" s="792">
        <v>361</v>
      </c>
      <c r="I48" s="813">
        <v>232.9</v>
      </c>
      <c r="J48" s="755">
        <v>203.87</v>
      </c>
      <c r="K48" s="764">
        <f t="shared" si="1"/>
        <v>29.03</v>
      </c>
      <c r="N48" s="930" t="s">
        <v>2935</v>
      </c>
      <c r="Q48" s="758">
        <v>1</v>
      </c>
    </row>
    <row r="49" spans="1:18" x14ac:dyDescent="0.2">
      <c r="A49" s="611" t="s">
        <v>1458</v>
      </c>
      <c r="B49" s="611" t="s">
        <v>2890</v>
      </c>
      <c r="D49" s="816" t="s">
        <v>1444</v>
      </c>
      <c r="E49" s="792">
        <v>374</v>
      </c>
      <c r="F49" s="792">
        <v>375</v>
      </c>
      <c r="I49" s="813">
        <v>337.5</v>
      </c>
      <c r="J49" s="755">
        <v>211.68</v>
      </c>
      <c r="K49" s="764">
        <f t="shared" si="1"/>
        <v>125.82</v>
      </c>
      <c r="L49" s="764">
        <v>114</v>
      </c>
      <c r="N49" s="930" t="s">
        <v>2935</v>
      </c>
      <c r="P49" s="758">
        <v>1</v>
      </c>
    </row>
    <row r="50" spans="1:18" ht="25.5" x14ac:dyDescent="0.2">
      <c r="A50" s="611" t="s">
        <v>2115</v>
      </c>
      <c r="B50" s="611" t="s">
        <v>2890</v>
      </c>
      <c r="C50" s="816" t="s">
        <v>2250</v>
      </c>
      <c r="D50" s="816" t="s">
        <v>3149</v>
      </c>
      <c r="E50" s="792">
        <v>375</v>
      </c>
      <c r="H50" s="792"/>
      <c r="I50" s="813">
        <v>339.2</v>
      </c>
      <c r="J50" s="755">
        <v>231.69</v>
      </c>
      <c r="K50" s="764">
        <f t="shared" si="1"/>
        <v>107.50999999999999</v>
      </c>
      <c r="N50" s="930" t="s">
        <v>2939</v>
      </c>
      <c r="P50" s="758">
        <v>1</v>
      </c>
    </row>
    <row r="51" spans="1:18" x14ac:dyDescent="0.2">
      <c r="A51" s="611" t="s">
        <v>2192</v>
      </c>
      <c r="B51" s="611" t="s">
        <v>2890</v>
      </c>
      <c r="C51" s="921" t="s">
        <v>2918</v>
      </c>
      <c r="D51" s="816" t="s">
        <v>1444</v>
      </c>
      <c r="E51" s="792">
        <v>391</v>
      </c>
      <c r="H51" s="792"/>
      <c r="I51" s="919">
        <v>77.8</v>
      </c>
      <c r="J51" s="755">
        <v>43.92</v>
      </c>
      <c r="K51" s="764">
        <f t="shared" si="1"/>
        <v>33.879999999999995</v>
      </c>
      <c r="L51" s="764">
        <v>26</v>
      </c>
      <c r="N51" s="930" t="s">
        <v>2928</v>
      </c>
      <c r="R51" s="758">
        <v>1</v>
      </c>
    </row>
    <row r="52" spans="1:18" ht="12.75" customHeight="1" x14ac:dyDescent="0.2">
      <c r="A52" s="611" t="s">
        <v>2192</v>
      </c>
      <c r="B52" s="611" t="s">
        <v>2890</v>
      </c>
      <c r="C52" s="921" t="s">
        <v>2918</v>
      </c>
      <c r="D52" s="816" t="s">
        <v>1444</v>
      </c>
      <c r="E52" s="792">
        <v>386</v>
      </c>
      <c r="H52" s="792"/>
      <c r="I52" s="919">
        <v>218.4</v>
      </c>
      <c r="J52" s="755">
        <v>94.82</v>
      </c>
      <c r="K52" s="764">
        <f t="shared" si="1"/>
        <v>123.58000000000001</v>
      </c>
      <c r="N52" s="930" t="s">
        <v>2941</v>
      </c>
      <c r="R52" s="758">
        <v>1</v>
      </c>
    </row>
    <row r="53" spans="1:18" ht="12.75" customHeight="1" x14ac:dyDescent="0.2">
      <c r="A53" s="611" t="s">
        <v>2192</v>
      </c>
      <c r="B53" s="611" t="s">
        <v>2890</v>
      </c>
      <c r="C53" s="921"/>
      <c r="D53" s="816" t="s">
        <v>2978</v>
      </c>
      <c r="H53" s="792"/>
      <c r="I53" s="919">
        <v>359.8</v>
      </c>
      <c r="L53" s="764">
        <v>360</v>
      </c>
      <c r="N53" s="930" t="s">
        <v>2987</v>
      </c>
      <c r="P53" s="758">
        <v>1</v>
      </c>
    </row>
    <row r="54" spans="1:18" ht="12.75" customHeight="1" x14ac:dyDescent="0.2">
      <c r="A54" s="728" t="s">
        <v>2677</v>
      </c>
      <c r="B54" s="611" t="s">
        <v>2890</v>
      </c>
      <c r="C54" s="753" t="s">
        <v>2159</v>
      </c>
      <c r="D54" s="816" t="s">
        <v>1444</v>
      </c>
      <c r="E54" s="792">
        <v>388</v>
      </c>
      <c r="H54" s="792"/>
      <c r="I54" s="813">
        <v>79.8</v>
      </c>
      <c r="J54" s="755">
        <v>78.430000000000007</v>
      </c>
      <c r="K54" s="917">
        <f t="shared" ref="K54:K84" si="2">I54-J54</f>
        <v>1.3699999999999903</v>
      </c>
      <c r="L54" s="917"/>
      <c r="M54" s="917"/>
      <c r="N54" s="931"/>
      <c r="P54" s="758">
        <v>1</v>
      </c>
    </row>
    <row r="55" spans="1:18" ht="12.75" customHeight="1" x14ac:dyDescent="0.2">
      <c r="A55" s="728" t="s">
        <v>2677</v>
      </c>
      <c r="B55" s="611" t="s">
        <v>2890</v>
      </c>
      <c r="C55" s="753" t="s">
        <v>2160</v>
      </c>
      <c r="D55" s="816" t="s">
        <v>1444</v>
      </c>
      <c r="E55" s="792">
        <v>388</v>
      </c>
      <c r="H55" s="792"/>
      <c r="I55" s="813">
        <v>66.05</v>
      </c>
      <c r="J55" s="755">
        <v>65.59</v>
      </c>
      <c r="K55" s="917">
        <f t="shared" si="2"/>
        <v>0.45999999999999375</v>
      </c>
      <c r="L55" s="917"/>
      <c r="M55" s="917"/>
      <c r="N55" s="931"/>
      <c r="P55" s="758">
        <v>1</v>
      </c>
    </row>
    <row r="56" spans="1:18" ht="12.75" customHeight="1" x14ac:dyDescent="0.2">
      <c r="A56" s="728" t="s">
        <v>2677</v>
      </c>
      <c r="B56" s="611" t="s">
        <v>2890</v>
      </c>
      <c r="C56" s="753" t="s">
        <v>2161</v>
      </c>
      <c r="D56" s="816" t="s">
        <v>1444</v>
      </c>
      <c r="E56" s="792">
        <v>388</v>
      </c>
      <c r="H56" s="792"/>
      <c r="I56" s="813">
        <v>76.72</v>
      </c>
      <c r="J56" s="755">
        <v>72.62</v>
      </c>
      <c r="K56" s="917">
        <f t="shared" si="2"/>
        <v>4.0999999999999943</v>
      </c>
      <c r="L56" s="917"/>
      <c r="M56" s="917"/>
      <c r="N56" s="931"/>
      <c r="P56" s="758">
        <v>1</v>
      </c>
    </row>
    <row r="57" spans="1:18" ht="12.75" customHeight="1" x14ac:dyDescent="0.2">
      <c r="A57" s="728" t="s">
        <v>2677</v>
      </c>
      <c r="B57" s="611" t="s">
        <v>2890</v>
      </c>
      <c r="C57" s="753" t="s">
        <v>2162</v>
      </c>
      <c r="D57" s="816" t="s">
        <v>1444</v>
      </c>
      <c r="E57" s="792">
        <v>388</v>
      </c>
      <c r="H57" s="792"/>
      <c r="I57" s="813">
        <v>106.44</v>
      </c>
      <c r="J57" s="755">
        <v>102.89</v>
      </c>
      <c r="K57" s="917">
        <f t="shared" si="2"/>
        <v>3.5499999999999972</v>
      </c>
      <c r="L57" s="917"/>
      <c r="M57" s="917"/>
      <c r="N57" s="931"/>
      <c r="P57" s="758">
        <v>1</v>
      </c>
    </row>
    <row r="58" spans="1:18" ht="12.75" customHeight="1" x14ac:dyDescent="0.2">
      <c r="A58" s="728" t="s">
        <v>2677</v>
      </c>
      <c r="B58" s="611" t="s">
        <v>2890</v>
      </c>
      <c r="C58" s="753" t="s">
        <v>2163</v>
      </c>
      <c r="D58" s="816" t="s">
        <v>1444</v>
      </c>
      <c r="E58" s="792">
        <v>388</v>
      </c>
      <c r="H58" s="792"/>
      <c r="I58" s="813">
        <v>102.48</v>
      </c>
      <c r="J58" s="755">
        <v>98.7</v>
      </c>
      <c r="K58" s="917">
        <f t="shared" si="2"/>
        <v>3.7800000000000011</v>
      </c>
      <c r="L58" s="917"/>
      <c r="M58" s="917"/>
      <c r="N58" s="931"/>
      <c r="P58" s="758">
        <v>1</v>
      </c>
    </row>
    <row r="59" spans="1:18" ht="12.75" customHeight="1" x14ac:dyDescent="0.2">
      <c r="A59" s="728" t="s">
        <v>2677</v>
      </c>
      <c r="B59" s="611" t="s">
        <v>2890</v>
      </c>
      <c r="C59" s="753" t="s">
        <v>2164</v>
      </c>
      <c r="D59" s="816" t="s">
        <v>1444</v>
      </c>
      <c r="E59" s="792">
        <v>388</v>
      </c>
      <c r="H59" s="792"/>
      <c r="I59" s="813">
        <v>118.04</v>
      </c>
      <c r="J59" s="755">
        <v>90.29</v>
      </c>
      <c r="K59" s="764">
        <f t="shared" si="2"/>
        <v>27.75</v>
      </c>
      <c r="N59" s="930" t="s">
        <v>2939</v>
      </c>
      <c r="P59" s="758">
        <v>1</v>
      </c>
    </row>
    <row r="60" spans="1:18" ht="12.75" customHeight="1" x14ac:dyDescent="0.2">
      <c r="A60" s="728" t="s">
        <v>2677</v>
      </c>
      <c r="B60" s="611" t="s">
        <v>2890</v>
      </c>
      <c r="C60" s="753" t="s">
        <v>2214</v>
      </c>
      <c r="D60" s="816" t="s">
        <v>1444</v>
      </c>
      <c r="E60" s="792">
        <v>391</v>
      </c>
      <c r="H60" s="792"/>
      <c r="I60" s="813">
        <v>308.10000000000002</v>
      </c>
      <c r="J60" s="755">
        <v>65.78</v>
      </c>
      <c r="K60" s="764">
        <f t="shared" si="2"/>
        <v>242.32000000000002</v>
      </c>
      <c r="N60" s="930" t="s">
        <v>3211</v>
      </c>
      <c r="P60" s="758">
        <v>1</v>
      </c>
    </row>
    <row r="61" spans="1:18" ht="25.5" x14ac:dyDescent="0.2">
      <c r="A61" s="611" t="s">
        <v>889</v>
      </c>
      <c r="B61" s="611" t="s">
        <v>2890</v>
      </c>
      <c r="C61" s="611"/>
      <c r="D61" s="816" t="s">
        <v>1444</v>
      </c>
      <c r="E61" s="792">
        <v>351</v>
      </c>
      <c r="I61" s="813">
        <v>173.81</v>
      </c>
      <c r="J61" s="755">
        <v>173.81</v>
      </c>
      <c r="K61" s="917">
        <f t="shared" si="2"/>
        <v>0</v>
      </c>
      <c r="L61" s="917"/>
      <c r="M61" s="917"/>
      <c r="N61" s="922" t="s">
        <v>3261</v>
      </c>
      <c r="P61" s="758">
        <v>1</v>
      </c>
    </row>
    <row r="62" spans="1:18" ht="12.75" customHeight="1" x14ac:dyDescent="0.2">
      <c r="A62" s="611" t="s">
        <v>889</v>
      </c>
      <c r="B62" s="611" t="s">
        <v>2890</v>
      </c>
      <c r="C62" s="816" t="s">
        <v>2179</v>
      </c>
      <c r="D62" s="816" t="s">
        <v>1444</v>
      </c>
      <c r="E62" s="792">
        <v>344</v>
      </c>
      <c r="F62" s="792">
        <v>345</v>
      </c>
      <c r="I62" s="813">
        <f>1003.21-741.76</f>
        <v>261.45000000000005</v>
      </c>
      <c r="J62" s="755">
        <v>261.45</v>
      </c>
      <c r="K62" s="917">
        <f t="shared" si="2"/>
        <v>0</v>
      </c>
      <c r="L62" s="917"/>
      <c r="M62" s="917"/>
      <c r="P62" s="758">
        <v>1</v>
      </c>
    </row>
    <row r="63" spans="1:18" x14ac:dyDescent="0.2">
      <c r="A63" s="611" t="s">
        <v>1625</v>
      </c>
      <c r="B63" s="611" t="s">
        <v>2890</v>
      </c>
      <c r="C63" s="816" t="s">
        <v>1508</v>
      </c>
      <c r="D63" s="816" t="s">
        <v>3150</v>
      </c>
      <c r="E63" s="792">
        <v>373</v>
      </c>
      <c r="F63" s="792">
        <v>374</v>
      </c>
      <c r="I63" s="813">
        <f>19.28+34.24</f>
        <v>53.52</v>
      </c>
      <c r="J63" s="755">
        <v>53.52</v>
      </c>
      <c r="K63" s="917">
        <f t="shared" si="2"/>
        <v>0</v>
      </c>
      <c r="L63" s="917"/>
      <c r="M63" s="917"/>
      <c r="R63" s="758">
        <v>1</v>
      </c>
    </row>
    <row r="64" spans="1:18" x14ac:dyDescent="0.2">
      <c r="A64" s="611" t="s">
        <v>1625</v>
      </c>
      <c r="B64" s="611" t="s">
        <v>2890</v>
      </c>
      <c r="C64" s="816" t="s">
        <v>1509</v>
      </c>
      <c r="D64" s="816" t="s">
        <v>3150</v>
      </c>
      <c r="E64" s="792">
        <v>373</v>
      </c>
      <c r="F64" s="792">
        <v>374</v>
      </c>
      <c r="I64" s="813">
        <f>19.26+31.42+18.52</f>
        <v>69.2</v>
      </c>
      <c r="J64" s="755">
        <v>69.2</v>
      </c>
      <c r="K64" s="917">
        <f t="shared" si="2"/>
        <v>0</v>
      </c>
      <c r="L64" s="917"/>
      <c r="M64" s="917"/>
      <c r="R64" s="758">
        <v>1</v>
      </c>
    </row>
    <row r="65" spans="1:18" x14ac:dyDescent="0.2">
      <c r="A65" s="611" t="s">
        <v>1625</v>
      </c>
      <c r="B65" s="611" t="s">
        <v>2890</v>
      </c>
      <c r="C65" s="816" t="s">
        <v>1507</v>
      </c>
      <c r="D65" s="816" t="s">
        <v>3150</v>
      </c>
      <c r="E65" s="792">
        <v>373</v>
      </c>
      <c r="F65" s="792">
        <v>374</v>
      </c>
      <c r="I65" s="813">
        <f>22.04+28.77+27.6</f>
        <v>78.41</v>
      </c>
      <c r="J65" s="755">
        <v>78.42</v>
      </c>
      <c r="K65" s="917">
        <f t="shared" si="2"/>
        <v>-1.0000000000005116E-2</v>
      </c>
      <c r="L65" s="917"/>
      <c r="M65" s="917"/>
      <c r="R65" s="758">
        <v>1</v>
      </c>
    </row>
    <row r="66" spans="1:18" ht="25.5" x14ac:dyDescent="0.2">
      <c r="A66" s="611" t="s">
        <v>1295</v>
      </c>
      <c r="B66" s="611" t="s">
        <v>2890</v>
      </c>
      <c r="C66" s="816" t="s">
        <v>2180</v>
      </c>
      <c r="D66" s="816" t="s">
        <v>3151</v>
      </c>
      <c r="E66" s="792">
        <v>349</v>
      </c>
      <c r="I66" s="813">
        <v>67.900000000000006</v>
      </c>
      <c r="J66" s="755">
        <v>64.02</v>
      </c>
      <c r="K66" s="917">
        <f t="shared" si="2"/>
        <v>3.8800000000000097</v>
      </c>
      <c r="L66" s="917"/>
      <c r="M66" s="917"/>
      <c r="N66" s="930" t="s">
        <v>3262</v>
      </c>
      <c r="P66" s="758">
        <v>1</v>
      </c>
    </row>
    <row r="67" spans="1:18" ht="12.75" customHeight="1" x14ac:dyDescent="0.2">
      <c r="A67" s="611" t="s">
        <v>1295</v>
      </c>
      <c r="B67" s="611" t="s">
        <v>2890</v>
      </c>
      <c r="D67" s="816" t="s">
        <v>3152</v>
      </c>
      <c r="E67" s="792">
        <v>385</v>
      </c>
      <c r="I67" s="813">
        <v>107.4</v>
      </c>
      <c r="J67" s="755">
        <v>105.78</v>
      </c>
      <c r="K67" s="917">
        <f t="shared" si="2"/>
        <v>1.6200000000000045</v>
      </c>
      <c r="L67" s="917"/>
      <c r="M67" s="917"/>
      <c r="R67" s="758">
        <v>1</v>
      </c>
    </row>
    <row r="68" spans="1:18" ht="12.75" customHeight="1" x14ac:dyDescent="0.2">
      <c r="A68" s="611" t="s">
        <v>1296</v>
      </c>
      <c r="B68" s="611" t="s">
        <v>2890</v>
      </c>
      <c r="D68" s="816" t="s">
        <v>2914</v>
      </c>
      <c r="E68" s="792">
        <v>385</v>
      </c>
      <c r="I68" s="813">
        <v>383</v>
      </c>
      <c r="J68" s="755">
        <v>158.35</v>
      </c>
      <c r="K68" s="764">
        <f t="shared" si="2"/>
        <v>224.65</v>
      </c>
      <c r="N68" s="930" t="s">
        <v>3253</v>
      </c>
      <c r="Q68" s="758">
        <v>1</v>
      </c>
    </row>
    <row r="69" spans="1:18" x14ac:dyDescent="0.2">
      <c r="A69" s="611" t="s">
        <v>1888</v>
      </c>
      <c r="B69" s="611" t="s">
        <v>2890</v>
      </c>
      <c r="D69" s="816" t="s">
        <v>3153</v>
      </c>
      <c r="E69" s="792">
        <v>332</v>
      </c>
      <c r="I69" s="813">
        <f>59.3+41.8+34.1</f>
        <v>135.19999999999999</v>
      </c>
      <c r="J69" s="755">
        <v>183.95</v>
      </c>
      <c r="K69" s="764">
        <f t="shared" si="2"/>
        <v>-48.75</v>
      </c>
      <c r="P69" s="758">
        <v>1</v>
      </c>
    </row>
    <row r="70" spans="1:18" x14ac:dyDescent="0.2">
      <c r="A70" s="611" t="s">
        <v>1888</v>
      </c>
      <c r="B70" s="611" t="s">
        <v>2890</v>
      </c>
      <c r="D70" s="816" t="s">
        <v>2096</v>
      </c>
      <c r="I70" s="813">
        <f>26.15+24.23</f>
        <v>50.379999999999995</v>
      </c>
      <c r="J70" s="755">
        <v>0</v>
      </c>
      <c r="K70" s="764">
        <f t="shared" si="2"/>
        <v>50.379999999999995</v>
      </c>
      <c r="N70" s="941" t="s">
        <v>2883</v>
      </c>
      <c r="R70" s="758">
        <v>1</v>
      </c>
    </row>
    <row r="71" spans="1:18" x14ac:dyDescent="0.2">
      <c r="A71" s="611" t="s">
        <v>1907</v>
      </c>
      <c r="B71" s="611" t="s">
        <v>2890</v>
      </c>
      <c r="D71" s="816" t="s">
        <v>3148</v>
      </c>
      <c r="E71" s="792">
        <v>357</v>
      </c>
      <c r="I71" s="813">
        <v>214</v>
      </c>
      <c r="J71" s="755">
        <v>214.24</v>
      </c>
      <c r="K71" s="917">
        <f t="shared" si="2"/>
        <v>-0.24000000000000909</v>
      </c>
      <c r="L71" s="917"/>
      <c r="M71" s="917"/>
      <c r="N71" s="930" t="s">
        <v>3255</v>
      </c>
      <c r="Q71" s="758">
        <v>1</v>
      </c>
    </row>
    <row r="72" spans="1:18" x14ac:dyDescent="0.2">
      <c r="A72" s="611" t="s">
        <v>1908</v>
      </c>
      <c r="B72" s="611" t="s">
        <v>2890</v>
      </c>
      <c r="D72" s="816" t="s">
        <v>3154</v>
      </c>
      <c r="E72" s="792">
        <v>333</v>
      </c>
      <c r="I72" s="813">
        <f>142.3+61.5+133.4+107.8</f>
        <v>445.00000000000006</v>
      </c>
      <c r="J72" s="755">
        <v>334.49</v>
      </c>
      <c r="K72" s="764">
        <f t="shared" si="2"/>
        <v>110.51000000000005</v>
      </c>
      <c r="N72" s="930" t="s">
        <v>3232</v>
      </c>
      <c r="R72" s="758">
        <v>1</v>
      </c>
    </row>
    <row r="73" spans="1:18" x14ac:dyDescent="0.2">
      <c r="A73" s="611" t="s">
        <v>1941</v>
      </c>
      <c r="B73" s="611" t="s">
        <v>2890</v>
      </c>
      <c r="D73" s="816" t="s">
        <v>3155</v>
      </c>
      <c r="E73" s="792">
        <v>336</v>
      </c>
      <c r="I73" s="813">
        <f>283.6+408.2+20.2</f>
        <v>712</v>
      </c>
      <c r="J73" s="755">
        <v>211.51</v>
      </c>
      <c r="K73" s="764">
        <f t="shared" si="2"/>
        <v>500.49</v>
      </c>
      <c r="N73" s="930" t="s">
        <v>3242</v>
      </c>
      <c r="P73" s="758">
        <v>1</v>
      </c>
    </row>
    <row r="74" spans="1:18" ht="12.75" customHeight="1" x14ac:dyDescent="0.2">
      <c r="A74" s="611" t="s">
        <v>1889</v>
      </c>
      <c r="B74" s="611" t="s">
        <v>2890</v>
      </c>
      <c r="C74" s="816" t="s">
        <v>2420</v>
      </c>
      <c r="D74" s="816" t="s">
        <v>1444</v>
      </c>
      <c r="E74" s="792">
        <v>347</v>
      </c>
      <c r="I74" s="813">
        <v>498.92</v>
      </c>
      <c r="J74" s="755">
        <v>298.27</v>
      </c>
      <c r="K74" s="764">
        <f t="shared" si="2"/>
        <v>200.65000000000003</v>
      </c>
      <c r="N74" s="930" t="s">
        <v>3237</v>
      </c>
      <c r="P74" s="758">
        <v>1</v>
      </c>
    </row>
    <row r="75" spans="1:18" x14ac:dyDescent="0.2">
      <c r="A75" s="611" t="s">
        <v>1890</v>
      </c>
      <c r="B75" s="611" t="s">
        <v>2890</v>
      </c>
      <c r="D75" s="816" t="s">
        <v>3156</v>
      </c>
      <c r="E75" s="792">
        <v>357</v>
      </c>
      <c r="I75" s="813">
        <v>24.7</v>
      </c>
      <c r="J75" s="755">
        <v>25.08</v>
      </c>
      <c r="K75" s="917">
        <f t="shared" si="2"/>
        <v>-0.37999999999999901</v>
      </c>
      <c r="L75" s="917"/>
      <c r="M75" s="917"/>
      <c r="P75" s="758">
        <v>1</v>
      </c>
    </row>
    <row r="76" spans="1:18" ht="12.75" customHeight="1" x14ac:dyDescent="0.2">
      <c r="A76" s="611" t="s">
        <v>1891</v>
      </c>
      <c r="B76" s="611" t="s">
        <v>2890</v>
      </c>
      <c r="D76" s="816" t="s">
        <v>1444</v>
      </c>
      <c r="E76" s="792">
        <v>349</v>
      </c>
      <c r="I76" s="813">
        <f>1615-1339.4</f>
        <v>275.59999999999991</v>
      </c>
      <c r="J76" s="755">
        <v>267.14</v>
      </c>
      <c r="K76" s="917">
        <f t="shared" si="2"/>
        <v>8.4599999999999227</v>
      </c>
      <c r="L76" s="917"/>
      <c r="M76" s="917"/>
      <c r="P76" s="758">
        <v>1</v>
      </c>
    </row>
    <row r="77" spans="1:18" ht="12.75" customHeight="1" x14ac:dyDescent="0.2">
      <c r="A77" s="611" t="s">
        <v>1996</v>
      </c>
      <c r="B77" s="611" t="s">
        <v>2890</v>
      </c>
      <c r="D77" s="816" t="s">
        <v>3157</v>
      </c>
      <c r="E77" s="792">
        <v>366</v>
      </c>
      <c r="I77" s="813">
        <f>594+422</f>
        <v>1016</v>
      </c>
      <c r="J77" s="755">
        <v>110.17</v>
      </c>
      <c r="K77" s="764">
        <f t="shared" si="2"/>
        <v>905.83</v>
      </c>
      <c r="N77" s="941" t="s">
        <v>2883</v>
      </c>
      <c r="R77" s="758">
        <v>1</v>
      </c>
    </row>
    <row r="78" spans="1:18" ht="12.75" customHeight="1" x14ac:dyDescent="0.2">
      <c r="A78" s="611" t="s">
        <v>1892</v>
      </c>
      <c r="B78" s="611" t="s">
        <v>2890</v>
      </c>
      <c r="D78" s="816" t="s">
        <v>3158</v>
      </c>
      <c r="E78" s="792">
        <v>352</v>
      </c>
      <c r="I78" s="813">
        <v>512</v>
      </c>
      <c r="J78" s="755">
        <v>142.06</v>
      </c>
      <c r="K78" s="764">
        <f t="shared" si="2"/>
        <v>369.94</v>
      </c>
      <c r="N78" s="930" t="s">
        <v>3231</v>
      </c>
      <c r="R78" s="758">
        <v>1</v>
      </c>
    </row>
    <row r="79" spans="1:18" ht="12.75" customHeight="1" x14ac:dyDescent="0.2">
      <c r="A79" s="611" t="s">
        <v>1893</v>
      </c>
      <c r="B79" s="611" t="s">
        <v>2890</v>
      </c>
      <c r="D79" s="816" t="s">
        <v>1444</v>
      </c>
      <c r="E79" s="792">
        <v>355</v>
      </c>
      <c r="I79" s="813">
        <v>327.60000000000002</v>
      </c>
      <c r="J79" s="755">
        <v>245.98</v>
      </c>
      <c r="K79" s="764">
        <f t="shared" si="2"/>
        <v>81.620000000000033</v>
      </c>
      <c r="N79" s="930" t="s">
        <v>2928</v>
      </c>
      <c r="P79" s="758">
        <v>1</v>
      </c>
    </row>
    <row r="80" spans="1:18" x14ac:dyDescent="0.2">
      <c r="A80" s="611" t="s">
        <v>1893</v>
      </c>
      <c r="B80" s="611" t="s">
        <v>2890</v>
      </c>
      <c r="C80" s="923"/>
      <c r="D80" s="816" t="s">
        <v>3154</v>
      </c>
      <c r="I80" s="813">
        <v>600</v>
      </c>
      <c r="J80" s="755">
        <v>0</v>
      </c>
      <c r="K80" s="764">
        <f t="shared" si="2"/>
        <v>600</v>
      </c>
      <c r="N80" s="930" t="s">
        <v>1040</v>
      </c>
      <c r="R80" s="758">
        <v>1</v>
      </c>
    </row>
    <row r="81" spans="1:18" ht="12.75" customHeight="1" x14ac:dyDescent="0.2">
      <c r="A81" s="611" t="s">
        <v>1894</v>
      </c>
      <c r="B81" s="611" t="s">
        <v>2890</v>
      </c>
      <c r="D81" s="816" t="s">
        <v>1444</v>
      </c>
      <c r="E81" s="792">
        <v>359</v>
      </c>
      <c r="I81" s="813">
        <v>343.4</v>
      </c>
      <c r="J81" s="755">
        <v>253.3</v>
      </c>
      <c r="K81" s="764">
        <f t="shared" si="2"/>
        <v>90.099999999999966</v>
      </c>
      <c r="N81" s="930" t="s">
        <v>3250</v>
      </c>
      <c r="P81" s="758">
        <v>1</v>
      </c>
    </row>
    <row r="82" spans="1:18" ht="12.75" customHeight="1" x14ac:dyDescent="0.2">
      <c r="A82" s="611" t="s">
        <v>1895</v>
      </c>
      <c r="B82" s="611" t="s">
        <v>2890</v>
      </c>
      <c r="D82" s="816" t="s">
        <v>1444</v>
      </c>
      <c r="E82" s="792">
        <v>355</v>
      </c>
      <c r="I82" s="813">
        <v>247</v>
      </c>
      <c r="J82" s="755">
        <v>224.01</v>
      </c>
      <c r="K82" s="764">
        <f t="shared" si="2"/>
        <v>22.990000000000009</v>
      </c>
      <c r="N82" s="930" t="s">
        <v>2938</v>
      </c>
      <c r="P82" s="758">
        <v>1</v>
      </c>
    </row>
    <row r="83" spans="1:18" ht="12.75" customHeight="1" x14ac:dyDescent="0.2">
      <c r="A83" s="611" t="s">
        <v>1896</v>
      </c>
      <c r="B83" s="611" t="s">
        <v>2890</v>
      </c>
      <c r="D83" s="816" t="s">
        <v>1444</v>
      </c>
      <c r="E83" s="792">
        <v>344</v>
      </c>
      <c r="I83" s="813">
        <f>1738.06-1408.35</f>
        <v>329.71000000000004</v>
      </c>
      <c r="J83" s="755">
        <v>230.11</v>
      </c>
      <c r="K83" s="764">
        <f t="shared" si="2"/>
        <v>99.600000000000023</v>
      </c>
      <c r="N83" s="930" t="s">
        <v>3238</v>
      </c>
      <c r="P83" s="758">
        <v>1</v>
      </c>
    </row>
    <row r="84" spans="1:18" ht="12.75" customHeight="1" x14ac:dyDescent="0.2">
      <c r="A84" s="611" t="s">
        <v>1897</v>
      </c>
      <c r="B84" s="611" t="s">
        <v>2890</v>
      </c>
      <c r="D84" s="816" t="s">
        <v>1444</v>
      </c>
      <c r="E84" s="792">
        <v>349</v>
      </c>
      <c r="I84" s="813">
        <f>1483.7-1271.9</f>
        <v>211.79999999999995</v>
      </c>
      <c r="J84" s="755">
        <v>202.29</v>
      </c>
      <c r="K84" s="917">
        <f t="shared" si="2"/>
        <v>9.5099999999999625</v>
      </c>
      <c r="P84" s="758">
        <v>1</v>
      </c>
    </row>
    <row r="85" spans="1:18" ht="25.5" customHeight="1" x14ac:dyDescent="0.2">
      <c r="A85" s="611" t="s">
        <v>1897</v>
      </c>
      <c r="B85" s="611" t="s">
        <v>2890</v>
      </c>
      <c r="C85" s="816" t="s">
        <v>2968</v>
      </c>
      <c r="D85" s="816" t="s">
        <v>1444</v>
      </c>
      <c r="F85" s="792">
        <v>352</v>
      </c>
      <c r="I85" s="813" t="s">
        <v>250</v>
      </c>
      <c r="J85" s="755">
        <v>108.76</v>
      </c>
      <c r="N85" s="930" t="s">
        <v>3234</v>
      </c>
      <c r="P85" s="758">
        <v>1</v>
      </c>
    </row>
    <row r="86" spans="1:18" ht="12.75" customHeight="1" x14ac:dyDescent="0.2">
      <c r="A86" s="611" t="s">
        <v>1898</v>
      </c>
      <c r="B86" s="611" t="s">
        <v>2890</v>
      </c>
      <c r="C86" s="924"/>
      <c r="D86" s="816" t="s">
        <v>1444</v>
      </c>
      <c r="E86" s="792">
        <v>349</v>
      </c>
      <c r="I86" s="756">
        <f>1669.6-1169.7</f>
        <v>499.89999999999986</v>
      </c>
      <c r="J86" s="755">
        <v>303.98</v>
      </c>
      <c r="K86" s="764">
        <f t="shared" ref="K86:K117" si="3">I86-J86</f>
        <v>195.91999999999985</v>
      </c>
      <c r="N86" s="941" t="s">
        <v>2883</v>
      </c>
      <c r="P86" s="758">
        <v>1</v>
      </c>
    </row>
    <row r="87" spans="1:18" ht="12.75" customHeight="1" x14ac:dyDescent="0.2">
      <c r="A87" s="611" t="s">
        <v>1899</v>
      </c>
      <c r="B87" s="611" t="s">
        <v>2890</v>
      </c>
      <c r="D87" s="816" t="s">
        <v>1444</v>
      </c>
      <c r="E87" s="792">
        <v>374</v>
      </c>
      <c r="H87" s="813"/>
      <c r="I87" s="919">
        <v>56.5</v>
      </c>
      <c r="J87" s="755">
        <v>41.67</v>
      </c>
      <c r="K87" s="917">
        <f t="shared" si="3"/>
        <v>14.829999999999998</v>
      </c>
      <c r="L87" s="917"/>
      <c r="M87" s="917"/>
      <c r="P87" s="758">
        <v>1</v>
      </c>
    </row>
    <row r="88" spans="1:18" ht="12.75" customHeight="1" x14ac:dyDescent="0.2">
      <c r="A88" s="611" t="s">
        <v>1900</v>
      </c>
      <c r="B88" s="611" t="s">
        <v>2890</v>
      </c>
      <c r="C88" s="816" t="s">
        <v>615</v>
      </c>
      <c r="D88" s="816" t="s">
        <v>1444</v>
      </c>
      <c r="E88" s="792">
        <v>359</v>
      </c>
      <c r="I88" s="813">
        <v>381.9</v>
      </c>
      <c r="J88" s="755">
        <v>217.48</v>
      </c>
      <c r="K88" s="764">
        <f t="shared" si="3"/>
        <v>164.42</v>
      </c>
      <c r="N88" s="930" t="s">
        <v>3251</v>
      </c>
      <c r="P88" s="758">
        <v>1</v>
      </c>
    </row>
    <row r="89" spans="1:18" ht="12.75" customHeight="1" x14ac:dyDescent="0.2">
      <c r="A89" s="611" t="s">
        <v>1901</v>
      </c>
      <c r="B89" s="611" t="s">
        <v>2890</v>
      </c>
      <c r="C89" s="923"/>
      <c r="D89" s="816" t="s">
        <v>1444</v>
      </c>
      <c r="E89" s="792">
        <v>352</v>
      </c>
      <c r="I89" s="813">
        <v>1739</v>
      </c>
      <c r="J89" s="755">
        <v>584.41</v>
      </c>
      <c r="K89" s="764">
        <f t="shared" si="3"/>
        <v>1154.5900000000001</v>
      </c>
      <c r="N89" s="930" t="s">
        <v>3244</v>
      </c>
      <c r="P89" s="758">
        <v>1</v>
      </c>
    </row>
    <row r="90" spans="1:18" ht="12.75" customHeight="1" x14ac:dyDescent="0.2">
      <c r="A90" s="611" t="s">
        <v>1902</v>
      </c>
      <c r="B90" s="611" t="s">
        <v>2890</v>
      </c>
      <c r="D90" s="816" t="s">
        <v>1444</v>
      </c>
      <c r="E90" s="792">
        <v>357</v>
      </c>
      <c r="I90" s="813">
        <v>506.5</v>
      </c>
      <c r="J90" s="755">
        <v>322.51</v>
      </c>
      <c r="K90" s="764">
        <f t="shared" si="3"/>
        <v>183.99</v>
      </c>
      <c r="N90" s="930" t="s">
        <v>3246</v>
      </c>
      <c r="P90" s="758">
        <v>1</v>
      </c>
    </row>
    <row r="91" spans="1:18" ht="25.5" x14ac:dyDescent="0.2">
      <c r="A91" s="611" t="s">
        <v>1903</v>
      </c>
      <c r="B91" s="611" t="s">
        <v>2890</v>
      </c>
      <c r="D91" s="816" t="s">
        <v>3159</v>
      </c>
      <c r="E91" s="792">
        <v>358</v>
      </c>
      <c r="I91" s="813">
        <v>1233.4000000000001</v>
      </c>
      <c r="J91" s="755">
        <v>313.5</v>
      </c>
      <c r="K91" s="764">
        <f t="shared" si="3"/>
        <v>919.90000000000009</v>
      </c>
      <c r="N91" s="930" t="s">
        <v>3245</v>
      </c>
      <c r="Q91" s="758">
        <v>1</v>
      </c>
    </row>
    <row r="92" spans="1:18" ht="12.75" customHeight="1" x14ac:dyDescent="0.2">
      <c r="A92" s="611" t="s">
        <v>1904</v>
      </c>
      <c r="B92" s="611" t="s">
        <v>2890</v>
      </c>
      <c r="D92" s="816" t="s">
        <v>1444</v>
      </c>
      <c r="E92" s="792">
        <v>357</v>
      </c>
      <c r="I92" s="813">
        <v>263.89999999999998</v>
      </c>
      <c r="J92" s="755">
        <v>261.64</v>
      </c>
      <c r="K92" s="917">
        <f t="shared" si="3"/>
        <v>2.2599999999999909</v>
      </c>
      <c r="L92" s="917"/>
      <c r="M92" s="917"/>
      <c r="P92" s="758">
        <v>1</v>
      </c>
    </row>
    <row r="93" spans="1:18" ht="12.75" customHeight="1" x14ac:dyDescent="0.2">
      <c r="A93" s="611" t="s">
        <v>1904</v>
      </c>
      <c r="B93" s="611" t="s">
        <v>2890</v>
      </c>
      <c r="D93" s="816" t="s">
        <v>3160</v>
      </c>
      <c r="E93" s="792">
        <v>359</v>
      </c>
      <c r="I93" s="813">
        <v>433</v>
      </c>
      <c r="J93" s="755">
        <v>165.41</v>
      </c>
      <c r="K93" s="764">
        <f t="shared" si="3"/>
        <v>267.59000000000003</v>
      </c>
      <c r="N93" s="930" t="s">
        <v>3247</v>
      </c>
      <c r="Q93" s="758">
        <v>1</v>
      </c>
    </row>
    <row r="94" spans="1:18" ht="12.75" customHeight="1" x14ac:dyDescent="0.2">
      <c r="A94" s="611" t="s">
        <v>1905</v>
      </c>
      <c r="B94" s="611" t="s">
        <v>2890</v>
      </c>
      <c r="C94" s="816" t="s">
        <v>2143</v>
      </c>
      <c r="D94" s="816" t="s">
        <v>1444</v>
      </c>
      <c r="E94" s="792">
        <v>362</v>
      </c>
      <c r="I94" s="813">
        <v>169</v>
      </c>
      <c r="J94" s="755">
        <v>167.59</v>
      </c>
      <c r="K94" s="917">
        <f t="shared" si="3"/>
        <v>1.4099999999999966</v>
      </c>
      <c r="L94" s="917"/>
      <c r="M94" s="917"/>
      <c r="P94" s="758">
        <v>1</v>
      </c>
    </row>
    <row r="95" spans="1:18" ht="12.75" customHeight="1" x14ac:dyDescent="0.2">
      <c r="A95" s="611" t="s">
        <v>1906</v>
      </c>
      <c r="B95" s="611" t="s">
        <v>2890</v>
      </c>
      <c r="D95" s="816" t="s">
        <v>3161</v>
      </c>
      <c r="E95" s="792">
        <v>361</v>
      </c>
      <c r="I95" s="813">
        <v>258.3</v>
      </c>
      <c r="J95" s="755">
        <v>199.15</v>
      </c>
      <c r="K95" s="764">
        <f t="shared" si="3"/>
        <v>59.150000000000006</v>
      </c>
      <c r="N95" s="930" t="s">
        <v>3248</v>
      </c>
      <c r="Q95" s="758">
        <v>1</v>
      </c>
    </row>
    <row r="96" spans="1:18" ht="12.75" customHeight="1" x14ac:dyDescent="0.2">
      <c r="A96" s="611" t="s">
        <v>1906</v>
      </c>
      <c r="B96" s="611" t="s">
        <v>2890</v>
      </c>
      <c r="D96" s="816" t="s">
        <v>3162</v>
      </c>
      <c r="E96" s="792">
        <v>357</v>
      </c>
      <c r="I96" s="813">
        <v>40.380000000000003</v>
      </c>
      <c r="J96" s="755">
        <v>40.380000000000003</v>
      </c>
      <c r="K96" s="917">
        <f t="shared" si="3"/>
        <v>0</v>
      </c>
      <c r="L96" s="917"/>
      <c r="M96" s="917"/>
      <c r="R96" s="758">
        <v>1</v>
      </c>
    </row>
    <row r="97" spans="1:18" x14ac:dyDescent="0.2">
      <c r="A97" s="611" t="s">
        <v>1906</v>
      </c>
      <c r="B97" s="611" t="s">
        <v>2890</v>
      </c>
      <c r="D97" s="816" t="s">
        <v>3157</v>
      </c>
      <c r="E97" s="792">
        <v>366</v>
      </c>
      <c r="I97" s="918">
        <v>154</v>
      </c>
      <c r="J97" s="755">
        <v>78.64</v>
      </c>
      <c r="K97" s="764">
        <f t="shared" si="3"/>
        <v>75.36</v>
      </c>
      <c r="L97" s="764">
        <v>75</v>
      </c>
      <c r="N97" s="941" t="s">
        <v>3208</v>
      </c>
      <c r="R97" s="758">
        <v>1</v>
      </c>
    </row>
    <row r="98" spans="1:18" ht="25.5" x14ac:dyDescent="0.2">
      <c r="A98" s="733" t="s">
        <v>1906</v>
      </c>
      <c r="B98" s="611" t="s">
        <v>2890</v>
      </c>
      <c r="C98" s="816" t="s">
        <v>2881</v>
      </c>
      <c r="D98" s="816" t="s">
        <v>3157</v>
      </c>
      <c r="I98" s="944">
        <v>16980</v>
      </c>
      <c r="K98" s="764">
        <f t="shared" si="3"/>
        <v>16980</v>
      </c>
      <c r="N98" s="930" t="s">
        <v>3042</v>
      </c>
      <c r="R98" s="758">
        <v>1</v>
      </c>
    </row>
    <row r="99" spans="1:18" ht="12.75" customHeight="1" x14ac:dyDescent="0.2">
      <c r="A99" s="611" t="s">
        <v>1976</v>
      </c>
      <c r="B99" s="611" t="s">
        <v>2890</v>
      </c>
      <c r="C99" s="816" t="s">
        <v>614</v>
      </c>
      <c r="D99" s="816" t="s">
        <v>1444</v>
      </c>
      <c r="E99" s="792">
        <v>359</v>
      </c>
      <c r="I99" s="918">
        <v>321</v>
      </c>
      <c r="J99" s="755">
        <v>275.12</v>
      </c>
      <c r="K99" s="764">
        <f t="shared" si="3"/>
        <v>45.879999999999995</v>
      </c>
      <c r="N99" s="930" t="s">
        <v>3248</v>
      </c>
      <c r="P99" s="758">
        <v>1</v>
      </c>
    </row>
    <row r="100" spans="1:18" ht="12.75" customHeight="1" x14ac:dyDescent="0.2">
      <c r="A100" s="611" t="s">
        <v>1887</v>
      </c>
      <c r="B100" s="611" t="s">
        <v>2890</v>
      </c>
      <c r="D100" s="816" t="s">
        <v>1444</v>
      </c>
      <c r="E100" s="792">
        <v>363</v>
      </c>
      <c r="I100" s="918">
        <v>205</v>
      </c>
      <c r="J100" s="755">
        <v>173.15</v>
      </c>
      <c r="K100" s="764">
        <f t="shared" si="3"/>
        <v>31.849999999999994</v>
      </c>
      <c r="N100" s="930" t="s">
        <v>2924</v>
      </c>
      <c r="P100" s="758">
        <v>1</v>
      </c>
    </row>
    <row r="101" spans="1:18" ht="12.75" customHeight="1" x14ac:dyDescent="0.2">
      <c r="A101" s="611" t="s">
        <v>1887</v>
      </c>
      <c r="B101" s="611" t="s">
        <v>2890</v>
      </c>
      <c r="D101" s="816" t="s">
        <v>1444</v>
      </c>
      <c r="E101" s="792">
        <v>365</v>
      </c>
      <c r="I101" s="918">
        <v>303</v>
      </c>
      <c r="J101" s="755">
        <v>138.33000000000001</v>
      </c>
      <c r="K101" s="764">
        <f t="shared" si="3"/>
        <v>164.67</v>
      </c>
      <c r="N101" s="930" t="s">
        <v>2932</v>
      </c>
      <c r="P101" s="758">
        <v>1</v>
      </c>
    </row>
    <row r="102" spans="1:18" ht="12.75" customHeight="1" x14ac:dyDescent="0.2">
      <c r="A102" s="611" t="s">
        <v>1909</v>
      </c>
      <c r="B102" s="611" t="s">
        <v>2890</v>
      </c>
      <c r="D102" s="816" t="s">
        <v>1444</v>
      </c>
      <c r="E102" s="792">
        <v>361</v>
      </c>
      <c r="F102" s="792">
        <v>363</v>
      </c>
      <c r="I102" s="918">
        <f>186+87</f>
        <v>273</v>
      </c>
      <c r="J102" s="755">
        <v>266.44</v>
      </c>
      <c r="K102" s="917">
        <f t="shared" si="3"/>
        <v>6.5600000000000023</v>
      </c>
      <c r="L102" s="917"/>
      <c r="M102" s="917"/>
      <c r="P102" s="758">
        <v>1</v>
      </c>
    </row>
    <row r="103" spans="1:18" ht="12.75" customHeight="1" x14ac:dyDescent="0.2">
      <c r="A103" s="611" t="s">
        <v>1910</v>
      </c>
      <c r="B103" s="611" t="s">
        <v>2890</v>
      </c>
      <c r="C103" s="816" t="s">
        <v>616</v>
      </c>
      <c r="D103" s="816" t="s">
        <v>1444</v>
      </c>
      <c r="E103" s="792">
        <v>361</v>
      </c>
      <c r="I103" s="918">
        <f>121+15</f>
        <v>136</v>
      </c>
      <c r="J103" s="755">
        <v>132.69</v>
      </c>
      <c r="K103" s="917">
        <f t="shared" si="3"/>
        <v>3.3100000000000023</v>
      </c>
      <c r="L103" s="917"/>
      <c r="M103" s="917"/>
      <c r="N103" s="930" t="s">
        <v>3255</v>
      </c>
      <c r="P103" s="758">
        <v>1</v>
      </c>
    </row>
    <row r="104" spans="1:18" ht="12.75" customHeight="1" x14ac:dyDescent="0.2">
      <c r="A104" s="611" t="s">
        <v>1911</v>
      </c>
      <c r="B104" s="611" t="s">
        <v>2890</v>
      </c>
      <c r="D104" s="816" t="s">
        <v>1444</v>
      </c>
      <c r="E104" s="792">
        <v>362</v>
      </c>
      <c r="I104" s="918">
        <v>312</v>
      </c>
      <c r="J104" s="755">
        <v>210.47</v>
      </c>
      <c r="K104" s="764">
        <f t="shared" si="3"/>
        <v>101.53</v>
      </c>
      <c r="N104" s="930" t="s">
        <v>2932</v>
      </c>
      <c r="P104" s="758">
        <v>1</v>
      </c>
    </row>
    <row r="105" spans="1:18" ht="12.75" customHeight="1" x14ac:dyDescent="0.2">
      <c r="A105" s="611" t="s">
        <v>1912</v>
      </c>
      <c r="B105" s="611" t="s">
        <v>2890</v>
      </c>
      <c r="D105" s="816" t="s">
        <v>1444</v>
      </c>
      <c r="E105" s="792">
        <v>362</v>
      </c>
      <c r="F105" s="792">
        <v>363</v>
      </c>
      <c r="I105" s="918">
        <v>309</v>
      </c>
      <c r="J105" s="755">
        <v>293.94</v>
      </c>
      <c r="K105" s="764">
        <f t="shared" si="3"/>
        <v>15.060000000000002</v>
      </c>
      <c r="P105" s="758">
        <v>1</v>
      </c>
    </row>
    <row r="106" spans="1:18" x14ac:dyDescent="0.2">
      <c r="A106" s="611" t="s">
        <v>1913</v>
      </c>
      <c r="B106" s="611" t="s">
        <v>2890</v>
      </c>
      <c r="D106" s="816" t="s">
        <v>3171</v>
      </c>
      <c r="E106" s="792">
        <v>364</v>
      </c>
      <c r="F106" s="792">
        <v>388</v>
      </c>
      <c r="I106" s="918">
        <v>800</v>
      </c>
      <c r="J106" s="755">
        <v>750.94</v>
      </c>
      <c r="K106" s="917">
        <f t="shared" si="3"/>
        <v>49.059999999999945</v>
      </c>
      <c r="L106" s="764">
        <v>0</v>
      </c>
      <c r="N106" s="930" t="s">
        <v>3043</v>
      </c>
      <c r="R106" s="758">
        <v>1</v>
      </c>
    </row>
    <row r="107" spans="1:18" ht="25.5" x14ac:dyDescent="0.2">
      <c r="A107" s="611" t="s">
        <v>1913</v>
      </c>
      <c r="B107" s="611" t="s">
        <v>2890</v>
      </c>
      <c r="D107" s="816" t="s">
        <v>3171</v>
      </c>
      <c r="E107" s="792">
        <v>388</v>
      </c>
      <c r="I107" s="918">
        <v>500</v>
      </c>
      <c r="J107" s="755">
        <v>64.959999999999994</v>
      </c>
      <c r="K107" s="764">
        <f t="shared" si="3"/>
        <v>435.04</v>
      </c>
      <c r="N107" s="930" t="s">
        <v>2988</v>
      </c>
      <c r="R107" s="758">
        <v>1</v>
      </c>
    </row>
    <row r="108" spans="1:18" ht="12.75" customHeight="1" x14ac:dyDescent="0.2">
      <c r="A108" s="611" t="s">
        <v>1913</v>
      </c>
      <c r="B108" s="611" t="s">
        <v>2890</v>
      </c>
      <c r="D108" s="816" t="s">
        <v>1444</v>
      </c>
      <c r="E108" s="792">
        <v>362</v>
      </c>
      <c r="I108" s="918">
        <f>592</f>
        <v>592</v>
      </c>
      <c r="J108" s="755">
        <v>295.91000000000003</v>
      </c>
      <c r="K108" s="764">
        <f t="shared" si="3"/>
        <v>296.08999999999997</v>
      </c>
      <c r="N108" s="930" t="s">
        <v>2989</v>
      </c>
      <c r="P108" s="758">
        <v>1</v>
      </c>
    </row>
    <row r="109" spans="1:18" ht="12.75" customHeight="1" x14ac:dyDescent="0.2">
      <c r="A109" s="611" t="s">
        <v>1913</v>
      </c>
      <c r="B109" s="611" t="s">
        <v>2890</v>
      </c>
      <c r="D109" s="816" t="s">
        <v>1444</v>
      </c>
      <c r="E109" s="792">
        <v>369</v>
      </c>
      <c r="I109" s="813">
        <v>254</v>
      </c>
      <c r="J109" s="755">
        <v>180.31</v>
      </c>
      <c r="K109" s="764">
        <f t="shared" si="3"/>
        <v>73.69</v>
      </c>
      <c r="N109" s="930" t="s">
        <v>250</v>
      </c>
      <c r="P109" s="758">
        <v>1</v>
      </c>
    </row>
    <row r="110" spans="1:18" ht="12.75" customHeight="1" x14ac:dyDescent="0.2">
      <c r="A110" s="611" t="s">
        <v>1913</v>
      </c>
      <c r="B110" s="611" t="s">
        <v>2890</v>
      </c>
      <c r="D110" s="816" t="s">
        <v>3172</v>
      </c>
      <c r="E110" s="792">
        <v>369</v>
      </c>
      <c r="I110" s="813">
        <v>869.5</v>
      </c>
      <c r="J110" s="755">
        <v>156.41999999999999</v>
      </c>
      <c r="K110" s="764">
        <f t="shared" si="3"/>
        <v>713.08</v>
      </c>
      <c r="N110" s="930" t="s">
        <v>2940</v>
      </c>
      <c r="Q110" s="758">
        <v>1</v>
      </c>
    </row>
    <row r="111" spans="1:18" ht="12.75" customHeight="1" x14ac:dyDescent="0.2">
      <c r="A111" s="611" t="s">
        <v>1914</v>
      </c>
      <c r="B111" s="611" t="s">
        <v>2890</v>
      </c>
      <c r="C111" s="816" t="s">
        <v>618</v>
      </c>
      <c r="D111" s="753" t="s">
        <v>3156</v>
      </c>
      <c r="E111" s="792">
        <v>362</v>
      </c>
      <c r="I111" s="813">
        <v>360</v>
      </c>
      <c r="J111" s="755">
        <v>184.73</v>
      </c>
      <c r="K111" s="764">
        <f t="shared" si="3"/>
        <v>175.27</v>
      </c>
      <c r="N111" s="930" t="s">
        <v>2938</v>
      </c>
      <c r="P111" s="758">
        <v>1</v>
      </c>
    </row>
    <row r="112" spans="1:18" ht="12.75" customHeight="1" x14ac:dyDescent="0.2">
      <c r="A112" s="611" t="s">
        <v>1915</v>
      </c>
      <c r="B112" s="611" t="s">
        <v>2890</v>
      </c>
      <c r="C112" s="816" t="s">
        <v>620</v>
      </c>
      <c r="D112" s="753" t="s">
        <v>3156</v>
      </c>
      <c r="E112" s="792">
        <v>362</v>
      </c>
      <c r="I112" s="813">
        <v>478</v>
      </c>
      <c r="J112" s="755">
        <v>165.69</v>
      </c>
      <c r="K112" s="764">
        <f t="shared" si="3"/>
        <v>312.31</v>
      </c>
      <c r="N112" s="930" t="s">
        <v>2928</v>
      </c>
      <c r="P112" s="758">
        <v>1</v>
      </c>
    </row>
    <row r="113" spans="1:18" ht="12.75" customHeight="1" x14ac:dyDescent="0.2">
      <c r="A113" s="611" t="s">
        <v>1916</v>
      </c>
      <c r="B113" s="611" t="s">
        <v>2890</v>
      </c>
      <c r="C113" s="816" t="s">
        <v>2144</v>
      </c>
      <c r="D113" s="816" t="s">
        <v>1444</v>
      </c>
      <c r="E113" s="792">
        <v>363</v>
      </c>
      <c r="I113" s="813">
        <v>214</v>
      </c>
      <c r="J113" s="755">
        <v>185.27</v>
      </c>
      <c r="K113" s="917">
        <f t="shared" si="3"/>
        <v>28.72999999999999</v>
      </c>
      <c r="P113" s="758">
        <v>1</v>
      </c>
    </row>
    <row r="114" spans="1:18" ht="12.75" customHeight="1" x14ac:dyDescent="0.2">
      <c r="A114" s="611" t="s">
        <v>1917</v>
      </c>
      <c r="B114" s="611" t="s">
        <v>2890</v>
      </c>
      <c r="C114" s="816" t="s">
        <v>621</v>
      </c>
      <c r="D114" s="753" t="s">
        <v>3156</v>
      </c>
      <c r="E114" s="792">
        <v>363</v>
      </c>
      <c r="I114" s="813">
        <v>278</v>
      </c>
      <c r="J114" s="755">
        <v>254.57</v>
      </c>
      <c r="K114" s="764">
        <f t="shared" si="3"/>
        <v>23.430000000000007</v>
      </c>
      <c r="N114" s="930" t="s">
        <v>2936</v>
      </c>
      <c r="P114" s="758">
        <v>1</v>
      </c>
    </row>
    <row r="115" spans="1:18" ht="12.75" customHeight="1" x14ac:dyDescent="0.2">
      <c r="A115" s="611" t="s">
        <v>1918</v>
      </c>
      <c r="B115" s="611" t="s">
        <v>2890</v>
      </c>
      <c r="D115" s="816" t="s">
        <v>1444</v>
      </c>
      <c r="E115" s="792">
        <v>365</v>
      </c>
      <c r="I115" s="813">
        <v>294</v>
      </c>
      <c r="J115" s="755">
        <v>178.16</v>
      </c>
      <c r="K115" s="764">
        <f t="shared" si="3"/>
        <v>115.84</v>
      </c>
      <c r="N115" s="930" t="s">
        <v>2939</v>
      </c>
      <c r="P115" s="758">
        <v>1</v>
      </c>
    </row>
    <row r="116" spans="1:18" ht="12.75" customHeight="1" x14ac:dyDescent="0.2">
      <c r="A116" s="611" t="s">
        <v>1919</v>
      </c>
      <c r="B116" s="611" t="s">
        <v>2890</v>
      </c>
      <c r="D116" s="816" t="s">
        <v>1444</v>
      </c>
      <c r="E116" s="792">
        <v>369</v>
      </c>
      <c r="I116" s="813">
        <v>300</v>
      </c>
      <c r="J116" s="755">
        <v>230.75</v>
      </c>
      <c r="K116" s="764">
        <f t="shared" si="3"/>
        <v>69.25</v>
      </c>
      <c r="N116" s="930" t="s">
        <v>250</v>
      </c>
      <c r="P116" s="758">
        <v>1</v>
      </c>
    </row>
    <row r="117" spans="1:18" ht="12.75" customHeight="1" x14ac:dyDescent="0.2">
      <c r="A117" s="611" t="s">
        <v>1919</v>
      </c>
      <c r="B117" s="611" t="s">
        <v>2890</v>
      </c>
      <c r="D117" s="816" t="s">
        <v>1444</v>
      </c>
      <c r="E117" s="792">
        <v>367</v>
      </c>
      <c r="I117" s="813">
        <v>184.9</v>
      </c>
      <c r="J117" s="755">
        <v>184.9</v>
      </c>
      <c r="K117" s="917">
        <f t="shared" si="3"/>
        <v>0</v>
      </c>
      <c r="L117" s="917"/>
      <c r="M117" s="917"/>
      <c r="N117" s="930" t="s">
        <v>255</v>
      </c>
      <c r="P117" s="758">
        <v>1</v>
      </c>
    </row>
    <row r="118" spans="1:18" x14ac:dyDescent="0.2">
      <c r="A118" s="611" t="s">
        <v>1920</v>
      </c>
      <c r="B118" s="611" t="s">
        <v>2890</v>
      </c>
      <c r="D118" s="816" t="s">
        <v>3145</v>
      </c>
      <c r="E118" s="792">
        <v>371</v>
      </c>
      <c r="I118" s="813">
        <v>234</v>
      </c>
      <c r="J118" s="755">
        <v>88.86</v>
      </c>
      <c r="K118" s="764">
        <f t="shared" ref="K118:K136" si="4">I118-J118</f>
        <v>145.13999999999999</v>
      </c>
      <c r="N118" s="930" t="s">
        <v>2934</v>
      </c>
      <c r="Q118" s="758">
        <v>1</v>
      </c>
    </row>
    <row r="119" spans="1:18" ht="12.75" customHeight="1" x14ac:dyDescent="0.2">
      <c r="A119" s="611" t="s">
        <v>1920</v>
      </c>
      <c r="B119" s="611" t="s">
        <v>2890</v>
      </c>
      <c r="D119" s="816" t="s">
        <v>2911</v>
      </c>
      <c r="E119" s="792">
        <v>371</v>
      </c>
      <c r="I119" s="919">
        <v>148.80000000000001</v>
      </c>
      <c r="J119" s="755">
        <v>90.55</v>
      </c>
      <c r="K119" s="764">
        <f t="shared" si="4"/>
        <v>58.250000000000014</v>
      </c>
      <c r="N119" s="930" t="s">
        <v>250</v>
      </c>
      <c r="R119" s="758">
        <v>1</v>
      </c>
    </row>
    <row r="120" spans="1:18" ht="12.75" customHeight="1" x14ac:dyDescent="0.2">
      <c r="A120" s="611" t="s">
        <v>1997</v>
      </c>
      <c r="B120" s="611" t="s">
        <v>2890</v>
      </c>
      <c r="C120" s="816" t="s">
        <v>2145</v>
      </c>
      <c r="D120" s="753" t="s">
        <v>3156</v>
      </c>
      <c r="E120" s="792">
        <v>370</v>
      </c>
      <c r="I120" s="813">
        <v>80</v>
      </c>
      <c r="J120" s="755">
        <v>77.900000000000006</v>
      </c>
      <c r="K120" s="917">
        <f t="shared" si="4"/>
        <v>2.0999999999999943</v>
      </c>
      <c r="L120" s="917"/>
      <c r="M120" s="917"/>
      <c r="P120" s="758">
        <v>1</v>
      </c>
    </row>
    <row r="121" spans="1:18" ht="12.75" customHeight="1" x14ac:dyDescent="0.2">
      <c r="A121" s="611" t="s">
        <v>1922</v>
      </c>
      <c r="B121" s="611" t="s">
        <v>2890</v>
      </c>
      <c r="D121" s="816" t="s">
        <v>2911</v>
      </c>
      <c r="E121" s="792">
        <v>371</v>
      </c>
      <c r="I121" s="813">
        <v>106.3</v>
      </c>
      <c r="J121" s="755">
        <v>100.56321428571428</v>
      </c>
      <c r="K121" s="917">
        <f t="shared" si="4"/>
        <v>5.7367857142857162</v>
      </c>
      <c r="L121" s="917"/>
      <c r="M121" s="917"/>
      <c r="R121" s="758">
        <v>1</v>
      </c>
    </row>
    <row r="122" spans="1:18" ht="12.75" customHeight="1" x14ac:dyDescent="0.2">
      <c r="A122" s="611" t="s">
        <v>1923</v>
      </c>
      <c r="B122" s="611" t="s">
        <v>2890</v>
      </c>
      <c r="D122" s="816" t="s">
        <v>1444</v>
      </c>
      <c r="E122" s="792">
        <v>371</v>
      </c>
      <c r="F122" s="792">
        <v>372</v>
      </c>
      <c r="I122" s="813">
        <v>798.9</v>
      </c>
      <c r="J122" s="755">
        <v>175.62</v>
      </c>
      <c r="K122" s="764">
        <f t="shared" si="4"/>
        <v>623.28</v>
      </c>
      <c r="N122" s="930" t="s">
        <v>2941</v>
      </c>
      <c r="P122" s="758">
        <v>1</v>
      </c>
    </row>
    <row r="123" spans="1:18" ht="12.75" customHeight="1" x14ac:dyDescent="0.2">
      <c r="A123" s="611" t="s">
        <v>1924</v>
      </c>
      <c r="B123" s="611" t="s">
        <v>2890</v>
      </c>
      <c r="C123" s="816" t="s">
        <v>130</v>
      </c>
      <c r="D123" s="816" t="s">
        <v>1444</v>
      </c>
      <c r="E123" s="792">
        <v>371</v>
      </c>
      <c r="F123" s="792">
        <v>372</v>
      </c>
      <c r="I123" s="813">
        <v>932.9</v>
      </c>
      <c r="J123" s="755">
        <v>176.54</v>
      </c>
      <c r="K123" s="764">
        <f t="shared" si="4"/>
        <v>756.36</v>
      </c>
      <c r="N123" s="930" t="s">
        <v>2937</v>
      </c>
      <c r="P123" s="758">
        <v>1</v>
      </c>
    </row>
    <row r="124" spans="1:18" ht="12.75" customHeight="1" x14ac:dyDescent="0.2">
      <c r="A124" s="611" t="s">
        <v>1924</v>
      </c>
      <c r="B124" s="611" t="s">
        <v>2890</v>
      </c>
      <c r="C124" s="816" t="s">
        <v>130</v>
      </c>
      <c r="D124" s="816" t="s">
        <v>3163</v>
      </c>
      <c r="E124" s="792">
        <v>371</v>
      </c>
      <c r="I124" s="813">
        <v>2000</v>
      </c>
      <c r="J124" s="755">
        <v>29.21</v>
      </c>
      <c r="K124" s="764">
        <f t="shared" si="4"/>
        <v>1970.79</v>
      </c>
      <c r="N124" s="930" t="s">
        <v>2589</v>
      </c>
      <c r="R124" s="758">
        <v>1</v>
      </c>
    </row>
    <row r="125" spans="1:18" ht="12.75" customHeight="1" x14ac:dyDescent="0.2">
      <c r="A125" s="611" t="s">
        <v>1925</v>
      </c>
      <c r="B125" s="611" t="s">
        <v>2890</v>
      </c>
      <c r="C125" s="816" t="s">
        <v>128</v>
      </c>
      <c r="D125" s="816" t="s">
        <v>3159</v>
      </c>
      <c r="E125" s="792">
        <v>371</v>
      </c>
      <c r="F125" s="792">
        <v>372</v>
      </c>
      <c r="I125" s="813">
        <v>619.4</v>
      </c>
      <c r="J125" s="755">
        <v>230.91</v>
      </c>
      <c r="K125" s="764">
        <f t="shared" si="4"/>
        <v>388.49</v>
      </c>
      <c r="L125" s="764">
        <v>382</v>
      </c>
      <c r="N125" s="941" t="s">
        <v>2883</v>
      </c>
      <c r="R125" s="758">
        <v>1</v>
      </c>
    </row>
    <row r="126" spans="1:18" ht="12.75" customHeight="1" x14ac:dyDescent="0.2">
      <c r="A126" s="611" t="s">
        <v>1926</v>
      </c>
      <c r="B126" s="611" t="s">
        <v>2890</v>
      </c>
      <c r="C126" s="816" t="s">
        <v>1123</v>
      </c>
      <c r="D126" s="753" t="s">
        <v>3156</v>
      </c>
      <c r="E126" s="792">
        <v>370</v>
      </c>
      <c r="I126" s="813">
        <v>178</v>
      </c>
      <c r="J126" s="755">
        <v>174.38</v>
      </c>
      <c r="K126" s="917">
        <f t="shared" si="4"/>
        <v>3.6200000000000045</v>
      </c>
      <c r="L126" s="917"/>
      <c r="M126" s="917"/>
      <c r="N126" s="931"/>
      <c r="P126" s="758">
        <v>1</v>
      </c>
    </row>
    <row r="127" spans="1:18" ht="12.75" customHeight="1" x14ac:dyDescent="0.2">
      <c r="A127" s="611" t="s">
        <v>1927</v>
      </c>
      <c r="B127" s="611" t="s">
        <v>2890</v>
      </c>
      <c r="C127" s="816" t="s">
        <v>571</v>
      </c>
      <c r="D127" s="816" t="s">
        <v>1444</v>
      </c>
      <c r="E127" s="792">
        <v>371</v>
      </c>
      <c r="F127" s="792">
        <v>377</v>
      </c>
      <c r="I127" s="813">
        <v>203.5</v>
      </c>
      <c r="J127" s="755">
        <v>195.87</v>
      </c>
      <c r="K127" s="917">
        <f t="shared" si="4"/>
        <v>7.6299999999999955</v>
      </c>
      <c r="L127" s="917"/>
      <c r="M127" s="917"/>
      <c r="N127" s="931"/>
      <c r="P127" s="758">
        <v>1</v>
      </c>
    </row>
    <row r="128" spans="1:18" ht="12.75" customHeight="1" x14ac:dyDescent="0.2">
      <c r="A128" s="611" t="s">
        <v>1928</v>
      </c>
      <c r="B128" s="611" t="s">
        <v>2890</v>
      </c>
      <c r="C128" s="802"/>
      <c r="D128" s="816" t="s">
        <v>1444</v>
      </c>
      <c r="E128" s="792">
        <v>373</v>
      </c>
      <c r="I128" s="813">
        <v>282.89999999999998</v>
      </c>
      <c r="J128" s="755">
        <v>104.87</v>
      </c>
      <c r="K128" s="764">
        <f t="shared" si="4"/>
        <v>178.02999999999997</v>
      </c>
      <c r="N128" s="930" t="s">
        <v>3209</v>
      </c>
      <c r="P128" s="758">
        <v>1</v>
      </c>
    </row>
    <row r="129" spans="1:18" ht="12.75" customHeight="1" x14ac:dyDescent="0.2">
      <c r="A129" s="611" t="s">
        <v>1929</v>
      </c>
      <c r="B129" s="611" t="s">
        <v>2890</v>
      </c>
      <c r="C129" s="816" t="s">
        <v>2147</v>
      </c>
      <c r="D129" s="816" t="s">
        <v>1444</v>
      </c>
      <c r="E129" s="792">
        <v>373</v>
      </c>
      <c r="F129" s="792">
        <v>374</v>
      </c>
      <c r="I129" s="813">
        <v>267.2</v>
      </c>
      <c r="J129" s="755">
        <v>231.55</v>
      </c>
      <c r="K129" s="764">
        <f t="shared" si="4"/>
        <v>35.649999999999977</v>
      </c>
      <c r="N129" s="930" t="s">
        <v>2938</v>
      </c>
      <c r="P129" s="758">
        <v>1</v>
      </c>
    </row>
    <row r="130" spans="1:18" ht="12.75" customHeight="1" x14ac:dyDescent="0.2">
      <c r="A130" s="611" t="s">
        <v>1930</v>
      </c>
      <c r="B130" s="611" t="s">
        <v>2890</v>
      </c>
      <c r="D130" s="816" t="s">
        <v>2911</v>
      </c>
      <c r="E130" s="792">
        <v>377</v>
      </c>
      <c r="I130" s="813">
        <v>288.2</v>
      </c>
      <c r="J130" s="755">
        <v>197.31</v>
      </c>
      <c r="K130" s="764">
        <f t="shared" si="4"/>
        <v>90.889999999999986</v>
      </c>
      <c r="L130" s="764">
        <v>88</v>
      </c>
      <c r="N130" s="941" t="s">
        <v>2883</v>
      </c>
      <c r="R130" s="758">
        <v>1</v>
      </c>
    </row>
    <row r="131" spans="1:18" ht="12.75" customHeight="1" x14ac:dyDescent="0.2">
      <c r="A131" s="611" t="s">
        <v>1931</v>
      </c>
      <c r="B131" s="611" t="s">
        <v>2890</v>
      </c>
      <c r="C131" s="816" t="s">
        <v>135</v>
      </c>
      <c r="D131" s="816" t="s">
        <v>1444</v>
      </c>
      <c r="E131" s="792">
        <v>371</v>
      </c>
      <c r="I131" s="813">
        <v>75.7</v>
      </c>
      <c r="J131" s="755">
        <v>74.02</v>
      </c>
      <c r="K131" s="917">
        <f t="shared" si="4"/>
        <v>1.6800000000000068</v>
      </c>
      <c r="L131" s="917"/>
      <c r="M131" s="917"/>
      <c r="N131" s="931"/>
      <c r="P131" s="758">
        <v>1</v>
      </c>
    </row>
    <row r="132" spans="1:18" x14ac:dyDescent="0.2">
      <c r="A132" s="611" t="s">
        <v>1931</v>
      </c>
      <c r="B132" s="611" t="s">
        <v>2890</v>
      </c>
      <c r="C132" s="816" t="s">
        <v>2173</v>
      </c>
      <c r="D132" s="816" t="s">
        <v>1444</v>
      </c>
      <c r="E132" s="792">
        <v>373</v>
      </c>
      <c r="I132" s="813">
        <v>112.8</v>
      </c>
      <c r="J132" s="755">
        <v>110.5</v>
      </c>
      <c r="K132" s="917">
        <f t="shared" si="4"/>
        <v>2.2999999999999972</v>
      </c>
      <c r="L132" s="917"/>
      <c r="M132" s="917"/>
      <c r="N132" s="816" t="s">
        <v>2151</v>
      </c>
      <c r="P132" s="758">
        <v>1</v>
      </c>
    </row>
    <row r="133" spans="1:18" ht="12.75" customHeight="1" x14ac:dyDescent="0.2">
      <c r="A133" s="611" t="s">
        <v>1931</v>
      </c>
      <c r="B133" s="611" t="s">
        <v>2890</v>
      </c>
      <c r="C133" s="816" t="s">
        <v>2174</v>
      </c>
      <c r="D133" s="816" t="s">
        <v>1444</v>
      </c>
      <c r="E133" s="792">
        <v>373</v>
      </c>
      <c r="I133" s="813">
        <v>151.6</v>
      </c>
      <c r="J133" s="755">
        <v>134.32</v>
      </c>
      <c r="K133" s="917">
        <f t="shared" si="4"/>
        <v>17.28</v>
      </c>
      <c r="L133" s="917"/>
      <c r="M133" s="917"/>
      <c r="N133" s="816" t="s">
        <v>2939</v>
      </c>
      <c r="P133" s="758">
        <v>1</v>
      </c>
    </row>
    <row r="134" spans="1:18" ht="25.5" x14ac:dyDescent="0.2">
      <c r="A134" s="611" t="s">
        <v>1931</v>
      </c>
      <c r="B134" s="611" t="s">
        <v>2890</v>
      </c>
      <c r="C134" s="816" t="s">
        <v>2172</v>
      </c>
      <c r="D134" s="816" t="s">
        <v>3164</v>
      </c>
      <c r="E134" s="792">
        <v>375</v>
      </c>
      <c r="I134" s="813">
        <v>181.7</v>
      </c>
      <c r="J134" s="755">
        <v>32.58</v>
      </c>
      <c r="K134" s="764">
        <f t="shared" si="4"/>
        <v>149.12</v>
      </c>
      <c r="N134" s="930" t="s">
        <v>2986</v>
      </c>
      <c r="R134" s="758">
        <v>1</v>
      </c>
    </row>
    <row r="135" spans="1:18" x14ac:dyDescent="0.2">
      <c r="A135" s="611" t="s">
        <v>1932</v>
      </c>
      <c r="B135" s="611" t="s">
        <v>2890</v>
      </c>
      <c r="D135" s="816" t="s">
        <v>3165</v>
      </c>
      <c r="E135" s="792">
        <v>374</v>
      </c>
      <c r="I135" s="813">
        <v>638.20000000000005</v>
      </c>
      <c r="J135" s="755">
        <v>232.88</v>
      </c>
      <c r="K135" s="764">
        <f t="shared" si="4"/>
        <v>405.32000000000005</v>
      </c>
      <c r="N135" s="930" t="s">
        <v>2942</v>
      </c>
      <c r="Q135" s="758">
        <v>1</v>
      </c>
    </row>
    <row r="136" spans="1:18" ht="12.75" customHeight="1" x14ac:dyDescent="0.2">
      <c r="A136" s="611" t="s">
        <v>1933</v>
      </c>
      <c r="B136" s="611" t="s">
        <v>2890</v>
      </c>
      <c r="C136" s="816" t="s">
        <v>1506</v>
      </c>
      <c r="D136" s="816" t="s">
        <v>3166</v>
      </c>
      <c r="E136" s="792">
        <v>373</v>
      </c>
      <c r="I136" s="813">
        <v>168.7</v>
      </c>
      <c r="J136" s="755">
        <v>76.87</v>
      </c>
      <c r="K136" s="764">
        <f t="shared" si="4"/>
        <v>91.829999999999984</v>
      </c>
      <c r="N136" s="638" t="s">
        <v>2963</v>
      </c>
      <c r="R136" s="758">
        <v>1</v>
      </c>
    </row>
    <row r="137" spans="1:18" ht="12.75" customHeight="1" x14ac:dyDescent="0.2">
      <c r="A137" s="611" t="s">
        <v>1933</v>
      </c>
      <c r="B137" s="611" t="s">
        <v>2890</v>
      </c>
      <c r="C137" s="816" t="s">
        <v>2146</v>
      </c>
      <c r="D137" s="816" t="s">
        <v>1444</v>
      </c>
      <c r="E137" s="792">
        <v>373</v>
      </c>
      <c r="I137" s="813">
        <v>117.9</v>
      </c>
      <c r="J137" s="755">
        <v>70.62</v>
      </c>
      <c r="K137" s="917">
        <f>I137-J138</f>
        <v>-1.6499999999999915</v>
      </c>
      <c r="P137" s="758">
        <v>1</v>
      </c>
    </row>
    <row r="138" spans="1:18" ht="12.75" customHeight="1" x14ac:dyDescent="0.2">
      <c r="A138" s="611" t="s">
        <v>1934</v>
      </c>
      <c r="B138" s="611" t="s">
        <v>2890</v>
      </c>
      <c r="D138" s="816" t="s">
        <v>1444</v>
      </c>
      <c r="E138" s="792">
        <v>374</v>
      </c>
      <c r="I138" s="813">
        <v>253.9</v>
      </c>
      <c r="J138" s="755">
        <v>119.55</v>
      </c>
      <c r="K138" s="764">
        <f t="shared" ref="K138:K169" si="5">I138-J138</f>
        <v>134.35000000000002</v>
      </c>
      <c r="N138" s="764" t="s">
        <v>2943</v>
      </c>
      <c r="P138" s="758">
        <v>1</v>
      </c>
    </row>
    <row r="139" spans="1:18" ht="12.75" customHeight="1" x14ac:dyDescent="0.2">
      <c r="A139" s="611" t="s">
        <v>1935</v>
      </c>
      <c r="B139" s="611" t="s">
        <v>2890</v>
      </c>
      <c r="D139" s="816" t="s">
        <v>1444</v>
      </c>
      <c r="E139" s="792">
        <v>374</v>
      </c>
      <c r="F139" s="792">
        <v>376</v>
      </c>
      <c r="I139" s="813">
        <f>189+251.4</f>
        <v>440.4</v>
      </c>
      <c r="J139" s="755">
        <v>322.88</v>
      </c>
      <c r="K139" s="764">
        <f t="shared" si="5"/>
        <v>117.51999999999998</v>
      </c>
      <c r="N139" s="930" t="s">
        <v>2944</v>
      </c>
      <c r="P139" s="758">
        <v>1</v>
      </c>
    </row>
    <row r="140" spans="1:18" ht="12.75" customHeight="1" x14ac:dyDescent="0.2">
      <c r="A140" s="611" t="s">
        <v>1936</v>
      </c>
      <c r="B140" s="611" t="s">
        <v>2890</v>
      </c>
      <c r="D140" s="816" t="s">
        <v>1444</v>
      </c>
      <c r="E140" s="792">
        <v>375</v>
      </c>
      <c r="I140" s="813">
        <v>205.2</v>
      </c>
      <c r="J140" s="755">
        <v>111.47</v>
      </c>
      <c r="K140" s="764">
        <f t="shared" si="5"/>
        <v>93.72999999999999</v>
      </c>
      <c r="N140" s="930" t="s">
        <v>2932</v>
      </c>
      <c r="P140" s="758">
        <v>1</v>
      </c>
    </row>
    <row r="141" spans="1:18" ht="25.5" x14ac:dyDescent="0.2">
      <c r="A141" s="611" t="s">
        <v>1937</v>
      </c>
      <c r="B141" s="611" t="s">
        <v>2890</v>
      </c>
      <c r="C141" s="816" t="s">
        <v>1514</v>
      </c>
      <c r="D141" s="816" t="s">
        <v>1444</v>
      </c>
      <c r="E141" s="792">
        <v>375</v>
      </c>
      <c r="I141" s="813">
        <v>247.4</v>
      </c>
      <c r="J141" s="755">
        <v>242.24</v>
      </c>
      <c r="K141" s="917">
        <f t="shared" si="5"/>
        <v>5.1599999999999966</v>
      </c>
      <c r="L141" s="917"/>
      <c r="M141" s="917"/>
      <c r="N141" s="930" t="s">
        <v>2990</v>
      </c>
      <c r="P141" s="758">
        <v>1</v>
      </c>
    </row>
    <row r="142" spans="1:18" ht="12.75" customHeight="1" x14ac:dyDescent="0.2">
      <c r="A142" s="611" t="s">
        <v>1938</v>
      </c>
      <c r="B142" s="611" t="s">
        <v>2890</v>
      </c>
      <c r="C142" s="816" t="s">
        <v>1513</v>
      </c>
      <c r="D142" s="816" t="s">
        <v>1444</v>
      </c>
      <c r="E142" s="792">
        <v>375</v>
      </c>
      <c r="F142" s="792">
        <v>376</v>
      </c>
      <c r="I142" s="813">
        <v>234</v>
      </c>
      <c r="J142" s="755">
        <v>231.77</v>
      </c>
      <c r="K142" s="917">
        <f t="shared" si="5"/>
        <v>2.2299999999999898</v>
      </c>
      <c r="L142" s="917"/>
      <c r="M142" s="917"/>
      <c r="N142" s="931"/>
      <c r="P142" s="758">
        <v>1</v>
      </c>
    </row>
    <row r="143" spans="1:18" ht="12.75" customHeight="1" x14ac:dyDescent="0.2">
      <c r="A143" s="611" t="s">
        <v>1938</v>
      </c>
      <c r="B143" s="611" t="s">
        <v>2890</v>
      </c>
      <c r="C143" s="816" t="s">
        <v>1513</v>
      </c>
      <c r="D143" s="816" t="s">
        <v>1444</v>
      </c>
      <c r="E143" s="792">
        <v>375</v>
      </c>
      <c r="I143" s="813">
        <v>112.7</v>
      </c>
      <c r="J143" s="755">
        <v>22.98</v>
      </c>
      <c r="K143" s="764">
        <f t="shared" si="5"/>
        <v>89.72</v>
      </c>
      <c r="N143" s="930" t="s">
        <v>2589</v>
      </c>
      <c r="P143" s="758">
        <v>1</v>
      </c>
    </row>
    <row r="144" spans="1:18" ht="12.75" customHeight="1" x14ac:dyDescent="0.2">
      <c r="A144" s="611" t="s">
        <v>1939</v>
      </c>
      <c r="B144" s="611" t="s">
        <v>2890</v>
      </c>
      <c r="C144" s="816" t="s">
        <v>2148</v>
      </c>
      <c r="D144" s="816" t="s">
        <v>1444</v>
      </c>
      <c r="E144" s="792">
        <v>374</v>
      </c>
      <c r="I144" s="813">
        <v>218</v>
      </c>
      <c r="J144" s="755">
        <v>166.32</v>
      </c>
      <c r="K144" s="764">
        <f t="shared" si="5"/>
        <v>51.680000000000007</v>
      </c>
      <c r="N144" s="638" t="s">
        <v>2939</v>
      </c>
      <c r="P144" s="758">
        <v>1</v>
      </c>
    </row>
    <row r="145" spans="1:18" ht="12.75" customHeight="1" x14ac:dyDescent="0.2">
      <c r="A145" s="611" t="s">
        <v>1939</v>
      </c>
      <c r="B145" s="611" t="s">
        <v>2890</v>
      </c>
      <c r="C145" s="816" t="s">
        <v>2149</v>
      </c>
      <c r="D145" s="816" t="s">
        <v>3166</v>
      </c>
      <c r="E145" s="792">
        <v>373</v>
      </c>
      <c r="I145" s="813">
        <v>87.3</v>
      </c>
      <c r="J145" s="755">
        <v>86.71</v>
      </c>
      <c r="K145" s="917">
        <f t="shared" si="5"/>
        <v>0.59000000000000341</v>
      </c>
      <c r="L145" s="917"/>
      <c r="M145" s="917"/>
      <c r="N145" s="931"/>
      <c r="R145" s="758">
        <v>1</v>
      </c>
    </row>
    <row r="146" spans="1:18" ht="12.75" customHeight="1" x14ac:dyDescent="0.2">
      <c r="A146" s="611" t="s">
        <v>1939</v>
      </c>
      <c r="B146" s="611" t="s">
        <v>2890</v>
      </c>
      <c r="C146" s="816" t="s">
        <v>2150</v>
      </c>
      <c r="D146" s="816" t="s">
        <v>1444</v>
      </c>
      <c r="E146" s="792">
        <v>374</v>
      </c>
      <c r="F146" s="792">
        <v>376</v>
      </c>
      <c r="I146" s="813">
        <v>189.6</v>
      </c>
      <c r="J146" s="755">
        <v>197.6</v>
      </c>
      <c r="K146" s="917">
        <f t="shared" si="5"/>
        <v>-8</v>
      </c>
      <c r="L146" s="917"/>
      <c r="M146" s="917"/>
      <c r="N146" s="638" t="s">
        <v>2938</v>
      </c>
      <c r="P146" s="758">
        <v>1</v>
      </c>
    </row>
    <row r="147" spans="1:18" ht="12.75" customHeight="1" x14ac:dyDescent="0.2">
      <c r="A147" s="611" t="s">
        <v>1939</v>
      </c>
      <c r="B147" s="611" t="s">
        <v>2890</v>
      </c>
      <c r="C147" s="816" t="s">
        <v>1536</v>
      </c>
      <c r="D147" s="816" t="s">
        <v>2978</v>
      </c>
      <c r="E147" s="792">
        <v>376</v>
      </c>
      <c r="F147" s="792">
        <v>377</v>
      </c>
      <c r="I147" s="813">
        <v>379.8</v>
      </c>
      <c r="J147" s="755">
        <v>292.44</v>
      </c>
      <c r="K147" s="764">
        <f t="shared" si="5"/>
        <v>87.360000000000014</v>
      </c>
      <c r="N147" s="930" t="s">
        <v>2941</v>
      </c>
      <c r="P147" s="758">
        <v>1</v>
      </c>
    </row>
    <row r="148" spans="1:18" ht="12.75" customHeight="1" x14ac:dyDescent="0.2">
      <c r="A148" s="728" t="s">
        <v>1940</v>
      </c>
      <c r="B148" s="611" t="s">
        <v>2890</v>
      </c>
      <c r="C148" s="753" t="s">
        <v>2947</v>
      </c>
      <c r="D148" s="816" t="s">
        <v>2978</v>
      </c>
      <c r="E148" s="792">
        <v>378</v>
      </c>
      <c r="F148" s="792">
        <v>379</v>
      </c>
      <c r="H148" s="792"/>
      <c r="I148" s="813">
        <v>142.6</v>
      </c>
      <c r="J148" s="755">
        <v>64.36</v>
      </c>
      <c r="K148" s="764">
        <f t="shared" si="5"/>
        <v>78.239999999999995</v>
      </c>
      <c r="N148" s="941" t="s">
        <v>2883</v>
      </c>
      <c r="P148" s="758">
        <v>1</v>
      </c>
    </row>
    <row r="149" spans="1:18" ht="12.75" customHeight="1" x14ac:dyDescent="0.2">
      <c r="A149" s="728" t="s">
        <v>1940</v>
      </c>
      <c r="B149" s="611" t="s">
        <v>2890</v>
      </c>
      <c r="C149" s="753" t="s">
        <v>2157</v>
      </c>
      <c r="D149" s="816" t="s">
        <v>2978</v>
      </c>
      <c r="E149" s="792">
        <v>381</v>
      </c>
      <c r="H149" s="792"/>
      <c r="I149" s="813">
        <v>292</v>
      </c>
      <c r="J149" s="755">
        <v>65.33</v>
      </c>
      <c r="K149" s="764">
        <f t="shared" si="5"/>
        <v>226.67000000000002</v>
      </c>
      <c r="N149" s="930" t="s">
        <v>2945</v>
      </c>
      <c r="P149" s="758">
        <v>1</v>
      </c>
    </row>
    <row r="150" spans="1:18" ht="12.75" customHeight="1" x14ac:dyDescent="0.2">
      <c r="A150" s="728" t="s">
        <v>1940</v>
      </c>
      <c r="B150" s="611" t="s">
        <v>2890</v>
      </c>
      <c r="C150" s="753" t="s">
        <v>2158</v>
      </c>
      <c r="D150" s="816" t="s">
        <v>2978</v>
      </c>
      <c r="E150" s="792">
        <v>383</v>
      </c>
      <c r="H150" s="792"/>
      <c r="I150" s="813">
        <v>407.3</v>
      </c>
      <c r="J150" s="755">
        <v>66.650000000000006</v>
      </c>
      <c r="K150" s="764">
        <f t="shared" si="5"/>
        <v>340.65</v>
      </c>
      <c r="N150" s="930" t="s">
        <v>2946</v>
      </c>
      <c r="P150" s="758">
        <v>1</v>
      </c>
    </row>
    <row r="151" spans="1:18" x14ac:dyDescent="0.2">
      <c r="A151" s="728" t="s">
        <v>1940</v>
      </c>
      <c r="B151" s="611" t="s">
        <v>2890</v>
      </c>
      <c r="C151" s="753" t="s">
        <v>2919</v>
      </c>
      <c r="D151" s="816" t="s">
        <v>1444</v>
      </c>
      <c r="E151" s="792">
        <v>376</v>
      </c>
      <c r="H151" s="792"/>
      <c r="I151" s="813">
        <v>133.5</v>
      </c>
      <c r="J151" s="755">
        <v>123.76</v>
      </c>
      <c r="K151" s="917">
        <f t="shared" si="5"/>
        <v>9.7399999999999949</v>
      </c>
      <c r="L151" s="917"/>
      <c r="M151" s="917"/>
      <c r="N151" s="638" t="s">
        <v>2936</v>
      </c>
      <c r="P151" s="758">
        <v>1</v>
      </c>
    </row>
    <row r="152" spans="1:18" ht="25.5" x14ac:dyDescent="0.2">
      <c r="A152" s="728" t="s">
        <v>1975</v>
      </c>
      <c r="B152" s="611" t="s">
        <v>2890</v>
      </c>
      <c r="C152" s="753" t="s">
        <v>2155</v>
      </c>
      <c r="D152" s="816" t="s">
        <v>3167</v>
      </c>
      <c r="E152" s="792">
        <v>378</v>
      </c>
      <c r="H152" s="792"/>
      <c r="I152" s="813">
        <v>161.5</v>
      </c>
      <c r="J152" s="755">
        <v>111.07</v>
      </c>
      <c r="K152" s="764">
        <f t="shared" si="5"/>
        <v>50.430000000000007</v>
      </c>
      <c r="N152" s="930" t="s">
        <v>2928</v>
      </c>
      <c r="P152" s="758">
        <v>1</v>
      </c>
    </row>
    <row r="153" spans="1:18" ht="12.75" customHeight="1" x14ac:dyDescent="0.2">
      <c r="A153" s="728" t="s">
        <v>1975</v>
      </c>
      <c r="B153" s="611" t="s">
        <v>2890</v>
      </c>
      <c r="C153" s="753" t="s">
        <v>2152</v>
      </c>
      <c r="D153" s="816" t="s">
        <v>1444</v>
      </c>
      <c r="E153" s="792">
        <v>376</v>
      </c>
      <c r="H153" s="813"/>
      <c r="I153" s="813">
        <f>98.3</f>
        <v>98.3</v>
      </c>
      <c r="J153" s="755">
        <v>97.04</v>
      </c>
      <c r="K153" s="917">
        <f t="shared" si="5"/>
        <v>1.2599999999999909</v>
      </c>
      <c r="L153" s="917"/>
      <c r="M153" s="917"/>
      <c r="N153" s="931"/>
      <c r="P153" s="758">
        <v>1</v>
      </c>
    </row>
    <row r="154" spans="1:18" ht="12.75" customHeight="1" x14ac:dyDescent="0.2">
      <c r="A154" s="728" t="s">
        <v>1975</v>
      </c>
      <c r="B154" s="611" t="s">
        <v>2890</v>
      </c>
      <c r="C154" s="753" t="s">
        <v>2153</v>
      </c>
      <c r="D154" s="816" t="s">
        <v>1444</v>
      </c>
      <c r="E154" s="792">
        <v>376</v>
      </c>
      <c r="H154" s="792"/>
      <c r="I154" s="813">
        <v>120.8</v>
      </c>
      <c r="J154" s="755">
        <v>118.27</v>
      </c>
      <c r="K154" s="917">
        <f t="shared" si="5"/>
        <v>2.5300000000000011</v>
      </c>
      <c r="L154" s="917"/>
      <c r="M154" s="917"/>
      <c r="N154" s="931"/>
      <c r="P154" s="758">
        <v>1</v>
      </c>
    </row>
    <row r="155" spans="1:18" ht="12.75" customHeight="1" x14ac:dyDescent="0.2">
      <c r="A155" s="728" t="s">
        <v>1942</v>
      </c>
      <c r="B155" s="611" t="s">
        <v>2890</v>
      </c>
      <c r="C155" s="753"/>
      <c r="D155" s="816" t="s">
        <v>1444</v>
      </c>
      <c r="E155" s="792">
        <v>378</v>
      </c>
      <c r="F155" s="792">
        <v>379</v>
      </c>
      <c r="H155" s="792"/>
      <c r="I155" s="813">
        <v>161.4</v>
      </c>
      <c r="J155" s="755">
        <v>158.33000000000001</v>
      </c>
      <c r="K155" s="917">
        <f t="shared" si="5"/>
        <v>3.0699999999999932</v>
      </c>
      <c r="L155" s="917"/>
      <c r="M155" s="917"/>
      <c r="N155" s="931"/>
      <c r="P155" s="758">
        <v>1</v>
      </c>
    </row>
    <row r="156" spans="1:18" ht="12.75" customHeight="1" x14ac:dyDescent="0.2">
      <c r="A156" s="728" t="s">
        <v>1943</v>
      </c>
      <c r="B156" s="611" t="s">
        <v>2890</v>
      </c>
      <c r="C156" s="753"/>
      <c r="D156" s="816" t="s">
        <v>1444</v>
      </c>
      <c r="E156" s="792">
        <v>378</v>
      </c>
      <c r="F156" s="792">
        <v>379</v>
      </c>
      <c r="H156" s="792"/>
      <c r="I156" s="813">
        <v>250</v>
      </c>
      <c r="J156" s="755">
        <v>233.25</v>
      </c>
      <c r="K156" s="917">
        <f t="shared" si="5"/>
        <v>16.75</v>
      </c>
      <c r="P156" s="758">
        <v>1</v>
      </c>
    </row>
    <row r="157" spans="1:18" ht="12.75" customHeight="1" x14ac:dyDescent="0.2">
      <c r="A157" s="728" t="s">
        <v>1944</v>
      </c>
      <c r="B157" s="611" t="s">
        <v>2890</v>
      </c>
      <c r="C157" s="753"/>
      <c r="D157" s="816" t="s">
        <v>1444</v>
      </c>
      <c r="E157" s="792">
        <v>378</v>
      </c>
      <c r="F157" s="792">
        <v>381</v>
      </c>
      <c r="H157" s="792"/>
      <c r="I157" s="813">
        <v>248.8</v>
      </c>
      <c r="J157" s="755">
        <v>246.89</v>
      </c>
      <c r="K157" s="917">
        <f t="shared" si="5"/>
        <v>1.910000000000025</v>
      </c>
      <c r="L157" s="917"/>
      <c r="M157" s="917"/>
      <c r="N157" s="931"/>
      <c r="P157" s="758">
        <v>1</v>
      </c>
    </row>
    <row r="158" spans="1:18" ht="12.75" customHeight="1" x14ac:dyDescent="0.2">
      <c r="A158" s="728" t="s">
        <v>1945</v>
      </c>
      <c r="B158" s="611" t="s">
        <v>2890</v>
      </c>
      <c r="C158" s="753" t="s">
        <v>1662</v>
      </c>
      <c r="D158" s="816" t="s">
        <v>1444</v>
      </c>
      <c r="E158" s="792">
        <v>378</v>
      </c>
      <c r="H158" s="792"/>
      <c r="I158" s="813">
        <v>154.9</v>
      </c>
      <c r="J158" s="755">
        <v>103.84</v>
      </c>
      <c r="K158" s="764">
        <f t="shared" si="5"/>
        <v>51.06</v>
      </c>
      <c r="N158" s="930" t="s">
        <v>2948</v>
      </c>
      <c r="P158" s="758">
        <v>1</v>
      </c>
    </row>
    <row r="159" spans="1:18" ht="12.75" customHeight="1" x14ac:dyDescent="0.2">
      <c r="A159" s="728" t="s">
        <v>1946</v>
      </c>
      <c r="B159" s="611" t="s">
        <v>2890</v>
      </c>
      <c r="C159" s="753" t="s">
        <v>2156</v>
      </c>
      <c r="D159" s="816" t="s">
        <v>1444</v>
      </c>
      <c r="E159" s="792">
        <v>378</v>
      </c>
      <c r="H159" s="792"/>
      <c r="I159" s="813">
        <v>253.4</v>
      </c>
      <c r="J159" s="755">
        <v>118.8</v>
      </c>
      <c r="K159" s="764">
        <f t="shared" si="5"/>
        <v>134.60000000000002</v>
      </c>
      <c r="N159" s="930" t="s">
        <v>2949</v>
      </c>
      <c r="P159" s="758">
        <v>1</v>
      </c>
    </row>
    <row r="160" spans="1:18" ht="12.75" customHeight="1" x14ac:dyDescent="0.2">
      <c r="A160" s="728" t="s">
        <v>1946</v>
      </c>
      <c r="B160" s="611" t="s">
        <v>2890</v>
      </c>
      <c r="C160" s="753"/>
      <c r="D160" s="816" t="s">
        <v>1444</v>
      </c>
      <c r="E160" s="792">
        <v>379</v>
      </c>
      <c r="H160" s="792"/>
      <c r="I160" s="813">
        <v>211.2</v>
      </c>
      <c r="J160" s="755">
        <v>123.74</v>
      </c>
      <c r="K160" s="764">
        <f t="shared" si="5"/>
        <v>87.46</v>
      </c>
      <c r="N160" s="930" t="s">
        <v>2928</v>
      </c>
      <c r="P160" s="758">
        <v>1</v>
      </c>
    </row>
    <row r="161" spans="1:18" ht="12.75" customHeight="1" x14ac:dyDescent="0.2">
      <c r="A161" s="728" t="s">
        <v>1947</v>
      </c>
      <c r="B161" s="611" t="s">
        <v>2890</v>
      </c>
      <c r="C161" s="753"/>
      <c r="D161" s="816" t="s">
        <v>2978</v>
      </c>
      <c r="E161" s="792">
        <v>379</v>
      </c>
      <c r="H161" s="792"/>
      <c r="I161" s="813">
        <v>251.2</v>
      </c>
      <c r="J161" s="755">
        <v>222.87</v>
      </c>
      <c r="K161" s="764">
        <f t="shared" si="5"/>
        <v>28.329999999999984</v>
      </c>
      <c r="N161" s="930" t="s">
        <v>2950</v>
      </c>
      <c r="P161" s="758">
        <v>1</v>
      </c>
    </row>
    <row r="162" spans="1:18" ht="12.75" customHeight="1" x14ac:dyDescent="0.2">
      <c r="A162" s="728" t="s">
        <v>1948</v>
      </c>
      <c r="B162" s="611" t="s">
        <v>2890</v>
      </c>
      <c r="C162" s="753" t="s">
        <v>2154</v>
      </c>
      <c r="D162" s="816" t="s">
        <v>1444</v>
      </c>
      <c r="E162" s="792">
        <v>378</v>
      </c>
      <c r="F162" s="792">
        <v>379</v>
      </c>
      <c r="H162" s="792"/>
      <c r="I162" s="813">
        <v>242</v>
      </c>
      <c r="J162" s="755">
        <v>222.66</v>
      </c>
      <c r="K162" s="917">
        <f t="shared" si="5"/>
        <v>19.340000000000003</v>
      </c>
      <c r="L162" s="917"/>
      <c r="M162" s="917"/>
      <c r="N162" s="931"/>
      <c r="P162" s="758">
        <v>1</v>
      </c>
    </row>
    <row r="163" spans="1:18" ht="12.75" customHeight="1" x14ac:dyDescent="0.2">
      <c r="A163" s="728" t="s">
        <v>1949</v>
      </c>
      <c r="B163" s="611" t="s">
        <v>2890</v>
      </c>
      <c r="C163" s="753" t="s">
        <v>1664</v>
      </c>
      <c r="D163" s="816" t="s">
        <v>1444</v>
      </c>
      <c r="E163" s="792">
        <v>378</v>
      </c>
      <c r="F163" s="792">
        <v>379</v>
      </c>
      <c r="H163" s="792"/>
      <c r="I163" s="813">
        <v>154.69999999999999</v>
      </c>
      <c r="J163" s="755">
        <v>152.05000000000001</v>
      </c>
      <c r="K163" s="917">
        <f t="shared" si="5"/>
        <v>2.6499999999999773</v>
      </c>
      <c r="L163" s="917"/>
      <c r="M163" s="917"/>
      <c r="N163" s="931"/>
      <c r="P163" s="758">
        <v>1</v>
      </c>
    </row>
    <row r="164" spans="1:18" x14ac:dyDescent="0.2">
      <c r="A164" s="728" t="s">
        <v>1949</v>
      </c>
      <c r="B164" s="611" t="s">
        <v>2890</v>
      </c>
      <c r="C164" s="753" t="s">
        <v>2888</v>
      </c>
      <c r="D164" s="816" t="s">
        <v>3168</v>
      </c>
      <c r="I164" s="813">
        <v>1950</v>
      </c>
      <c r="J164" s="755">
        <v>0</v>
      </c>
      <c r="K164" s="764">
        <f t="shared" si="5"/>
        <v>1950</v>
      </c>
      <c r="N164" s="930" t="s">
        <v>2920</v>
      </c>
      <c r="R164" s="758">
        <v>1</v>
      </c>
    </row>
    <row r="165" spans="1:18" ht="12.75" customHeight="1" x14ac:dyDescent="0.2">
      <c r="A165" s="728" t="s">
        <v>1950</v>
      </c>
      <c r="B165" s="611" t="s">
        <v>2890</v>
      </c>
      <c r="C165" s="753" t="s">
        <v>1663</v>
      </c>
      <c r="D165" s="816" t="s">
        <v>1444</v>
      </c>
      <c r="E165" s="792">
        <v>378</v>
      </c>
      <c r="H165" s="792"/>
      <c r="I165" s="813">
        <v>117.9</v>
      </c>
      <c r="J165" s="755">
        <v>110.89</v>
      </c>
      <c r="K165" s="917">
        <f t="shared" si="5"/>
        <v>7.0100000000000051</v>
      </c>
      <c r="L165" s="917"/>
      <c r="M165" s="917"/>
      <c r="N165" s="931"/>
      <c r="P165" s="758">
        <v>1</v>
      </c>
    </row>
    <row r="166" spans="1:18" ht="12.75" customHeight="1" x14ac:dyDescent="0.2">
      <c r="A166" s="728" t="s">
        <v>1950</v>
      </c>
      <c r="B166" s="611" t="s">
        <v>2890</v>
      </c>
      <c r="C166" s="753"/>
      <c r="D166" s="816" t="s">
        <v>1444</v>
      </c>
      <c r="E166" s="792">
        <v>379</v>
      </c>
      <c r="H166" s="792"/>
      <c r="I166" s="813">
        <v>257.2</v>
      </c>
      <c r="J166" s="755">
        <v>123.2</v>
      </c>
      <c r="K166" s="764">
        <f t="shared" si="5"/>
        <v>134</v>
      </c>
      <c r="N166" s="930" t="s">
        <v>2951</v>
      </c>
      <c r="P166" s="758">
        <v>1</v>
      </c>
    </row>
    <row r="167" spans="1:18" ht="12.75" customHeight="1" x14ac:dyDescent="0.2">
      <c r="A167" s="728" t="s">
        <v>1951</v>
      </c>
      <c r="B167" s="611" t="s">
        <v>2890</v>
      </c>
      <c r="C167" s="753"/>
      <c r="D167" s="816" t="s">
        <v>1444</v>
      </c>
      <c r="E167" s="792">
        <v>379</v>
      </c>
      <c r="H167" s="792"/>
      <c r="I167" s="813">
        <v>205.2</v>
      </c>
      <c r="J167" s="755">
        <v>72.16</v>
      </c>
      <c r="K167" s="764">
        <f t="shared" si="5"/>
        <v>133.04</v>
      </c>
      <c r="N167" s="941" t="s">
        <v>2967</v>
      </c>
      <c r="P167" s="758">
        <v>1</v>
      </c>
    </row>
    <row r="168" spans="1:18" ht="12.75" customHeight="1" x14ac:dyDescent="0.2">
      <c r="A168" s="728" t="s">
        <v>1952</v>
      </c>
      <c r="B168" s="611" t="s">
        <v>2890</v>
      </c>
      <c r="C168" s="753"/>
      <c r="D168" s="816" t="s">
        <v>1444</v>
      </c>
      <c r="E168" s="792">
        <v>380</v>
      </c>
      <c r="H168" s="792"/>
      <c r="I168" s="813">
        <v>140.9</v>
      </c>
      <c r="J168" s="755">
        <v>120.93</v>
      </c>
      <c r="K168" s="917">
        <f t="shared" si="5"/>
        <v>19.97</v>
      </c>
      <c r="L168" s="917">
        <v>0</v>
      </c>
      <c r="M168" s="917"/>
      <c r="N168" s="931"/>
      <c r="P168" s="758">
        <v>1</v>
      </c>
    </row>
    <row r="169" spans="1:18" ht="12.75" customHeight="1" x14ac:dyDescent="0.2">
      <c r="A169" s="728" t="s">
        <v>1952</v>
      </c>
      <c r="B169" s="611" t="s">
        <v>2890</v>
      </c>
      <c r="C169" s="753"/>
      <c r="D169" s="816" t="s">
        <v>1444</v>
      </c>
      <c r="E169" s="792">
        <v>385</v>
      </c>
      <c r="H169" s="792"/>
      <c r="I169" s="813">
        <v>129.1</v>
      </c>
      <c r="J169" s="755">
        <v>127.88</v>
      </c>
      <c r="K169" s="917">
        <f t="shared" si="5"/>
        <v>1.2199999999999989</v>
      </c>
      <c r="L169" s="917"/>
      <c r="M169" s="917"/>
      <c r="N169" s="931"/>
      <c r="P169" s="758">
        <v>1</v>
      </c>
    </row>
    <row r="170" spans="1:18" ht="12.75" customHeight="1" x14ac:dyDescent="0.2">
      <c r="A170" s="728" t="s">
        <v>1953</v>
      </c>
      <c r="B170" s="611" t="s">
        <v>2890</v>
      </c>
      <c r="D170" s="816" t="s">
        <v>2978</v>
      </c>
      <c r="E170" s="792">
        <v>380</v>
      </c>
      <c r="F170" s="792">
        <v>381</v>
      </c>
      <c r="H170" s="792"/>
      <c r="I170" s="813">
        <v>208.4</v>
      </c>
      <c r="J170" s="755">
        <v>179</v>
      </c>
      <c r="K170" s="917">
        <f t="shared" ref="K170:K201" si="6">I170-J170</f>
        <v>29.400000000000006</v>
      </c>
      <c r="L170" s="764">
        <v>0</v>
      </c>
      <c r="P170" s="758">
        <v>1</v>
      </c>
    </row>
    <row r="171" spans="1:18" ht="12.75" customHeight="1" x14ac:dyDescent="0.2">
      <c r="A171" s="728" t="s">
        <v>1954</v>
      </c>
      <c r="B171" s="611" t="s">
        <v>2890</v>
      </c>
      <c r="C171" s="753" t="s">
        <v>1868</v>
      </c>
      <c r="D171" s="816" t="s">
        <v>1444</v>
      </c>
      <c r="E171" s="792">
        <v>380</v>
      </c>
      <c r="F171" s="792">
        <v>381</v>
      </c>
      <c r="G171" s="792">
        <v>384</v>
      </c>
      <c r="H171" s="792"/>
      <c r="I171" s="813">
        <v>262.10000000000002</v>
      </c>
      <c r="J171" s="755">
        <v>250.17</v>
      </c>
      <c r="K171" s="917">
        <f t="shared" si="6"/>
        <v>11.930000000000035</v>
      </c>
      <c r="L171" s="917"/>
      <c r="M171" s="917"/>
      <c r="N171" s="931"/>
      <c r="P171" s="758">
        <v>1</v>
      </c>
    </row>
    <row r="172" spans="1:18" ht="12.75" customHeight="1" x14ac:dyDescent="0.2">
      <c r="A172" s="728" t="s">
        <v>1955</v>
      </c>
      <c r="B172" s="611" t="s">
        <v>2890</v>
      </c>
      <c r="C172" s="753" t="s">
        <v>1728</v>
      </c>
      <c r="D172" s="816" t="s">
        <v>1444</v>
      </c>
      <c r="E172" s="792">
        <v>377</v>
      </c>
      <c r="H172" s="792"/>
      <c r="I172" s="813">
        <v>24.2</v>
      </c>
      <c r="J172" s="755">
        <v>24.22</v>
      </c>
      <c r="K172" s="917">
        <f t="shared" si="6"/>
        <v>-1.9999999999999574E-2</v>
      </c>
      <c r="L172" s="917"/>
      <c r="M172" s="917"/>
      <c r="P172" s="758">
        <v>1</v>
      </c>
    </row>
    <row r="173" spans="1:18" ht="12.75" customHeight="1" x14ac:dyDescent="0.2">
      <c r="A173" s="728" t="s">
        <v>1955</v>
      </c>
      <c r="B173" s="611" t="s">
        <v>2890</v>
      </c>
      <c r="C173" s="753" t="s">
        <v>1728</v>
      </c>
      <c r="D173" s="816" t="s">
        <v>2978</v>
      </c>
      <c r="E173" s="792">
        <v>380</v>
      </c>
      <c r="F173" s="792">
        <v>381</v>
      </c>
      <c r="H173" s="792"/>
      <c r="I173" s="813">
        <v>285.8</v>
      </c>
      <c r="J173" s="755">
        <v>245.95</v>
      </c>
      <c r="K173" s="764">
        <f t="shared" si="6"/>
        <v>39.850000000000023</v>
      </c>
      <c r="N173" s="930" t="s">
        <v>2936</v>
      </c>
      <c r="P173" s="758">
        <v>1</v>
      </c>
    </row>
    <row r="174" spans="1:18" ht="12.75" customHeight="1" x14ac:dyDescent="0.2">
      <c r="A174" s="728" t="s">
        <v>1955</v>
      </c>
      <c r="B174" s="611" t="s">
        <v>2890</v>
      </c>
      <c r="C174" s="753"/>
      <c r="D174" s="816" t="s">
        <v>2978</v>
      </c>
      <c r="E174" s="792">
        <v>385</v>
      </c>
      <c r="H174" s="792"/>
      <c r="I174" s="813">
        <v>586.5</v>
      </c>
      <c r="J174" s="755">
        <v>69.55</v>
      </c>
      <c r="K174" s="764">
        <f t="shared" si="6"/>
        <v>516.95000000000005</v>
      </c>
      <c r="N174" s="930" t="s">
        <v>2952</v>
      </c>
      <c r="P174" s="758">
        <v>1</v>
      </c>
    </row>
    <row r="175" spans="1:18" ht="12.75" customHeight="1" x14ac:dyDescent="0.2">
      <c r="A175" s="728" t="s">
        <v>1956</v>
      </c>
      <c r="B175" s="611" t="s">
        <v>2890</v>
      </c>
      <c r="C175" s="753" t="s">
        <v>1736</v>
      </c>
      <c r="D175" s="816" t="s">
        <v>1444</v>
      </c>
      <c r="E175" s="792">
        <v>380</v>
      </c>
      <c r="F175" s="792">
        <v>381</v>
      </c>
      <c r="H175" s="792"/>
      <c r="I175" s="813">
        <v>152.4</v>
      </c>
      <c r="J175" s="755">
        <v>119.85</v>
      </c>
      <c r="K175" s="764">
        <f t="shared" si="6"/>
        <v>32.550000000000011</v>
      </c>
      <c r="L175" s="764">
        <v>28</v>
      </c>
      <c r="N175" s="941" t="s">
        <v>2883</v>
      </c>
      <c r="P175" s="758">
        <v>1</v>
      </c>
    </row>
    <row r="176" spans="1:18" ht="12.75" customHeight="1" x14ac:dyDescent="0.2">
      <c r="A176" s="728" t="s">
        <v>1956</v>
      </c>
      <c r="B176" s="611" t="s">
        <v>2890</v>
      </c>
      <c r="C176" s="753" t="s">
        <v>3210</v>
      </c>
      <c r="D176" s="816" t="s">
        <v>1444</v>
      </c>
      <c r="E176" s="792">
        <v>380</v>
      </c>
      <c r="F176" s="792">
        <v>381</v>
      </c>
      <c r="H176" s="792"/>
      <c r="I176" s="813">
        <v>258.7</v>
      </c>
      <c r="J176" s="755">
        <v>121.84</v>
      </c>
      <c r="K176" s="764">
        <f t="shared" si="6"/>
        <v>136.85999999999999</v>
      </c>
      <c r="L176" s="764">
        <v>131</v>
      </c>
      <c r="N176" s="930" t="s">
        <v>2953</v>
      </c>
      <c r="P176" s="758">
        <v>1</v>
      </c>
    </row>
    <row r="177" spans="1:16" ht="12.75" customHeight="1" x14ac:dyDescent="0.2">
      <c r="A177" s="728" t="s">
        <v>1957</v>
      </c>
      <c r="B177" s="611" t="s">
        <v>2890</v>
      </c>
      <c r="C177" s="753" t="s">
        <v>1701</v>
      </c>
      <c r="D177" s="816" t="s">
        <v>1444</v>
      </c>
      <c r="E177" s="792">
        <v>380</v>
      </c>
      <c r="F177" s="792">
        <v>384</v>
      </c>
      <c r="H177" s="792"/>
      <c r="I177" s="813">
        <v>199.8</v>
      </c>
      <c r="J177" s="755">
        <v>196.42</v>
      </c>
      <c r="K177" s="917">
        <f t="shared" si="6"/>
        <v>3.3800000000000239</v>
      </c>
      <c r="L177" s="917"/>
      <c r="M177" s="917"/>
      <c r="N177" s="931"/>
      <c r="P177" s="758">
        <v>1</v>
      </c>
    </row>
    <row r="178" spans="1:16" ht="12.75" customHeight="1" x14ac:dyDescent="0.2">
      <c r="A178" s="728" t="s">
        <v>1958</v>
      </c>
      <c r="B178" s="611" t="s">
        <v>2890</v>
      </c>
      <c r="C178" s="753" t="s">
        <v>1707</v>
      </c>
      <c r="D178" s="816" t="s">
        <v>1444</v>
      </c>
      <c r="E178" s="792">
        <v>380</v>
      </c>
      <c r="F178" s="792">
        <v>381</v>
      </c>
      <c r="H178" s="792"/>
      <c r="I178" s="813">
        <v>250.4</v>
      </c>
      <c r="J178" s="755">
        <v>232.58</v>
      </c>
      <c r="K178" s="917">
        <f t="shared" si="6"/>
        <v>17.819999999999993</v>
      </c>
      <c r="P178" s="758">
        <v>1</v>
      </c>
    </row>
    <row r="179" spans="1:16" ht="12.75" customHeight="1" x14ac:dyDescent="0.2">
      <c r="A179" s="728" t="s">
        <v>1959</v>
      </c>
      <c r="B179" s="611" t="s">
        <v>2890</v>
      </c>
      <c r="C179" s="753" t="s">
        <v>1726</v>
      </c>
      <c r="D179" s="816" t="s">
        <v>1444</v>
      </c>
      <c r="E179" s="792">
        <v>381</v>
      </c>
      <c r="F179" s="792">
        <v>383</v>
      </c>
      <c r="G179" s="792">
        <v>387</v>
      </c>
      <c r="H179" s="792"/>
      <c r="I179" s="813">
        <v>225.7</v>
      </c>
      <c r="J179" s="755">
        <v>193.79</v>
      </c>
      <c r="K179" s="764">
        <f t="shared" si="6"/>
        <v>31.909999999999997</v>
      </c>
      <c r="L179" s="764">
        <v>30</v>
      </c>
      <c r="N179" s="930" t="s">
        <v>2938</v>
      </c>
      <c r="P179" s="758">
        <v>1</v>
      </c>
    </row>
    <row r="180" spans="1:16" ht="12.75" customHeight="1" x14ac:dyDescent="0.2">
      <c r="A180" s="728" t="s">
        <v>1961</v>
      </c>
      <c r="B180" s="611" t="s">
        <v>2890</v>
      </c>
      <c r="C180" s="753"/>
      <c r="D180" s="816" t="s">
        <v>2978</v>
      </c>
      <c r="E180" s="792">
        <v>385</v>
      </c>
      <c r="F180" s="792">
        <v>387</v>
      </c>
      <c r="H180" s="792"/>
      <c r="I180" s="813">
        <v>300.8</v>
      </c>
      <c r="J180" s="755">
        <v>261.92</v>
      </c>
      <c r="K180" s="764">
        <f t="shared" si="6"/>
        <v>38.879999999999995</v>
      </c>
      <c r="L180" s="764">
        <v>31</v>
      </c>
      <c r="N180" s="930" t="s">
        <v>2955</v>
      </c>
      <c r="P180" s="758">
        <v>1</v>
      </c>
    </row>
    <row r="181" spans="1:16" ht="12.75" customHeight="1" x14ac:dyDescent="0.2">
      <c r="A181" s="728" t="s">
        <v>1962</v>
      </c>
      <c r="B181" s="611" t="s">
        <v>2890</v>
      </c>
      <c r="C181" s="753" t="s">
        <v>1665</v>
      </c>
      <c r="D181" s="816" t="s">
        <v>1444</v>
      </c>
      <c r="E181" s="792">
        <v>378</v>
      </c>
      <c r="H181" s="792"/>
      <c r="I181" s="813">
        <v>64.599999999999994</v>
      </c>
      <c r="J181" s="755">
        <v>64.180000000000007</v>
      </c>
      <c r="K181" s="917">
        <f t="shared" si="6"/>
        <v>0.41999999999998749</v>
      </c>
      <c r="L181" s="917"/>
      <c r="M181" s="917"/>
      <c r="N181" s="931"/>
      <c r="P181" s="758">
        <v>1</v>
      </c>
    </row>
    <row r="182" spans="1:16" ht="12.75" customHeight="1" x14ac:dyDescent="0.2">
      <c r="A182" s="728" t="s">
        <v>1962</v>
      </c>
      <c r="B182" s="611" t="s">
        <v>2890</v>
      </c>
      <c r="C182" s="753" t="s">
        <v>1665</v>
      </c>
      <c r="D182" s="816" t="s">
        <v>1444</v>
      </c>
      <c r="E182" s="792">
        <v>384</v>
      </c>
      <c r="H182" s="792"/>
      <c r="I182" s="813">
        <v>50.5</v>
      </c>
      <c r="J182" s="755">
        <v>48.84</v>
      </c>
      <c r="K182" s="930">
        <f t="shared" si="6"/>
        <v>1.6599999999999966</v>
      </c>
      <c r="L182" s="930"/>
      <c r="M182" s="930"/>
      <c r="N182" s="930" t="s">
        <v>2956</v>
      </c>
      <c r="P182" s="758">
        <v>1</v>
      </c>
    </row>
    <row r="183" spans="1:16" ht="12.75" customHeight="1" x14ac:dyDescent="0.2">
      <c r="A183" s="728" t="s">
        <v>1963</v>
      </c>
      <c r="B183" s="611" t="s">
        <v>2890</v>
      </c>
      <c r="C183" s="753" t="s">
        <v>1699</v>
      </c>
      <c r="D183" s="816" t="s">
        <v>1444</v>
      </c>
      <c r="E183" s="792">
        <v>380</v>
      </c>
      <c r="F183" s="792">
        <v>381</v>
      </c>
      <c r="H183" s="792"/>
      <c r="I183" s="813">
        <v>243.1</v>
      </c>
      <c r="J183" s="755">
        <v>226.23</v>
      </c>
      <c r="K183" s="917">
        <f t="shared" si="6"/>
        <v>16.870000000000005</v>
      </c>
      <c r="L183" s="917"/>
      <c r="M183" s="917"/>
      <c r="N183" s="931"/>
      <c r="P183" s="758">
        <v>1</v>
      </c>
    </row>
    <row r="184" spans="1:16" x14ac:dyDescent="0.2">
      <c r="A184" s="728" t="s">
        <v>1964</v>
      </c>
      <c r="B184" s="611" t="s">
        <v>2890</v>
      </c>
      <c r="C184" s="753"/>
      <c r="D184" s="816" t="s">
        <v>2976</v>
      </c>
      <c r="E184" s="792">
        <v>390</v>
      </c>
      <c r="F184" s="792">
        <v>391</v>
      </c>
      <c r="H184" s="792"/>
      <c r="I184" s="919">
        <v>471.6</v>
      </c>
      <c r="J184" s="755">
        <f>68+70.65</f>
        <v>138.65</v>
      </c>
      <c r="K184" s="764">
        <f t="shared" si="6"/>
        <v>332.95000000000005</v>
      </c>
      <c r="N184" s="930" t="s">
        <v>2936</v>
      </c>
      <c r="P184" s="758">
        <v>1</v>
      </c>
    </row>
    <row r="185" spans="1:16" x14ac:dyDescent="0.2">
      <c r="A185" s="728" t="s">
        <v>1964</v>
      </c>
      <c r="B185" s="611" t="s">
        <v>2890</v>
      </c>
      <c r="C185" s="753"/>
      <c r="D185" s="816" t="s">
        <v>2976</v>
      </c>
      <c r="E185" s="946" t="s">
        <v>224</v>
      </c>
      <c r="H185" s="792"/>
      <c r="I185" s="919">
        <v>150.1</v>
      </c>
      <c r="J185" s="755">
        <v>0</v>
      </c>
      <c r="K185" s="764">
        <f t="shared" si="6"/>
        <v>150.1</v>
      </c>
      <c r="N185" s="816" t="s">
        <v>2941</v>
      </c>
      <c r="P185" s="758">
        <v>1</v>
      </c>
    </row>
    <row r="186" spans="1:16" ht="12.75" customHeight="1" x14ac:dyDescent="0.2">
      <c r="A186" s="925" t="s">
        <v>1965</v>
      </c>
      <c r="B186" s="611" t="s">
        <v>2890</v>
      </c>
      <c r="C186" s="753" t="s">
        <v>1725</v>
      </c>
      <c r="D186" s="816" t="s">
        <v>1444</v>
      </c>
      <c r="E186" s="792">
        <v>381</v>
      </c>
      <c r="F186" s="792">
        <v>383</v>
      </c>
      <c r="G186" s="792">
        <v>384</v>
      </c>
      <c r="H186" s="792"/>
      <c r="I186" s="813">
        <v>227.3</v>
      </c>
      <c r="J186" s="755">
        <v>220.23</v>
      </c>
      <c r="K186" s="917">
        <f t="shared" si="6"/>
        <v>7.0700000000000216</v>
      </c>
      <c r="L186" s="917"/>
      <c r="M186" s="917"/>
      <c r="N186" s="931"/>
      <c r="P186" s="758">
        <v>1</v>
      </c>
    </row>
    <row r="187" spans="1:16" ht="12.75" customHeight="1" x14ac:dyDescent="0.2">
      <c r="A187" s="728" t="s">
        <v>1966</v>
      </c>
      <c r="B187" s="611" t="s">
        <v>2890</v>
      </c>
      <c r="C187" s="753" t="s">
        <v>1697</v>
      </c>
      <c r="D187" s="816" t="s">
        <v>1444</v>
      </c>
      <c r="E187" s="792">
        <v>380</v>
      </c>
      <c r="F187" s="792">
        <v>382</v>
      </c>
      <c r="H187" s="792"/>
      <c r="I187" s="813">
        <f>163.7</f>
        <v>163.69999999999999</v>
      </c>
      <c r="J187" s="755">
        <v>160.11000000000001</v>
      </c>
      <c r="K187" s="917">
        <f t="shared" si="6"/>
        <v>3.589999999999975</v>
      </c>
      <c r="L187" s="917"/>
      <c r="M187" s="917"/>
      <c r="N187" s="931"/>
      <c r="P187" s="758">
        <v>1</v>
      </c>
    </row>
    <row r="188" spans="1:16" ht="12.75" customHeight="1" x14ac:dyDescent="0.2">
      <c r="A188" s="728" t="s">
        <v>1966</v>
      </c>
      <c r="B188" s="611" t="s">
        <v>2890</v>
      </c>
      <c r="C188" s="753" t="s">
        <v>1697</v>
      </c>
      <c r="D188" s="816" t="s">
        <v>1444</v>
      </c>
      <c r="E188" s="792">
        <v>384</v>
      </c>
      <c r="H188" s="792"/>
      <c r="I188" s="813">
        <v>250.2</v>
      </c>
      <c r="J188" s="755">
        <v>131.49</v>
      </c>
      <c r="K188" s="764">
        <f t="shared" si="6"/>
        <v>118.70999999999998</v>
      </c>
      <c r="N188" s="930" t="s">
        <v>2956</v>
      </c>
      <c r="P188" s="758">
        <v>1</v>
      </c>
    </row>
    <row r="189" spans="1:16" ht="12.75" customHeight="1" x14ac:dyDescent="0.2">
      <c r="A189" s="925" t="s">
        <v>1967</v>
      </c>
      <c r="B189" s="611" t="s">
        <v>2890</v>
      </c>
      <c r="C189" s="753" t="s">
        <v>1877</v>
      </c>
      <c r="D189" s="816" t="s">
        <v>1444</v>
      </c>
      <c r="E189" s="792">
        <v>383</v>
      </c>
      <c r="H189" s="792"/>
      <c r="I189" s="813">
        <f>111.2</f>
        <v>111.2</v>
      </c>
      <c r="J189" s="755">
        <v>108.33</v>
      </c>
      <c r="K189" s="917">
        <f t="shared" si="6"/>
        <v>2.8700000000000045</v>
      </c>
      <c r="L189" s="917"/>
      <c r="M189" s="917"/>
      <c r="N189" s="931"/>
      <c r="P189" s="758">
        <v>1</v>
      </c>
    </row>
    <row r="190" spans="1:16" ht="12.75" customHeight="1" x14ac:dyDescent="0.2">
      <c r="A190" s="925" t="s">
        <v>1967</v>
      </c>
      <c r="B190" s="611" t="s">
        <v>2890</v>
      </c>
      <c r="C190" s="753" t="s">
        <v>1878</v>
      </c>
      <c r="D190" s="816" t="s">
        <v>1444</v>
      </c>
      <c r="E190" s="792">
        <v>383</v>
      </c>
      <c r="H190" s="792"/>
      <c r="I190" s="813">
        <f>61.4</f>
        <v>61.4</v>
      </c>
      <c r="J190" s="755">
        <v>60.13</v>
      </c>
      <c r="K190" s="917">
        <f t="shared" si="6"/>
        <v>1.269999999999996</v>
      </c>
      <c r="L190" s="917"/>
      <c r="M190" s="917"/>
      <c r="N190" s="931"/>
      <c r="P190" s="758">
        <v>1</v>
      </c>
    </row>
    <row r="191" spans="1:16" ht="12.75" customHeight="1" x14ac:dyDescent="0.2">
      <c r="A191" s="925" t="s">
        <v>1967</v>
      </c>
      <c r="B191" s="611" t="s">
        <v>2890</v>
      </c>
      <c r="C191" s="753" t="s">
        <v>1879</v>
      </c>
      <c r="D191" s="816" t="s">
        <v>1444</v>
      </c>
      <c r="E191" s="792">
        <v>383</v>
      </c>
      <c r="H191" s="792"/>
      <c r="I191" s="813">
        <f>64.4</f>
        <v>64.400000000000006</v>
      </c>
      <c r="J191" s="755">
        <v>62.04</v>
      </c>
      <c r="K191" s="917">
        <f t="shared" si="6"/>
        <v>2.3600000000000065</v>
      </c>
      <c r="L191" s="917"/>
      <c r="M191" s="917"/>
      <c r="N191" s="931"/>
      <c r="P191" s="758">
        <v>1</v>
      </c>
    </row>
    <row r="192" spans="1:16" ht="12.75" customHeight="1" x14ac:dyDescent="0.2">
      <c r="A192" s="925" t="s">
        <v>1967</v>
      </c>
      <c r="B192" s="611" t="s">
        <v>2890</v>
      </c>
      <c r="C192" s="753" t="s">
        <v>1876</v>
      </c>
      <c r="D192" s="816" t="s">
        <v>1444</v>
      </c>
      <c r="E192" s="792">
        <v>380</v>
      </c>
      <c r="F192" s="792">
        <v>381</v>
      </c>
      <c r="H192" s="792"/>
      <c r="I192" s="813">
        <f>319.1</f>
        <v>319.10000000000002</v>
      </c>
      <c r="J192" s="755">
        <v>134.46</v>
      </c>
      <c r="K192" s="764">
        <f t="shared" si="6"/>
        <v>184.64000000000001</v>
      </c>
      <c r="L192" s="764">
        <v>179</v>
      </c>
      <c r="N192" s="941" t="s">
        <v>2883</v>
      </c>
      <c r="P192" s="758">
        <v>1</v>
      </c>
    </row>
    <row r="193" spans="1:17" ht="25.5" x14ac:dyDescent="0.2">
      <c r="A193" s="925" t="s">
        <v>1968</v>
      </c>
      <c r="B193" s="611" t="s">
        <v>2890</v>
      </c>
      <c r="C193" s="753"/>
      <c r="D193" s="816" t="s">
        <v>3169</v>
      </c>
      <c r="E193" s="792">
        <v>387</v>
      </c>
      <c r="H193" s="792"/>
      <c r="I193" s="813">
        <v>466.5</v>
      </c>
      <c r="J193" s="755">
        <v>140.09</v>
      </c>
      <c r="K193" s="764">
        <f t="shared" si="6"/>
        <v>326.40999999999997</v>
      </c>
      <c r="N193" s="930" t="s">
        <v>3260</v>
      </c>
      <c r="Q193" s="758">
        <v>1</v>
      </c>
    </row>
    <row r="194" spans="1:17" ht="12.75" customHeight="1" x14ac:dyDescent="0.2">
      <c r="A194" s="925" t="s">
        <v>2791</v>
      </c>
      <c r="B194" s="611" t="s">
        <v>2890</v>
      </c>
      <c r="C194" s="753" t="s">
        <v>1874</v>
      </c>
      <c r="D194" s="816" t="s">
        <v>1444</v>
      </c>
      <c r="E194" s="792">
        <v>383</v>
      </c>
      <c r="H194" s="792"/>
      <c r="I194" s="813">
        <f>182.5</f>
        <v>182.5</v>
      </c>
      <c r="J194" s="755">
        <v>122.42</v>
      </c>
      <c r="K194" s="764">
        <f t="shared" si="6"/>
        <v>60.08</v>
      </c>
      <c r="L194" s="764">
        <v>57</v>
      </c>
      <c r="N194" s="930" t="s">
        <v>2957</v>
      </c>
      <c r="P194" s="758">
        <v>1</v>
      </c>
    </row>
    <row r="195" spans="1:17" ht="12.75" customHeight="1" x14ac:dyDescent="0.2">
      <c r="A195" s="925" t="s">
        <v>2792</v>
      </c>
      <c r="B195" s="611" t="s">
        <v>2890</v>
      </c>
      <c r="C195" s="753" t="s">
        <v>1873</v>
      </c>
      <c r="D195" s="816" t="s">
        <v>1444</v>
      </c>
      <c r="E195" s="792">
        <v>384</v>
      </c>
      <c r="H195" s="792"/>
      <c r="I195" s="813">
        <f>82.5</f>
        <v>82.5</v>
      </c>
      <c r="J195" s="755">
        <v>76.27</v>
      </c>
      <c r="K195" s="764">
        <f t="shared" si="6"/>
        <v>6.230000000000004</v>
      </c>
      <c r="L195" s="917"/>
      <c r="M195" s="917"/>
      <c r="N195" s="930" t="s">
        <v>2936</v>
      </c>
      <c r="P195" s="758">
        <v>1</v>
      </c>
    </row>
    <row r="196" spans="1:17" ht="12.75" customHeight="1" x14ac:dyDescent="0.2">
      <c r="A196" s="925" t="s">
        <v>2793</v>
      </c>
      <c r="B196" s="611" t="s">
        <v>2890</v>
      </c>
      <c r="C196" s="753" t="s">
        <v>1875</v>
      </c>
      <c r="D196" s="816" t="s">
        <v>1444</v>
      </c>
      <c r="E196" s="792">
        <v>385</v>
      </c>
      <c r="H196" s="792"/>
      <c r="I196" s="813">
        <v>30.4</v>
      </c>
      <c r="J196" s="755">
        <v>29.46</v>
      </c>
      <c r="K196" s="917">
        <f t="shared" si="6"/>
        <v>0.93999999999999773</v>
      </c>
      <c r="L196" s="917"/>
      <c r="M196" s="917"/>
      <c r="N196" s="931"/>
      <c r="P196" s="758">
        <v>1</v>
      </c>
    </row>
    <row r="197" spans="1:17" ht="12.75" customHeight="1" x14ac:dyDescent="0.2">
      <c r="A197" s="925" t="s">
        <v>2794</v>
      </c>
      <c r="B197" s="611" t="s">
        <v>2890</v>
      </c>
      <c r="C197" s="753" t="s">
        <v>1880</v>
      </c>
      <c r="D197" s="816" t="s">
        <v>1444</v>
      </c>
      <c r="E197" s="792">
        <v>385</v>
      </c>
      <c r="H197" s="792"/>
      <c r="I197" s="813">
        <v>158.6</v>
      </c>
      <c r="J197" s="755">
        <v>130.69999999999999</v>
      </c>
      <c r="K197" s="764">
        <f t="shared" si="6"/>
        <v>27.900000000000006</v>
      </c>
      <c r="L197" s="764">
        <v>26</v>
      </c>
      <c r="N197" s="930" t="s">
        <v>2938</v>
      </c>
      <c r="P197" s="758">
        <v>1</v>
      </c>
    </row>
    <row r="198" spans="1:17" ht="12.75" customHeight="1" x14ac:dyDescent="0.2">
      <c r="A198" s="925" t="s">
        <v>1970</v>
      </c>
      <c r="B198" s="611" t="s">
        <v>2890</v>
      </c>
      <c r="C198" s="753"/>
      <c r="D198" s="816" t="s">
        <v>2978</v>
      </c>
      <c r="E198" s="792">
        <v>385</v>
      </c>
      <c r="F198" s="792">
        <v>386</v>
      </c>
      <c r="H198" s="792"/>
      <c r="I198" s="813">
        <v>224.5</v>
      </c>
      <c r="J198" s="755">
        <v>210.77</v>
      </c>
      <c r="K198" s="917">
        <f t="shared" si="6"/>
        <v>13.72999999999999</v>
      </c>
      <c r="L198" s="917"/>
      <c r="M198" s="917"/>
      <c r="N198" s="931"/>
      <c r="P198" s="758">
        <v>1</v>
      </c>
    </row>
    <row r="199" spans="1:17" ht="12.75" customHeight="1" x14ac:dyDescent="0.2">
      <c r="A199" s="925" t="s">
        <v>1971</v>
      </c>
      <c r="B199" s="611" t="s">
        <v>2890</v>
      </c>
      <c r="C199" s="753"/>
      <c r="D199" s="816" t="s">
        <v>2978</v>
      </c>
      <c r="E199" s="792">
        <v>386</v>
      </c>
      <c r="F199" s="792">
        <v>387</v>
      </c>
      <c r="H199" s="792"/>
      <c r="I199" s="813">
        <v>442.9</v>
      </c>
      <c r="J199" s="755">
        <v>267.67</v>
      </c>
      <c r="K199" s="764">
        <f t="shared" si="6"/>
        <v>175.22999999999996</v>
      </c>
      <c r="L199" s="764">
        <v>168</v>
      </c>
      <c r="N199" s="930" t="s">
        <v>2958</v>
      </c>
      <c r="P199" s="758">
        <v>1</v>
      </c>
    </row>
    <row r="200" spans="1:17" ht="12.75" customHeight="1" x14ac:dyDescent="0.2">
      <c r="A200" s="925" t="s">
        <v>1972</v>
      </c>
      <c r="B200" s="611" t="s">
        <v>2890</v>
      </c>
      <c r="C200" s="753" t="s">
        <v>1732</v>
      </c>
      <c r="D200" s="816" t="s">
        <v>1444</v>
      </c>
      <c r="E200" s="792">
        <v>383</v>
      </c>
      <c r="F200" s="792">
        <v>384</v>
      </c>
      <c r="H200" s="792"/>
      <c r="I200" s="813">
        <v>210.7</v>
      </c>
      <c r="J200" s="755">
        <v>207.38</v>
      </c>
      <c r="K200" s="917">
        <f t="shared" si="6"/>
        <v>3.3199999999999932</v>
      </c>
      <c r="L200" s="917"/>
      <c r="M200" s="917"/>
      <c r="N200" s="931"/>
      <c r="P200" s="758">
        <v>1</v>
      </c>
    </row>
    <row r="201" spans="1:17" ht="12.75" customHeight="1" x14ac:dyDescent="0.2">
      <c r="A201" s="925" t="s">
        <v>1973</v>
      </c>
      <c r="B201" s="611" t="s">
        <v>2890</v>
      </c>
      <c r="C201" s="753" t="s">
        <v>2177</v>
      </c>
      <c r="D201" s="816" t="s">
        <v>1444</v>
      </c>
      <c r="E201" s="792">
        <v>383</v>
      </c>
      <c r="I201" s="813">
        <v>180.4</v>
      </c>
      <c r="J201" s="755">
        <v>113.16</v>
      </c>
      <c r="K201" s="764">
        <f t="shared" si="6"/>
        <v>67.240000000000009</v>
      </c>
      <c r="L201" s="764">
        <v>62</v>
      </c>
      <c r="N201" s="930" t="s">
        <v>2957</v>
      </c>
      <c r="P201" s="758">
        <v>1</v>
      </c>
    </row>
    <row r="202" spans="1:17" ht="12.75" customHeight="1" x14ac:dyDescent="0.2">
      <c r="A202" s="925" t="s">
        <v>1973</v>
      </c>
      <c r="B202" s="611" t="s">
        <v>2890</v>
      </c>
      <c r="C202" s="753" t="s">
        <v>2177</v>
      </c>
      <c r="D202" s="816" t="s">
        <v>1444</v>
      </c>
      <c r="E202" s="792">
        <v>384</v>
      </c>
      <c r="F202" s="792">
        <v>385</v>
      </c>
      <c r="I202" s="813">
        <f>299.6</f>
        <v>299.60000000000002</v>
      </c>
      <c r="J202" s="755">
        <v>238.14</v>
      </c>
      <c r="K202" s="764">
        <f t="shared" ref="K202:K233" si="7">I202-J202</f>
        <v>61.460000000000036</v>
      </c>
      <c r="N202" s="930" t="s">
        <v>2957</v>
      </c>
      <c r="P202" s="758">
        <v>1</v>
      </c>
    </row>
    <row r="203" spans="1:17" ht="12.75" customHeight="1" x14ac:dyDescent="0.2">
      <c r="A203" s="925" t="s">
        <v>1974</v>
      </c>
      <c r="B203" s="611" t="s">
        <v>2890</v>
      </c>
      <c r="C203" s="753" t="s">
        <v>2175</v>
      </c>
      <c r="D203" s="816" t="s">
        <v>1444</v>
      </c>
      <c r="E203" s="792">
        <v>383</v>
      </c>
      <c r="I203" s="813">
        <f>186.7</f>
        <v>186.7</v>
      </c>
      <c r="J203" s="755">
        <v>118.76</v>
      </c>
      <c r="K203" s="764">
        <f t="shared" si="7"/>
        <v>67.939999999999984</v>
      </c>
      <c r="N203" s="930" t="s">
        <v>2924</v>
      </c>
      <c r="P203" s="758">
        <v>1</v>
      </c>
    </row>
    <row r="204" spans="1:17" ht="12.75" customHeight="1" x14ac:dyDescent="0.2">
      <c r="A204" s="925" t="s">
        <v>1974</v>
      </c>
      <c r="B204" s="611" t="s">
        <v>2890</v>
      </c>
      <c r="C204" s="753" t="s">
        <v>2176</v>
      </c>
      <c r="D204" s="816" t="s">
        <v>1444</v>
      </c>
      <c r="E204" s="792">
        <v>384</v>
      </c>
      <c r="F204" s="792">
        <v>385</v>
      </c>
      <c r="I204" s="813">
        <f>189.8</f>
        <v>189.8</v>
      </c>
      <c r="J204" s="755">
        <v>196.16</v>
      </c>
      <c r="K204" s="917">
        <f t="shared" si="7"/>
        <v>-6.3599999999999852</v>
      </c>
      <c r="L204" s="917"/>
      <c r="M204" s="917"/>
      <c r="N204" s="931"/>
      <c r="P204" s="758">
        <v>1</v>
      </c>
    </row>
    <row r="205" spans="1:17" ht="12.75" customHeight="1" x14ac:dyDescent="0.2">
      <c r="A205" s="925" t="s">
        <v>1869</v>
      </c>
      <c r="B205" s="611" t="s">
        <v>2890</v>
      </c>
      <c r="C205" s="753" t="s">
        <v>2094</v>
      </c>
      <c r="D205" s="816" t="s">
        <v>2978</v>
      </c>
      <c r="E205" s="792">
        <v>385</v>
      </c>
      <c r="F205" s="792">
        <v>386</v>
      </c>
      <c r="G205" s="792">
        <v>387</v>
      </c>
      <c r="H205" s="792"/>
      <c r="I205" s="813">
        <v>265</v>
      </c>
      <c r="J205" s="755">
        <v>256.7</v>
      </c>
      <c r="K205" s="917">
        <f t="shared" si="7"/>
        <v>8.3000000000000114</v>
      </c>
      <c r="L205" s="917">
        <v>0</v>
      </c>
      <c r="M205" s="917"/>
      <c r="N205" s="931"/>
      <c r="P205" s="758">
        <v>1</v>
      </c>
    </row>
    <row r="206" spans="1:17" ht="12.75" customHeight="1" x14ac:dyDescent="0.2">
      <c r="A206" s="925" t="s">
        <v>1870</v>
      </c>
      <c r="B206" s="611" t="s">
        <v>2890</v>
      </c>
      <c r="C206" s="753" t="s">
        <v>1861</v>
      </c>
      <c r="D206" s="816" t="s">
        <v>2978</v>
      </c>
      <c r="E206" s="792">
        <v>385</v>
      </c>
      <c r="F206" s="792">
        <v>386</v>
      </c>
      <c r="G206" s="792">
        <v>387</v>
      </c>
      <c r="H206" s="792"/>
      <c r="I206" s="813">
        <v>468.7</v>
      </c>
      <c r="J206" s="755">
        <v>275.67</v>
      </c>
      <c r="K206" s="764">
        <f t="shared" si="7"/>
        <v>193.02999999999997</v>
      </c>
      <c r="L206" s="764">
        <v>181</v>
      </c>
      <c r="N206" s="930" t="s">
        <v>2991</v>
      </c>
      <c r="P206" s="758">
        <v>1</v>
      </c>
    </row>
    <row r="207" spans="1:17" ht="12.75" customHeight="1" x14ac:dyDescent="0.2">
      <c r="A207" s="925" t="s">
        <v>1865</v>
      </c>
      <c r="B207" s="611" t="s">
        <v>2890</v>
      </c>
      <c r="C207" s="753" t="s">
        <v>1821</v>
      </c>
      <c r="D207" s="816" t="s">
        <v>1444</v>
      </c>
      <c r="E207" s="792">
        <v>384</v>
      </c>
      <c r="H207" s="792"/>
      <c r="I207" s="813">
        <v>234.3</v>
      </c>
      <c r="J207" s="755">
        <v>118.2</v>
      </c>
      <c r="K207" s="764">
        <f t="shared" si="7"/>
        <v>116.10000000000001</v>
      </c>
      <c r="N207" s="930" t="s">
        <v>2939</v>
      </c>
      <c r="P207" s="758">
        <v>1</v>
      </c>
    </row>
    <row r="208" spans="1:17" ht="12.75" customHeight="1" x14ac:dyDescent="0.2">
      <c r="A208" s="925" t="s">
        <v>1863</v>
      </c>
      <c r="B208" s="611" t="s">
        <v>2890</v>
      </c>
      <c r="C208" s="753" t="s">
        <v>1825</v>
      </c>
      <c r="D208" s="816" t="s">
        <v>1444</v>
      </c>
      <c r="E208" s="792">
        <v>384</v>
      </c>
      <c r="F208" s="792">
        <v>397</v>
      </c>
      <c r="H208" s="792"/>
      <c r="I208" s="813">
        <v>259.60000000000002</v>
      </c>
      <c r="J208" s="755">
        <f>152.52+36.2</f>
        <v>188.72000000000003</v>
      </c>
      <c r="K208" s="764">
        <f t="shared" si="7"/>
        <v>70.88</v>
      </c>
      <c r="L208" s="764">
        <v>64</v>
      </c>
      <c r="N208" s="930" t="s">
        <v>2928</v>
      </c>
      <c r="P208" s="758">
        <v>1</v>
      </c>
    </row>
    <row r="209" spans="1:18" ht="12.75" customHeight="1" x14ac:dyDescent="0.2">
      <c r="A209" s="925" t="s">
        <v>1866</v>
      </c>
      <c r="B209" s="611" t="s">
        <v>2890</v>
      </c>
      <c r="C209" s="753" t="s">
        <v>1731</v>
      </c>
      <c r="D209" s="816" t="s">
        <v>1444</v>
      </c>
      <c r="E209" s="792">
        <v>383</v>
      </c>
      <c r="H209" s="792"/>
      <c r="I209" s="813">
        <v>116.2</v>
      </c>
      <c r="J209" s="755">
        <v>111.34</v>
      </c>
      <c r="K209" s="917">
        <f t="shared" si="7"/>
        <v>4.8599999999999994</v>
      </c>
      <c r="L209" s="917">
        <v>0</v>
      </c>
      <c r="M209" s="917"/>
      <c r="N209" s="931"/>
      <c r="P209" s="758">
        <v>1</v>
      </c>
    </row>
    <row r="210" spans="1:18" ht="12.75" customHeight="1" x14ac:dyDescent="0.2">
      <c r="A210" s="728" t="s">
        <v>1867</v>
      </c>
      <c r="B210" s="611" t="s">
        <v>2890</v>
      </c>
      <c r="C210" s="753" t="s">
        <v>1839</v>
      </c>
      <c r="D210" s="816" t="s">
        <v>1444</v>
      </c>
      <c r="E210" s="792">
        <v>384</v>
      </c>
      <c r="H210" s="792"/>
      <c r="I210" s="813">
        <v>94.3</v>
      </c>
      <c r="J210" s="755">
        <v>67.260000000000005</v>
      </c>
      <c r="K210" s="764">
        <f t="shared" si="7"/>
        <v>27.039999999999992</v>
      </c>
      <c r="P210" s="758">
        <v>1</v>
      </c>
    </row>
    <row r="211" spans="1:18" ht="12.75" customHeight="1" x14ac:dyDescent="0.2">
      <c r="A211" s="728" t="s">
        <v>1977</v>
      </c>
      <c r="B211" s="611" t="s">
        <v>2890</v>
      </c>
      <c r="C211" s="753" t="s">
        <v>1826</v>
      </c>
      <c r="D211" s="816" t="s">
        <v>1444</v>
      </c>
      <c r="E211" s="792">
        <v>384</v>
      </c>
      <c r="F211" s="792">
        <v>391</v>
      </c>
      <c r="H211" s="792"/>
      <c r="I211" s="813">
        <v>218.1</v>
      </c>
      <c r="J211" s="755">
        <f>119.83+59.99+31.19</f>
        <v>211.01</v>
      </c>
      <c r="K211" s="917">
        <f t="shared" si="7"/>
        <v>7.0900000000000034</v>
      </c>
      <c r="L211" s="917">
        <v>0</v>
      </c>
      <c r="M211" s="917"/>
      <c r="N211" s="931"/>
      <c r="P211" s="758">
        <v>1</v>
      </c>
    </row>
    <row r="212" spans="1:18" ht="12.75" customHeight="1" x14ac:dyDescent="0.2">
      <c r="A212" s="728" t="s">
        <v>1978</v>
      </c>
      <c r="B212" s="611" t="s">
        <v>2890</v>
      </c>
      <c r="C212" s="753" t="s">
        <v>1698</v>
      </c>
      <c r="D212" s="816" t="s">
        <v>1444</v>
      </c>
      <c r="E212" s="792">
        <v>384</v>
      </c>
      <c r="H212" s="792"/>
      <c r="I212" s="813">
        <v>101.4</v>
      </c>
      <c r="J212" s="755">
        <v>100.48</v>
      </c>
      <c r="K212" s="917">
        <f t="shared" si="7"/>
        <v>0.92000000000000171</v>
      </c>
      <c r="L212" s="917"/>
      <c r="M212" s="917"/>
      <c r="N212" s="931"/>
      <c r="P212" s="758">
        <v>1</v>
      </c>
    </row>
    <row r="213" spans="1:18" ht="12.75" customHeight="1" x14ac:dyDescent="0.2">
      <c r="A213" s="728" t="s">
        <v>1978</v>
      </c>
      <c r="B213" s="611" t="s">
        <v>2890</v>
      </c>
      <c r="C213" s="753" t="s">
        <v>1698</v>
      </c>
      <c r="D213" s="816" t="s">
        <v>3170</v>
      </c>
      <c r="E213" s="792">
        <v>385</v>
      </c>
      <c r="H213" s="792"/>
      <c r="I213" s="813">
        <v>279.10000000000002</v>
      </c>
      <c r="J213" s="755">
        <v>96.95</v>
      </c>
      <c r="K213" s="764">
        <f t="shared" si="7"/>
        <v>182.15000000000003</v>
      </c>
      <c r="N213" s="930" t="s">
        <v>2928</v>
      </c>
      <c r="R213" s="758">
        <v>1</v>
      </c>
    </row>
    <row r="214" spans="1:18" ht="12.75" customHeight="1" x14ac:dyDescent="0.2">
      <c r="A214" s="728" t="s">
        <v>1979</v>
      </c>
      <c r="B214" s="611" t="s">
        <v>2890</v>
      </c>
      <c r="C214" s="753" t="s">
        <v>1841</v>
      </c>
      <c r="D214" s="816" t="s">
        <v>1444</v>
      </c>
      <c r="E214" s="792">
        <v>383</v>
      </c>
      <c r="F214" s="792">
        <v>384</v>
      </c>
      <c r="H214" s="792"/>
      <c r="I214" s="813">
        <f>100.6</f>
        <v>100.6</v>
      </c>
      <c r="J214" s="755">
        <v>91.56</v>
      </c>
      <c r="K214" s="917">
        <f t="shared" si="7"/>
        <v>9.039999999999992</v>
      </c>
      <c r="L214" s="917">
        <v>0</v>
      </c>
      <c r="M214" s="917"/>
      <c r="N214" s="931"/>
      <c r="P214" s="758">
        <v>1</v>
      </c>
    </row>
    <row r="215" spans="1:18" ht="12.75" customHeight="1" x14ac:dyDescent="0.2">
      <c r="A215" s="728" t="s">
        <v>1979</v>
      </c>
      <c r="B215" s="611" t="s">
        <v>2890</v>
      </c>
      <c r="C215" s="753" t="s">
        <v>1842</v>
      </c>
      <c r="D215" s="816" t="s">
        <v>1444</v>
      </c>
      <c r="E215" s="792">
        <v>383</v>
      </c>
      <c r="F215" s="792">
        <v>384</v>
      </c>
      <c r="H215" s="792"/>
      <c r="I215" s="813">
        <f>114.7</f>
        <v>114.7</v>
      </c>
      <c r="J215" s="755">
        <v>111.39</v>
      </c>
      <c r="K215" s="917">
        <f t="shared" si="7"/>
        <v>3.3100000000000023</v>
      </c>
      <c r="L215" s="917">
        <v>0</v>
      </c>
      <c r="M215" s="917"/>
      <c r="N215" s="931"/>
      <c r="P215" s="758">
        <v>1</v>
      </c>
    </row>
    <row r="216" spans="1:18" ht="12.75" customHeight="1" x14ac:dyDescent="0.2">
      <c r="A216" s="728" t="s">
        <v>1979</v>
      </c>
      <c r="B216" s="611" t="s">
        <v>2890</v>
      </c>
      <c r="C216" s="753" t="s">
        <v>1843</v>
      </c>
      <c r="D216" s="816" t="s">
        <v>1444</v>
      </c>
      <c r="E216" s="792">
        <v>384</v>
      </c>
      <c r="H216" s="792"/>
      <c r="I216" s="813">
        <v>51</v>
      </c>
      <c r="J216" s="755">
        <v>49.98</v>
      </c>
      <c r="K216" s="917">
        <f t="shared" si="7"/>
        <v>1.0200000000000031</v>
      </c>
      <c r="L216" s="917">
        <v>0</v>
      </c>
      <c r="M216" s="917"/>
      <c r="N216" s="931"/>
      <c r="P216" s="758">
        <v>1</v>
      </c>
    </row>
    <row r="217" spans="1:18" ht="12.75" customHeight="1" x14ac:dyDescent="0.2">
      <c r="A217" s="728" t="s">
        <v>1987</v>
      </c>
      <c r="B217" s="611" t="s">
        <v>2890</v>
      </c>
      <c r="C217" s="753"/>
      <c r="D217" s="816" t="s">
        <v>3175</v>
      </c>
      <c r="E217" s="792">
        <v>394</v>
      </c>
      <c r="H217" s="792"/>
      <c r="I217" s="813">
        <v>152.1</v>
      </c>
      <c r="J217" s="755">
        <v>39.119999999999997</v>
      </c>
      <c r="K217" s="764">
        <f t="shared" si="7"/>
        <v>112.97999999999999</v>
      </c>
      <c r="L217" s="764">
        <v>106</v>
      </c>
      <c r="N217" s="930" t="s">
        <v>2940</v>
      </c>
      <c r="R217" s="758">
        <v>1</v>
      </c>
    </row>
    <row r="218" spans="1:18" x14ac:dyDescent="0.2">
      <c r="A218" s="728" t="s">
        <v>1989</v>
      </c>
      <c r="B218" s="611" t="s">
        <v>2890</v>
      </c>
      <c r="C218" s="753"/>
      <c r="D218" s="816" t="s">
        <v>3174</v>
      </c>
      <c r="E218" s="792">
        <v>389</v>
      </c>
      <c r="F218" s="792">
        <v>390</v>
      </c>
      <c r="H218" s="792"/>
      <c r="I218" s="813">
        <v>749</v>
      </c>
      <c r="J218" s="755">
        <f>100.13+103.14</f>
        <v>203.26999999999998</v>
      </c>
      <c r="K218" s="764">
        <f t="shared" si="7"/>
        <v>545.73</v>
      </c>
      <c r="N218" s="930" t="s">
        <v>2992</v>
      </c>
      <c r="Q218" s="758">
        <v>1</v>
      </c>
    </row>
    <row r="219" spans="1:18" ht="12.75" customHeight="1" x14ac:dyDescent="0.2">
      <c r="A219" s="728" t="s">
        <v>1989</v>
      </c>
      <c r="B219" s="611" t="s">
        <v>2890</v>
      </c>
      <c r="C219" s="753"/>
      <c r="D219" s="816" t="s">
        <v>2978</v>
      </c>
      <c r="H219" s="792"/>
      <c r="I219" s="813">
        <v>237.8</v>
      </c>
      <c r="J219" s="755">
        <v>0</v>
      </c>
      <c r="K219" s="764">
        <f t="shared" si="7"/>
        <v>237.8</v>
      </c>
      <c r="N219" s="930" t="s">
        <v>2993</v>
      </c>
      <c r="P219" s="758">
        <v>1</v>
      </c>
    </row>
    <row r="220" spans="1:18" ht="12.75" customHeight="1" x14ac:dyDescent="0.2">
      <c r="A220" s="728" t="s">
        <v>1980</v>
      </c>
      <c r="B220" s="611" t="s">
        <v>2890</v>
      </c>
      <c r="C220" s="753" t="s">
        <v>1872</v>
      </c>
      <c r="D220" s="816" t="s">
        <v>1444</v>
      </c>
      <c r="E220" s="792">
        <v>385</v>
      </c>
      <c r="F220" s="792">
        <v>386</v>
      </c>
      <c r="H220" s="792"/>
      <c r="I220" s="813">
        <v>246.5</v>
      </c>
      <c r="J220" s="755">
        <v>149.13999999999999</v>
      </c>
      <c r="K220" s="764">
        <f t="shared" si="7"/>
        <v>97.360000000000014</v>
      </c>
      <c r="N220" s="930" t="s">
        <v>2994</v>
      </c>
      <c r="P220" s="758">
        <v>1</v>
      </c>
    </row>
    <row r="221" spans="1:18" ht="12.75" customHeight="1" x14ac:dyDescent="0.2">
      <c r="A221" s="728" t="s">
        <v>1992</v>
      </c>
      <c r="B221" s="611" t="s">
        <v>2890</v>
      </c>
      <c r="C221" s="753"/>
      <c r="D221" s="816" t="s">
        <v>1444</v>
      </c>
      <c r="E221" s="792">
        <v>390</v>
      </c>
      <c r="F221" s="792">
        <v>391</v>
      </c>
      <c r="H221" s="792"/>
      <c r="I221" s="813">
        <v>252.3</v>
      </c>
      <c r="J221" s="755">
        <f>102.64+65.3</f>
        <v>167.94</v>
      </c>
      <c r="K221" s="764">
        <f t="shared" si="7"/>
        <v>84.360000000000014</v>
      </c>
      <c r="L221" s="764">
        <v>79</v>
      </c>
      <c r="N221" s="930" t="s">
        <v>2995</v>
      </c>
      <c r="P221" s="758">
        <v>1</v>
      </c>
    </row>
    <row r="222" spans="1:18" ht="12.75" customHeight="1" x14ac:dyDescent="0.2">
      <c r="A222" s="728" t="s">
        <v>1986</v>
      </c>
      <c r="B222" s="611" t="s">
        <v>2890</v>
      </c>
      <c r="C222" s="753" t="s">
        <v>1981</v>
      </c>
      <c r="D222" s="816" t="s">
        <v>1444</v>
      </c>
      <c r="E222" s="792">
        <v>386</v>
      </c>
      <c r="F222" s="792">
        <v>387</v>
      </c>
      <c r="H222" s="792"/>
      <c r="I222" s="813">
        <v>202.9</v>
      </c>
      <c r="J222" s="755">
        <v>190.83</v>
      </c>
      <c r="K222" s="917">
        <f t="shared" si="7"/>
        <v>12.069999999999993</v>
      </c>
      <c r="L222" s="917">
        <v>0</v>
      </c>
      <c r="M222" s="917"/>
      <c r="N222" s="931"/>
      <c r="P222" s="758">
        <v>1</v>
      </c>
    </row>
    <row r="223" spans="1:18" x14ac:dyDescent="0.2">
      <c r="A223" s="611" t="s">
        <v>1999</v>
      </c>
      <c r="B223" s="611" t="s">
        <v>2890</v>
      </c>
      <c r="D223" s="816" t="s">
        <v>3058</v>
      </c>
      <c r="E223" s="792">
        <v>387</v>
      </c>
      <c r="I223" s="919">
        <v>467.8</v>
      </c>
      <c r="J223" s="755">
        <v>202.96</v>
      </c>
      <c r="K223" s="764">
        <f t="shared" si="7"/>
        <v>264.84000000000003</v>
      </c>
      <c r="L223" s="764">
        <v>258</v>
      </c>
      <c r="N223" s="930" t="s">
        <v>2996</v>
      </c>
      <c r="Q223" s="758">
        <v>1</v>
      </c>
    </row>
    <row r="224" spans="1:18" ht="12.75" customHeight="1" x14ac:dyDescent="0.2">
      <c r="A224" s="728" t="s">
        <v>1998</v>
      </c>
      <c r="B224" s="611" t="s">
        <v>2890</v>
      </c>
      <c r="C224" s="753" t="s">
        <v>1993</v>
      </c>
      <c r="D224" s="816" t="s">
        <v>1444</v>
      </c>
      <c r="E224" s="792">
        <v>386</v>
      </c>
      <c r="F224" s="792">
        <v>387</v>
      </c>
      <c r="H224" s="792"/>
      <c r="I224" s="813">
        <v>208.4</v>
      </c>
      <c r="J224" s="755">
        <v>195.16</v>
      </c>
      <c r="K224" s="917">
        <f t="shared" si="7"/>
        <v>13.240000000000009</v>
      </c>
      <c r="L224" s="917">
        <v>0</v>
      </c>
      <c r="M224" s="917"/>
      <c r="N224" s="931"/>
      <c r="P224" s="758">
        <v>1</v>
      </c>
    </row>
    <row r="225" spans="1:18" ht="12.75" customHeight="1" x14ac:dyDescent="0.2">
      <c r="A225" s="728" t="s">
        <v>2008</v>
      </c>
      <c r="B225" s="611" t="s">
        <v>2890</v>
      </c>
      <c r="C225" s="753"/>
      <c r="D225" s="816" t="s">
        <v>2978</v>
      </c>
      <c r="E225" s="792">
        <v>394</v>
      </c>
      <c r="F225" s="792">
        <v>295</v>
      </c>
      <c r="G225" s="792">
        <v>397</v>
      </c>
      <c r="H225" s="792"/>
      <c r="I225" s="813">
        <v>756.6</v>
      </c>
      <c r="J225" s="755">
        <f>70.68+66.68+60.49</f>
        <v>197.85000000000002</v>
      </c>
      <c r="K225" s="764">
        <f t="shared" si="7"/>
        <v>558.75</v>
      </c>
      <c r="L225" s="764">
        <v>547</v>
      </c>
      <c r="N225" s="930" t="s">
        <v>2997</v>
      </c>
      <c r="P225" s="758">
        <v>1</v>
      </c>
    </row>
    <row r="226" spans="1:18" ht="12.75" customHeight="1" x14ac:dyDescent="0.2">
      <c r="A226" s="728" t="s">
        <v>2009</v>
      </c>
      <c r="B226" s="611" t="s">
        <v>2890</v>
      </c>
      <c r="C226" s="753"/>
      <c r="D226" s="816" t="s">
        <v>2978</v>
      </c>
      <c r="E226" s="792">
        <v>295</v>
      </c>
      <c r="F226" s="792">
        <v>397</v>
      </c>
      <c r="H226" s="792"/>
      <c r="I226" s="813">
        <v>607.5</v>
      </c>
      <c r="J226" s="755">
        <f>67.66+59.56</f>
        <v>127.22</v>
      </c>
      <c r="K226" s="764">
        <f t="shared" si="7"/>
        <v>480.28</v>
      </c>
      <c r="L226" s="764">
        <v>465</v>
      </c>
      <c r="N226" s="930" t="s">
        <v>2998</v>
      </c>
      <c r="P226" s="758">
        <v>1</v>
      </c>
    </row>
    <row r="227" spans="1:18" ht="12.75" customHeight="1" x14ac:dyDescent="0.2">
      <c r="A227" s="728" t="s">
        <v>2009</v>
      </c>
      <c r="B227" s="611" t="s">
        <v>2890</v>
      </c>
      <c r="C227" s="753"/>
      <c r="D227" s="816" t="s">
        <v>2096</v>
      </c>
      <c r="E227" s="792">
        <v>392</v>
      </c>
      <c r="F227" s="792">
        <v>393</v>
      </c>
      <c r="H227" s="792"/>
      <c r="I227" s="813">
        <v>181.7</v>
      </c>
      <c r="J227" s="755">
        <f>122.95+52.61</f>
        <v>175.56</v>
      </c>
      <c r="K227" s="917">
        <f t="shared" si="7"/>
        <v>6.1399999999999864</v>
      </c>
      <c r="L227" s="917">
        <v>0</v>
      </c>
      <c r="M227" s="917"/>
      <c r="N227" s="931"/>
      <c r="R227" s="758">
        <v>1</v>
      </c>
    </row>
    <row r="228" spans="1:18" ht="12.75" customHeight="1" x14ac:dyDescent="0.2">
      <c r="A228" s="728" t="s">
        <v>2005</v>
      </c>
      <c r="B228" s="611" t="s">
        <v>2890</v>
      </c>
      <c r="C228" s="753" t="s">
        <v>1983</v>
      </c>
      <c r="D228" s="816" t="s">
        <v>1444</v>
      </c>
      <c r="E228" s="792">
        <v>386</v>
      </c>
      <c r="F228" s="792">
        <v>387</v>
      </c>
      <c r="H228" s="792"/>
      <c r="I228" s="813">
        <v>209.1</v>
      </c>
      <c r="J228" s="755">
        <v>206.33</v>
      </c>
      <c r="K228" s="917">
        <f t="shared" si="7"/>
        <v>2.7699999999999818</v>
      </c>
      <c r="L228" s="917">
        <v>0</v>
      </c>
      <c r="M228" s="917"/>
      <c r="N228" s="931"/>
      <c r="P228" s="758">
        <v>1</v>
      </c>
    </row>
    <row r="229" spans="1:18" ht="12.75" customHeight="1" x14ac:dyDescent="0.2">
      <c r="A229" s="611" t="s">
        <v>2004</v>
      </c>
      <c r="B229" s="611" t="s">
        <v>2890</v>
      </c>
      <c r="C229" s="816" t="s">
        <v>2092</v>
      </c>
      <c r="D229" s="816" t="s">
        <v>1444</v>
      </c>
      <c r="E229" s="792">
        <v>387</v>
      </c>
      <c r="F229" s="792">
        <v>388</v>
      </c>
      <c r="I229" s="919">
        <v>166.3</v>
      </c>
      <c r="J229" s="755">
        <v>160.08000000000001</v>
      </c>
      <c r="K229" s="917">
        <f t="shared" si="7"/>
        <v>6.2199999999999989</v>
      </c>
      <c r="L229" s="917"/>
      <c r="M229" s="917"/>
      <c r="N229" s="931"/>
      <c r="P229" s="758">
        <v>1</v>
      </c>
    </row>
    <row r="230" spans="1:18" ht="12.75" customHeight="1" x14ac:dyDescent="0.2">
      <c r="A230" s="611" t="s">
        <v>2003</v>
      </c>
      <c r="B230" s="611" t="s">
        <v>2890</v>
      </c>
      <c r="C230" s="816" t="s">
        <v>2093</v>
      </c>
      <c r="D230" s="816" t="s">
        <v>1444</v>
      </c>
      <c r="E230" s="792">
        <v>388</v>
      </c>
      <c r="I230" s="919">
        <f>65.1</f>
        <v>65.099999999999994</v>
      </c>
      <c r="J230" s="755">
        <f>63.74</f>
        <v>63.74</v>
      </c>
      <c r="K230" s="917">
        <f t="shared" si="7"/>
        <v>1.3599999999999923</v>
      </c>
      <c r="L230" s="917"/>
      <c r="M230" s="917"/>
      <c r="N230" s="931"/>
      <c r="P230" s="758">
        <v>1</v>
      </c>
    </row>
    <row r="231" spans="1:18" ht="12.75" customHeight="1" x14ac:dyDescent="0.2">
      <c r="A231" s="611" t="s">
        <v>2003</v>
      </c>
      <c r="B231" s="611" t="s">
        <v>2890</v>
      </c>
      <c r="D231" s="816" t="s">
        <v>1444</v>
      </c>
      <c r="E231" s="792">
        <v>390</v>
      </c>
      <c r="I231" s="919">
        <v>141.9</v>
      </c>
      <c r="J231" s="755">
        <f>96.33</f>
        <v>96.33</v>
      </c>
      <c r="K231" s="764">
        <f t="shared" si="7"/>
        <v>45.570000000000007</v>
      </c>
      <c r="L231" s="764">
        <v>43</v>
      </c>
      <c r="N231" s="930" t="s">
        <v>2936</v>
      </c>
      <c r="P231" s="758">
        <v>1</v>
      </c>
    </row>
    <row r="232" spans="1:18" ht="12.75" customHeight="1" x14ac:dyDescent="0.2">
      <c r="A232" s="611" t="s">
        <v>2011</v>
      </c>
      <c r="B232" s="611" t="s">
        <v>2890</v>
      </c>
      <c r="C232" s="753" t="s">
        <v>2165</v>
      </c>
      <c r="D232" s="816" t="s">
        <v>1444</v>
      </c>
      <c r="E232" s="792">
        <v>389</v>
      </c>
      <c r="I232" s="919">
        <v>1858.9</v>
      </c>
      <c r="J232" s="755">
        <v>66.95</v>
      </c>
      <c r="K232" s="764">
        <f t="shared" si="7"/>
        <v>1791.95</v>
      </c>
      <c r="N232" s="930" t="s">
        <v>2999</v>
      </c>
      <c r="P232" s="758">
        <v>1</v>
      </c>
    </row>
    <row r="233" spans="1:18" ht="12.75" customHeight="1" x14ac:dyDescent="0.2">
      <c r="A233" s="611" t="s">
        <v>2011</v>
      </c>
      <c r="B233" s="611" t="s">
        <v>2890</v>
      </c>
      <c r="C233" s="753" t="s">
        <v>2166</v>
      </c>
      <c r="D233" s="816" t="s">
        <v>1444</v>
      </c>
      <c r="E233" s="792">
        <v>389</v>
      </c>
      <c r="I233" s="919">
        <v>2212.1999999999998</v>
      </c>
      <c r="J233" s="755">
        <v>67.66</v>
      </c>
      <c r="K233" s="764">
        <f t="shared" si="7"/>
        <v>2144.54</v>
      </c>
      <c r="N233" s="930" t="s">
        <v>2999</v>
      </c>
      <c r="P233" s="758">
        <v>1</v>
      </c>
    </row>
    <row r="234" spans="1:18" ht="12.75" customHeight="1" x14ac:dyDescent="0.2">
      <c r="A234" s="611" t="s">
        <v>2011</v>
      </c>
      <c r="B234" s="611" t="s">
        <v>2890</v>
      </c>
      <c r="C234" s="753" t="s">
        <v>2167</v>
      </c>
      <c r="D234" s="816" t="s">
        <v>1444</v>
      </c>
      <c r="E234" s="792">
        <v>389</v>
      </c>
      <c r="I234" s="919">
        <v>2801.5</v>
      </c>
      <c r="J234" s="755">
        <v>67.37</v>
      </c>
      <c r="K234" s="764">
        <f t="shared" ref="K234:K265" si="8">I234-J234</f>
        <v>2734.13</v>
      </c>
      <c r="N234" s="930" t="s">
        <v>2999</v>
      </c>
      <c r="P234" s="758">
        <v>1</v>
      </c>
    </row>
    <row r="235" spans="1:18" ht="12.75" customHeight="1" x14ac:dyDescent="0.2">
      <c r="A235" s="611" t="s">
        <v>2011</v>
      </c>
      <c r="B235" s="611" t="s">
        <v>2890</v>
      </c>
      <c r="C235" s="753" t="s">
        <v>756</v>
      </c>
      <c r="D235" s="816" t="s">
        <v>1444</v>
      </c>
      <c r="E235" s="792">
        <v>389</v>
      </c>
      <c r="I235" s="919">
        <v>3365.3</v>
      </c>
      <c r="J235" s="755">
        <v>68.33</v>
      </c>
      <c r="K235" s="764">
        <f t="shared" si="8"/>
        <v>3296.9700000000003</v>
      </c>
      <c r="N235" s="930" t="s">
        <v>2999</v>
      </c>
      <c r="P235" s="758">
        <v>1</v>
      </c>
    </row>
    <row r="236" spans="1:18" ht="12.75" customHeight="1" x14ac:dyDescent="0.2">
      <c r="A236" s="611" t="s">
        <v>2011</v>
      </c>
      <c r="B236" s="611" t="s">
        <v>2890</v>
      </c>
      <c r="C236" s="753" t="s">
        <v>2001</v>
      </c>
      <c r="D236" s="816" t="s">
        <v>1444</v>
      </c>
      <c r="E236" s="792">
        <v>387</v>
      </c>
      <c r="I236" s="919">
        <v>201.3</v>
      </c>
      <c r="J236" s="755">
        <v>196.25</v>
      </c>
      <c r="K236" s="917">
        <f t="shared" si="8"/>
        <v>5.0500000000000114</v>
      </c>
      <c r="L236" s="917">
        <v>0</v>
      </c>
      <c r="M236" s="917"/>
      <c r="N236" s="931"/>
      <c r="P236" s="758">
        <v>1</v>
      </c>
    </row>
    <row r="237" spans="1:18" x14ac:dyDescent="0.2">
      <c r="A237" s="611" t="s">
        <v>2017</v>
      </c>
      <c r="B237" s="611" t="s">
        <v>2890</v>
      </c>
      <c r="D237" s="816" t="s">
        <v>3176</v>
      </c>
      <c r="E237" s="792">
        <v>389</v>
      </c>
      <c r="I237" s="919">
        <v>217.4</v>
      </c>
      <c r="J237" s="755">
        <v>136.04</v>
      </c>
      <c r="K237" s="764">
        <f t="shared" si="8"/>
        <v>81.360000000000014</v>
      </c>
      <c r="N237" s="930" t="s">
        <v>2928</v>
      </c>
      <c r="R237" s="758">
        <v>1</v>
      </c>
    </row>
    <row r="238" spans="1:18" x14ac:dyDescent="0.2">
      <c r="A238" s="611" t="s">
        <v>2018</v>
      </c>
      <c r="B238" s="611" t="s">
        <v>2890</v>
      </c>
      <c r="D238" s="816" t="s">
        <v>3176</v>
      </c>
      <c r="E238" s="792">
        <v>389</v>
      </c>
      <c r="I238" s="919">
        <v>244.6</v>
      </c>
      <c r="J238" s="755">
        <v>143.16</v>
      </c>
      <c r="K238" s="764">
        <f t="shared" si="8"/>
        <v>101.44</v>
      </c>
      <c r="N238" s="930" t="s">
        <v>2928</v>
      </c>
      <c r="R238" s="758">
        <v>1</v>
      </c>
    </row>
    <row r="239" spans="1:18" x14ac:dyDescent="0.2">
      <c r="A239" s="611" t="s">
        <v>2033</v>
      </c>
      <c r="B239" s="611" t="s">
        <v>2890</v>
      </c>
      <c r="D239" s="816" t="s">
        <v>3177</v>
      </c>
      <c r="E239" s="792">
        <v>390</v>
      </c>
      <c r="F239" s="792">
        <v>391</v>
      </c>
      <c r="I239" s="919">
        <v>778.8</v>
      </c>
      <c r="J239" s="755">
        <f>99.85+34.67</f>
        <v>134.51999999999998</v>
      </c>
      <c r="K239" s="764">
        <f t="shared" si="8"/>
        <v>644.28</v>
      </c>
      <c r="L239" s="764" t="s">
        <v>3030</v>
      </c>
      <c r="N239" s="930" t="s">
        <v>3000</v>
      </c>
      <c r="R239" s="758">
        <v>1</v>
      </c>
    </row>
    <row r="240" spans="1:18" ht="63.75" x14ac:dyDescent="0.2">
      <c r="A240" s="611" t="s">
        <v>2095</v>
      </c>
      <c r="B240" s="611" t="s">
        <v>2890</v>
      </c>
      <c r="C240" s="753" t="s">
        <v>2096</v>
      </c>
      <c r="D240" s="816" t="s">
        <v>2096</v>
      </c>
      <c r="E240" s="792">
        <v>386</v>
      </c>
      <c r="F240" s="792">
        <v>388</v>
      </c>
      <c r="I240" s="919">
        <v>1048</v>
      </c>
      <c r="J240" s="755">
        <v>201.95</v>
      </c>
      <c r="K240" s="926">
        <f t="shared" si="8"/>
        <v>846.05</v>
      </c>
      <c r="N240" s="930" t="s">
        <v>3612</v>
      </c>
      <c r="R240" s="758">
        <v>1</v>
      </c>
    </row>
    <row r="241" spans="1:18" ht="12.75" customHeight="1" x14ac:dyDescent="0.2">
      <c r="A241" s="728" t="s">
        <v>2021</v>
      </c>
      <c r="B241" s="611" t="s">
        <v>2890</v>
      </c>
      <c r="C241" s="753" t="s">
        <v>2124</v>
      </c>
      <c r="D241" s="816" t="s">
        <v>1444</v>
      </c>
      <c r="E241" s="792">
        <v>386</v>
      </c>
      <c r="F241" s="792">
        <v>388</v>
      </c>
      <c r="H241" s="792"/>
      <c r="I241" s="813">
        <v>213.1</v>
      </c>
      <c r="J241" s="755">
        <v>206.19</v>
      </c>
      <c r="K241" s="917">
        <f t="shared" si="8"/>
        <v>6.9099999999999966</v>
      </c>
      <c r="L241" s="917"/>
      <c r="M241" s="917"/>
      <c r="N241" s="931"/>
      <c r="P241" s="758">
        <v>1</v>
      </c>
    </row>
    <row r="242" spans="1:18" ht="12.75" customHeight="1" x14ac:dyDescent="0.2">
      <c r="A242" s="611" t="s">
        <v>2027</v>
      </c>
      <c r="B242" s="611" t="s">
        <v>2890</v>
      </c>
      <c r="D242" s="816" t="s">
        <v>3178</v>
      </c>
      <c r="E242" s="792">
        <v>389</v>
      </c>
      <c r="F242" s="792">
        <v>390</v>
      </c>
      <c r="I242" s="919">
        <v>400.8</v>
      </c>
      <c r="J242" s="755">
        <f>131.84+96.02</f>
        <v>227.86</v>
      </c>
      <c r="K242" s="764">
        <f t="shared" si="8"/>
        <v>172.94</v>
      </c>
      <c r="N242" s="930" t="s">
        <v>3001</v>
      </c>
      <c r="R242" s="758">
        <v>1</v>
      </c>
    </row>
    <row r="243" spans="1:18" ht="12.75" customHeight="1" x14ac:dyDescent="0.2">
      <c r="A243" s="611" t="s">
        <v>2032</v>
      </c>
      <c r="B243" s="611" t="s">
        <v>2890</v>
      </c>
      <c r="C243" s="816" t="s">
        <v>2088</v>
      </c>
      <c r="D243" s="816" t="s">
        <v>1444</v>
      </c>
      <c r="E243" s="792">
        <v>389</v>
      </c>
      <c r="I243" s="919">
        <v>178.6</v>
      </c>
      <c r="J243" s="755">
        <v>169.25</v>
      </c>
      <c r="K243" s="917">
        <f t="shared" si="8"/>
        <v>9.3499999999999943</v>
      </c>
      <c r="L243" s="917">
        <v>0</v>
      </c>
      <c r="M243" s="917"/>
      <c r="N243" s="931"/>
      <c r="P243" s="758">
        <v>1</v>
      </c>
    </row>
    <row r="244" spans="1:18" ht="12.75" customHeight="1" x14ac:dyDescent="0.2">
      <c r="A244" s="611" t="s">
        <v>2104</v>
      </c>
      <c r="B244" s="611" t="s">
        <v>2890</v>
      </c>
      <c r="D244" s="816" t="s">
        <v>2978</v>
      </c>
      <c r="E244" s="792">
        <v>394</v>
      </c>
      <c r="I244" s="919">
        <v>268</v>
      </c>
      <c r="J244" s="755">
        <v>69.040000000000006</v>
      </c>
      <c r="K244" s="764">
        <f t="shared" si="8"/>
        <v>198.95999999999998</v>
      </c>
      <c r="L244" s="764">
        <v>198</v>
      </c>
      <c r="N244" s="930" t="s">
        <v>2956</v>
      </c>
      <c r="P244" s="758">
        <v>1</v>
      </c>
    </row>
    <row r="245" spans="1:18" x14ac:dyDescent="0.2">
      <c r="A245" s="611" t="s">
        <v>2108</v>
      </c>
      <c r="B245" s="611" t="s">
        <v>2890</v>
      </c>
      <c r="D245" s="816" t="s">
        <v>3177</v>
      </c>
      <c r="E245" s="792">
        <v>390</v>
      </c>
      <c r="I245" s="919">
        <v>504.8</v>
      </c>
      <c r="J245" s="755">
        <v>96.84</v>
      </c>
      <c r="K245" s="764">
        <f t="shared" si="8"/>
        <v>407.96000000000004</v>
      </c>
      <c r="R245" s="758">
        <v>1</v>
      </c>
    </row>
    <row r="246" spans="1:18" ht="12.75" customHeight="1" x14ac:dyDescent="0.2">
      <c r="A246" s="611" t="s">
        <v>2103</v>
      </c>
      <c r="B246" s="611" t="s">
        <v>2890</v>
      </c>
      <c r="C246" s="816" t="s">
        <v>2016</v>
      </c>
      <c r="D246" s="816" t="s">
        <v>1444</v>
      </c>
      <c r="E246" s="792">
        <v>387</v>
      </c>
      <c r="F246" s="792">
        <v>388</v>
      </c>
      <c r="G246" s="792">
        <v>390</v>
      </c>
      <c r="I246" s="611">
        <f>268.9</f>
        <v>268.89999999999998</v>
      </c>
      <c r="J246" s="755">
        <f>102.5+89.98</f>
        <v>192.48000000000002</v>
      </c>
      <c r="K246" s="764">
        <f t="shared" si="8"/>
        <v>76.419999999999959</v>
      </c>
      <c r="N246" s="930" t="s">
        <v>2928</v>
      </c>
      <c r="P246" s="758">
        <v>1</v>
      </c>
    </row>
    <row r="247" spans="1:18" ht="12.75" customHeight="1" x14ac:dyDescent="0.2">
      <c r="A247" s="611" t="s">
        <v>2103</v>
      </c>
      <c r="B247" s="611" t="s">
        <v>2890</v>
      </c>
      <c r="C247" s="753" t="s">
        <v>2016</v>
      </c>
      <c r="D247" s="816" t="s">
        <v>1444</v>
      </c>
      <c r="E247" s="792">
        <v>387</v>
      </c>
      <c r="H247" s="792"/>
      <c r="I247" s="813">
        <v>95.4</v>
      </c>
      <c r="J247" s="755">
        <v>88.33</v>
      </c>
      <c r="K247" s="917">
        <f t="shared" si="8"/>
        <v>7.0700000000000074</v>
      </c>
      <c r="L247" s="917">
        <v>0</v>
      </c>
      <c r="M247" s="917"/>
      <c r="N247" s="931"/>
      <c r="P247" s="758">
        <v>1</v>
      </c>
    </row>
    <row r="248" spans="1:18" ht="12.75" customHeight="1" x14ac:dyDescent="0.2">
      <c r="A248" s="611" t="s">
        <v>2103</v>
      </c>
      <c r="B248" s="611" t="s">
        <v>2890</v>
      </c>
      <c r="C248" s="753" t="s">
        <v>2090</v>
      </c>
      <c r="D248" s="816" t="s">
        <v>1444</v>
      </c>
      <c r="E248" s="792">
        <v>389</v>
      </c>
      <c r="H248" s="792"/>
      <c r="I248" s="813">
        <v>146.69999999999999</v>
      </c>
      <c r="J248" s="755">
        <v>101.11</v>
      </c>
      <c r="K248" s="764">
        <f t="shared" si="8"/>
        <v>45.589999999999989</v>
      </c>
      <c r="N248" s="930" t="s">
        <v>3221</v>
      </c>
      <c r="P248" s="758">
        <v>1</v>
      </c>
    </row>
    <row r="249" spans="1:18" ht="12.75" customHeight="1" x14ac:dyDescent="0.2">
      <c r="A249" s="611" t="s">
        <v>2103</v>
      </c>
      <c r="B249" s="611" t="s">
        <v>2890</v>
      </c>
      <c r="C249" s="753" t="s">
        <v>2091</v>
      </c>
      <c r="D249" s="816" t="s">
        <v>1444</v>
      </c>
      <c r="E249" s="792">
        <v>389</v>
      </c>
      <c r="H249" s="792"/>
      <c r="I249" s="813">
        <v>114.2</v>
      </c>
      <c r="J249" s="755">
        <v>110.34</v>
      </c>
      <c r="K249" s="917">
        <f t="shared" si="8"/>
        <v>3.8599999999999994</v>
      </c>
      <c r="L249" s="917">
        <v>0</v>
      </c>
      <c r="M249" s="917"/>
      <c r="N249" s="931"/>
      <c r="P249" s="758">
        <v>1</v>
      </c>
    </row>
    <row r="250" spans="1:18" ht="12.75" customHeight="1" x14ac:dyDescent="0.2">
      <c r="A250" s="611" t="s">
        <v>2111</v>
      </c>
      <c r="B250" s="611" t="s">
        <v>2890</v>
      </c>
      <c r="C250" s="753" t="s">
        <v>3034</v>
      </c>
      <c r="D250" s="816" t="s">
        <v>1444</v>
      </c>
      <c r="E250" s="792">
        <v>388</v>
      </c>
      <c r="F250" s="792">
        <v>391</v>
      </c>
      <c r="H250" s="792"/>
      <c r="I250" s="813">
        <v>183.8</v>
      </c>
      <c r="J250" s="755">
        <f>100.2+55.81</f>
        <v>156.01</v>
      </c>
      <c r="K250" s="917">
        <f t="shared" si="8"/>
        <v>27.79000000000002</v>
      </c>
      <c r="L250" s="917">
        <v>0</v>
      </c>
      <c r="M250" s="917"/>
      <c r="N250" s="931"/>
      <c r="P250" s="758">
        <v>1</v>
      </c>
    </row>
    <row r="251" spans="1:18" ht="12.75" customHeight="1" x14ac:dyDescent="0.2">
      <c r="A251" s="611" t="s">
        <v>2111</v>
      </c>
      <c r="B251" s="611" t="s">
        <v>2890</v>
      </c>
      <c r="C251" s="753" t="s">
        <v>3036</v>
      </c>
      <c r="D251" s="816" t="s">
        <v>1444</v>
      </c>
      <c r="E251" s="792">
        <v>388</v>
      </c>
      <c r="F251" s="792">
        <v>391</v>
      </c>
      <c r="H251" s="792"/>
      <c r="I251" s="813">
        <v>207.7</v>
      </c>
      <c r="J251" s="755">
        <f>99.91+68.1</f>
        <v>168.01</v>
      </c>
      <c r="K251" s="764">
        <f t="shared" si="8"/>
        <v>39.69</v>
      </c>
      <c r="L251" s="764">
        <v>31</v>
      </c>
      <c r="N251" s="930" t="s">
        <v>3002</v>
      </c>
      <c r="P251" s="758">
        <v>1</v>
      </c>
    </row>
    <row r="252" spans="1:18" x14ac:dyDescent="0.2">
      <c r="A252" s="611" t="s">
        <v>2111</v>
      </c>
      <c r="B252" s="611" t="s">
        <v>2890</v>
      </c>
      <c r="D252" s="816" t="s">
        <v>2976</v>
      </c>
      <c r="E252" s="792">
        <v>390</v>
      </c>
      <c r="F252" s="792">
        <v>391</v>
      </c>
      <c r="I252" s="919">
        <v>428.6</v>
      </c>
      <c r="J252" s="755">
        <f>97.98+102.29</f>
        <v>200.27</v>
      </c>
      <c r="K252" s="764">
        <f t="shared" si="8"/>
        <v>228.33</v>
      </c>
      <c r="L252" s="764">
        <v>217</v>
      </c>
      <c r="N252" s="930" t="s">
        <v>2948</v>
      </c>
      <c r="P252" s="758">
        <v>1</v>
      </c>
    </row>
    <row r="253" spans="1:18" x14ac:dyDescent="0.2">
      <c r="A253" s="611" t="s">
        <v>2111</v>
      </c>
      <c r="B253" s="611" t="s">
        <v>2890</v>
      </c>
      <c r="D253" s="816" t="s">
        <v>2976</v>
      </c>
      <c r="I253" s="919">
        <v>176.8</v>
      </c>
      <c r="J253" s="755">
        <v>0</v>
      </c>
      <c r="K253" s="764">
        <f t="shared" si="8"/>
        <v>176.8</v>
      </c>
      <c r="L253" s="764">
        <v>177</v>
      </c>
      <c r="N253" s="930" t="s">
        <v>2948</v>
      </c>
      <c r="P253" s="758">
        <v>1</v>
      </c>
    </row>
    <row r="254" spans="1:18" ht="12.75" customHeight="1" x14ac:dyDescent="0.2">
      <c r="A254" s="611" t="s">
        <v>2110</v>
      </c>
      <c r="B254" s="611" t="s">
        <v>2890</v>
      </c>
      <c r="D254" s="816" t="s">
        <v>1444</v>
      </c>
      <c r="E254" s="792">
        <v>390</v>
      </c>
      <c r="I254" s="919">
        <v>101.9</v>
      </c>
      <c r="J254" s="755">
        <v>100.14</v>
      </c>
      <c r="K254" s="917">
        <f t="shared" si="8"/>
        <v>1.7600000000000051</v>
      </c>
      <c r="L254" s="917">
        <v>0</v>
      </c>
      <c r="M254" s="917"/>
      <c r="N254" s="931"/>
      <c r="P254" s="758">
        <v>1</v>
      </c>
    </row>
    <row r="255" spans="1:18" ht="12.75" customHeight="1" x14ac:dyDescent="0.2">
      <c r="A255" s="611" t="s">
        <v>2109</v>
      </c>
      <c r="B255" s="611" t="s">
        <v>2890</v>
      </c>
      <c r="C255" s="816" t="s">
        <v>2024</v>
      </c>
      <c r="D255" s="816" t="s">
        <v>2980</v>
      </c>
      <c r="E255" s="792">
        <v>388</v>
      </c>
      <c r="I255" s="919">
        <v>290.5</v>
      </c>
      <c r="J255" s="755">
        <v>137.13</v>
      </c>
      <c r="K255" s="764">
        <f t="shared" si="8"/>
        <v>153.37</v>
      </c>
      <c r="N255" s="930" t="s">
        <v>3002</v>
      </c>
      <c r="P255" s="758">
        <v>1</v>
      </c>
    </row>
    <row r="256" spans="1:18" ht="12.75" customHeight="1" x14ac:dyDescent="0.2">
      <c r="A256" s="611" t="s">
        <v>2116</v>
      </c>
      <c r="B256" s="611" t="s">
        <v>2890</v>
      </c>
      <c r="D256" s="816" t="s">
        <v>2976</v>
      </c>
      <c r="E256" s="792">
        <v>390</v>
      </c>
      <c r="I256" s="919">
        <v>466.2</v>
      </c>
      <c r="J256" s="755">
        <v>43.52</v>
      </c>
      <c r="K256" s="764">
        <f t="shared" si="8"/>
        <v>422.68</v>
      </c>
      <c r="P256" s="758">
        <v>1</v>
      </c>
    </row>
    <row r="257" spans="1:18" ht="12.75" customHeight="1" x14ac:dyDescent="0.2">
      <c r="A257" s="611" t="s">
        <v>2119</v>
      </c>
      <c r="B257" s="611" t="s">
        <v>2890</v>
      </c>
      <c r="D257" s="816" t="s">
        <v>3179</v>
      </c>
      <c r="E257" s="792">
        <v>392</v>
      </c>
      <c r="I257" s="919">
        <v>284.89999999999998</v>
      </c>
      <c r="J257" s="755">
        <v>134.66999999999999</v>
      </c>
      <c r="K257" s="764">
        <f t="shared" si="8"/>
        <v>150.22999999999999</v>
      </c>
      <c r="N257" s="930" t="s">
        <v>3003</v>
      </c>
      <c r="R257" s="758">
        <v>1</v>
      </c>
    </row>
    <row r="258" spans="1:18" ht="12.75" customHeight="1" x14ac:dyDescent="0.2">
      <c r="A258" s="611" t="s">
        <v>2119</v>
      </c>
      <c r="B258" s="611" t="s">
        <v>2890</v>
      </c>
      <c r="D258" s="816" t="s">
        <v>2978</v>
      </c>
      <c r="I258" s="919">
        <v>370.3</v>
      </c>
      <c r="J258" s="755">
        <v>0</v>
      </c>
      <c r="K258" s="764">
        <f t="shared" si="8"/>
        <v>370.3</v>
      </c>
      <c r="L258" s="764">
        <v>370</v>
      </c>
      <c r="P258" s="758">
        <v>1</v>
      </c>
    </row>
    <row r="259" spans="1:18" x14ac:dyDescent="0.2">
      <c r="A259" s="611" t="s">
        <v>2183</v>
      </c>
      <c r="B259" s="611" t="s">
        <v>2890</v>
      </c>
      <c r="D259" s="816" t="s">
        <v>3169</v>
      </c>
      <c r="E259" s="792">
        <v>391</v>
      </c>
      <c r="F259" s="792">
        <v>392</v>
      </c>
      <c r="I259" s="813">
        <v>224.94</v>
      </c>
      <c r="J259" s="755">
        <f>139.51+74.37</f>
        <v>213.88</v>
      </c>
      <c r="K259" s="917">
        <f t="shared" si="8"/>
        <v>11.060000000000002</v>
      </c>
      <c r="L259" s="917">
        <v>0</v>
      </c>
      <c r="M259" s="917"/>
      <c r="N259" s="931"/>
      <c r="Q259" s="758">
        <v>1</v>
      </c>
    </row>
    <row r="260" spans="1:18" ht="12.75" customHeight="1" x14ac:dyDescent="0.2">
      <c r="A260" s="611" t="s">
        <v>2120</v>
      </c>
      <c r="B260" s="611" t="s">
        <v>2890</v>
      </c>
      <c r="C260" s="816" t="s">
        <v>2122</v>
      </c>
      <c r="D260" s="816" t="s">
        <v>1444</v>
      </c>
      <c r="E260" s="792">
        <v>389</v>
      </c>
      <c r="I260" s="919">
        <v>69.599999999999994</v>
      </c>
      <c r="J260" s="755">
        <v>66.650000000000006</v>
      </c>
      <c r="K260" s="917">
        <f t="shared" si="8"/>
        <v>2.9499999999999886</v>
      </c>
      <c r="L260" s="917"/>
      <c r="M260" s="917"/>
      <c r="N260" s="931"/>
      <c r="P260" s="758">
        <v>1</v>
      </c>
    </row>
    <row r="261" spans="1:18" ht="12.75" customHeight="1" x14ac:dyDescent="0.2">
      <c r="A261" s="611" t="s">
        <v>2121</v>
      </c>
      <c r="B261" s="611" t="s">
        <v>2890</v>
      </c>
      <c r="C261" s="816" t="s">
        <v>2123</v>
      </c>
      <c r="D261" s="816" t="s">
        <v>1444</v>
      </c>
      <c r="E261" s="792">
        <v>389</v>
      </c>
      <c r="F261" s="792">
        <v>390</v>
      </c>
      <c r="I261" s="813">
        <v>246.6</v>
      </c>
      <c r="J261" s="755">
        <f>99.23+97.74</f>
        <v>196.97</v>
      </c>
      <c r="K261" s="764">
        <f t="shared" si="8"/>
        <v>49.629999999999995</v>
      </c>
      <c r="L261" s="764">
        <v>57</v>
      </c>
      <c r="N261" s="930" t="s">
        <v>2928</v>
      </c>
      <c r="P261" s="758">
        <v>1</v>
      </c>
    </row>
    <row r="262" spans="1:18" ht="12.75" customHeight="1" x14ac:dyDescent="0.2">
      <c r="A262" s="611" t="s">
        <v>2193</v>
      </c>
      <c r="B262" s="611" t="s">
        <v>2890</v>
      </c>
      <c r="D262" s="816" t="s">
        <v>2978</v>
      </c>
      <c r="E262" s="792">
        <v>394</v>
      </c>
      <c r="I262" s="813">
        <v>215.2</v>
      </c>
      <c r="J262" s="755">
        <v>67.23</v>
      </c>
      <c r="K262" s="764">
        <f t="shared" si="8"/>
        <v>147.96999999999997</v>
      </c>
      <c r="L262" s="764">
        <v>142</v>
      </c>
      <c r="N262" s="930" t="s">
        <v>2943</v>
      </c>
      <c r="P262" s="758">
        <v>1</v>
      </c>
    </row>
    <row r="263" spans="1:18" ht="12.75" customHeight="1" x14ac:dyDescent="0.2">
      <c r="A263" s="611" t="s">
        <v>2194</v>
      </c>
      <c r="B263" s="611" t="s">
        <v>2890</v>
      </c>
      <c r="D263" s="816" t="s">
        <v>2978</v>
      </c>
      <c r="E263" s="792">
        <v>295</v>
      </c>
      <c r="I263" s="813">
        <v>331.3</v>
      </c>
      <c r="J263" s="755">
        <v>67.19</v>
      </c>
      <c r="K263" s="764">
        <f t="shared" si="8"/>
        <v>264.11</v>
      </c>
      <c r="L263" s="764">
        <v>260</v>
      </c>
      <c r="N263" s="930" t="s">
        <v>3000</v>
      </c>
      <c r="P263" s="758">
        <v>1</v>
      </c>
    </row>
    <row r="264" spans="1:18" ht="12.75" customHeight="1" x14ac:dyDescent="0.2">
      <c r="A264" s="611" t="s">
        <v>2194</v>
      </c>
      <c r="B264" s="611" t="s">
        <v>2890</v>
      </c>
      <c r="D264" s="816" t="s">
        <v>3180</v>
      </c>
      <c r="E264" s="792">
        <v>391</v>
      </c>
      <c r="I264" s="813">
        <v>335.31</v>
      </c>
      <c r="J264" s="755">
        <v>139.57</v>
      </c>
      <c r="K264" s="764">
        <f t="shared" si="8"/>
        <v>195.74</v>
      </c>
      <c r="L264" s="764">
        <v>188</v>
      </c>
      <c r="N264" s="930" t="s">
        <v>3004</v>
      </c>
      <c r="R264" s="758">
        <v>1</v>
      </c>
    </row>
    <row r="265" spans="1:18" ht="12.75" customHeight="1" x14ac:dyDescent="0.2">
      <c r="A265" s="611" t="s">
        <v>2185</v>
      </c>
      <c r="B265" s="611" t="s">
        <v>2890</v>
      </c>
      <c r="C265" s="753" t="s">
        <v>2114</v>
      </c>
      <c r="D265" s="816" t="s">
        <v>1444</v>
      </c>
      <c r="E265" s="792">
        <v>390</v>
      </c>
      <c r="F265" s="792">
        <v>391</v>
      </c>
      <c r="H265" s="792"/>
      <c r="I265" s="919">
        <v>120.2</v>
      </c>
      <c r="J265" s="755">
        <f>84.17+31.03</f>
        <v>115.2</v>
      </c>
      <c r="K265" s="917">
        <f t="shared" si="8"/>
        <v>5</v>
      </c>
      <c r="L265" s="917">
        <v>0</v>
      </c>
      <c r="M265" s="917"/>
      <c r="N265" s="931"/>
      <c r="P265" s="758">
        <v>1</v>
      </c>
    </row>
    <row r="266" spans="1:18" ht="12.75" customHeight="1" x14ac:dyDescent="0.2">
      <c r="A266" s="611" t="s">
        <v>2186</v>
      </c>
      <c r="B266" s="611" t="s">
        <v>2890</v>
      </c>
      <c r="C266" s="753" t="s">
        <v>2169</v>
      </c>
      <c r="D266" s="816" t="s">
        <v>1444</v>
      </c>
      <c r="E266" s="792">
        <v>389</v>
      </c>
      <c r="H266" s="792"/>
      <c r="I266" s="813">
        <f>525.6-412.5</f>
        <v>113.10000000000002</v>
      </c>
      <c r="J266" s="755">
        <v>19.5</v>
      </c>
      <c r="K266" s="764">
        <f>I266-J266</f>
        <v>93.600000000000023</v>
      </c>
      <c r="L266" s="764" t="s">
        <v>3031</v>
      </c>
      <c r="N266" s="930" t="s">
        <v>2589</v>
      </c>
      <c r="P266" s="758">
        <v>1</v>
      </c>
    </row>
    <row r="267" spans="1:18" ht="25.5" x14ac:dyDescent="0.2">
      <c r="A267" s="934" t="s">
        <v>2966</v>
      </c>
      <c r="C267" s="753" t="s">
        <v>3226</v>
      </c>
      <c r="H267" s="792"/>
      <c r="I267" s="813"/>
      <c r="N267" s="941" t="s">
        <v>3613</v>
      </c>
    </row>
    <row r="268" spans="1:18" ht="12.75" customHeight="1" x14ac:dyDescent="0.2">
      <c r="A268" s="611" t="s">
        <v>2196</v>
      </c>
      <c r="B268" s="611" t="s">
        <v>2890</v>
      </c>
      <c r="C268" s="753" t="s">
        <v>2113</v>
      </c>
      <c r="D268" s="816" t="s">
        <v>1444</v>
      </c>
      <c r="E268" s="792">
        <v>390</v>
      </c>
      <c r="F268" s="792">
        <v>391</v>
      </c>
      <c r="H268" s="792"/>
      <c r="I268" s="919">
        <v>226</v>
      </c>
      <c r="J268" s="755">
        <f>68.65+136.26</f>
        <v>204.91</v>
      </c>
      <c r="K268" s="917">
        <f t="shared" ref="K268:K299" si="9">I268-J268</f>
        <v>21.090000000000003</v>
      </c>
      <c r="L268" s="917">
        <v>0</v>
      </c>
      <c r="M268" s="917"/>
      <c r="N268" s="931"/>
      <c r="P268" s="758">
        <v>1</v>
      </c>
    </row>
    <row r="269" spans="1:18" ht="12.75" customHeight="1" x14ac:dyDescent="0.2">
      <c r="A269" s="611" t="s">
        <v>2199</v>
      </c>
      <c r="B269" s="611" t="s">
        <v>2890</v>
      </c>
      <c r="C269" s="753" t="s">
        <v>2168</v>
      </c>
      <c r="D269" s="816" t="s">
        <v>1444</v>
      </c>
      <c r="E269" s="792">
        <v>389</v>
      </c>
      <c r="H269" s="792"/>
      <c r="I269" s="919">
        <v>193.6</v>
      </c>
      <c r="J269" s="755">
        <v>104.08000000000001</v>
      </c>
      <c r="K269" s="764">
        <f t="shared" si="9"/>
        <v>89.519999999999982</v>
      </c>
      <c r="L269" s="764">
        <v>87</v>
      </c>
      <c r="N269" s="930" t="s">
        <v>3029</v>
      </c>
      <c r="P269" s="758">
        <v>1</v>
      </c>
    </row>
    <row r="270" spans="1:18" ht="12.75" customHeight="1" x14ac:dyDescent="0.2">
      <c r="A270" s="611" t="s">
        <v>2199</v>
      </c>
      <c r="B270" s="611" t="s">
        <v>2890</v>
      </c>
      <c r="C270" s="753" t="s">
        <v>2212</v>
      </c>
      <c r="D270" s="816" t="s">
        <v>1444</v>
      </c>
      <c r="E270" s="792">
        <v>391</v>
      </c>
      <c r="H270" s="792"/>
      <c r="I270" s="813">
        <v>148.28</v>
      </c>
      <c r="J270" s="755">
        <v>104.32</v>
      </c>
      <c r="K270" s="764">
        <f t="shared" si="9"/>
        <v>43.960000000000008</v>
      </c>
      <c r="L270" s="764">
        <v>41</v>
      </c>
      <c r="N270" s="930" t="s">
        <v>2939</v>
      </c>
      <c r="P270" s="758">
        <v>1</v>
      </c>
    </row>
    <row r="271" spans="1:18" ht="12.75" customHeight="1" x14ac:dyDescent="0.2">
      <c r="A271" s="611" t="s">
        <v>2201</v>
      </c>
      <c r="B271" s="611" t="s">
        <v>2890</v>
      </c>
      <c r="C271" s="753"/>
      <c r="D271" s="816" t="s">
        <v>1444</v>
      </c>
      <c r="E271" s="792">
        <v>391</v>
      </c>
      <c r="H271" s="792"/>
      <c r="I271" s="919">
        <v>224.8</v>
      </c>
      <c r="J271" s="755">
        <v>135.02000000000001</v>
      </c>
      <c r="K271" s="764">
        <f t="shared" si="9"/>
        <v>89.78</v>
      </c>
      <c r="L271" s="764">
        <v>86</v>
      </c>
      <c r="N271" s="930" t="s">
        <v>3005</v>
      </c>
      <c r="P271" s="758">
        <v>1</v>
      </c>
    </row>
    <row r="272" spans="1:18" ht="12.75" customHeight="1" x14ac:dyDescent="0.2">
      <c r="A272" s="611" t="s">
        <v>2231</v>
      </c>
      <c r="B272" s="611" t="s">
        <v>2890</v>
      </c>
      <c r="C272" s="753"/>
      <c r="D272" s="816" t="s">
        <v>2912</v>
      </c>
      <c r="E272" s="792">
        <v>394</v>
      </c>
      <c r="H272" s="792"/>
      <c r="I272" s="919">
        <v>905.6</v>
      </c>
      <c r="J272" s="755">
        <v>67.64</v>
      </c>
      <c r="K272" s="764">
        <f t="shared" si="9"/>
        <v>837.96</v>
      </c>
      <c r="L272" s="764">
        <v>797</v>
      </c>
      <c r="N272" s="930" t="s">
        <v>3006</v>
      </c>
      <c r="Q272" s="758">
        <v>1</v>
      </c>
    </row>
    <row r="273" spans="1:18" ht="12.75" customHeight="1" x14ac:dyDescent="0.2">
      <c r="A273" s="611" t="s">
        <v>2232</v>
      </c>
      <c r="B273" s="611" t="s">
        <v>2890</v>
      </c>
      <c r="C273" s="753"/>
      <c r="D273" s="816" t="s">
        <v>2912</v>
      </c>
      <c r="E273" s="792">
        <v>394</v>
      </c>
      <c r="F273" s="792">
        <v>295</v>
      </c>
      <c r="H273" s="792"/>
      <c r="I273" s="919">
        <v>216.8</v>
      </c>
      <c r="J273" s="755">
        <f>100.86+103.92</f>
        <v>204.78</v>
      </c>
      <c r="K273" s="764">
        <f t="shared" si="9"/>
        <v>12.02000000000001</v>
      </c>
      <c r="L273" s="764">
        <v>0</v>
      </c>
      <c r="R273" s="758">
        <v>1</v>
      </c>
    </row>
    <row r="274" spans="1:18" ht="12.75" customHeight="1" x14ac:dyDescent="0.2">
      <c r="A274" s="611" t="s">
        <v>2209</v>
      </c>
      <c r="B274" s="611" t="s">
        <v>2890</v>
      </c>
      <c r="C274" s="753"/>
      <c r="D274" s="816" t="s">
        <v>1444</v>
      </c>
      <c r="E274" s="792">
        <v>391</v>
      </c>
      <c r="F274" s="792">
        <v>392</v>
      </c>
      <c r="H274" s="792"/>
      <c r="I274" s="919">
        <v>180</v>
      </c>
      <c r="J274" s="755">
        <f>85.19+31.75+58.8</f>
        <v>175.74</v>
      </c>
      <c r="K274" s="917">
        <f t="shared" si="9"/>
        <v>4.2599999999999909</v>
      </c>
      <c r="L274" s="917">
        <v>0</v>
      </c>
      <c r="M274" s="917"/>
      <c r="N274" s="931"/>
      <c r="P274" s="758">
        <v>1</v>
      </c>
    </row>
    <row r="275" spans="1:18" ht="12.75" customHeight="1" x14ac:dyDescent="0.2">
      <c r="A275" s="611" t="s">
        <v>2217</v>
      </c>
      <c r="B275" s="611" t="s">
        <v>2890</v>
      </c>
      <c r="C275" s="753" t="s">
        <v>2249</v>
      </c>
      <c r="D275" s="816" t="s">
        <v>3181</v>
      </c>
      <c r="E275" s="792">
        <v>390</v>
      </c>
      <c r="F275" s="792">
        <v>391</v>
      </c>
      <c r="H275" s="792"/>
      <c r="I275" s="919">
        <v>459.8</v>
      </c>
      <c r="J275" s="755">
        <f>100.1+28.82</f>
        <v>128.91999999999999</v>
      </c>
      <c r="K275" s="764">
        <f t="shared" si="9"/>
        <v>330.88</v>
      </c>
      <c r="L275" s="764" t="s">
        <v>3030</v>
      </c>
      <c r="N275" s="930" t="s">
        <v>2927</v>
      </c>
      <c r="P275" s="758">
        <v>1</v>
      </c>
    </row>
    <row r="276" spans="1:18" ht="12.75" customHeight="1" x14ac:dyDescent="0.2">
      <c r="A276" s="611" t="s">
        <v>2218</v>
      </c>
      <c r="B276" s="611" t="s">
        <v>2890</v>
      </c>
      <c r="C276" s="753"/>
      <c r="D276" s="816" t="s">
        <v>3174</v>
      </c>
      <c r="E276" s="792">
        <v>393</v>
      </c>
      <c r="H276" s="792"/>
      <c r="I276" s="919">
        <v>196</v>
      </c>
      <c r="J276" s="755">
        <v>118.05</v>
      </c>
      <c r="K276" s="764">
        <f t="shared" si="9"/>
        <v>77.95</v>
      </c>
      <c r="N276" s="930" t="s">
        <v>3007</v>
      </c>
      <c r="R276" s="758">
        <v>1</v>
      </c>
    </row>
    <row r="277" spans="1:18" x14ac:dyDescent="0.2">
      <c r="A277" s="611" t="s">
        <v>2218</v>
      </c>
      <c r="B277" s="611" t="s">
        <v>2890</v>
      </c>
      <c r="C277" s="753"/>
      <c r="D277" s="816" t="s">
        <v>2978</v>
      </c>
      <c r="H277" s="792"/>
      <c r="I277" s="919">
        <v>335.6</v>
      </c>
      <c r="J277" s="755">
        <v>0</v>
      </c>
      <c r="K277" s="764">
        <f t="shared" si="9"/>
        <v>335.6</v>
      </c>
      <c r="N277" s="930" t="s">
        <v>3008</v>
      </c>
      <c r="P277" s="758">
        <v>1</v>
      </c>
    </row>
    <row r="278" spans="1:18" ht="38.25" x14ac:dyDescent="0.2">
      <c r="A278" s="796" t="s">
        <v>2219</v>
      </c>
      <c r="B278" s="611" t="s">
        <v>2890</v>
      </c>
      <c r="C278" s="753"/>
      <c r="D278" s="816" t="s">
        <v>2978</v>
      </c>
      <c r="E278" s="792">
        <v>394</v>
      </c>
      <c r="F278" s="792">
        <v>295</v>
      </c>
      <c r="H278" s="792"/>
      <c r="I278" s="919">
        <v>358</v>
      </c>
      <c r="J278" s="755">
        <f>67.94+100.93</f>
        <v>168.87</v>
      </c>
      <c r="K278" s="764">
        <f t="shared" si="9"/>
        <v>189.13</v>
      </c>
      <c r="N278" s="930" t="s">
        <v>3009</v>
      </c>
      <c r="P278" s="758">
        <v>1</v>
      </c>
    </row>
    <row r="279" spans="1:18" x14ac:dyDescent="0.2">
      <c r="A279" s="611" t="s">
        <v>2245</v>
      </c>
      <c r="B279" s="611" t="s">
        <v>2890</v>
      </c>
      <c r="C279" s="753"/>
      <c r="D279" s="816" t="s">
        <v>3182</v>
      </c>
      <c r="E279" s="792">
        <v>394</v>
      </c>
      <c r="H279" s="792"/>
      <c r="I279" s="919">
        <v>560.6</v>
      </c>
      <c r="J279" s="755">
        <v>65.3</v>
      </c>
      <c r="K279" s="764">
        <f t="shared" si="9"/>
        <v>495.3</v>
      </c>
      <c r="L279" s="764">
        <v>488</v>
      </c>
      <c r="N279" s="930" t="s">
        <v>3010</v>
      </c>
      <c r="R279" s="758">
        <v>1</v>
      </c>
    </row>
    <row r="280" spans="1:18" x14ac:dyDescent="0.2">
      <c r="A280" s="611" t="s">
        <v>2246</v>
      </c>
      <c r="B280" s="611" t="s">
        <v>2890</v>
      </c>
      <c r="C280" s="753"/>
      <c r="D280" s="816" t="s">
        <v>3182</v>
      </c>
      <c r="E280" s="792">
        <v>394</v>
      </c>
      <c r="H280" s="792"/>
      <c r="I280" s="919">
        <v>304.60000000000002</v>
      </c>
      <c r="J280" s="755">
        <v>67.67</v>
      </c>
      <c r="K280" s="764">
        <f t="shared" si="9"/>
        <v>236.93</v>
      </c>
      <c r="L280" s="764">
        <v>231</v>
      </c>
      <c r="N280" s="930" t="s">
        <v>3011</v>
      </c>
      <c r="R280" s="758">
        <v>1</v>
      </c>
    </row>
    <row r="281" spans="1:18" x14ac:dyDescent="0.2">
      <c r="A281" s="611" t="s">
        <v>2244</v>
      </c>
      <c r="B281" s="611" t="s">
        <v>2890</v>
      </c>
      <c r="C281" s="753" t="s">
        <v>2224</v>
      </c>
      <c r="D281" s="816" t="s">
        <v>1444</v>
      </c>
      <c r="E281" s="792">
        <v>392</v>
      </c>
      <c r="F281" s="792">
        <v>393</v>
      </c>
      <c r="H281" s="792"/>
      <c r="I281" s="813">
        <v>183.9</v>
      </c>
      <c r="J281" s="755">
        <f>89.54+85.9</f>
        <v>175.44</v>
      </c>
      <c r="K281" s="764">
        <f t="shared" si="9"/>
        <v>8.460000000000008</v>
      </c>
      <c r="L281" s="764">
        <v>0</v>
      </c>
      <c r="P281" s="758">
        <v>1</v>
      </c>
    </row>
    <row r="282" spans="1:18" x14ac:dyDescent="0.2">
      <c r="A282" s="611" t="s">
        <v>2258</v>
      </c>
      <c r="B282" s="611" t="s">
        <v>2890</v>
      </c>
      <c r="C282" s="753"/>
      <c r="D282" s="816" t="s">
        <v>2980</v>
      </c>
      <c r="E282" s="792">
        <v>394</v>
      </c>
      <c r="H282" s="792"/>
      <c r="I282" s="813">
        <v>205.4</v>
      </c>
      <c r="J282" s="755">
        <v>61.72</v>
      </c>
      <c r="K282" s="764">
        <f t="shared" si="9"/>
        <v>143.68</v>
      </c>
      <c r="L282" s="764">
        <v>141</v>
      </c>
      <c r="N282" s="930" t="s">
        <v>3012</v>
      </c>
      <c r="P282" s="758">
        <v>1</v>
      </c>
    </row>
    <row r="283" spans="1:18" x14ac:dyDescent="0.2">
      <c r="A283" s="611" t="s">
        <v>2252</v>
      </c>
      <c r="B283" s="611" t="s">
        <v>2890</v>
      </c>
      <c r="C283" s="753" t="s">
        <v>2225</v>
      </c>
      <c r="D283" s="816" t="s">
        <v>1444</v>
      </c>
      <c r="E283" s="792">
        <v>392</v>
      </c>
      <c r="F283" s="792">
        <v>393</v>
      </c>
      <c r="G283" s="792">
        <v>397</v>
      </c>
      <c r="H283" s="792"/>
      <c r="I283" s="813">
        <v>197.6</v>
      </c>
      <c r="J283" s="755">
        <f>95.94+62.21+21.6</f>
        <v>179.75</v>
      </c>
      <c r="K283" s="917">
        <f t="shared" si="9"/>
        <v>17.849999999999994</v>
      </c>
      <c r="L283" s="917">
        <v>0</v>
      </c>
      <c r="M283" s="917"/>
      <c r="N283" s="931"/>
      <c r="P283" s="758">
        <v>1</v>
      </c>
    </row>
    <row r="284" spans="1:18" x14ac:dyDescent="0.2">
      <c r="A284" s="611" t="s">
        <v>2259</v>
      </c>
      <c r="B284" s="611" t="s">
        <v>2890</v>
      </c>
      <c r="C284" s="753"/>
      <c r="D284" s="816" t="s">
        <v>2978</v>
      </c>
      <c r="E284" s="792">
        <v>394</v>
      </c>
      <c r="F284" s="792">
        <v>295</v>
      </c>
      <c r="H284" s="792"/>
      <c r="I284" s="813">
        <v>190.3</v>
      </c>
      <c r="J284" s="755">
        <f>32.3+74.4</f>
        <v>106.7</v>
      </c>
      <c r="K284" s="764">
        <f t="shared" si="9"/>
        <v>83.600000000000009</v>
      </c>
      <c r="L284" s="764">
        <v>77</v>
      </c>
      <c r="N284" s="930" t="s">
        <v>2936</v>
      </c>
      <c r="P284" s="758">
        <v>1</v>
      </c>
    </row>
    <row r="285" spans="1:18" x14ac:dyDescent="0.2">
      <c r="A285" s="611" t="s">
        <v>2261</v>
      </c>
      <c r="B285" s="611" t="s">
        <v>2890</v>
      </c>
      <c r="C285" s="753" t="s">
        <v>2234</v>
      </c>
      <c r="D285" s="816" t="s">
        <v>3183</v>
      </c>
      <c r="E285" s="792">
        <v>392</v>
      </c>
      <c r="H285" s="792"/>
      <c r="I285" s="919">
        <v>291.7</v>
      </c>
      <c r="J285" s="755">
        <v>90.9</v>
      </c>
      <c r="K285" s="764">
        <f t="shared" si="9"/>
        <v>200.79999999999998</v>
      </c>
      <c r="L285" s="764">
        <v>196</v>
      </c>
      <c r="N285" s="930" t="s">
        <v>3008</v>
      </c>
      <c r="P285" s="758">
        <v>1</v>
      </c>
    </row>
    <row r="286" spans="1:18" x14ac:dyDescent="0.2">
      <c r="A286" s="611" t="s">
        <v>2277</v>
      </c>
      <c r="B286" s="611" t="s">
        <v>2890</v>
      </c>
      <c r="C286" s="753"/>
      <c r="D286" s="816" t="s">
        <v>2976</v>
      </c>
      <c r="E286" s="792">
        <v>394</v>
      </c>
      <c r="F286" s="792">
        <v>295</v>
      </c>
      <c r="H286" s="792"/>
      <c r="I286" s="919">
        <v>144.30000000000001</v>
      </c>
      <c r="J286" s="755">
        <f>68.11+70.88</f>
        <v>138.99</v>
      </c>
      <c r="K286" s="764">
        <f t="shared" si="9"/>
        <v>5.3100000000000023</v>
      </c>
      <c r="L286" s="764">
        <v>0</v>
      </c>
      <c r="P286" s="758">
        <v>1</v>
      </c>
    </row>
    <row r="287" spans="1:18" x14ac:dyDescent="0.2">
      <c r="A287" s="611" t="s">
        <v>2253</v>
      </c>
      <c r="B287" s="611" t="s">
        <v>2890</v>
      </c>
      <c r="C287" s="753" t="s">
        <v>2238</v>
      </c>
      <c r="D287" s="816" t="s">
        <v>1444</v>
      </c>
      <c r="E287" s="792">
        <v>392</v>
      </c>
      <c r="F287" s="792">
        <v>393</v>
      </c>
      <c r="H287" s="792"/>
      <c r="I287" s="813">
        <v>84.5</v>
      </c>
      <c r="J287" s="755">
        <f>53.44+28.77</f>
        <v>82.21</v>
      </c>
      <c r="K287" s="917">
        <f t="shared" si="9"/>
        <v>2.2900000000000063</v>
      </c>
      <c r="L287" s="917"/>
      <c r="M287" s="917"/>
      <c r="N287" s="931"/>
      <c r="P287" s="758">
        <v>1</v>
      </c>
    </row>
    <row r="288" spans="1:18" x14ac:dyDescent="0.2">
      <c r="A288" s="611" t="s">
        <v>2281</v>
      </c>
      <c r="B288" s="611" t="s">
        <v>2890</v>
      </c>
      <c r="C288" s="753" t="s">
        <v>2287</v>
      </c>
      <c r="D288" s="816" t="s">
        <v>1444</v>
      </c>
      <c r="E288" s="792">
        <v>393</v>
      </c>
      <c r="H288" s="792"/>
      <c r="I288" s="813">
        <f>180.2</f>
        <v>180.2</v>
      </c>
      <c r="J288" s="755">
        <f>119.61+32.6</f>
        <v>152.21</v>
      </c>
      <c r="K288" s="917">
        <f t="shared" si="9"/>
        <v>27.989999999999981</v>
      </c>
      <c r="L288" s="917"/>
      <c r="M288" s="917"/>
      <c r="N288" s="931"/>
      <c r="P288" s="758">
        <v>1</v>
      </c>
    </row>
    <row r="289" spans="1:18" x14ac:dyDescent="0.2">
      <c r="A289" s="611" t="s">
        <v>2281</v>
      </c>
      <c r="B289" s="611" t="s">
        <v>2890</v>
      </c>
      <c r="C289" s="753" t="s">
        <v>2233</v>
      </c>
      <c r="D289" s="816" t="s">
        <v>1444</v>
      </c>
      <c r="E289" s="792">
        <v>392</v>
      </c>
      <c r="F289" s="792">
        <v>393</v>
      </c>
      <c r="H289" s="792"/>
      <c r="I289" s="813">
        <f>228.2</f>
        <v>228.2</v>
      </c>
      <c r="J289" s="755">
        <f>98.95+57.01</f>
        <v>155.96</v>
      </c>
      <c r="K289" s="764">
        <f t="shared" si="9"/>
        <v>72.239999999999981</v>
      </c>
      <c r="N289" s="930" t="s">
        <v>3335</v>
      </c>
      <c r="P289" s="758">
        <v>1</v>
      </c>
    </row>
    <row r="290" spans="1:18" x14ac:dyDescent="0.2">
      <c r="A290" s="611" t="s">
        <v>2282</v>
      </c>
      <c r="B290" s="611" t="s">
        <v>2890</v>
      </c>
      <c r="C290" s="753" t="s">
        <v>2242</v>
      </c>
      <c r="D290" s="816" t="s">
        <v>1444</v>
      </c>
      <c r="E290" s="792">
        <v>392</v>
      </c>
      <c r="F290" s="792">
        <v>393</v>
      </c>
      <c r="G290" s="792">
        <v>397</v>
      </c>
      <c r="H290" s="792"/>
      <c r="I290" s="813">
        <v>214.1</v>
      </c>
      <c r="J290" s="755">
        <f>91.18+59.26+57.71</f>
        <v>208.15</v>
      </c>
      <c r="K290" s="917">
        <f t="shared" si="9"/>
        <v>5.9499999999999886</v>
      </c>
      <c r="L290" s="917">
        <v>0</v>
      </c>
      <c r="M290" s="917"/>
      <c r="N290" s="931"/>
      <c r="P290" s="758">
        <v>1</v>
      </c>
    </row>
    <row r="291" spans="1:18" x14ac:dyDescent="0.2">
      <c r="A291" s="611" t="s">
        <v>2386</v>
      </c>
      <c r="B291" s="611" t="s">
        <v>2890</v>
      </c>
      <c r="D291" s="816" t="s">
        <v>2976</v>
      </c>
      <c r="E291" s="792">
        <v>295</v>
      </c>
      <c r="I291" s="813">
        <v>154.19999999999999</v>
      </c>
      <c r="J291" s="755">
        <v>103.41</v>
      </c>
      <c r="K291" s="764">
        <f t="shared" si="9"/>
        <v>50.789999999999992</v>
      </c>
      <c r="L291" s="764">
        <v>48</v>
      </c>
      <c r="N291" s="930" t="s">
        <v>2936</v>
      </c>
      <c r="P291" s="758">
        <v>1</v>
      </c>
      <c r="R291" s="792"/>
    </row>
    <row r="292" spans="1:18" x14ac:dyDescent="0.2">
      <c r="A292" s="611" t="s">
        <v>2387</v>
      </c>
      <c r="B292" s="611" t="s">
        <v>2890</v>
      </c>
      <c r="D292" s="816" t="s">
        <v>2976</v>
      </c>
      <c r="E292" s="792">
        <v>295</v>
      </c>
      <c r="I292" s="813">
        <v>182.5</v>
      </c>
      <c r="J292" s="755">
        <v>100.58</v>
      </c>
      <c r="K292" s="764">
        <f t="shared" si="9"/>
        <v>81.92</v>
      </c>
      <c r="L292" s="764">
        <v>76</v>
      </c>
      <c r="N292" s="930" t="s">
        <v>2956</v>
      </c>
      <c r="P292" s="758">
        <v>1</v>
      </c>
      <c r="R292" s="792"/>
    </row>
    <row r="293" spans="1:18" x14ac:dyDescent="0.2">
      <c r="A293" s="611" t="s">
        <v>2388</v>
      </c>
      <c r="B293" s="611" t="s">
        <v>2890</v>
      </c>
      <c r="D293" s="816" t="s">
        <v>2976</v>
      </c>
      <c r="E293" s="792">
        <v>295</v>
      </c>
      <c r="F293" s="792">
        <v>397</v>
      </c>
      <c r="I293" s="813">
        <v>207</v>
      </c>
      <c r="J293" s="947">
        <f>102.67+90.35</f>
        <v>193.01999999999998</v>
      </c>
      <c r="K293" s="917">
        <f t="shared" si="9"/>
        <v>13.980000000000018</v>
      </c>
      <c r="L293" s="917">
        <v>0</v>
      </c>
      <c r="M293" s="917"/>
      <c r="N293" s="931"/>
      <c r="P293" s="758">
        <v>1</v>
      </c>
      <c r="R293" s="792"/>
    </row>
    <row r="294" spans="1:18" x14ac:dyDescent="0.2">
      <c r="A294" s="728" t="s">
        <v>2381</v>
      </c>
      <c r="B294" s="611" t="s">
        <v>2890</v>
      </c>
      <c r="C294" s="753" t="s">
        <v>2243</v>
      </c>
      <c r="D294" s="816" t="s">
        <v>1444</v>
      </c>
      <c r="E294" s="792">
        <v>392</v>
      </c>
      <c r="F294" s="792">
        <v>393</v>
      </c>
      <c r="H294" s="792"/>
      <c r="I294" s="813">
        <v>225.3</v>
      </c>
      <c r="J294" s="755">
        <f>105.58+87.72</f>
        <v>193.3</v>
      </c>
      <c r="K294" s="764">
        <f t="shared" si="9"/>
        <v>32</v>
      </c>
      <c r="L294" s="764">
        <v>28</v>
      </c>
      <c r="N294" s="930" t="s">
        <v>2938</v>
      </c>
      <c r="P294" s="758">
        <v>1</v>
      </c>
    </row>
    <row r="295" spans="1:18" x14ac:dyDescent="0.2">
      <c r="A295" s="611" t="s">
        <v>2399</v>
      </c>
      <c r="B295" s="611" t="s">
        <v>2890</v>
      </c>
      <c r="D295" s="816" t="s">
        <v>2978</v>
      </c>
      <c r="E295" s="792">
        <v>394</v>
      </c>
      <c r="F295" s="792">
        <v>397</v>
      </c>
      <c r="I295" s="813">
        <v>358.3</v>
      </c>
      <c r="J295" s="755">
        <f>65.84+51.64</f>
        <v>117.48</v>
      </c>
      <c r="K295" s="764">
        <f t="shared" si="9"/>
        <v>240.82</v>
      </c>
      <c r="L295" s="764">
        <v>224</v>
      </c>
      <c r="N295" s="930" t="s">
        <v>3002</v>
      </c>
      <c r="P295" s="758">
        <v>1</v>
      </c>
      <c r="R295" s="792"/>
    </row>
    <row r="296" spans="1:18" x14ac:dyDescent="0.2">
      <c r="A296" s="611" t="s">
        <v>2399</v>
      </c>
      <c r="B296" s="611" t="s">
        <v>2890</v>
      </c>
      <c r="D296" s="816" t="s">
        <v>3184</v>
      </c>
      <c r="E296" s="792">
        <v>295</v>
      </c>
      <c r="F296" s="792">
        <v>397</v>
      </c>
      <c r="I296" s="813">
        <v>672.9</v>
      </c>
      <c r="J296" s="755">
        <f>68.62+66.65</f>
        <v>135.27000000000001</v>
      </c>
      <c r="K296" s="764">
        <f t="shared" si="9"/>
        <v>537.63</v>
      </c>
      <c r="L296" s="764">
        <v>497</v>
      </c>
      <c r="N296" s="930" t="s">
        <v>3013</v>
      </c>
      <c r="Q296" s="758">
        <v>1</v>
      </c>
    </row>
    <row r="297" spans="1:18" x14ac:dyDescent="0.2">
      <c r="A297" s="611" t="s">
        <v>2390</v>
      </c>
      <c r="B297" s="611" t="s">
        <v>2890</v>
      </c>
      <c r="C297" s="753" t="s">
        <v>2401</v>
      </c>
      <c r="D297" s="816" t="s">
        <v>1444</v>
      </c>
      <c r="E297" s="792">
        <v>394</v>
      </c>
      <c r="I297" s="813">
        <v>218.9</v>
      </c>
      <c r="J297" s="755">
        <v>69.5</v>
      </c>
      <c r="K297" s="764">
        <f t="shared" si="9"/>
        <v>149.4</v>
      </c>
      <c r="L297" s="764">
        <v>147</v>
      </c>
      <c r="N297" s="930" t="s">
        <v>3014</v>
      </c>
      <c r="P297" s="758">
        <v>1</v>
      </c>
    </row>
    <row r="298" spans="1:18" x14ac:dyDescent="0.2">
      <c r="A298" s="611" t="s">
        <v>2390</v>
      </c>
      <c r="B298" s="611" t="s">
        <v>2890</v>
      </c>
      <c r="C298" s="753" t="s">
        <v>2239</v>
      </c>
      <c r="D298" s="816" t="s">
        <v>1444</v>
      </c>
      <c r="E298" s="792">
        <v>392</v>
      </c>
      <c r="F298" s="792">
        <v>393</v>
      </c>
      <c r="H298" s="792"/>
      <c r="I298" s="813">
        <v>105.7</v>
      </c>
      <c r="J298" s="755">
        <f>69.26+34.28</f>
        <v>103.54</v>
      </c>
      <c r="K298" s="917">
        <f t="shared" si="9"/>
        <v>2.1599999999999966</v>
      </c>
      <c r="L298" s="917"/>
      <c r="M298" s="917"/>
      <c r="N298" s="931"/>
      <c r="P298" s="758">
        <v>1</v>
      </c>
    </row>
    <row r="299" spans="1:18" x14ac:dyDescent="0.2">
      <c r="A299" s="611" t="s">
        <v>2390</v>
      </c>
      <c r="B299" s="611" t="s">
        <v>2890</v>
      </c>
      <c r="C299" s="753" t="s">
        <v>2240</v>
      </c>
      <c r="D299" s="816" t="s">
        <v>1444</v>
      </c>
      <c r="E299" s="792">
        <v>392</v>
      </c>
      <c r="F299" s="792">
        <v>393</v>
      </c>
      <c r="H299" s="792"/>
      <c r="I299" s="813">
        <v>83.8</v>
      </c>
      <c r="J299" s="755">
        <f>49.03+27.11</f>
        <v>76.14</v>
      </c>
      <c r="K299" s="917">
        <f t="shared" si="9"/>
        <v>7.6599999999999966</v>
      </c>
      <c r="L299" s="917"/>
      <c r="M299" s="917"/>
      <c r="N299" s="931"/>
      <c r="P299" s="758">
        <v>1</v>
      </c>
    </row>
    <row r="300" spans="1:18" x14ac:dyDescent="0.2">
      <c r="A300" s="611" t="s">
        <v>2390</v>
      </c>
      <c r="B300" s="611" t="s">
        <v>2890</v>
      </c>
      <c r="C300" s="753" t="s">
        <v>2402</v>
      </c>
      <c r="D300" s="816" t="s">
        <v>1444</v>
      </c>
      <c r="E300" s="792">
        <v>394</v>
      </c>
      <c r="H300" s="792"/>
      <c r="I300" s="813">
        <v>122.6</v>
      </c>
      <c r="J300" s="755">
        <v>60.15</v>
      </c>
      <c r="K300" s="764">
        <f t="shared" ref="K300:K330" si="10">I300-J300</f>
        <v>62.449999999999996</v>
      </c>
      <c r="L300" s="764">
        <v>60</v>
      </c>
      <c r="N300" s="930" t="s">
        <v>2928</v>
      </c>
      <c r="P300" s="758">
        <v>1</v>
      </c>
    </row>
    <row r="301" spans="1:18" x14ac:dyDescent="0.2">
      <c r="A301" s="611" t="s">
        <v>2397</v>
      </c>
      <c r="B301" s="611" t="s">
        <v>2890</v>
      </c>
      <c r="C301" s="753" t="s">
        <v>2241</v>
      </c>
      <c r="D301" s="816" t="s">
        <v>1444</v>
      </c>
      <c r="E301" s="792">
        <v>392</v>
      </c>
      <c r="H301" s="792"/>
      <c r="I301" s="813">
        <v>70.599999999999994</v>
      </c>
      <c r="J301" s="755">
        <v>69.45</v>
      </c>
      <c r="K301" s="917">
        <f t="shared" si="10"/>
        <v>1.1499999999999915</v>
      </c>
      <c r="L301" s="917"/>
      <c r="M301" s="917"/>
      <c r="N301" s="931"/>
      <c r="P301" s="758">
        <v>1</v>
      </c>
    </row>
    <row r="302" spans="1:18" x14ac:dyDescent="0.2">
      <c r="A302" s="611" t="s">
        <v>2397</v>
      </c>
      <c r="B302" s="611" t="s">
        <v>2890</v>
      </c>
      <c r="C302" s="753" t="s">
        <v>2241</v>
      </c>
      <c r="D302" s="816" t="s">
        <v>1444</v>
      </c>
      <c r="E302" s="792">
        <v>394</v>
      </c>
      <c r="H302" s="792"/>
      <c r="I302" s="813">
        <v>144.80000000000001</v>
      </c>
      <c r="J302" s="755">
        <v>69.88</v>
      </c>
      <c r="K302" s="764">
        <f t="shared" si="10"/>
        <v>74.920000000000016</v>
      </c>
      <c r="L302" s="764">
        <v>72</v>
      </c>
      <c r="N302" s="930" t="s">
        <v>3015</v>
      </c>
      <c r="P302" s="758">
        <v>1</v>
      </c>
    </row>
    <row r="303" spans="1:18" x14ac:dyDescent="0.2">
      <c r="A303" s="611" t="s">
        <v>2410</v>
      </c>
      <c r="B303" s="611" t="s">
        <v>2890</v>
      </c>
      <c r="C303" s="753" t="s">
        <v>2288</v>
      </c>
      <c r="D303" s="816" t="s">
        <v>1444</v>
      </c>
      <c r="E303" s="792">
        <v>394</v>
      </c>
      <c r="H303" s="792"/>
      <c r="I303" s="813">
        <v>215</v>
      </c>
      <c r="J303" s="755">
        <v>64.75</v>
      </c>
      <c r="K303" s="764">
        <f t="shared" si="10"/>
        <v>150.25</v>
      </c>
      <c r="L303" s="764">
        <v>145</v>
      </c>
      <c r="N303" s="930" t="s">
        <v>3016</v>
      </c>
      <c r="P303" s="758">
        <v>1</v>
      </c>
    </row>
    <row r="304" spans="1:18" x14ac:dyDescent="0.2">
      <c r="A304" s="611" t="s">
        <v>2406</v>
      </c>
      <c r="B304" s="611" t="s">
        <v>2890</v>
      </c>
      <c r="C304" s="753" t="s">
        <v>2291</v>
      </c>
      <c r="D304" s="816" t="s">
        <v>1444</v>
      </c>
      <c r="E304" s="792">
        <v>394</v>
      </c>
      <c r="F304" s="792">
        <v>397</v>
      </c>
      <c r="H304" s="792"/>
      <c r="I304" s="813">
        <v>214.3</v>
      </c>
      <c r="J304" s="755">
        <f>65.91+94.59</f>
        <v>160.5</v>
      </c>
      <c r="K304" s="764">
        <f t="shared" si="10"/>
        <v>53.800000000000011</v>
      </c>
      <c r="L304" s="764">
        <v>43</v>
      </c>
      <c r="N304" s="930" t="s">
        <v>2928</v>
      </c>
      <c r="P304" s="758">
        <v>1</v>
      </c>
    </row>
    <row r="305" spans="1:18" x14ac:dyDescent="0.2">
      <c r="A305" s="611" t="s">
        <v>2423</v>
      </c>
      <c r="B305" s="611" t="s">
        <v>2890</v>
      </c>
      <c r="C305" s="753" t="s">
        <v>2411</v>
      </c>
      <c r="D305" s="816" t="s">
        <v>2980</v>
      </c>
      <c r="E305" s="792">
        <v>394</v>
      </c>
      <c r="F305" s="792">
        <v>295</v>
      </c>
      <c r="H305" s="792"/>
      <c r="I305" s="813">
        <v>384.1</v>
      </c>
      <c r="J305" s="755">
        <f>68.92+103.37</f>
        <v>172.29000000000002</v>
      </c>
      <c r="K305" s="764">
        <f t="shared" si="10"/>
        <v>211.81</v>
      </c>
      <c r="L305" s="764">
        <v>197</v>
      </c>
      <c r="N305" s="930" t="s">
        <v>3017</v>
      </c>
      <c r="P305" s="758">
        <v>1</v>
      </c>
      <c r="R305" s="792"/>
    </row>
    <row r="306" spans="1:18" ht="38.25" x14ac:dyDescent="0.2">
      <c r="A306" s="611" t="s">
        <v>2424</v>
      </c>
      <c r="B306" s="611" t="s">
        <v>2890</v>
      </c>
      <c r="C306" s="816" t="s">
        <v>2899</v>
      </c>
      <c r="D306" s="816" t="s">
        <v>3168</v>
      </c>
      <c r="E306" s="792">
        <v>398</v>
      </c>
      <c r="I306" s="813">
        <v>4954.3999999999996</v>
      </c>
      <c r="J306" s="755">
        <v>69.58</v>
      </c>
      <c r="K306" s="764">
        <f t="shared" si="10"/>
        <v>4884.82</v>
      </c>
      <c r="N306" s="930" t="s">
        <v>3018</v>
      </c>
      <c r="P306" s="792"/>
      <c r="R306" s="792">
        <v>1</v>
      </c>
    </row>
    <row r="307" spans="1:18" x14ac:dyDescent="0.2">
      <c r="A307" s="611" t="s">
        <v>2424</v>
      </c>
      <c r="B307" s="611" t="s">
        <v>2890</v>
      </c>
      <c r="D307" s="816" t="s">
        <v>3185</v>
      </c>
      <c r="E307" s="792">
        <v>398</v>
      </c>
      <c r="I307" s="813">
        <v>131.9</v>
      </c>
      <c r="J307" s="755">
        <v>127.69</v>
      </c>
      <c r="K307" s="917">
        <f t="shared" si="10"/>
        <v>4.210000000000008</v>
      </c>
      <c r="L307" s="917">
        <v>0</v>
      </c>
      <c r="M307" s="917"/>
      <c r="N307" s="931"/>
      <c r="P307" s="792"/>
      <c r="Q307" s="758">
        <v>1</v>
      </c>
      <c r="R307" s="792"/>
    </row>
    <row r="308" spans="1:18" ht="12.75" customHeight="1" x14ac:dyDescent="0.2">
      <c r="A308" s="611" t="s">
        <v>2425</v>
      </c>
      <c r="B308" s="611" t="s">
        <v>2890</v>
      </c>
      <c r="C308" s="753" t="s">
        <v>2391</v>
      </c>
      <c r="D308" s="816" t="s">
        <v>1444</v>
      </c>
      <c r="E308" s="792">
        <v>394</v>
      </c>
      <c r="F308" s="792">
        <v>295</v>
      </c>
      <c r="H308" s="792"/>
      <c r="I308" s="813">
        <v>190.8</v>
      </c>
      <c r="J308" s="755">
        <f>66.98+74.41</f>
        <v>141.38999999999999</v>
      </c>
      <c r="K308" s="764">
        <f t="shared" si="10"/>
        <v>49.410000000000025</v>
      </c>
      <c r="L308" s="764">
        <v>45</v>
      </c>
      <c r="N308" s="930" t="s">
        <v>2924</v>
      </c>
      <c r="P308" s="758">
        <v>1</v>
      </c>
    </row>
    <row r="309" spans="1:18" ht="12.75" customHeight="1" x14ac:dyDescent="0.2">
      <c r="A309" s="611" t="s">
        <v>2426</v>
      </c>
      <c r="B309" s="611" t="s">
        <v>2890</v>
      </c>
      <c r="C309" s="753" t="s">
        <v>2398</v>
      </c>
      <c r="D309" s="816" t="s">
        <v>1444</v>
      </c>
      <c r="E309" s="792">
        <v>394</v>
      </c>
      <c r="F309" s="792">
        <v>295</v>
      </c>
      <c r="H309" s="792"/>
      <c r="I309" s="813">
        <v>208.2</v>
      </c>
      <c r="J309" s="755">
        <f>60.86+110.65</f>
        <v>171.51</v>
      </c>
      <c r="K309" s="764">
        <f t="shared" si="10"/>
        <v>36.69</v>
      </c>
      <c r="L309" s="764">
        <v>0</v>
      </c>
      <c r="P309" s="758">
        <v>1</v>
      </c>
    </row>
    <row r="310" spans="1:18" x14ac:dyDescent="0.2">
      <c r="A310" s="611" t="s">
        <v>2427</v>
      </c>
      <c r="B310" s="611" t="s">
        <v>2890</v>
      </c>
      <c r="C310" s="753" t="s">
        <v>2403</v>
      </c>
      <c r="D310" s="816" t="s">
        <v>1444</v>
      </c>
      <c r="E310" s="792">
        <v>393</v>
      </c>
      <c r="H310" s="792"/>
      <c r="I310" s="813">
        <v>170.3</v>
      </c>
      <c r="J310" s="755">
        <f>57.21+32.42</f>
        <v>89.63</v>
      </c>
      <c r="K310" s="764">
        <f t="shared" si="10"/>
        <v>80.670000000000016</v>
      </c>
      <c r="N310" s="930" t="s">
        <v>2928</v>
      </c>
      <c r="P310" s="758">
        <v>1</v>
      </c>
    </row>
    <row r="311" spans="1:18" x14ac:dyDescent="0.2">
      <c r="A311" s="611" t="s">
        <v>2429</v>
      </c>
      <c r="B311" s="611" t="s">
        <v>2890</v>
      </c>
      <c r="C311" s="753" t="s">
        <v>2400</v>
      </c>
      <c r="D311" s="816" t="s">
        <v>1444</v>
      </c>
      <c r="E311" s="792">
        <v>394</v>
      </c>
      <c r="H311" s="792"/>
      <c r="I311" s="813">
        <v>48.5</v>
      </c>
      <c r="J311" s="755">
        <v>25.87</v>
      </c>
      <c r="K311" s="764">
        <f t="shared" si="10"/>
        <v>22.63</v>
      </c>
      <c r="N311" s="930" t="s">
        <v>3019</v>
      </c>
      <c r="P311" s="758">
        <v>1</v>
      </c>
    </row>
    <row r="312" spans="1:18" ht="12.75" customHeight="1" x14ac:dyDescent="0.2">
      <c r="A312" s="611" t="s">
        <v>2435</v>
      </c>
      <c r="B312" s="611" t="s">
        <v>2890</v>
      </c>
      <c r="C312" s="753"/>
      <c r="D312" s="816" t="s">
        <v>1444</v>
      </c>
      <c r="E312" s="792">
        <v>397</v>
      </c>
      <c r="H312" s="792"/>
      <c r="I312" s="757">
        <v>196.3</v>
      </c>
      <c r="J312" s="755">
        <v>69.63</v>
      </c>
      <c r="K312" s="764">
        <f t="shared" si="10"/>
        <v>126.67000000000002</v>
      </c>
      <c r="L312" s="764">
        <v>122</v>
      </c>
      <c r="N312" s="930" t="s">
        <v>3020</v>
      </c>
      <c r="P312" s="758">
        <v>1</v>
      </c>
    </row>
    <row r="313" spans="1:18" x14ac:dyDescent="0.2">
      <c r="A313" s="611" t="s">
        <v>2435</v>
      </c>
      <c r="B313" s="611" t="s">
        <v>2890</v>
      </c>
      <c r="C313" s="753"/>
      <c r="D313" s="816" t="s">
        <v>3168</v>
      </c>
      <c r="E313" s="792">
        <v>397</v>
      </c>
      <c r="H313" s="792"/>
      <c r="I313" s="757">
        <f>413+516.6+1217.5+1243.7+1656</f>
        <v>5046.8</v>
      </c>
      <c r="J313" s="755">
        <v>33.9</v>
      </c>
      <c r="K313" s="764">
        <f t="shared" si="10"/>
        <v>5012.9000000000005</v>
      </c>
      <c r="L313" s="764" t="s">
        <v>3030</v>
      </c>
      <c r="N313" s="930" t="s">
        <v>3336</v>
      </c>
      <c r="R313" s="758">
        <v>1</v>
      </c>
    </row>
    <row r="314" spans="1:18" x14ac:dyDescent="0.2">
      <c r="A314" s="611" t="s">
        <v>2438</v>
      </c>
      <c r="B314" s="611" t="s">
        <v>2890</v>
      </c>
      <c r="C314" s="753"/>
      <c r="D314" s="816" t="s">
        <v>1444</v>
      </c>
      <c r="E314" s="792">
        <v>295</v>
      </c>
      <c r="H314" s="792"/>
      <c r="I314" s="813">
        <v>171.7</v>
      </c>
      <c r="J314" s="755">
        <v>106.68</v>
      </c>
      <c r="K314" s="764">
        <f t="shared" si="10"/>
        <v>65.019999999999982</v>
      </c>
      <c r="L314" s="764">
        <v>39</v>
      </c>
      <c r="N314" s="930" t="s">
        <v>3007</v>
      </c>
      <c r="P314" s="758">
        <v>1</v>
      </c>
    </row>
    <row r="315" spans="1:18" ht="12.75" customHeight="1" x14ac:dyDescent="0.2">
      <c r="A315" s="611" t="s">
        <v>2436</v>
      </c>
      <c r="B315" s="611" t="s">
        <v>2890</v>
      </c>
      <c r="D315" s="816" t="s">
        <v>1444</v>
      </c>
      <c r="E315" s="792">
        <v>397</v>
      </c>
      <c r="I315" s="813">
        <v>166.1</v>
      </c>
      <c r="J315" s="755">
        <v>72.78</v>
      </c>
      <c r="K315" s="764">
        <f t="shared" si="10"/>
        <v>93.32</v>
      </c>
      <c r="L315" s="764">
        <v>87</v>
      </c>
      <c r="N315" s="930" t="s">
        <v>3021</v>
      </c>
      <c r="P315" s="758">
        <v>1</v>
      </c>
      <c r="R315" s="792"/>
    </row>
    <row r="316" spans="1:18" x14ac:dyDescent="0.2">
      <c r="A316" s="611" t="s">
        <v>2453</v>
      </c>
      <c r="B316" s="611" t="s">
        <v>2890</v>
      </c>
      <c r="D316" s="816" t="s">
        <v>1444</v>
      </c>
      <c r="E316" s="792">
        <v>397</v>
      </c>
      <c r="I316" s="813">
        <v>170.32</v>
      </c>
      <c r="J316" s="755">
        <v>69.41</v>
      </c>
      <c r="K316" s="764">
        <f t="shared" si="10"/>
        <v>100.91</v>
      </c>
      <c r="L316" s="764">
        <v>95</v>
      </c>
      <c r="N316" s="930" t="s">
        <v>3015</v>
      </c>
      <c r="P316" s="792">
        <v>1</v>
      </c>
      <c r="R316" s="792"/>
    </row>
    <row r="317" spans="1:18" x14ac:dyDescent="0.2">
      <c r="A317" s="611" t="s">
        <v>2440</v>
      </c>
      <c r="B317" s="611" t="s">
        <v>2890</v>
      </c>
      <c r="C317" s="753" t="s">
        <v>2279</v>
      </c>
      <c r="D317" s="816" t="s">
        <v>1444</v>
      </c>
      <c r="E317" s="792">
        <v>393</v>
      </c>
      <c r="F317" s="792">
        <v>295</v>
      </c>
      <c r="H317" s="792"/>
      <c r="I317" s="813">
        <v>208.7</v>
      </c>
      <c r="J317" s="755">
        <f>68.24+34.61</f>
        <v>102.85</v>
      </c>
      <c r="K317" s="764">
        <f t="shared" si="10"/>
        <v>105.85</v>
      </c>
      <c r="L317" s="764">
        <v>12</v>
      </c>
      <c r="N317" s="930" t="s">
        <v>2941</v>
      </c>
      <c r="P317" s="758">
        <v>1</v>
      </c>
    </row>
    <row r="318" spans="1:18" x14ac:dyDescent="0.2">
      <c r="A318" s="611" t="s">
        <v>2447</v>
      </c>
      <c r="B318" s="611" t="s">
        <v>2890</v>
      </c>
      <c r="D318" s="816" t="s">
        <v>1444</v>
      </c>
      <c r="E318" s="792">
        <v>295</v>
      </c>
      <c r="I318" s="813">
        <v>205.8</v>
      </c>
      <c r="J318" s="755">
        <v>98.35</v>
      </c>
      <c r="K318" s="764">
        <f t="shared" si="10"/>
        <v>107.45000000000002</v>
      </c>
      <c r="L318" s="764">
        <v>103</v>
      </c>
      <c r="N318" s="930" t="s">
        <v>2939</v>
      </c>
      <c r="P318" s="792">
        <v>1</v>
      </c>
      <c r="R318" s="792"/>
    </row>
    <row r="319" spans="1:18" x14ac:dyDescent="0.2">
      <c r="A319" s="611" t="s">
        <v>2491</v>
      </c>
      <c r="B319" s="611" t="s">
        <v>2890</v>
      </c>
      <c r="D319" s="816" t="s">
        <v>1444</v>
      </c>
      <c r="E319" s="792">
        <v>397</v>
      </c>
      <c r="I319" s="813">
        <v>190.5</v>
      </c>
      <c r="J319" s="755">
        <v>69.989999999999995</v>
      </c>
      <c r="K319" s="764">
        <f t="shared" si="10"/>
        <v>120.51</v>
      </c>
      <c r="L319" s="764">
        <v>119</v>
      </c>
      <c r="N319" s="930" t="s">
        <v>2953</v>
      </c>
      <c r="P319" s="792">
        <v>1</v>
      </c>
      <c r="R319" s="792"/>
    </row>
    <row r="320" spans="1:18" ht="12.75" customHeight="1" x14ac:dyDescent="0.2">
      <c r="A320" s="611" t="s">
        <v>2513</v>
      </c>
      <c r="B320" s="611" t="s">
        <v>2890</v>
      </c>
      <c r="D320" s="816" t="s">
        <v>3186</v>
      </c>
      <c r="E320" s="792">
        <v>398</v>
      </c>
      <c r="I320" s="813">
        <v>126.2</v>
      </c>
      <c r="J320" s="755">
        <v>113.47</v>
      </c>
      <c r="K320" s="917">
        <f t="shared" si="10"/>
        <v>12.730000000000004</v>
      </c>
      <c r="L320" s="917">
        <v>0</v>
      </c>
      <c r="M320" s="917"/>
      <c r="N320" s="931"/>
      <c r="P320" s="792"/>
      <c r="Q320" s="758">
        <v>1</v>
      </c>
      <c r="R320" s="792"/>
    </row>
    <row r="321" spans="1:18" x14ac:dyDescent="0.2">
      <c r="A321" s="611" t="s">
        <v>2523</v>
      </c>
      <c r="B321" s="611" t="s">
        <v>2890</v>
      </c>
      <c r="D321" s="816" t="s">
        <v>2976</v>
      </c>
      <c r="E321" s="792">
        <v>398</v>
      </c>
      <c r="I321" s="813">
        <v>295.3</v>
      </c>
      <c r="J321" s="755">
        <v>192.04</v>
      </c>
      <c r="K321" s="764">
        <f t="shared" si="10"/>
        <v>103.26000000000002</v>
      </c>
      <c r="N321" s="930" t="s">
        <v>3021</v>
      </c>
      <c r="P321" s="792">
        <v>1</v>
      </c>
      <c r="R321" s="792"/>
    </row>
    <row r="322" spans="1:18" x14ac:dyDescent="0.2">
      <c r="A322" s="611" t="s">
        <v>2528</v>
      </c>
      <c r="B322" s="611" t="s">
        <v>2890</v>
      </c>
      <c r="D322" s="816" t="s">
        <v>3187</v>
      </c>
      <c r="E322" s="792">
        <v>398</v>
      </c>
      <c r="I322" s="813">
        <v>251.5</v>
      </c>
      <c r="J322" s="755">
        <v>193.87</v>
      </c>
      <c r="K322" s="764">
        <f t="shared" si="10"/>
        <v>57.629999999999995</v>
      </c>
      <c r="L322" s="764">
        <v>52</v>
      </c>
      <c r="N322" s="930" t="s">
        <v>3007</v>
      </c>
      <c r="P322" s="792"/>
      <c r="R322" s="792">
        <v>1</v>
      </c>
    </row>
    <row r="323" spans="1:18" x14ac:dyDescent="0.2">
      <c r="A323" s="728" t="s">
        <v>2561</v>
      </c>
      <c r="B323" s="611" t="s">
        <v>2890</v>
      </c>
      <c r="C323" s="753" t="s">
        <v>2537</v>
      </c>
      <c r="D323" s="816" t="s">
        <v>1444</v>
      </c>
      <c r="E323" s="792">
        <v>397</v>
      </c>
      <c r="H323" s="792"/>
      <c r="I323" s="813">
        <v>174.1</v>
      </c>
      <c r="J323" s="755">
        <v>67.900000000000006</v>
      </c>
      <c r="K323" s="764">
        <f t="shared" si="10"/>
        <v>106.19999999999999</v>
      </c>
      <c r="L323" s="764">
        <v>92</v>
      </c>
      <c r="N323" s="930" t="s">
        <v>2941</v>
      </c>
      <c r="P323" s="758">
        <v>1</v>
      </c>
    </row>
    <row r="324" spans="1:18" x14ac:dyDescent="0.2">
      <c r="A324" s="611" t="s">
        <v>3220</v>
      </c>
      <c r="B324" s="611" t="s">
        <v>2890</v>
      </c>
      <c r="C324" s="816" t="s">
        <v>3219</v>
      </c>
      <c r="D324" s="816" t="s">
        <v>1444</v>
      </c>
      <c r="E324" s="792">
        <v>394</v>
      </c>
      <c r="F324" s="792" t="s">
        <v>2575</v>
      </c>
      <c r="I324" s="919">
        <v>194.2</v>
      </c>
      <c r="J324" s="755">
        <f>66.32+32.68</f>
        <v>99</v>
      </c>
      <c r="K324" s="764">
        <f t="shared" si="10"/>
        <v>95.199999999999989</v>
      </c>
      <c r="L324" s="764">
        <v>83</v>
      </c>
      <c r="N324" s="930" t="s">
        <v>2928</v>
      </c>
      <c r="P324" s="758">
        <v>1</v>
      </c>
    </row>
    <row r="325" spans="1:18" ht="25.5" x14ac:dyDescent="0.2">
      <c r="A325" s="611" t="s">
        <v>2564</v>
      </c>
      <c r="B325" s="611" t="s">
        <v>2890</v>
      </c>
      <c r="C325" s="816" t="s">
        <v>3218</v>
      </c>
      <c r="D325" s="816" t="s">
        <v>1444</v>
      </c>
      <c r="E325" s="792">
        <v>295</v>
      </c>
      <c r="F325" s="792" t="s">
        <v>2575</v>
      </c>
      <c r="I325" s="919">
        <v>139.80000000000001</v>
      </c>
      <c r="J325" s="755">
        <f>48.44+33</f>
        <v>81.44</v>
      </c>
      <c r="K325" s="764">
        <f t="shared" si="10"/>
        <v>58.360000000000014</v>
      </c>
      <c r="L325" s="764">
        <v>52</v>
      </c>
      <c r="N325" s="930" t="s">
        <v>2928</v>
      </c>
      <c r="P325" s="758">
        <v>1</v>
      </c>
    </row>
    <row r="326" spans="1:18" x14ac:dyDescent="0.2">
      <c r="A326" s="728" t="s">
        <v>2571</v>
      </c>
      <c r="B326" s="611" t="s">
        <v>2890</v>
      </c>
      <c r="C326" s="753" t="s">
        <v>2589</v>
      </c>
      <c r="D326" s="816" t="s">
        <v>1444</v>
      </c>
      <c r="E326" s="792">
        <v>398</v>
      </c>
      <c r="H326" s="792"/>
      <c r="I326" s="813">
        <v>81.099999999999994</v>
      </c>
      <c r="J326" s="755">
        <v>29.18</v>
      </c>
      <c r="K326" s="764">
        <f t="shared" si="10"/>
        <v>51.919999999999995</v>
      </c>
      <c r="L326" s="764" t="s">
        <v>3031</v>
      </c>
      <c r="N326" s="930" t="s">
        <v>2589</v>
      </c>
      <c r="P326" s="758">
        <v>1</v>
      </c>
    </row>
    <row r="327" spans="1:18" x14ac:dyDescent="0.2">
      <c r="A327" s="611" t="s">
        <v>2596</v>
      </c>
      <c r="B327" s="611" t="s">
        <v>2890</v>
      </c>
      <c r="C327" s="816" t="s">
        <v>2574</v>
      </c>
      <c r="D327" s="816" t="s">
        <v>1444</v>
      </c>
      <c r="E327" s="792">
        <v>398</v>
      </c>
      <c r="I327" s="919">
        <v>188.6</v>
      </c>
      <c r="J327" s="755">
        <v>187.05</v>
      </c>
      <c r="K327" s="917">
        <f t="shared" si="10"/>
        <v>1.5499999999999829</v>
      </c>
      <c r="L327" s="917">
        <v>0</v>
      </c>
      <c r="M327" s="917"/>
      <c r="N327" s="931"/>
      <c r="P327" s="758">
        <v>1</v>
      </c>
    </row>
    <row r="328" spans="1:18" x14ac:dyDescent="0.2">
      <c r="A328" s="728" t="s">
        <v>2602</v>
      </c>
      <c r="B328" s="611" t="s">
        <v>2890</v>
      </c>
      <c r="C328" s="816" t="s">
        <v>2576</v>
      </c>
      <c r="D328" s="816" t="s">
        <v>1444</v>
      </c>
      <c r="E328" s="792">
        <v>398</v>
      </c>
      <c r="I328" s="919">
        <v>190</v>
      </c>
      <c r="J328" s="755">
        <v>182.91</v>
      </c>
      <c r="K328" s="917">
        <f t="shared" si="10"/>
        <v>7.0900000000000034</v>
      </c>
      <c r="L328" s="917">
        <v>0</v>
      </c>
      <c r="M328" s="917"/>
      <c r="N328" s="931"/>
      <c r="P328" s="758">
        <v>1</v>
      </c>
    </row>
    <row r="329" spans="1:18" x14ac:dyDescent="0.2">
      <c r="A329" s="728" t="s">
        <v>2619</v>
      </c>
      <c r="B329" s="611" t="s">
        <v>2890</v>
      </c>
      <c r="C329" s="816" t="s">
        <v>2430</v>
      </c>
      <c r="D329" s="816" t="s">
        <v>2912</v>
      </c>
      <c r="E329" s="792">
        <v>394</v>
      </c>
      <c r="I329" s="919">
        <v>242.2</v>
      </c>
      <c r="J329" s="755">
        <v>66.44</v>
      </c>
      <c r="K329" s="764">
        <f t="shared" si="10"/>
        <v>175.76</v>
      </c>
      <c r="L329" s="764">
        <v>152</v>
      </c>
      <c r="N329" s="930" t="s">
        <v>2993</v>
      </c>
      <c r="R329" s="758">
        <v>1</v>
      </c>
    </row>
    <row r="330" spans="1:18" ht="25.5" x14ac:dyDescent="0.2">
      <c r="A330" s="611" t="s">
        <v>2687</v>
      </c>
      <c r="B330" s="611" t="s">
        <v>2890</v>
      </c>
      <c r="C330" s="753" t="s">
        <v>2852</v>
      </c>
      <c r="D330" s="816" t="s">
        <v>1444</v>
      </c>
      <c r="E330" s="792">
        <v>393</v>
      </c>
      <c r="H330" s="792"/>
      <c r="I330" s="813">
        <v>218.8</v>
      </c>
      <c r="J330" s="755">
        <v>104.27</v>
      </c>
      <c r="K330" s="764">
        <f t="shared" si="10"/>
        <v>114.53000000000002</v>
      </c>
      <c r="L330" s="764">
        <v>110</v>
      </c>
      <c r="N330" s="930" t="s">
        <v>3000</v>
      </c>
      <c r="R330" s="758">
        <v>1</v>
      </c>
    </row>
    <row r="331" spans="1:18" x14ac:dyDescent="0.2">
      <c r="A331" s="728" t="s">
        <v>2687</v>
      </c>
      <c r="B331" s="611" t="s">
        <v>2890</v>
      </c>
      <c r="D331" s="816" t="s">
        <v>3188</v>
      </c>
      <c r="H331" s="792"/>
      <c r="I331" s="919">
        <v>6159</v>
      </c>
      <c r="J331" s="755">
        <v>0</v>
      </c>
      <c r="N331" s="930" t="s">
        <v>2901</v>
      </c>
      <c r="R331" s="758">
        <v>1</v>
      </c>
    </row>
    <row r="332" spans="1:18" x14ac:dyDescent="0.2">
      <c r="A332" s="728" t="s">
        <v>2740</v>
      </c>
      <c r="B332" s="611" t="s">
        <v>2890</v>
      </c>
      <c r="C332" s="753" t="s">
        <v>2498</v>
      </c>
      <c r="D332" s="816" t="s">
        <v>1444</v>
      </c>
      <c r="E332" s="792">
        <v>397</v>
      </c>
      <c r="H332" s="792"/>
      <c r="I332" s="813">
        <v>195.3</v>
      </c>
      <c r="J332" s="755">
        <v>70.44</v>
      </c>
      <c r="K332" s="764">
        <f t="shared" ref="K332:K363" si="11">I332-J332</f>
        <v>124.86000000000001</v>
      </c>
      <c r="L332" s="764">
        <v>117</v>
      </c>
      <c r="N332" s="930" t="s">
        <v>3214</v>
      </c>
      <c r="P332" s="758">
        <v>1</v>
      </c>
    </row>
    <row r="333" spans="1:18" x14ac:dyDescent="0.2">
      <c r="A333" s="728" t="s">
        <v>2740</v>
      </c>
      <c r="B333" s="611" t="s">
        <v>2890</v>
      </c>
      <c r="C333" s="753" t="s">
        <v>2499</v>
      </c>
      <c r="D333" s="816" t="s">
        <v>1444</v>
      </c>
      <c r="E333" s="792">
        <v>397</v>
      </c>
      <c r="H333" s="792"/>
      <c r="I333" s="813">
        <v>194.5</v>
      </c>
      <c r="J333" s="755">
        <v>70.59</v>
      </c>
      <c r="K333" s="764">
        <f t="shared" si="11"/>
        <v>123.91</v>
      </c>
      <c r="L333" s="764">
        <v>120</v>
      </c>
      <c r="N333" s="930" t="s">
        <v>3002</v>
      </c>
      <c r="P333" s="758">
        <v>1</v>
      </c>
    </row>
    <row r="334" spans="1:18" x14ac:dyDescent="0.2">
      <c r="A334" s="728" t="s">
        <v>2740</v>
      </c>
      <c r="B334" s="611" t="s">
        <v>2890</v>
      </c>
      <c r="C334" s="753" t="s">
        <v>2500</v>
      </c>
      <c r="D334" s="816" t="s">
        <v>1444</v>
      </c>
      <c r="E334" s="792">
        <v>397</v>
      </c>
      <c r="H334" s="792"/>
      <c r="I334" s="813">
        <v>196.3</v>
      </c>
      <c r="J334" s="755">
        <v>68.819999999999993</v>
      </c>
      <c r="K334" s="764">
        <f t="shared" si="11"/>
        <v>127.48000000000002</v>
      </c>
      <c r="L334" s="764">
        <v>123</v>
      </c>
      <c r="N334" s="930" t="s">
        <v>3217</v>
      </c>
      <c r="P334" s="758">
        <v>1</v>
      </c>
    </row>
    <row r="335" spans="1:18" ht="25.5" x14ac:dyDescent="0.2">
      <c r="A335" s="816" t="s">
        <v>612</v>
      </c>
      <c r="B335" s="611" t="s">
        <v>2890</v>
      </c>
      <c r="C335" s="816" t="s">
        <v>2127</v>
      </c>
      <c r="D335" s="816" t="s">
        <v>1444</v>
      </c>
      <c r="E335" s="792">
        <v>361</v>
      </c>
      <c r="I335" s="813">
        <v>152</v>
      </c>
      <c r="J335" s="755">
        <v>148.36000000000001</v>
      </c>
      <c r="K335" s="917">
        <f t="shared" si="11"/>
        <v>3.6399999999999864</v>
      </c>
      <c r="L335" s="917"/>
      <c r="M335" s="917"/>
      <c r="N335" s="930" t="s">
        <v>2936</v>
      </c>
      <c r="R335" s="758">
        <v>1</v>
      </c>
    </row>
    <row r="336" spans="1:18" x14ac:dyDescent="0.2">
      <c r="A336" s="816" t="s">
        <v>612</v>
      </c>
      <c r="B336" s="611" t="s">
        <v>2890</v>
      </c>
      <c r="C336" s="753" t="s">
        <v>2125</v>
      </c>
      <c r="D336" s="816" t="s">
        <v>1444</v>
      </c>
      <c r="E336" s="792">
        <v>385</v>
      </c>
      <c r="F336" s="792">
        <v>386</v>
      </c>
      <c r="H336" s="792"/>
      <c r="I336" s="813">
        <v>220.7</v>
      </c>
      <c r="J336" s="755">
        <v>166.53</v>
      </c>
      <c r="K336" s="764">
        <f t="shared" si="11"/>
        <v>54.169999999999987</v>
      </c>
      <c r="N336" s="930" t="s">
        <v>3216</v>
      </c>
      <c r="R336" s="758">
        <v>1</v>
      </c>
    </row>
    <row r="337" spans="1:18" ht="25.5" x14ac:dyDescent="0.2">
      <c r="A337" s="816" t="s">
        <v>612</v>
      </c>
      <c r="B337" s="611" t="s">
        <v>2890</v>
      </c>
      <c r="C337" s="753" t="s">
        <v>3037</v>
      </c>
      <c r="D337" s="816" t="s">
        <v>1444</v>
      </c>
      <c r="E337" s="792">
        <v>392</v>
      </c>
      <c r="F337" s="792">
        <v>393</v>
      </c>
      <c r="H337" s="792"/>
      <c r="I337" s="813">
        <v>231.2</v>
      </c>
      <c r="J337" s="755">
        <f>64.69+95.95</f>
        <v>160.63999999999999</v>
      </c>
      <c r="K337" s="764">
        <f t="shared" si="11"/>
        <v>70.56</v>
      </c>
      <c r="L337" s="764">
        <v>62</v>
      </c>
      <c r="N337" s="930" t="s">
        <v>2941</v>
      </c>
      <c r="R337" s="758">
        <v>1</v>
      </c>
    </row>
    <row r="338" spans="1:18" ht="25.5" x14ac:dyDescent="0.2">
      <c r="A338" s="816" t="s">
        <v>612</v>
      </c>
      <c r="B338" s="611" t="s">
        <v>2890</v>
      </c>
      <c r="C338" s="753" t="s">
        <v>2853</v>
      </c>
      <c r="D338" s="816" t="s">
        <v>1444</v>
      </c>
      <c r="E338" s="792">
        <v>390</v>
      </c>
      <c r="F338" s="792" t="s">
        <v>2575</v>
      </c>
      <c r="H338" s="792"/>
      <c r="I338" s="919">
        <v>83.6</v>
      </c>
      <c r="J338" s="755">
        <f>52.28+22.52</f>
        <v>74.8</v>
      </c>
      <c r="K338" s="917">
        <f t="shared" si="11"/>
        <v>8.7999999999999972</v>
      </c>
      <c r="L338" s="917">
        <v>0</v>
      </c>
      <c r="M338" s="917"/>
      <c r="N338" s="931"/>
      <c r="R338" s="758">
        <v>1</v>
      </c>
    </row>
    <row r="339" spans="1:18" ht="25.5" x14ac:dyDescent="0.2">
      <c r="A339" s="816" t="s">
        <v>612</v>
      </c>
      <c r="B339" s="611" t="s">
        <v>2890</v>
      </c>
      <c r="C339" s="753" t="s">
        <v>2854</v>
      </c>
      <c r="D339" s="816" t="s">
        <v>1444</v>
      </c>
      <c r="E339" s="792">
        <v>390</v>
      </c>
      <c r="H339" s="792"/>
      <c r="I339" s="919">
        <v>223.2</v>
      </c>
      <c r="J339" s="755">
        <v>66.95</v>
      </c>
      <c r="K339" s="764">
        <f t="shared" si="11"/>
        <v>156.25</v>
      </c>
      <c r="L339" s="764" t="s">
        <v>3030</v>
      </c>
      <c r="N339" s="930" t="s">
        <v>3215</v>
      </c>
      <c r="R339" s="758">
        <v>1</v>
      </c>
    </row>
    <row r="340" spans="1:18" ht="25.5" x14ac:dyDescent="0.2">
      <c r="A340" s="816" t="s">
        <v>612</v>
      </c>
      <c r="B340" s="611" t="s">
        <v>2890</v>
      </c>
      <c r="C340" s="753" t="s">
        <v>2855</v>
      </c>
      <c r="D340" s="816" t="s">
        <v>3183</v>
      </c>
      <c r="E340" s="792">
        <v>392</v>
      </c>
      <c r="H340" s="792"/>
      <c r="I340" s="813">
        <v>377.8</v>
      </c>
      <c r="J340" s="755">
        <v>90.13</v>
      </c>
      <c r="K340" s="764">
        <f t="shared" si="11"/>
        <v>287.67</v>
      </c>
      <c r="L340" s="764">
        <v>274</v>
      </c>
      <c r="N340" s="930" t="s">
        <v>3008</v>
      </c>
      <c r="R340" s="758">
        <v>1</v>
      </c>
    </row>
    <row r="341" spans="1:18" ht="38.25" x14ac:dyDescent="0.2">
      <c r="A341" s="816" t="s">
        <v>612</v>
      </c>
      <c r="B341" s="611" t="s">
        <v>2890</v>
      </c>
      <c r="C341" s="816" t="s">
        <v>2857</v>
      </c>
      <c r="D341" s="816" t="s">
        <v>1444</v>
      </c>
      <c r="E341" s="792">
        <v>398</v>
      </c>
      <c r="I341" s="919">
        <v>200.7</v>
      </c>
      <c r="J341" s="755">
        <v>123</v>
      </c>
      <c r="K341" s="764">
        <f t="shared" si="11"/>
        <v>77.699999999999989</v>
      </c>
      <c r="N341" s="930" t="s">
        <v>2928</v>
      </c>
      <c r="R341" s="758">
        <v>1</v>
      </c>
    </row>
    <row r="342" spans="1:18" ht="25.5" x14ac:dyDescent="0.2">
      <c r="A342" s="816" t="s">
        <v>612</v>
      </c>
      <c r="B342" s="611" t="s">
        <v>2890</v>
      </c>
      <c r="C342" s="816" t="s">
        <v>2856</v>
      </c>
      <c r="D342" s="816" t="s">
        <v>1444</v>
      </c>
      <c r="E342" s="792">
        <v>398</v>
      </c>
      <c r="I342" s="919">
        <v>120.2</v>
      </c>
      <c r="J342" s="755">
        <v>118.84</v>
      </c>
      <c r="K342" s="917">
        <f t="shared" si="11"/>
        <v>1.3599999999999994</v>
      </c>
      <c r="L342" s="917">
        <v>0</v>
      </c>
      <c r="M342" s="917"/>
      <c r="N342" s="930" t="s">
        <v>50</v>
      </c>
      <c r="R342" s="758">
        <v>1</v>
      </c>
    </row>
    <row r="343" spans="1:18" ht="25.5" x14ac:dyDescent="0.2">
      <c r="A343" s="816" t="s">
        <v>612</v>
      </c>
      <c r="B343" s="611" t="s">
        <v>2890</v>
      </c>
      <c r="C343" s="753" t="s">
        <v>2849</v>
      </c>
      <c r="D343" s="816" t="s">
        <v>1444</v>
      </c>
      <c r="E343" s="792">
        <v>393</v>
      </c>
      <c r="F343" s="792">
        <v>397</v>
      </c>
      <c r="H343" s="792"/>
      <c r="I343" s="813">
        <v>221.3</v>
      </c>
      <c r="J343" s="755">
        <f>97.46+67.9</f>
        <v>165.36</v>
      </c>
      <c r="K343" s="764">
        <f t="shared" si="11"/>
        <v>55.94</v>
      </c>
      <c r="L343" s="764">
        <v>50</v>
      </c>
      <c r="N343" s="930" t="s">
        <v>2941</v>
      </c>
      <c r="R343" s="758">
        <v>1</v>
      </c>
    </row>
    <row r="344" spans="1:18" ht="25.5" x14ac:dyDescent="0.2">
      <c r="A344" s="816" t="s">
        <v>612</v>
      </c>
      <c r="B344" s="611" t="s">
        <v>2890</v>
      </c>
      <c r="C344" s="753" t="s">
        <v>2129</v>
      </c>
      <c r="D344" s="816" t="s">
        <v>1444</v>
      </c>
      <c r="E344" s="792">
        <v>380</v>
      </c>
      <c r="H344" s="792"/>
      <c r="I344" s="813">
        <v>96.7</v>
      </c>
      <c r="J344" s="755">
        <v>96.39</v>
      </c>
      <c r="K344" s="917">
        <f t="shared" si="11"/>
        <v>0.31000000000000227</v>
      </c>
      <c r="L344" s="917"/>
      <c r="M344" s="917"/>
      <c r="N344" s="931"/>
      <c r="R344" s="758">
        <v>1</v>
      </c>
    </row>
    <row r="345" spans="1:18" ht="25.5" x14ac:dyDescent="0.2">
      <c r="A345" s="816" t="s">
        <v>612</v>
      </c>
      <c r="B345" s="611" t="s">
        <v>2890</v>
      </c>
      <c r="C345" s="753" t="s">
        <v>2130</v>
      </c>
      <c r="D345" s="816" t="s">
        <v>1444</v>
      </c>
      <c r="E345" s="792">
        <v>380</v>
      </c>
      <c r="H345" s="792"/>
      <c r="I345" s="813">
        <v>79.400000000000006</v>
      </c>
      <c r="J345" s="755">
        <v>73.66</v>
      </c>
      <c r="K345" s="917">
        <f t="shared" si="11"/>
        <v>5.7400000000000091</v>
      </c>
      <c r="L345" s="917"/>
      <c r="M345" s="917"/>
      <c r="N345" s="931"/>
      <c r="R345" s="758">
        <v>1</v>
      </c>
    </row>
    <row r="346" spans="1:18" ht="25.5" x14ac:dyDescent="0.2">
      <c r="A346" s="816" t="s">
        <v>612</v>
      </c>
      <c r="B346" s="611" t="s">
        <v>2890</v>
      </c>
      <c r="C346" s="753" t="s">
        <v>2131</v>
      </c>
      <c r="D346" s="816" t="s">
        <v>1444</v>
      </c>
      <c r="E346" s="792">
        <v>380</v>
      </c>
      <c r="H346" s="792"/>
      <c r="I346" s="813">
        <v>61.7</v>
      </c>
      <c r="J346" s="755">
        <v>61.17</v>
      </c>
      <c r="K346" s="917">
        <f t="shared" si="11"/>
        <v>0.53000000000000114</v>
      </c>
      <c r="L346" s="917"/>
      <c r="M346" s="917"/>
      <c r="N346" s="931"/>
      <c r="R346" s="758">
        <v>1</v>
      </c>
    </row>
    <row r="347" spans="1:18" ht="25.5" x14ac:dyDescent="0.2">
      <c r="A347" s="816" t="s">
        <v>612</v>
      </c>
      <c r="B347" s="611" t="s">
        <v>2890</v>
      </c>
      <c r="C347" s="753" t="s">
        <v>2858</v>
      </c>
      <c r="D347" s="816" t="s">
        <v>1444</v>
      </c>
      <c r="E347" s="792">
        <v>387</v>
      </c>
      <c r="H347" s="792"/>
      <c r="I347" s="813">
        <v>76</v>
      </c>
      <c r="J347" s="755">
        <v>45.2</v>
      </c>
      <c r="K347" s="764">
        <f t="shared" si="11"/>
        <v>30.799999999999997</v>
      </c>
      <c r="L347" s="764">
        <v>25</v>
      </c>
      <c r="N347" s="930" t="s">
        <v>3223</v>
      </c>
      <c r="R347" s="758">
        <v>1</v>
      </c>
    </row>
    <row r="348" spans="1:18" ht="25.5" x14ac:dyDescent="0.2">
      <c r="A348" s="816" t="s">
        <v>612</v>
      </c>
      <c r="B348" s="611" t="s">
        <v>2890</v>
      </c>
      <c r="C348" s="753" t="s">
        <v>2859</v>
      </c>
      <c r="D348" s="816" t="s">
        <v>1444</v>
      </c>
      <c r="E348" s="792">
        <v>389</v>
      </c>
      <c r="H348" s="792"/>
      <c r="I348" s="813">
        <v>203.2</v>
      </c>
      <c r="J348" s="755">
        <v>103.07</v>
      </c>
      <c r="K348" s="764">
        <f t="shared" si="11"/>
        <v>100.13</v>
      </c>
      <c r="N348" s="930" t="s">
        <v>3212</v>
      </c>
      <c r="R348" s="758">
        <v>1</v>
      </c>
    </row>
    <row r="349" spans="1:18" ht="25.5" x14ac:dyDescent="0.2">
      <c r="A349" s="816" t="s">
        <v>612</v>
      </c>
      <c r="B349" s="611" t="s">
        <v>2890</v>
      </c>
      <c r="C349" s="753" t="s">
        <v>2132</v>
      </c>
      <c r="D349" s="816" t="s">
        <v>1444</v>
      </c>
      <c r="E349" s="792">
        <v>386</v>
      </c>
      <c r="H349" s="792"/>
      <c r="I349" s="813">
        <v>222.5</v>
      </c>
      <c r="J349" s="755">
        <v>99.03</v>
      </c>
      <c r="K349" s="764">
        <f t="shared" si="11"/>
        <v>123.47</v>
      </c>
      <c r="R349" s="758">
        <v>1</v>
      </c>
    </row>
    <row r="350" spans="1:18" ht="25.5" x14ac:dyDescent="0.2">
      <c r="A350" s="816" t="s">
        <v>612</v>
      </c>
      <c r="B350" s="611" t="s">
        <v>2890</v>
      </c>
      <c r="C350" s="816" t="s">
        <v>2128</v>
      </c>
      <c r="D350" s="816" t="s">
        <v>3162</v>
      </c>
      <c r="E350" s="792">
        <v>362</v>
      </c>
      <c r="I350" s="813">
        <f>815.5+112.8+65.4</f>
        <v>993.69999999999993</v>
      </c>
      <c r="J350" s="755">
        <v>180.36</v>
      </c>
      <c r="K350" s="764">
        <f t="shared" si="11"/>
        <v>813.33999999999992</v>
      </c>
      <c r="N350" s="930" t="s">
        <v>3258</v>
      </c>
      <c r="R350" s="758">
        <v>1</v>
      </c>
    </row>
    <row r="351" spans="1:18" ht="25.5" x14ac:dyDescent="0.2">
      <c r="A351" s="816" t="s">
        <v>612</v>
      </c>
      <c r="B351" s="611" t="s">
        <v>2890</v>
      </c>
      <c r="C351" s="816" t="s">
        <v>2891</v>
      </c>
      <c r="D351" s="816" t="s">
        <v>3162</v>
      </c>
      <c r="E351" s="792">
        <v>357</v>
      </c>
      <c r="I351" s="813">
        <f>23.39+23.18</f>
        <v>46.57</v>
      </c>
      <c r="J351" s="755">
        <v>46.57</v>
      </c>
      <c r="K351" s="917">
        <f t="shared" si="11"/>
        <v>0</v>
      </c>
      <c r="L351" s="917"/>
      <c r="M351" s="917"/>
      <c r="N351" s="930" t="s">
        <v>50</v>
      </c>
      <c r="R351" s="758">
        <v>1</v>
      </c>
    </row>
    <row r="352" spans="1:18" ht="25.5" x14ac:dyDescent="0.2">
      <c r="A352" s="816" t="s">
        <v>612</v>
      </c>
      <c r="B352" s="611" t="s">
        <v>2890</v>
      </c>
      <c r="C352" s="753" t="s">
        <v>2133</v>
      </c>
      <c r="D352" s="816" t="s">
        <v>1444</v>
      </c>
      <c r="E352" s="792">
        <v>386</v>
      </c>
      <c r="H352" s="792"/>
      <c r="I352" s="813">
        <v>126.4</v>
      </c>
      <c r="J352" s="755">
        <v>91.66</v>
      </c>
      <c r="K352" s="764">
        <f t="shared" si="11"/>
        <v>34.740000000000009</v>
      </c>
      <c r="N352" s="930" t="s">
        <v>2941</v>
      </c>
      <c r="R352" s="758">
        <v>1</v>
      </c>
    </row>
    <row r="353" spans="1:18" ht="25.5" x14ac:dyDescent="0.2">
      <c r="A353" s="816" t="s">
        <v>612</v>
      </c>
      <c r="B353" s="611" t="s">
        <v>2890</v>
      </c>
      <c r="C353" s="753" t="s">
        <v>2134</v>
      </c>
      <c r="D353" s="816" t="s">
        <v>1444</v>
      </c>
      <c r="E353" s="792">
        <v>386</v>
      </c>
      <c r="H353" s="792"/>
      <c r="I353" s="813">
        <v>203.8</v>
      </c>
      <c r="J353" s="755">
        <v>95.8</v>
      </c>
      <c r="K353" s="764">
        <f t="shared" si="11"/>
        <v>108.00000000000001</v>
      </c>
      <c r="N353" s="930" t="s">
        <v>2928</v>
      </c>
      <c r="R353" s="758">
        <v>1</v>
      </c>
    </row>
    <row r="354" spans="1:18" ht="25.5" x14ac:dyDescent="0.2">
      <c r="A354" s="816" t="s">
        <v>612</v>
      </c>
      <c r="B354" s="611" t="s">
        <v>2890</v>
      </c>
      <c r="C354" s="753" t="s">
        <v>2135</v>
      </c>
      <c r="D354" s="816" t="s">
        <v>1444</v>
      </c>
      <c r="E354" s="792">
        <v>379</v>
      </c>
      <c r="H354" s="792"/>
      <c r="I354" s="813">
        <v>181.7</v>
      </c>
      <c r="J354" s="755">
        <v>172.08</v>
      </c>
      <c r="K354" s="917">
        <f t="shared" si="11"/>
        <v>9.6199999999999761</v>
      </c>
      <c r="L354" s="917"/>
      <c r="M354" s="917"/>
      <c r="N354" s="931"/>
      <c r="R354" s="758">
        <v>1</v>
      </c>
    </row>
    <row r="355" spans="1:18" ht="25.5" x14ac:dyDescent="0.2">
      <c r="A355" s="816" t="s">
        <v>612</v>
      </c>
      <c r="B355" s="611" t="s">
        <v>2890</v>
      </c>
      <c r="C355" s="753" t="s">
        <v>2136</v>
      </c>
      <c r="D355" s="816" t="s">
        <v>1444</v>
      </c>
      <c r="E355" s="792">
        <v>383</v>
      </c>
      <c r="H355" s="792"/>
      <c r="I355" s="813">
        <v>123.5</v>
      </c>
      <c r="J355" s="755">
        <v>119.54</v>
      </c>
      <c r="K355" s="917">
        <f t="shared" si="11"/>
        <v>3.9599999999999937</v>
      </c>
      <c r="L355" s="917">
        <v>0</v>
      </c>
      <c r="M355" s="917"/>
      <c r="N355" s="931"/>
      <c r="R355" s="758">
        <v>1</v>
      </c>
    </row>
    <row r="356" spans="1:18" ht="25.5" x14ac:dyDescent="0.2">
      <c r="A356" s="816" t="s">
        <v>612</v>
      </c>
      <c r="B356" s="611" t="s">
        <v>2890</v>
      </c>
      <c r="C356" s="753" t="s">
        <v>2880</v>
      </c>
      <c r="D356" s="816" t="s">
        <v>1444</v>
      </c>
      <c r="E356" s="792">
        <v>380</v>
      </c>
      <c r="F356" s="792">
        <v>381</v>
      </c>
      <c r="G356" s="792">
        <v>384</v>
      </c>
      <c r="H356" s="792"/>
      <c r="I356" s="813">
        <v>336.4</v>
      </c>
      <c r="J356" s="755">
        <v>273.39999999999998</v>
      </c>
      <c r="K356" s="764">
        <f t="shared" si="11"/>
        <v>63</v>
      </c>
      <c r="N356" s="930" t="s">
        <v>3213</v>
      </c>
      <c r="R356" s="758">
        <v>1</v>
      </c>
    </row>
    <row r="357" spans="1:18" ht="25.5" x14ac:dyDescent="0.2">
      <c r="A357" s="816" t="s">
        <v>612</v>
      </c>
      <c r="B357" s="611" t="s">
        <v>2890</v>
      </c>
      <c r="C357" s="753" t="s">
        <v>2860</v>
      </c>
      <c r="D357" s="816" t="s">
        <v>1444</v>
      </c>
      <c r="E357" s="792">
        <v>390</v>
      </c>
      <c r="F357" s="792">
        <v>393</v>
      </c>
      <c r="H357" s="792"/>
      <c r="I357" s="813">
        <v>152.80000000000001</v>
      </c>
      <c r="J357" s="755">
        <f>66.3+83.92</f>
        <v>150.22</v>
      </c>
      <c r="K357" s="917">
        <f t="shared" si="11"/>
        <v>2.5800000000000125</v>
      </c>
      <c r="L357" s="917"/>
      <c r="M357" s="917"/>
      <c r="N357" s="931"/>
      <c r="R357" s="758">
        <v>1</v>
      </c>
    </row>
    <row r="358" spans="1:18" ht="25.5" x14ac:dyDescent="0.2">
      <c r="A358" s="816" t="s">
        <v>612</v>
      </c>
      <c r="B358" s="611" t="s">
        <v>2890</v>
      </c>
      <c r="C358" s="753" t="s">
        <v>2861</v>
      </c>
      <c r="D358" s="816" t="s">
        <v>1444</v>
      </c>
      <c r="E358" s="792">
        <v>394</v>
      </c>
      <c r="F358" s="792">
        <v>295</v>
      </c>
      <c r="H358" s="792"/>
      <c r="I358" s="813">
        <v>121.7</v>
      </c>
      <c r="J358" s="755">
        <f>61.63+57.07</f>
        <v>118.7</v>
      </c>
      <c r="K358" s="917">
        <f t="shared" si="11"/>
        <v>3</v>
      </c>
      <c r="L358" s="917">
        <v>0</v>
      </c>
      <c r="M358" s="917"/>
      <c r="N358" s="930" t="s">
        <v>50</v>
      </c>
      <c r="R358" s="758">
        <v>1</v>
      </c>
    </row>
    <row r="359" spans="1:18" ht="25.5" x14ac:dyDescent="0.2">
      <c r="A359" s="816" t="s">
        <v>612</v>
      </c>
      <c r="B359" s="611" t="s">
        <v>2890</v>
      </c>
      <c r="C359" s="753" t="s">
        <v>2850</v>
      </c>
      <c r="D359" s="816" t="s">
        <v>1444</v>
      </c>
      <c r="E359" s="792">
        <v>394</v>
      </c>
      <c r="F359" s="792">
        <v>295</v>
      </c>
      <c r="H359" s="792"/>
      <c r="I359" s="813">
        <v>225.1</v>
      </c>
      <c r="J359" s="755">
        <f>67.63+68.19</f>
        <v>135.82</v>
      </c>
      <c r="K359" s="764">
        <f t="shared" si="11"/>
        <v>89.28</v>
      </c>
      <c r="L359" s="764" t="s">
        <v>3032</v>
      </c>
      <c r="N359" s="930" t="s">
        <v>2928</v>
      </c>
      <c r="R359" s="758">
        <v>1</v>
      </c>
    </row>
    <row r="360" spans="1:18" ht="25.5" x14ac:dyDescent="0.2">
      <c r="A360" s="816" t="s">
        <v>612</v>
      </c>
      <c r="B360" s="611" t="s">
        <v>2890</v>
      </c>
      <c r="C360" s="753" t="s">
        <v>2137</v>
      </c>
      <c r="D360" s="816" t="s">
        <v>1444</v>
      </c>
      <c r="E360" s="792">
        <v>380</v>
      </c>
      <c r="F360" s="792">
        <v>381</v>
      </c>
      <c r="H360" s="792"/>
      <c r="I360" s="813">
        <v>148.6</v>
      </c>
      <c r="J360" s="755">
        <v>145.91999999999999</v>
      </c>
      <c r="K360" s="917">
        <f t="shared" si="11"/>
        <v>2.6800000000000068</v>
      </c>
      <c r="L360" s="917"/>
      <c r="M360" s="917"/>
      <c r="N360" s="930" t="s">
        <v>50</v>
      </c>
      <c r="R360" s="758">
        <v>1</v>
      </c>
    </row>
    <row r="361" spans="1:18" ht="25.5" x14ac:dyDescent="0.2">
      <c r="A361" s="816" t="s">
        <v>612</v>
      </c>
      <c r="B361" s="611" t="s">
        <v>2890</v>
      </c>
      <c r="C361" s="753" t="s">
        <v>2862</v>
      </c>
      <c r="D361" s="816" t="s">
        <v>1444</v>
      </c>
      <c r="E361" s="792">
        <v>389</v>
      </c>
      <c r="H361" s="792"/>
      <c r="I361" s="813">
        <v>166.6</v>
      </c>
      <c r="J361" s="755">
        <v>108.03</v>
      </c>
      <c r="K361" s="764">
        <f t="shared" si="11"/>
        <v>58.569999999999993</v>
      </c>
      <c r="N361" s="930" t="s">
        <v>2938</v>
      </c>
      <c r="R361" s="758">
        <v>1</v>
      </c>
    </row>
    <row r="362" spans="1:18" ht="25.5" x14ac:dyDescent="0.2">
      <c r="A362" s="816" t="s">
        <v>612</v>
      </c>
      <c r="B362" s="611" t="s">
        <v>2890</v>
      </c>
      <c r="C362" s="753" t="s">
        <v>2863</v>
      </c>
      <c r="D362" s="816" t="s">
        <v>1444</v>
      </c>
      <c r="E362" s="792">
        <v>397</v>
      </c>
      <c r="H362" s="792"/>
      <c r="I362" s="813">
        <v>61.9</v>
      </c>
      <c r="J362" s="755">
        <v>60.75</v>
      </c>
      <c r="K362" s="917">
        <f t="shared" si="11"/>
        <v>1.1499999999999986</v>
      </c>
      <c r="L362" s="917">
        <v>0</v>
      </c>
      <c r="M362" s="917"/>
      <c r="N362" s="931"/>
      <c r="R362" s="758">
        <v>1</v>
      </c>
    </row>
    <row r="363" spans="1:18" ht="25.5" x14ac:dyDescent="0.2">
      <c r="A363" s="816" t="s">
        <v>612</v>
      </c>
      <c r="B363" s="611" t="s">
        <v>2890</v>
      </c>
      <c r="C363" s="753" t="s">
        <v>2138</v>
      </c>
      <c r="D363" s="816" t="s">
        <v>1444</v>
      </c>
      <c r="E363" s="792">
        <v>380</v>
      </c>
      <c r="F363" s="792">
        <v>381</v>
      </c>
      <c r="H363" s="792"/>
      <c r="I363" s="813">
        <v>129.5</v>
      </c>
      <c r="J363" s="755">
        <v>124.65</v>
      </c>
      <c r="K363" s="917">
        <f t="shared" si="11"/>
        <v>4.8499999999999943</v>
      </c>
      <c r="L363" s="917"/>
      <c r="M363" s="917"/>
      <c r="N363" s="931"/>
      <c r="R363" s="758">
        <v>1</v>
      </c>
    </row>
    <row r="364" spans="1:18" ht="38.25" x14ac:dyDescent="0.2">
      <c r="A364" s="816" t="s">
        <v>612</v>
      </c>
      <c r="B364" s="611" t="s">
        <v>2890</v>
      </c>
      <c r="C364" s="753" t="s">
        <v>2970</v>
      </c>
      <c r="D364" s="816" t="s">
        <v>3189</v>
      </c>
      <c r="E364" s="792">
        <v>398</v>
      </c>
      <c r="H364" s="792"/>
      <c r="I364" s="813">
        <v>242.6</v>
      </c>
      <c r="J364" s="755">
        <v>62.12</v>
      </c>
      <c r="K364" s="764">
        <f t="shared" ref="K364:K391" si="12">I364-J364</f>
        <v>180.48</v>
      </c>
      <c r="L364" s="917">
        <v>178.4</v>
      </c>
      <c r="M364" s="917"/>
      <c r="N364" s="932" t="s">
        <v>2972</v>
      </c>
      <c r="R364" s="758">
        <v>1</v>
      </c>
    </row>
    <row r="365" spans="1:18" x14ac:dyDescent="0.2">
      <c r="A365" s="816" t="s">
        <v>1724</v>
      </c>
      <c r="B365" s="611" t="s">
        <v>2890</v>
      </c>
      <c r="C365" s="753" t="s">
        <v>1706</v>
      </c>
      <c r="D365" s="816" t="s">
        <v>1444</v>
      </c>
      <c r="E365" s="792">
        <v>380</v>
      </c>
      <c r="F365" s="792">
        <v>381</v>
      </c>
      <c r="G365" s="792">
        <v>383</v>
      </c>
      <c r="H365" s="792"/>
      <c r="I365" s="813">
        <v>249</v>
      </c>
      <c r="J365" s="755">
        <v>236.49</v>
      </c>
      <c r="K365" s="764">
        <f t="shared" si="12"/>
        <v>12.509999999999991</v>
      </c>
      <c r="L365" s="764">
        <v>0</v>
      </c>
      <c r="P365" s="758">
        <v>1</v>
      </c>
    </row>
    <row r="366" spans="1:18" x14ac:dyDescent="0.2">
      <c r="A366" s="816" t="s">
        <v>2280</v>
      </c>
      <c r="B366" s="611" t="s">
        <v>2890</v>
      </c>
      <c r="C366" s="753" t="s">
        <v>2227</v>
      </c>
      <c r="D366" s="816" t="s">
        <v>1444</v>
      </c>
      <c r="E366" s="792">
        <v>392</v>
      </c>
      <c r="F366" s="792">
        <v>393</v>
      </c>
      <c r="H366" s="792"/>
      <c r="I366" s="813">
        <v>211.6</v>
      </c>
      <c r="J366" s="755">
        <f>132.36+71.65</f>
        <v>204.01000000000002</v>
      </c>
      <c r="K366" s="917">
        <f t="shared" si="12"/>
        <v>7.589999999999975</v>
      </c>
      <c r="L366" s="917">
        <v>0</v>
      </c>
      <c r="M366" s="917"/>
      <c r="N366" s="931"/>
      <c r="P366" s="758">
        <v>1</v>
      </c>
    </row>
    <row r="367" spans="1:18" x14ac:dyDescent="0.2">
      <c r="A367" s="816" t="s">
        <v>2395</v>
      </c>
      <c r="B367" s="611" t="s">
        <v>2890</v>
      </c>
      <c r="C367" s="753" t="s">
        <v>2256</v>
      </c>
      <c r="D367" s="816" t="s">
        <v>1444</v>
      </c>
      <c r="E367" s="792">
        <v>393</v>
      </c>
      <c r="H367" s="792"/>
      <c r="I367" s="813">
        <v>217.5</v>
      </c>
      <c r="J367" s="755">
        <v>137.11000000000001</v>
      </c>
      <c r="K367" s="764">
        <f t="shared" si="12"/>
        <v>80.389999999999986</v>
      </c>
      <c r="L367" s="764">
        <v>70</v>
      </c>
      <c r="N367" s="930" t="s">
        <v>3022</v>
      </c>
      <c r="P367" s="758">
        <v>1</v>
      </c>
    </row>
    <row r="368" spans="1:18" x14ac:dyDescent="0.2">
      <c r="A368" s="816" t="s">
        <v>2450</v>
      </c>
      <c r="B368" s="611" t="s">
        <v>2890</v>
      </c>
      <c r="C368" s="816" t="s">
        <v>2519</v>
      </c>
      <c r="D368" s="816" t="s">
        <v>1444</v>
      </c>
      <c r="E368" s="792">
        <v>391</v>
      </c>
      <c r="F368" s="792">
        <v>397</v>
      </c>
      <c r="I368" s="919">
        <v>185.4</v>
      </c>
      <c r="J368" s="755">
        <f>57.34+66.8</f>
        <v>124.14</v>
      </c>
      <c r="K368" s="764">
        <f t="shared" si="12"/>
        <v>61.260000000000005</v>
      </c>
      <c r="L368" s="764">
        <v>58</v>
      </c>
      <c r="N368" s="930" t="s">
        <v>3023</v>
      </c>
      <c r="P368" s="758">
        <v>1</v>
      </c>
    </row>
    <row r="369" spans="1:18" x14ac:dyDescent="0.2">
      <c r="A369" s="816" t="s">
        <v>2450</v>
      </c>
      <c r="B369" s="611" t="s">
        <v>2890</v>
      </c>
      <c r="C369" s="816" t="s">
        <v>2520</v>
      </c>
      <c r="D369" s="816" t="s">
        <v>1444</v>
      </c>
      <c r="E369" s="792">
        <v>395</v>
      </c>
      <c r="F369" s="792">
        <v>397</v>
      </c>
      <c r="I369" s="919">
        <v>195.6</v>
      </c>
      <c r="J369" s="755">
        <f>59.14+36.4</f>
        <v>95.539999999999992</v>
      </c>
      <c r="K369" s="764">
        <f t="shared" si="12"/>
        <v>100.06</v>
      </c>
      <c r="L369" s="764">
        <v>72</v>
      </c>
      <c r="N369" s="930" t="s">
        <v>2928</v>
      </c>
      <c r="P369" s="758">
        <v>1</v>
      </c>
    </row>
    <row r="370" spans="1:18" x14ac:dyDescent="0.2">
      <c r="A370" s="816" t="s">
        <v>2451</v>
      </c>
      <c r="B370" s="611" t="s">
        <v>2890</v>
      </c>
      <c r="C370" s="753" t="s">
        <v>2254</v>
      </c>
      <c r="D370" s="816" t="s">
        <v>1444</v>
      </c>
      <c r="E370" s="792">
        <v>393</v>
      </c>
      <c r="F370" s="792">
        <v>397</v>
      </c>
      <c r="H370" s="792"/>
      <c r="I370" s="813">
        <v>213.9</v>
      </c>
      <c r="J370" s="755">
        <f>63.93+34.31+86.94</f>
        <v>185.18</v>
      </c>
      <c r="K370" s="764">
        <f t="shared" si="12"/>
        <v>28.72</v>
      </c>
      <c r="L370" s="764">
        <v>12</v>
      </c>
      <c r="N370" s="930" t="s">
        <v>2936</v>
      </c>
      <c r="P370" s="758">
        <v>1</v>
      </c>
    </row>
    <row r="371" spans="1:18" ht="25.5" x14ac:dyDescent="0.2">
      <c r="A371" s="611" t="s">
        <v>2751</v>
      </c>
      <c r="B371" s="611" t="s">
        <v>2890</v>
      </c>
      <c r="C371" s="753" t="s">
        <v>2126</v>
      </c>
      <c r="D371" s="816" t="s">
        <v>1444</v>
      </c>
      <c r="E371" s="792">
        <v>386</v>
      </c>
      <c r="H371" s="792"/>
      <c r="I371" s="813">
        <v>106.3</v>
      </c>
      <c r="J371" s="755">
        <v>104.47</v>
      </c>
      <c r="K371" s="917">
        <f t="shared" si="12"/>
        <v>1.8299999999999983</v>
      </c>
      <c r="L371" s="917"/>
      <c r="M371" s="917"/>
      <c r="N371" s="931"/>
      <c r="P371" s="758">
        <v>1</v>
      </c>
    </row>
    <row r="372" spans="1:18" ht="25.5" x14ac:dyDescent="0.2">
      <c r="A372" s="611" t="s">
        <v>2751</v>
      </c>
      <c r="B372" s="611" t="s">
        <v>2890</v>
      </c>
      <c r="C372" s="753" t="s">
        <v>2851</v>
      </c>
      <c r="D372" s="816" t="s">
        <v>1444</v>
      </c>
      <c r="E372" s="792">
        <v>392</v>
      </c>
      <c r="H372" s="792"/>
      <c r="I372" s="813">
        <v>137.1</v>
      </c>
      <c r="J372" s="755">
        <v>95.55</v>
      </c>
      <c r="K372" s="764">
        <f t="shared" si="12"/>
        <v>41.55</v>
      </c>
      <c r="N372" s="930" t="s">
        <v>2948</v>
      </c>
      <c r="P372" s="758">
        <v>1</v>
      </c>
    </row>
    <row r="373" spans="1:18" x14ac:dyDescent="0.2">
      <c r="A373" s="611" t="s">
        <v>2588</v>
      </c>
      <c r="B373" s="611" t="s">
        <v>2890</v>
      </c>
      <c r="C373" s="816" t="s">
        <v>2505</v>
      </c>
      <c r="D373" s="816" t="s">
        <v>1444</v>
      </c>
      <c r="E373" s="792">
        <v>391</v>
      </c>
      <c r="F373" s="792">
        <v>397</v>
      </c>
      <c r="I373" s="919">
        <v>215.9</v>
      </c>
      <c r="J373" s="755">
        <f>72.25+138.81</f>
        <v>211.06</v>
      </c>
      <c r="K373" s="917">
        <f t="shared" si="12"/>
        <v>4.8400000000000034</v>
      </c>
      <c r="L373" s="917">
        <v>0</v>
      </c>
      <c r="M373" s="917"/>
      <c r="N373" s="931"/>
      <c r="P373" s="758">
        <v>1</v>
      </c>
    </row>
    <row r="374" spans="1:18" x14ac:dyDescent="0.2">
      <c r="A374" s="611" t="s">
        <v>2422</v>
      </c>
      <c r="B374" s="611" t="s">
        <v>2890</v>
      </c>
      <c r="C374" s="753" t="s">
        <v>2223</v>
      </c>
      <c r="D374" s="816" t="s">
        <v>1444</v>
      </c>
      <c r="E374" s="792">
        <v>392</v>
      </c>
      <c r="F374" s="792">
        <v>393</v>
      </c>
      <c r="G374" s="792">
        <v>397</v>
      </c>
      <c r="H374" s="792"/>
      <c r="I374" s="813">
        <v>232</v>
      </c>
      <c r="J374" s="755">
        <f>94.79+66.72+60.02</f>
        <v>221.53</v>
      </c>
      <c r="K374" s="917">
        <f t="shared" si="12"/>
        <v>10.469999999999999</v>
      </c>
      <c r="L374" s="917">
        <v>0</v>
      </c>
      <c r="M374" s="917"/>
      <c r="N374" s="931"/>
      <c r="P374" s="758">
        <v>1</v>
      </c>
    </row>
    <row r="375" spans="1:18" x14ac:dyDescent="0.2">
      <c r="A375" s="611" t="s">
        <v>897</v>
      </c>
      <c r="B375" s="611" t="s">
        <v>2905</v>
      </c>
      <c r="D375" s="816" t="s">
        <v>3190</v>
      </c>
      <c r="E375" s="792">
        <v>359</v>
      </c>
      <c r="I375" s="813">
        <v>288.7</v>
      </c>
      <c r="J375" s="755">
        <v>277.82</v>
      </c>
      <c r="K375" s="917">
        <f t="shared" si="12"/>
        <v>10.879999999999995</v>
      </c>
      <c r="N375" s="930" t="s">
        <v>3259</v>
      </c>
      <c r="P375" s="758">
        <v>1</v>
      </c>
    </row>
    <row r="376" spans="1:18" x14ac:dyDescent="0.2">
      <c r="A376" s="611" t="s">
        <v>898</v>
      </c>
      <c r="B376" s="611" t="s">
        <v>2905</v>
      </c>
      <c r="D376" s="816" t="s">
        <v>3190</v>
      </c>
      <c r="E376" s="792">
        <v>359</v>
      </c>
      <c r="I376" s="813">
        <v>267.7</v>
      </c>
      <c r="J376" s="755">
        <v>265.39</v>
      </c>
      <c r="K376" s="917">
        <f t="shared" si="12"/>
        <v>2.3100000000000023</v>
      </c>
      <c r="N376" s="930" t="s">
        <v>3252</v>
      </c>
      <c r="P376" s="758">
        <v>1</v>
      </c>
    </row>
    <row r="377" spans="1:18" x14ac:dyDescent="0.2">
      <c r="A377" s="611" t="s">
        <v>1055</v>
      </c>
      <c r="B377" s="611" t="s">
        <v>2904</v>
      </c>
      <c r="D377" s="816" t="s">
        <v>3191</v>
      </c>
      <c r="E377" s="792">
        <v>333</v>
      </c>
      <c r="H377" s="792"/>
      <c r="I377" s="813">
        <v>150</v>
      </c>
      <c r="J377" s="755">
        <v>72.95</v>
      </c>
      <c r="K377" s="764">
        <f t="shared" si="12"/>
        <v>77.05</v>
      </c>
      <c r="N377" s="930" t="s">
        <v>3232</v>
      </c>
      <c r="R377" s="758">
        <v>1</v>
      </c>
    </row>
    <row r="378" spans="1:18" x14ac:dyDescent="0.2">
      <c r="A378" s="611" t="s">
        <v>1056</v>
      </c>
      <c r="B378" s="611" t="s">
        <v>2904</v>
      </c>
      <c r="D378" s="816" t="s">
        <v>2912</v>
      </c>
      <c r="E378" s="792">
        <v>355</v>
      </c>
      <c r="H378" s="792"/>
      <c r="I378" s="813">
        <v>178</v>
      </c>
      <c r="J378" s="755">
        <v>175.83</v>
      </c>
      <c r="K378" s="917">
        <f t="shared" si="12"/>
        <v>2.1699999999999875</v>
      </c>
      <c r="L378" s="917"/>
      <c r="M378" s="917"/>
      <c r="Q378" s="758">
        <v>154.36000000000001</v>
      </c>
    </row>
    <row r="379" spans="1:18" ht="25.5" customHeight="1" x14ac:dyDescent="0.2">
      <c r="A379" s="611" t="s">
        <v>1115</v>
      </c>
      <c r="B379" s="611" t="s">
        <v>2904</v>
      </c>
      <c r="D379" s="816" t="s">
        <v>3148</v>
      </c>
      <c r="E379" s="792">
        <v>359</v>
      </c>
      <c r="H379" s="792"/>
      <c r="I379" s="813">
        <v>790</v>
      </c>
      <c r="J379" s="755">
        <v>252.37</v>
      </c>
      <c r="K379" s="764">
        <f t="shared" si="12"/>
        <v>537.63</v>
      </c>
      <c r="N379" s="930" t="s">
        <v>3024</v>
      </c>
      <c r="Q379" s="758">
        <v>1100</v>
      </c>
    </row>
    <row r="380" spans="1:18" x14ac:dyDescent="0.2">
      <c r="A380" s="611" t="s">
        <v>1116</v>
      </c>
      <c r="B380" s="611" t="s">
        <v>2904</v>
      </c>
      <c r="D380" s="816" t="s">
        <v>3192</v>
      </c>
      <c r="E380" s="792">
        <v>350</v>
      </c>
      <c r="H380" s="792"/>
      <c r="I380" s="813">
        <v>257</v>
      </c>
      <c r="J380" s="755">
        <v>102.83</v>
      </c>
      <c r="K380" s="764">
        <f t="shared" si="12"/>
        <v>154.17000000000002</v>
      </c>
      <c r="N380" s="930" t="s">
        <v>3227</v>
      </c>
      <c r="Q380" s="758">
        <v>305</v>
      </c>
    </row>
    <row r="381" spans="1:18" x14ac:dyDescent="0.2">
      <c r="A381" s="611" t="s">
        <v>1052</v>
      </c>
      <c r="B381" s="611" t="s">
        <v>2904</v>
      </c>
      <c r="D381" s="816" t="s">
        <v>2912</v>
      </c>
      <c r="E381" s="792">
        <v>352</v>
      </c>
      <c r="H381" s="792"/>
      <c r="I381" s="813">
        <v>276</v>
      </c>
      <c r="J381" s="755">
        <v>195.74</v>
      </c>
      <c r="K381" s="764">
        <f t="shared" si="12"/>
        <v>80.259999999999991</v>
      </c>
      <c r="N381" s="930" t="s">
        <v>3236</v>
      </c>
      <c r="Q381" s="758">
        <v>591.5</v>
      </c>
    </row>
    <row r="382" spans="1:18" ht="25.5" x14ac:dyDescent="0.2">
      <c r="A382" s="611" t="s">
        <v>1118</v>
      </c>
      <c r="B382" s="611" t="s">
        <v>2904</v>
      </c>
      <c r="D382" s="816" t="s">
        <v>3193</v>
      </c>
      <c r="E382" s="792">
        <v>351</v>
      </c>
      <c r="H382" s="792"/>
      <c r="I382" s="813">
        <v>720</v>
      </c>
      <c r="J382" s="755">
        <v>205.15</v>
      </c>
      <c r="K382" s="764">
        <f t="shared" si="12"/>
        <v>514.85</v>
      </c>
      <c r="N382" s="816" t="s">
        <v>3243</v>
      </c>
      <c r="Q382" s="758">
        <v>682.5</v>
      </c>
    </row>
    <row r="383" spans="1:18" x14ac:dyDescent="0.2">
      <c r="A383" s="611" t="s">
        <v>1053</v>
      </c>
      <c r="B383" s="611" t="s">
        <v>2904</v>
      </c>
      <c r="D383" s="816" t="s">
        <v>2914</v>
      </c>
      <c r="E383" s="792">
        <v>351</v>
      </c>
      <c r="H383" s="792"/>
      <c r="I383" s="813">
        <f>88.1</f>
        <v>88.1</v>
      </c>
      <c r="J383" s="755">
        <v>86.74</v>
      </c>
      <c r="K383" s="917">
        <f t="shared" si="12"/>
        <v>1.3599999999999994</v>
      </c>
      <c r="L383" s="917"/>
      <c r="M383" s="917"/>
      <c r="N383" s="930" t="s">
        <v>3235</v>
      </c>
      <c r="Q383" s="758">
        <v>310</v>
      </c>
    </row>
    <row r="384" spans="1:18" x14ac:dyDescent="0.2">
      <c r="A384" s="611" t="s">
        <v>1119</v>
      </c>
      <c r="B384" s="611" t="s">
        <v>2904</v>
      </c>
      <c r="D384" s="816" t="s">
        <v>2914</v>
      </c>
      <c r="E384" s="792">
        <v>371</v>
      </c>
      <c r="H384" s="792"/>
      <c r="I384" s="813">
        <v>69.400000000000006</v>
      </c>
      <c r="J384" s="755">
        <v>67.25</v>
      </c>
      <c r="K384" s="917">
        <f t="shared" si="12"/>
        <v>2.1500000000000057</v>
      </c>
      <c r="L384" s="917"/>
      <c r="M384" s="917"/>
      <c r="Q384" s="758">
        <v>125</v>
      </c>
    </row>
    <row r="385" spans="1:18" x14ac:dyDescent="0.2">
      <c r="A385" s="611" t="s">
        <v>1117</v>
      </c>
      <c r="B385" s="611" t="s">
        <v>2904</v>
      </c>
      <c r="D385" s="816" t="s">
        <v>2914</v>
      </c>
      <c r="E385" s="792">
        <v>358</v>
      </c>
      <c r="H385" s="792"/>
      <c r="I385" s="813">
        <v>46.5</v>
      </c>
      <c r="J385" s="755">
        <v>46.06</v>
      </c>
      <c r="K385" s="917">
        <f t="shared" si="12"/>
        <v>0.43999999999999773</v>
      </c>
      <c r="L385" s="917"/>
      <c r="M385" s="917"/>
      <c r="Q385" s="758">
        <v>202</v>
      </c>
    </row>
    <row r="386" spans="1:18" x14ac:dyDescent="0.2">
      <c r="A386" s="611" t="s">
        <v>1117</v>
      </c>
      <c r="B386" s="611" t="s">
        <v>2904</v>
      </c>
      <c r="D386" s="816" t="s">
        <v>2914</v>
      </c>
      <c r="E386" s="792">
        <v>351</v>
      </c>
      <c r="H386" s="792"/>
      <c r="I386" s="813">
        <v>28.7</v>
      </c>
      <c r="J386" s="755">
        <v>28.16</v>
      </c>
      <c r="K386" s="917">
        <f t="shared" si="12"/>
        <v>0.53999999999999915</v>
      </c>
      <c r="L386" s="917"/>
      <c r="M386" s="917"/>
      <c r="Q386" s="758">
        <v>72</v>
      </c>
    </row>
    <row r="387" spans="1:18" x14ac:dyDescent="0.2">
      <c r="A387" s="611" t="s">
        <v>1120</v>
      </c>
      <c r="B387" s="611" t="s">
        <v>2904</v>
      </c>
      <c r="D387" s="816" t="s">
        <v>2914</v>
      </c>
      <c r="E387" s="792">
        <v>350</v>
      </c>
      <c r="H387" s="792"/>
      <c r="I387" s="813">
        <v>44.7</v>
      </c>
      <c r="J387" s="755">
        <v>47.3</v>
      </c>
      <c r="K387" s="917">
        <f t="shared" si="12"/>
        <v>-2.5999999999999943</v>
      </c>
      <c r="Q387" s="758">
        <v>70</v>
      </c>
    </row>
    <row r="388" spans="1:18" ht="38.25" x14ac:dyDescent="0.2">
      <c r="A388" s="611" t="s">
        <v>1120</v>
      </c>
      <c r="B388" s="611" t="s">
        <v>2904</v>
      </c>
      <c r="D388" s="816" t="s">
        <v>3192</v>
      </c>
      <c r="E388" s="792">
        <v>351</v>
      </c>
      <c r="H388" s="792"/>
      <c r="I388" s="813">
        <v>547</v>
      </c>
      <c r="J388" s="755">
        <v>119.23</v>
      </c>
      <c r="K388" s="764">
        <f t="shared" si="12"/>
        <v>427.77</v>
      </c>
      <c r="N388" s="816" t="s">
        <v>3239</v>
      </c>
      <c r="Q388" s="758">
        <v>519</v>
      </c>
    </row>
    <row r="389" spans="1:18" x14ac:dyDescent="0.2">
      <c r="A389" s="611" t="s">
        <v>1120</v>
      </c>
      <c r="B389" s="611" t="s">
        <v>2904</v>
      </c>
      <c r="D389" s="816" t="s">
        <v>2912</v>
      </c>
      <c r="E389" s="792">
        <v>347</v>
      </c>
      <c r="H389" s="792"/>
      <c r="I389" s="813">
        <v>38</v>
      </c>
      <c r="J389" s="755">
        <v>36.9</v>
      </c>
      <c r="K389" s="917">
        <f t="shared" si="12"/>
        <v>1.1000000000000014</v>
      </c>
      <c r="L389" s="917"/>
      <c r="M389" s="917"/>
      <c r="Q389" s="758">
        <v>95</v>
      </c>
    </row>
    <row r="390" spans="1:18" x14ac:dyDescent="0.2">
      <c r="A390" s="611" t="s">
        <v>1121</v>
      </c>
      <c r="B390" s="611" t="s">
        <v>2904</v>
      </c>
      <c r="D390" s="816" t="s">
        <v>2914</v>
      </c>
      <c r="E390" s="792">
        <v>350</v>
      </c>
      <c r="H390" s="792"/>
      <c r="I390" s="813">
        <v>142.6</v>
      </c>
      <c r="J390" s="755">
        <v>87.38</v>
      </c>
      <c r="K390" s="764">
        <f t="shared" si="12"/>
        <v>55.22</v>
      </c>
      <c r="N390" s="930" t="s">
        <v>3229</v>
      </c>
      <c r="Q390" s="758">
        <v>165</v>
      </c>
    </row>
    <row r="391" spans="1:18" x14ac:dyDescent="0.2">
      <c r="A391" s="611" t="s">
        <v>1125</v>
      </c>
      <c r="B391" s="611" t="s">
        <v>2904</v>
      </c>
      <c r="D391" s="816" t="s">
        <v>2914</v>
      </c>
      <c r="E391" s="792">
        <v>350</v>
      </c>
      <c r="H391" s="792"/>
      <c r="I391" s="813">
        <v>100.5</v>
      </c>
      <c r="J391" s="755">
        <v>64.17</v>
      </c>
      <c r="K391" s="764">
        <f t="shared" si="12"/>
        <v>36.33</v>
      </c>
      <c r="N391" s="930" t="s">
        <v>3229</v>
      </c>
      <c r="Q391" s="758">
        <v>155</v>
      </c>
    </row>
    <row r="392" spans="1:18" ht="51" x14ac:dyDescent="0.2">
      <c r="A392" s="611" t="s">
        <v>1125</v>
      </c>
      <c r="B392" s="611" t="s">
        <v>2904</v>
      </c>
      <c r="D392" s="816" t="s">
        <v>250</v>
      </c>
      <c r="H392" s="792"/>
      <c r="I392" s="813"/>
      <c r="N392" s="816" t="s">
        <v>2884</v>
      </c>
      <c r="Q392" s="758">
        <v>1</v>
      </c>
    </row>
    <row r="393" spans="1:18" x14ac:dyDescent="0.2">
      <c r="A393" s="611" t="s">
        <v>1126</v>
      </c>
      <c r="B393" s="611" t="s">
        <v>2904</v>
      </c>
      <c r="D393" s="816" t="s">
        <v>2914</v>
      </c>
      <c r="E393" s="792">
        <v>351</v>
      </c>
      <c r="H393" s="792"/>
      <c r="I393" s="918">
        <v>295</v>
      </c>
      <c r="J393" s="755">
        <v>179.37</v>
      </c>
      <c r="K393" s="764">
        <f t="shared" ref="K393:K411" si="13">I393-J393</f>
        <v>115.63</v>
      </c>
      <c r="N393" s="930" t="s">
        <v>3240</v>
      </c>
      <c r="Q393" s="758">
        <v>440</v>
      </c>
    </row>
    <row r="394" spans="1:18" x14ac:dyDescent="0.2">
      <c r="A394" s="611" t="s">
        <v>601</v>
      </c>
      <c r="B394" s="611" t="s">
        <v>2904</v>
      </c>
      <c r="D394" s="816" t="s">
        <v>2976</v>
      </c>
      <c r="E394" s="792">
        <v>353</v>
      </c>
      <c r="H394" s="792"/>
      <c r="I394" s="918">
        <v>113</v>
      </c>
      <c r="J394" s="755">
        <v>112.55</v>
      </c>
      <c r="K394" s="917">
        <f t="shared" si="13"/>
        <v>0.45000000000000284</v>
      </c>
      <c r="L394" s="917"/>
      <c r="M394" s="917"/>
      <c r="N394" s="930" t="s">
        <v>255</v>
      </c>
      <c r="R394" s="758">
        <v>1</v>
      </c>
    </row>
    <row r="395" spans="1:18" x14ac:dyDescent="0.2">
      <c r="A395" s="611" t="s">
        <v>604</v>
      </c>
      <c r="B395" s="611" t="s">
        <v>2904</v>
      </c>
      <c r="D395" s="816" t="s">
        <v>2912</v>
      </c>
      <c r="E395" s="792">
        <v>344</v>
      </c>
      <c r="H395" s="792"/>
      <c r="I395" s="918">
        <f>64+29</f>
        <v>93</v>
      </c>
      <c r="J395" s="755">
        <v>37.94</v>
      </c>
      <c r="K395" s="764">
        <f t="shared" si="13"/>
        <v>55.06</v>
      </c>
      <c r="N395" s="930" t="s">
        <v>3229</v>
      </c>
      <c r="R395" s="758">
        <v>1</v>
      </c>
    </row>
    <row r="396" spans="1:18" x14ac:dyDescent="0.2">
      <c r="A396" s="611" t="s">
        <v>1128</v>
      </c>
      <c r="B396" s="611" t="s">
        <v>2904</v>
      </c>
      <c r="D396" s="816" t="s">
        <v>2914</v>
      </c>
      <c r="E396" s="792">
        <v>351</v>
      </c>
      <c r="H396" s="792"/>
      <c r="I396" s="918">
        <v>384</v>
      </c>
      <c r="J396" s="755">
        <v>284.49</v>
      </c>
      <c r="K396" s="764">
        <f t="shared" si="13"/>
        <v>99.509999999999991</v>
      </c>
      <c r="N396" s="930" t="s">
        <v>3241</v>
      </c>
      <c r="Q396" s="758">
        <v>696</v>
      </c>
    </row>
    <row r="397" spans="1:18" x14ac:dyDescent="0.2">
      <c r="A397" s="611" t="s">
        <v>1135</v>
      </c>
      <c r="B397" s="611" t="s">
        <v>2904</v>
      </c>
      <c r="D397" s="816" t="s">
        <v>2914</v>
      </c>
      <c r="E397" s="792">
        <v>351</v>
      </c>
      <c r="H397" s="792"/>
      <c r="I397" s="918">
        <v>99</v>
      </c>
      <c r="J397" s="755">
        <v>98.08</v>
      </c>
      <c r="K397" s="917">
        <f t="shared" si="13"/>
        <v>0.92000000000000171</v>
      </c>
      <c r="L397" s="917"/>
      <c r="M397" s="917"/>
      <c r="Q397" s="758">
        <v>380</v>
      </c>
    </row>
    <row r="398" spans="1:18" x14ac:dyDescent="0.2">
      <c r="A398" s="611" t="s">
        <v>1054</v>
      </c>
      <c r="B398" s="611" t="s">
        <v>2904</v>
      </c>
      <c r="D398" s="816" t="s">
        <v>2914</v>
      </c>
      <c r="E398" s="792">
        <v>351</v>
      </c>
      <c r="H398" s="792"/>
      <c r="I398" s="918">
        <v>32</v>
      </c>
      <c r="J398" s="755">
        <v>31.72</v>
      </c>
      <c r="K398" s="917">
        <f t="shared" si="13"/>
        <v>0.28000000000000114</v>
      </c>
      <c r="L398" s="917"/>
      <c r="M398" s="917"/>
      <c r="N398" s="930" t="s">
        <v>3234</v>
      </c>
      <c r="Q398" s="758">
        <v>44</v>
      </c>
    </row>
    <row r="399" spans="1:18" x14ac:dyDescent="0.2">
      <c r="A399" s="611" t="s">
        <v>1131</v>
      </c>
      <c r="B399" s="611" t="s">
        <v>2904</v>
      </c>
      <c r="D399" s="816" t="s">
        <v>2914</v>
      </c>
      <c r="E399" s="792">
        <v>350</v>
      </c>
      <c r="H399" s="792"/>
      <c r="I399" s="918">
        <v>122</v>
      </c>
      <c r="J399" s="755">
        <v>114.72</v>
      </c>
      <c r="K399" s="917">
        <f t="shared" si="13"/>
        <v>7.2800000000000011</v>
      </c>
      <c r="L399" s="917"/>
      <c r="M399" s="917"/>
      <c r="Q399" s="758">
        <v>155</v>
      </c>
    </row>
    <row r="400" spans="1:18" x14ac:dyDescent="0.2">
      <c r="A400" s="611" t="s">
        <v>1138</v>
      </c>
      <c r="B400" s="611" t="s">
        <v>2904</v>
      </c>
      <c r="D400" s="816" t="s">
        <v>3057</v>
      </c>
      <c r="E400" s="792">
        <v>349</v>
      </c>
      <c r="F400" s="792">
        <v>350</v>
      </c>
      <c r="H400" s="792"/>
      <c r="I400" s="918">
        <f>145</f>
        <v>145</v>
      </c>
      <c r="J400" s="755">
        <v>107.03</v>
      </c>
      <c r="K400" s="764">
        <f t="shared" si="13"/>
        <v>37.97</v>
      </c>
      <c r="N400" s="930" t="s">
        <v>3229</v>
      </c>
      <c r="Q400" s="758">
        <v>224.5</v>
      </c>
      <c r="R400" s="758">
        <v>0.5</v>
      </c>
    </row>
    <row r="401" spans="1:18" x14ac:dyDescent="0.2">
      <c r="A401" s="611" t="s">
        <v>1138</v>
      </c>
      <c r="B401" s="611" t="s">
        <v>2904</v>
      </c>
      <c r="D401" s="816" t="s">
        <v>3172</v>
      </c>
      <c r="H401" s="792"/>
      <c r="I401" s="918">
        <v>402</v>
      </c>
      <c r="J401" s="755">
        <v>0</v>
      </c>
      <c r="K401" s="764">
        <f t="shared" si="13"/>
        <v>402</v>
      </c>
      <c r="N401" s="816" t="s">
        <v>2925</v>
      </c>
      <c r="Q401" s="758">
        <v>325.39999999999998</v>
      </c>
    </row>
    <row r="402" spans="1:18" ht="12.75" customHeight="1" x14ac:dyDescent="0.2">
      <c r="A402" s="611" t="s">
        <v>1138</v>
      </c>
      <c r="B402" s="611" t="s">
        <v>2904</v>
      </c>
      <c r="D402" s="816" t="s">
        <v>3194</v>
      </c>
      <c r="E402" s="792">
        <v>355</v>
      </c>
      <c r="H402" s="792"/>
      <c r="I402" s="918">
        <v>584</v>
      </c>
      <c r="J402" s="755">
        <v>120.25</v>
      </c>
      <c r="K402" s="764">
        <f t="shared" si="13"/>
        <v>463.75</v>
      </c>
      <c r="N402" s="816" t="s">
        <v>3224</v>
      </c>
      <c r="R402" s="758">
        <v>1</v>
      </c>
    </row>
    <row r="403" spans="1:18" ht="25.5" x14ac:dyDescent="0.2">
      <c r="A403" s="611" t="s">
        <v>1133</v>
      </c>
      <c r="B403" s="611" t="s">
        <v>2904</v>
      </c>
      <c r="D403" s="816" t="s">
        <v>3057</v>
      </c>
      <c r="E403" s="792">
        <v>349</v>
      </c>
      <c r="F403" s="792">
        <v>350</v>
      </c>
      <c r="H403" s="792"/>
      <c r="I403" s="918">
        <v>163</v>
      </c>
      <c r="J403" s="755">
        <v>95.59</v>
      </c>
      <c r="K403" s="764">
        <f t="shared" si="13"/>
        <v>67.41</v>
      </c>
      <c r="N403" s="816" t="s">
        <v>3230</v>
      </c>
      <c r="Q403" s="758">
        <v>329.5</v>
      </c>
    </row>
    <row r="404" spans="1:18" x14ac:dyDescent="0.2">
      <c r="A404" s="611" t="s">
        <v>1133</v>
      </c>
      <c r="B404" s="611" t="s">
        <v>2904</v>
      </c>
      <c r="D404" s="816" t="s">
        <v>3170</v>
      </c>
      <c r="H404" s="792"/>
      <c r="I404" s="918">
        <v>684</v>
      </c>
      <c r="J404" s="755">
        <v>0</v>
      </c>
      <c r="K404" s="764">
        <f t="shared" si="13"/>
        <v>684</v>
      </c>
      <c r="N404" s="816" t="s">
        <v>3008</v>
      </c>
      <c r="Q404" s="758">
        <v>550</v>
      </c>
    </row>
    <row r="405" spans="1:18" ht="12.75" customHeight="1" x14ac:dyDescent="0.2">
      <c r="A405" s="611" t="s">
        <v>1133</v>
      </c>
      <c r="B405" s="611" t="s">
        <v>2904</v>
      </c>
      <c r="D405" s="816" t="s">
        <v>3194</v>
      </c>
      <c r="H405" s="792"/>
      <c r="I405" s="918">
        <v>326</v>
      </c>
      <c r="J405" s="755">
        <v>0</v>
      </c>
      <c r="K405" s="764">
        <f t="shared" si="13"/>
        <v>326</v>
      </c>
      <c r="N405" s="816" t="s">
        <v>3229</v>
      </c>
      <c r="R405" s="758">
        <v>1</v>
      </c>
    </row>
    <row r="406" spans="1:18" x14ac:dyDescent="0.2">
      <c r="A406" s="611" t="s">
        <v>1136</v>
      </c>
      <c r="B406" s="611" t="s">
        <v>2904</v>
      </c>
      <c r="D406" s="816" t="s">
        <v>2914</v>
      </c>
      <c r="E406" s="792">
        <v>352</v>
      </c>
      <c r="H406" s="792"/>
      <c r="I406" s="918">
        <v>52</v>
      </c>
      <c r="J406" s="755">
        <v>51.16</v>
      </c>
      <c r="K406" s="917">
        <f t="shared" si="13"/>
        <v>0.84000000000000341</v>
      </c>
      <c r="L406" s="917"/>
      <c r="M406" s="917"/>
      <c r="Q406" s="758">
        <v>70</v>
      </c>
    </row>
    <row r="407" spans="1:18" x14ac:dyDescent="0.2">
      <c r="A407" s="611" t="s">
        <v>1136</v>
      </c>
      <c r="B407" s="611" t="s">
        <v>2904</v>
      </c>
      <c r="D407" s="816" t="s">
        <v>3152</v>
      </c>
      <c r="E407" s="792">
        <v>391</v>
      </c>
      <c r="H407" s="792"/>
      <c r="I407" s="918">
        <v>66.2</v>
      </c>
      <c r="J407" s="755">
        <v>65.19</v>
      </c>
      <c r="K407" s="917">
        <f t="shared" si="13"/>
        <v>1.0100000000000051</v>
      </c>
      <c r="L407" s="917">
        <v>0</v>
      </c>
      <c r="M407" s="917"/>
      <c r="N407" s="930" t="s">
        <v>3235</v>
      </c>
      <c r="R407" s="758">
        <v>1</v>
      </c>
    </row>
    <row r="408" spans="1:18" x14ac:dyDescent="0.2">
      <c r="A408" s="611" t="s">
        <v>1137</v>
      </c>
      <c r="B408" s="611" t="s">
        <v>2904</v>
      </c>
      <c r="D408" s="816" t="s">
        <v>2911</v>
      </c>
      <c r="E408" s="792">
        <v>369</v>
      </c>
      <c r="H408" s="792"/>
      <c r="I408" s="813">
        <v>228</v>
      </c>
      <c r="J408" s="755">
        <v>137.77000000000001</v>
      </c>
      <c r="K408" s="764">
        <f t="shared" si="13"/>
        <v>90.22999999999999</v>
      </c>
      <c r="N408" s="930" t="s">
        <v>3228</v>
      </c>
      <c r="R408" s="758">
        <v>1</v>
      </c>
    </row>
    <row r="409" spans="1:18" x14ac:dyDescent="0.2">
      <c r="A409" s="611" t="s">
        <v>1159</v>
      </c>
      <c r="B409" s="611" t="s">
        <v>2904</v>
      </c>
      <c r="D409" s="816" t="s">
        <v>3058</v>
      </c>
      <c r="E409" s="792">
        <v>350</v>
      </c>
      <c r="F409" s="792">
        <v>358</v>
      </c>
      <c r="H409" s="792"/>
      <c r="I409" s="813">
        <f>542</f>
        <v>542</v>
      </c>
      <c r="J409" s="755">
        <v>239.32</v>
      </c>
      <c r="K409" s="764">
        <f t="shared" si="13"/>
        <v>302.68</v>
      </c>
      <c r="N409" s="930" t="s">
        <v>2927</v>
      </c>
      <c r="Q409" s="758">
        <v>554</v>
      </c>
    </row>
    <row r="410" spans="1:18" ht="25.5" x14ac:dyDescent="0.2">
      <c r="A410" s="611" t="s">
        <v>1159</v>
      </c>
      <c r="B410" s="611" t="s">
        <v>2904</v>
      </c>
      <c r="D410" s="816" t="s">
        <v>3195</v>
      </c>
      <c r="E410" s="792">
        <v>369</v>
      </c>
      <c r="H410" s="792"/>
      <c r="I410" s="813">
        <v>23.1</v>
      </c>
      <c r="J410" s="755">
        <v>16.32</v>
      </c>
      <c r="K410" s="917">
        <f t="shared" si="13"/>
        <v>6.7800000000000011</v>
      </c>
      <c r="L410" s="917"/>
      <c r="M410" s="917"/>
      <c r="R410" s="758">
        <v>1</v>
      </c>
    </row>
    <row r="411" spans="1:18" ht="25.5" x14ac:dyDescent="0.2">
      <c r="A411" s="611" t="s">
        <v>1159</v>
      </c>
      <c r="B411" s="611" t="s">
        <v>2904</v>
      </c>
      <c r="D411" s="816" t="s">
        <v>3195</v>
      </c>
      <c r="E411" s="792">
        <v>375</v>
      </c>
      <c r="H411" s="792"/>
      <c r="I411" s="813">
        <v>188.6</v>
      </c>
      <c r="J411" s="755">
        <v>0</v>
      </c>
      <c r="K411" s="764">
        <f t="shared" si="13"/>
        <v>188.6</v>
      </c>
      <c r="N411" s="930" t="s">
        <v>2932</v>
      </c>
      <c r="R411" s="758">
        <v>1</v>
      </c>
    </row>
    <row r="412" spans="1:18" ht="25.5" x14ac:dyDescent="0.2">
      <c r="A412" s="611" t="s">
        <v>1159</v>
      </c>
      <c r="B412" s="611" t="s">
        <v>2904</v>
      </c>
      <c r="D412" s="816" t="s">
        <v>3206</v>
      </c>
      <c r="E412" s="792">
        <v>375</v>
      </c>
      <c r="H412" s="792"/>
      <c r="I412" s="813">
        <f>AVERAGE(I393:I406)</f>
        <v>249.57142857142858</v>
      </c>
      <c r="J412" s="755">
        <v>61.61</v>
      </c>
      <c r="N412" s="930" t="s">
        <v>250</v>
      </c>
      <c r="R412" s="758">
        <v>1</v>
      </c>
    </row>
    <row r="413" spans="1:18" x14ac:dyDescent="0.2">
      <c r="A413" s="611" t="s">
        <v>886</v>
      </c>
      <c r="B413" s="611" t="s">
        <v>2904</v>
      </c>
      <c r="D413" s="816" t="s">
        <v>3057</v>
      </c>
      <c r="E413" s="792">
        <v>369</v>
      </c>
      <c r="H413" s="792"/>
      <c r="I413" s="813">
        <f>26.4</f>
        <v>26.4</v>
      </c>
      <c r="J413" s="755">
        <v>0</v>
      </c>
      <c r="K413" s="764">
        <f t="shared" ref="K413:K431" si="14">I413-J413</f>
        <v>26.4</v>
      </c>
      <c r="N413" s="930" t="s">
        <v>3228</v>
      </c>
      <c r="Q413" s="758">
        <v>95.19</v>
      </c>
    </row>
    <row r="414" spans="1:18" x14ac:dyDescent="0.2">
      <c r="A414" s="611" t="s">
        <v>886</v>
      </c>
      <c r="B414" s="611" t="s">
        <v>2904</v>
      </c>
      <c r="D414" s="816" t="s">
        <v>3057</v>
      </c>
      <c r="E414" s="792">
        <v>350</v>
      </c>
      <c r="H414" s="792"/>
      <c r="I414" s="813">
        <v>137.1</v>
      </c>
      <c r="J414" s="755">
        <v>133.38999999999999</v>
      </c>
      <c r="K414" s="917">
        <f t="shared" si="14"/>
        <v>3.710000000000008</v>
      </c>
      <c r="L414" s="917"/>
      <c r="M414" s="917"/>
      <c r="Q414" s="758">
        <v>614.53</v>
      </c>
    </row>
    <row r="415" spans="1:18" x14ac:dyDescent="0.2">
      <c r="A415" s="611" t="s">
        <v>887</v>
      </c>
      <c r="B415" s="611" t="s">
        <v>2904</v>
      </c>
      <c r="D415" s="816" t="s">
        <v>2914</v>
      </c>
      <c r="E415" s="792">
        <v>350</v>
      </c>
      <c r="H415" s="792"/>
      <c r="I415" s="813">
        <f>108.5</f>
        <v>108.5</v>
      </c>
      <c r="J415" s="755">
        <v>107.52</v>
      </c>
      <c r="K415" s="917">
        <f t="shared" si="14"/>
        <v>0.98000000000000398</v>
      </c>
      <c r="L415" s="917"/>
      <c r="M415" s="917"/>
      <c r="Q415" s="758">
        <v>155</v>
      </c>
    </row>
    <row r="416" spans="1:18" ht="25.5" x14ac:dyDescent="0.2">
      <c r="A416" s="611" t="s">
        <v>887</v>
      </c>
      <c r="B416" s="611" t="s">
        <v>2904</v>
      </c>
      <c r="D416" s="816" t="s">
        <v>3173</v>
      </c>
      <c r="H416" s="792"/>
      <c r="I416" s="813">
        <v>1120</v>
      </c>
      <c r="J416" s="755">
        <v>0</v>
      </c>
      <c r="K416" s="764">
        <f t="shared" si="14"/>
        <v>1120</v>
      </c>
      <c r="N416" s="816" t="s">
        <v>2907</v>
      </c>
      <c r="Q416" s="758">
        <v>1079</v>
      </c>
    </row>
    <row r="417" spans="1:18" ht="25.5" x14ac:dyDescent="0.2">
      <c r="A417" s="611" t="s">
        <v>900</v>
      </c>
      <c r="B417" s="611" t="s">
        <v>2904</v>
      </c>
      <c r="D417" s="816" t="s">
        <v>2921</v>
      </c>
      <c r="E417" s="792">
        <v>345</v>
      </c>
      <c r="H417" s="792"/>
      <c r="I417" s="933">
        <v>200</v>
      </c>
      <c r="J417" s="755">
        <v>195.77000000000004</v>
      </c>
      <c r="K417" s="917">
        <f t="shared" si="14"/>
        <v>4.2299999999999613</v>
      </c>
      <c r="L417" s="917"/>
      <c r="M417" s="917"/>
      <c r="N417" s="930" t="s">
        <v>2916</v>
      </c>
      <c r="P417" s="758">
        <v>1</v>
      </c>
    </row>
    <row r="418" spans="1:18" x14ac:dyDescent="0.2">
      <c r="A418" s="611" t="s">
        <v>900</v>
      </c>
      <c r="B418" s="611" t="s">
        <v>2904</v>
      </c>
      <c r="D418" s="816" t="s">
        <v>3154</v>
      </c>
      <c r="H418" s="792"/>
      <c r="I418" s="919">
        <v>104</v>
      </c>
      <c r="J418" s="755">
        <v>0</v>
      </c>
      <c r="K418" s="764">
        <f t="shared" si="14"/>
        <v>104</v>
      </c>
      <c r="N418" s="930" t="s">
        <v>2932</v>
      </c>
      <c r="Q418" s="758">
        <v>150</v>
      </c>
    </row>
    <row r="419" spans="1:18" x14ac:dyDescent="0.2">
      <c r="A419" s="611" t="s">
        <v>900</v>
      </c>
      <c r="B419" s="611" t="s">
        <v>2904</v>
      </c>
      <c r="D419" s="816" t="s">
        <v>2976</v>
      </c>
      <c r="E419" s="792">
        <v>353</v>
      </c>
      <c r="H419" s="792"/>
      <c r="I419" s="919">
        <v>91</v>
      </c>
      <c r="J419" s="755">
        <v>91.19</v>
      </c>
      <c r="K419" s="917">
        <f t="shared" si="14"/>
        <v>-0.18999999999999773</v>
      </c>
      <c r="L419" s="917"/>
      <c r="M419" s="917"/>
      <c r="N419" s="930" t="s">
        <v>255</v>
      </c>
      <c r="R419" s="758">
        <v>1</v>
      </c>
    </row>
    <row r="420" spans="1:18" ht="25.5" x14ac:dyDescent="0.2">
      <c r="A420" s="611" t="s">
        <v>1112</v>
      </c>
      <c r="B420" s="611" t="s">
        <v>2904</v>
      </c>
      <c r="D420" s="816" t="s">
        <v>1444</v>
      </c>
      <c r="E420" s="792">
        <v>355</v>
      </c>
      <c r="H420" s="792"/>
      <c r="I420" s="813">
        <v>320</v>
      </c>
      <c r="J420" s="755">
        <v>224.29</v>
      </c>
      <c r="K420" s="764">
        <f t="shared" si="14"/>
        <v>95.710000000000008</v>
      </c>
      <c r="N420" s="930" t="s">
        <v>3256</v>
      </c>
      <c r="P420" s="758">
        <v>1</v>
      </c>
    </row>
    <row r="421" spans="1:18" x14ac:dyDescent="0.2">
      <c r="A421" s="611" t="s">
        <v>54</v>
      </c>
      <c r="B421" s="611" t="s">
        <v>2904</v>
      </c>
      <c r="C421" s="816" t="s">
        <v>613</v>
      </c>
      <c r="D421" s="816" t="s">
        <v>1444</v>
      </c>
      <c r="E421" s="792">
        <v>357</v>
      </c>
      <c r="H421" s="792"/>
      <c r="I421" s="813">
        <v>275</v>
      </c>
      <c r="J421" s="755">
        <v>269.33</v>
      </c>
      <c r="K421" s="917">
        <f t="shared" si="14"/>
        <v>5.6700000000000159</v>
      </c>
      <c r="L421" s="917"/>
      <c r="M421" s="917"/>
      <c r="N421" s="930" t="s">
        <v>3257</v>
      </c>
      <c r="P421" s="758">
        <v>1</v>
      </c>
    </row>
    <row r="422" spans="1:18" x14ac:dyDescent="0.2">
      <c r="A422" s="611" t="s">
        <v>69</v>
      </c>
      <c r="B422" s="611" t="s">
        <v>2904</v>
      </c>
      <c r="D422" s="816" t="s">
        <v>2914</v>
      </c>
      <c r="E422" s="792">
        <v>365</v>
      </c>
      <c r="F422" s="792">
        <v>366</v>
      </c>
      <c r="H422" s="792"/>
      <c r="I422" s="919">
        <v>581</v>
      </c>
      <c r="J422" s="755">
        <v>297.85000000000002</v>
      </c>
      <c r="K422" s="764">
        <f t="shared" si="14"/>
        <v>283.14999999999998</v>
      </c>
      <c r="N422" s="930" t="s">
        <v>2932</v>
      </c>
      <c r="Q422" s="758">
        <v>750</v>
      </c>
    </row>
    <row r="423" spans="1:18" x14ac:dyDescent="0.2">
      <c r="A423" s="611" t="s">
        <v>69</v>
      </c>
      <c r="B423" s="611" t="s">
        <v>2904</v>
      </c>
      <c r="D423" s="816" t="s">
        <v>3196</v>
      </c>
      <c r="E423" s="792">
        <v>374</v>
      </c>
      <c r="F423" s="792">
        <v>376</v>
      </c>
      <c r="H423" s="792"/>
      <c r="I423" s="813">
        <v>43.6</v>
      </c>
      <c r="J423" s="755">
        <v>41.93</v>
      </c>
      <c r="K423" s="917">
        <f t="shared" si="14"/>
        <v>1.6700000000000017</v>
      </c>
      <c r="L423" s="917"/>
      <c r="M423" s="917"/>
      <c r="R423" s="758">
        <v>1</v>
      </c>
    </row>
    <row r="424" spans="1:18" x14ac:dyDescent="0.2">
      <c r="A424" s="611" t="s">
        <v>90</v>
      </c>
      <c r="B424" s="611" t="s">
        <v>2904</v>
      </c>
      <c r="D424" s="816" t="s">
        <v>2914</v>
      </c>
      <c r="E424" s="792">
        <v>369</v>
      </c>
      <c r="H424" s="792"/>
      <c r="I424" s="813">
        <v>396</v>
      </c>
      <c r="J424" s="755">
        <v>249.68</v>
      </c>
      <c r="K424" s="764">
        <f t="shared" si="14"/>
        <v>146.32</v>
      </c>
      <c r="L424" s="764">
        <v>144</v>
      </c>
      <c r="N424" s="930" t="s">
        <v>2932</v>
      </c>
      <c r="Q424" s="758">
        <v>871.2</v>
      </c>
    </row>
    <row r="425" spans="1:18" x14ac:dyDescent="0.2">
      <c r="A425" s="611" t="s">
        <v>120</v>
      </c>
      <c r="B425" s="611" t="s">
        <v>2904</v>
      </c>
      <c r="D425" s="816" t="s">
        <v>3059</v>
      </c>
      <c r="E425" s="792">
        <v>370</v>
      </c>
      <c r="H425" s="792"/>
      <c r="I425" s="813">
        <v>170</v>
      </c>
      <c r="J425" s="755">
        <v>168.22</v>
      </c>
      <c r="K425" s="917">
        <f t="shared" si="14"/>
        <v>1.7800000000000011</v>
      </c>
      <c r="L425" s="917"/>
      <c r="M425" s="917"/>
      <c r="R425" s="758">
        <v>1</v>
      </c>
    </row>
    <row r="426" spans="1:18" ht="25.5" x14ac:dyDescent="0.2">
      <c r="A426" s="611" t="s">
        <v>121</v>
      </c>
      <c r="B426" s="611" t="s">
        <v>2904</v>
      </c>
      <c r="D426" s="816" t="s">
        <v>2912</v>
      </c>
      <c r="E426" s="792">
        <v>370</v>
      </c>
      <c r="H426" s="792"/>
      <c r="I426" s="813">
        <v>332.6</v>
      </c>
      <c r="J426" s="755">
        <v>174.4</v>
      </c>
      <c r="K426" s="764">
        <f t="shared" si="14"/>
        <v>158.20000000000002</v>
      </c>
      <c r="L426" s="764">
        <v>78</v>
      </c>
      <c r="N426" s="816" t="s">
        <v>2929</v>
      </c>
      <c r="R426" s="758">
        <v>1</v>
      </c>
    </row>
    <row r="427" spans="1:18" ht="38.25" x14ac:dyDescent="0.2">
      <c r="A427" s="611" t="s">
        <v>1459</v>
      </c>
      <c r="B427" s="611" t="s">
        <v>2904</v>
      </c>
      <c r="D427" s="816" t="s">
        <v>3197</v>
      </c>
      <c r="E427" s="792">
        <v>371</v>
      </c>
      <c r="F427" s="792">
        <v>373</v>
      </c>
      <c r="H427" s="792"/>
      <c r="I427" s="813">
        <f>210+4800+12205</f>
        <v>17215</v>
      </c>
      <c r="J427" s="755">
        <v>393.5</v>
      </c>
      <c r="K427" s="764">
        <f t="shared" si="14"/>
        <v>16821.5</v>
      </c>
      <c r="N427" s="943" t="s">
        <v>2933</v>
      </c>
      <c r="P427" s="758">
        <v>1</v>
      </c>
    </row>
    <row r="428" spans="1:18" x14ac:dyDescent="0.2">
      <c r="A428" s="611" t="s">
        <v>1471</v>
      </c>
      <c r="B428" s="611" t="s">
        <v>2904</v>
      </c>
      <c r="D428" s="816" t="s">
        <v>1444</v>
      </c>
      <c r="E428" s="792">
        <v>375</v>
      </c>
      <c r="F428" s="792">
        <v>376</v>
      </c>
      <c r="H428" s="792"/>
      <c r="I428" s="813">
        <v>131.6</v>
      </c>
      <c r="J428" s="755">
        <v>125.08</v>
      </c>
      <c r="K428" s="917">
        <f t="shared" si="14"/>
        <v>6.519999999999996</v>
      </c>
      <c r="L428" s="917"/>
      <c r="M428" s="917"/>
      <c r="P428" s="758">
        <v>1</v>
      </c>
    </row>
    <row r="429" spans="1:18" ht="25.5" x14ac:dyDescent="0.2">
      <c r="A429" s="611" t="s">
        <v>1532</v>
      </c>
      <c r="B429" s="611" t="s">
        <v>2904</v>
      </c>
      <c r="D429" s="816" t="s">
        <v>2912</v>
      </c>
      <c r="E429" s="792">
        <v>376</v>
      </c>
      <c r="F429" s="792">
        <v>377</v>
      </c>
      <c r="H429" s="792"/>
      <c r="I429" s="813">
        <v>218.9</v>
      </c>
      <c r="J429" s="755">
        <v>211.38</v>
      </c>
      <c r="K429" s="917">
        <f t="shared" si="14"/>
        <v>7.5200000000000102</v>
      </c>
      <c r="L429" s="917"/>
      <c r="M429" s="917"/>
      <c r="N429" s="930" t="s">
        <v>2922</v>
      </c>
      <c r="P429" s="758">
        <v>1</v>
      </c>
    </row>
    <row r="430" spans="1:18" x14ac:dyDescent="0.2">
      <c r="A430" s="611" t="s">
        <v>1535</v>
      </c>
      <c r="B430" s="611" t="s">
        <v>2904</v>
      </c>
      <c r="C430" s="753" t="s">
        <v>1530</v>
      </c>
      <c r="D430" s="816" t="s">
        <v>3198</v>
      </c>
      <c r="E430" s="792">
        <v>376</v>
      </c>
      <c r="H430" s="792"/>
      <c r="I430" s="813">
        <v>180.9</v>
      </c>
      <c r="J430" s="755">
        <v>175.62</v>
      </c>
      <c r="K430" s="917">
        <f t="shared" si="14"/>
        <v>5.2800000000000011</v>
      </c>
      <c r="L430" s="917"/>
      <c r="M430" s="917"/>
      <c r="P430" s="758">
        <v>1</v>
      </c>
    </row>
    <row r="431" spans="1:18" ht="63.75" x14ac:dyDescent="0.2">
      <c r="A431" s="611" t="s">
        <v>1660</v>
      </c>
      <c r="B431" s="611" t="s">
        <v>2904</v>
      </c>
      <c r="C431" s="753" t="s">
        <v>1520</v>
      </c>
      <c r="D431" s="816" t="s">
        <v>1529</v>
      </c>
      <c r="E431" s="792">
        <v>375</v>
      </c>
      <c r="F431" s="792">
        <v>376</v>
      </c>
      <c r="G431" s="792">
        <v>378</v>
      </c>
      <c r="H431" s="792"/>
      <c r="I431" s="813">
        <v>753</v>
      </c>
      <c r="J431" s="755">
        <v>356.23</v>
      </c>
      <c r="K431" s="764">
        <f t="shared" si="14"/>
        <v>396.77</v>
      </c>
      <c r="L431" s="930" t="s">
        <v>2973</v>
      </c>
      <c r="M431" s="930"/>
      <c r="N431" s="932" t="s">
        <v>2974</v>
      </c>
      <c r="R431" s="758">
        <v>1</v>
      </c>
    </row>
    <row r="432" spans="1:18" customFormat="1" x14ac:dyDescent="0.2">
      <c r="A432" s="934" t="s">
        <v>2964</v>
      </c>
      <c r="B432" s="934" t="s">
        <v>2910</v>
      </c>
      <c r="C432" s="935"/>
      <c r="D432" s="939"/>
      <c r="E432" s="938"/>
      <c r="F432" s="938"/>
      <c r="G432" s="938"/>
      <c r="H432" s="938"/>
      <c r="I432" s="936"/>
      <c r="J432" s="937"/>
      <c r="K432" s="940"/>
      <c r="L432" s="940"/>
      <c r="M432" s="940"/>
      <c r="N432" s="941"/>
      <c r="O432" s="527"/>
    </row>
    <row r="433" spans="1:18" ht="25.5" x14ac:dyDescent="0.2">
      <c r="A433" s="611" t="s">
        <v>1859</v>
      </c>
      <c r="B433" s="611" t="s">
        <v>2904</v>
      </c>
      <c r="C433" s="753"/>
      <c r="D433" s="816" t="s">
        <v>3199</v>
      </c>
      <c r="E433" s="792">
        <v>389</v>
      </c>
      <c r="F433" s="792">
        <v>390</v>
      </c>
      <c r="H433" s="792"/>
      <c r="I433" s="813">
        <v>510.5</v>
      </c>
      <c r="J433" s="755">
        <v>267.87</v>
      </c>
      <c r="K433" s="764">
        <f t="shared" ref="K433:K453" si="15">I433-J433</f>
        <v>242.63</v>
      </c>
      <c r="L433" s="764" t="s">
        <v>3033</v>
      </c>
      <c r="N433" s="930" t="s">
        <v>3025</v>
      </c>
      <c r="R433" s="758">
        <v>1</v>
      </c>
    </row>
    <row r="434" spans="1:18" ht="38.25" x14ac:dyDescent="0.2">
      <c r="A434" s="611" t="s">
        <v>1797</v>
      </c>
      <c r="B434" s="611" t="s">
        <v>2904</v>
      </c>
      <c r="C434" s="753" t="s">
        <v>2954</v>
      </c>
      <c r="D434" s="816" t="s">
        <v>3197</v>
      </c>
      <c r="E434" s="792">
        <v>380</v>
      </c>
      <c r="F434" s="792">
        <v>381</v>
      </c>
      <c r="H434" s="792"/>
      <c r="I434" s="813">
        <v>4726</v>
      </c>
      <c r="J434" s="755">
        <v>178.95</v>
      </c>
      <c r="K434" s="764">
        <f t="shared" si="15"/>
        <v>4547.05</v>
      </c>
      <c r="N434" s="932" t="s">
        <v>3038</v>
      </c>
      <c r="P434" s="758">
        <v>1</v>
      </c>
    </row>
    <row r="435" spans="1:18" x14ac:dyDescent="0.2">
      <c r="A435" s="611" t="s">
        <v>1818</v>
      </c>
      <c r="B435" s="611" t="s">
        <v>2904</v>
      </c>
      <c r="C435" s="753" t="s">
        <v>1673</v>
      </c>
      <c r="D435" s="816" t="s">
        <v>3198</v>
      </c>
      <c r="E435" s="792">
        <v>376</v>
      </c>
      <c r="F435" s="792">
        <v>377</v>
      </c>
      <c r="H435" s="792"/>
      <c r="I435" s="813">
        <v>545.1</v>
      </c>
      <c r="J435" s="755">
        <v>269.60000000000002</v>
      </c>
      <c r="K435" s="764">
        <f t="shared" si="15"/>
        <v>275.5</v>
      </c>
      <c r="L435" s="764">
        <v>267</v>
      </c>
      <c r="N435" s="930" t="s">
        <v>2923</v>
      </c>
      <c r="P435" s="758">
        <v>1</v>
      </c>
    </row>
    <row r="436" spans="1:18" x14ac:dyDescent="0.2">
      <c r="A436" s="611" t="s">
        <v>1819</v>
      </c>
      <c r="B436" s="611" t="s">
        <v>2904</v>
      </c>
      <c r="C436" s="753" t="s">
        <v>1531</v>
      </c>
      <c r="D436" s="816" t="s">
        <v>3198</v>
      </c>
      <c r="E436" s="792">
        <v>382</v>
      </c>
      <c r="F436" s="792">
        <v>383</v>
      </c>
      <c r="G436" s="792">
        <v>385</v>
      </c>
      <c r="H436" s="792"/>
      <c r="I436" s="813">
        <v>360.7</v>
      </c>
      <c r="J436" s="755">
        <v>223.1</v>
      </c>
      <c r="K436" s="764">
        <f t="shared" si="15"/>
        <v>137.6</v>
      </c>
      <c r="N436" s="930" t="s">
        <v>2930</v>
      </c>
      <c r="P436" s="758">
        <v>1</v>
      </c>
    </row>
    <row r="437" spans="1:18" ht="25.5" x14ac:dyDescent="0.2">
      <c r="A437" s="611" t="s">
        <v>2171</v>
      </c>
      <c r="B437" s="611" t="s">
        <v>2904</v>
      </c>
      <c r="C437" s="753" t="s">
        <v>2187</v>
      </c>
      <c r="D437" s="816" t="s">
        <v>3200</v>
      </c>
      <c r="E437" s="792">
        <v>382</v>
      </c>
      <c r="H437" s="792"/>
      <c r="I437" s="813">
        <v>1143.5999999999999</v>
      </c>
      <c r="J437" s="755">
        <v>42.35</v>
      </c>
      <c r="K437" s="764">
        <f t="shared" si="15"/>
        <v>1101.25</v>
      </c>
      <c r="N437" s="930" t="s">
        <v>2931</v>
      </c>
      <c r="P437" s="758">
        <v>1</v>
      </c>
    </row>
    <row r="438" spans="1:18" ht="25.5" x14ac:dyDescent="0.2">
      <c r="A438" s="816" t="s">
        <v>2590</v>
      </c>
      <c r="B438" s="611" t="s">
        <v>2904</v>
      </c>
      <c r="C438" s="753" t="s">
        <v>2975</v>
      </c>
      <c r="D438" s="816" t="s">
        <v>2914</v>
      </c>
      <c r="E438" s="792">
        <v>371</v>
      </c>
      <c r="H438" s="792"/>
      <c r="I438" s="813">
        <v>267.10000000000002</v>
      </c>
      <c r="J438" s="755">
        <v>101.61</v>
      </c>
      <c r="K438" s="764">
        <f t="shared" si="15"/>
        <v>165.49</v>
      </c>
      <c r="L438" s="764">
        <v>140</v>
      </c>
      <c r="N438" s="930" t="s">
        <v>2923</v>
      </c>
      <c r="R438" s="758">
        <v>1</v>
      </c>
    </row>
    <row r="439" spans="1:18" ht="38.25" x14ac:dyDescent="0.2">
      <c r="A439" s="816" t="s">
        <v>2590</v>
      </c>
      <c r="B439" s="611" t="s">
        <v>2904</v>
      </c>
      <c r="C439" s="816" t="s">
        <v>3225</v>
      </c>
      <c r="D439" s="816" t="s">
        <v>3197</v>
      </c>
      <c r="E439" s="792">
        <v>386</v>
      </c>
      <c r="F439" s="792">
        <v>387</v>
      </c>
      <c r="H439" s="792"/>
      <c r="I439" s="813">
        <v>794.6</v>
      </c>
      <c r="J439" s="755">
        <v>115.54</v>
      </c>
      <c r="K439" s="764">
        <f t="shared" si="15"/>
        <v>679.06000000000006</v>
      </c>
      <c r="L439" s="764">
        <v>672</v>
      </c>
      <c r="N439" s="930" t="s">
        <v>2926</v>
      </c>
      <c r="R439" s="758">
        <v>1</v>
      </c>
    </row>
    <row r="440" spans="1:18" ht="76.5" x14ac:dyDescent="0.2">
      <c r="A440" s="816" t="s">
        <v>2590</v>
      </c>
      <c r="B440" s="611" t="s">
        <v>2904</v>
      </c>
      <c r="C440" s="939" t="s">
        <v>3039</v>
      </c>
      <c r="D440" s="816" t="s">
        <v>2591</v>
      </c>
      <c r="E440" s="792">
        <v>398</v>
      </c>
      <c r="I440" s="919">
        <v>395.7</v>
      </c>
      <c r="J440" s="755">
        <v>123.94</v>
      </c>
      <c r="K440" s="764">
        <f t="shared" si="15"/>
        <v>271.76</v>
      </c>
      <c r="L440" s="940" t="s">
        <v>2965</v>
      </c>
      <c r="M440"/>
      <c r="N440" s="816" t="s">
        <v>3026</v>
      </c>
      <c r="R440" s="758">
        <v>1</v>
      </c>
    </row>
    <row r="441" spans="1:18" x14ac:dyDescent="0.2">
      <c r="A441" s="611" t="s">
        <v>55</v>
      </c>
      <c r="B441" s="611" t="s">
        <v>2904</v>
      </c>
      <c r="C441" s="816" t="s">
        <v>625</v>
      </c>
      <c r="D441" s="816" t="s">
        <v>1444</v>
      </c>
      <c r="E441" s="792">
        <v>355</v>
      </c>
      <c r="H441" s="792"/>
      <c r="I441" s="813">
        <v>298.5</v>
      </c>
      <c r="J441" s="755">
        <v>238.39</v>
      </c>
      <c r="K441" s="764">
        <f t="shared" si="15"/>
        <v>60.110000000000014</v>
      </c>
      <c r="N441" s="930" t="s">
        <v>3249</v>
      </c>
      <c r="P441" s="758">
        <v>1</v>
      </c>
    </row>
    <row r="442" spans="1:18" x14ac:dyDescent="0.2">
      <c r="A442" s="611" t="s">
        <v>1733</v>
      </c>
      <c r="B442" s="611" t="s">
        <v>2904</v>
      </c>
      <c r="D442" s="816" t="s">
        <v>3150</v>
      </c>
      <c r="E442" s="792">
        <v>382</v>
      </c>
      <c r="F442" s="792">
        <v>383</v>
      </c>
      <c r="H442" s="792"/>
      <c r="I442" s="813">
        <v>142.19999999999999</v>
      </c>
      <c r="J442" s="755">
        <v>126.12</v>
      </c>
      <c r="K442" s="917">
        <f t="shared" si="15"/>
        <v>16.079999999999984</v>
      </c>
      <c r="P442" s="758">
        <v>1</v>
      </c>
    </row>
    <row r="443" spans="1:18" ht="63.75" x14ac:dyDescent="0.2">
      <c r="A443" s="611" t="s">
        <v>1012</v>
      </c>
      <c r="B443" s="611" t="s">
        <v>2904</v>
      </c>
      <c r="D443" s="816" t="s">
        <v>3201</v>
      </c>
      <c r="E443" s="792">
        <v>345</v>
      </c>
      <c r="H443" s="792"/>
      <c r="I443" s="764">
        <f>308+187+106</f>
        <v>601</v>
      </c>
      <c r="J443" s="755">
        <v>270.92</v>
      </c>
      <c r="K443" s="764">
        <f t="shared" si="15"/>
        <v>330.08</v>
      </c>
      <c r="N443" s="930" t="s">
        <v>3233</v>
      </c>
      <c r="P443" s="758">
        <v>1</v>
      </c>
    </row>
    <row r="444" spans="1:18" ht="25.5" x14ac:dyDescent="0.2">
      <c r="A444" s="611" t="s">
        <v>1012</v>
      </c>
      <c r="B444" s="611" t="s">
        <v>2904</v>
      </c>
      <c r="C444" s="816" t="s">
        <v>3060</v>
      </c>
      <c r="D444" s="816" t="s">
        <v>3201</v>
      </c>
      <c r="E444" s="792">
        <v>366</v>
      </c>
      <c r="H444" s="792"/>
      <c r="I444" s="764">
        <v>242</v>
      </c>
      <c r="J444" s="755">
        <v>122.95</v>
      </c>
      <c r="K444" s="764">
        <f t="shared" si="15"/>
        <v>119.05</v>
      </c>
      <c r="N444" s="941" t="s">
        <v>3040</v>
      </c>
      <c r="P444" s="758">
        <v>1</v>
      </c>
    </row>
    <row r="445" spans="1:18" x14ac:dyDescent="0.2">
      <c r="A445" s="611" t="s">
        <v>899</v>
      </c>
      <c r="B445" s="611" t="s">
        <v>2904</v>
      </c>
      <c r="D445" s="816" t="s">
        <v>3150</v>
      </c>
      <c r="E445" s="792">
        <v>358</v>
      </c>
      <c r="H445" s="792"/>
      <c r="I445" s="919">
        <f>646.1+323.7</f>
        <v>969.8</v>
      </c>
      <c r="J445" s="755">
        <v>320.51</v>
      </c>
      <c r="K445" s="764">
        <f t="shared" si="15"/>
        <v>649.29</v>
      </c>
      <c r="N445" s="930" t="s">
        <v>2909</v>
      </c>
      <c r="P445" s="758">
        <v>1</v>
      </c>
    </row>
    <row r="446" spans="1:18" x14ac:dyDescent="0.2">
      <c r="A446" s="611" t="s">
        <v>10</v>
      </c>
      <c r="B446" s="611" t="s">
        <v>2904</v>
      </c>
      <c r="D446" s="816" t="s">
        <v>2914</v>
      </c>
      <c r="E446" s="792">
        <v>365</v>
      </c>
      <c r="H446" s="792"/>
      <c r="I446" s="918">
        <v>353</v>
      </c>
      <c r="J446" s="755">
        <v>237.1</v>
      </c>
      <c r="K446" s="764">
        <f t="shared" si="15"/>
        <v>115.9</v>
      </c>
      <c r="N446" s="930" t="s">
        <v>2932</v>
      </c>
      <c r="Q446" s="758">
        <v>890</v>
      </c>
    </row>
    <row r="447" spans="1:18" ht="25.5" x14ac:dyDescent="0.2">
      <c r="A447" s="934" t="s">
        <v>1735</v>
      </c>
      <c r="B447" s="611" t="s">
        <v>2904</v>
      </c>
      <c r="C447" s="753" t="s">
        <v>3041</v>
      </c>
      <c r="D447" s="816" t="s">
        <v>3200</v>
      </c>
      <c r="H447" s="792"/>
      <c r="I447" s="813">
        <v>4772.3</v>
      </c>
      <c r="K447" s="764">
        <f t="shared" si="15"/>
        <v>4772.3</v>
      </c>
      <c r="N447" s="941" t="s">
        <v>3263</v>
      </c>
      <c r="R447" s="758">
        <v>1</v>
      </c>
    </row>
    <row r="448" spans="1:18" ht="12.75" customHeight="1" x14ac:dyDescent="0.2">
      <c r="A448" s="611" t="s">
        <v>52</v>
      </c>
      <c r="B448" s="611" t="s">
        <v>2904</v>
      </c>
      <c r="C448" s="816" t="s">
        <v>622</v>
      </c>
      <c r="D448" s="816" t="s">
        <v>3202</v>
      </c>
      <c r="E448" s="792">
        <v>364</v>
      </c>
      <c r="F448" s="792">
        <v>365</v>
      </c>
      <c r="H448" s="792"/>
      <c r="I448" s="918">
        <v>171</v>
      </c>
      <c r="J448" s="755">
        <v>170.43</v>
      </c>
      <c r="K448" s="917">
        <f t="shared" si="15"/>
        <v>0.56999999999999318</v>
      </c>
      <c r="L448" s="917"/>
      <c r="M448" s="917"/>
      <c r="P448" s="758">
        <v>1</v>
      </c>
    </row>
    <row r="449" spans="1:18" x14ac:dyDescent="0.2">
      <c r="A449" s="611" t="s">
        <v>53</v>
      </c>
      <c r="B449" s="611" t="s">
        <v>2904</v>
      </c>
      <c r="C449" s="816" t="s">
        <v>623</v>
      </c>
      <c r="D449" s="816" t="s">
        <v>3203</v>
      </c>
      <c r="E449" s="792">
        <v>364</v>
      </c>
      <c r="F449" s="792">
        <v>365</v>
      </c>
      <c r="H449" s="792"/>
      <c r="I449" s="918">
        <v>294</v>
      </c>
      <c r="J449" s="755">
        <v>293.98</v>
      </c>
      <c r="K449" s="917">
        <f t="shared" si="15"/>
        <v>1.999999999998181E-2</v>
      </c>
      <c r="L449" s="917"/>
      <c r="M449" s="917"/>
      <c r="P449" s="758">
        <v>1</v>
      </c>
    </row>
    <row r="450" spans="1:18" ht="12.75" customHeight="1" x14ac:dyDescent="0.2">
      <c r="A450" s="611" t="s">
        <v>89</v>
      </c>
      <c r="B450" s="611" t="s">
        <v>2904</v>
      </c>
      <c r="D450" s="816" t="s">
        <v>3150</v>
      </c>
      <c r="E450" s="792">
        <v>365</v>
      </c>
      <c r="H450" s="792"/>
      <c r="I450" s="918">
        <f>250</f>
        <v>250</v>
      </c>
      <c r="J450" s="755">
        <v>216.64</v>
      </c>
      <c r="K450" s="917">
        <f t="shared" si="15"/>
        <v>33.360000000000014</v>
      </c>
      <c r="L450" s="917"/>
      <c r="M450" s="917"/>
      <c r="P450" s="758">
        <v>1</v>
      </c>
    </row>
    <row r="451" spans="1:18" ht="12.75" customHeight="1" x14ac:dyDescent="0.2">
      <c r="A451" s="611" t="s">
        <v>89</v>
      </c>
      <c r="B451" s="611" t="s">
        <v>2904</v>
      </c>
      <c r="D451" s="816" t="s">
        <v>2911</v>
      </c>
      <c r="E451" s="792">
        <v>369</v>
      </c>
      <c r="H451" s="792"/>
      <c r="I451" s="918">
        <v>1251</v>
      </c>
      <c r="J451" s="755">
        <v>153.1</v>
      </c>
      <c r="K451" s="764">
        <f t="shared" si="15"/>
        <v>1097.9000000000001</v>
      </c>
      <c r="L451" s="764">
        <v>1070</v>
      </c>
      <c r="N451" s="930" t="s">
        <v>2923</v>
      </c>
      <c r="R451" s="758">
        <v>1</v>
      </c>
    </row>
    <row r="452" spans="1:18" ht="63.75" x14ac:dyDescent="0.2">
      <c r="A452" s="611" t="s">
        <v>122</v>
      </c>
      <c r="B452" s="611" t="s">
        <v>2904</v>
      </c>
      <c r="C452" s="816" t="s">
        <v>624</v>
      </c>
      <c r="D452" s="816" t="s">
        <v>2912</v>
      </c>
      <c r="E452" s="792">
        <v>364</v>
      </c>
      <c r="F452" s="792">
        <v>365</v>
      </c>
      <c r="H452" s="792"/>
      <c r="I452" s="918">
        <f>1330+17700+1034</f>
        <v>20064</v>
      </c>
      <c r="J452" s="755">
        <v>240.57</v>
      </c>
      <c r="K452" s="764">
        <f t="shared" si="15"/>
        <v>19823.43</v>
      </c>
      <c r="L452" s="764">
        <v>18365</v>
      </c>
      <c r="N452" s="932" t="s">
        <v>3027</v>
      </c>
      <c r="P452" s="758">
        <v>1</v>
      </c>
    </row>
    <row r="453" spans="1:18" ht="25.5" x14ac:dyDescent="0.2">
      <c r="A453" s="816" t="s">
        <v>3066</v>
      </c>
      <c r="B453" s="816" t="s">
        <v>2903</v>
      </c>
      <c r="D453" s="816" t="s">
        <v>3201</v>
      </c>
      <c r="E453" s="792">
        <v>379</v>
      </c>
      <c r="I453" s="919">
        <v>502.2</v>
      </c>
      <c r="J453" s="755">
        <v>250.76</v>
      </c>
      <c r="K453" s="764">
        <f t="shared" si="15"/>
        <v>251.44</v>
      </c>
      <c r="N453" s="930" t="s">
        <v>3028</v>
      </c>
      <c r="P453" s="758">
        <v>1</v>
      </c>
    </row>
    <row r="454" spans="1:18" ht="12.75" customHeight="1" x14ac:dyDescent="0.2">
      <c r="A454" s="636"/>
      <c r="B454" s="636"/>
    </row>
    <row r="455" spans="1:18" x14ac:dyDescent="0.2">
      <c r="I455" s="928"/>
    </row>
    <row r="456" spans="1:18" ht="12.75" customHeight="1" x14ac:dyDescent="0.2">
      <c r="P456" s="927"/>
    </row>
    <row r="457" spans="1:18" ht="25.5" x14ac:dyDescent="0.2">
      <c r="A457" s="611" t="s">
        <v>1305</v>
      </c>
      <c r="C457" s="753" t="s">
        <v>3062</v>
      </c>
      <c r="D457" s="816" t="s">
        <v>3205</v>
      </c>
      <c r="E457" s="792">
        <v>385</v>
      </c>
      <c r="H457" s="792"/>
      <c r="I457" s="813">
        <v>10029.200000000001</v>
      </c>
      <c r="J457" s="755">
        <v>24.35</v>
      </c>
      <c r="N457" s="932" t="s">
        <v>2908</v>
      </c>
      <c r="R457" s="758">
        <v>1</v>
      </c>
    </row>
    <row r="458" spans="1:18" ht="15.75" x14ac:dyDescent="0.25">
      <c r="C458" s="753"/>
      <c r="H458" s="792"/>
      <c r="N458" s="942"/>
    </row>
    <row r="459" spans="1:18" ht="15.75" x14ac:dyDescent="0.25">
      <c r="A459" s="611" t="s">
        <v>2982</v>
      </c>
      <c r="B459" s="611" t="s">
        <v>119</v>
      </c>
      <c r="H459" s="792"/>
      <c r="N459" s="942"/>
    </row>
    <row r="460" spans="1:18" ht="15.75" x14ac:dyDescent="0.25">
      <c r="A460" s="611" t="s">
        <v>2983</v>
      </c>
      <c r="B460" s="611" t="s">
        <v>3614</v>
      </c>
      <c r="H460" s="792"/>
      <c r="N460" s="942"/>
    </row>
    <row r="461" spans="1:18" ht="15.75" x14ac:dyDescent="0.25">
      <c r="A461" s="611" t="s">
        <v>2984</v>
      </c>
      <c r="B461" s="611" t="s">
        <v>2985</v>
      </c>
      <c r="H461" s="792"/>
      <c r="N461" s="942"/>
    </row>
    <row r="462" spans="1:18" ht="15.75" x14ac:dyDescent="0.25">
      <c r="H462" s="792"/>
      <c r="N462" s="942"/>
    </row>
    <row r="463" spans="1:18" ht="15.75" x14ac:dyDescent="0.25">
      <c r="A463" s="945">
        <v>16.079999999999984</v>
      </c>
      <c r="B463" s="611" t="s">
        <v>3061</v>
      </c>
      <c r="H463" s="792"/>
      <c r="N463" s="942"/>
    </row>
    <row r="464" spans="1:18" ht="15.75" x14ac:dyDescent="0.25">
      <c r="A464" s="611" t="s">
        <v>3068</v>
      </c>
      <c r="B464" s="611" t="s">
        <v>3070</v>
      </c>
      <c r="H464" s="792"/>
      <c r="N464" s="942"/>
    </row>
    <row r="465" spans="1:18" ht="15.75" x14ac:dyDescent="0.25">
      <c r="C465" s="753"/>
      <c r="H465" s="792"/>
      <c r="N465" s="942"/>
    </row>
    <row r="466" spans="1:18" ht="15.75" x14ac:dyDescent="0.25">
      <c r="C466" s="753"/>
      <c r="H466" s="792"/>
      <c r="N466" s="942"/>
    </row>
    <row r="467" spans="1:18" ht="15.75" x14ac:dyDescent="0.25">
      <c r="C467" s="753"/>
      <c r="H467" s="792"/>
      <c r="N467" s="942"/>
    </row>
    <row r="468" spans="1:18" ht="15.75" x14ac:dyDescent="0.25">
      <c r="C468" s="753"/>
      <c r="H468" s="792"/>
      <c r="N468" s="942"/>
    </row>
    <row r="469" spans="1:18" ht="15.75" x14ac:dyDescent="0.25">
      <c r="C469" s="753"/>
      <c r="H469" s="792"/>
      <c r="N469" s="942"/>
    </row>
    <row r="471" spans="1:18" ht="12.75" customHeight="1" x14ac:dyDescent="0.2">
      <c r="C471" s="753"/>
      <c r="H471" s="792"/>
    </row>
    <row r="472" spans="1:18" x14ac:dyDescent="0.2">
      <c r="A472" s="636" t="s">
        <v>3108</v>
      </c>
    </row>
    <row r="473" spans="1:18" x14ac:dyDescent="0.2">
      <c r="A473" s="611" t="s">
        <v>1444</v>
      </c>
      <c r="B473" s="611" t="s">
        <v>3071</v>
      </c>
    </row>
    <row r="474" spans="1:18" x14ac:dyDescent="0.2">
      <c r="A474" s="611" t="s">
        <v>2976</v>
      </c>
      <c r="B474" s="611" t="s">
        <v>2977</v>
      </c>
    </row>
    <row r="475" spans="1:18" x14ac:dyDescent="0.2">
      <c r="A475" s="611" t="s">
        <v>2978</v>
      </c>
      <c r="B475" s="611" t="s">
        <v>2979</v>
      </c>
    </row>
    <row r="476" spans="1:18" x14ac:dyDescent="0.2">
      <c r="A476" s="611" t="s">
        <v>2980</v>
      </c>
      <c r="B476" s="611" t="s">
        <v>2981</v>
      </c>
    </row>
    <row r="478" spans="1:18" ht="25.5" customHeight="1" x14ac:dyDescent="0.2">
      <c r="A478" s="816" t="s">
        <v>2236</v>
      </c>
      <c r="B478" s="987" t="s">
        <v>3085</v>
      </c>
      <c r="C478" s="987"/>
      <c r="D478" s="987"/>
      <c r="E478" s="987"/>
      <c r="F478" s="987"/>
      <c r="G478" s="987"/>
      <c r="H478" s="987"/>
      <c r="I478" s="987"/>
      <c r="J478" s="987"/>
      <c r="K478" s="987"/>
      <c r="L478" s="987"/>
      <c r="M478" s="987"/>
      <c r="N478" s="987"/>
      <c r="O478" s="987"/>
      <c r="P478" s="987"/>
      <c r="Q478" s="987"/>
      <c r="R478" s="987"/>
    </row>
    <row r="479" spans="1:18" ht="25.5" customHeight="1" x14ac:dyDescent="0.2">
      <c r="A479" s="816" t="s">
        <v>1510</v>
      </c>
      <c r="B479" s="987" t="s">
        <v>3079</v>
      </c>
      <c r="C479" s="987"/>
      <c r="D479" s="987"/>
      <c r="E479" s="987"/>
      <c r="F479" s="987"/>
      <c r="G479" s="987"/>
      <c r="H479" s="987"/>
      <c r="I479" s="987"/>
      <c r="J479" s="987"/>
      <c r="K479" s="987"/>
      <c r="L479" s="987"/>
      <c r="M479" s="987"/>
      <c r="N479" s="987"/>
      <c r="O479" s="987"/>
      <c r="P479" s="987"/>
      <c r="Q479" s="987"/>
      <c r="R479" s="987"/>
    </row>
    <row r="480" spans="1:18" ht="25.5" customHeight="1" x14ac:dyDescent="0.2">
      <c r="A480" s="611" t="s">
        <v>3072</v>
      </c>
      <c r="B480" s="987" t="s">
        <v>3073</v>
      </c>
      <c r="C480" s="987"/>
      <c r="D480" s="987"/>
      <c r="E480" s="987"/>
      <c r="F480" s="987"/>
      <c r="G480" s="987"/>
      <c r="H480" s="987"/>
      <c r="I480" s="987"/>
      <c r="J480" s="987"/>
      <c r="K480" s="987"/>
      <c r="L480" s="987"/>
      <c r="M480" s="987"/>
      <c r="N480" s="987"/>
      <c r="O480" s="987"/>
      <c r="P480" s="987"/>
      <c r="Q480" s="987"/>
      <c r="R480" s="987"/>
    </row>
    <row r="481" spans="1:18" ht="25.5" customHeight="1" x14ac:dyDescent="0.2">
      <c r="A481" s="816" t="s">
        <v>3054</v>
      </c>
      <c r="B481" s="987" t="s">
        <v>3110</v>
      </c>
      <c r="C481" s="987"/>
      <c r="D481" s="987"/>
      <c r="E481" s="987"/>
      <c r="F481" s="987"/>
      <c r="G481" s="987"/>
      <c r="H481" s="987"/>
      <c r="I481" s="987"/>
      <c r="J481" s="987"/>
      <c r="K481" s="987"/>
      <c r="L481" s="987"/>
      <c r="M481" s="987"/>
      <c r="N481" s="987"/>
      <c r="O481" s="987"/>
      <c r="P481" s="987"/>
      <c r="Q481" s="987"/>
      <c r="R481" s="987"/>
    </row>
    <row r="482" spans="1:18" ht="25.5" customHeight="1" x14ac:dyDescent="0.2">
      <c r="A482" s="611" t="s">
        <v>3084</v>
      </c>
      <c r="B482" s="987" t="s">
        <v>3085</v>
      </c>
      <c r="C482" s="987"/>
      <c r="D482" s="987"/>
      <c r="E482" s="987"/>
      <c r="F482" s="987"/>
      <c r="G482" s="987"/>
      <c r="H482" s="987"/>
      <c r="I482" s="987"/>
      <c r="J482" s="987"/>
      <c r="K482" s="987"/>
      <c r="L482" s="987"/>
      <c r="M482" s="987"/>
      <c r="N482" s="987"/>
      <c r="O482" s="987"/>
      <c r="P482" s="987"/>
      <c r="Q482" s="987"/>
      <c r="R482" s="987"/>
    </row>
    <row r="483" spans="1:18" ht="25.5" customHeight="1" x14ac:dyDescent="0.2">
      <c r="A483" s="611" t="s">
        <v>2140</v>
      </c>
      <c r="B483" s="987" t="s">
        <v>3109</v>
      </c>
      <c r="C483" s="987"/>
      <c r="D483" s="987"/>
      <c r="E483" s="987"/>
      <c r="F483" s="987"/>
      <c r="G483" s="987"/>
      <c r="H483" s="987"/>
      <c r="I483" s="987"/>
      <c r="J483" s="987"/>
      <c r="K483" s="987"/>
      <c r="L483" s="987"/>
      <c r="M483" s="987"/>
      <c r="N483" s="987"/>
      <c r="O483" s="987"/>
      <c r="P483" s="987"/>
      <c r="Q483" s="987"/>
      <c r="R483" s="987"/>
    </row>
    <row r="484" spans="1:18" ht="25.5" customHeight="1" x14ac:dyDescent="0.2">
      <c r="A484" s="816" t="s">
        <v>2971</v>
      </c>
      <c r="B484" s="987" t="s">
        <v>3098</v>
      </c>
      <c r="C484" s="987"/>
      <c r="D484" s="987"/>
      <c r="E484" s="987"/>
      <c r="F484" s="987"/>
      <c r="G484" s="987"/>
      <c r="H484" s="987"/>
      <c r="I484" s="987"/>
      <c r="J484" s="987"/>
      <c r="K484" s="987"/>
      <c r="L484" s="987"/>
      <c r="M484" s="987"/>
      <c r="N484" s="987"/>
      <c r="O484" s="987"/>
      <c r="P484" s="987"/>
      <c r="Q484" s="987"/>
      <c r="R484" s="987"/>
    </row>
    <row r="485" spans="1:18" ht="25.5" customHeight="1" x14ac:dyDescent="0.2">
      <c r="A485" s="611" t="s">
        <v>2882</v>
      </c>
      <c r="B485" s="987" t="s">
        <v>3111</v>
      </c>
      <c r="C485" s="987"/>
      <c r="D485" s="987"/>
      <c r="E485" s="987"/>
      <c r="F485" s="987"/>
      <c r="G485" s="987"/>
      <c r="H485" s="987"/>
      <c r="I485" s="987"/>
      <c r="J485" s="987"/>
      <c r="K485" s="987"/>
      <c r="L485" s="987"/>
      <c r="M485" s="987"/>
      <c r="N485" s="987"/>
      <c r="O485" s="987"/>
      <c r="P485" s="987"/>
      <c r="Q485" s="987"/>
      <c r="R485" s="987"/>
    </row>
    <row r="486" spans="1:18" ht="25.5" customHeight="1" x14ac:dyDescent="0.2">
      <c r="A486" s="816" t="s">
        <v>3080</v>
      </c>
      <c r="B486" s="987" t="s">
        <v>3081</v>
      </c>
      <c r="C486" s="987"/>
      <c r="D486" s="987"/>
      <c r="E486" s="987"/>
      <c r="F486" s="987"/>
      <c r="G486" s="987"/>
      <c r="H486" s="987"/>
      <c r="I486" s="987"/>
      <c r="J486" s="987"/>
      <c r="K486" s="987"/>
      <c r="L486" s="987"/>
      <c r="M486" s="987"/>
      <c r="N486" s="987"/>
      <c r="O486" s="987"/>
      <c r="P486" s="987"/>
      <c r="Q486" s="987"/>
      <c r="R486" s="987"/>
    </row>
    <row r="487" spans="1:18" ht="25.5" customHeight="1" x14ac:dyDescent="0.2">
      <c r="A487" s="816" t="s">
        <v>1534</v>
      </c>
      <c r="B487" s="987" t="s">
        <v>3101</v>
      </c>
      <c r="C487" s="987"/>
      <c r="D487" s="987"/>
      <c r="E487" s="987"/>
      <c r="F487" s="987"/>
      <c r="G487" s="987"/>
      <c r="H487" s="987"/>
      <c r="I487" s="987"/>
      <c r="J487" s="987"/>
      <c r="K487" s="987"/>
      <c r="L487" s="987"/>
      <c r="M487" s="987"/>
      <c r="N487" s="987"/>
      <c r="O487" s="987"/>
      <c r="P487" s="987"/>
      <c r="Q487" s="987"/>
      <c r="R487" s="987"/>
    </row>
    <row r="488" spans="1:18" ht="25.5" customHeight="1" x14ac:dyDescent="0.2">
      <c r="A488" s="816" t="s">
        <v>3045</v>
      </c>
      <c r="B488" s="987" t="s">
        <v>3112</v>
      </c>
      <c r="C488" s="987"/>
      <c r="D488" s="987"/>
      <c r="E488" s="987"/>
      <c r="F488" s="987"/>
      <c r="G488" s="987"/>
      <c r="H488" s="987"/>
      <c r="I488" s="987"/>
      <c r="J488" s="987"/>
      <c r="K488" s="987"/>
      <c r="L488" s="987"/>
      <c r="M488" s="987"/>
      <c r="N488" s="987"/>
      <c r="O488" s="987"/>
      <c r="P488" s="987"/>
      <c r="Q488" s="987"/>
      <c r="R488" s="987"/>
    </row>
    <row r="489" spans="1:18" ht="25.5" customHeight="1" x14ac:dyDescent="0.2">
      <c r="A489" s="816" t="s">
        <v>1672</v>
      </c>
      <c r="B489" s="987" t="s">
        <v>3138</v>
      </c>
      <c r="C489" s="987"/>
      <c r="D489" s="987"/>
      <c r="E489" s="987"/>
      <c r="F489" s="987"/>
      <c r="G489" s="987"/>
      <c r="H489" s="987"/>
      <c r="I489" s="987"/>
      <c r="J489" s="987"/>
      <c r="K489" s="987"/>
      <c r="L489" s="987"/>
      <c r="M489" s="987"/>
      <c r="N489" s="987"/>
      <c r="O489" s="987"/>
      <c r="P489" s="987"/>
      <c r="Q489" s="987"/>
      <c r="R489" s="987"/>
    </row>
    <row r="490" spans="1:18" ht="25.5" customHeight="1" x14ac:dyDescent="0.2">
      <c r="A490" s="816" t="s">
        <v>2142</v>
      </c>
      <c r="B490" s="987" t="s">
        <v>3078</v>
      </c>
      <c r="C490" s="987"/>
      <c r="D490" s="987"/>
      <c r="E490" s="987"/>
      <c r="F490" s="987"/>
      <c r="G490" s="987"/>
      <c r="H490" s="987"/>
      <c r="I490" s="987"/>
      <c r="J490" s="987"/>
      <c r="K490" s="987"/>
      <c r="L490" s="987"/>
      <c r="M490" s="987"/>
      <c r="N490" s="987"/>
      <c r="O490" s="987"/>
      <c r="P490" s="987"/>
      <c r="Q490" s="987"/>
      <c r="R490" s="987"/>
    </row>
    <row r="491" spans="1:18" ht="25.5" customHeight="1" x14ac:dyDescent="0.2">
      <c r="A491" s="816" t="s">
        <v>3082</v>
      </c>
      <c r="B491" s="987" t="s">
        <v>3113</v>
      </c>
      <c r="C491" s="987"/>
      <c r="D491" s="987"/>
      <c r="E491" s="987"/>
      <c r="F491" s="987"/>
      <c r="G491" s="987"/>
      <c r="H491" s="987"/>
      <c r="I491" s="987"/>
      <c r="J491" s="987"/>
      <c r="K491" s="987"/>
      <c r="L491" s="987"/>
      <c r="M491" s="987"/>
      <c r="N491" s="987"/>
      <c r="O491" s="987"/>
      <c r="P491" s="987"/>
      <c r="Q491" s="987"/>
      <c r="R491" s="987"/>
    </row>
    <row r="492" spans="1:18" ht="41.25" customHeight="1" x14ac:dyDescent="0.2">
      <c r="A492" s="816" t="s">
        <v>2034</v>
      </c>
      <c r="B492" s="987" t="s">
        <v>3116</v>
      </c>
      <c r="C492" s="987"/>
      <c r="D492" s="987"/>
      <c r="E492" s="987"/>
      <c r="F492" s="987"/>
      <c r="G492" s="987"/>
      <c r="H492" s="987"/>
      <c r="I492" s="987"/>
      <c r="J492" s="987"/>
      <c r="K492" s="987"/>
      <c r="L492" s="987"/>
      <c r="M492" s="987"/>
      <c r="N492" s="987"/>
      <c r="O492" s="987"/>
      <c r="P492" s="987"/>
      <c r="Q492" s="987"/>
      <c r="R492" s="987"/>
    </row>
    <row r="493" spans="1:18" ht="25.5" customHeight="1" x14ac:dyDescent="0.2">
      <c r="A493" s="816" t="s">
        <v>2181</v>
      </c>
      <c r="B493" s="987" t="s">
        <v>3097</v>
      </c>
      <c r="C493" s="987"/>
      <c r="D493" s="987"/>
      <c r="E493" s="987"/>
      <c r="F493" s="987"/>
      <c r="G493" s="987"/>
      <c r="H493" s="987"/>
      <c r="I493" s="987"/>
      <c r="J493" s="987"/>
      <c r="K493" s="987"/>
      <c r="L493" s="987"/>
      <c r="M493" s="987"/>
      <c r="N493" s="987"/>
      <c r="O493" s="987"/>
      <c r="P493" s="987"/>
      <c r="Q493" s="987"/>
      <c r="R493" s="987"/>
    </row>
    <row r="495" spans="1:18" x14ac:dyDescent="0.2">
      <c r="A495" s="636" t="s">
        <v>3074</v>
      </c>
    </row>
    <row r="496" spans="1:18" ht="25.5" customHeight="1" x14ac:dyDescent="0.2">
      <c r="A496" s="816" t="s">
        <v>3087</v>
      </c>
      <c r="B496" s="611" t="s">
        <v>3083</v>
      </c>
      <c r="C496" s="728" t="s">
        <v>3090</v>
      </c>
      <c r="D496" s="753"/>
    </row>
    <row r="497" spans="1:4" ht="25.5" customHeight="1" x14ac:dyDescent="0.2">
      <c r="A497" s="816" t="s">
        <v>2089</v>
      </c>
      <c r="B497" s="611" t="s">
        <v>3115</v>
      </c>
      <c r="C497" s="816" t="s">
        <v>3114</v>
      </c>
    </row>
    <row r="498" spans="1:4" ht="25.5" customHeight="1" x14ac:dyDescent="0.2">
      <c r="A498" s="816" t="s">
        <v>3056</v>
      </c>
      <c r="B498" s="611" t="s">
        <v>3091</v>
      </c>
      <c r="C498" s="611" t="s">
        <v>3099</v>
      </c>
    </row>
    <row r="499" spans="1:4" ht="25.5" customHeight="1" x14ac:dyDescent="0.2">
      <c r="A499" s="816" t="s">
        <v>3055</v>
      </c>
      <c r="B499" s="611" t="s">
        <v>250</v>
      </c>
      <c r="C499" s="816" t="s">
        <v>3125</v>
      </c>
    </row>
    <row r="500" spans="1:4" ht="25.5" customHeight="1" x14ac:dyDescent="0.2">
      <c r="A500" s="816" t="s">
        <v>3100</v>
      </c>
      <c r="B500" s="611" t="s">
        <v>3083</v>
      </c>
      <c r="C500" s="816" t="s">
        <v>3114</v>
      </c>
    </row>
    <row r="501" spans="1:4" ht="25.5" customHeight="1" x14ac:dyDescent="0.2">
      <c r="A501" s="816" t="s">
        <v>1794</v>
      </c>
      <c r="B501" s="611" t="s">
        <v>3083</v>
      </c>
      <c r="C501" s="816" t="s">
        <v>3114</v>
      </c>
    </row>
    <row r="502" spans="1:4" ht="25.5" customHeight="1" x14ac:dyDescent="0.2">
      <c r="A502" s="816" t="s">
        <v>2917</v>
      </c>
      <c r="B502" s="611" t="s">
        <v>3083</v>
      </c>
      <c r="C502" s="816" t="s">
        <v>3123</v>
      </c>
    </row>
    <row r="503" spans="1:4" ht="25.5" customHeight="1" x14ac:dyDescent="0.2">
      <c r="A503" s="816" t="s">
        <v>3046</v>
      </c>
      <c r="B503" s="611" t="s">
        <v>3076</v>
      </c>
      <c r="C503" s="728" t="s">
        <v>3117</v>
      </c>
      <c r="D503" s="753"/>
    </row>
    <row r="504" spans="1:4" ht="25.5" customHeight="1" x14ac:dyDescent="0.2">
      <c r="A504" s="816" t="s">
        <v>2139</v>
      </c>
      <c r="B504" s="611" t="s">
        <v>3075</v>
      </c>
      <c r="C504" s="816" t="s">
        <v>3124</v>
      </c>
    </row>
    <row r="505" spans="1:4" ht="25.5" customHeight="1" x14ac:dyDescent="0.2">
      <c r="A505" s="816" t="s">
        <v>2237</v>
      </c>
      <c r="B505" s="611" t="s">
        <v>3083</v>
      </c>
      <c r="C505" s="816" t="s">
        <v>3114</v>
      </c>
    </row>
    <row r="506" spans="1:4" ht="25.5" customHeight="1" x14ac:dyDescent="0.2">
      <c r="A506" s="816" t="s">
        <v>2197</v>
      </c>
      <c r="B506" s="611" t="s">
        <v>3083</v>
      </c>
      <c r="C506" s="816" t="s">
        <v>3094</v>
      </c>
    </row>
    <row r="507" spans="1:4" ht="25.5" customHeight="1" x14ac:dyDescent="0.2">
      <c r="A507" s="816" t="s">
        <v>2178</v>
      </c>
      <c r="B507" s="611" t="s">
        <v>3083</v>
      </c>
      <c r="C507" s="728" t="s">
        <v>3090</v>
      </c>
      <c r="D507" s="753"/>
    </row>
    <row r="508" spans="1:4" ht="25.5" customHeight="1" x14ac:dyDescent="0.2">
      <c r="A508" s="816" t="s">
        <v>3051</v>
      </c>
      <c r="B508" s="611" t="s">
        <v>3083</v>
      </c>
      <c r="C508" s="816" t="s">
        <v>3125</v>
      </c>
    </row>
    <row r="509" spans="1:4" ht="25.5" customHeight="1" x14ac:dyDescent="0.2">
      <c r="A509" s="816" t="s">
        <v>2913</v>
      </c>
      <c r="B509" s="611" t="s">
        <v>3088</v>
      </c>
      <c r="C509" s="816" t="s">
        <v>3125</v>
      </c>
    </row>
    <row r="510" spans="1:4" ht="25.5" customHeight="1" x14ac:dyDescent="0.2">
      <c r="A510" s="816" t="s">
        <v>3049</v>
      </c>
      <c r="B510" s="611" t="s">
        <v>3088</v>
      </c>
      <c r="C510" s="816" t="s">
        <v>3089</v>
      </c>
    </row>
    <row r="511" spans="1:4" ht="42" customHeight="1" x14ac:dyDescent="0.2">
      <c r="A511" s="816" t="s">
        <v>2587</v>
      </c>
      <c r="B511" s="611" t="s">
        <v>3092</v>
      </c>
      <c r="C511" s="728" t="s">
        <v>3126</v>
      </c>
      <c r="D511" s="753"/>
    </row>
    <row r="512" spans="1:4" ht="25.5" customHeight="1" x14ac:dyDescent="0.2">
      <c r="A512" s="816" t="s">
        <v>2404</v>
      </c>
      <c r="B512" s="611" t="s">
        <v>3088</v>
      </c>
      <c r="C512" s="816" t="s">
        <v>3114</v>
      </c>
    </row>
    <row r="513" spans="1:4" ht="25.5" customHeight="1" x14ac:dyDescent="0.2">
      <c r="A513" s="816" t="s">
        <v>3096</v>
      </c>
      <c r="B513" s="611" t="s">
        <v>2610</v>
      </c>
      <c r="C513" s="816" t="s">
        <v>3122</v>
      </c>
    </row>
    <row r="514" spans="1:4" ht="25.5" customHeight="1" x14ac:dyDescent="0.2">
      <c r="A514" s="816" t="s">
        <v>1460</v>
      </c>
      <c r="B514" s="611" t="s">
        <v>3103</v>
      </c>
      <c r="C514" s="816" t="s">
        <v>3104</v>
      </c>
    </row>
    <row r="515" spans="1:4" ht="25.5" customHeight="1" x14ac:dyDescent="0.2">
      <c r="A515" s="816" t="s">
        <v>2086</v>
      </c>
      <c r="B515" s="611" t="s">
        <v>3103</v>
      </c>
      <c r="C515" s="527" t="s">
        <v>3127</v>
      </c>
    </row>
    <row r="516" spans="1:4" ht="25.5" customHeight="1" x14ac:dyDescent="0.2">
      <c r="A516" s="816" t="s">
        <v>2900</v>
      </c>
      <c r="B516" s="611" t="s">
        <v>3130</v>
      </c>
      <c r="C516" s="816" t="s">
        <v>3099</v>
      </c>
    </row>
    <row r="517" spans="1:4" ht="25.5" customHeight="1" x14ac:dyDescent="0.2">
      <c r="A517" s="816" t="s">
        <v>3105</v>
      </c>
      <c r="B517" s="611" t="s">
        <v>3103</v>
      </c>
      <c r="C517" s="816" t="s">
        <v>3106</v>
      </c>
    </row>
    <row r="518" spans="1:4" ht="25.5" customHeight="1" x14ac:dyDescent="0.2">
      <c r="A518" s="816" t="s">
        <v>2087</v>
      </c>
      <c r="B518" s="611" t="s">
        <v>3103</v>
      </c>
      <c r="C518" s="728" t="s">
        <v>3107</v>
      </c>
      <c r="D518" s="753"/>
    </row>
    <row r="519" spans="1:4" ht="25.5" customHeight="1" x14ac:dyDescent="0.2">
      <c r="A519" s="816" t="s">
        <v>3086</v>
      </c>
      <c r="B519" s="611" t="s">
        <v>3077</v>
      </c>
      <c r="C519" s="816" t="s">
        <v>1059</v>
      </c>
    </row>
    <row r="520" spans="1:4" ht="25.5" customHeight="1" x14ac:dyDescent="0.2">
      <c r="A520" s="816" t="s">
        <v>2536</v>
      </c>
      <c r="B520" s="611" t="s">
        <v>3131</v>
      </c>
      <c r="C520" s="816" t="s">
        <v>3125</v>
      </c>
    </row>
    <row r="521" spans="1:4" ht="25.5" customHeight="1" x14ac:dyDescent="0.2">
      <c r="A521" s="816" t="s">
        <v>2248</v>
      </c>
      <c r="B521" s="611" t="s">
        <v>3083</v>
      </c>
      <c r="C521" s="728" t="s">
        <v>3093</v>
      </c>
      <c r="D521" s="753"/>
    </row>
    <row r="522" spans="1:4" ht="25.5" customHeight="1" x14ac:dyDescent="0.2">
      <c r="A522" s="816" t="s">
        <v>2202</v>
      </c>
      <c r="B522" s="611" t="s">
        <v>3083</v>
      </c>
      <c r="C522" s="728" t="s">
        <v>3137</v>
      </c>
      <c r="D522" s="753"/>
    </row>
    <row r="523" spans="1:4" ht="25.5" customHeight="1" x14ac:dyDescent="0.2">
      <c r="A523" s="816" t="s">
        <v>2170</v>
      </c>
      <c r="B523" s="611" t="s">
        <v>3083</v>
      </c>
      <c r="C523" s="816" t="s">
        <v>3133</v>
      </c>
    </row>
    <row r="524" spans="1:4" ht="25.5" customHeight="1" x14ac:dyDescent="0.2">
      <c r="A524" s="816" t="s">
        <v>3047</v>
      </c>
      <c r="B524" s="611" t="s">
        <v>3083</v>
      </c>
      <c r="C524" s="816" t="s">
        <v>3136</v>
      </c>
    </row>
    <row r="525" spans="1:4" ht="25.5" customHeight="1" x14ac:dyDescent="0.2">
      <c r="A525" s="816" t="s">
        <v>2251</v>
      </c>
      <c r="B525" s="611" t="s">
        <v>2317</v>
      </c>
      <c r="C525" s="816" t="s">
        <v>3135</v>
      </c>
    </row>
    <row r="526" spans="1:4" ht="25.5" customHeight="1" x14ac:dyDescent="0.2">
      <c r="A526" s="816" t="s">
        <v>3048</v>
      </c>
      <c r="B526" s="611" t="s">
        <v>3077</v>
      </c>
      <c r="C526" s="816" t="s">
        <v>3118</v>
      </c>
    </row>
    <row r="527" spans="1:4" ht="25.5" customHeight="1" x14ac:dyDescent="0.2">
      <c r="A527" s="816" t="s">
        <v>1546</v>
      </c>
      <c r="B527" s="611" t="s">
        <v>3077</v>
      </c>
      <c r="C527" s="816" t="s">
        <v>3114</v>
      </c>
    </row>
    <row r="528" spans="1:4" ht="25.5" customHeight="1" x14ac:dyDescent="0.2">
      <c r="A528" s="816" t="s">
        <v>3204</v>
      </c>
      <c r="B528" s="611" t="s">
        <v>3103</v>
      </c>
      <c r="C528" s="816" t="s">
        <v>3114</v>
      </c>
    </row>
    <row r="529" spans="1:4" ht="25.5" customHeight="1" x14ac:dyDescent="0.2">
      <c r="A529" s="816" t="s">
        <v>3050</v>
      </c>
      <c r="B529" s="611" t="s">
        <v>3083</v>
      </c>
      <c r="C529" s="816" t="s">
        <v>3114</v>
      </c>
    </row>
    <row r="530" spans="1:4" ht="25.5" customHeight="1" x14ac:dyDescent="0.2">
      <c r="A530" s="816" t="s">
        <v>3102</v>
      </c>
      <c r="B530" s="611" t="s">
        <v>3083</v>
      </c>
      <c r="C530" s="816" t="s">
        <v>3114</v>
      </c>
    </row>
    <row r="531" spans="1:4" ht="25.5" customHeight="1" x14ac:dyDescent="0.2">
      <c r="A531" s="816" t="s">
        <v>3044</v>
      </c>
      <c r="B531" s="816" t="s">
        <v>3119</v>
      </c>
      <c r="C531" s="728" t="s">
        <v>3129</v>
      </c>
      <c r="D531" s="753"/>
    </row>
    <row r="532" spans="1:4" ht="25.5" customHeight="1" x14ac:dyDescent="0.2">
      <c r="A532" s="816" t="s">
        <v>3052</v>
      </c>
      <c r="B532" s="611" t="s">
        <v>3083</v>
      </c>
      <c r="C532" s="728" t="s">
        <v>3095</v>
      </c>
      <c r="D532" s="753"/>
    </row>
    <row r="533" spans="1:4" ht="25.5" customHeight="1" x14ac:dyDescent="0.2">
      <c r="A533" s="816" t="s">
        <v>2412</v>
      </c>
      <c r="B533" s="611" t="s">
        <v>3083</v>
      </c>
      <c r="C533" s="816" t="s">
        <v>3128</v>
      </c>
    </row>
    <row r="534" spans="1:4" ht="25.5" customHeight="1" x14ac:dyDescent="0.2">
      <c r="A534" s="816" t="s">
        <v>2302</v>
      </c>
      <c r="B534" s="611" t="s">
        <v>3083</v>
      </c>
      <c r="C534" s="728" t="s">
        <v>3134</v>
      </c>
      <c r="D534" s="753"/>
    </row>
    <row r="535" spans="1:4" ht="25.5" customHeight="1" x14ac:dyDescent="0.2">
      <c r="A535" s="816" t="s">
        <v>1449</v>
      </c>
      <c r="B535" s="611" t="s">
        <v>3091</v>
      </c>
      <c r="C535" s="816" t="s">
        <v>3120</v>
      </c>
    </row>
    <row r="536" spans="1:4" ht="25.5" customHeight="1" x14ac:dyDescent="0.2">
      <c r="A536" s="816" t="s">
        <v>2915</v>
      </c>
      <c r="B536" s="611" t="s">
        <v>3077</v>
      </c>
      <c r="C536" s="728" t="s">
        <v>1059</v>
      </c>
      <c r="D536" s="753"/>
    </row>
    <row r="537" spans="1:4" ht="25.5" customHeight="1" x14ac:dyDescent="0.2">
      <c r="A537" s="816" t="s">
        <v>1836</v>
      </c>
      <c r="B537" s="611" t="s">
        <v>3083</v>
      </c>
      <c r="C537" s="816" t="s">
        <v>3114</v>
      </c>
    </row>
    <row r="538" spans="1:4" ht="25.5" customHeight="1" x14ac:dyDescent="0.2">
      <c r="A538" s="816" t="s">
        <v>129</v>
      </c>
      <c r="B538" s="611" t="s">
        <v>3077</v>
      </c>
      <c r="C538" s="728" t="s">
        <v>3132</v>
      </c>
      <c r="D538" s="753"/>
    </row>
    <row r="539" spans="1:4" ht="25.5" customHeight="1" x14ac:dyDescent="0.2">
      <c r="A539" s="816" t="s">
        <v>3053</v>
      </c>
      <c r="B539" s="611" t="s">
        <v>3077</v>
      </c>
      <c r="C539" s="951" t="s">
        <v>3121</v>
      </c>
    </row>
    <row r="540" spans="1:4" ht="25.5" customHeight="1" x14ac:dyDescent="0.2">
      <c r="A540" s="816" t="s">
        <v>1734</v>
      </c>
      <c r="B540" s="611" t="s">
        <v>3083</v>
      </c>
      <c r="C540" s="816" t="s">
        <v>3133</v>
      </c>
    </row>
    <row r="541" spans="1:4" ht="25.5" customHeight="1" x14ac:dyDescent="0.2">
      <c r="A541" s="816" t="s">
        <v>2141</v>
      </c>
      <c r="B541" s="611" t="s">
        <v>3083</v>
      </c>
      <c r="C541" s="816" t="s">
        <v>3114</v>
      </c>
    </row>
    <row r="542" spans="1:4" ht="25.5" customHeight="1" x14ac:dyDescent="0.2"/>
    <row r="543" spans="1:4" ht="25.5" customHeight="1" x14ac:dyDescent="0.2">
      <c r="A543" s="816"/>
    </row>
    <row r="544" spans="1:4" x14ac:dyDescent="0.2">
      <c r="A544" s="816"/>
    </row>
    <row r="549" spans="3:4" x14ac:dyDescent="0.2">
      <c r="C549" s="611"/>
      <c r="D549" s="611"/>
    </row>
    <row r="550" spans="3:4" x14ac:dyDescent="0.2">
      <c r="C550" s="611"/>
      <c r="D550" s="611"/>
    </row>
    <row r="551" spans="3:4" x14ac:dyDescent="0.2">
      <c r="C551" s="611"/>
      <c r="D551" s="611"/>
    </row>
    <row r="553" spans="3:4" x14ac:dyDescent="0.2">
      <c r="C553" s="611"/>
      <c r="D553" s="611"/>
    </row>
    <row r="554" spans="3:4" x14ac:dyDescent="0.2">
      <c r="C554" s="611"/>
      <c r="D554" s="611"/>
    </row>
    <row r="578" spans="9:18" x14ac:dyDescent="0.2">
      <c r="I578" s="611"/>
      <c r="J578" s="756"/>
      <c r="K578" s="611"/>
      <c r="L578" s="611"/>
      <c r="M578" s="611"/>
      <c r="N578" s="816"/>
      <c r="P578" s="764"/>
      <c r="Q578" s="764"/>
      <c r="R578" s="764"/>
    </row>
    <row r="579" spans="9:18" x14ac:dyDescent="0.2">
      <c r="I579" s="611"/>
      <c r="J579" s="756"/>
      <c r="K579" s="611"/>
      <c r="L579" s="611"/>
      <c r="M579" s="611"/>
      <c r="N579" s="816"/>
      <c r="P579" s="757"/>
      <c r="Q579" s="764"/>
      <c r="R579" s="757"/>
    </row>
    <row r="580" spans="9:18" x14ac:dyDescent="0.2">
      <c r="I580" s="611"/>
      <c r="J580" s="756"/>
      <c r="K580" s="611"/>
      <c r="L580" s="611"/>
      <c r="M580" s="611"/>
      <c r="N580" s="816"/>
      <c r="P580" s="611"/>
    </row>
    <row r="581" spans="9:18" x14ac:dyDescent="0.2">
      <c r="I581" s="611"/>
      <c r="J581" s="756"/>
      <c r="K581" s="611"/>
      <c r="L581" s="611"/>
      <c r="M581" s="611"/>
      <c r="N581" s="816"/>
      <c r="P581" s="611"/>
    </row>
    <row r="582" spans="9:18" x14ac:dyDescent="0.2">
      <c r="I582" s="813"/>
    </row>
    <row r="724" spans="8:18" ht="100.5" customHeight="1" x14ac:dyDescent="0.2">
      <c r="H724" s="792"/>
      <c r="I724" s="813"/>
    </row>
    <row r="725" spans="8:18" x14ac:dyDescent="0.2">
      <c r="I725" s="813"/>
    </row>
    <row r="726" spans="8:18" x14ac:dyDescent="0.2">
      <c r="I726" s="929"/>
    </row>
    <row r="727" spans="8:18" x14ac:dyDescent="0.2">
      <c r="I727" s="813"/>
      <c r="P727" s="927"/>
      <c r="R727" s="927"/>
    </row>
    <row r="728" spans="8:18" x14ac:dyDescent="0.2">
      <c r="I728" s="813"/>
    </row>
    <row r="729" spans="8:18" x14ac:dyDescent="0.2">
      <c r="I729" s="813"/>
    </row>
    <row r="730" spans="8:18" x14ac:dyDescent="0.2">
      <c r="I730" s="813"/>
    </row>
    <row r="731" spans="8:18" x14ac:dyDescent="0.2">
      <c r="I731" s="813"/>
    </row>
    <row r="732" spans="8:18" x14ac:dyDescent="0.2">
      <c r="I732" s="813"/>
    </row>
    <row r="733" spans="8:18" x14ac:dyDescent="0.2">
      <c r="I733" s="813"/>
    </row>
    <row r="734" spans="8:18" x14ac:dyDescent="0.2">
      <c r="I734" s="813"/>
    </row>
    <row r="735" spans="8:18" x14ac:dyDescent="0.2">
      <c r="I735" s="813"/>
    </row>
    <row r="737" spans="9:9" x14ac:dyDescent="0.2">
      <c r="I737" s="813"/>
    </row>
    <row r="738" spans="9:9" x14ac:dyDescent="0.2">
      <c r="I738" s="813"/>
    </row>
  </sheetData>
  <sortState xmlns:xlrd2="http://schemas.microsoft.com/office/spreadsheetml/2017/richdata2" ref="A496:AC541">
    <sortCondition ref="A496:A541"/>
  </sortState>
  <mergeCells count="26">
    <mergeCell ref="B493:R493"/>
    <mergeCell ref="B488:R488"/>
    <mergeCell ref="B492:R492"/>
    <mergeCell ref="B490:R490"/>
    <mergeCell ref="B479:R479"/>
    <mergeCell ref="B486:R486"/>
    <mergeCell ref="B487:R487"/>
    <mergeCell ref="B489:R489"/>
    <mergeCell ref="B491:R491"/>
    <mergeCell ref="B482:R482"/>
    <mergeCell ref="B478:R478"/>
    <mergeCell ref="B484:R484"/>
    <mergeCell ref="B481:R481"/>
    <mergeCell ref="B480:R480"/>
    <mergeCell ref="B485:R485"/>
    <mergeCell ref="B483:R483"/>
    <mergeCell ref="E1:G1"/>
    <mergeCell ref="P1:R1"/>
    <mergeCell ref="I1:I2"/>
    <mergeCell ref="A1:A2"/>
    <mergeCell ref="B1:B2"/>
    <mergeCell ref="C1:C2"/>
    <mergeCell ref="D1:D2"/>
    <mergeCell ref="J1:J2"/>
    <mergeCell ref="L1:L2"/>
    <mergeCell ref="N1:N2"/>
  </mergeCells>
  <phoneticPr fontId="32" type="noConversion"/>
  <hyperlinks>
    <hyperlink ref="B485" r:id="rId1" display="https://www.researchgate.net/profile/Luigi-Folco" xr:uid="{5E9428EF-8811-4CAE-BE5C-BE1ED982BD99}"/>
  </hyperlinks>
  <printOptions gridLines="1"/>
  <pageMargins left="0.5" right="0.5" top="0.75" bottom="0.5" header="0.5" footer="0.5"/>
  <pageSetup orientation="landscape" r:id="rId2"/>
  <headerFooter alignWithMargins="0">
    <oddHeader>&amp;L&amp;"-,Bold"Lunar Meteorites&amp;C&amp;"Calibri,Regular"&amp;D&amp;R&amp;"Calibri,Regular"&amp;P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O392"/>
  <sheetViews>
    <sheetView zoomScale="130" zoomScaleNormal="130" workbookViewId="0">
      <pane xSplit="3" ySplit="3" topLeftCell="D196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ColWidth="9.33203125" defaultRowHeight="12.75" x14ac:dyDescent="0.2"/>
  <cols>
    <col min="1" max="1" width="1.33203125" style="533" customWidth="1"/>
    <col min="2" max="2" width="17" style="527" bestFit="1" customWidth="1"/>
    <col min="3" max="3" width="14.83203125" style="527" customWidth="1"/>
    <col min="4" max="4" width="2.83203125" style="527" customWidth="1"/>
    <col min="5" max="5" width="25.6640625" style="527" customWidth="1"/>
    <col min="6" max="6" width="1.6640625" style="527" customWidth="1"/>
    <col min="7" max="7" width="25" style="527" customWidth="1"/>
    <col min="8" max="8" width="5.83203125" style="527" customWidth="1"/>
    <col min="9" max="9" width="6.83203125" style="527" customWidth="1"/>
    <col min="10" max="11" width="5" style="613" customWidth="1"/>
    <col min="12" max="12" width="23.1640625" style="613" customWidth="1"/>
    <col min="13" max="13" width="20.5" style="533" customWidth="1"/>
    <col min="14" max="14" width="9.1640625" style="613" customWidth="1"/>
    <col min="15" max="15" width="5.83203125" style="613" customWidth="1"/>
    <col min="16" max="16" width="7" style="533" customWidth="1"/>
    <col min="17" max="17" width="7" style="527" customWidth="1"/>
    <col min="18" max="18" width="7.6640625" style="527" customWidth="1"/>
    <col min="19" max="19" width="8.1640625" style="527" customWidth="1"/>
    <col min="20" max="20" width="52.83203125" style="527" customWidth="1"/>
    <col min="21" max="21" width="9.33203125" style="527" customWidth="1"/>
    <col min="22" max="22" width="17" style="527" customWidth="1"/>
    <col min="23" max="23" width="12.5" style="786" customWidth="1"/>
    <col min="24" max="24" width="5.6640625" style="872" customWidth="1"/>
    <col min="25" max="25" width="5.1640625" style="527" customWidth="1"/>
    <col min="26" max="26" width="11.6640625" style="786" bestFit="1" customWidth="1"/>
    <col min="27" max="27" width="6.33203125" style="530" customWidth="1"/>
    <col min="28" max="29" width="10.33203125" style="530" customWidth="1"/>
    <col min="30" max="30" width="6.6640625" style="527" customWidth="1"/>
    <col min="31" max="31" width="5.5" style="527" customWidth="1"/>
    <col min="32" max="32" width="6.6640625" style="527" customWidth="1"/>
    <col min="33" max="33" width="5.5" style="527" customWidth="1"/>
    <col min="34" max="34" width="7.83203125" style="527" bestFit="1" customWidth="1"/>
    <col min="35" max="35" width="14.1640625" style="527" bestFit="1" customWidth="1"/>
    <col min="36" max="36" width="13.83203125" style="527" customWidth="1"/>
    <col min="37" max="16384" width="9.33203125" style="527"/>
  </cols>
  <sheetData>
    <row r="1" spans="1:41" s="611" customFormat="1" ht="13.5" thickBot="1" x14ac:dyDescent="0.25">
      <c r="A1" s="728"/>
      <c r="B1" s="805">
        <f>COUNTA(B4:B274)</f>
        <v>257</v>
      </c>
      <c r="F1" s="611" t="s">
        <v>1274</v>
      </c>
      <c r="J1" s="792" t="s">
        <v>336</v>
      </c>
      <c r="K1" s="792" t="s">
        <v>303</v>
      </c>
      <c r="L1" s="633" t="s">
        <v>2483</v>
      </c>
      <c r="M1" s="532"/>
      <c r="N1" s="633"/>
      <c r="O1" s="633"/>
      <c r="P1" s="728"/>
      <c r="V1" s="847"/>
      <c r="W1" s="863"/>
      <c r="X1" s="871"/>
      <c r="Y1" s="864"/>
      <c r="Z1" s="849"/>
      <c r="AA1" s="852"/>
      <c r="AB1" s="852"/>
      <c r="AC1" s="852"/>
      <c r="AD1" s="847"/>
      <c r="AE1" s="988" t="s">
        <v>2726</v>
      </c>
      <c r="AF1" s="988"/>
      <c r="AG1" s="988"/>
    </row>
    <row r="2" spans="1:41" ht="25.5" x14ac:dyDescent="0.2">
      <c r="A2" s="527"/>
      <c r="E2" s="806" t="s">
        <v>2460</v>
      </c>
      <c r="F2" s="611" t="s">
        <v>1274</v>
      </c>
      <c r="G2" s="806" t="s">
        <v>2461</v>
      </c>
      <c r="H2" s="791" t="s">
        <v>2462</v>
      </c>
      <c r="I2" s="791" t="s">
        <v>2463</v>
      </c>
      <c r="J2" s="818">
        <f>J3/$B1</f>
        <v>0.22178988326848248</v>
      </c>
      <c r="K2" s="818">
        <f>K3/$B1</f>
        <v>0.59922178988326846</v>
      </c>
      <c r="L2" s="804">
        <f>L3/$B1</f>
        <v>0.10505836575875487</v>
      </c>
      <c r="M2" s="856"/>
      <c r="N2" s="804"/>
      <c r="O2" s="804"/>
      <c r="V2" s="848" t="s">
        <v>979</v>
      </c>
      <c r="W2" s="867" t="s">
        <v>2721</v>
      </c>
      <c r="X2" s="870" t="s">
        <v>2725</v>
      </c>
      <c r="Y2" s="869" t="s">
        <v>2724</v>
      </c>
      <c r="Z2" s="868" t="s">
        <v>2722</v>
      </c>
      <c r="AA2" s="853"/>
      <c r="AB2" s="876" t="s">
        <v>2728</v>
      </c>
      <c r="AC2" s="876" t="s">
        <v>2729</v>
      </c>
      <c r="AD2" s="849" t="s">
        <v>2696</v>
      </c>
      <c r="AE2" s="849" t="s">
        <v>316</v>
      </c>
      <c r="AF2" s="849" t="s">
        <v>2694</v>
      </c>
      <c r="AG2" s="849" t="s">
        <v>2167</v>
      </c>
      <c r="AN2" s="859"/>
      <c r="AO2" s="859"/>
    </row>
    <row r="3" spans="1:41" x14ac:dyDescent="0.2">
      <c r="A3" s="527"/>
      <c r="C3" s="614"/>
      <c r="D3" s="614"/>
      <c r="E3" s="614"/>
      <c r="F3" s="611" t="s">
        <v>1274</v>
      </c>
      <c r="G3" s="614"/>
      <c r="H3" s="614">
        <f>COUNTA(H4:H274)</f>
        <v>112</v>
      </c>
      <c r="I3" s="614">
        <f>COUNTA(I4:I274)</f>
        <v>235</v>
      </c>
      <c r="J3" s="633">
        <f>COUNTA(J4:J274)</f>
        <v>57</v>
      </c>
      <c r="K3" s="633">
        <f>COUNTA(K4:K274)</f>
        <v>154</v>
      </c>
      <c r="L3" s="633">
        <f>SUM(L4:L274)</f>
        <v>27</v>
      </c>
      <c r="M3" s="532"/>
      <c r="N3" s="633"/>
      <c r="O3" s="633"/>
      <c r="V3" s="850"/>
      <c r="W3" s="865"/>
      <c r="X3" s="871"/>
      <c r="Y3" s="649"/>
      <c r="Z3" s="849"/>
      <c r="AA3" s="854"/>
      <c r="AB3" s="854"/>
      <c r="AC3" s="854"/>
      <c r="AD3" s="850"/>
      <c r="AE3" s="850"/>
      <c r="AF3" s="850"/>
      <c r="AG3" s="850"/>
    </row>
    <row r="4" spans="1:41" s="611" customFormat="1" x14ac:dyDescent="0.2">
      <c r="A4" s="728"/>
      <c r="B4" s="807" t="s">
        <v>1908</v>
      </c>
      <c r="C4" s="611" t="s">
        <v>2078</v>
      </c>
      <c r="D4" s="851" t="s">
        <v>224</v>
      </c>
      <c r="F4" s="611" t="s">
        <v>1274</v>
      </c>
      <c r="G4" s="611" t="s">
        <v>2311</v>
      </c>
      <c r="I4" s="611">
        <v>2001</v>
      </c>
      <c r="J4" s="793"/>
      <c r="K4" s="793">
        <v>1</v>
      </c>
      <c r="L4" s="792">
        <v>0</v>
      </c>
      <c r="M4" s="728"/>
      <c r="N4" s="792"/>
      <c r="O4" s="792">
        <f t="shared" ref="O4:O67" si="0">IF(H4&gt;1,H4,I4)</f>
        <v>2001</v>
      </c>
      <c r="P4" s="619">
        <f t="shared" ref="P4:P35" si="1">DATE(O4,7,1)</f>
        <v>37073</v>
      </c>
      <c r="Q4" s="764">
        <f t="shared" ref="Q4:Q67" si="2">Z4</f>
        <v>37149</v>
      </c>
      <c r="R4" s="619">
        <f t="shared" ref="R4:R67" si="3">Q4-P4</f>
        <v>76</v>
      </c>
      <c r="S4" s="530">
        <f t="shared" ref="S4:S67" si="4">R4/365.25</f>
        <v>0.20807665982203971</v>
      </c>
      <c r="T4" s="611" t="s">
        <v>2558</v>
      </c>
      <c r="V4" s="614" t="s">
        <v>1908</v>
      </c>
      <c r="W4" s="874">
        <v>36901</v>
      </c>
      <c r="X4" s="872" t="s">
        <v>2167</v>
      </c>
      <c r="Y4" s="846" t="s">
        <v>2695</v>
      </c>
      <c r="Z4" s="874">
        <v>37149</v>
      </c>
      <c r="AA4" s="530" t="s">
        <v>2723</v>
      </c>
      <c r="AB4" s="619">
        <f t="shared" ref="AB4:AB67" si="5">Z4-W4</f>
        <v>248</v>
      </c>
      <c r="AC4" s="530">
        <f t="shared" ref="AC4:AC67" si="6">AB4/365.25</f>
        <v>0.67898699520876116</v>
      </c>
      <c r="AD4" s="795">
        <v>1</v>
      </c>
      <c r="AE4" s="795"/>
      <c r="AF4" s="795"/>
      <c r="AG4" s="795"/>
      <c r="AI4" s="527"/>
      <c r="AJ4" s="874"/>
    </row>
    <row r="5" spans="1:41" s="611" customFormat="1" x14ac:dyDescent="0.2">
      <c r="A5" s="728"/>
      <c r="B5" s="807" t="s">
        <v>1896</v>
      </c>
      <c r="C5" s="611" t="s">
        <v>64</v>
      </c>
      <c r="D5" s="851" t="s">
        <v>224</v>
      </c>
      <c r="E5" s="611" t="s">
        <v>2324</v>
      </c>
      <c r="F5" s="611" t="s">
        <v>1274</v>
      </c>
      <c r="G5" s="611" t="s">
        <v>2316</v>
      </c>
      <c r="I5" s="611">
        <v>2004</v>
      </c>
      <c r="J5" s="793"/>
      <c r="K5" s="794">
        <v>1</v>
      </c>
      <c r="L5" s="613">
        <v>0</v>
      </c>
      <c r="M5" s="533"/>
      <c r="N5" s="613"/>
      <c r="O5" s="792">
        <f t="shared" si="0"/>
        <v>2004</v>
      </c>
      <c r="P5" s="619">
        <f t="shared" si="1"/>
        <v>38169</v>
      </c>
      <c r="Q5" s="764">
        <f t="shared" si="2"/>
        <v>38610</v>
      </c>
      <c r="R5" s="619">
        <f t="shared" si="3"/>
        <v>441</v>
      </c>
      <c r="S5" s="530">
        <f t="shared" si="4"/>
        <v>1.2073921971252566</v>
      </c>
      <c r="V5" s="614" t="s">
        <v>1896</v>
      </c>
      <c r="W5" s="874">
        <v>38092</v>
      </c>
      <c r="X5" s="872" t="s">
        <v>2694</v>
      </c>
      <c r="Y5" s="846" t="s">
        <v>2695</v>
      </c>
      <c r="Z5" s="874">
        <v>38610</v>
      </c>
      <c r="AA5" s="530" t="s">
        <v>2727</v>
      </c>
      <c r="AB5" s="619">
        <f t="shared" si="5"/>
        <v>518</v>
      </c>
      <c r="AC5" s="530">
        <f t="shared" si="6"/>
        <v>1.4182067077344285</v>
      </c>
      <c r="AD5" s="795">
        <v>1</v>
      </c>
      <c r="AE5" s="795"/>
      <c r="AF5" s="795"/>
      <c r="AG5" s="795"/>
      <c r="AI5" s="527"/>
      <c r="AJ5" s="874"/>
    </row>
    <row r="6" spans="1:41" s="611" customFormat="1" x14ac:dyDescent="0.2">
      <c r="A6" s="728"/>
      <c r="B6" s="807" t="s">
        <v>1890</v>
      </c>
      <c r="C6" s="611" t="s">
        <v>2063</v>
      </c>
      <c r="D6" s="851" t="s">
        <v>224</v>
      </c>
      <c r="E6" s="611" t="s">
        <v>2317</v>
      </c>
      <c r="F6" s="611" t="s">
        <v>1274</v>
      </c>
      <c r="G6" s="611" t="s">
        <v>2313</v>
      </c>
      <c r="H6" s="611">
        <v>2004</v>
      </c>
      <c r="I6" s="611">
        <v>2004</v>
      </c>
      <c r="J6" s="793"/>
      <c r="K6" s="794">
        <v>1</v>
      </c>
      <c r="L6" s="613">
        <v>0</v>
      </c>
      <c r="M6" s="533"/>
      <c r="N6" s="613"/>
      <c r="O6" s="792">
        <f t="shared" si="0"/>
        <v>2004</v>
      </c>
      <c r="P6" s="619">
        <f t="shared" si="1"/>
        <v>38169</v>
      </c>
      <c r="Q6" s="764">
        <f t="shared" si="2"/>
        <v>38961</v>
      </c>
      <c r="R6" s="619">
        <f t="shared" si="3"/>
        <v>792</v>
      </c>
      <c r="S6" s="530">
        <f t="shared" si="4"/>
        <v>2.1683778234086244</v>
      </c>
      <c r="T6" s="611" t="s">
        <v>2063</v>
      </c>
      <c r="V6" s="527" t="s">
        <v>1890</v>
      </c>
      <c r="W6" s="874">
        <v>38306</v>
      </c>
      <c r="X6" s="872" t="s">
        <v>2694</v>
      </c>
      <c r="Y6" s="846" t="s">
        <v>2695</v>
      </c>
      <c r="Z6" s="874">
        <v>38961</v>
      </c>
      <c r="AA6" s="530"/>
      <c r="AB6" s="619">
        <f t="shared" si="5"/>
        <v>655</v>
      </c>
      <c r="AC6" s="530">
        <f t="shared" si="6"/>
        <v>1.7932922655715264</v>
      </c>
      <c r="AD6" s="795">
        <v>1</v>
      </c>
      <c r="AE6" s="795"/>
      <c r="AF6" s="795"/>
      <c r="AG6" s="795"/>
      <c r="AI6" s="527"/>
      <c r="AJ6" s="874"/>
    </row>
    <row r="7" spans="1:41" s="611" customFormat="1" x14ac:dyDescent="0.2">
      <c r="A7" s="728"/>
      <c r="B7" s="807" t="s">
        <v>1901</v>
      </c>
      <c r="C7" s="611" t="s">
        <v>2082</v>
      </c>
      <c r="D7" s="851" t="s">
        <v>224</v>
      </c>
      <c r="E7" s="611" t="s">
        <v>2317</v>
      </c>
      <c r="F7" s="611" t="s">
        <v>1274</v>
      </c>
      <c r="G7" s="611" t="s">
        <v>2317</v>
      </c>
      <c r="H7" s="611">
        <v>2005</v>
      </c>
      <c r="J7" s="793"/>
      <c r="K7" s="793"/>
      <c r="L7" s="613">
        <v>0</v>
      </c>
      <c r="M7" s="533"/>
      <c r="N7" s="613"/>
      <c r="O7" s="792">
        <f t="shared" si="0"/>
        <v>2005</v>
      </c>
      <c r="P7" s="619">
        <f t="shared" si="1"/>
        <v>38534</v>
      </c>
      <c r="Q7" s="764">
        <f t="shared" si="2"/>
        <v>39678</v>
      </c>
      <c r="R7" s="619">
        <f t="shared" si="3"/>
        <v>1144</v>
      </c>
      <c r="S7" s="530">
        <f t="shared" si="4"/>
        <v>3.1321013004791238</v>
      </c>
      <c r="V7" s="527" t="s">
        <v>1901</v>
      </c>
      <c r="W7" s="874">
        <v>38487</v>
      </c>
      <c r="X7" s="872" t="s">
        <v>2694</v>
      </c>
      <c r="Y7" s="846" t="s">
        <v>2695</v>
      </c>
      <c r="Z7" s="874">
        <v>39678</v>
      </c>
      <c r="AA7" s="530"/>
      <c r="AB7" s="619">
        <f t="shared" si="5"/>
        <v>1191</v>
      </c>
      <c r="AC7" s="530">
        <f t="shared" si="6"/>
        <v>3.2607802874743328</v>
      </c>
      <c r="AD7" s="795">
        <v>1</v>
      </c>
      <c r="AE7" s="795"/>
      <c r="AF7" s="795"/>
      <c r="AG7" s="795"/>
      <c r="AI7" s="527"/>
      <c r="AJ7" s="874"/>
    </row>
    <row r="8" spans="1:41" s="611" customFormat="1" x14ac:dyDescent="0.2">
      <c r="A8" s="728"/>
      <c r="B8" s="807" t="s">
        <v>1891</v>
      </c>
      <c r="C8" s="611" t="s">
        <v>2079</v>
      </c>
      <c r="D8" s="851" t="s">
        <v>224</v>
      </c>
      <c r="E8" s="611" t="s">
        <v>2322</v>
      </c>
      <c r="F8" s="611" t="s">
        <v>1274</v>
      </c>
      <c r="G8" s="611" t="s">
        <v>2315</v>
      </c>
      <c r="H8" s="611">
        <v>2005</v>
      </c>
      <c r="I8" s="611">
        <v>2005</v>
      </c>
      <c r="J8" s="793"/>
      <c r="K8" s="794">
        <v>1</v>
      </c>
      <c r="L8" s="613">
        <v>0</v>
      </c>
      <c r="M8" s="533"/>
      <c r="N8" s="613"/>
      <c r="O8" s="792">
        <f t="shared" si="0"/>
        <v>2005</v>
      </c>
      <c r="P8" s="619">
        <f t="shared" si="1"/>
        <v>38534</v>
      </c>
      <c r="Q8" s="764">
        <f t="shared" si="2"/>
        <v>38733</v>
      </c>
      <c r="R8" s="619">
        <f t="shared" si="3"/>
        <v>199</v>
      </c>
      <c r="S8" s="530">
        <f t="shared" si="4"/>
        <v>0.54483230663928817</v>
      </c>
      <c r="T8" s="611" t="s">
        <v>2061</v>
      </c>
      <c r="V8" s="527" t="s">
        <v>1891</v>
      </c>
      <c r="W8" s="874">
        <v>38534</v>
      </c>
      <c r="X8" s="872" t="s">
        <v>2694</v>
      </c>
      <c r="Y8" s="846" t="s">
        <v>2695</v>
      </c>
      <c r="Z8" s="874">
        <v>38733</v>
      </c>
      <c r="AA8" s="530"/>
      <c r="AB8" s="619">
        <f t="shared" si="5"/>
        <v>199</v>
      </c>
      <c r="AC8" s="530">
        <f t="shared" si="6"/>
        <v>0.54483230663928817</v>
      </c>
      <c r="AD8" s="795">
        <v>1</v>
      </c>
      <c r="AE8" s="795"/>
      <c r="AF8" s="795"/>
      <c r="AG8" s="795"/>
      <c r="AI8" s="527"/>
      <c r="AJ8" s="874"/>
    </row>
    <row r="9" spans="1:41" s="611" customFormat="1" x14ac:dyDescent="0.2">
      <c r="A9" s="728"/>
      <c r="B9" s="807" t="s">
        <v>1897</v>
      </c>
      <c r="C9" s="611" t="s">
        <v>502</v>
      </c>
      <c r="D9" s="851" t="s">
        <v>224</v>
      </c>
      <c r="F9" s="611" t="s">
        <v>1274</v>
      </c>
      <c r="G9" s="611" t="s">
        <v>2315</v>
      </c>
      <c r="H9" s="611">
        <v>2005</v>
      </c>
      <c r="I9" s="611">
        <v>2005</v>
      </c>
      <c r="J9" s="793"/>
      <c r="K9" s="794">
        <v>1</v>
      </c>
      <c r="L9" s="613">
        <v>0</v>
      </c>
      <c r="M9" s="533"/>
      <c r="N9" s="613"/>
      <c r="O9" s="792">
        <f t="shared" si="0"/>
        <v>2005</v>
      </c>
      <c r="P9" s="619">
        <f t="shared" si="1"/>
        <v>38534</v>
      </c>
      <c r="Q9" s="764">
        <f t="shared" si="2"/>
        <v>38733</v>
      </c>
      <c r="R9" s="619">
        <f t="shared" si="3"/>
        <v>199</v>
      </c>
      <c r="S9" s="530">
        <f t="shared" si="4"/>
        <v>0.54483230663928817</v>
      </c>
      <c r="V9" s="527" t="s">
        <v>1897</v>
      </c>
      <c r="W9" s="874">
        <v>38548</v>
      </c>
      <c r="X9" s="872" t="s">
        <v>2694</v>
      </c>
      <c r="Y9" s="846" t="s">
        <v>2695</v>
      </c>
      <c r="Z9" s="874">
        <v>38733</v>
      </c>
      <c r="AA9" s="530"/>
      <c r="AB9" s="619">
        <f t="shared" si="5"/>
        <v>185</v>
      </c>
      <c r="AC9" s="530">
        <f t="shared" si="6"/>
        <v>0.50650239561943877</v>
      </c>
      <c r="AD9" s="795">
        <v>1</v>
      </c>
      <c r="AE9" s="795"/>
      <c r="AF9" s="795"/>
      <c r="AG9" s="795"/>
      <c r="AI9" s="527"/>
      <c r="AJ9" s="874"/>
    </row>
    <row r="10" spans="1:41" s="611" customFormat="1" x14ac:dyDescent="0.2">
      <c r="A10" s="728"/>
      <c r="B10" s="807" t="s">
        <v>1898</v>
      </c>
      <c r="C10" s="611" t="s">
        <v>2064</v>
      </c>
      <c r="D10" s="851" t="s">
        <v>224</v>
      </c>
      <c r="E10" s="611" t="s">
        <v>2321</v>
      </c>
      <c r="F10" s="611" t="s">
        <v>1274</v>
      </c>
      <c r="G10" s="611" t="s">
        <v>2319</v>
      </c>
      <c r="I10" s="611">
        <v>2005</v>
      </c>
      <c r="J10" s="793"/>
      <c r="K10" s="793">
        <v>1</v>
      </c>
      <c r="L10" s="613">
        <v>0</v>
      </c>
      <c r="M10" s="533"/>
      <c r="N10" s="613"/>
      <c r="O10" s="792">
        <f t="shared" si="0"/>
        <v>2005</v>
      </c>
      <c r="P10" s="619">
        <f t="shared" si="1"/>
        <v>38534</v>
      </c>
      <c r="Q10" s="764">
        <f t="shared" si="2"/>
        <v>38751</v>
      </c>
      <c r="R10" s="619">
        <f t="shared" si="3"/>
        <v>217</v>
      </c>
      <c r="S10" s="530">
        <f t="shared" si="4"/>
        <v>0.59411362080766594</v>
      </c>
      <c r="V10" s="614" t="s">
        <v>1898</v>
      </c>
      <c r="W10" s="874">
        <v>38579</v>
      </c>
      <c r="X10" s="872" t="s">
        <v>2694</v>
      </c>
      <c r="Y10" s="846" t="s">
        <v>2695</v>
      </c>
      <c r="Z10" s="874">
        <v>38751</v>
      </c>
      <c r="AA10" s="530"/>
      <c r="AB10" s="619">
        <f t="shared" si="5"/>
        <v>172</v>
      </c>
      <c r="AC10" s="530">
        <f t="shared" si="6"/>
        <v>0.47091033538672145</v>
      </c>
      <c r="AD10" s="795">
        <v>1</v>
      </c>
      <c r="AE10" s="795"/>
      <c r="AF10" s="795"/>
      <c r="AG10" s="795"/>
      <c r="AI10" s="527"/>
      <c r="AJ10" s="874"/>
    </row>
    <row r="11" spans="1:41" s="611" customFormat="1" x14ac:dyDescent="0.2">
      <c r="A11" s="728"/>
      <c r="B11" s="807" t="s">
        <v>1892</v>
      </c>
      <c r="C11" s="611" t="s">
        <v>2080</v>
      </c>
      <c r="D11" s="851" t="s">
        <v>224</v>
      </c>
      <c r="E11" s="611" t="s">
        <v>2322</v>
      </c>
      <c r="F11" s="611" t="s">
        <v>1274</v>
      </c>
      <c r="G11" s="611" t="s">
        <v>2316</v>
      </c>
      <c r="H11" s="611">
        <v>2005</v>
      </c>
      <c r="I11" s="611">
        <v>2005</v>
      </c>
      <c r="J11" s="793"/>
      <c r="K11" s="794">
        <v>1</v>
      </c>
      <c r="L11" s="613">
        <v>0</v>
      </c>
      <c r="M11" s="533"/>
      <c r="N11" s="613"/>
      <c r="O11" s="792">
        <f t="shared" si="0"/>
        <v>2005</v>
      </c>
      <c r="P11" s="619">
        <f t="shared" si="1"/>
        <v>38534</v>
      </c>
      <c r="Q11" s="764">
        <f t="shared" si="2"/>
        <v>38733</v>
      </c>
      <c r="R11" s="619">
        <f t="shared" si="3"/>
        <v>199</v>
      </c>
      <c r="S11" s="530">
        <f t="shared" si="4"/>
        <v>0.54483230663928817</v>
      </c>
      <c r="T11" s="611" t="s">
        <v>2299</v>
      </c>
      <c r="V11" s="527" t="s">
        <v>1892</v>
      </c>
      <c r="W11" s="874">
        <v>38671</v>
      </c>
      <c r="X11" s="872" t="s">
        <v>2694</v>
      </c>
      <c r="Y11" s="846" t="s">
        <v>2695</v>
      </c>
      <c r="Z11" s="874">
        <v>38733</v>
      </c>
      <c r="AA11" s="530"/>
      <c r="AB11" s="619">
        <f t="shared" si="5"/>
        <v>62</v>
      </c>
      <c r="AC11" s="530">
        <f t="shared" si="6"/>
        <v>0.16974674880219029</v>
      </c>
      <c r="AD11" s="795">
        <v>1</v>
      </c>
      <c r="AE11" s="795"/>
      <c r="AF11" s="795"/>
      <c r="AG11" s="795"/>
      <c r="AI11" s="527"/>
      <c r="AJ11" s="874"/>
    </row>
    <row r="12" spans="1:41" s="611" customFormat="1" ht="13.5" thickBot="1" x14ac:dyDescent="0.25">
      <c r="A12" s="728"/>
      <c r="B12" s="807" t="s">
        <v>1893</v>
      </c>
      <c r="C12" s="611" t="s">
        <v>2057</v>
      </c>
      <c r="D12" s="851" t="s">
        <v>224</v>
      </c>
      <c r="E12" s="611" t="s">
        <v>2323</v>
      </c>
      <c r="F12" s="611" t="s">
        <v>1274</v>
      </c>
      <c r="G12" s="611" t="s">
        <v>2317</v>
      </c>
      <c r="H12" s="611">
        <v>2005</v>
      </c>
      <c r="I12" s="611">
        <v>2005</v>
      </c>
      <c r="J12" s="793"/>
      <c r="K12" s="794"/>
      <c r="L12" s="613">
        <v>0</v>
      </c>
      <c r="M12" s="533"/>
      <c r="N12" s="613"/>
      <c r="O12" s="792">
        <f t="shared" si="0"/>
        <v>2005</v>
      </c>
      <c r="P12" s="619">
        <f t="shared" si="1"/>
        <v>38534</v>
      </c>
      <c r="Q12" s="764">
        <f t="shared" si="2"/>
        <v>38733</v>
      </c>
      <c r="R12" s="619">
        <f t="shared" si="3"/>
        <v>199</v>
      </c>
      <c r="S12" s="530">
        <f t="shared" si="4"/>
        <v>0.54483230663928817</v>
      </c>
      <c r="V12" s="614" t="s">
        <v>1893</v>
      </c>
      <c r="W12" s="874">
        <v>38671</v>
      </c>
      <c r="X12" s="872" t="s">
        <v>2694</v>
      </c>
      <c r="Y12" s="846" t="s">
        <v>2695</v>
      </c>
      <c r="Z12" s="874">
        <v>38733</v>
      </c>
      <c r="AA12" s="530"/>
      <c r="AB12" s="619">
        <f t="shared" si="5"/>
        <v>62</v>
      </c>
      <c r="AC12" s="530">
        <f t="shared" si="6"/>
        <v>0.16974674880219029</v>
      </c>
      <c r="AD12" s="795">
        <v>1</v>
      </c>
      <c r="AE12" s="795"/>
      <c r="AF12" s="795"/>
      <c r="AG12" s="795"/>
      <c r="AI12" s="527"/>
      <c r="AJ12" s="874"/>
      <c r="AN12" s="858"/>
      <c r="AO12" s="858"/>
    </row>
    <row r="13" spans="1:41" s="611" customFormat="1" x14ac:dyDescent="0.2">
      <c r="A13" s="728"/>
      <c r="B13" s="807" t="s">
        <v>1915</v>
      </c>
      <c r="C13" s="611" t="s">
        <v>2069</v>
      </c>
      <c r="D13" s="851" t="s">
        <v>224</v>
      </c>
      <c r="F13" s="611" t="s">
        <v>1274</v>
      </c>
      <c r="G13" s="611" t="s">
        <v>2320</v>
      </c>
      <c r="H13" s="611">
        <v>2006</v>
      </c>
      <c r="I13" s="611">
        <v>2007</v>
      </c>
      <c r="J13" s="793"/>
      <c r="K13" s="794">
        <v>1</v>
      </c>
      <c r="L13" s="613">
        <v>0</v>
      </c>
      <c r="M13" s="533"/>
      <c r="N13" s="613"/>
      <c r="O13" s="792">
        <f t="shared" si="0"/>
        <v>2006</v>
      </c>
      <c r="P13" s="619">
        <f t="shared" si="1"/>
        <v>38899</v>
      </c>
      <c r="Q13" s="764">
        <f t="shared" si="2"/>
        <v>39694</v>
      </c>
      <c r="R13" s="619">
        <f t="shared" si="3"/>
        <v>795</v>
      </c>
      <c r="S13" s="530">
        <f t="shared" si="4"/>
        <v>2.1765913757700206</v>
      </c>
      <c r="V13" s="527" t="s">
        <v>1915</v>
      </c>
      <c r="W13" s="874">
        <v>38899</v>
      </c>
      <c r="X13" s="872" t="s">
        <v>316</v>
      </c>
      <c r="Y13" s="846" t="s">
        <v>2695</v>
      </c>
      <c r="Z13" s="874">
        <v>39694</v>
      </c>
      <c r="AA13" s="530"/>
      <c r="AB13" s="619">
        <f t="shared" si="5"/>
        <v>795</v>
      </c>
      <c r="AC13" s="530">
        <f t="shared" si="6"/>
        <v>2.1765913757700206</v>
      </c>
      <c r="AD13" s="795">
        <v>1</v>
      </c>
      <c r="AE13" s="795"/>
      <c r="AF13" s="795"/>
      <c r="AG13" s="795"/>
      <c r="AH13" s="527"/>
      <c r="AI13" s="527"/>
      <c r="AJ13" s="874"/>
      <c r="AK13" s="527"/>
      <c r="AL13" s="527"/>
      <c r="AM13" s="527"/>
      <c r="AN13" s="527"/>
      <c r="AO13" s="527"/>
    </row>
    <row r="14" spans="1:41" s="611" customFormat="1" x14ac:dyDescent="0.2">
      <c r="A14" s="728"/>
      <c r="B14" s="807" t="s">
        <v>1903</v>
      </c>
      <c r="C14" s="611" t="s">
        <v>2065</v>
      </c>
      <c r="D14" s="851" t="s">
        <v>224</v>
      </c>
      <c r="E14" s="611" t="s">
        <v>2323</v>
      </c>
      <c r="F14" s="611" t="s">
        <v>1274</v>
      </c>
      <c r="G14" s="611" t="s">
        <v>2315</v>
      </c>
      <c r="H14" s="611">
        <v>2006</v>
      </c>
      <c r="I14" s="611">
        <v>2006</v>
      </c>
      <c r="J14" s="793"/>
      <c r="K14" s="793">
        <v>1</v>
      </c>
      <c r="L14" s="613">
        <v>0</v>
      </c>
      <c r="M14" s="533"/>
      <c r="N14" s="613"/>
      <c r="O14" s="792">
        <f t="shared" si="0"/>
        <v>2006</v>
      </c>
      <c r="P14" s="619">
        <f t="shared" si="1"/>
        <v>38899</v>
      </c>
      <c r="Q14" s="764">
        <f t="shared" si="2"/>
        <v>39699</v>
      </c>
      <c r="R14" s="619">
        <f t="shared" si="3"/>
        <v>800</v>
      </c>
      <c r="S14" s="530">
        <f t="shared" si="4"/>
        <v>2.1902806297056809</v>
      </c>
      <c r="T14" s="611" t="s">
        <v>2555</v>
      </c>
      <c r="V14" s="527" t="s">
        <v>1903</v>
      </c>
      <c r="W14" s="874">
        <v>38913</v>
      </c>
      <c r="X14" s="872" t="s">
        <v>2694</v>
      </c>
      <c r="Y14" s="846" t="s">
        <v>2695</v>
      </c>
      <c r="Z14" s="874">
        <v>39699</v>
      </c>
      <c r="AA14" s="530"/>
      <c r="AB14" s="619">
        <f t="shared" si="5"/>
        <v>786</v>
      </c>
      <c r="AC14" s="530">
        <f t="shared" si="6"/>
        <v>2.1519507186858315</v>
      </c>
      <c r="AD14" s="795">
        <v>1</v>
      </c>
      <c r="AE14" s="795"/>
      <c r="AF14" s="795"/>
      <c r="AG14" s="795"/>
      <c r="AI14" s="527"/>
      <c r="AJ14" s="874"/>
    </row>
    <row r="15" spans="1:41" s="611" customFormat="1" x14ac:dyDescent="0.2">
      <c r="A15" s="728"/>
      <c r="B15" s="807" t="s">
        <v>1904</v>
      </c>
      <c r="C15" s="611" t="s">
        <v>2075</v>
      </c>
      <c r="D15" s="851" t="s">
        <v>224</v>
      </c>
      <c r="E15" s="611" t="s">
        <v>2323</v>
      </c>
      <c r="F15" s="611" t="s">
        <v>1274</v>
      </c>
      <c r="G15" s="611" t="s">
        <v>2319</v>
      </c>
      <c r="H15" s="611">
        <v>2006</v>
      </c>
      <c r="I15" s="611">
        <v>2006</v>
      </c>
      <c r="J15" s="793"/>
      <c r="K15" s="793">
        <v>1</v>
      </c>
      <c r="L15" s="613">
        <v>0</v>
      </c>
      <c r="M15" s="533"/>
      <c r="N15" s="613"/>
      <c r="O15" s="792">
        <f t="shared" si="0"/>
        <v>2006</v>
      </c>
      <c r="P15" s="619">
        <f t="shared" si="1"/>
        <v>38899</v>
      </c>
      <c r="Q15" s="764">
        <f t="shared" si="2"/>
        <v>39169</v>
      </c>
      <c r="R15" s="619">
        <f t="shared" si="3"/>
        <v>270</v>
      </c>
      <c r="S15" s="530">
        <f t="shared" si="4"/>
        <v>0.73921971252566732</v>
      </c>
      <c r="V15" s="527" t="s">
        <v>1904</v>
      </c>
      <c r="W15" s="874">
        <v>38975</v>
      </c>
      <c r="X15" s="872" t="s">
        <v>2694</v>
      </c>
      <c r="Y15" s="846" t="s">
        <v>2695</v>
      </c>
      <c r="Z15" s="874">
        <v>39169</v>
      </c>
      <c r="AA15" s="530"/>
      <c r="AB15" s="619">
        <f t="shared" si="5"/>
        <v>194</v>
      </c>
      <c r="AC15" s="530">
        <f t="shared" si="6"/>
        <v>0.53114305270362761</v>
      </c>
      <c r="AD15" s="795">
        <v>1</v>
      </c>
      <c r="AE15" s="795"/>
      <c r="AF15" s="795"/>
      <c r="AG15" s="795"/>
      <c r="AH15" s="527"/>
      <c r="AI15" s="527"/>
      <c r="AJ15" s="874"/>
      <c r="AK15" s="527"/>
      <c r="AL15" s="527"/>
      <c r="AM15" s="527"/>
      <c r="AN15" s="527"/>
      <c r="AO15" s="527"/>
    </row>
    <row r="16" spans="1:41" s="611" customFormat="1" x14ac:dyDescent="0.2">
      <c r="A16" s="728"/>
      <c r="B16" s="807" t="s">
        <v>1906</v>
      </c>
      <c r="C16" s="611" t="s">
        <v>2060</v>
      </c>
      <c r="D16" s="851" t="s">
        <v>224</v>
      </c>
      <c r="F16" s="611" t="s">
        <v>1274</v>
      </c>
      <c r="G16" s="611" t="s">
        <v>2325</v>
      </c>
      <c r="H16" s="611">
        <v>2006</v>
      </c>
      <c r="I16" s="611" t="s">
        <v>2326</v>
      </c>
      <c r="J16" s="793"/>
      <c r="K16" s="793">
        <v>1</v>
      </c>
      <c r="L16" s="613">
        <v>0</v>
      </c>
      <c r="M16" s="533"/>
      <c r="N16" s="613"/>
      <c r="O16" s="792">
        <f t="shared" si="0"/>
        <v>2006</v>
      </c>
      <c r="P16" s="619">
        <f t="shared" si="1"/>
        <v>38899</v>
      </c>
      <c r="Q16" s="764">
        <f t="shared" si="2"/>
        <v>39461</v>
      </c>
      <c r="R16" s="619">
        <f t="shared" si="3"/>
        <v>562</v>
      </c>
      <c r="S16" s="530">
        <f t="shared" si="4"/>
        <v>1.538672142368241</v>
      </c>
      <c r="V16" s="614" t="s">
        <v>1906</v>
      </c>
      <c r="W16" s="874">
        <v>39005</v>
      </c>
      <c r="X16" s="872" t="s">
        <v>2694</v>
      </c>
      <c r="Y16" s="846" t="s">
        <v>2695</v>
      </c>
      <c r="Z16" s="874">
        <v>39461</v>
      </c>
      <c r="AA16" s="530"/>
      <c r="AB16" s="619">
        <f t="shared" si="5"/>
        <v>456</v>
      </c>
      <c r="AC16" s="530">
        <f t="shared" si="6"/>
        <v>1.2484599589322383</v>
      </c>
      <c r="AD16" s="795">
        <v>1</v>
      </c>
      <c r="AE16" s="795"/>
      <c r="AF16" s="795"/>
      <c r="AG16" s="795"/>
      <c r="AH16" s="527"/>
      <c r="AI16" s="527"/>
      <c r="AJ16" s="874"/>
      <c r="AK16" s="527"/>
      <c r="AL16" s="527"/>
      <c r="AM16" s="527"/>
      <c r="AN16" s="527"/>
      <c r="AO16" s="527"/>
    </row>
    <row r="17" spans="1:41" s="611" customFormat="1" x14ac:dyDescent="0.2">
      <c r="A17" s="728"/>
      <c r="B17" s="807" t="s">
        <v>1894</v>
      </c>
      <c r="C17" s="611" t="s">
        <v>2067</v>
      </c>
      <c r="D17" s="851" t="s">
        <v>224</v>
      </c>
      <c r="E17" s="611" t="s">
        <v>2323</v>
      </c>
      <c r="F17" s="611" t="s">
        <v>1274</v>
      </c>
      <c r="G17" s="611" t="s">
        <v>2317</v>
      </c>
      <c r="H17" s="611">
        <v>2006</v>
      </c>
      <c r="I17" s="611">
        <v>2006</v>
      </c>
      <c r="J17" s="793"/>
      <c r="K17" s="794"/>
      <c r="L17" s="613">
        <v>0</v>
      </c>
      <c r="M17" s="533"/>
      <c r="N17" s="613"/>
      <c r="O17" s="792">
        <f t="shared" si="0"/>
        <v>2006</v>
      </c>
      <c r="P17" s="619">
        <f t="shared" si="1"/>
        <v>38899</v>
      </c>
      <c r="Q17" s="764">
        <f t="shared" si="2"/>
        <v>39699</v>
      </c>
      <c r="R17" s="619">
        <f t="shared" si="3"/>
        <v>800</v>
      </c>
      <c r="S17" s="530">
        <f t="shared" si="4"/>
        <v>2.1902806297056809</v>
      </c>
      <c r="T17" s="860"/>
      <c r="V17" s="527" t="s">
        <v>1894</v>
      </c>
      <c r="W17" s="874">
        <v>39036</v>
      </c>
      <c r="X17" s="872" t="s">
        <v>2694</v>
      </c>
      <c r="Y17" s="846" t="s">
        <v>2695</v>
      </c>
      <c r="Z17" s="874">
        <v>39699</v>
      </c>
      <c r="AA17" s="530"/>
      <c r="AB17" s="619">
        <f t="shared" si="5"/>
        <v>663</v>
      </c>
      <c r="AC17" s="530">
        <f t="shared" si="6"/>
        <v>1.8151950718685832</v>
      </c>
      <c r="AD17" s="795">
        <v>1</v>
      </c>
      <c r="AE17" s="795"/>
      <c r="AF17" s="795"/>
      <c r="AG17" s="795"/>
      <c r="AI17" s="527"/>
      <c r="AJ17" s="874"/>
    </row>
    <row r="18" spans="1:41" s="611" customFormat="1" x14ac:dyDescent="0.2">
      <c r="A18" s="728"/>
      <c r="B18" s="807" t="s">
        <v>1900</v>
      </c>
      <c r="C18" s="611" t="s">
        <v>2068</v>
      </c>
      <c r="D18" s="851" t="s">
        <v>224</v>
      </c>
      <c r="F18" s="611" t="s">
        <v>1274</v>
      </c>
      <c r="G18" s="611" t="s">
        <v>2320</v>
      </c>
      <c r="I18" s="611">
        <v>2006</v>
      </c>
      <c r="J18" s="793"/>
      <c r="K18" s="793">
        <v>1</v>
      </c>
      <c r="L18" s="613">
        <v>0</v>
      </c>
      <c r="M18" s="533"/>
      <c r="N18" s="613"/>
      <c r="O18" s="792">
        <f t="shared" si="0"/>
        <v>2006</v>
      </c>
      <c r="P18" s="619">
        <f t="shared" si="1"/>
        <v>38899</v>
      </c>
      <c r="Q18" s="764">
        <f t="shared" si="2"/>
        <v>39461</v>
      </c>
      <c r="R18" s="619">
        <f t="shared" si="3"/>
        <v>562</v>
      </c>
      <c r="S18" s="530">
        <f t="shared" si="4"/>
        <v>1.538672142368241</v>
      </c>
      <c r="V18" s="527" t="s">
        <v>1900</v>
      </c>
      <c r="W18" s="874">
        <v>39066</v>
      </c>
      <c r="X18" s="872" t="s">
        <v>2694</v>
      </c>
      <c r="Y18" s="846" t="s">
        <v>2695</v>
      </c>
      <c r="Z18" s="874">
        <v>39461</v>
      </c>
      <c r="AA18" s="530"/>
      <c r="AB18" s="619">
        <f t="shared" si="5"/>
        <v>395</v>
      </c>
      <c r="AC18" s="530">
        <f t="shared" si="6"/>
        <v>1.0814510609171799</v>
      </c>
      <c r="AD18" s="795">
        <v>1</v>
      </c>
      <c r="AE18" s="795"/>
      <c r="AF18" s="795"/>
      <c r="AG18" s="795"/>
      <c r="AI18" s="527"/>
      <c r="AJ18" s="874"/>
    </row>
    <row r="19" spans="1:41" s="611" customFormat="1" x14ac:dyDescent="0.2">
      <c r="A19" s="728"/>
      <c r="B19" s="807" t="s">
        <v>1902</v>
      </c>
      <c r="C19" s="611" t="s">
        <v>2075</v>
      </c>
      <c r="D19" s="851" t="s">
        <v>224</v>
      </c>
      <c r="E19" s="611" t="s">
        <v>2323</v>
      </c>
      <c r="F19" s="611" t="s">
        <v>1274</v>
      </c>
      <c r="G19" s="611" t="s">
        <v>2316</v>
      </c>
      <c r="H19" s="611">
        <v>2006</v>
      </c>
      <c r="I19" s="611">
        <v>2006</v>
      </c>
      <c r="J19" s="793"/>
      <c r="K19" s="793">
        <v>1</v>
      </c>
      <c r="L19" s="613">
        <v>0</v>
      </c>
      <c r="M19" s="533"/>
      <c r="N19" s="613"/>
      <c r="O19" s="792">
        <f t="shared" si="0"/>
        <v>2006</v>
      </c>
      <c r="P19" s="619">
        <f t="shared" si="1"/>
        <v>38899</v>
      </c>
      <c r="Q19" s="764">
        <f t="shared" si="2"/>
        <v>39169</v>
      </c>
      <c r="R19" s="619">
        <f t="shared" si="3"/>
        <v>270</v>
      </c>
      <c r="S19" s="530">
        <f t="shared" si="4"/>
        <v>0.73921971252566732</v>
      </c>
      <c r="T19" s="611" t="s">
        <v>2555</v>
      </c>
      <c r="V19" s="614" t="s">
        <v>1902</v>
      </c>
      <c r="W19" s="874">
        <v>39066</v>
      </c>
      <c r="X19" s="872" t="s">
        <v>2694</v>
      </c>
      <c r="Y19" s="846" t="s">
        <v>2695</v>
      </c>
      <c r="Z19" s="874">
        <v>39169</v>
      </c>
      <c r="AA19" s="530"/>
      <c r="AB19" s="619">
        <f t="shared" si="5"/>
        <v>103</v>
      </c>
      <c r="AC19" s="530">
        <f t="shared" si="6"/>
        <v>0.28199863107460643</v>
      </c>
      <c r="AD19" s="795">
        <v>1</v>
      </c>
      <c r="AE19" s="795"/>
      <c r="AF19" s="795"/>
      <c r="AG19" s="795"/>
      <c r="AI19" s="527"/>
      <c r="AJ19" s="874"/>
    </row>
    <row r="20" spans="1:41" s="611" customFormat="1" x14ac:dyDescent="0.2">
      <c r="A20" s="728"/>
      <c r="B20" s="807" t="s">
        <v>1905</v>
      </c>
      <c r="C20" s="611" t="s">
        <v>2072</v>
      </c>
      <c r="D20" s="851" t="s">
        <v>224</v>
      </c>
      <c r="F20" s="611" t="s">
        <v>1274</v>
      </c>
      <c r="G20" s="611" t="s">
        <v>2489</v>
      </c>
      <c r="H20" s="611">
        <v>2007</v>
      </c>
      <c r="I20" s="611">
        <v>2007</v>
      </c>
      <c r="J20" s="793"/>
      <c r="K20" s="793"/>
      <c r="L20" s="613">
        <v>0</v>
      </c>
      <c r="M20" s="533"/>
      <c r="N20" s="613"/>
      <c r="O20" s="792">
        <f t="shared" si="0"/>
        <v>2007</v>
      </c>
      <c r="P20" s="619">
        <f t="shared" si="1"/>
        <v>39264</v>
      </c>
      <c r="Q20" s="764">
        <f t="shared" si="2"/>
        <v>39461</v>
      </c>
      <c r="R20" s="619">
        <f t="shared" si="3"/>
        <v>197</v>
      </c>
      <c r="S20" s="530">
        <f t="shared" si="4"/>
        <v>0.53935660506502392</v>
      </c>
      <c r="V20" s="527" t="s">
        <v>1905</v>
      </c>
      <c r="W20" s="874">
        <v>39097</v>
      </c>
      <c r="X20" s="872" t="s">
        <v>2694</v>
      </c>
      <c r="Y20" s="846" t="s">
        <v>2695</v>
      </c>
      <c r="Z20" s="874">
        <v>39461</v>
      </c>
      <c r="AA20" s="530"/>
      <c r="AB20" s="619">
        <f t="shared" si="5"/>
        <v>364</v>
      </c>
      <c r="AC20" s="530">
        <f t="shared" si="6"/>
        <v>0.99657768651608492</v>
      </c>
      <c r="AD20" s="795">
        <v>1</v>
      </c>
      <c r="AE20" s="795"/>
      <c r="AF20" s="795"/>
      <c r="AG20" s="795"/>
      <c r="AH20" s="527"/>
      <c r="AI20" s="527"/>
      <c r="AJ20" s="874"/>
      <c r="AK20" s="527"/>
      <c r="AL20" s="527"/>
      <c r="AM20" s="527"/>
      <c r="AN20" s="527"/>
      <c r="AO20" s="527"/>
    </row>
    <row r="21" spans="1:41" s="611" customFormat="1" ht="12" customHeight="1" x14ac:dyDescent="0.2">
      <c r="A21" s="728"/>
      <c r="B21" s="807" t="s">
        <v>1899</v>
      </c>
      <c r="C21" s="611" t="s">
        <v>2081</v>
      </c>
      <c r="D21" s="851" t="s">
        <v>224</v>
      </c>
      <c r="F21" s="611" t="s">
        <v>1274</v>
      </c>
      <c r="G21" s="611" t="s">
        <v>2317</v>
      </c>
      <c r="I21" s="611">
        <v>2007</v>
      </c>
      <c r="J21" s="793"/>
      <c r="K21" s="793"/>
      <c r="L21" s="613">
        <v>0</v>
      </c>
      <c r="M21" s="533"/>
      <c r="N21" s="613"/>
      <c r="O21" s="792">
        <f t="shared" si="0"/>
        <v>2007</v>
      </c>
      <c r="P21" s="619">
        <f t="shared" si="1"/>
        <v>39264</v>
      </c>
      <c r="Q21" s="764">
        <f t="shared" si="2"/>
        <v>41212</v>
      </c>
      <c r="R21" s="619">
        <f t="shared" si="3"/>
        <v>1948</v>
      </c>
      <c r="S21" s="530">
        <f t="shared" si="4"/>
        <v>5.333333333333333</v>
      </c>
      <c r="V21" s="527" t="s">
        <v>1899</v>
      </c>
      <c r="W21" s="874">
        <v>39187</v>
      </c>
      <c r="X21" s="872" t="s">
        <v>2694</v>
      </c>
      <c r="Y21" s="846" t="s">
        <v>2695</v>
      </c>
      <c r="Z21" s="874">
        <v>41212</v>
      </c>
      <c r="AA21" s="530"/>
      <c r="AB21" s="619">
        <f t="shared" si="5"/>
        <v>2025</v>
      </c>
      <c r="AC21" s="530">
        <f t="shared" si="6"/>
        <v>5.5441478439425049</v>
      </c>
      <c r="AD21" s="795">
        <v>1</v>
      </c>
      <c r="AE21" s="795"/>
      <c r="AF21" s="795"/>
      <c r="AG21" s="795"/>
      <c r="AI21" s="527"/>
      <c r="AJ21" s="874"/>
    </row>
    <row r="22" spans="1:41" s="611" customFormat="1" x14ac:dyDescent="0.2">
      <c r="A22" s="728"/>
      <c r="B22" s="807" t="s">
        <v>1910</v>
      </c>
      <c r="C22" s="611" t="s">
        <v>2060</v>
      </c>
      <c r="D22" s="851" t="s">
        <v>224</v>
      </c>
      <c r="E22" s="611" t="s">
        <v>2490</v>
      </c>
      <c r="F22" s="611" t="s">
        <v>1274</v>
      </c>
      <c r="G22" s="611" t="s">
        <v>2319</v>
      </c>
      <c r="H22" s="611">
        <v>2007</v>
      </c>
      <c r="J22" s="793"/>
      <c r="K22" s="793">
        <v>1</v>
      </c>
      <c r="L22" s="613">
        <v>1</v>
      </c>
      <c r="M22" s="533"/>
      <c r="N22" s="613"/>
      <c r="O22" s="792">
        <f t="shared" si="0"/>
        <v>2007</v>
      </c>
      <c r="P22" s="619">
        <f t="shared" si="1"/>
        <v>39264</v>
      </c>
      <c r="Q22" s="764">
        <f t="shared" si="2"/>
        <v>39461</v>
      </c>
      <c r="R22" s="619">
        <f t="shared" si="3"/>
        <v>197</v>
      </c>
      <c r="S22" s="530">
        <f t="shared" si="4"/>
        <v>0.53935660506502392</v>
      </c>
      <c r="V22" s="614" t="s">
        <v>1910</v>
      </c>
      <c r="W22" s="875">
        <v>39263</v>
      </c>
      <c r="X22" s="872" t="s">
        <v>2167</v>
      </c>
      <c r="Y22" s="846" t="s">
        <v>2695</v>
      </c>
      <c r="Z22" s="874">
        <v>39461</v>
      </c>
      <c r="AA22" s="530"/>
      <c r="AB22" s="619">
        <f t="shared" si="5"/>
        <v>198</v>
      </c>
      <c r="AC22" s="530">
        <f t="shared" si="6"/>
        <v>0.5420944558521561</v>
      </c>
      <c r="AD22" s="795">
        <v>1</v>
      </c>
      <c r="AE22" s="795"/>
      <c r="AF22" s="795"/>
      <c r="AG22" s="795"/>
      <c r="AH22" s="527"/>
      <c r="AI22" s="527"/>
      <c r="AJ22" s="874"/>
      <c r="AK22" s="527"/>
      <c r="AL22" s="527"/>
      <c r="AM22" s="527"/>
      <c r="AN22" s="527"/>
      <c r="AO22" s="527"/>
    </row>
    <row r="23" spans="1:41" s="611" customFormat="1" x14ac:dyDescent="0.2">
      <c r="A23" s="728"/>
      <c r="B23" s="807" t="s">
        <v>1976</v>
      </c>
      <c r="C23" s="611" t="s">
        <v>2076</v>
      </c>
      <c r="D23" s="851" t="s">
        <v>224</v>
      </c>
      <c r="F23" s="611" t="s">
        <v>1274</v>
      </c>
      <c r="G23" s="611" t="s">
        <v>2320</v>
      </c>
      <c r="I23" s="611">
        <v>2007</v>
      </c>
      <c r="J23" s="793"/>
      <c r="K23" s="793">
        <v>1</v>
      </c>
      <c r="L23" s="613">
        <v>0</v>
      </c>
      <c r="M23" s="533"/>
      <c r="N23" s="613"/>
      <c r="O23" s="792">
        <f t="shared" si="0"/>
        <v>2007</v>
      </c>
      <c r="P23" s="619">
        <f t="shared" si="1"/>
        <v>39264</v>
      </c>
      <c r="Q23" s="764">
        <f t="shared" si="2"/>
        <v>39461</v>
      </c>
      <c r="R23" s="619">
        <f t="shared" si="3"/>
        <v>197</v>
      </c>
      <c r="S23" s="530">
        <f t="shared" si="4"/>
        <v>0.53935660506502392</v>
      </c>
      <c r="V23" s="614" t="s">
        <v>1976</v>
      </c>
      <c r="W23" s="874">
        <v>39264</v>
      </c>
      <c r="X23" s="872" t="s">
        <v>316</v>
      </c>
      <c r="Y23" s="846" t="s">
        <v>2695</v>
      </c>
      <c r="Z23" s="874">
        <v>39461</v>
      </c>
      <c r="AA23" s="530"/>
      <c r="AB23" s="619">
        <f t="shared" si="5"/>
        <v>197</v>
      </c>
      <c r="AC23" s="530">
        <f t="shared" si="6"/>
        <v>0.53935660506502392</v>
      </c>
      <c r="AD23" s="795">
        <v>1</v>
      </c>
      <c r="AE23" s="795"/>
      <c r="AF23" s="795"/>
      <c r="AG23" s="795"/>
      <c r="AH23" s="527"/>
      <c r="AI23" s="527"/>
      <c r="AJ23" s="874"/>
      <c r="AK23" s="527"/>
      <c r="AL23" s="527"/>
      <c r="AM23" s="527"/>
      <c r="AN23" s="527"/>
      <c r="AO23" s="527"/>
    </row>
    <row r="24" spans="1:41" s="611" customFormat="1" x14ac:dyDescent="0.2">
      <c r="A24" s="728"/>
      <c r="B24" s="807" t="s">
        <v>1909</v>
      </c>
      <c r="C24" s="611" t="s">
        <v>2077</v>
      </c>
      <c r="D24" s="851" t="s">
        <v>224</v>
      </c>
      <c r="F24" s="611" t="s">
        <v>1274</v>
      </c>
      <c r="G24" s="611" t="s">
        <v>2316</v>
      </c>
      <c r="H24" s="611">
        <v>2007</v>
      </c>
      <c r="I24" s="611">
        <v>2007</v>
      </c>
      <c r="J24" s="793"/>
      <c r="K24" s="793">
        <v>1</v>
      </c>
      <c r="L24" s="613">
        <v>0</v>
      </c>
      <c r="M24" s="533"/>
      <c r="N24" s="613"/>
      <c r="O24" s="792">
        <f t="shared" si="0"/>
        <v>2007</v>
      </c>
      <c r="P24" s="619">
        <f t="shared" si="1"/>
        <v>39264</v>
      </c>
      <c r="Q24" s="764">
        <f t="shared" si="2"/>
        <v>39461</v>
      </c>
      <c r="R24" s="619">
        <f t="shared" si="3"/>
        <v>197</v>
      </c>
      <c r="S24" s="530">
        <f t="shared" si="4"/>
        <v>0.53935660506502392</v>
      </c>
      <c r="V24" s="614" t="s">
        <v>1909</v>
      </c>
      <c r="W24" s="874">
        <v>39278</v>
      </c>
      <c r="X24" s="872" t="s">
        <v>316</v>
      </c>
      <c r="Y24" s="846" t="s">
        <v>2695</v>
      </c>
      <c r="Z24" s="874">
        <v>39461</v>
      </c>
      <c r="AA24" s="530"/>
      <c r="AB24" s="619">
        <f t="shared" si="5"/>
        <v>183</v>
      </c>
      <c r="AC24" s="530">
        <f t="shared" si="6"/>
        <v>0.50102669404517453</v>
      </c>
      <c r="AD24" s="795">
        <v>1</v>
      </c>
      <c r="AE24" s="795"/>
      <c r="AF24" s="795"/>
      <c r="AG24" s="795"/>
      <c r="AH24" s="527"/>
      <c r="AI24" s="527"/>
      <c r="AJ24" s="874"/>
      <c r="AK24" s="527"/>
      <c r="AL24" s="527"/>
      <c r="AM24" s="527"/>
      <c r="AN24" s="527"/>
      <c r="AO24" s="527"/>
    </row>
    <row r="25" spans="1:41" s="611" customFormat="1" x14ac:dyDescent="0.2">
      <c r="A25" s="728"/>
      <c r="B25" s="807" t="s">
        <v>1912</v>
      </c>
      <c r="C25" s="611" t="s">
        <v>2072</v>
      </c>
      <c r="D25" s="851" t="s">
        <v>224</v>
      </c>
      <c r="F25" s="611" t="s">
        <v>1274</v>
      </c>
      <c r="G25" s="611" t="s">
        <v>2327</v>
      </c>
      <c r="H25" s="611">
        <v>2007</v>
      </c>
      <c r="I25" s="611">
        <v>2007</v>
      </c>
      <c r="J25" s="793"/>
      <c r="K25" s="793">
        <v>1</v>
      </c>
      <c r="L25" s="613">
        <v>0</v>
      </c>
      <c r="M25" s="533"/>
      <c r="N25" s="613"/>
      <c r="O25" s="792">
        <f t="shared" si="0"/>
        <v>2007</v>
      </c>
      <c r="P25" s="619">
        <f t="shared" si="1"/>
        <v>39264</v>
      </c>
      <c r="Q25" s="764">
        <f t="shared" si="2"/>
        <v>39678</v>
      </c>
      <c r="R25" s="619">
        <f t="shared" si="3"/>
        <v>414</v>
      </c>
      <c r="S25" s="530">
        <f t="shared" si="4"/>
        <v>1.1334702258726899</v>
      </c>
      <c r="V25" s="614" t="s">
        <v>1912</v>
      </c>
      <c r="W25" s="874">
        <v>39340</v>
      </c>
      <c r="X25" s="872" t="s">
        <v>2694</v>
      </c>
      <c r="Y25" s="846" t="s">
        <v>2695</v>
      </c>
      <c r="Z25" s="874">
        <v>39678</v>
      </c>
      <c r="AA25" s="530"/>
      <c r="AB25" s="619">
        <f t="shared" si="5"/>
        <v>338</v>
      </c>
      <c r="AC25" s="530">
        <f t="shared" si="6"/>
        <v>0.92539356605065026</v>
      </c>
      <c r="AD25" s="795">
        <v>1</v>
      </c>
      <c r="AE25" s="795"/>
      <c r="AF25" s="795"/>
      <c r="AG25" s="795"/>
      <c r="AH25" s="527"/>
      <c r="AI25" s="527"/>
      <c r="AJ25" s="874"/>
      <c r="AK25" s="527"/>
      <c r="AL25" s="527"/>
      <c r="AM25" s="527"/>
      <c r="AN25" s="527"/>
      <c r="AO25" s="527"/>
    </row>
    <row r="26" spans="1:41" s="611" customFormat="1" x14ac:dyDescent="0.2">
      <c r="A26" s="728"/>
      <c r="B26" s="807" t="s">
        <v>1911</v>
      </c>
      <c r="C26" s="611" t="s">
        <v>2083</v>
      </c>
      <c r="D26" s="851" t="s">
        <v>224</v>
      </c>
      <c r="E26" s="611" t="s">
        <v>2323</v>
      </c>
      <c r="F26" s="611" t="s">
        <v>1274</v>
      </c>
      <c r="G26" s="611" t="s">
        <v>2316</v>
      </c>
      <c r="H26" s="611">
        <v>2007</v>
      </c>
      <c r="I26" s="611">
        <v>2007</v>
      </c>
      <c r="J26" s="793"/>
      <c r="K26" s="793">
        <v>1</v>
      </c>
      <c r="L26" s="613">
        <v>0</v>
      </c>
      <c r="M26" s="533"/>
      <c r="N26" s="613"/>
      <c r="O26" s="792">
        <f t="shared" si="0"/>
        <v>2007</v>
      </c>
      <c r="P26" s="619">
        <f t="shared" si="1"/>
        <v>39264</v>
      </c>
      <c r="Q26" s="764">
        <f t="shared" si="2"/>
        <v>39678</v>
      </c>
      <c r="R26" s="619">
        <f t="shared" si="3"/>
        <v>414</v>
      </c>
      <c r="S26" s="530">
        <f t="shared" si="4"/>
        <v>1.1334702258726899</v>
      </c>
      <c r="V26" s="614" t="s">
        <v>1911</v>
      </c>
      <c r="W26" s="874">
        <v>39370</v>
      </c>
      <c r="X26" s="872" t="s">
        <v>2694</v>
      </c>
      <c r="Y26" s="846" t="s">
        <v>2695</v>
      </c>
      <c r="Z26" s="874">
        <v>39678</v>
      </c>
      <c r="AA26" s="530"/>
      <c r="AB26" s="619">
        <f t="shared" si="5"/>
        <v>308</v>
      </c>
      <c r="AC26" s="530">
        <f t="shared" si="6"/>
        <v>0.84325804243668723</v>
      </c>
      <c r="AD26" s="795">
        <v>1</v>
      </c>
      <c r="AE26" s="795"/>
      <c r="AF26" s="795"/>
      <c r="AG26" s="795"/>
      <c r="AH26" s="527"/>
      <c r="AI26" s="527"/>
      <c r="AJ26" s="874"/>
      <c r="AK26" s="527"/>
      <c r="AL26" s="527"/>
      <c r="AM26" s="527"/>
      <c r="AN26" s="527"/>
      <c r="AO26" s="527"/>
    </row>
    <row r="27" spans="1:41" s="611" customFormat="1" x14ac:dyDescent="0.2">
      <c r="A27" s="728"/>
      <c r="B27" s="807" t="s">
        <v>1917</v>
      </c>
      <c r="C27" s="611" t="s">
        <v>2057</v>
      </c>
      <c r="D27" s="851" t="s">
        <v>224</v>
      </c>
      <c r="F27" s="611" t="s">
        <v>1274</v>
      </c>
      <c r="G27" s="611" t="s">
        <v>2320</v>
      </c>
      <c r="H27" s="611">
        <v>2007</v>
      </c>
      <c r="I27" s="611">
        <v>2007</v>
      </c>
      <c r="J27" s="793"/>
      <c r="K27" s="794">
        <v>1</v>
      </c>
      <c r="L27" s="613">
        <v>0</v>
      </c>
      <c r="M27" s="533"/>
      <c r="N27" s="613"/>
      <c r="O27" s="792">
        <f t="shared" si="0"/>
        <v>2007</v>
      </c>
      <c r="P27" s="619">
        <f t="shared" si="1"/>
        <v>39264</v>
      </c>
      <c r="Q27" s="764">
        <f t="shared" si="2"/>
        <v>39694</v>
      </c>
      <c r="R27" s="619">
        <f t="shared" si="3"/>
        <v>430</v>
      </c>
      <c r="S27" s="530">
        <f t="shared" si="4"/>
        <v>1.1772758384668036</v>
      </c>
      <c r="V27" s="614" t="s">
        <v>1917</v>
      </c>
      <c r="W27" s="874">
        <v>39630</v>
      </c>
      <c r="X27" s="872" t="s">
        <v>316</v>
      </c>
      <c r="Y27" s="846" t="s">
        <v>2695</v>
      </c>
      <c r="Z27" s="874">
        <v>39694</v>
      </c>
      <c r="AA27" s="530"/>
      <c r="AB27" s="619">
        <f t="shared" si="5"/>
        <v>64</v>
      </c>
      <c r="AC27" s="530">
        <f t="shared" si="6"/>
        <v>0.17522245037645448</v>
      </c>
      <c r="AD27" s="795">
        <v>1</v>
      </c>
      <c r="AE27" s="795"/>
      <c r="AF27" s="795"/>
      <c r="AG27" s="795"/>
      <c r="AH27" s="527"/>
      <c r="AI27" s="527"/>
      <c r="AJ27" s="874"/>
      <c r="AK27" s="527"/>
      <c r="AL27" s="527"/>
      <c r="AM27" s="527"/>
      <c r="AN27" s="527"/>
      <c r="AO27" s="527"/>
    </row>
    <row r="28" spans="1:41" s="611" customFormat="1" x14ac:dyDescent="0.2">
      <c r="A28" s="728"/>
      <c r="B28" s="807" t="s">
        <v>1918</v>
      </c>
      <c r="C28" s="611" t="s">
        <v>2072</v>
      </c>
      <c r="D28" s="851" t="s">
        <v>224</v>
      </c>
      <c r="E28" s="611" t="s">
        <v>2329</v>
      </c>
      <c r="F28" s="611" t="s">
        <v>1274</v>
      </c>
      <c r="G28" s="611" t="s">
        <v>2319</v>
      </c>
      <c r="I28" s="611">
        <v>2008</v>
      </c>
      <c r="J28" s="793">
        <v>1</v>
      </c>
      <c r="K28" s="794">
        <v>1</v>
      </c>
      <c r="L28" s="613">
        <v>0</v>
      </c>
      <c r="M28" s="533"/>
      <c r="N28" s="613"/>
      <c r="O28" s="792">
        <f t="shared" si="0"/>
        <v>2008</v>
      </c>
      <c r="P28" s="619">
        <f t="shared" si="1"/>
        <v>39630</v>
      </c>
      <c r="Q28" s="764">
        <f t="shared" si="2"/>
        <v>39805</v>
      </c>
      <c r="R28" s="619">
        <f t="shared" si="3"/>
        <v>175</v>
      </c>
      <c r="S28" s="530">
        <f t="shared" si="4"/>
        <v>0.4791238877481177</v>
      </c>
      <c r="V28" s="527" t="s">
        <v>1918</v>
      </c>
      <c r="W28" s="874">
        <v>39644</v>
      </c>
      <c r="X28" s="872" t="s">
        <v>2694</v>
      </c>
      <c r="Y28" s="846" t="s">
        <v>2695</v>
      </c>
      <c r="Z28" s="874">
        <v>39805</v>
      </c>
      <c r="AA28" s="530"/>
      <c r="AB28" s="619">
        <f t="shared" si="5"/>
        <v>161</v>
      </c>
      <c r="AC28" s="530">
        <f t="shared" si="6"/>
        <v>0.44079397672826831</v>
      </c>
      <c r="AD28" s="795">
        <v>1</v>
      </c>
      <c r="AE28" s="795"/>
      <c r="AF28" s="795"/>
      <c r="AG28" s="795"/>
      <c r="AH28" s="527"/>
      <c r="AI28" s="527"/>
      <c r="AJ28" s="874"/>
      <c r="AK28" s="527"/>
      <c r="AL28" s="527"/>
      <c r="AM28" s="527"/>
      <c r="AN28" s="527"/>
      <c r="AO28" s="527"/>
    </row>
    <row r="29" spans="1:41" s="611" customFormat="1" x14ac:dyDescent="0.2">
      <c r="A29" s="728"/>
      <c r="B29" s="807" t="s">
        <v>1922</v>
      </c>
      <c r="C29" s="611" t="s">
        <v>2070</v>
      </c>
      <c r="D29" s="851" t="s">
        <v>224</v>
      </c>
      <c r="E29" s="611" t="s">
        <v>1786</v>
      </c>
      <c r="F29" s="611" t="s">
        <v>1274</v>
      </c>
      <c r="G29" s="611" t="s">
        <v>2333</v>
      </c>
      <c r="H29" s="611">
        <v>2009</v>
      </c>
      <c r="I29" s="611">
        <v>2010</v>
      </c>
      <c r="J29" s="793"/>
      <c r="K29" s="793">
        <v>1</v>
      </c>
      <c r="L29" s="792">
        <v>0</v>
      </c>
      <c r="M29" s="728"/>
      <c r="N29" s="792"/>
      <c r="O29" s="792">
        <f t="shared" si="0"/>
        <v>2009</v>
      </c>
      <c r="P29" s="619">
        <f t="shared" si="1"/>
        <v>39995</v>
      </c>
      <c r="Q29" s="764">
        <f t="shared" si="2"/>
        <v>40648</v>
      </c>
      <c r="R29" s="619">
        <f t="shared" si="3"/>
        <v>653</v>
      </c>
      <c r="S29" s="530">
        <f t="shared" si="4"/>
        <v>1.7878165639972621</v>
      </c>
      <c r="V29" s="527" t="s">
        <v>1922</v>
      </c>
      <c r="W29" s="874">
        <v>39995</v>
      </c>
      <c r="X29" s="872" t="s">
        <v>316</v>
      </c>
      <c r="Y29" s="846" t="s">
        <v>2695</v>
      </c>
      <c r="Z29" s="874">
        <v>40648</v>
      </c>
      <c r="AA29" s="530"/>
      <c r="AB29" s="619">
        <f t="shared" si="5"/>
        <v>653</v>
      </c>
      <c r="AC29" s="530">
        <f t="shared" si="6"/>
        <v>1.7878165639972621</v>
      </c>
      <c r="AD29" s="795">
        <v>1</v>
      </c>
      <c r="AE29" s="795"/>
      <c r="AF29" s="795"/>
      <c r="AG29" s="795"/>
      <c r="AH29" s="527"/>
      <c r="AI29" s="527"/>
      <c r="AJ29" s="874"/>
      <c r="AK29" s="527"/>
      <c r="AL29" s="527"/>
      <c r="AM29" s="527"/>
      <c r="AN29" s="527"/>
      <c r="AO29" s="527"/>
    </row>
    <row r="30" spans="1:41" s="611" customFormat="1" x14ac:dyDescent="0.2">
      <c r="A30" s="728"/>
      <c r="B30" s="527" t="s">
        <v>2693</v>
      </c>
      <c r="C30" s="611" t="s">
        <v>496</v>
      </c>
      <c r="D30" s="851" t="s">
        <v>224</v>
      </c>
      <c r="F30" s="611" t="s">
        <v>1274</v>
      </c>
      <c r="G30" s="611" t="s">
        <v>2315</v>
      </c>
      <c r="I30" s="611">
        <v>2009</v>
      </c>
      <c r="J30" s="793"/>
      <c r="K30" s="793">
        <v>1</v>
      </c>
      <c r="L30" s="792">
        <v>0</v>
      </c>
      <c r="M30" s="728"/>
      <c r="N30" s="792"/>
      <c r="O30" s="792">
        <f t="shared" si="0"/>
        <v>2009</v>
      </c>
      <c r="P30" s="619">
        <f t="shared" si="1"/>
        <v>39995</v>
      </c>
      <c r="Q30" s="764">
        <f t="shared" si="2"/>
        <v>43534</v>
      </c>
      <c r="R30" s="619">
        <f t="shared" si="3"/>
        <v>3539</v>
      </c>
      <c r="S30" s="530">
        <f t="shared" si="4"/>
        <v>9.6892539356605063</v>
      </c>
      <c r="V30" s="527" t="s">
        <v>2693</v>
      </c>
      <c r="W30" s="874">
        <v>39995</v>
      </c>
      <c r="X30" s="872" t="s">
        <v>316</v>
      </c>
      <c r="Y30" s="846" t="s">
        <v>2695</v>
      </c>
      <c r="Z30" s="874">
        <v>43534</v>
      </c>
      <c r="AA30" s="530"/>
      <c r="AB30" s="619">
        <f t="shared" si="5"/>
        <v>3539</v>
      </c>
      <c r="AC30" s="530">
        <f t="shared" si="6"/>
        <v>9.6892539356605063</v>
      </c>
      <c r="AD30" s="795">
        <v>1</v>
      </c>
      <c r="AE30" s="795"/>
      <c r="AF30" s="795"/>
      <c r="AG30" s="795"/>
      <c r="AH30" s="527"/>
      <c r="AI30" s="527"/>
      <c r="AJ30" s="874"/>
      <c r="AK30" s="527"/>
      <c r="AL30" s="527"/>
      <c r="AM30" s="527"/>
      <c r="AN30" s="527"/>
      <c r="AO30" s="527"/>
    </row>
    <row r="31" spans="1:41" s="611" customFormat="1" x14ac:dyDescent="0.2">
      <c r="A31" s="728"/>
      <c r="B31" s="807" t="s">
        <v>1920</v>
      </c>
      <c r="C31" s="611" t="s">
        <v>2072</v>
      </c>
      <c r="D31" s="851" t="s">
        <v>224</v>
      </c>
      <c r="E31" s="611" t="s">
        <v>2332</v>
      </c>
      <c r="F31" s="611" t="s">
        <v>1274</v>
      </c>
      <c r="G31" s="611" t="s">
        <v>2315</v>
      </c>
      <c r="I31" s="611">
        <v>2010</v>
      </c>
      <c r="J31" s="793"/>
      <c r="K31" s="793">
        <v>1</v>
      </c>
      <c r="L31" s="792">
        <v>0</v>
      </c>
      <c r="M31" s="728"/>
      <c r="N31" s="792"/>
      <c r="O31" s="792">
        <f t="shared" si="0"/>
        <v>2010</v>
      </c>
      <c r="P31" s="619">
        <f t="shared" si="1"/>
        <v>40360</v>
      </c>
      <c r="Q31" s="764">
        <f t="shared" si="2"/>
        <v>40927</v>
      </c>
      <c r="R31" s="619">
        <f t="shared" si="3"/>
        <v>567</v>
      </c>
      <c r="S31" s="530">
        <f t="shared" si="4"/>
        <v>1.5523613963039014</v>
      </c>
      <c r="V31" s="527" t="s">
        <v>1920</v>
      </c>
      <c r="W31" s="874">
        <v>40283</v>
      </c>
      <c r="X31" s="872" t="s">
        <v>2694</v>
      </c>
      <c r="Y31" s="846" t="s">
        <v>2695</v>
      </c>
      <c r="Z31" s="874">
        <v>40927</v>
      </c>
      <c r="AA31" s="530"/>
      <c r="AB31" s="619">
        <f t="shared" si="5"/>
        <v>644</v>
      </c>
      <c r="AC31" s="530">
        <f t="shared" si="6"/>
        <v>1.7631759069130732</v>
      </c>
      <c r="AD31" s="795">
        <v>1</v>
      </c>
      <c r="AE31" s="795"/>
      <c r="AF31" s="795"/>
      <c r="AG31" s="795"/>
      <c r="AH31" s="527"/>
      <c r="AI31" s="527"/>
      <c r="AJ31" s="874"/>
      <c r="AK31" s="527"/>
      <c r="AL31" s="527"/>
      <c r="AM31" s="527"/>
      <c r="AN31" s="527"/>
      <c r="AO31" s="527"/>
    </row>
    <row r="32" spans="1:41" s="611" customFormat="1" x14ac:dyDescent="0.2">
      <c r="A32" s="728"/>
      <c r="B32" s="807" t="s">
        <v>1921</v>
      </c>
      <c r="C32" s="611" t="s">
        <v>2055</v>
      </c>
      <c r="D32" s="851" t="s">
        <v>224</v>
      </c>
      <c r="E32" s="611" t="s">
        <v>2317</v>
      </c>
      <c r="F32" s="611" t="s">
        <v>1274</v>
      </c>
      <c r="G32" s="611" t="s">
        <v>2317</v>
      </c>
      <c r="H32" s="611">
        <v>2010</v>
      </c>
      <c r="I32" s="611">
        <v>2010</v>
      </c>
      <c r="J32" s="793"/>
      <c r="K32" s="793"/>
      <c r="L32" s="792">
        <v>0</v>
      </c>
      <c r="M32" s="728"/>
      <c r="N32" s="792"/>
      <c r="O32" s="792">
        <f t="shared" si="0"/>
        <v>2010</v>
      </c>
      <c r="P32" s="619">
        <f t="shared" si="1"/>
        <v>40360</v>
      </c>
      <c r="Q32" s="764">
        <f t="shared" si="2"/>
        <v>40661</v>
      </c>
      <c r="R32" s="619">
        <f t="shared" si="3"/>
        <v>301</v>
      </c>
      <c r="S32" s="530">
        <f t="shared" si="4"/>
        <v>0.82409308692676253</v>
      </c>
      <c r="V32" s="527" t="s">
        <v>1921</v>
      </c>
      <c r="W32" s="874">
        <v>40360</v>
      </c>
      <c r="X32" s="872" t="s">
        <v>316</v>
      </c>
      <c r="Y32" s="846" t="s">
        <v>2695</v>
      </c>
      <c r="Z32" s="874">
        <v>40661</v>
      </c>
      <c r="AA32" s="530"/>
      <c r="AB32" s="619">
        <f t="shared" si="5"/>
        <v>301</v>
      </c>
      <c r="AC32" s="530">
        <f t="shared" si="6"/>
        <v>0.82409308692676253</v>
      </c>
      <c r="AD32" s="795">
        <v>1</v>
      </c>
      <c r="AE32" s="795"/>
      <c r="AF32" s="795"/>
      <c r="AG32" s="795"/>
      <c r="AH32" s="527"/>
      <c r="AI32" s="527"/>
      <c r="AJ32" s="874"/>
      <c r="AK32" s="527"/>
      <c r="AL32" s="527"/>
      <c r="AM32" s="527"/>
      <c r="AN32" s="527"/>
      <c r="AO32" s="527"/>
    </row>
    <row r="33" spans="1:41" s="611" customFormat="1" x14ac:dyDescent="0.2">
      <c r="A33" s="728"/>
      <c r="B33" s="807" t="s">
        <v>1926</v>
      </c>
      <c r="C33" s="611" t="s">
        <v>2055</v>
      </c>
      <c r="D33" s="851" t="s">
        <v>224</v>
      </c>
      <c r="F33" s="611" t="s">
        <v>1274</v>
      </c>
      <c r="G33" s="611" t="s">
        <v>2317</v>
      </c>
      <c r="H33" s="611">
        <v>2010</v>
      </c>
      <c r="I33" s="611">
        <v>2010</v>
      </c>
      <c r="J33" s="793"/>
      <c r="K33" s="793"/>
      <c r="L33" s="792">
        <v>0</v>
      </c>
      <c r="M33" s="728"/>
      <c r="N33" s="792"/>
      <c r="O33" s="792">
        <f t="shared" si="0"/>
        <v>2010</v>
      </c>
      <c r="P33" s="619">
        <f t="shared" si="1"/>
        <v>40360</v>
      </c>
      <c r="Q33" s="764">
        <f t="shared" si="2"/>
        <v>40661</v>
      </c>
      <c r="R33" s="619">
        <f t="shared" si="3"/>
        <v>301</v>
      </c>
      <c r="S33" s="530">
        <f t="shared" si="4"/>
        <v>0.82409308692676253</v>
      </c>
      <c r="V33" s="527" t="s">
        <v>1926</v>
      </c>
      <c r="W33" s="874">
        <v>40360</v>
      </c>
      <c r="X33" s="872" t="s">
        <v>316</v>
      </c>
      <c r="Y33" s="846" t="s">
        <v>2695</v>
      </c>
      <c r="Z33" s="874">
        <v>40661</v>
      </c>
      <c r="AA33" s="530"/>
      <c r="AB33" s="619">
        <f t="shared" si="5"/>
        <v>301</v>
      </c>
      <c r="AC33" s="530">
        <f t="shared" si="6"/>
        <v>0.82409308692676253</v>
      </c>
      <c r="AD33" s="795">
        <v>1</v>
      </c>
      <c r="AE33" s="795"/>
      <c r="AF33" s="795"/>
      <c r="AG33" s="795"/>
      <c r="AH33" s="527"/>
      <c r="AI33" s="527"/>
      <c r="AJ33" s="874"/>
      <c r="AK33" s="527"/>
      <c r="AL33" s="527"/>
      <c r="AM33" s="527"/>
      <c r="AN33" s="527"/>
      <c r="AO33" s="527"/>
    </row>
    <row r="34" spans="1:41" s="611" customFormat="1" x14ac:dyDescent="0.2">
      <c r="A34" s="728"/>
      <c r="B34" s="807" t="s">
        <v>1927</v>
      </c>
      <c r="C34" s="611" t="s">
        <v>2055</v>
      </c>
      <c r="D34" s="851" t="s">
        <v>224</v>
      </c>
      <c r="F34" s="611" t="s">
        <v>1274</v>
      </c>
      <c r="G34" s="611" t="s">
        <v>2317</v>
      </c>
      <c r="H34" s="611">
        <v>2010</v>
      </c>
      <c r="I34" s="611">
        <v>2010</v>
      </c>
      <c r="J34" s="793"/>
      <c r="K34" s="793"/>
      <c r="L34" s="792">
        <v>0</v>
      </c>
      <c r="M34" s="728"/>
      <c r="N34" s="792"/>
      <c r="O34" s="792">
        <f t="shared" si="0"/>
        <v>2010</v>
      </c>
      <c r="P34" s="619">
        <f t="shared" si="1"/>
        <v>40360</v>
      </c>
      <c r="Q34" s="764">
        <f t="shared" si="2"/>
        <v>40661</v>
      </c>
      <c r="R34" s="619">
        <f t="shared" si="3"/>
        <v>301</v>
      </c>
      <c r="S34" s="530">
        <f t="shared" si="4"/>
        <v>0.82409308692676253</v>
      </c>
      <c r="V34" s="527" t="s">
        <v>1927</v>
      </c>
      <c r="W34" s="874">
        <v>40360</v>
      </c>
      <c r="X34" s="872" t="s">
        <v>316</v>
      </c>
      <c r="Y34" s="846" t="s">
        <v>2695</v>
      </c>
      <c r="Z34" s="874">
        <v>40661</v>
      </c>
      <c r="AA34" s="530"/>
      <c r="AB34" s="619">
        <f t="shared" si="5"/>
        <v>301</v>
      </c>
      <c r="AC34" s="530">
        <f t="shared" si="6"/>
        <v>0.82409308692676253</v>
      </c>
      <c r="AD34" s="795">
        <v>1</v>
      </c>
      <c r="AE34" s="795"/>
      <c r="AF34" s="795"/>
      <c r="AG34" s="795"/>
      <c r="AH34" s="527"/>
      <c r="AI34" s="527"/>
      <c r="AJ34" s="874"/>
      <c r="AK34" s="527"/>
      <c r="AL34" s="527"/>
      <c r="AM34" s="527"/>
      <c r="AN34" s="527"/>
      <c r="AO34" s="527"/>
    </row>
    <row r="35" spans="1:41" s="611" customFormat="1" ht="12.75" customHeight="1" x14ac:dyDescent="0.2">
      <c r="A35" s="728"/>
      <c r="B35" s="807" t="s">
        <v>1929</v>
      </c>
      <c r="C35" s="527" t="s">
        <v>2058</v>
      </c>
      <c r="D35" s="851" t="s">
        <v>224</v>
      </c>
      <c r="F35" s="611" t="s">
        <v>1274</v>
      </c>
      <c r="G35" s="611" t="s">
        <v>2317</v>
      </c>
      <c r="H35" s="611">
        <v>2010</v>
      </c>
      <c r="I35" s="611">
        <v>2010</v>
      </c>
      <c r="J35" s="793"/>
      <c r="K35" s="793"/>
      <c r="L35" s="792">
        <v>0</v>
      </c>
      <c r="M35" s="728"/>
      <c r="N35" s="792"/>
      <c r="O35" s="792">
        <f t="shared" si="0"/>
        <v>2010</v>
      </c>
      <c r="P35" s="619">
        <f t="shared" si="1"/>
        <v>40360</v>
      </c>
      <c r="Q35" s="764">
        <f t="shared" si="2"/>
        <v>40661</v>
      </c>
      <c r="R35" s="619">
        <f t="shared" si="3"/>
        <v>301</v>
      </c>
      <c r="S35" s="530">
        <f t="shared" si="4"/>
        <v>0.82409308692676253</v>
      </c>
      <c r="V35" s="614" t="s">
        <v>1929</v>
      </c>
      <c r="W35" s="874">
        <v>40360</v>
      </c>
      <c r="X35" s="872" t="s">
        <v>316</v>
      </c>
      <c r="Y35" s="846" t="s">
        <v>2695</v>
      </c>
      <c r="Z35" s="874">
        <v>40661</v>
      </c>
      <c r="AA35" s="530"/>
      <c r="AB35" s="619">
        <f t="shared" si="5"/>
        <v>301</v>
      </c>
      <c r="AC35" s="530">
        <f t="shared" si="6"/>
        <v>0.82409308692676253</v>
      </c>
      <c r="AD35" s="795">
        <v>1</v>
      </c>
      <c r="AE35" s="795"/>
      <c r="AF35" s="795"/>
      <c r="AG35" s="795"/>
      <c r="AH35" s="527"/>
      <c r="AI35" s="527"/>
      <c r="AJ35" s="874"/>
      <c r="AK35" s="527"/>
      <c r="AL35" s="527"/>
      <c r="AM35" s="527"/>
      <c r="AN35" s="527"/>
      <c r="AO35" s="527"/>
    </row>
    <row r="36" spans="1:41" s="611" customFormat="1" x14ac:dyDescent="0.2">
      <c r="A36" s="728"/>
      <c r="B36" s="807" t="s">
        <v>1937</v>
      </c>
      <c r="C36" s="527" t="s">
        <v>496</v>
      </c>
      <c r="D36" s="851" t="s">
        <v>224</v>
      </c>
      <c r="F36" s="611" t="s">
        <v>1274</v>
      </c>
      <c r="G36" s="611" t="s">
        <v>2335</v>
      </c>
      <c r="I36" s="611">
        <v>2012</v>
      </c>
      <c r="J36" s="793"/>
      <c r="K36" s="793">
        <v>1</v>
      </c>
      <c r="L36" s="792">
        <v>0</v>
      </c>
      <c r="M36" s="728"/>
      <c r="N36" s="792"/>
      <c r="O36" s="792">
        <f t="shared" si="0"/>
        <v>2012</v>
      </c>
      <c r="P36" s="619">
        <f t="shared" ref="P36:P67" si="7">DATE(O36,7,1)</f>
        <v>41091</v>
      </c>
      <c r="Q36" s="764">
        <f t="shared" si="2"/>
        <v>41212</v>
      </c>
      <c r="R36" s="619">
        <f t="shared" si="3"/>
        <v>121</v>
      </c>
      <c r="S36" s="530">
        <f t="shared" si="4"/>
        <v>0.33127994524298426</v>
      </c>
      <c r="V36" s="614" t="s">
        <v>1937</v>
      </c>
      <c r="W36" s="874">
        <v>40954</v>
      </c>
      <c r="X36" s="872" t="s">
        <v>2694</v>
      </c>
      <c r="Y36" s="846" t="s">
        <v>2695</v>
      </c>
      <c r="Z36" s="874">
        <v>41212</v>
      </c>
      <c r="AA36" s="530"/>
      <c r="AB36" s="619">
        <f t="shared" si="5"/>
        <v>258</v>
      </c>
      <c r="AC36" s="530">
        <f t="shared" si="6"/>
        <v>0.70636550308008217</v>
      </c>
      <c r="AD36" s="795">
        <v>1</v>
      </c>
      <c r="AE36" s="795"/>
      <c r="AF36" s="795"/>
      <c r="AG36" s="795"/>
      <c r="AH36" s="527"/>
      <c r="AI36" s="527"/>
      <c r="AJ36" s="874"/>
      <c r="AK36" s="527"/>
      <c r="AL36" s="527"/>
      <c r="AM36" s="527"/>
      <c r="AN36" s="527"/>
      <c r="AO36" s="527"/>
    </row>
    <row r="37" spans="1:41" s="611" customFormat="1" x14ac:dyDescent="0.2">
      <c r="A37" s="728"/>
      <c r="B37" s="807" t="s">
        <v>1938</v>
      </c>
      <c r="C37" s="611" t="s">
        <v>496</v>
      </c>
      <c r="D37" s="851" t="s">
        <v>224</v>
      </c>
      <c r="F37" s="611" t="s">
        <v>1274</v>
      </c>
      <c r="G37" s="611" t="s">
        <v>2340</v>
      </c>
      <c r="I37" s="611">
        <v>2012</v>
      </c>
      <c r="J37" s="793"/>
      <c r="K37" s="793">
        <v>1</v>
      </c>
      <c r="L37" s="792">
        <v>0</v>
      </c>
      <c r="M37" s="728"/>
      <c r="N37" s="792"/>
      <c r="O37" s="792">
        <f t="shared" si="0"/>
        <v>2012</v>
      </c>
      <c r="P37" s="619">
        <f t="shared" si="7"/>
        <v>41091</v>
      </c>
      <c r="Q37" s="764">
        <f t="shared" si="2"/>
        <v>41212</v>
      </c>
      <c r="R37" s="619">
        <f t="shared" si="3"/>
        <v>121</v>
      </c>
      <c r="S37" s="530">
        <f t="shared" si="4"/>
        <v>0.33127994524298426</v>
      </c>
      <c r="V37" s="614" t="s">
        <v>1938</v>
      </c>
      <c r="W37" s="874">
        <v>40954</v>
      </c>
      <c r="X37" s="872" t="s">
        <v>2694</v>
      </c>
      <c r="Y37" s="846" t="s">
        <v>2695</v>
      </c>
      <c r="Z37" s="874">
        <v>41212</v>
      </c>
      <c r="AA37" s="530"/>
      <c r="AB37" s="619">
        <f t="shared" si="5"/>
        <v>258</v>
      </c>
      <c r="AC37" s="530">
        <f t="shared" si="6"/>
        <v>0.70636550308008217</v>
      </c>
      <c r="AD37" s="795">
        <v>1</v>
      </c>
      <c r="AE37" s="795"/>
      <c r="AF37" s="795"/>
      <c r="AG37" s="795"/>
      <c r="AH37" s="527"/>
      <c r="AI37" s="527"/>
      <c r="AJ37" s="874"/>
      <c r="AK37" s="527"/>
      <c r="AL37" s="527"/>
      <c r="AM37" s="527"/>
      <c r="AN37" s="527"/>
      <c r="AO37" s="527"/>
    </row>
    <row r="38" spans="1:41" s="611" customFormat="1" x14ac:dyDescent="0.2">
      <c r="A38" s="728"/>
      <c r="B38" s="807" t="s">
        <v>1975</v>
      </c>
      <c r="C38" s="611" t="s">
        <v>2051</v>
      </c>
      <c r="D38" s="851" t="s">
        <v>224</v>
      </c>
      <c r="F38" s="611" t="s">
        <v>1274</v>
      </c>
      <c r="G38" s="611" t="s">
        <v>2340</v>
      </c>
      <c r="I38" s="611">
        <v>2013</v>
      </c>
      <c r="J38" s="793"/>
      <c r="K38" s="793">
        <v>1</v>
      </c>
      <c r="L38" s="792">
        <v>0</v>
      </c>
      <c r="M38" s="728"/>
      <c r="N38" s="792"/>
      <c r="O38" s="792">
        <f t="shared" si="0"/>
        <v>2013</v>
      </c>
      <c r="P38" s="619">
        <f t="shared" si="7"/>
        <v>41456</v>
      </c>
      <c r="Q38" s="764">
        <f t="shared" si="2"/>
        <v>41608</v>
      </c>
      <c r="R38" s="619">
        <f t="shared" si="3"/>
        <v>152</v>
      </c>
      <c r="S38" s="530">
        <f t="shared" si="4"/>
        <v>0.41615331964407942</v>
      </c>
      <c r="V38" s="614" t="s">
        <v>1975</v>
      </c>
      <c r="W38" s="874">
        <v>40983</v>
      </c>
      <c r="X38" s="872" t="s">
        <v>2694</v>
      </c>
      <c r="Y38" s="846" t="s">
        <v>2695</v>
      </c>
      <c r="Z38" s="874">
        <v>41608</v>
      </c>
      <c r="AA38" s="530"/>
      <c r="AB38" s="619">
        <f t="shared" si="5"/>
        <v>625</v>
      </c>
      <c r="AC38" s="530">
        <f t="shared" si="6"/>
        <v>1.7111567419575633</v>
      </c>
      <c r="AD38" s="795">
        <v>1</v>
      </c>
      <c r="AE38" s="795"/>
      <c r="AF38" s="795"/>
      <c r="AG38" s="795"/>
      <c r="AH38" s="527"/>
      <c r="AI38" s="527"/>
      <c r="AJ38" s="874"/>
      <c r="AK38" s="527"/>
      <c r="AL38" s="527"/>
      <c r="AM38" s="527"/>
      <c r="AN38" s="527"/>
      <c r="AO38" s="527"/>
    </row>
    <row r="39" spans="1:41" s="611" customFormat="1" x14ac:dyDescent="0.2">
      <c r="A39" s="527"/>
      <c r="B39" s="807" t="s">
        <v>1951</v>
      </c>
      <c r="C39" s="611" t="s">
        <v>2080</v>
      </c>
      <c r="D39" s="851" t="s">
        <v>224</v>
      </c>
      <c r="F39" s="611" t="s">
        <v>1274</v>
      </c>
      <c r="G39" s="611" t="s">
        <v>2346</v>
      </c>
      <c r="I39" s="611">
        <v>2012</v>
      </c>
      <c r="J39" s="793"/>
      <c r="K39" s="793">
        <v>1</v>
      </c>
      <c r="L39" s="613">
        <v>0</v>
      </c>
      <c r="M39" s="533"/>
      <c r="N39" s="613"/>
      <c r="O39" s="792">
        <f t="shared" si="0"/>
        <v>2012</v>
      </c>
      <c r="P39" s="619">
        <f t="shared" si="7"/>
        <v>41091</v>
      </c>
      <c r="Q39" s="764">
        <f t="shared" si="2"/>
        <v>41649</v>
      </c>
      <c r="R39" s="619">
        <f t="shared" si="3"/>
        <v>558</v>
      </c>
      <c r="S39" s="530">
        <f t="shared" si="4"/>
        <v>1.5277207392197125</v>
      </c>
      <c r="T39" s="527"/>
      <c r="U39" s="527"/>
      <c r="V39" s="527" t="s">
        <v>1951</v>
      </c>
      <c r="W39" s="874">
        <v>40983</v>
      </c>
      <c r="X39" s="872" t="s">
        <v>2694</v>
      </c>
      <c r="Y39" s="846" t="s">
        <v>2695</v>
      </c>
      <c r="Z39" s="874">
        <v>41649</v>
      </c>
      <c r="AA39" s="530"/>
      <c r="AB39" s="619">
        <f t="shared" si="5"/>
        <v>666</v>
      </c>
      <c r="AC39" s="530">
        <f t="shared" si="6"/>
        <v>1.8234086242299794</v>
      </c>
      <c r="AD39" s="795">
        <v>1</v>
      </c>
      <c r="AE39" s="795"/>
      <c r="AF39" s="795"/>
      <c r="AG39" s="795"/>
      <c r="AH39" s="527"/>
      <c r="AI39" s="527"/>
      <c r="AJ39" s="874"/>
      <c r="AK39" s="527"/>
      <c r="AL39" s="527"/>
      <c r="AM39" s="527"/>
      <c r="AN39" s="527"/>
      <c r="AO39" s="527"/>
    </row>
    <row r="40" spans="1:41" s="611" customFormat="1" x14ac:dyDescent="0.2">
      <c r="A40" s="527"/>
      <c r="B40" s="807" t="s">
        <v>2581</v>
      </c>
      <c r="C40" s="527"/>
      <c r="D40" s="851" t="s">
        <v>224</v>
      </c>
      <c r="F40" s="611" t="s">
        <v>1274</v>
      </c>
      <c r="G40" s="611" t="s">
        <v>2315</v>
      </c>
      <c r="H40" s="527"/>
      <c r="I40" s="527">
        <v>2012</v>
      </c>
      <c r="J40" s="793"/>
      <c r="K40" s="793">
        <v>1</v>
      </c>
      <c r="L40" s="613"/>
      <c r="M40" s="533" t="s">
        <v>2470</v>
      </c>
      <c r="N40" s="613"/>
      <c r="O40" s="792">
        <f t="shared" si="0"/>
        <v>2012</v>
      </c>
      <c r="P40" s="619">
        <f t="shared" si="7"/>
        <v>41091</v>
      </c>
      <c r="Q40" s="764">
        <f t="shared" si="2"/>
        <v>43231</v>
      </c>
      <c r="R40" s="619">
        <f t="shared" si="3"/>
        <v>2140</v>
      </c>
      <c r="S40" s="530">
        <f t="shared" si="4"/>
        <v>5.8590006844626972</v>
      </c>
      <c r="T40" s="611" t="s">
        <v>2612</v>
      </c>
      <c r="U40" s="527"/>
      <c r="V40" s="527" t="s">
        <v>2581</v>
      </c>
      <c r="W40" s="874">
        <v>41091</v>
      </c>
      <c r="X40" s="872" t="s">
        <v>316</v>
      </c>
      <c r="Y40" s="846" t="s">
        <v>2695</v>
      </c>
      <c r="Z40" s="874">
        <v>43231</v>
      </c>
      <c r="AA40" s="530"/>
      <c r="AB40" s="619">
        <f t="shared" si="5"/>
        <v>2140</v>
      </c>
      <c r="AC40" s="530">
        <f t="shared" si="6"/>
        <v>5.8590006844626972</v>
      </c>
      <c r="AD40" s="795">
        <v>1</v>
      </c>
      <c r="AE40" s="795"/>
      <c r="AF40" s="795"/>
      <c r="AG40" s="795"/>
      <c r="AH40" s="527"/>
      <c r="AI40" s="527"/>
      <c r="AJ40" s="874"/>
      <c r="AK40" s="527"/>
      <c r="AL40" s="527"/>
      <c r="AM40" s="527"/>
      <c r="AN40" s="527"/>
      <c r="AO40" s="527"/>
    </row>
    <row r="41" spans="1:41" s="611" customFormat="1" x14ac:dyDescent="0.2">
      <c r="A41" s="527"/>
      <c r="B41" s="807" t="s">
        <v>1949</v>
      </c>
      <c r="C41" s="611" t="s">
        <v>492</v>
      </c>
      <c r="D41" s="851" t="s">
        <v>224</v>
      </c>
      <c r="F41" s="611" t="s">
        <v>1274</v>
      </c>
      <c r="G41" s="611" t="s">
        <v>2340</v>
      </c>
      <c r="I41" s="611">
        <v>2012</v>
      </c>
      <c r="J41" s="793"/>
      <c r="K41" s="793">
        <v>1</v>
      </c>
      <c r="L41" s="613">
        <v>0</v>
      </c>
      <c r="M41" s="533"/>
      <c r="N41" s="613"/>
      <c r="O41" s="792">
        <f t="shared" si="0"/>
        <v>2012</v>
      </c>
      <c r="P41" s="619">
        <f t="shared" si="7"/>
        <v>41091</v>
      </c>
      <c r="Q41" s="764">
        <f t="shared" si="2"/>
        <v>41649</v>
      </c>
      <c r="R41" s="619">
        <f t="shared" si="3"/>
        <v>558</v>
      </c>
      <c r="S41" s="530">
        <f t="shared" si="4"/>
        <v>1.5277207392197125</v>
      </c>
      <c r="T41" s="527"/>
      <c r="U41" s="527"/>
      <c r="V41" s="614" t="s">
        <v>1949</v>
      </c>
      <c r="W41" s="874">
        <v>41258</v>
      </c>
      <c r="X41" s="872" t="s">
        <v>2694</v>
      </c>
      <c r="Y41" s="846" t="s">
        <v>2695</v>
      </c>
      <c r="Z41" s="874">
        <v>41649</v>
      </c>
      <c r="AA41" s="530"/>
      <c r="AB41" s="619">
        <f t="shared" si="5"/>
        <v>391</v>
      </c>
      <c r="AC41" s="530">
        <f t="shared" si="6"/>
        <v>1.0704996577686516</v>
      </c>
      <c r="AD41" s="795">
        <v>1</v>
      </c>
      <c r="AE41" s="795"/>
      <c r="AF41" s="795"/>
      <c r="AG41" s="795"/>
      <c r="AH41" s="527"/>
      <c r="AI41" s="527"/>
      <c r="AJ41" s="874"/>
      <c r="AK41" s="527"/>
      <c r="AL41" s="527"/>
      <c r="AM41" s="527"/>
      <c r="AN41" s="527"/>
      <c r="AO41" s="527"/>
    </row>
    <row r="42" spans="1:41" s="611" customFormat="1" x14ac:dyDescent="0.2">
      <c r="A42" s="728"/>
      <c r="B42" s="807" t="s">
        <v>1943</v>
      </c>
      <c r="C42" s="611" t="s">
        <v>2051</v>
      </c>
      <c r="D42" s="851" t="s">
        <v>224</v>
      </c>
      <c r="F42" s="611" t="s">
        <v>1274</v>
      </c>
      <c r="G42" s="611" t="s">
        <v>2340</v>
      </c>
      <c r="I42" s="611">
        <v>2013</v>
      </c>
      <c r="J42" s="793"/>
      <c r="K42" s="793">
        <v>1</v>
      </c>
      <c r="L42" s="792">
        <v>0</v>
      </c>
      <c r="M42" s="728"/>
      <c r="N42" s="792"/>
      <c r="O42" s="792">
        <f t="shared" si="0"/>
        <v>2013</v>
      </c>
      <c r="P42" s="619">
        <f t="shared" si="7"/>
        <v>41456</v>
      </c>
      <c r="Q42" s="764">
        <f t="shared" si="2"/>
        <v>41608</v>
      </c>
      <c r="R42" s="619">
        <f t="shared" si="3"/>
        <v>152</v>
      </c>
      <c r="S42" s="530">
        <f t="shared" si="4"/>
        <v>0.41615331964407942</v>
      </c>
      <c r="V42" s="527" t="s">
        <v>1943</v>
      </c>
      <c r="W42" s="874">
        <v>41379</v>
      </c>
      <c r="X42" s="872" t="s">
        <v>2694</v>
      </c>
      <c r="Y42" s="846" t="s">
        <v>2695</v>
      </c>
      <c r="Z42" s="874">
        <v>41608</v>
      </c>
      <c r="AA42" s="530"/>
      <c r="AB42" s="619">
        <f t="shared" si="5"/>
        <v>229</v>
      </c>
      <c r="AC42" s="530">
        <f t="shared" si="6"/>
        <v>0.6269678302532512</v>
      </c>
      <c r="AD42" s="795">
        <v>1</v>
      </c>
      <c r="AE42" s="795"/>
      <c r="AF42" s="795"/>
      <c r="AG42" s="795"/>
      <c r="AH42" s="527"/>
      <c r="AI42" s="527"/>
      <c r="AJ42" s="874"/>
      <c r="AK42" s="527"/>
      <c r="AL42" s="527"/>
      <c r="AM42" s="527"/>
      <c r="AN42" s="527"/>
      <c r="AO42" s="527"/>
    </row>
    <row r="43" spans="1:41" s="611" customFormat="1" x14ac:dyDescent="0.2">
      <c r="A43" s="728"/>
      <c r="B43" s="807" t="s">
        <v>1948</v>
      </c>
      <c r="C43" s="527" t="s">
        <v>767</v>
      </c>
      <c r="D43" s="851" t="s">
        <v>224</v>
      </c>
      <c r="F43" s="611" t="s">
        <v>1274</v>
      </c>
      <c r="G43" s="611" t="s">
        <v>2335</v>
      </c>
      <c r="I43" s="611">
        <v>2013</v>
      </c>
      <c r="J43" s="793"/>
      <c r="K43" s="793">
        <v>1</v>
      </c>
      <c r="L43" s="613">
        <v>0</v>
      </c>
      <c r="M43" s="533"/>
      <c r="N43" s="613"/>
      <c r="O43" s="792">
        <f t="shared" si="0"/>
        <v>2013</v>
      </c>
      <c r="P43" s="619">
        <f t="shared" si="7"/>
        <v>41456</v>
      </c>
      <c r="Q43" s="764">
        <f t="shared" si="2"/>
        <v>41608</v>
      </c>
      <c r="R43" s="619">
        <f t="shared" si="3"/>
        <v>152</v>
      </c>
      <c r="S43" s="530">
        <f t="shared" si="4"/>
        <v>0.41615331964407942</v>
      </c>
      <c r="U43" s="527"/>
      <c r="V43" s="614" t="s">
        <v>1948</v>
      </c>
      <c r="W43" s="874">
        <v>41379</v>
      </c>
      <c r="X43" s="872" t="s">
        <v>2694</v>
      </c>
      <c r="Y43" s="846" t="s">
        <v>2695</v>
      </c>
      <c r="Z43" s="874">
        <v>41608</v>
      </c>
      <c r="AA43" s="530"/>
      <c r="AB43" s="619">
        <f t="shared" si="5"/>
        <v>229</v>
      </c>
      <c r="AC43" s="530">
        <f t="shared" si="6"/>
        <v>0.6269678302532512</v>
      </c>
      <c r="AD43" s="795">
        <v>1</v>
      </c>
      <c r="AE43" s="795"/>
      <c r="AF43" s="795"/>
      <c r="AG43" s="795"/>
      <c r="AH43" s="527"/>
      <c r="AI43" s="527"/>
      <c r="AJ43" s="874"/>
      <c r="AK43" s="527"/>
      <c r="AL43" s="527"/>
      <c r="AM43" s="527"/>
      <c r="AN43" s="527"/>
      <c r="AO43" s="527"/>
    </row>
    <row r="44" spans="1:41" s="611" customFormat="1" x14ac:dyDescent="0.2">
      <c r="A44" s="728"/>
      <c r="B44" s="807" t="s">
        <v>1942</v>
      </c>
      <c r="C44" s="611" t="s">
        <v>2051</v>
      </c>
      <c r="D44" s="851" t="s">
        <v>224</v>
      </c>
      <c r="F44" s="611" t="s">
        <v>1274</v>
      </c>
      <c r="G44" s="611" t="s">
        <v>2333</v>
      </c>
      <c r="I44" s="611">
        <v>2013</v>
      </c>
      <c r="J44" s="793"/>
      <c r="K44" s="793">
        <v>1</v>
      </c>
      <c r="L44" s="792">
        <v>0</v>
      </c>
      <c r="M44" s="728"/>
      <c r="N44" s="792"/>
      <c r="O44" s="792">
        <f t="shared" si="0"/>
        <v>2013</v>
      </c>
      <c r="P44" s="619">
        <f t="shared" si="7"/>
        <v>41456</v>
      </c>
      <c r="Q44" s="764">
        <f t="shared" si="2"/>
        <v>41608</v>
      </c>
      <c r="R44" s="619">
        <f t="shared" si="3"/>
        <v>152</v>
      </c>
      <c r="S44" s="530">
        <f t="shared" si="4"/>
        <v>0.41615331964407942</v>
      </c>
      <c r="V44" s="614" t="s">
        <v>1942</v>
      </c>
      <c r="W44" s="874">
        <v>41409</v>
      </c>
      <c r="X44" s="872" t="s">
        <v>2694</v>
      </c>
      <c r="Y44" s="846" t="s">
        <v>2695</v>
      </c>
      <c r="Z44" s="874">
        <v>41608</v>
      </c>
      <c r="AA44" s="530"/>
      <c r="AB44" s="619">
        <f t="shared" si="5"/>
        <v>199</v>
      </c>
      <c r="AC44" s="530">
        <f t="shared" si="6"/>
        <v>0.54483230663928817</v>
      </c>
      <c r="AD44" s="795">
        <v>1</v>
      </c>
      <c r="AE44" s="795"/>
      <c r="AF44" s="795"/>
      <c r="AG44" s="795"/>
      <c r="AH44" s="527"/>
      <c r="AI44" s="527"/>
      <c r="AJ44" s="874"/>
      <c r="AK44" s="527"/>
      <c r="AL44" s="527"/>
      <c r="AM44" s="527"/>
      <c r="AN44" s="527"/>
      <c r="AO44" s="527"/>
    </row>
    <row r="45" spans="1:41" s="611" customFormat="1" x14ac:dyDescent="0.2">
      <c r="A45" s="728"/>
      <c r="B45" s="807" t="s">
        <v>1944</v>
      </c>
      <c r="C45" s="611" t="s">
        <v>2038</v>
      </c>
      <c r="D45" s="851" t="s">
        <v>224</v>
      </c>
      <c r="F45" s="611" t="s">
        <v>1274</v>
      </c>
      <c r="G45" s="611" t="s">
        <v>2343</v>
      </c>
      <c r="I45" s="611">
        <v>2013</v>
      </c>
      <c r="J45" s="793"/>
      <c r="K45" s="793">
        <v>1</v>
      </c>
      <c r="L45" s="792">
        <v>0</v>
      </c>
      <c r="M45" s="728"/>
      <c r="N45" s="792"/>
      <c r="O45" s="792">
        <f t="shared" si="0"/>
        <v>2013</v>
      </c>
      <c r="P45" s="619">
        <f t="shared" si="7"/>
        <v>41456</v>
      </c>
      <c r="Q45" s="764">
        <f t="shared" si="2"/>
        <v>41608</v>
      </c>
      <c r="R45" s="619">
        <f t="shared" si="3"/>
        <v>152</v>
      </c>
      <c r="S45" s="530">
        <f t="shared" si="4"/>
        <v>0.41615331964407942</v>
      </c>
      <c r="V45" s="614" t="s">
        <v>1944</v>
      </c>
      <c r="W45" s="874">
        <v>41440</v>
      </c>
      <c r="X45" s="872" t="s">
        <v>2694</v>
      </c>
      <c r="Y45" s="846" t="s">
        <v>2695</v>
      </c>
      <c r="Z45" s="874">
        <v>41608</v>
      </c>
      <c r="AA45" s="530"/>
      <c r="AB45" s="619">
        <f t="shared" si="5"/>
        <v>168</v>
      </c>
      <c r="AC45" s="530">
        <f t="shared" si="6"/>
        <v>0.45995893223819301</v>
      </c>
      <c r="AD45" s="795">
        <v>1</v>
      </c>
      <c r="AE45" s="795"/>
      <c r="AF45" s="795"/>
      <c r="AG45" s="795"/>
      <c r="AH45" s="527"/>
      <c r="AI45" s="527"/>
      <c r="AJ45" s="874"/>
      <c r="AK45" s="527"/>
      <c r="AL45" s="527"/>
      <c r="AM45" s="527"/>
      <c r="AN45" s="527"/>
      <c r="AO45" s="527"/>
    </row>
    <row r="46" spans="1:41" s="611" customFormat="1" x14ac:dyDescent="0.2">
      <c r="A46" s="728"/>
      <c r="B46" s="807" t="s">
        <v>1945</v>
      </c>
      <c r="C46" s="611" t="s">
        <v>2056</v>
      </c>
      <c r="D46" s="851" t="s">
        <v>224</v>
      </c>
      <c r="F46" s="611" t="s">
        <v>1274</v>
      </c>
      <c r="G46" s="611" t="s">
        <v>2343</v>
      </c>
      <c r="I46" s="611">
        <v>2013</v>
      </c>
      <c r="J46" s="793"/>
      <c r="K46" s="793">
        <v>1</v>
      </c>
      <c r="L46" s="792">
        <v>0</v>
      </c>
      <c r="M46" s="728"/>
      <c r="N46" s="792"/>
      <c r="O46" s="792">
        <f t="shared" si="0"/>
        <v>2013</v>
      </c>
      <c r="P46" s="619">
        <f t="shared" si="7"/>
        <v>41456</v>
      </c>
      <c r="Q46" s="764">
        <f t="shared" si="2"/>
        <v>41608</v>
      </c>
      <c r="R46" s="619">
        <f t="shared" si="3"/>
        <v>152</v>
      </c>
      <c r="S46" s="530">
        <f t="shared" si="4"/>
        <v>0.41615331964407942</v>
      </c>
      <c r="U46" s="527"/>
      <c r="V46" s="527" t="s">
        <v>1945</v>
      </c>
      <c r="W46" s="874">
        <v>41440</v>
      </c>
      <c r="X46" s="872" t="s">
        <v>2694</v>
      </c>
      <c r="Y46" s="846" t="s">
        <v>2695</v>
      </c>
      <c r="Z46" s="874">
        <v>41608</v>
      </c>
      <c r="AA46" s="530"/>
      <c r="AB46" s="619">
        <f t="shared" si="5"/>
        <v>168</v>
      </c>
      <c r="AC46" s="530">
        <f t="shared" si="6"/>
        <v>0.45995893223819301</v>
      </c>
      <c r="AD46" s="795">
        <v>1</v>
      </c>
      <c r="AE46" s="795"/>
      <c r="AF46" s="795"/>
      <c r="AG46" s="795"/>
      <c r="AH46" s="527"/>
      <c r="AI46" s="527"/>
      <c r="AJ46" s="874"/>
      <c r="AK46" s="527"/>
      <c r="AL46" s="527"/>
      <c r="AM46" s="527"/>
      <c r="AN46" s="527"/>
      <c r="AO46" s="527"/>
    </row>
    <row r="47" spans="1:41" s="611" customFormat="1" x14ac:dyDescent="0.2">
      <c r="A47" s="728"/>
      <c r="B47" s="807" t="s">
        <v>1946</v>
      </c>
      <c r="C47" s="611" t="s">
        <v>2038</v>
      </c>
      <c r="D47" s="851" t="s">
        <v>224</v>
      </c>
      <c r="F47" s="611" t="s">
        <v>1274</v>
      </c>
      <c r="G47" s="611" t="s">
        <v>2489</v>
      </c>
      <c r="I47" s="611">
        <v>2013</v>
      </c>
      <c r="J47" s="793"/>
      <c r="K47" s="793"/>
      <c r="L47" s="792">
        <v>0</v>
      </c>
      <c r="M47" s="728"/>
      <c r="N47" s="792"/>
      <c r="O47" s="792">
        <f t="shared" si="0"/>
        <v>2013</v>
      </c>
      <c r="P47" s="619">
        <f t="shared" si="7"/>
        <v>41456</v>
      </c>
      <c r="Q47" s="764">
        <f t="shared" si="2"/>
        <v>41608</v>
      </c>
      <c r="R47" s="619">
        <f t="shared" si="3"/>
        <v>152</v>
      </c>
      <c r="S47" s="530">
        <f t="shared" si="4"/>
        <v>0.41615331964407942</v>
      </c>
      <c r="U47" s="527"/>
      <c r="V47" s="614" t="s">
        <v>1946</v>
      </c>
      <c r="W47" s="874">
        <v>41440</v>
      </c>
      <c r="X47" s="872" t="s">
        <v>2694</v>
      </c>
      <c r="Y47" s="846" t="s">
        <v>2695</v>
      </c>
      <c r="Z47" s="874">
        <v>41608</v>
      </c>
      <c r="AA47" s="530"/>
      <c r="AB47" s="619">
        <f t="shared" si="5"/>
        <v>168</v>
      </c>
      <c r="AC47" s="530">
        <f t="shared" si="6"/>
        <v>0.45995893223819301</v>
      </c>
      <c r="AD47" s="795">
        <v>1</v>
      </c>
      <c r="AE47" s="795"/>
      <c r="AF47" s="795"/>
      <c r="AG47" s="795"/>
      <c r="AH47" s="527"/>
      <c r="AI47" s="527"/>
      <c r="AJ47" s="874"/>
      <c r="AK47" s="527"/>
      <c r="AL47" s="527"/>
      <c r="AM47" s="527"/>
      <c r="AN47" s="527"/>
      <c r="AO47" s="527"/>
    </row>
    <row r="48" spans="1:41" s="611" customFormat="1" x14ac:dyDescent="0.2">
      <c r="A48" s="527"/>
      <c r="B48" s="807" t="s">
        <v>1952</v>
      </c>
      <c r="C48" s="611" t="s">
        <v>2052</v>
      </c>
      <c r="D48" s="851" t="s">
        <v>224</v>
      </c>
      <c r="F48" s="611" t="s">
        <v>1274</v>
      </c>
      <c r="G48" s="611" t="s">
        <v>2343</v>
      </c>
      <c r="I48" s="611">
        <v>2013</v>
      </c>
      <c r="J48" s="793"/>
      <c r="K48" s="793">
        <v>1</v>
      </c>
      <c r="L48" s="613">
        <v>0</v>
      </c>
      <c r="M48" s="533"/>
      <c r="N48" s="613"/>
      <c r="O48" s="792">
        <f t="shared" si="0"/>
        <v>2013</v>
      </c>
      <c r="P48" s="619">
        <f t="shared" si="7"/>
        <v>41456</v>
      </c>
      <c r="Q48" s="764">
        <f t="shared" si="2"/>
        <v>41958</v>
      </c>
      <c r="R48" s="619">
        <f t="shared" si="3"/>
        <v>502</v>
      </c>
      <c r="S48" s="530">
        <f t="shared" si="4"/>
        <v>1.3744010951403149</v>
      </c>
      <c r="T48" s="527"/>
      <c r="U48" s="527"/>
      <c r="V48" s="527" t="s">
        <v>1952</v>
      </c>
      <c r="W48" s="874">
        <v>41440</v>
      </c>
      <c r="X48" s="872" t="s">
        <v>2694</v>
      </c>
      <c r="Y48" s="846" t="s">
        <v>2695</v>
      </c>
      <c r="Z48" s="874">
        <v>41958</v>
      </c>
      <c r="AA48" s="530"/>
      <c r="AB48" s="619">
        <f t="shared" si="5"/>
        <v>518</v>
      </c>
      <c r="AC48" s="530">
        <f t="shared" si="6"/>
        <v>1.4182067077344285</v>
      </c>
      <c r="AD48" s="795">
        <v>1</v>
      </c>
      <c r="AE48" s="795"/>
      <c r="AF48" s="795"/>
      <c r="AG48" s="795"/>
      <c r="AH48" s="527"/>
      <c r="AI48" s="527"/>
      <c r="AJ48" s="874"/>
      <c r="AK48" s="527"/>
      <c r="AL48" s="527"/>
      <c r="AM48" s="527"/>
      <c r="AN48" s="527"/>
      <c r="AO48" s="527"/>
    </row>
    <row r="49" spans="1:41" s="611" customFormat="1" x14ac:dyDescent="0.2">
      <c r="A49" s="527"/>
      <c r="B49" s="807" t="s">
        <v>1953</v>
      </c>
      <c r="C49" s="611" t="s">
        <v>2085</v>
      </c>
      <c r="D49" s="851" t="s">
        <v>224</v>
      </c>
      <c r="E49" s="611" t="s">
        <v>2323</v>
      </c>
      <c r="F49" s="611" t="s">
        <v>1274</v>
      </c>
      <c r="I49" s="611">
        <v>2013</v>
      </c>
      <c r="J49" s="793"/>
      <c r="K49" s="793"/>
      <c r="L49" s="613">
        <v>0</v>
      </c>
      <c r="M49" s="533"/>
      <c r="N49" s="613"/>
      <c r="O49" s="792">
        <f t="shared" si="0"/>
        <v>2013</v>
      </c>
      <c r="P49" s="619">
        <f t="shared" si="7"/>
        <v>41456</v>
      </c>
      <c r="Q49" s="764">
        <f t="shared" si="2"/>
        <v>41669</v>
      </c>
      <c r="R49" s="619">
        <f t="shared" si="3"/>
        <v>213</v>
      </c>
      <c r="S49" s="530">
        <f t="shared" si="4"/>
        <v>0.58316221765913756</v>
      </c>
      <c r="T49" s="527"/>
      <c r="U49" s="527"/>
      <c r="V49" s="614" t="s">
        <v>1953</v>
      </c>
      <c r="W49" s="874">
        <v>41456</v>
      </c>
      <c r="X49" s="872" t="s">
        <v>316</v>
      </c>
      <c r="Y49" s="846" t="s">
        <v>2695</v>
      </c>
      <c r="Z49" s="874">
        <v>41669</v>
      </c>
      <c r="AA49" s="530"/>
      <c r="AB49" s="619">
        <f t="shared" si="5"/>
        <v>213</v>
      </c>
      <c r="AC49" s="530">
        <f t="shared" si="6"/>
        <v>0.58316221765913756</v>
      </c>
      <c r="AD49" s="795">
        <v>1</v>
      </c>
      <c r="AE49" s="795"/>
      <c r="AF49" s="795"/>
      <c r="AG49" s="795"/>
      <c r="AH49" s="527"/>
      <c r="AI49" s="527"/>
      <c r="AJ49" s="874"/>
      <c r="AK49" s="527"/>
      <c r="AL49" s="527"/>
      <c r="AM49" s="527"/>
      <c r="AN49" s="527"/>
      <c r="AO49" s="527"/>
    </row>
    <row r="50" spans="1:41" s="611" customFormat="1" x14ac:dyDescent="0.2">
      <c r="A50" s="527"/>
      <c r="B50" s="807" t="s">
        <v>1955</v>
      </c>
      <c r="C50" s="611" t="s">
        <v>2084</v>
      </c>
      <c r="D50" s="851" t="s">
        <v>224</v>
      </c>
      <c r="F50" s="611" t="s">
        <v>1274</v>
      </c>
      <c r="G50" s="611" t="s">
        <v>2317</v>
      </c>
      <c r="I50" s="611">
        <v>2013</v>
      </c>
      <c r="J50" s="793"/>
      <c r="K50" s="793"/>
      <c r="L50" s="613">
        <v>0</v>
      </c>
      <c r="M50" s="533"/>
      <c r="N50" s="613"/>
      <c r="O50" s="792">
        <f t="shared" si="0"/>
        <v>2013</v>
      </c>
      <c r="P50" s="619">
        <f t="shared" si="7"/>
        <v>41456</v>
      </c>
      <c r="Q50" s="764">
        <f t="shared" si="2"/>
        <v>41709</v>
      </c>
      <c r="R50" s="619">
        <f t="shared" si="3"/>
        <v>253</v>
      </c>
      <c r="S50" s="530">
        <f t="shared" si="4"/>
        <v>0.69267624914442161</v>
      </c>
      <c r="T50" s="527"/>
      <c r="U50" s="527"/>
      <c r="V50" s="527" t="s">
        <v>1955</v>
      </c>
      <c r="W50" s="874">
        <v>41456</v>
      </c>
      <c r="X50" s="872" t="s">
        <v>316</v>
      </c>
      <c r="Y50" s="846" t="s">
        <v>2695</v>
      </c>
      <c r="Z50" s="874">
        <v>41709</v>
      </c>
      <c r="AA50" s="530"/>
      <c r="AB50" s="619">
        <f t="shared" si="5"/>
        <v>253</v>
      </c>
      <c r="AC50" s="530">
        <f t="shared" si="6"/>
        <v>0.69267624914442161</v>
      </c>
      <c r="AD50" s="795">
        <v>1</v>
      </c>
      <c r="AE50" s="795"/>
      <c r="AF50" s="795"/>
      <c r="AG50" s="795"/>
      <c r="AH50" s="527"/>
      <c r="AI50" s="527"/>
      <c r="AJ50" s="874"/>
      <c r="AK50" s="527"/>
      <c r="AL50" s="527"/>
      <c r="AM50" s="527"/>
      <c r="AN50" s="527"/>
      <c r="AO50" s="527"/>
    </row>
    <row r="51" spans="1:41" s="611" customFormat="1" x14ac:dyDescent="0.2">
      <c r="A51" s="527"/>
      <c r="B51" s="533" t="s">
        <v>2625</v>
      </c>
      <c r="C51" s="527"/>
      <c r="D51" s="851" t="s">
        <v>224</v>
      </c>
      <c r="G51" s="611" t="s">
        <v>2317</v>
      </c>
      <c r="H51" s="527"/>
      <c r="I51" s="527">
        <v>2013</v>
      </c>
      <c r="J51" s="793"/>
      <c r="K51" s="793"/>
      <c r="L51" s="613"/>
      <c r="M51" s="533" t="s">
        <v>2470</v>
      </c>
      <c r="N51" s="613"/>
      <c r="O51" s="792">
        <f t="shared" si="0"/>
        <v>2013</v>
      </c>
      <c r="P51" s="619">
        <f t="shared" si="7"/>
        <v>41456</v>
      </c>
      <c r="Q51" s="764">
        <f t="shared" si="2"/>
        <v>43366</v>
      </c>
      <c r="R51" s="619">
        <f t="shared" si="3"/>
        <v>1910</v>
      </c>
      <c r="S51" s="530">
        <f t="shared" si="4"/>
        <v>5.2292950034223136</v>
      </c>
      <c r="T51" s="527" t="s">
        <v>2626</v>
      </c>
      <c r="U51" s="527"/>
      <c r="V51" s="527" t="s">
        <v>2625</v>
      </c>
      <c r="W51" s="874">
        <v>41456</v>
      </c>
      <c r="X51" s="872" t="s">
        <v>316</v>
      </c>
      <c r="Y51" s="846" t="s">
        <v>2695</v>
      </c>
      <c r="Z51" s="874">
        <v>43366</v>
      </c>
      <c r="AA51" s="530"/>
      <c r="AB51" s="619">
        <f t="shared" si="5"/>
        <v>1910</v>
      </c>
      <c r="AC51" s="530">
        <f t="shared" si="6"/>
        <v>5.2292950034223136</v>
      </c>
      <c r="AD51" s="795">
        <v>1</v>
      </c>
      <c r="AE51" s="795"/>
      <c r="AF51" s="795"/>
      <c r="AG51" s="795"/>
      <c r="AH51" s="527"/>
      <c r="AI51" s="527"/>
      <c r="AJ51" s="874"/>
      <c r="AK51" s="527"/>
      <c r="AL51" s="527"/>
      <c r="AM51" s="527"/>
      <c r="AN51" s="527"/>
      <c r="AO51" s="527"/>
    </row>
    <row r="52" spans="1:41" s="611" customFormat="1" x14ac:dyDescent="0.2">
      <c r="A52" s="527"/>
      <c r="B52" s="807" t="s">
        <v>1957</v>
      </c>
      <c r="C52" s="527" t="s">
        <v>2053</v>
      </c>
      <c r="D52" s="851" t="s">
        <v>224</v>
      </c>
      <c r="F52" s="611" t="s">
        <v>1274</v>
      </c>
      <c r="G52" s="611" t="s">
        <v>2489</v>
      </c>
      <c r="I52" s="611">
        <v>2014</v>
      </c>
      <c r="J52" s="793"/>
      <c r="K52" s="793">
        <v>1</v>
      </c>
      <c r="L52" s="613">
        <v>0</v>
      </c>
      <c r="M52" s="533"/>
      <c r="N52" s="613"/>
      <c r="O52" s="792">
        <f t="shared" si="0"/>
        <v>2014</v>
      </c>
      <c r="P52" s="619">
        <f t="shared" si="7"/>
        <v>41821</v>
      </c>
      <c r="Q52" s="764">
        <f t="shared" si="2"/>
        <v>41813</v>
      </c>
      <c r="R52" s="619">
        <f t="shared" si="3"/>
        <v>-8</v>
      </c>
      <c r="S52" s="530">
        <f t="shared" si="4"/>
        <v>-2.190280629705681E-2</v>
      </c>
      <c r="T52" s="527"/>
      <c r="U52" s="527"/>
      <c r="V52" s="614" t="s">
        <v>1957</v>
      </c>
      <c r="W52" s="874">
        <v>41487</v>
      </c>
      <c r="X52" s="872" t="s">
        <v>316</v>
      </c>
      <c r="Y52" s="846" t="s">
        <v>2695</v>
      </c>
      <c r="Z52" s="874">
        <v>41813</v>
      </c>
      <c r="AA52" s="530"/>
      <c r="AB52" s="619">
        <f t="shared" si="5"/>
        <v>326</v>
      </c>
      <c r="AC52" s="530">
        <f t="shared" si="6"/>
        <v>0.892539356605065</v>
      </c>
      <c r="AD52" s="795">
        <v>1</v>
      </c>
      <c r="AE52" s="795"/>
      <c r="AF52" s="795"/>
      <c r="AG52" s="795"/>
      <c r="AH52" s="527"/>
      <c r="AI52" s="527"/>
      <c r="AJ52" s="874"/>
      <c r="AK52" s="527"/>
      <c r="AL52" s="527"/>
      <c r="AM52" s="527"/>
      <c r="AN52" s="527"/>
      <c r="AO52" s="527"/>
    </row>
    <row r="53" spans="1:41" s="611" customFormat="1" x14ac:dyDescent="0.2">
      <c r="A53" s="527"/>
      <c r="B53" s="807" t="s">
        <v>1950</v>
      </c>
      <c r="C53" s="611" t="s">
        <v>492</v>
      </c>
      <c r="D53" s="851" t="s">
        <v>224</v>
      </c>
      <c r="E53" s="611" t="s">
        <v>2345</v>
      </c>
      <c r="F53" s="611" t="s">
        <v>1274</v>
      </c>
      <c r="G53" s="611" t="s">
        <v>2333</v>
      </c>
      <c r="I53" s="611">
        <v>2013</v>
      </c>
      <c r="J53" s="793"/>
      <c r="K53" s="793">
        <v>1</v>
      </c>
      <c r="L53" s="613">
        <v>0</v>
      </c>
      <c r="M53" s="533"/>
      <c r="N53" s="613"/>
      <c r="O53" s="792">
        <f t="shared" si="0"/>
        <v>2013</v>
      </c>
      <c r="P53" s="619">
        <f t="shared" si="7"/>
        <v>41456</v>
      </c>
      <c r="Q53" s="764">
        <f t="shared" si="2"/>
        <v>41649</v>
      </c>
      <c r="R53" s="619">
        <f t="shared" si="3"/>
        <v>193</v>
      </c>
      <c r="S53" s="530">
        <f t="shared" si="4"/>
        <v>0.52840520191649554</v>
      </c>
      <c r="T53" s="527"/>
      <c r="U53" s="527"/>
      <c r="V53" s="614" t="s">
        <v>1950</v>
      </c>
      <c r="W53" s="874">
        <v>41532</v>
      </c>
      <c r="X53" s="872" t="s">
        <v>2694</v>
      </c>
      <c r="Y53" s="846" t="s">
        <v>2695</v>
      </c>
      <c r="Z53" s="874">
        <v>41649</v>
      </c>
      <c r="AA53" s="530"/>
      <c r="AB53" s="619">
        <f t="shared" si="5"/>
        <v>117</v>
      </c>
      <c r="AC53" s="530">
        <f t="shared" si="6"/>
        <v>0.32032854209445583</v>
      </c>
      <c r="AD53" s="795">
        <v>1</v>
      </c>
      <c r="AE53" s="795"/>
      <c r="AF53" s="795"/>
      <c r="AG53" s="795"/>
      <c r="AH53" s="527"/>
      <c r="AI53" s="527"/>
      <c r="AJ53" s="874"/>
      <c r="AK53" s="527"/>
      <c r="AL53" s="527"/>
      <c r="AM53" s="527"/>
      <c r="AN53" s="527"/>
      <c r="AO53" s="527"/>
    </row>
    <row r="54" spans="1:41" s="611" customFormat="1" x14ac:dyDescent="0.2">
      <c r="A54" s="527"/>
      <c r="B54" s="807" t="s">
        <v>1954</v>
      </c>
      <c r="C54" s="611" t="s">
        <v>2053</v>
      </c>
      <c r="D54" s="851" t="s">
        <v>224</v>
      </c>
      <c r="E54" s="611" t="s">
        <v>2347</v>
      </c>
      <c r="F54" s="611" t="s">
        <v>1274</v>
      </c>
      <c r="G54" s="611" t="s">
        <v>2335</v>
      </c>
      <c r="I54" s="611">
        <v>2013</v>
      </c>
      <c r="J54" s="793">
        <v>1</v>
      </c>
      <c r="K54" s="793">
        <v>1</v>
      </c>
      <c r="L54" s="613">
        <v>0</v>
      </c>
      <c r="M54" s="533"/>
      <c r="N54" s="613"/>
      <c r="O54" s="792">
        <f t="shared" si="0"/>
        <v>2013</v>
      </c>
      <c r="P54" s="619">
        <f t="shared" si="7"/>
        <v>41456</v>
      </c>
      <c r="Q54" s="764">
        <f t="shared" si="2"/>
        <v>41958</v>
      </c>
      <c r="R54" s="619">
        <f t="shared" si="3"/>
        <v>502</v>
      </c>
      <c r="S54" s="530">
        <f t="shared" si="4"/>
        <v>1.3744010951403149</v>
      </c>
      <c r="T54" s="527"/>
      <c r="U54" s="527"/>
      <c r="V54" s="614" t="s">
        <v>1954</v>
      </c>
      <c r="W54" s="874">
        <v>41623</v>
      </c>
      <c r="X54" s="872" t="s">
        <v>2694</v>
      </c>
      <c r="Y54" s="846" t="s">
        <v>2695</v>
      </c>
      <c r="Z54" s="874">
        <v>41958</v>
      </c>
      <c r="AA54" s="530"/>
      <c r="AB54" s="619">
        <f t="shared" si="5"/>
        <v>335</v>
      </c>
      <c r="AC54" s="530">
        <f t="shared" si="6"/>
        <v>0.91718001368925395</v>
      </c>
      <c r="AD54" s="795">
        <v>1</v>
      </c>
      <c r="AE54" s="795"/>
      <c r="AF54" s="795"/>
      <c r="AG54" s="795"/>
      <c r="AH54" s="527"/>
      <c r="AI54" s="527"/>
      <c r="AJ54" s="874"/>
      <c r="AK54" s="527"/>
      <c r="AL54" s="527"/>
      <c r="AM54" s="527"/>
      <c r="AN54" s="527"/>
      <c r="AO54" s="527"/>
    </row>
    <row r="55" spans="1:41" s="611" customFormat="1" x14ac:dyDescent="0.2">
      <c r="A55" s="527"/>
      <c r="B55" s="807" t="s">
        <v>1956</v>
      </c>
      <c r="C55" s="611" t="s">
        <v>2038</v>
      </c>
      <c r="D55" s="851" t="s">
        <v>224</v>
      </c>
      <c r="F55" s="611" t="s">
        <v>1274</v>
      </c>
      <c r="G55" s="611" t="s">
        <v>2348</v>
      </c>
      <c r="I55" s="611">
        <v>2014</v>
      </c>
      <c r="J55" s="793"/>
      <c r="K55" s="793">
        <v>1</v>
      </c>
      <c r="L55" s="613">
        <v>0</v>
      </c>
      <c r="M55" s="533"/>
      <c r="N55" s="613"/>
      <c r="O55" s="792">
        <f t="shared" si="0"/>
        <v>2014</v>
      </c>
      <c r="P55" s="619">
        <f t="shared" si="7"/>
        <v>41821</v>
      </c>
      <c r="Q55" s="764">
        <f t="shared" si="2"/>
        <v>41953</v>
      </c>
      <c r="R55" s="619">
        <f t="shared" si="3"/>
        <v>132</v>
      </c>
      <c r="S55" s="530">
        <f t="shared" si="4"/>
        <v>0.3613963039014374</v>
      </c>
      <c r="T55" s="527"/>
      <c r="U55" s="527"/>
      <c r="V55" s="527" t="s">
        <v>1956</v>
      </c>
      <c r="W55" s="874">
        <v>41684</v>
      </c>
      <c r="X55" s="872" t="s">
        <v>2694</v>
      </c>
      <c r="Y55" s="846" t="s">
        <v>2695</v>
      </c>
      <c r="Z55" s="874">
        <v>41953</v>
      </c>
      <c r="AA55" s="530"/>
      <c r="AB55" s="619">
        <f t="shared" si="5"/>
        <v>269</v>
      </c>
      <c r="AC55" s="530">
        <f t="shared" si="6"/>
        <v>0.73648186173853525</v>
      </c>
      <c r="AD55" s="795">
        <v>1</v>
      </c>
      <c r="AE55" s="795"/>
      <c r="AF55" s="795"/>
      <c r="AG55" s="795"/>
      <c r="AH55" s="527"/>
      <c r="AI55" s="527"/>
      <c r="AJ55" s="874"/>
      <c r="AK55" s="527"/>
      <c r="AL55" s="527"/>
      <c r="AM55" s="527"/>
      <c r="AN55" s="527"/>
      <c r="AO55" s="527"/>
    </row>
    <row r="56" spans="1:41" s="611" customFormat="1" x14ac:dyDescent="0.2">
      <c r="A56" s="527"/>
      <c r="B56" s="807" t="s">
        <v>1958</v>
      </c>
      <c r="C56" s="527" t="s">
        <v>2053</v>
      </c>
      <c r="D56" s="851" t="s">
        <v>224</v>
      </c>
      <c r="E56" s="611" t="s">
        <v>1786</v>
      </c>
      <c r="F56" s="611" t="s">
        <v>1274</v>
      </c>
      <c r="G56" s="611" t="s">
        <v>2349</v>
      </c>
      <c r="I56" s="611">
        <v>2014</v>
      </c>
      <c r="J56" s="793"/>
      <c r="K56" s="793">
        <v>1</v>
      </c>
      <c r="L56" s="613">
        <v>0</v>
      </c>
      <c r="M56" s="533"/>
      <c r="N56" s="613"/>
      <c r="O56" s="792">
        <f t="shared" si="0"/>
        <v>2014</v>
      </c>
      <c r="P56" s="619">
        <f t="shared" si="7"/>
        <v>41821</v>
      </c>
      <c r="Q56" s="764">
        <f t="shared" si="2"/>
        <v>41953</v>
      </c>
      <c r="R56" s="619">
        <f t="shared" si="3"/>
        <v>132</v>
      </c>
      <c r="S56" s="530">
        <f t="shared" si="4"/>
        <v>0.3613963039014374</v>
      </c>
      <c r="T56" s="527"/>
      <c r="U56" s="527"/>
      <c r="V56" s="614" t="s">
        <v>1958</v>
      </c>
      <c r="W56" s="874">
        <v>41684</v>
      </c>
      <c r="X56" s="872" t="s">
        <v>2694</v>
      </c>
      <c r="Y56" s="846" t="s">
        <v>2695</v>
      </c>
      <c r="Z56" s="874">
        <v>41953</v>
      </c>
      <c r="AA56" s="530"/>
      <c r="AB56" s="619">
        <f t="shared" si="5"/>
        <v>269</v>
      </c>
      <c r="AC56" s="530">
        <f t="shared" si="6"/>
        <v>0.73648186173853525</v>
      </c>
      <c r="AD56" s="795">
        <v>1</v>
      </c>
      <c r="AE56" s="795"/>
      <c r="AF56" s="795"/>
      <c r="AG56" s="795"/>
      <c r="AH56" s="527"/>
      <c r="AI56" s="527"/>
      <c r="AJ56" s="874"/>
      <c r="AK56" s="527"/>
      <c r="AL56" s="527"/>
      <c r="AM56" s="527"/>
      <c r="AN56" s="527"/>
      <c r="AO56" s="527"/>
    </row>
    <row r="57" spans="1:41" s="611" customFormat="1" x14ac:dyDescent="0.2">
      <c r="A57" s="527"/>
      <c r="B57" s="807" t="s">
        <v>1979</v>
      </c>
      <c r="C57" s="527" t="s">
        <v>2038</v>
      </c>
      <c r="D57" s="851" t="s">
        <v>224</v>
      </c>
      <c r="F57" s="611" t="s">
        <v>1274</v>
      </c>
      <c r="G57" s="611" t="s">
        <v>2356</v>
      </c>
      <c r="I57" s="611">
        <v>2014</v>
      </c>
      <c r="J57" s="793"/>
      <c r="K57" s="793">
        <v>1</v>
      </c>
      <c r="L57" s="792"/>
      <c r="M57" s="728"/>
      <c r="N57" s="792"/>
      <c r="O57" s="792">
        <f t="shared" si="0"/>
        <v>2014</v>
      </c>
      <c r="P57" s="619">
        <f t="shared" si="7"/>
        <v>41821</v>
      </c>
      <c r="Q57" s="764">
        <f t="shared" si="2"/>
        <v>42147</v>
      </c>
      <c r="R57" s="619">
        <f t="shared" si="3"/>
        <v>326</v>
      </c>
      <c r="S57" s="530">
        <f t="shared" si="4"/>
        <v>0.892539356605065</v>
      </c>
      <c r="T57" s="527"/>
      <c r="U57" s="527"/>
      <c r="V57" s="527" t="s">
        <v>1979</v>
      </c>
      <c r="W57" s="874">
        <v>41744</v>
      </c>
      <c r="X57" s="872" t="s">
        <v>2694</v>
      </c>
      <c r="Y57" s="846" t="s">
        <v>2695</v>
      </c>
      <c r="Z57" s="874">
        <v>42147</v>
      </c>
      <c r="AA57" s="530"/>
      <c r="AB57" s="619">
        <f t="shared" si="5"/>
        <v>403</v>
      </c>
      <c r="AC57" s="530">
        <f t="shared" si="6"/>
        <v>1.1033538672142369</v>
      </c>
      <c r="AD57" s="795">
        <v>1</v>
      </c>
      <c r="AE57" s="795"/>
      <c r="AF57" s="795"/>
      <c r="AG57" s="795"/>
      <c r="AH57" s="527"/>
      <c r="AI57" s="527"/>
      <c r="AJ57" s="874"/>
      <c r="AK57" s="527"/>
      <c r="AL57" s="527"/>
      <c r="AM57" s="527"/>
      <c r="AN57" s="527"/>
      <c r="AO57" s="527"/>
    </row>
    <row r="58" spans="1:41" s="611" customFormat="1" x14ac:dyDescent="0.2">
      <c r="A58" s="527"/>
      <c r="B58" s="807" t="s">
        <v>1963</v>
      </c>
      <c r="C58" s="527" t="s">
        <v>2038</v>
      </c>
      <c r="D58" s="851" t="s">
        <v>224</v>
      </c>
      <c r="F58" s="611" t="s">
        <v>1274</v>
      </c>
      <c r="G58" s="611" t="s">
        <v>2315</v>
      </c>
      <c r="I58" s="611">
        <v>2014</v>
      </c>
      <c r="J58" s="793"/>
      <c r="K58" s="793">
        <v>1</v>
      </c>
      <c r="L58" s="613">
        <v>0</v>
      </c>
      <c r="M58" s="533"/>
      <c r="N58" s="613"/>
      <c r="O58" s="792">
        <f t="shared" si="0"/>
        <v>2014</v>
      </c>
      <c r="P58" s="619">
        <f t="shared" si="7"/>
        <v>41821</v>
      </c>
      <c r="Q58" s="764">
        <f t="shared" si="2"/>
        <v>41968</v>
      </c>
      <c r="R58" s="619">
        <f t="shared" si="3"/>
        <v>147</v>
      </c>
      <c r="S58" s="530">
        <f t="shared" si="4"/>
        <v>0.40246406570841892</v>
      </c>
      <c r="T58" s="527"/>
      <c r="U58" s="527"/>
      <c r="V58" s="614" t="s">
        <v>1963</v>
      </c>
      <c r="W58" s="874">
        <v>41774</v>
      </c>
      <c r="X58" s="872" t="s">
        <v>2694</v>
      </c>
      <c r="Y58" s="846" t="s">
        <v>2695</v>
      </c>
      <c r="Z58" s="874">
        <v>41968</v>
      </c>
      <c r="AA58" s="530"/>
      <c r="AB58" s="619">
        <f t="shared" si="5"/>
        <v>194</v>
      </c>
      <c r="AC58" s="530">
        <f t="shared" si="6"/>
        <v>0.53114305270362761</v>
      </c>
      <c r="AD58" s="795">
        <v>1</v>
      </c>
      <c r="AE58" s="795"/>
      <c r="AF58" s="795"/>
      <c r="AG58" s="795"/>
      <c r="AH58" s="527"/>
      <c r="AI58" s="527"/>
      <c r="AJ58" s="874"/>
      <c r="AK58" s="527"/>
      <c r="AL58" s="527"/>
      <c r="AM58" s="527"/>
      <c r="AN58" s="527"/>
      <c r="AO58" s="527"/>
    </row>
    <row r="59" spans="1:41" s="611" customFormat="1" x14ac:dyDescent="0.2">
      <c r="A59" s="527"/>
      <c r="B59" s="807" t="s">
        <v>1959</v>
      </c>
      <c r="C59" s="527" t="s">
        <v>2039</v>
      </c>
      <c r="D59" s="851" t="s">
        <v>224</v>
      </c>
      <c r="F59" s="611" t="s">
        <v>1274</v>
      </c>
      <c r="G59" s="611" t="s">
        <v>2340</v>
      </c>
      <c r="I59" s="611">
        <v>2014</v>
      </c>
      <c r="J59" s="793"/>
      <c r="K59" s="793">
        <v>1</v>
      </c>
      <c r="L59" s="613">
        <v>0</v>
      </c>
      <c r="M59" s="533"/>
      <c r="N59" s="613"/>
      <c r="O59" s="792">
        <f t="shared" si="0"/>
        <v>2014</v>
      </c>
      <c r="P59" s="619">
        <f t="shared" si="7"/>
        <v>41821</v>
      </c>
      <c r="Q59" s="764">
        <f t="shared" si="2"/>
        <v>41942</v>
      </c>
      <c r="R59" s="619">
        <f t="shared" si="3"/>
        <v>121</v>
      </c>
      <c r="S59" s="530">
        <f t="shared" si="4"/>
        <v>0.33127994524298426</v>
      </c>
      <c r="T59" s="527"/>
      <c r="U59" s="527"/>
      <c r="V59" s="527" t="s">
        <v>1959</v>
      </c>
      <c r="W59" s="874">
        <v>41805</v>
      </c>
      <c r="X59" s="872" t="s">
        <v>2694</v>
      </c>
      <c r="Y59" s="846" t="s">
        <v>2695</v>
      </c>
      <c r="Z59" s="874">
        <v>41942</v>
      </c>
      <c r="AA59" s="530"/>
      <c r="AB59" s="619">
        <f t="shared" si="5"/>
        <v>137</v>
      </c>
      <c r="AC59" s="530">
        <f t="shared" si="6"/>
        <v>0.3750855578370979</v>
      </c>
      <c r="AD59" s="795">
        <v>1</v>
      </c>
      <c r="AE59" s="795"/>
      <c r="AF59" s="795"/>
      <c r="AG59" s="795"/>
      <c r="AH59" s="527"/>
      <c r="AI59" s="527"/>
      <c r="AJ59" s="874"/>
      <c r="AK59" s="527"/>
      <c r="AL59" s="527"/>
      <c r="AM59" s="527"/>
      <c r="AN59" s="527"/>
      <c r="AO59" s="527"/>
    </row>
    <row r="60" spans="1:41" s="611" customFormat="1" x14ac:dyDescent="0.2">
      <c r="A60" s="527"/>
      <c r="B60" s="807" t="s">
        <v>1965</v>
      </c>
      <c r="C60" s="527" t="s">
        <v>2053</v>
      </c>
      <c r="D60" s="851" t="s">
        <v>224</v>
      </c>
      <c r="F60" s="611" t="s">
        <v>1274</v>
      </c>
      <c r="G60" s="611" t="s">
        <v>2319</v>
      </c>
      <c r="I60" s="611">
        <v>2014</v>
      </c>
      <c r="J60" s="793"/>
      <c r="K60" s="793">
        <v>1</v>
      </c>
      <c r="L60" s="613">
        <v>0</v>
      </c>
      <c r="M60" s="533"/>
      <c r="N60" s="613"/>
      <c r="O60" s="792">
        <f t="shared" si="0"/>
        <v>2014</v>
      </c>
      <c r="P60" s="619">
        <f t="shared" si="7"/>
        <v>41821</v>
      </c>
      <c r="Q60" s="764">
        <f t="shared" si="2"/>
        <v>41985</v>
      </c>
      <c r="R60" s="619">
        <f t="shared" si="3"/>
        <v>164</v>
      </c>
      <c r="S60" s="530">
        <f t="shared" si="4"/>
        <v>0.44900752908966463</v>
      </c>
      <c r="T60" s="527"/>
      <c r="U60" s="527"/>
      <c r="V60" s="527" t="s">
        <v>1965</v>
      </c>
      <c r="W60" s="874">
        <v>41805</v>
      </c>
      <c r="X60" s="872" t="s">
        <v>2694</v>
      </c>
      <c r="Y60" s="846" t="s">
        <v>2695</v>
      </c>
      <c r="Z60" s="874">
        <v>41985</v>
      </c>
      <c r="AA60" s="530"/>
      <c r="AB60" s="619">
        <f t="shared" si="5"/>
        <v>180</v>
      </c>
      <c r="AC60" s="530">
        <f t="shared" si="6"/>
        <v>0.49281314168377821</v>
      </c>
      <c r="AD60" s="795">
        <v>1</v>
      </c>
      <c r="AE60" s="795"/>
      <c r="AF60" s="795"/>
      <c r="AG60" s="795"/>
      <c r="AH60" s="527"/>
      <c r="AI60" s="527"/>
      <c r="AJ60" s="874"/>
      <c r="AK60" s="527"/>
      <c r="AL60" s="527"/>
      <c r="AM60" s="527"/>
      <c r="AN60" s="527"/>
      <c r="AO60" s="527"/>
    </row>
    <row r="61" spans="1:41" s="611" customFormat="1" x14ac:dyDescent="0.2">
      <c r="A61" s="527"/>
      <c r="B61" s="807" t="s">
        <v>1865</v>
      </c>
      <c r="C61" s="527" t="s">
        <v>2038</v>
      </c>
      <c r="D61" s="851" t="s">
        <v>224</v>
      </c>
      <c r="F61" s="611" t="s">
        <v>1274</v>
      </c>
      <c r="G61" s="611" t="s">
        <v>1786</v>
      </c>
      <c r="I61" s="611">
        <v>2014</v>
      </c>
      <c r="J61" s="793"/>
      <c r="K61" s="793"/>
      <c r="L61" s="792"/>
      <c r="M61" s="728"/>
      <c r="N61" s="792"/>
      <c r="O61" s="792">
        <f t="shared" si="0"/>
        <v>2014</v>
      </c>
      <c r="P61" s="619">
        <f t="shared" si="7"/>
        <v>41821</v>
      </c>
      <c r="Q61" s="764">
        <f t="shared" si="2"/>
        <v>42125</v>
      </c>
      <c r="R61" s="619">
        <f t="shared" si="3"/>
        <v>304</v>
      </c>
      <c r="S61" s="530">
        <f t="shared" si="4"/>
        <v>0.83230663928815884</v>
      </c>
      <c r="T61" s="527"/>
      <c r="U61" s="527"/>
      <c r="V61" s="527" t="s">
        <v>1865</v>
      </c>
      <c r="W61" s="874">
        <v>41805</v>
      </c>
      <c r="X61" s="872" t="s">
        <v>2694</v>
      </c>
      <c r="Y61" s="846" t="s">
        <v>2695</v>
      </c>
      <c r="Z61" s="874">
        <v>42125</v>
      </c>
      <c r="AA61" s="530"/>
      <c r="AB61" s="619">
        <f t="shared" si="5"/>
        <v>320</v>
      </c>
      <c r="AC61" s="530">
        <f t="shared" si="6"/>
        <v>0.87611225188227237</v>
      </c>
      <c r="AD61" s="795">
        <v>1</v>
      </c>
      <c r="AE61" s="795"/>
      <c r="AF61" s="795"/>
      <c r="AG61" s="795"/>
      <c r="AH61" s="527"/>
      <c r="AI61" s="527"/>
      <c r="AJ61" s="874"/>
      <c r="AK61" s="527"/>
      <c r="AL61" s="527"/>
      <c r="AM61" s="527"/>
      <c r="AN61" s="527"/>
      <c r="AO61" s="527"/>
    </row>
    <row r="62" spans="1:41" s="611" customFormat="1" x14ac:dyDescent="0.2">
      <c r="A62" s="527"/>
      <c r="B62" s="807" t="s">
        <v>1960</v>
      </c>
      <c r="C62" s="527" t="s">
        <v>2043</v>
      </c>
      <c r="D62" s="851" t="s">
        <v>224</v>
      </c>
      <c r="F62" s="611" t="s">
        <v>1274</v>
      </c>
      <c r="G62" s="611" t="s">
        <v>2317</v>
      </c>
      <c r="I62" s="611">
        <v>2014</v>
      </c>
      <c r="J62" s="793"/>
      <c r="K62" s="793"/>
      <c r="L62" s="613">
        <v>0</v>
      </c>
      <c r="M62" s="533"/>
      <c r="N62" s="613"/>
      <c r="O62" s="792">
        <f t="shared" si="0"/>
        <v>2014</v>
      </c>
      <c r="P62" s="619">
        <f t="shared" si="7"/>
        <v>41821</v>
      </c>
      <c r="Q62" s="764">
        <f t="shared" si="2"/>
        <v>41946</v>
      </c>
      <c r="R62" s="619">
        <f t="shared" si="3"/>
        <v>125</v>
      </c>
      <c r="S62" s="530">
        <f t="shared" si="4"/>
        <v>0.34223134839151265</v>
      </c>
      <c r="T62" s="527"/>
      <c r="U62" s="527"/>
      <c r="V62" s="527" t="s">
        <v>1960</v>
      </c>
      <c r="W62" s="874">
        <v>41821</v>
      </c>
      <c r="X62" s="872" t="s">
        <v>316</v>
      </c>
      <c r="Y62" s="846" t="s">
        <v>2695</v>
      </c>
      <c r="Z62" s="874">
        <v>41946</v>
      </c>
      <c r="AA62" s="530"/>
      <c r="AB62" s="619">
        <f t="shared" si="5"/>
        <v>125</v>
      </c>
      <c r="AC62" s="530">
        <f t="shared" si="6"/>
        <v>0.34223134839151265</v>
      </c>
      <c r="AD62" s="795">
        <v>1</v>
      </c>
      <c r="AE62" s="795"/>
      <c r="AF62" s="795"/>
      <c r="AG62" s="795"/>
      <c r="AH62" s="527"/>
      <c r="AI62" s="527"/>
      <c r="AJ62" s="874"/>
      <c r="AK62" s="527"/>
      <c r="AL62" s="527"/>
      <c r="AM62" s="527"/>
      <c r="AN62" s="527"/>
      <c r="AO62" s="527"/>
    </row>
    <row r="63" spans="1:41" s="611" customFormat="1" x14ac:dyDescent="0.2">
      <c r="A63" s="527"/>
      <c r="B63" s="807" t="s">
        <v>1961</v>
      </c>
      <c r="C63" s="527" t="s">
        <v>2053</v>
      </c>
      <c r="D63" s="851" t="s">
        <v>224</v>
      </c>
      <c r="E63" s="611" t="s">
        <v>2317</v>
      </c>
      <c r="F63" s="611" t="s">
        <v>1274</v>
      </c>
      <c r="I63" s="611">
        <v>2014</v>
      </c>
      <c r="J63" s="793"/>
      <c r="K63" s="793"/>
      <c r="L63" s="613">
        <v>0</v>
      </c>
      <c r="M63" s="533"/>
      <c r="N63" s="613"/>
      <c r="O63" s="792">
        <f t="shared" si="0"/>
        <v>2014</v>
      </c>
      <c r="P63" s="619">
        <f t="shared" si="7"/>
        <v>41821</v>
      </c>
      <c r="Q63" s="764">
        <f t="shared" si="2"/>
        <v>41946</v>
      </c>
      <c r="R63" s="619">
        <f t="shared" si="3"/>
        <v>125</v>
      </c>
      <c r="S63" s="530">
        <f t="shared" si="4"/>
        <v>0.34223134839151265</v>
      </c>
      <c r="T63" s="527"/>
      <c r="U63" s="527"/>
      <c r="V63" s="527" t="s">
        <v>1961</v>
      </c>
      <c r="W63" s="874">
        <v>41821</v>
      </c>
      <c r="X63" s="872" t="s">
        <v>316</v>
      </c>
      <c r="Y63" s="846" t="s">
        <v>2695</v>
      </c>
      <c r="Z63" s="874">
        <v>41946</v>
      </c>
      <c r="AA63" s="530"/>
      <c r="AB63" s="619">
        <f t="shared" si="5"/>
        <v>125</v>
      </c>
      <c r="AC63" s="530">
        <f t="shared" si="6"/>
        <v>0.34223134839151265</v>
      </c>
      <c r="AD63" s="795">
        <v>1</v>
      </c>
      <c r="AE63" s="795"/>
      <c r="AF63" s="795"/>
      <c r="AG63" s="795"/>
      <c r="AH63" s="527"/>
      <c r="AI63" s="527"/>
      <c r="AJ63" s="874"/>
      <c r="AK63" s="527"/>
      <c r="AL63" s="527"/>
      <c r="AM63" s="527"/>
      <c r="AN63" s="527"/>
      <c r="AO63" s="527"/>
    </row>
    <row r="64" spans="1:41" s="611" customFormat="1" x14ac:dyDescent="0.2">
      <c r="A64" s="527"/>
      <c r="B64" s="807" t="s">
        <v>2380</v>
      </c>
      <c r="C64" s="527" t="s">
        <v>2040</v>
      </c>
      <c r="D64" s="851" t="s">
        <v>224</v>
      </c>
      <c r="F64" s="611" t="s">
        <v>1274</v>
      </c>
      <c r="G64" s="611" t="s">
        <v>2317</v>
      </c>
      <c r="I64" s="611">
        <v>2014</v>
      </c>
      <c r="J64" s="793"/>
      <c r="K64" s="793"/>
      <c r="L64" s="613">
        <v>0</v>
      </c>
      <c r="M64" s="533"/>
      <c r="N64" s="613"/>
      <c r="O64" s="792">
        <f t="shared" si="0"/>
        <v>2014</v>
      </c>
      <c r="P64" s="619">
        <f t="shared" si="7"/>
        <v>41821</v>
      </c>
      <c r="Q64" s="764">
        <f t="shared" si="2"/>
        <v>41986</v>
      </c>
      <c r="R64" s="619">
        <f t="shared" si="3"/>
        <v>165</v>
      </c>
      <c r="S64" s="530">
        <f t="shared" si="4"/>
        <v>0.45174537987679669</v>
      </c>
      <c r="T64" s="527"/>
      <c r="U64" s="527"/>
      <c r="V64" s="527" t="s">
        <v>1968</v>
      </c>
      <c r="W64" s="874">
        <v>41821</v>
      </c>
      <c r="X64" s="872" t="s">
        <v>316</v>
      </c>
      <c r="Y64" s="846" t="s">
        <v>2695</v>
      </c>
      <c r="Z64" s="874">
        <v>41986</v>
      </c>
      <c r="AA64" s="530"/>
      <c r="AB64" s="619">
        <f t="shared" si="5"/>
        <v>165</v>
      </c>
      <c r="AC64" s="530">
        <f t="shared" si="6"/>
        <v>0.45174537987679669</v>
      </c>
      <c r="AD64" s="795">
        <v>1</v>
      </c>
      <c r="AE64" s="795"/>
      <c r="AF64" s="795"/>
      <c r="AG64" s="795"/>
      <c r="AH64" s="527"/>
      <c r="AI64" s="527"/>
      <c r="AJ64" s="874"/>
      <c r="AK64" s="527"/>
      <c r="AL64" s="527"/>
      <c r="AM64" s="527"/>
      <c r="AN64" s="527"/>
      <c r="AO64" s="527"/>
    </row>
    <row r="65" spans="1:41" s="611" customFormat="1" x14ac:dyDescent="0.2">
      <c r="A65" s="527"/>
      <c r="B65" s="807" t="s">
        <v>1870</v>
      </c>
      <c r="C65" s="527" t="s">
        <v>495</v>
      </c>
      <c r="D65" s="851" t="s">
        <v>224</v>
      </c>
      <c r="F65" s="611" t="s">
        <v>1274</v>
      </c>
      <c r="G65" s="611" t="s">
        <v>2317</v>
      </c>
      <c r="I65" s="611">
        <v>2014</v>
      </c>
      <c r="J65" s="793"/>
      <c r="K65" s="793"/>
      <c r="L65" s="792"/>
      <c r="M65" s="728"/>
      <c r="N65" s="792"/>
      <c r="O65" s="792">
        <f t="shared" si="0"/>
        <v>2014</v>
      </c>
      <c r="P65" s="619">
        <f t="shared" si="7"/>
        <v>41821</v>
      </c>
      <c r="Q65" s="764">
        <f t="shared" si="2"/>
        <v>42101</v>
      </c>
      <c r="R65" s="619">
        <f t="shared" si="3"/>
        <v>280</v>
      </c>
      <c r="S65" s="530">
        <f t="shared" si="4"/>
        <v>0.76659822039698833</v>
      </c>
      <c r="T65" s="527"/>
      <c r="U65" s="527"/>
      <c r="V65" s="527" t="s">
        <v>1870</v>
      </c>
      <c r="W65" s="874">
        <v>41821</v>
      </c>
      <c r="X65" s="872" t="s">
        <v>316</v>
      </c>
      <c r="Y65" s="846" t="s">
        <v>2695</v>
      </c>
      <c r="Z65" s="874">
        <v>42101</v>
      </c>
      <c r="AA65" s="530"/>
      <c r="AB65" s="619">
        <f t="shared" si="5"/>
        <v>280</v>
      </c>
      <c r="AC65" s="530">
        <f t="shared" si="6"/>
        <v>0.76659822039698833</v>
      </c>
      <c r="AD65" s="795">
        <v>1</v>
      </c>
      <c r="AE65" s="795"/>
      <c r="AF65" s="795"/>
      <c r="AG65" s="795"/>
      <c r="AH65" s="527"/>
      <c r="AI65" s="527"/>
      <c r="AJ65" s="874"/>
      <c r="AK65" s="527"/>
      <c r="AL65" s="527"/>
      <c r="AM65" s="527"/>
      <c r="AN65" s="527"/>
      <c r="AO65" s="527"/>
    </row>
    <row r="66" spans="1:41" s="611" customFormat="1" x14ac:dyDescent="0.2">
      <c r="A66" s="527"/>
      <c r="B66" s="807" t="s">
        <v>1988</v>
      </c>
      <c r="C66" s="527" t="s">
        <v>496</v>
      </c>
      <c r="D66" s="851" t="s">
        <v>224</v>
      </c>
      <c r="F66" s="611" t="s">
        <v>1274</v>
      </c>
      <c r="G66" s="611" t="s">
        <v>1786</v>
      </c>
      <c r="I66" s="611">
        <v>2014</v>
      </c>
      <c r="J66" s="793"/>
      <c r="K66" s="793"/>
      <c r="L66" s="792"/>
      <c r="M66" s="728"/>
      <c r="N66" s="792"/>
      <c r="O66" s="792">
        <f t="shared" si="0"/>
        <v>2014</v>
      </c>
      <c r="P66" s="619">
        <f t="shared" si="7"/>
        <v>41821</v>
      </c>
      <c r="Q66" s="764">
        <f t="shared" si="2"/>
        <v>42155</v>
      </c>
      <c r="R66" s="619">
        <f t="shared" si="3"/>
        <v>334</v>
      </c>
      <c r="S66" s="530">
        <f t="shared" si="4"/>
        <v>0.91444216290212188</v>
      </c>
      <c r="T66" s="527"/>
      <c r="U66" s="527"/>
      <c r="V66" s="527" t="s">
        <v>1988</v>
      </c>
      <c r="W66" s="874">
        <v>41821</v>
      </c>
      <c r="X66" s="872" t="s">
        <v>316</v>
      </c>
      <c r="Y66" s="846" t="s">
        <v>2695</v>
      </c>
      <c r="Z66" s="874">
        <v>42155</v>
      </c>
      <c r="AA66" s="530"/>
      <c r="AB66" s="619">
        <f t="shared" si="5"/>
        <v>334</v>
      </c>
      <c r="AC66" s="530">
        <f t="shared" si="6"/>
        <v>0.91444216290212188</v>
      </c>
      <c r="AD66" s="795">
        <v>1</v>
      </c>
      <c r="AE66" s="795"/>
      <c r="AF66" s="795"/>
      <c r="AG66" s="795"/>
      <c r="AH66" s="527"/>
      <c r="AI66" s="527"/>
      <c r="AJ66" s="874"/>
      <c r="AK66" s="527"/>
      <c r="AL66" s="527"/>
      <c r="AM66" s="527"/>
      <c r="AN66" s="527"/>
      <c r="AO66" s="527"/>
    </row>
    <row r="67" spans="1:41" s="611" customFormat="1" x14ac:dyDescent="0.2">
      <c r="A67" s="527"/>
      <c r="B67" s="807" t="s">
        <v>1972</v>
      </c>
      <c r="C67" s="527" t="s">
        <v>492</v>
      </c>
      <c r="D67" s="851" t="s">
        <v>224</v>
      </c>
      <c r="F67" s="611" t="s">
        <v>1274</v>
      </c>
      <c r="G67" s="611" t="s">
        <v>1786</v>
      </c>
      <c r="I67" s="611">
        <v>2014</v>
      </c>
      <c r="J67" s="793"/>
      <c r="K67" s="793"/>
      <c r="L67" s="613">
        <v>0</v>
      </c>
      <c r="M67" s="533"/>
      <c r="N67" s="613"/>
      <c r="O67" s="792">
        <f t="shared" si="0"/>
        <v>2014</v>
      </c>
      <c r="P67" s="619">
        <f t="shared" si="7"/>
        <v>41821</v>
      </c>
      <c r="Q67" s="764">
        <f t="shared" si="2"/>
        <v>42045</v>
      </c>
      <c r="R67" s="619">
        <f t="shared" si="3"/>
        <v>224</v>
      </c>
      <c r="S67" s="530">
        <f t="shared" si="4"/>
        <v>0.61327857631759064</v>
      </c>
      <c r="T67" s="527"/>
      <c r="U67" s="527"/>
      <c r="V67" s="527" t="s">
        <v>1972</v>
      </c>
      <c r="W67" s="874">
        <v>41835</v>
      </c>
      <c r="X67" s="872" t="s">
        <v>2694</v>
      </c>
      <c r="Y67" s="846" t="s">
        <v>2695</v>
      </c>
      <c r="Z67" s="874">
        <v>42045</v>
      </c>
      <c r="AA67" s="530"/>
      <c r="AB67" s="619">
        <f t="shared" si="5"/>
        <v>210</v>
      </c>
      <c r="AC67" s="530">
        <f t="shared" si="6"/>
        <v>0.57494866529774125</v>
      </c>
      <c r="AD67" s="795">
        <v>1</v>
      </c>
      <c r="AE67" s="795"/>
      <c r="AF67" s="795"/>
      <c r="AG67" s="795"/>
      <c r="AH67" s="527"/>
      <c r="AI67" s="527"/>
      <c r="AJ67" s="874"/>
      <c r="AK67" s="527"/>
      <c r="AL67" s="527"/>
      <c r="AM67" s="527"/>
      <c r="AN67" s="527"/>
      <c r="AO67" s="527"/>
    </row>
    <row r="68" spans="1:41" s="611" customFormat="1" x14ac:dyDescent="0.2">
      <c r="A68" s="527"/>
      <c r="B68" s="807" t="s">
        <v>1866</v>
      </c>
      <c r="C68" s="527" t="s">
        <v>2038</v>
      </c>
      <c r="D68" s="851" t="s">
        <v>224</v>
      </c>
      <c r="F68" s="611" t="s">
        <v>1274</v>
      </c>
      <c r="G68" s="611" t="s">
        <v>2355</v>
      </c>
      <c r="I68" s="611">
        <v>2014</v>
      </c>
      <c r="J68" s="793"/>
      <c r="K68" s="793">
        <v>1</v>
      </c>
      <c r="L68" s="792"/>
      <c r="M68" s="728"/>
      <c r="N68" s="792"/>
      <c r="O68" s="792">
        <f t="shared" ref="O68:O131" si="8">IF(H68&gt;1,H68,I68)</f>
        <v>2014</v>
      </c>
      <c r="P68" s="619">
        <f t="shared" ref="P68:P99" si="9">DATE(O68,7,1)</f>
        <v>41821</v>
      </c>
      <c r="Q68" s="764">
        <f t="shared" ref="Q68:Q131" si="10">Z68</f>
        <v>42125</v>
      </c>
      <c r="R68" s="619">
        <f t="shared" ref="R68:R131" si="11">Q68-P68</f>
        <v>304</v>
      </c>
      <c r="S68" s="530">
        <f t="shared" ref="S68:S131" si="12">R68/365.25</f>
        <v>0.83230663928815884</v>
      </c>
      <c r="T68" s="527"/>
      <c r="U68" s="527"/>
      <c r="V68" s="527" t="s">
        <v>1866</v>
      </c>
      <c r="W68" s="874">
        <v>41835</v>
      </c>
      <c r="X68" s="872" t="s">
        <v>2694</v>
      </c>
      <c r="Y68" s="846" t="s">
        <v>2695</v>
      </c>
      <c r="Z68" s="874">
        <v>42125</v>
      </c>
      <c r="AA68" s="530"/>
      <c r="AB68" s="619">
        <f t="shared" ref="AB68:AB131" si="13">Z68-W68</f>
        <v>290</v>
      </c>
      <c r="AC68" s="530">
        <f t="shared" ref="AC68:AC131" si="14">AB68/365.25</f>
        <v>0.79397672826830934</v>
      </c>
      <c r="AD68" s="795">
        <v>1</v>
      </c>
      <c r="AE68" s="795"/>
      <c r="AF68" s="795"/>
      <c r="AG68" s="795"/>
      <c r="AH68" s="527"/>
      <c r="AI68" s="527"/>
      <c r="AJ68" s="874"/>
      <c r="AK68" s="527"/>
      <c r="AL68" s="527"/>
      <c r="AM68" s="527"/>
      <c r="AN68" s="527"/>
      <c r="AO68" s="527"/>
    </row>
    <row r="69" spans="1:41" s="611" customFormat="1" x14ac:dyDescent="0.2">
      <c r="A69" s="527"/>
      <c r="B69" s="807" t="s">
        <v>1966</v>
      </c>
      <c r="C69" s="527" t="s">
        <v>492</v>
      </c>
      <c r="D69" s="851" t="s">
        <v>224</v>
      </c>
      <c r="F69" s="611" t="s">
        <v>1274</v>
      </c>
      <c r="G69" s="611" t="s">
        <v>2315</v>
      </c>
      <c r="I69" s="611">
        <v>2014</v>
      </c>
      <c r="J69" s="793"/>
      <c r="K69" s="793">
        <v>1</v>
      </c>
      <c r="L69" s="613">
        <v>0</v>
      </c>
      <c r="M69" s="533"/>
      <c r="N69" s="613"/>
      <c r="O69" s="792">
        <f t="shared" si="8"/>
        <v>2014</v>
      </c>
      <c r="P69" s="619">
        <f t="shared" si="9"/>
        <v>41821</v>
      </c>
      <c r="Q69" s="764">
        <f t="shared" si="10"/>
        <v>41985</v>
      </c>
      <c r="R69" s="619">
        <f t="shared" si="11"/>
        <v>164</v>
      </c>
      <c r="S69" s="530">
        <f t="shared" si="12"/>
        <v>0.44900752908966463</v>
      </c>
      <c r="T69" s="527"/>
      <c r="U69" s="527"/>
      <c r="V69" s="614" t="s">
        <v>1966</v>
      </c>
      <c r="W69" s="874">
        <v>41866</v>
      </c>
      <c r="X69" s="872" t="s">
        <v>2694</v>
      </c>
      <c r="Y69" s="846" t="s">
        <v>2695</v>
      </c>
      <c r="Z69" s="874">
        <v>41985</v>
      </c>
      <c r="AA69" s="530"/>
      <c r="AB69" s="619">
        <f t="shared" si="13"/>
        <v>119</v>
      </c>
      <c r="AC69" s="530">
        <f t="shared" si="14"/>
        <v>0.32580424366872007</v>
      </c>
      <c r="AD69" s="795">
        <v>1</v>
      </c>
      <c r="AE69" s="795"/>
      <c r="AF69" s="795"/>
      <c r="AG69" s="795"/>
      <c r="AH69" s="527"/>
      <c r="AI69" s="527"/>
      <c r="AJ69" s="874"/>
      <c r="AK69" s="527"/>
      <c r="AL69" s="527"/>
      <c r="AM69" s="527"/>
      <c r="AN69" s="527"/>
      <c r="AO69" s="527"/>
    </row>
    <row r="70" spans="1:41" s="611" customFormat="1" x14ac:dyDescent="0.2">
      <c r="A70" s="527"/>
      <c r="B70" s="807" t="s">
        <v>2379</v>
      </c>
      <c r="C70" s="527" t="s">
        <v>2038</v>
      </c>
      <c r="D70" s="851" t="s">
        <v>224</v>
      </c>
      <c r="F70" s="611" t="s">
        <v>1274</v>
      </c>
      <c r="G70" s="611" t="s">
        <v>2340</v>
      </c>
      <c r="I70" s="611">
        <v>2014</v>
      </c>
      <c r="J70" s="793"/>
      <c r="K70" s="793">
        <v>1</v>
      </c>
      <c r="L70" s="613">
        <v>0</v>
      </c>
      <c r="M70" s="533"/>
      <c r="N70" s="613"/>
      <c r="O70" s="792">
        <f t="shared" si="8"/>
        <v>2014</v>
      </c>
      <c r="P70" s="619">
        <f t="shared" si="9"/>
        <v>41821</v>
      </c>
      <c r="Q70" s="764">
        <f t="shared" si="10"/>
        <v>41985</v>
      </c>
      <c r="R70" s="619">
        <f t="shared" si="11"/>
        <v>164</v>
      </c>
      <c r="S70" s="530">
        <f t="shared" si="12"/>
        <v>0.44900752908966463</v>
      </c>
      <c r="T70" s="527"/>
      <c r="U70" s="527"/>
      <c r="V70" s="527" t="s">
        <v>1967</v>
      </c>
      <c r="W70" s="874">
        <v>41866</v>
      </c>
      <c r="X70" s="872" t="s">
        <v>2694</v>
      </c>
      <c r="Y70" s="846" t="s">
        <v>2695</v>
      </c>
      <c r="Z70" s="874">
        <v>41985</v>
      </c>
      <c r="AA70" s="530"/>
      <c r="AB70" s="619">
        <f t="shared" si="13"/>
        <v>119</v>
      </c>
      <c r="AC70" s="530">
        <f t="shared" si="14"/>
        <v>0.32580424366872007</v>
      </c>
      <c r="AD70" s="795">
        <v>1</v>
      </c>
      <c r="AE70" s="795"/>
      <c r="AF70" s="795"/>
      <c r="AG70" s="795"/>
      <c r="AH70" s="527"/>
      <c r="AI70" s="527"/>
      <c r="AJ70" s="874"/>
      <c r="AK70" s="527"/>
      <c r="AL70" s="527"/>
      <c r="AM70" s="527"/>
      <c r="AN70" s="527"/>
      <c r="AO70" s="527"/>
    </row>
    <row r="71" spans="1:41" s="611" customFormat="1" x14ac:dyDescent="0.2">
      <c r="A71" s="527"/>
      <c r="B71" s="807" t="s">
        <v>1867</v>
      </c>
      <c r="C71" s="527" t="s">
        <v>767</v>
      </c>
      <c r="D71" s="851" t="s">
        <v>224</v>
      </c>
      <c r="F71" s="611" t="s">
        <v>1274</v>
      </c>
      <c r="G71" s="611" t="s">
        <v>2333</v>
      </c>
      <c r="I71" s="611">
        <v>2014</v>
      </c>
      <c r="J71" s="793"/>
      <c r="K71" s="793">
        <v>1</v>
      </c>
      <c r="L71" s="792"/>
      <c r="M71" s="728"/>
      <c r="N71" s="792"/>
      <c r="O71" s="792">
        <f t="shared" si="8"/>
        <v>2014</v>
      </c>
      <c r="P71" s="619">
        <f t="shared" si="9"/>
        <v>41821</v>
      </c>
      <c r="Q71" s="764">
        <f t="shared" si="10"/>
        <v>42125</v>
      </c>
      <c r="R71" s="619">
        <f t="shared" si="11"/>
        <v>304</v>
      </c>
      <c r="S71" s="530">
        <f t="shared" si="12"/>
        <v>0.83230663928815884</v>
      </c>
      <c r="T71" s="527"/>
      <c r="U71" s="527"/>
      <c r="V71" s="527" t="s">
        <v>1867</v>
      </c>
      <c r="W71" s="874">
        <v>41866</v>
      </c>
      <c r="X71" s="872" t="s">
        <v>2694</v>
      </c>
      <c r="Y71" s="846" t="s">
        <v>2695</v>
      </c>
      <c r="Z71" s="874">
        <v>42125</v>
      </c>
      <c r="AA71" s="530"/>
      <c r="AB71" s="619">
        <f t="shared" si="13"/>
        <v>259</v>
      </c>
      <c r="AC71" s="530">
        <f t="shared" si="14"/>
        <v>0.70910335386721424</v>
      </c>
      <c r="AD71" s="795">
        <v>1</v>
      </c>
      <c r="AE71" s="795"/>
      <c r="AF71" s="795"/>
      <c r="AG71" s="795"/>
      <c r="AH71" s="527"/>
      <c r="AI71" s="527"/>
      <c r="AJ71" s="874"/>
      <c r="AK71" s="527"/>
      <c r="AL71" s="527"/>
      <c r="AM71" s="527"/>
      <c r="AN71" s="527"/>
      <c r="AO71" s="527"/>
    </row>
    <row r="72" spans="1:41" s="611" customFormat="1" x14ac:dyDescent="0.2">
      <c r="A72" s="527"/>
      <c r="B72" s="807" t="s">
        <v>1969</v>
      </c>
      <c r="C72" s="527" t="s">
        <v>492</v>
      </c>
      <c r="D72" s="851" t="s">
        <v>224</v>
      </c>
      <c r="E72" s="611" t="s">
        <v>2330</v>
      </c>
      <c r="F72" s="611" t="s">
        <v>1274</v>
      </c>
      <c r="G72" s="611" t="s">
        <v>2315</v>
      </c>
      <c r="I72" s="611">
        <v>2014</v>
      </c>
      <c r="J72" s="793"/>
      <c r="K72" s="793">
        <v>1</v>
      </c>
      <c r="L72" s="613">
        <v>0</v>
      </c>
      <c r="M72" s="533"/>
      <c r="N72" s="613"/>
      <c r="O72" s="792">
        <f t="shared" si="8"/>
        <v>2014</v>
      </c>
      <c r="P72" s="619">
        <f t="shared" si="9"/>
        <v>41821</v>
      </c>
      <c r="Q72" s="764">
        <f t="shared" si="10"/>
        <v>42001</v>
      </c>
      <c r="R72" s="619">
        <f t="shared" si="11"/>
        <v>180</v>
      </c>
      <c r="S72" s="530">
        <f t="shared" si="12"/>
        <v>0.49281314168377821</v>
      </c>
      <c r="T72" s="527"/>
      <c r="U72" s="527"/>
      <c r="V72" s="614" t="s">
        <v>1969</v>
      </c>
      <c r="W72" s="874">
        <v>41897</v>
      </c>
      <c r="X72" s="872" t="s">
        <v>2694</v>
      </c>
      <c r="Y72" s="846" t="s">
        <v>2695</v>
      </c>
      <c r="Z72" s="874">
        <v>42001</v>
      </c>
      <c r="AA72" s="530"/>
      <c r="AB72" s="619">
        <f t="shared" si="13"/>
        <v>104</v>
      </c>
      <c r="AC72" s="530">
        <f t="shared" si="14"/>
        <v>0.28473648186173856</v>
      </c>
      <c r="AD72" s="795">
        <v>1</v>
      </c>
      <c r="AE72" s="795"/>
      <c r="AF72" s="795"/>
      <c r="AG72" s="795"/>
      <c r="AH72" s="527"/>
      <c r="AI72" s="527"/>
      <c r="AJ72" s="874"/>
      <c r="AK72" s="527"/>
      <c r="AL72" s="527"/>
      <c r="AM72" s="527"/>
      <c r="AN72" s="527"/>
      <c r="AO72" s="527"/>
    </row>
    <row r="73" spans="1:41" s="611" customFormat="1" x14ac:dyDescent="0.2">
      <c r="A73" s="527"/>
      <c r="B73" s="807" t="s">
        <v>1970</v>
      </c>
      <c r="C73" s="527" t="s">
        <v>2044</v>
      </c>
      <c r="D73" s="851" t="s">
        <v>224</v>
      </c>
      <c r="F73" s="611" t="s">
        <v>1274</v>
      </c>
      <c r="G73" s="611" t="s">
        <v>2489</v>
      </c>
      <c r="I73" s="611">
        <v>2014</v>
      </c>
      <c r="J73" s="793"/>
      <c r="K73" s="793"/>
      <c r="L73" s="613">
        <v>0</v>
      </c>
      <c r="M73" s="533"/>
      <c r="N73" s="613"/>
      <c r="O73" s="792">
        <f t="shared" si="8"/>
        <v>2014</v>
      </c>
      <c r="P73" s="619">
        <f t="shared" si="9"/>
        <v>41821</v>
      </c>
      <c r="Q73" s="764">
        <f t="shared" si="10"/>
        <v>42032</v>
      </c>
      <c r="R73" s="619">
        <f t="shared" si="11"/>
        <v>211</v>
      </c>
      <c r="S73" s="530">
        <f t="shared" si="12"/>
        <v>0.57768651608487342</v>
      </c>
      <c r="T73" s="527"/>
      <c r="U73" s="527"/>
      <c r="V73" s="527" t="s">
        <v>1970</v>
      </c>
      <c r="W73" s="874">
        <v>41897</v>
      </c>
      <c r="X73" s="872" t="s">
        <v>2694</v>
      </c>
      <c r="Y73" s="846" t="s">
        <v>2695</v>
      </c>
      <c r="Z73" s="874">
        <v>42032</v>
      </c>
      <c r="AA73" s="530"/>
      <c r="AB73" s="619">
        <f t="shared" si="13"/>
        <v>135</v>
      </c>
      <c r="AC73" s="530">
        <f t="shared" si="14"/>
        <v>0.36960985626283366</v>
      </c>
      <c r="AD73" s="795">
        <v>1</v>
      </c>
      <c r="AE73" s="795"/>
      <c r="AF73" s="795"/>
      <c r="AG73" s="795"/>
      <c r="AH73" s="527"/>
      <c r="AI73" s="527"/>
      <c r="AJ73" s="874"/>
      <c r="AK73" s="527"/>
      <c r="AL73" s="527"/>
      <c r="AM73" s="527"/>
      <c r="AN73" s="527"/>
      <c r="AO73" s="527"/>
    </row>
    <row r="74" spans="1:41" s="611" customFormat="1" x14ac:dyDescent="0.2">
      <c r="A74" s="527"/>
      <c r="B74" s="807" t="s">
        <v>1973</v>
      </c>
      <c r="C74" s="527" t="s">
        <v>492</v>
      </c>
      <c r="D74" s="851" t="s">
        <v>224</v>
      </c>
      <c r="F74" s="611" t="s">
        <v>1274</v>
      </c>
      <c r="G74" s="611" t="s">
        <v>2353</v>
      </c>
      <c r="I74" s="611">
        <v>2014</v>
      </c>
      <c r="J74" s="793"/>
      <c r="K74" s="793">
        <v>1</v>
      </c>
      <c r="L74" s="613">
        <v>0</v>
      </c>
      <c r="M74" s="533"/>
      <c r="N74" s="613"/>
      <c r="O74" s="792">
        <f t="shared" si="8"/>
        <v>2014</v>
      </c>
      <c r="P74" s="619">
        <f t="shared" si="9"/>
        <v>41821</v>
      </c>
      <c r="Q74" s="764">
        <f t="shared" si="10"/>
        <v>42045</v>
      </c>
      <c r="R74" s="619">
        <f t="shared" si="11"/>
        <v>224</v>
      </c>
      <c r="S74" s="530">
        <f t="shared" si="12"/>
        <v>0.61327857631759064</v>
      </c>
      <c r="T74" s="527"/>
      <c r="U74" s="527"/>
      <c r="V74" s="614" t="s">
        <v>1973</v>
      </c>
      <c r="W74" s="874">
        <v>41897</v>
      </c>
      <c r="X74" s="872" t="s">
        <v>2694</v>
      </c>
      <c r="Y74" s="846" t="s">
        <v>2695</v>
      </c>
      <c r="Z74" s="874">
        <v>42045</v>
      </c>
      <c r="AA74" s="530"/>
      <c r="AB74" s="619">
        <f t="shared" si="13"/>
        <v>148</v>
      </c>
      <c r="AC74" s="530">
        <f t="shared" si="14"/>
        <v>0.40520191649555098</v>
      </c>
      <c r="AD74" s="795">
        <v>1</v>
      </c>
      <c r="AE74" s="795"/>
      <c r="AF74" s="795"/>
      <c r="AG74" s="795"/>
      <c r="AH74" s="527"/>
      <c r="AI74" s="527"/>
      <c r="AJ74" s="874"/>
      <c r="AK74" s="527"/>
      <c r="AL74" s="527"/>
      <c r="AM74" s="527"/>
      <c r="AN74" s="527"/>
      <c r="AO74" s="527"/>
    </row>
    <row r="75" spans="1:41" s="611" customFormat="1" x14ac:dyDescent="0.2">
      <c r="A75" s="527"/>
      <c r="B75" s="807" t="s">
        <v>1974</v>
      </c>
      <c r="C75" s="527" t="s">
        <v>496</v>
      </c>
      <c r="D75" s="851" t="s">
        <v>224</v>
      </c>
      <c r="F75" s="611" t="s">
        <v>1274</v>
      </c>
      <c r="G75" s="611" t="s">
        <v>2340</v>
      </c>
      <c r="I75" s="611">
        <v>2014</v>
      </c>
      <c r="J75" s="793"/>
      <c r="K75" s="793">
        <v>1</v>
      </c>
      <c r="L75" s="613">
        <v>0</v>
      </c>
      <c r="M75" s="533"/>
      <c r="N75" s="613"/>
      <c r="O75" s="792">
        <f t="shared" si="8"/>
        <v>2014</v>
      </c>
      <c r="P75" s="619">
        <f t="shared" si="9"/>
        <v>41821</v>
      </c>
      <c r="Q75" s="764">
        <f t="shared" si="10"/>
        <v>42057</v>
      </c>
      <c r="R75" s="619">
        <f t="shared" si="11"/>
        <v>236</v>
      </c>
      <c r="S75" s="530">
        <f t="shared" si="12"/>
        <v>0.6461327857631759</v>
      </c>
      <c r="T75" s="527"/>
      <c r="U75" s="527"/>
      <c r="V75" s="527" t="s">
        <v>1974</v>
      </c>
      <c r="W75" s="874">
        <v>41897</v>
      </c>
      <c r="X75" s="872" t="s">
        <v>2694</v>
      </c>
      <c r="Y75" s="846" t="s">
        <v>2695</v>
      </c>
      <c r="Z75" s="874">
        <v>42057</v>
      </c>
      <c r="AA75" s="530"/>
      <c r="AB75" s="619">
        <f t="shared" si="13"/>
        <v>160</v>
      </c>
      <c r="AC75" s="530">
        <f t="shared" si="14"/>
        <v>0.43805612594113619</v>
      </c>
      <c r="AD75" s="795">
        <v>1</v>
      </c>
      <c r="AE75" s="795"/>
      <c r="AF75" s="795"/>
      <c r="AG75" s="795"/>
      <c r="AH75" s="527"/>
      <c r="AI75" s="527"/>
      <c r="AJ75" s="874"/>
      <c r="AK75" s="527"/>
      <c r="AL75" s="527"/>
      <c r="AM75" s="527"/>
      <c r="AN75" s="527"/>
      <c r="AO75" s="527"/>
    </row>
    <row r="76" spans="1:41" s="611" customFormat="1" x14ac:dyDescent="0.2">
      <c r="A76" s="527"/>
      <c r="B76" s="807" t="s">
        <v>2592</v>
      </c>
      <c r="C76" s="527"/>
      <c r="D76" s="851" t="s">
        <v>224</v>
      </c>
      <c r="F76" s="611" t="s">
        <v>1274</v>
      </c>
      <c r="G76" s="611" t="s">
        <v>2317</v>
      </c>
      <c r="H76" s="527"/>
      <c r="I76" s="527">
        <v>2014</v>
      </c>
      <c r="J76" s="793"/>
      <c r="K76" s="793"/>
      <c r="L76" s="613"/>
      <c r="M76" s="533" t="s">
        <v>2470</v>
      </c>
      <c r="N76" s="613"/>
      <c r="O76" s="792">
        <f t="shared" si="8"/>
        <v>2014</v>
      </c>
      <c r="P76" s="619">
        <f t="shared" si="9"/>
        <v>41821</v>
      </c>
      <c r="Q76" s="764">
        <f t="shared" si="10"/>
        <v>43246</v>
      </c>
      <c r="R76" s="619">
        <f t="shared" si="11"/>
        <v>1425</v>
      </c>
      <c r="S76" s="530">
        <f t="shared" si="12"/>
        <v>3.9014373716632442</v>
      </c>
      <c r="T76" s="611" t="s">
        <v>496</v>
      </c>
      <c r="U76" s="527"/>
      <c r="V76" s="527" t="s">
        <v>2592</v>
      </c>
      <c r="W76" s="874">
        <v>41902</v>
      </c>
      <c r="X76" s="872" t="s">
        <v>2167</v>
      </c>
      <c r="Y76" s="846" t="s">
        <v>2695</v>
      </c>
      <c r="Z76" s="874">
        <v>43246</v>
      </c>
      <c r="AA76" s="530"/>
      <c r="AB76" s="619">
        <f t="shared" si="13"/>
        <v>1344</v>
      </c>
      <c r="AC76" s="530">
        <f t="shared" si="14"/>
        <v>3.6796714579055441</v>
      </c>
      <c r="AD76" s="795">
        <v>1</v>
      </c>
      <c r="AE76" s="795"/>
      <c r="AF76" s="795"/>
      <c r="AG76" s="795"/>
      <c r="AH76" s="527"/>
      <c r="AI76" s="527"/>
      <c r="AJ76" s="874"/>
      <c r="AK76" s="527"/>
      <c r="AL76" s="527"/>
      <c r="AM76" s="527"/>
      <c r="AN76" s="527"/>
      <c r="AO76" s="527"/>
    </row>
    <row r="77" spans="1:41" s="611" customFormat="1" x14ac:dyDescent="0.2">
      <c r="A77" s="527"/>
      <c r="B77" s="807" t="s">
        <v>1863</v>
      </c>
      <c r="C77" s="527" t="s">
        <v>492</v>
      </c>
      <c r="D77" s="851" t="s">
        <v>224</v>
      </c>
      <c r="F77" s="611" t="s">
        <v>1274</v>
      </c>
      <c r="G77" s="611" t="s">
        <v>2335</v>
      </c>
      <c r="I77" s="611">
        <v>2015</v>
      </c>
      <c r="J77" s="793"/>
      <c r="K77" s="793">
        <v>1</v>
      </c>
      <c r="L77" s="792"/>
      <c r="M77" s="728"/>
      <c r="N77" s="792"/>
      <c r="O77" s="792">
        <f t="shared" si="8"/>
        <v>2015</v>
      </c>
      <c r="P77" s="619">
        <f t="shared" si="9"/>
        <v>42186</v>
      </c>
      <c r="Q77" s="764">
        <f t="shared" si="10"/>
        <v>42125</v>
      </c>
      <c r="R77" s="619">
        <f t="shared" si="11"/>
        <v>-61</v>
      </c>
      <c r="S77" s="530">
        <f t="shared" si="12"/>
        <v>-0.16700889801505817</v>
      </c>
      <c r="T77" s="527"/>
      <c r="U77" s="527"/>
      <c r="V77" s="614" t="s">
        <v>1863</v>
      </c>
      <c r="W77" s="874">
        <v>42019</v>
      </c>
      <c r="X77" s="872" t="s">
        <v>2694</v>
      </c>
      <c r="Y77" s="846" t="s">
        <v>2695</v>
      </c>
      <c r="Z77" s="874">
        <v>42125</v>
      </c>
      <c r="AA77" s="530"/>
      <c r="AB77" s="619">
        <f t="shared" si="13"/>
        <v>106</v>
      </c>
      <c r="AC77" s="530">
        <f t="shared" si="14"/>
        <v>0.29021218343600275</v>
      </c>
      <c r="AD77" s="795">
        <v>1</v>
      </c>
      <c r="AE77" s="795"/>
      <c r="AF77" s="795"/>
      <c r="AG77" s="795"/>
      <c r="AH77" s="527"/>
      <c r="AI77" s="527"/>
      <c r="AJ77" s="874"/>
      <c r="AK77" s="527"/>
      <c r="AL77" s="527"/>
      <c r="AM77" s="527"/>
      <c r="AN77" s="527"/>
      <c r="AO77" s="527"/>
    </row>
    <row r="78" spans="1:41" s="611" customFormat="1" x14ac:dyDescent="0.2">
      <c r="A78" s="527"/>
      <c r="B78" s="807" t="s">
        <v>1977</v>
      </c>
      <c r="C78" s="527" t="s">
        <v>496</v>
      </c>
      <c r="D78" s="851" t="s">
        <v>224</v>
      </c>
      <c r="F78" s="611" t="s">
        <v>1274</v>
      </c>
      <c r="G78" s="611" t="s">
        <v>2340</v>
      </c>
      <c r="I78" s="611">
        <v>2015</v>
      </c>
      <c r="J78" s="793"/>
      <c r="K78" s="793">
        <v>1</v>
      </c>
      <c r="L78" s="792"/>
      <c r="M78" s="728"/>
      <c r="N78" s="792"/>
      <c r="O78" s="792">
        <f t="shared" si="8"/>
        <v>2015</v>
      </c>
      <c r="P78" s="619">
        <f t="shared" si="9"/>
        <v>42186</v>
      </c>
      <c r="Q78" s="764">
        <f t="shared" si="10"/>
        <v>42147</v>
      </c>
      <c r="R78" s="619">
        <f t="shared" si="11"/>
        <v>-39</v>
      </c>
      <c r="S78" s="530">
        <f t="shared" si="12"/>
        <v>-0.10677618069815195</v>
      </c>
      <c r="T78" s="527"/>
      <c r="U78" s="527"/>
      <c r="V78" s="527" t="s">
        <v>1977</v>
      </c>
      <c r="W78" s="874">
        <v>42019</v>
      </c>
      <c r="X78" s="872" t="s">
        <v>2694</v>
      </c>
      <c r="Y78" s="846" t="s">
        <v>2695</v>
      </c>
      <c r="Z78" s="874">
        <v>42147</v>
      </c>
      <c r="AA78" s="530"/>
      <c r="AB78" s="619">
        <f t="shared" si="13"/>
        <v>128</v>
      </c>
      <c r="AC78" s="530">
        <f t="shared" si="14"/>
        <v>0.35044490075290896</v>
      </c>
      <c r="AD78" s="795">
        <v>1</v>
      </c>
      <c r="AE78" s="795"/>
      <c r="AF78" s="795"/>
      <c r="AG78" s="795"/>
      <c r="AH78" s="527"/>
      <c r="AI78" s="527"/>
      <c r="AJ78" s="874"/>
      <c r="AK78" s="527"/>
      <c r="AL78" s="527"/>
      <c r="AM78" s="527"/>
      <c r="AN78" s="527"/>
      <c r="AO78" s="527"/>
    </row>
    <row r="79" spans="1:41" x14ac:dyDescent="0.2">
      <c r="A79" s="527"/>
      <c r="B79" s="807" t="s">
        <v>1989</v>
      </c>
      <c r="C79" s="527" t="s">
        <v>496</v>
      </c>
      <c r="D79" s="851" t="s">
        <v>224</v>
      </c>
      <c r="E79" s="611"/>
      <c r="F79" s="611" t="s">
        <v>1274</v>
      </c>
      <c r="G79" s="611" t="s">
        <v>2317</v>
      </c>
      <c r="H79" s="611"/>
      <c r="I79" s="611">
        <v>2015</v>
      </c>
      <c r="J79" s="793"/>
      <c r="K79" s="793"/>
      <c r="L79" s="792"/>
      <c r="M79" s="728"/>
      <c r="N79" s="792"/>
      <c r="O79" s="792">
        <f t="shared" si="8"/>
        <v>2015</v>
      </c>
      <c r="P79" s="619">
        <f t="shared" si="9"/>
        <v>42186</v>
      </c>
      <c r="Q79" s="764">
        <f t="shared" si="10"/>
        <v>42155</v>
      </c>
      <c r="R79" s="619">
        <f t="shared" si="11"/>
        <v>-31</v>
      </c>
      <c r="S79" s="530">
        <f t="shared" si="12"/>
        <v>-8.4873374401095145E-2</v>
      </c>
      <c r="V79" s="614" t="s">
        <v>1989</v>
      </c>
      <c r="W79" s="874">
        <v>42019</v>
      </c>
      <c r="X79" s="872" t="s">
        <v>2694</v>
      </c>
      <c r="Y79" s="846" t="s">
        <v>2695</v>
      </c>
      <c r="Z79" s="874">
        <v>42155</v>
      </c>
      <c r="AB79" s="619">
        <f t="shared" si="13"/>
        <v>136</v>
      </c>
      <c r="AC79" s="530">
        <f t="shared" si="14"/>
        <v>0.37234770704996578</v>
      </c>
      <c r="AD79" s="795">
        <v>1</v>
      </c>
      <c r="AE79" s="795"/>
      <c r="AF79" s="795"/>
      <c r="AG79" s="795"/>
      <c r="AJ79" s="874"/>
    </row>
    <row r="80" spans="1:41" x14ac:dyDescent="0.2">
      <c r="A80" s="527"/>
      <c r="B80" s="807" t="s">
        <v>2109</v>
      </c>
      <c r="C80" s="527" t="s">
        <v>496</v>
      </c>
      <c r="D80" s="851" t="s">
        <v>224</v>
      </c>
      <c r="E80" s="611"/>
      <c r="F80" s="611" t="s">
        <v>1274</v>
      </c>
      <c r="G80" s="611" t="s">
        <v>2348</v>
      </c>
      <c r="H80" s="611"/>
      <c r="I80" s="611">
        <v>2015</v>
      </c>
      <c r="J80" s="793"/>
      <c r="K80" s="793">
        <v>1</v>
      </c>
      <c r="L80" s="792"/>
      <c r="M80" s="728"/>
      <c r="N80" s="792"/>
      <c r="O80" s="792">
        <f t="shared" si="8"/>
        <v>2015</v>
      </c>
      <c r="P80" s="619">
        <f t="shared" si="9"/>
        <v>42186</v>
      </c>
      <c r="Q80" s="764">
        <f t="shared" si="10"/>
        <v>42455</v>
      </c>
      <c r="R80" s="619">
        <f t="shared" si="11"/>
        <v>269</v>
      </c>
      <c r="S80" s="530">
        <f t="shared" si="12"/>
        <v>0.73648186173853525</v>
      </c>
      <c r="V80" s="527" t="s">
        <v>2109</v>
      </c>
      <c r="W80" s="874">
        <v>42019</v>
      </c>
      <c r="X80" s="872" t="s">
        <v>2694</v>
      </c>
      <c r="Y80" s="846" t="s">
        <v>2695</v>
      </c>
      <c r="Z80" s="874">
        <v>42455</v>
      </c>
      <c r="AB80" s="619">
        <f t="shared" si="13"/>
        <v>436</v>
      </c>
      <c r="AC80" s="530">
        <f t="shared" si="14"/>
        <v>1.1937029431895962</v>
      </c>
      <c r="AD80" s="795">
        <v>1</v>
      </c>
      <c r="AE80" s="795"/>
      <c r="AF80" s="795"/>
      <c r="AG80" s="795"/>
      <c r="AJ80" s="874"/>
    </row>
    <row r="81" spans="1:36" x14ac:dyDescent="0.2">
      <c r="A81" s="527"/>
      <c r="B81" s="807" t="s">
        <v>1978</v>
      </c>
      <c r="C81" s="527" t="s">
        <v>496</v>
      </c>
      <c r="D81" s="851" t="s">
        <v>224</v>
      </c>
      <c r="E81" s="611"/>
      <c r="F81" s="611" t="s">
        <v>1274</v>
      </c>
      <c r="G81" s="611" t="s">
        <v>2348</v>
      </c>
      <c r="H81" s="611"/>
      <c r="I81" s="611">
        <v>2015</v>
      </c>
      <c r="J81" s="793"/>
      <c r="K81" s="793">
        <v>1</v>
      </c>
      <c r="L81" s="792"/>
      <c r="M81" s="728"/>
      <c r="N81" s="792"/>
      <c r="O81" s="792">
        <f t="shared" si="8"/>
        <v>2015</v>
      </c>
      <c r="P81" s="619">
        <f t="shared" si="9"/>
        <v>42186</v>
      </c>
      <c r="Q81" s="764">
        <f t="shared" si="10"/>
        <v>42147</v>
      </c>
      <c r="R81" s="619">
        <f t="shared" si="11"/>
        <v>-39</v>
      </c>
      <c r="S81" s="530">
        <f t="shared" si="12"/>
        <v>-0.10677618069815195</v>
      </c>
      <c r="V81" s="527" t="s">
        <v>1978</v>
      </c>
      <c r="W81" s="874">
        <v>42049</v>
      </c>
      <c r="X81" s="872" t="s">
        <v>2694</v>
      </c>
      <c r="Y81" s="846" t="s">
        <v>2695</v>
      </c>
      <c r="Z81" s="874">
        <v>42147</v>
      </c>
      <c r="AB81" s="619">
        <f t="shared" si="13"/>
        <v>98</v>
      </c>
      <c r="AC81" s="530">
        <f t="shared" si="14"/>
        <v>0.26830937713894593</v>
      </c>
      <c r="AD81" s="795">
        <v>1</v>
      </c>
      <c r="AE81" s="795"/>
      <c r="AF81" s="795"/>
      <c r="AG81" s="795"/>
      <c r="AJ81" s="874"/>
    </row>
    <row r="82" spans="1:36" x14ac:dyDescent="0.2">
      <c r="A82" s="527"/>
      <c r="B82" s="807" t="s">
        <v>1987</v>
      </c>
      <c r="C82" s="527" t="s">
        <v>2041</v>
      </c>
      <c r="D82" s="851" t="s">
        <v>224</v>
      </c>
      <c r="E82" s="611"/>
      <c r="F82" s="611" t="s">
        <v>1274</v>
      </c>
      <c r="G82" s="611" t="s">
        <v>2317</v>
      </c>
      <c r="H82" s="611"/>
      <c r="I82" s="611">
        <v>2015</v>
      </c>
      <c r="J82" s="793"/>
      <c r="K82" s="793"/>
      <c r="L82" s="792"/>
      <c r="M82" s="728"/>
      <c r="N82" s="792"/>
      <c r="O82" s="792">
        <f t="shared" si="8"/>
        <v>2015</v>
      </c>
      <c r="P82" s="619">
        <f t="shared" si="9"/>
        <v>42186</v>
      </c>
      <c r="Q82" s="764">
        <f t="shared" si="10"/>
        <v>42155</v>
      </c>
      <c r="R82" s="619">
        <f t="shared" si="11"/>
        <v>-31</v>
      </c>
      <c r="S82" s="530">
        <f t="shared" si="12"/>
        <v>-8.4873374401095145E-2</v>
      </c>
      <c r="V82" s="527" t="s">
        <v>1987</v>
      </c>
      <c r="W82" s="874">
        <v>42049</v>
      </c>
      <c r="X82" s="872" t="s">
        <v>2694</v>
      </c>
      <c r="Y82" s="846" t="s">
        <v>2695</v>
      </c>
      <c r="Z82" s="874">
        <v>42155</v>
      </c>
      <c r="AB82" s="619">
        <f t="shared" si="13"/>
        <v>106</v>
      </c>
      <c r="AC82" s="530">
        <f t="shared" si="14"/>
        <v>0.29021218343600275</v>
      </c>
      <c r="AD82" s="795">
        <v>1</v>
      </c>
      <c r="AE82" s="795"/>
      <c r="AF82" s="795"/>
      <c r="AG82" s="795"/>
      <c r="AJ82" s="874"/>
    </row>
    <row r="83" spans="1:36" x14ac:dyDescent="0.2">
      <c r="A83" s="527"/>
      <c r="B83" s="807" t="s">
        <v>2120</v>
      </c>
      <c r="C83" s="527" t="s">
        <v>496</v>
      </c>
      <c r="D83" s="851" t="s">
        <v>224</v>
      </c>
      <c r="E83" s="611"/>
      <c r="F83" s="611" t="s">
        <v>1274</v>
      </c>
      <c r="G83" s="611" t="s">
        <v>2348</v>
      </c>
      <c r="H83" s="611"/>
      <c r="I83" s="611">
        <v>2015</v>
      </c>
      <c r="J83" s="793"/>
      <c r="K83" s="793">
        <v>1</v>
      </c>
      <c r="L83" s="792"/>
      <c r="M83" s="728"/>
      <c r="N83" s="792"/>
      <c r="O83" s="792">
        <f t="shared" si="8"/>
        <v>2015</v>
      </c>
      <c r="P83" s="619">
        <f t="shared" si="9"/>
        <v>42186</v>
      </c>
      <c r="Q83" s="764">
        <f t="shared" si="10"/>
        <v>42490</v>
      </c>
      <c r="R83" s="619">
        <f t="shared" si="11"/>
        <v>304</v>
      </c>
      <c r="S83" s="530">
        <f t="shared" si="12"/>
        <v>0.83230663928815884</v>
      </c>
      <c r="V83" s="527" t="s">
        <v>2120</v>
      </c>
      <c r="W83" s="874">
        <v>42049</v>
      </c>
      <c r="X83" s="872" t="s">
        <v>2694</v>
      </c>
      <c r="Y83" s="846" t="s">
        <v>2695</v>
      </c>
      <c r="Z83" s="874">
        <v>42490</v>
      </c>
      <c r="AB83" s="619">
        <f t="shared" si="13"/>
        <v>441</v>
      </c>
      <c r="AC83" s="530">
        <f t="shared" si="14"/>
        <v>1.2073921971252566</v>
      </c>
      <c r="AD83" s="795">
        <v>1</v>
      </c>
      <c r="AE83" s="795"/>
      <c r="AF83" s="795"/>
      <c r="AG83" s="795"/>
      <c r="AJ83" s="874"/>
    </row>
    <row r="84" spans="1:36" x14ac:dyDescent="0.2">
      <c r="A84" s="527"/>
      <c r="B84" s="807" t="s">
        <v>1986</v>
      </c>
      <c r="C84" s="527" t="s">
        <v>2039</v>
      </c>
      <c r="D84" s="851" t="s">
        <v>224</v>
      </c>
      <c r="E84" s="611"/>
      <c r="F84" s="611" t="s">
        <v>1274</v>
      </c>
      <c r="G84" s="611"/>
      <c r="H84" s="611">
        <v>2015</v>
      </c>
      <c r="I84" s="611">
        <v>2015</v>
      </c>
      <c r="J84" s="793"/>
      <c r="K84" s="793"/>
      <c r="L84" s="728" t="s">
        <v>2464</v>
      </c>
      <c r="M84" s="728"/>
      <c r="N84" s="728"/>
      <c r="O84" s="792">
        <f t="shared" si="8"/>
        <v>2015</v>
      </c>
      <c r="P84" s="619">
        <f t="shared" si="9"/>
        <v>42186</v>
      </c>
      <c r="Q84" s="764">
        <f t="shared" si="10"/>
        <v>42185</v>
      </c>
      <c r="R84" s="619">
        <f t="shared" si="11"/>
        <v>-1</v>
      </c>
      <c r="S84" s="530">
        <f t="shared" si="12"/>
        <v>-2.7378507871321013E-3</v>
      </c>
      <c r="V84" s="527" t="s">
        <v>1986</v>
      </c>
      <c r="W84" s="874">
        <v>42050</v>
      </c>
      <c r="X84" s="872" t="s">
        <v>2694</v>
      </c>
      <c r="Y84" s="846" t="s">
        <v>2695</v>
      </c>
      <c r="Z84" s="874">
        <v>42185</v>
      </c>
      <c r="AB84" s="619">
        <f t="shared" si="13"/>
        <v>135</v>
      </c>
      <c r="AC84" s="530">
        <f t="shared" si="14"/>
        <v>0.36960985626283366</v>
      </c>
      <c r="AD84" s="795">
        <v>1</v>
      </c>
      <c r="AE84" s="795"/>
      <c r="AF84" s="795"/>
      <c r="AG84" s="795"/>
      <c r="AJ84" s="874"/>
    </row>
    <row r="85" spans="1:36" x14ac:dyDescent="0.2">
      <c r="A85" s="527"/>
      <c r="B85" s="807" t="s">
        <v>1999</v>
      </c>
      <c r="C85" s="527" t="s">
        <v>2043</v>
      </c>
      <c r="D85" s="851" t="s">
        <v>224</v>
      </c>
      <c r="E85" s="611" t="s">
        <v>2357</v>
      </c>
      <c r="F85" s="611" t="s">
        <v>1274</v>
      </c>
      <c r="G85" s="611" t="s">
        <v>1786</v>
      </c>
      <c r="H85" s="611">
        <v>2015</v>
      </c>
      <c r="I85" s="611">
        <v>2015</v>
      </c>
      <c r="J85" s="793"/>
      <c r="K85" s="793"/>
      <c r="L85" s="792"/>
      <c r="M85" s="728"/>
      <c r="N85" s="792"/>
      <c r="O85" s="792">
        <f t="shared" si="8"/>
        <v>2015</v>
      </c>
      <c r="P85" s="619">
        <f t="shared" si="9"/>
        <v>42186</v>
      </c>
      <c r="Q85" s="764">
        <f t="shared" si="10"/>
        <v>42203</v>
      </c>
      <c r="R85" s="619">
        <f t="shared" si="11"/>
        <v>17</v>
      </c>
      <c r="S85" s="530">
        <f t="shared" si="12"/>
        <v>4.6543463381245723E-2</v>
      </c>
      <c r="V85" s="527" t="s">
        <v>1999</v>
      </c>
      <c r="W85" s="875">
        <v>42104</v>
      </c>
      <c r="X85" s="872" t="s">
        <v>316</v>
      </c>
      <c r="Y85" s="846" t="s">
        <v>2695</v>
      </c>
      <c r="Z85" s="874">
        <v>42203</v>
      </c>
      <c r="AB85" s="619">
        <f t="shared" si="13"/>
        <v>99</v>
      </c>
      <c r="AC85" s="530">
        <f t="shared" si="14"/>
        <v>0.27104722792607805</v>
      </c>
      <c r="AD85" s="795">
        <v>1</v>
      </c>
      <c r="AE85" s="795"/>
      <c r="AF85" s="795"/>
      <c r="AG85" s="795"/>
      <c r="AJ85" s="874"/>
    </row>
    <row r="86" spans="1:36" x14ac:dyDescent="0.2">
      <c r="A86" s="527"/>
      <c r="B86" s="807" t="s">
        <v>1980</v>
      </c>
      <c r="C86" s="533" t="s">
        <v>496</v>
      </c>
      <c r="D86" s="851" t="s">
        <v>224</v>
      </c>
      <c r="E86" s="611"/>
      <c r="F86" s="611" t="s">
        <v>1274</v>
      </c>
      <c r="G86" s="611" t="s">
        <v>2319</v>
      </c>
      <c r="H86" s="611"/>
      <c r="I86" s="611">
        <v>2015</v>
      </c>
      <c r="J86" s="793"/>
      <c r="K86" s="793">
        <v>1</v>
      </c>
      <c r="L86" s="792"/>
      <c r="M86" s="728"/>
      <c r="N86" s="792"/>
      <c r="O86" s="792">
        <f t="shared" si="8"/>
        <v>2015</v>
      </c>
      <c r="P86" s="619">
        <f t="shared" si="9"/>
        <v>42186</v>
      </c>
      <c r="Q86" s="764">
        <f t="shared" si="10"/>
        <v>42166</v>
      </c>
      <c r="R86" s="619">
        <f t="shared" si="11"/>
        <v>-20</v>
      </c>
      <c r="S86" s="530">
        <f t="shared" si="12"/>
        <v>-5.4757015742642023E-2</v>
      </c>
      <c r="V86" s="614" t="s">
        <v>1980</v>
      </c>
      <c r="W86" s="874">
        <v>42109</v>
      </c>
      <c r="X86" s="872" t="s">
        <v>2694</v>
      </c>
      <c r="Y86" s="846" t="s">
        <v>2695</v>
      </c>
      <c r="Z86" s="874">
        <v>42166</v>
      </c>
      <c r="AB86" s="619">
        <f t="shared" si="13"/>
        <v>57</v>
      </c>
      <c r="AC86" s="530">
        <f t="shared" si="14"/>
        <v>0.15605749486652978</v>
      </c>
      <c r="AD86" s="795">
        <v>1</v>
      </c>
      <c r="AE86" s="795"/>
      <c r="AF86" s="795"/>
      <c r="AG86" s="795"/>
      <c r="AJ86" s="874"/>
    </row>
    <row r="87" spans="1:36" x14ac:dyDescent="0.2">
      <c r="A87" s="527"/>
      <c r="B87" s="807" t="s">
        <v>1992</v>
      </c>
      <c r="C87" s="527" t="s">
        <v>496</v>
      </c>
      <c r="D87" s="851" t="s">
        <v>224</v>
      </c>
      <c r="E87" s="611" t="s">
        <v>1786</v>
      </c>
      <c r="F87" s="611" t="s">
        <v>1274</v>
      </c>
      <c r="G87" s="611" t="s">
        <v>2317</v>
      </c>
      <c r="H87" s="611">
        <v>2015</v>
      </c>
      <c r="I87" s="611">
        <v>2015</v>
      </c>
      <c r="J87" s="793"/>
      <c r="K87" s="793"/>
      <c r="L87" s="792"/>
      <c r="M87" s="728"/>
      <c r="N87" s="792"/>
      <c r="O87" s="792">
        <f t="shared" si="8"/>
        <v>2015</v>
      </c>
      <c r="P87" s="619">
        <f t="shared" si="9"/>
        <v>42186</v>
      </c>
      <c r="Q87" s="764">
        <f t="shared" si="10"/>
        <v>42172</v>
      </c>
      <c r="R87" s="619">
        <f t="shared" si="11"/>
        <v>-14</v>
      </c>
      <c r="S87" s="530">
        <f t="shared" si="12"/>
        <v>-3.8329911019849415E-2</v>
      </c>
      <c r="V87" s="527" t="s">
        <v>1992</v>
      </c>
      <c r="W87" s="874">
        <v>42109</v>
      </c>
      <c r="X87" s="872" t="s">
        <v>2694</v>
      </c>
      <c r="Y87" s="846" t="s">
        <v>2695</v>
      </c>
      <c r="Z87" s="874">
        <v>42172</v>
      </c>
      <c r="AB87" s="619">
        <f t="shared" si="13"/>
        <v>63</v>
      </c>
      <c r="AC87" s="530">
        <f t="shared" si="14"/>
        <v>0.17248459958932238</v>
      </c>
      <c r="AD87" s="795">
        <v>1</v>
      </c>
      <c r="AE87" s="795"/>
      <c r="AF87" s="795"/>
      <c r="AG87" s="795"/>
      <c r="AJ87" s="874"/>
    </row>
    <row r="88" spans="1:36" x14ac:dyDescent="0.2">
      <c r="A88" s="527"/>
      <c r="B88" s="807" t="s">
        <v>2571</v>
      </c>
      <c r="D88" s="851" t="s">
        <v>224</v>
      </c>
      <c r="E88" s="611"/>
      <c r="F88" s="611" t="s">
        <v>1274</v>
      </c>
      <c r="G88" s="611" t="s">
        <v>2315</v>
      </c>
      <c r="I88" s="527">
        <v>2015</v>
      </c>
      <c r="J88" s="793"/>
      <c r="K88" s="793">
        <v>1</v>
      </c>
      <c r="M88" s="533" t="s">
        <v>2470</v>
      </c>
      <c r="O88" s="792">
        <f t="shared" si="8"/>
        <v>2015</v>
      </c>
      <c r="P88" s="619">
        <f t="shared" si="9"/>
        <v>42186</v>
      </c>
      <c r="Q88" s="764">
        <f t="shared" si="10"/>
        <v>43186</v>
      </c>
      <c r="R88" s="619">
        <f t="shared" si="11"/>
        <v>1000</v>
      </c>
      <c r="S88" s="530">
        <f t="shared" si="12"/>
        <v>2.7378507871321012</v>
      </c>
      <c r="T88" s="611" t="s">
        <v>2299</v>
      </c>
      <c r="V88" s="527" t="s">
        <v>2571</v>
      </c>
      <c r="W88" s="874">
        <v>42109</v>
      </c>
      <c r="X88" s="872" t="s">
        <v>2694</v>
      </c>
      <c r="Y88" s="846" t="s">
        <v>2695</v>
      </c>
      <c r="Z88" s="874">
        <v>43186</v>
      </c>
      <c r="AB88" s="619">
        <f t="shared" si="13"/>
        <v>1077</v>
      </c>
      <c r="AC88" s="530">
        <f t="shared" si="14"/>
        <v>2.9486652977412731</v>
      </c>
      <c r="AD88" s="795">
        <v>1</v>
      </c>
      <c r="AE88" s="795"/>
      <c r="AF88" s="795"/>
      <c r="AG88" s="795"/>
      <c r="AJ88" s="874"/>
    </row>
    <row r="89" spans="1:36" x14ac:dyDescent="0.2">
      <c r="A89" s="527"/>
      <c r="B89" s="807" t="s">
        <v>2018</v>
      </c>
      <c r="C89" s="527" t="s">
        <v>2042</v>
      </c>
      <c r="D89" s="851" t="s">
        <v>224</v>
      </c>
      <c r="E89" s="611" t="s">
        <v>2317</v>
      </c>
      <c r="F89" s="611" t="s">
        <v>1274</v>
      </c>
      <c r="G89" s="611" t="s">
        <v>2360</v>
      </c>
      <c r="H89" s="611">
        <v>2015</v>
      </c>
      <c r="I89" s="611">
        <v>2015</v>
      </c>
      <c r="J89" s="793"/>
      <c r="K89" s="793">
        <v>1</v>
      </c>
      <c r="L89" s="792"/>
      <c r="M89" s="728"/>
      <c r="N89" s="792"/>
      <c r="O89" s="792">
        <f t="shared" si="8"/>
        <v>2015</v>
      </c>
      <c r="P89" s="619">
        <f t="shared" si="9"/>
        <v>42186</v>
      </c>
      <c r="Q89" s="764">
        <f t="shared" si="10"/>
        <v>42284</v>
      </c>
      <c r="R89" s="619">
        <f t="shared" si="11"/>
        <v>98</v>
      </c>
      <c r="S89" s="530">
        <f t="shared" si="12"/>
        <v>0.26830937713894593</v>
      </c>
      <c r="V89" s="527" t="s">
        <v>2018</v>
      </c>
      <c r="W89" s="874">
        <v>42116</v>
      </c>
      <c r="X89" s="872" t="s">
        <v>2167</v>
      </c>
      <c r="Y89" s="846" t="s">
        <v>2695</v>
      </c>
      <c r="Z89" s="874">
        <v>42284</v>
      </c>
      <c r="AB89" s="619">
        <f t="shared" si="13"/>
        <v>168</v>
      </c>
      <c r="AC89" s="530">
        <f t="shared" si="14"/>
        <v>0.45995893223819301</v>
      </c>
      <c r="AD89" s="795">
        <v>1</v>
      </c>
      <c r="AE89" s="795"/>
      <c r="AF89" s="795"/>
      <c r="AG89" s="795"/>
      <c r="AJ89" s="874"/>
    </row>
    <row r="90" spans="1:36" x14ac:dyDescent="0.2">
      <c r="A90" s="527"/>
      <c r="B90" s="533" t="s">
        <v>2627</v>
      </c>
      <c r="D90" s="851" t="s">
        <v>224</v>
      </c>
      <c r="G90" s="611" t="s">
        <v>2317</v>
      </c>
      <c r="I90" s="527">
        <v>2015</v>
      </c>
      <c r="J90" s="793"/>
      <c r="K90" s="793"/>
      <c r="M90" s="533" t="s">
        <v>2470</v>
      </c>
      <c r="O90" s="792">
        <f t="shared" si="8"/>
        <v>2015</v>
      </c>
      <c r="P90" s="619">
        <f t="shared" si="9"/>
        <v>42186</v>
      </c>
      <c r="Q90" s="764">
        <f t="shared" si="10"/>
        <v>43366</v>
      </c>
      <c r="R90" s="619">
        <f t="shared" si="11"/>
        <v>1180</v>
      </c>
      <c r="S90" s="530">
        <f t="shared" si="12"/>
        <v>3.2306639288158796</v>
      </c>
      <c r="T90" s="527" t="s">
        <v>492</v>
      </c>
      <c r="V90" s="527" t="s">
        <v>2627</v>
      </c>
      <c r="W90" s="874">
        <v>42121</v>
      </c>
      <c r="X90" s="872" t="s">
        <v>2167</v>
      </c>
      <c r="Y90" s="846" t="s">
        <v>2695</v>
      </c>
      <c r="Z90" s="874">
        <v>43366</v>
      </c>
      <c r="AB90" s="619">
        <f t="shared" si="13"/>
        <v>1245</v>
      </c>
      <c r="AC90" s="530">
        <f t="shared" si="14"/>
        <v>3.4086242299794662</v>
      </c>
      <c r="AD90" s="795">
        <v>1</v>
      </c>
      <c r="AE90" s="795"/>
      <c r="AF90" s="795"/>
      <c r="AG90" s="795"/>
      <c r="AJ90" s="874"/>
    </row>
    <row r="91" spans="1:36" x14ac:dyDescent="0.2">
      <c r="A91" s="527"/>
      <c r="B91" s="807" t="s">
        <v>2231</v>
      </c>
      <c r="C91" s="527" t="s">
        <v>855</v>
      </c>
      <c r="D91" s="851" t="s">
        <v>224</v>
      </c>
      <c r="E91" s="611" t="s">
        <v>2371</v>
      </c>
      <c r="F91" s="611" t="s">
        <v>1274</v>
      </c>
      <c r="G91" s="611" t="s">
        <v>2333</v>
      </c>
      <c r="H91" s="611"/>
      <c r="I91" s="611">
        <v>2015</v>
      </c>
      <c r="J91" s="793">
        <v>1</v>
      </c>
      <c r="K91" s="793">
        <v>1</v>
      </c>
      <c r="L91" s="792"/>
      <c r="M91" s="728"/>
      <c r="N91" s="792"/>
      <c r="O91" s="792">
        <f t="shared" si="8"/>
        <v>2015</v>
      </c>
      <c r="P91" s="619">
        <f t="shared" si="9"/>
        <v>42186</v>
      </c>
      <c r="Q91" s="764">
        <f t="shared" si="10"/>
        <v>42676</v>
      </c>
      <c r="R91" s="619">
        <f t="shared" si="11"/>
        <v>490</v>
      </c>
      <c r="S91" s="530">
        <f t="shared" si="12"/>
        <v>1.3415468856947297</v>
      </c>
      <c r="V91" s="527" t="s">
        <v>2231</v>
      </c>
      <c r="W91" s="874">
        <v>42125</v>
      </c>
      <c r="X91" s="872" t="s">
        <v>2167</v>
      </c>
      <c r="Y91" s="846" t="s">
        <v>2695</v>
      </c>
      <c r="Z91" s="874">
        <v>42676</v>
      </c>
      <c r="AB91" s="619">
        <f t="shared" si="13"/>
        <v>551</v>
      </c>
      <c r="AC91" s="530">
        <f t="shared" si="14"/>
        <v>1.5085557837097878</v>
      </c>
      <c r="AD91" s="795">
        <v>1</v>
      </c>
      <c r="AE91" s="795"/>
      <c r="AF91" s="795"/>
      <c r="AG91" s="795"/>
      <c r="AJ91" s="874"/>
    </row>
    <row r="92" spans="1:36" x14ac:dyDescent="0.2">
      <c r="A92" s="527"/>
      <c r="B92" s="807" t="s">
        <v>2232</v>
      </c>
      <c r="C92" s="527" t="s">
        <v>2296</v>
      </c>
      <c r="D92" s="851" t="s">
        <v>224</v>
      </c>
      <c r="E92" s="611" t="s">
        <v>2372</v>
      </c>
      <c r="F92" s="611" t="s">
        <v>1274</v>
      </c>
      <c r="G92" s="611" t="s">
        <v>2333</v>
      </c>
      <c r="H92" s="611"/>
      <c r="I92" s="611">
        <v>2015</v>
      </c>
      <c r="J92" s="793">
        <v>1</v>
      </c>
      <c r="K92" s="793">
        <v>1</v>
      </c>
      <c r="L92" s="792"/>
      <c r="M92" s="728"/>
      <c r="N92" s="792"/>
      <c r="O92" s="792">
        <f t="shared" si="8"/>
        <v>2015</v>
      </c>
      <c r="P92" s="619">
        <f t="shared" si="9"/>
        <v>42186</v>
      </c>
      <c r="Q92" s="764">
        <f t="shared" si="10"/>
        <v>42676</v>
      </c>
      <c r="R92" s="619">
        <f t="shared" si="11"/>
        <v>490</v>
      </c>
      <c r="S92" s="530">
        <f t="shared" si="12"/>
        <v>1.3415468856947297</v>
      </c>
      <c r="V92" s="614" t="s">
        <v>2232</v>
      </c>
      <c r="W92" s="874">
        <v>42125</v>
      </c>
      <c r="X92" s="872" t="s">
        <v>2167</v>
      </c>
      <c r="Y92" s="846" t="s">
        <v>2695</v>
      </c>
      <c r="Z92" s="874">
        <v>42676</v>
      </c>
      <c r="AB92" s="619">
        <f t="shared" si="13"/>
        <v>551</v>
      </c>
      <c r="AC92" s="530">
        <f t="shared" si="14"/>
        <v>1.5085557837097878</v>
      </c>
      <c r="AD92" s="795">
        <v>1</v>
      </c>
      <c r="AE92" s="795"/>
      <c r="AF92" s="795"/>
      <c r="AG92" s="795"/>
      <c r="AJ92" s="874"/>
    </row>
    <row r="93" spans="1:36" x14ac:dyDescent="0.2">
      <c r="A93" s="527"/>
      <c r="B93" s="807" t="s">
        <v>2008</v>
      </c>
      <c r="C93" s="527" t="s">
        <v>496</v>
      </c>
      <c r="D93" s="851" t="s">
        <v>224</v>
      </c>
      <c r="E93" s="611" t="s">
        <v>2359</v>
      </c>
      <c r="F93" s="611" t="s">
        <v>1274</v>
      </c>
      <c r="G93" s="611" t="s">
        <v>2317</v>
      </c>
      <c r="H93" s="611">
        <v>2015</v>
      </c>
      <c r="I93" s="611">
        <v>2015</v>
      </c>
      <c r="J93" s="793"/>
      <c r="K93" s="793"/>
      <c r="L93" s="792"/>
      <c r="M93" s="728"/>
      <c r="N93" s="792"/>
      <c r="O93" s="792">
        <f t="shared" si="8"/>
        <v>2015</v>
      </c>
      <c r="P93" s="619">
        <f t="shared" si="9"/>
        <v>42186</v>
      </c>
      <c r="Q93" s="764">
        <f t="shared" si="10"/>
        <v>42251</v>
      </c>
      <c r="R93" s="619">
        <f t="shared" si="11"/>
        <v>65</v>
      </c>
      <c r="S93" s="530">
        <f t="shared" si="12"/>
        <v>0.17796030116358658</v>
      </c>
      <c r="V93" s="527" t="s">
        <v>2008</v>
      </c>
      <c r="W93" s="875">
        <v>42128</v>
      </c>
      <c r="X93" s="872" t="s">
        <v>316</v>
      </c>
      <c r="Y93" s="846" t="s">
        <v>2695</v>
      </c>
      <c r="Z93" s="874">
        <v>42251</v>
      </c>
      <c r="AB93" s="619">
        <f t="shared" si="13"/>
        <v>123</v>
      </c>
      <c r="AC93" s="530">
        <f t="shared" si="14"/>
        <v>0.33675564681724846</v>
      </c>
      <c r="AD93" s="795">
        <v>1</v>
      </c>
      <c r="AE93" s="795"/>
      <c r="AF93" s="795"/>
      <c r="AG93" s="795"/>
      <c r="AJ93" s="874"/>
    </row>
    <row r="94" spans="1:36" x14ac:dyDescent="0.2">
      <c r="A94" s="527"/>
      <c r="B94" s="807" t="s">
        <v>2009</v>
      </c>
      <c r="C94" s="527" t="s">
        <v>496</v>
      </c>
      <c r="D94" s="851" t="s">
        <v>224</v>
      </c>
      <c r="E94" s="611"/>
      <c r="F94" s="611" t="s">
        <v>1274</v>
      </c>
      <c r="G94" s="611" t="s">
        <v>2317</v>
      </c>
      <c r="H94" s="611"/>
      <c r="I94" s="611">
        <v>2015</v>
      </c>
      <c r="J94" s="793"/>
      <c r="K94" s="793"/>
      <c r="L94" s="792"/>
      <c r="M94" s="728"/>
      <c r="N94" s="792"/>
      <c r="O94" s="792">
        <f t="shared" si="8"/>
        <v>2015</v>
      </c>
      <c r="P94" s="619">
        <f t="shared" si="9"/>
        <v>42186</v>
      </c>
      <c r="Q94" s="764">
        <f t="shared" si="10"/>
        <v>42255</v>
      </c>
      <c r="R94" s="619">
        <f t="shared" si="11"/>
        <v>69</v>
      </c>
      <c r="S94" s="530">
        <f t="shared" si="12"/>
        <v>0.18891170431211499</v>
      </c>
      <c r="V94" s="527" t="s">
        <v>2009</v>
      </c>
      <c r="W94" s="875">
        <v>42131</v>
      </c>
      <c r="X94" s="872" t="s">
        <v>316</v>
      </c>
      <c r="Y94" s="846" t="s">
        <v>2695</v>
      </c>
      <c r="Z94" s="874">
        <v>42255</v>
      </c>
      <c r="AB94" s="619">
        <f t="shared" si="13"/>
        <v>124</v>
      </c>
      <c r="AC94" s="530">
        <f t="shared" si="14"/>
        <v>0.33949349760438058</v>
      </c>
      <c r="AD94" s="795">
        <v>1</v>
      </c>
      <c r="AE94" s="795"/>
      <c r="AF94" s="795"/>
      <c r="AG94" s="795"/>
      <c r="AJ94" s="874"/>
    </row>
    <row r="95" spans="1:36" x14ac:dyDescent="0.2">
      <c r="A95" s="527"/>
      <c r="B95" s="807" t="s">
        <v>1998</v>
      </c>
      <c r="C95" s="527" t="s">
        <v>2045</v>
      </c>
      <c r="D95" s="851" t="s">
        <v>224</v>
      </c>
      <c r="E95" s="611" t="s">
        <v>2358</v>
      </c>
      <c r="F95" s="611" t="s">
        <v>1274</v>
      </c>
      <c r="G95" s="611" t="s">
        <v>2319</v>
      </c>
      <c r="H95" s="611">
        <v>2015</v>
      </c>
      <c r="I95" s="611">
        <v>2015</v>
      </c>
      <c r="J95" s="793">
        <v>1</v>
      </c>
      <c r="K95" s="793">
        <v>1</v>
      </c>
      <c r="L95" s="792"/>
      <c r="M95" s="728"/>
      <c r="N95" s="792"/>
      <c r="O95" s="792">
        <f t="shared" si="8"/>
        <v>2015</v>
      </c>
      <c r="P95" s="619">
        <f t="shared" si="9"/>
        <v>42186</v>
      </c>
      <c r="Q95" s="764">
        <f t="shared" si="10"/>
        <v>42251</v>
      </c>
      <c r="R95" s="619">
        <f t="shared" si="11"/>
        <v>65</v>
      </c>
      <c r="S95" s="530">
        <f t="shared" si="12"/>
        <v>0.17796030116358658</v>
      </c>
      <c r="V95" s="527" t="s">
        <v>1998</v>
      </c>
      <c r="W95" s="874">
        <v>42139</v>
      </c>
      <c r="X95" s="872" t="s">
        <v>2694</v>
      </c>
      <c r="Y95" s="846" t="s">
        <v>2695</v>
      </c>
      <c r="Z95" s="874">
        <v>42251</v>
      </c>
      <c r="AB95" s="619">
        <f t="shared" si="13"/>
        <v>112</v>
      </c>
      <c r="AC95" s="530">
        <f t="shared" si="14"/>
        <v>0.30663928815879532</v>
      </c>
      <c r="AD95" s="795">
        <v>1</v>
      </c>
      <c r="AE95" s="795"/>
      <c r="AF95" s="795"/>
      <c r="AG95" s="795"/>
      <c r="AJ95" s="874"/>
    </row>
    <row r="96" spans="1:36" x14ac:dyDescent="0.2">
      <c r="A96" s="527"/>
      <c r="B96" s="807" t="s">
        <v>2005</v>
      </c>
      <c r="C96" s="527" t="s">
        <v>492</v>
      </c>
      <c r="D96" s="851" t="s">
        <v>224</v>
      </c>
      <c r="E96" s="611" t="s">
        <v>1786</v>
      </c>
      <c r="F96" s="611" t="s">
        <v>1274</v>
      </c>
      <c r="G96" s="611" t="s">
        <v>2340</v>
      </c>
      <c r="H96" s="611">
        <v>2015</v>
      </c>
      <c r="I96" s="611">
        <v>2015</v>
      </c>
      <c r="J96" s="793"/>
      <c r="K96" s="793">
        <v>1</v>
      </c>
      <c r="L96" s="792"/>
      <c r="M96" s="728"/>
      <c r="N96" s="792"/>
      <c r="O96" s="792">
        <f t="shared" si="8"/>
        <v>2015</v>
      </c>
      <c r="P96" s="619">
        <f t="shared" si="9"/>
        <v>42186</v>
      </c>
      <c r="Q96" s="764">
        <f t="shared" si="10"/>
        <v>42280</v>
      </c>
      <c r="R96" s="619">
        <f t="shared" si="11"/>
        <v>94</v>
      </c>
      <c r="S96" s="530">
        <f t="shared" si="12"/>
        <v>0.25735797399041754</v>
      </c>
      <c r="V96" s="527" t="s">
        <v>2005</v>
      </c>
      <c r="W96" s="874">
        <v>42139</v>
      </c>
      <c r="X96" s="872" t="s">
        <v>2694</v>
      </c>
      <c r="Y96" s="846" t="s">
        <v>2695</v>
      </c>
      <c r="Z96" s="874">
        <v>42280</v>
      </c>
      <c r="AB96" s="619">
        <f t="shared" si="13"/>
        <v>141</v>
      </c>
      <c r="AC96" s="530">
        <f t="shared" si="14"/>
        <v>0.38603696098562629</v>
      </c>
      <c r="AD96" s="795">
        <v>1</v>
      </c>
      <c r="AE96" s="795"/>
      <c r="AF96" s="795"/>
      <c r="AG96" s="795"/>
      <c r="AJ96" s="874"/>
    </row>
    <row r="97" spans="1:36" x14ac:dyDescent="0.2">
      <c r="A97" s="527"/>
      <c r="B97" s="807" t="s">
        <v>2004</v>
      </c>
      <c r="C97" s="527" t="s">
        <v>492</v>
      </c>
      <c r="D97" s="851" t="s">
        <v>224</v>
      </c>
      <c r="E97" s="611"/>
      <c r="F97" s="611" t="s">
        <v>1274</v>
      </c>
      <c r="G97" s="611" t="s">
        <v>2333</v>
      </c>
      <c r="H97" s="611"/>
      <c r="I97" s="611">
        <v>2015</v>
      </c>
      <c r="J97" s="793"/>
      <c r="K97" s="793">
        <v>1</v>
      </c>
      <c r="L97" s="792"/>
      <c r="M97" s="728"/>
      <c r="N97" s="792"/>
      <c r="O97" s="792">
        <f t="shared" si="8"/>
        <v>2015</v>
      </c>
      <c r="P97" s="619">
        <f t="shared" si="9"/>
        <v>42186</v>
      </c>
      <c r="Q97" s="764">
        <f t="shared" si="10"/>
        <v>42280</v>
      </c>
      <c r="R97" s="619">
        <f t="shared" si="11"/>
        <v>94</v>
      </c>
      <c r="S97" s="530">
        <f t="shared" si="12"/>
        <v>0.25735797399041754</v>
      </c>
      <c r="V97" s="527" t="s">
        <v>2004</v>
      </c>
      <c r="W97" s="874">
        <v>42139</v>
      </c>
      <c r="X97" s="872" t="s">
        <v>2694</v>
      </c>
      <c r="Y97" s="846" t="s">
        <v>2695</v>
      </c>
      <c r="Z97" s="874">
        <v>42280</v>
      </c>
      <c r="AB97" s="619">
        <f t="shared" si="13"/>
        <v>141</v>
      </c>
      <c r="AC97" s="530">
        <f t="shared" si="14"/>
        <v>0.38603696098562629</v>
      </c>
      <c r="AD97" s="795">
        <v>1</v>
      </c>
      <c r="AE97" s="795"/>
      <c r="AF97" s="795"/>
      <c r="AG97" s="795"/>
      <c r="AJ97" s="874"/>
    </row>
    <row r="98" spans="1:36" x14ac:dyDescent="0.2">
      <c r="A98" s="527"/>
      <c r="B98" s="807" t="s">
        <v>2003</v>
      </c>
      <c r="C98" s="527" t="s">
        <v>2038</v>
      </c>
      <c r="D98" s="851" t="s">
        <v>224</v>
      </c>
      <c r="E98" s="611"/>
      <c r="F98" s="611" t="s">
        <v>1274</v>
      </c>
      <c r="G98" s="611" t="s">
        <v>2315</v>
      </c>
      <c r="H98" s="611"/>
      <c r="I98" s="611">
        <v>2015</v>
      </c>
      <c r="J98" s="793"/>
      <c r="K98" s="793">
        <v>1</v>
      </c>
      <c r="L98" s="792"/>
      <c r="M98" s="728"/>
      <c r="N98" s="792"/>
      <c r="O98" s="792">
        <f t="shared" si="8"/>
        <v>2015</v>
      </c>
      <c r="P98" s="619">
        <f t="shared" si="9"/>
        <v>42186</v>
      </c>
      <c r="Q98" s="764">
        <f t="shared" si="10"/>
        <v>42280</v>
      </c>
      <c r="R98" s="619">
        <f t="shared" si="11"/>
        <v>94</v>
      </c>
      <c r="S98" s="530">
        <f t="shared" si="12"/>
        <v>0.25735797399041754</v>
      </c>
      <c r="V98" s="527" t="s">
        <v>2003</v>
      </c>
      <c r="W98" s="874">
        <v>42139</v>
      </c>
      <c r="X98" s="872" t="s">
        <v>2694</v>
      </c>
      <c r="Y98" s="846" t="s">
        <v>2695</v>
      </c>
      <c r="Z98" s="874">
        <v>42280</v>
      </c>
      <c r="AB98" s="619">
        <f t="shared" si="13"/>
        <v>141</v>
      </c>
      <c r="AC98" s="530">
        <f t="shared" si="14"/>
        <v>0.38603696098562629</v>
      </c>
      <c r="AD98" s="795">
        <v>1</v>
      </c>
      <c r="AE98" s="795"/>
      <c r="AF98" s="795"/>
      <c r="AG98" s="795"/>
      <c r="AJ98" s="874"/>
    </row>
    <row r="99" spans="1:36" x14ac:dyDescent="0.2">
      <c r="A99" s="527"/>
      <c r="B99" s="807" t="s">
        <v>2021</v>
      </c>
      <c r="C99" s="527" t="s">
        <v>2046</v>
      </c>
      <c r="D99" s="851" t="s">
        <v>224</v>
      </c>
      <c r="E99" s="611"/>
      <c r="F99" s="611" t="s">
        <v>1274</v>
      </c>
      <c r="G99" s="611" t="s">
        <v>2361</v>
      </c>
      <c r="H99" s="611"/>
      <c r="I99" s="611">
        <v>2015</v>
      </c>
      <c r="J99" s="793"/>
      <c r="K99" s="793">
        <v>1</v>
      </c>
      <c r="L99" s="792"/>
      <c r="M99" s="728"/>
      <c r="N99" s="792"/>
      <c r="O99" s="792">
        <f t="shared" si="8"/>
        <v>2015</v>
      </c>
      <c r="P99" s="619">
        <f t="shared" si="9"/>
        <v>42186</v>
      </c>
      <c r="Q99" s="764">
        <f t="shared" si="10"/>
        <v>42356</v>
      </c>
      <c r="R99" s="619">
        <f t="shared" si="11"/>
        <v>170</v>
      </c>
      <c r="S99" s="530">
        <f t="shared" si="12"/>
        <v>0.4654346338124572</v>
      </c>
      <c r="V99" s="614" t="s">
        <v>2021</v>
      </c>
      <c r="W99" s="874">
        <v>42139</v>
      </c>
      <c r="X99" s="872" t="s">
        <v>2694</v>
      </c>
      <c r="Y99" s="846" t="s">
        <v>2695</v>
      </c>
      <c r="Z99" s="874">
        <v>42356</v>
      </c>
      <c r="AA99" s="855"/>
      <c r="AB99" s="619">
        <f t="shared" si="13"/>
        <v>217</v>
      </c>
      <c r="AC99" s="530">
        <f t="shared" si="14"/>
        <v>0.59411362080766594</v>
      </c>
      <c r="AD99" s="795">
        <v>1</v>
      </c>
      <c r="AE99" s="795"/>
      <c r="AF99" s="795"/>
      <c r="AG99" s="795"/>
      <c r="AJ99" s="874"/>
    </row>
    <row r="100" spans="1:36" x14ac:dyDescent="0.2">
      <c r="A100" s="527"/>
      <c r="B100" s="807" t="s">
        <v>2032</v>
      </c>
      <c r="C100" s="527" t="s">
        <v>2292</v>
      </c>
      <c r="D100" s="851" t="s">
        <v>224</v>
      </c>
      <c r="E100" s="611" t="s">
        <v>2363</v>
      </c>
      <c r="F100" s="611" t="s">
        <v>1274</v>
      </c>
      <c r="G100" s="611" t="s">
        <v>2333</v>
      </c>
      <c r="H100" s="611">
        <v>2015</v>
      </c>
      <c r="I100" s="611">
        <v>2015</v>
      </c>
      <c r="J100" s="793">
        <v>1</v>
      </c>
      <c r="K100" s="793">
        <v>1</v>
      </c>
      <c r="L100" s="792"/>
      <c r="M100" s="728"/>
      <c r="N100" s="792"/>
      <c r="O100" s="792">
        <f t="shared" si="8"/>
        <v>2015</v>
      </c>
      <c r="P100" s="619">
        <f t="shared" ref="P100:P131" si="15">DATE(O100,7,1)</f>
        <v>42186</v>
      </c>
      <c r="Q100" s="764">
        <f t="shared" si="10"/>
        <v>42369</v>
      </c>
      <c r="R100" s="619">
        <f t="shared" si="11"/>
        <v>183</v>
      </c>
      <c r="S100" s="530">
        <f t="shared" si="12"/>
        <v>0.50102669404517453</v>
      </c>
      <c r="V100" s="614" t="s">
        <v>2032</v>
      </c>
      <c r="W100" s="874">
        <v>42139</v>
      </c>
      <c r="X100" s="872" t="s">
        <v>2694</v>
      </c>
      <c r="Y100" s="846" t="s">
        <v>2695</v>
      </c>
      <c r="Z100" s="874">
        <v>42369</v>
      </c>
      <c r="AB100" s="619">
        <f t="shared" si="13"/>
        <v>230</v>
      </c>
      <c r="AC100" s="530">
        <f t="shared" si="14"/>
        <v>0.62970568104038327</v>
      </c>
      <c r="AD100" s="795">
        <v>1</v>
      </c>
      <c r="AE100" s="795"/>
      <c r="AF100" s="795"/>
      <c r="AG100" s="795"/>
      <c r="AJ100" s="874"/>
    </row>
    <row r="101" spans="1:36" x14ac:dyDescent="0.2">
      <c r="A101" s="527"/>
      <c r="B101" s="807" t="s">
        <v>2209</v>
      </c>
      <c r="C101" s="527" t="s">
        <v>2038</v>
      </c>
      <c r="D101" s="851" t="s">
        <v>224</v>
      </c>
      <c r="E101" s="611"/>
      <c r="F101" s="611" t="s">
        <v>1274</v>
      </c>
      <c r="G101" s="611" t="s">
        <v>2319</v>
      </c>
      <c r="H101" s="611"/>
      <c r="I101" s="611">
        <v>2016</v>
      </c>
      <c r="J101" s="793"/>
      <c r="K101" s="793">
        <v>1</v>
      </c>
      <c r="L101" s="792"/>
      <c r="M101" s="728"/>
      <c r="N101" s="792"/>
      <c r="O101" s="792">
        <f t="shared" si="8"/>
        <v>2016</v>
      </c>
      <c r="P101" s="619">
        <f t="shared" si="15"/>
        <v>42552</v>
      </c>
      <c r="Q101" s="764">
        <f t="shared" si="10"/>
        <v>42665</v>
      </c>
      <c r="R101" s="619">
        <f t="shared" si="11"/>
        <v>113</v>
      </c>
      <c r="S101" s="530">
        <f t="shared" si="12"/>
        <v>0.30937713894592744</v>
      </c>
      <c r="V101" s="527" t="s">
        <v>2209</v>
      </c>
      <c r="W101" s="874">
        <v>42139</v>
      </c>
      <c r="X101" s="872" t="s">
        <v>2694</v>
      </c>
      <c r="Y101" s="846" t="s">
        <v>2695</v>
      </c>
      <c r="Z101" s="874">
        <v>42665</v>
      </c>
      <c r="AB101" s="619">
        <f t="shared" si="13"/>
        <v>526</v>
      </c>
      <c r="AC101" s="530">
        <f t="shared" si="14"/>
        <v>1.4401095140314852</v>
      </c>
      <c r="AD101" s="795">
        <v>1</v>
      </c>
      <c r="AE101" s="795"/>
      <c r="AF101" s="795"/>
      <c r="AG101" s="795"/>
      <c r="AJ101" s="874"/>
    </row>
    <row r="102" spans="1:36" ht="13.5" customHeight="1" x14ac:dyDescent="0.2">
      <c r="A102" s="527"/>
      <c r="B102" s="807" t="s">
        <v>2033</v>
      </c>
      <c r="C102" s="527" t="s">
        <v>2043</v>
      </c>
      <c r="D102" s="851" t="s">
        <v>224</v>
      </c>
      <c r="E102" s="611"/>
      <c r="F102" s="611" t="s">
        <v>1274</v>
      </c>
      <c r="G102" s="611" t="s">
        <v>2317</v>
      </c>
      <c r="H102" s="611"/>
      <c r="I102" s="611">
        <v>2015</v>
      </c>
      <c r="J102" s="793"/>
      <c r="K102" s="793"/>
      <c r="L102" s="792"/>
      <c r="M102" s="728"/>
      <c r="N102" s="792"/>
      <c r="O102" s="792">
        <f t="shared" si="8"/>
        <v>2015</v>
      </c>
      <c r="P102" s="619">
        <f t="shared" si="15"/>
        <v>42186</v>
      </c>
      <c r="Q102" s="764">
        <f t="shared" si="10"/>
        <v>42309</v>
      </c>
      <c r="R102" s="619">
        <f t="shared" si="11"/>
        <v>123</v>
      </c>
      <c r="S102" s="530">
        <f t="shared" si="12"/>
        <v>0.33675564681724846</v>
      </c>
      <c r="V102" s="527" t="s">
        <v>2033</v>
      </c>
      <c r="W102" s="874">
        <v>42186</v>
      </c>
      <c r="X102" s="872" t="s">
        <v>316</v>
      </c>
      <c r="Y102" s="846" t="s">
        <v>2695</v>
      </c>
      <c r="Z102" s="874">
        <v>42309</v>
      </c>
      <c r="AB102" s="619">
        <f t="shared" si="13"/>
        <v>123</v>
      </c>
      <c r="AC102" s="530">
        <f t="shared" si="14"/>
        <v>0.33675564681724846</v>
      </c>
      <c r="AD102" s="795">
        <v>1</v>
      </c>
      <c r="AE102" s="795"/>
      <c r="AF102" s="795"/>
      <c r="AG102" s="795"/>
      <c r="AJ102" s="874"/>
    </row>
    <row r="103" spans="1:36" x14ac:dyDescent="0.2">
      <c r="A103" s="527"/>
      <c r="B103" s="807" t="s">
        <v>2095</v>
      </c>
      <c r="C103" s="527" t="s">
        <v>2293</v>
      </c>
      <c r="D103" s="851" t="s">
        <v>224</v>
      </c>
      <c r="E103" s="611"/>
      <c r="F103" s="611" t="s">
        <v>1274</v>
      </c>
      <c r="G103" s="611" t="s">
        <v>2361</v>
      </c>
      <c r="H103" s="611"/>
      <c r="I103" s="611">
        <v>2015</v>
      </c>
      <c r="J103" s="793"/>
      <c r="K103" s="793">
        <v>1</v>
      </c>
      <c r="L103" s="792"/>
      <c r="M103" s="728"/>
      <c r="N103" s="792"/>
      <c r="O103" s="792">
        <f t="shared" si="8"/>
        <v>2015</v>
      </c>
      <c r="P103" s="619">
        <f t="shared" si="15"/>
        <v>42186</v>
      </c>
      <c r="Q103" s="764">
        <f t="shared" si="10"/>
        <v>42364</v>
      </c>
      <c r="R103" s="619">
        <f t="shared" si="11"/>
        <v>178</v>
      </c>
      <c r="S103" s="530">
        <f t="shared" si="12"/>
        <v>0.48733744010951402</v>
      </c>
      <c r="V103" s="527" t="s">
        <v>2095</v>
      </c>
      <c r="W103" s="874">
        <v>42186</v>
      </c>
      <c r="X103" s="872" t="s">
        <v>316</v>
      </c>
      <c r="Y103" s="846" t="s">
        <v>2695</v>
      </c>
      <c r="Z103" s="874">
        <v>42364</v>
      </c>
      <c r="AA103" s="855"/>
      <c r="AB103" s="619">
        <f t="shared" si="13"/>
        <v>178</v>
      </c>
      <c r="AC103" s="530">
        <f t="shared" si="14"/>
        <v>0.48733744010951402</v>
      </c>
      <c r="AD103" s="795">
        <v>1</v>
      </c>
      <c r="AE103" s="795"/>
      <c r="AF103" s="795"/>
      <c r="AG103" s="795"/>
      <c r="AJ103" s="874"/>
    </row>
    <row r="104" spans="1:36" x14ac:dyDescent="0.2">
      <c r="A104" s="527"/>
      <c r="B104" s="807" t="s">
        <v>2119</v>
      </c>
      <c r="C104" s="527" t="s">
        <v>496</v>
      </c>
      <c r="D104" s="851" t="s">
        <v>224</v>
      </c>
      <c r="E104" s="611"/>
      <c r="F104" s="611" t="s">
        <v>1274</v>
      </c>
      <c r="G104" s="611" t="s">
        <v>2317</v>
      </c>
      <c r="H104" s="611"/>
      <c r="I104" s="611">
        <v>2015</v>
      </c>
      <c r="J104" s="793"/>
      <c r="K104" s="793"/>
      <c r="L104" s="792"/>
      <c r="M104" s="728"/>
      <c r="N104" s="792"/>
      <c r="O104" s="792">
        <f t="shared" si="8"/>
        <v>2015</v>
      </c>
      <c r="P104" s="619">
        <f t="shared" si="15"/>
        <v>42186</v>
      </c>
      <c r="Q104" s="764">
        <f t="shared" si="10"/>
        <v>42471</v>
      </c>
      <c r="R104" s="619">
        <f t="shared" si="11"/>
        <v>285</v>
      </c>
      <c r="S104" s="530">
        <f t="shared" si="12"/>
        <v>0.78028747433264889</v>
      </c>
      <c r="V104" s="527" t="s">
        <v>2119</v>
      </c>
      <c r="W104" s="874">
        <v>42186</v>
      </c>
      <c r="X104" s="872" t="s">
        <v>316</v>
      </c>
      <c r="Y104" s="846" t="s">
        <v>2695</v>
      </c>
      <c r="Z104" s="874">
        <v>42471</v>
      </c>
      <c r="AB104" s="619">
        <f t="shared" si="13"/>
        <v>285</v>
      </c>
      <c r="AC104" s="530">
        <f t="shared" si="14"/>
        <v>0.78028747433264889</v>
      </c>
      <c r="AD104" s="795">
        <v>1</v>
      </c>
      <c r="AE104" s="795"/>
      <c r="AF104" s="795"/>
      <c r="AG104" s="795"/>
      <c r="AJ104" s="874"/>
    </row>
    <row r="105" spans="1:36" x14ac:dyDescent="0.2">
      <c r="A105" s="527"/>
      <c r="B105" s="807" t="s">
        <v>2245</v>
      </c>
      <c r="C105" s="527" t="s">
        <v>2298</v>
      </c>
      <c r="D105" s="851" t="s">
        <v>224</v>
      </c>
      <c r="E105" s="611"/>
      <c r="F105" s="611" t="s">
        <v>1274</v>
      </c>
      <c r="G105" s="611" t="s">
        <v>2374</v>
      </c>
      <c r="H105" s="611"/>
      <c r="I105" s="611">
        <v>2015</v>
      </c>
      <c r="J105" s="793"/>
      <c r="K105" s="793">
        <v>1</v>
      </c>
      <c r="L105" s="792"/>
      <c r="M105" s="728"/>
      <c r="N105" s="792"/>
      <c r="O105" s="792">
        <f t="shared" si="8"/>
        <v>2015</v>
      </c>
      <c r="P105" s="619">
        <f t="shared" si="15"/>
        <v>42186</v>
      </c>
      <c r="Q105" s="764">
        <f t="shared" si="10"/>
        <v>42695</v>
      </c>
      <c r="R105" s="619">
        <f t="shared" si="11"/>
        <v>509</v>
      </c>
      <c r="S105" s="530">
        <f t="shared" si="12"/>
        <v>1.3935660506502396</v>
      </c>
      <c r="V105" s="527" t="s">
        <v>2245</v>
      </c>
      <c r="W105" s="874">
        <v>42186</v>
      </c>
      <c r="X105" s="872" t="s">
        <v>316</v>
      </c>
      <c r="Y105" s="846" t="s">
        <v>2695</v>
      </c>
      <c r="Z105" s="874">
        <v>42695</v>
      </c>
      <c r="AB105" s="619">
        <f t="shared" si="13"/>
        <v>509</v>
      </c>
      <c r="AC105" s="530">
        <f t="shared" si="14"/>
        <v>1.3935660506502396</v>
      </c>
      <c r="AD105" s="795">
        <v>1</v>
      </c>
      <c r="AE105" s="795"/>
      <c r="AF105" s="795"/>
      <c r="AG105" s="795"/>
      <c r="AJ105" s="874"/>
    </row>
    <row r="106" spans="1:36" x14ac:dyDescent="0.2">
      <c r="A106" s="527"/>
      <c r="B106" s="807" t="s">
        <v>2246</v>
      </c>
      <c r="C106" s="527" t="s">
        <v>2043</v>
      </c>
      <c r="D106" s="851" t="s">
        <v>224</v>
      </c>
      <c r="E106" s="611"/>
      <c r="F106" s="611" t="s">
        <v>1274</v>
      </c>
      <c r="G106" s="611" t="s">
        <v>2374</v>
      </c>
      <c r="H106" s="611"/>
      <c r="I106" s="611">
        <v>2015</v>
      </c>
      <c r="J106" s="793"/>
      <c r="K106" s="793">
        <v>1</v>
      </c>
      <c r="L106" s="792"/>
      <c r="M106" s="728"/>
      <c r="N106" s="792"/>
      <c r="O106" s="792">
        <f t="shared" si="8"/>
        <v>2015</v>
      </c>
      <c r="P106" s="619">
        <f t="shared" si="15"/>
        <v>42186</v>
      </c>
      <c r="Q106" s="764">
        <f t="shared" si="10"/>
        <v>42695</v>
      </c>
      <c r="R106" s="619">
        <f t="shared" si="11"/>
        <v>509</v>
      </c>
      <c r="S106" s="530">
        <f t="shared" si="12"/>
        <v>1.3935660506502396</v>
      </c>
      <c r="V106" s="527" t="s">
        <v>2246</v>
      </c>
      <c r="W106" s="874">
        <v>42186</v>
      </c>
      <c r="X106" s="872" t="s">
        <v>316</v>
      </c>
      <c r="Y106" s="846" t="s">
        <v>2695</v>
      </c>
      <c r="Z106" s="874">
        <v>42695</v>
      </c>
      <c r="AB106" s="619">
        <f t="shared" si="13"/>
        <v>509</v>
      </c>
      <c r="AC106" s="530">
        <f t="shared" si="14"/>
        <v>1.3935660506502396</v>
      </c>
      <c r="AD106" s="795">
        <v>1</v>
      </c>
      <c r="AE106" s="795"/>
      <c r="AF106" s="795"/>
      <c r="AG106" s="795"/>
      <c r="AJ106" s="874"/>
    </row>
    <row r="107" spans="1:36" x14ac:dyDescent="0.2">
      <c r="A107" s="527"/>
      <c r="B107" s="807" t="s">
        <v>2259</v>
      </c>
      <c r="C107" s="527" t="s">
        <v>2299</v>
      </c>
      <c r="D107" s="851" t="s">
        <v>224</v>
      </c>
      <c r="E107" s="611"/>
      <c r="F107" s="611" t="s">
        <v>1274</v>
      </c>
      <c r="G107" s="611" t="s">
        <v>2317</v>
      </c>
      <c r="H107" s="611"/>
      <c r="I107" s="611">
        <v>2015</v>
      </c>
      <c r="J107" s="793"/>
      <c r="K107" s="793"/>
      <c r="L107" s="792"/>
      <c r="M107" s="728"/>
      <c r="N107" s="792"/>
      <c r="O107" s="792">
        <f t="shared" si="8"/>
        <v>2015</v>
      </c>
      <c r="P107" s="619">
        <f t="shared" si="15"/>
        <v>42186</v>
      </c>
      <c r="Q107" s="764">
        <f t="shared" si="10"/>
        <v>42721</v>
      </c>
      <c r="R107" s="619">
        <f t="shared" si="11"/>
        <v>535</v>
      </c>
      <c r="S107" s="530">
        <f t="shared" si="12"/>
        <v>1.4647501711156743</v>
      </c>
      <c r="T107" s="527" t="s">
        <v>2554</v>
      </c>
      <c r="V107" s="527" t="s">
        <v>2259</v>
      </c>
      <c r="W107" s="874">
        <v>42186</v>
      </c>
      <c r="X107" s="872" t="s">
        <v>316</v>
      </c>
      <c r="Y107" s="846" t="s">
        <v>2695</v>
      </c>
      <c r="Z107" s="874">
        <v>42721</v>
      </c>
      <c r="AB107" s="619">
        <f t="shared" si="13"/>
        <v>535</v>
      </c>
      <c r="AC107" s="530">
        <f t="shared" si="14"/>
        <v>1.4647501711156743</v>
      </c>
      <c r="AD107" s="795">
        <v>1</v>
      </c>
      <c r="AE107" s="795"/>
      <c r="AF107" s="795"/>
      <c r="AG107" s="795"/>
      <c r="AJ107" s="874"/>
    </row>
    <row r="108" spans="1:36" x14ac:dyDescent="0.2">
      <c r="A108" s="527"/>
      <c r="B108" s="807" t="s">
        <v>2261</v>
      </c>
      <c r="C108" s="527" t="s">
        <v>766</v>
      </c>
      <c r="D108" s="851" t="s">
        <v>224</v>
      </c>
      <c r="E108" s="611" t="s">
        <v>2377</v>
      </c>
      <c r="F108" s="611" t="s">
        <v>1274</v>
      </c>
      <c r="G108" s="611" t="s">
        <v>2317</v>
      </c>
      <c r="I108" s="611">
        <v>2015</v>
      </c>
      <c r="J108" s="794"/>
      <c r="K108" s="794"/>
      <c r="O108" s="792">
        <f t="shared" si="8"/>
        <v>2015</v>
      </c>
      <c r="P108" s="619">
        <f t="shared" si="15"/>
        <v>42186</v>
      </c>
      <c r="Q108" s="764">
        <f t="shared" si="10"/>
        <v>42721</v>
      </c>
      <c r="R108" s="619">
        <f t="shared" si="11"/>
        <v>535</v>
      </c>
      <c r="S108" s="530">
        <f t="shared" si="12"/>
        <v>1.4647501711156743</v>
      </c>
      <c r="T108" s="527" t="s">
        <v>2049</v>
      </c>
      <c r="V108" s="527" t="s">
        <v>2261</v>
      </c>
      <c r="W108" s="874">
        <v>42186</v>
      </c>
      <c r="X108" s="872" t="s">
        <v>316</v>
      </c>
      <c r="Y108" s="846" t="s">
        <v>2695</v>
      </c>
      <c r="Z108" s="874">
        <v>42721</v>
      </c>
      <c r="AB108" s="619">
        <f t="shared" si="13"/>
        <v>535</v>
      </c>
      <c r="AC108" s="530">
        <f t="shared" si="14"/>
        <v>1.4647501711156743</v>
      </c>
      <c r="AD108" s="795">
        <v>1</v>
      </c>
      <c r="AE108" s="795"/>
      <c r="AF108" s="795"/>
      <c r="AG108" s="795"/>
      <c r="AJ108" s="874"/>
    </row>
    <row r="109" spans="1:36" x14ac:dyDescent="0.2">
      <c r="A109" s="527"/>
      <c r="B109" s="533" t="s">
        <v>2629</v>
      </c>
      <c r="D109" s="851" t="s">
        <v>224</v>
      </c>
      <c r="E109" s="611"/>
      <c r="F109" s="611"/>
      <c r="G109" s="611" t="s">
        <v>2317</v>
      </c>
      <c r="I109" s="527">
        <v>2015</v>
      </c>
      <c r="J109" s="793"/>
      <c r="K109" s="793"/>
      <c r="M109" s="533" t="s">
        <v>2630</v>
      </c>
      <c r="O109" s="792">
        <f t="shared" si="8"/>
        <v>2015</v>
      </c>
      <c r="P109" s="619">
        <f t="shared" si="15"/>
        <v>42186</v>
      </c>
      <c r="Q109" s="764">
        <f t="shared" si="10"/>
        <v>43366</v>
      </c>
      <c r="R109" s="619">
        <f t="shared" si="11"/>
        <v>1180</v>
      </c>
      <c r="S109" s="530">
        <f t="shared" si="12"/>
        <v>3.2306639288158796</v>
      </c>
      <c r="T109" s="527" t="s">
        <v>492</v>
      </c>
      <c r="V109" s="527" t="s">
        <v>2629</v>
      </c>
      <c r="W109" s="874">
        <v>42186</v>
      </c>
      <c r="X109" s="872" t="s">
        <v>316</v>
      </c>
      <c r="Y109" s="846" t="s">
        <v>2695</v>
      </c>
      <c r="Z109" s="874">
        <v>43366</v>
      </c>
      <c r="AB109" s="619">
        <f t="shared" si="13"/>
        <v>1180</v>
      </c>
      <c r="AC109" s="530">
        <f t="shared" si="14"/>
        <v>3.2306639288158796</v>
      </c>
      <c r="AD109" s="795">
        <v>1</v>
      </c>
      <c r="AE109" s="795"/>
      <c r="AF109" s="795"/>
      <c r="AG109" s="795"/>
      <c r="AJ109" s="874"/>
    </row>
    <row r="110" spans="1:36" x14ac:dyDescent="0.2">
      <c r="A110" s="527"/>
      <c r="B110" s="807" t="s">
        <v>2017</v>
      </c>
      <c r="C110" s="527" t="s">
        <v>496</v>
      </c>
      <c r="D110" s="851" t="s">
        <v>224</v>
      </c>
      <c r="E110" s="611" t="s">
        <v>2317</v>
      </c>
      <c r="F110" s="611" t="s">
        <v>1274</v>
      </c>
      <c r="G110" s="611" t="s">
        <v>2360</v>
      </c>
      <c r="H110" s="611">
        <v>2015</v>
      </c>
      <c r="I110" s="611">
        <v>2015</v>
      </c>
      <c r="J110" s="793"/>
      <c r="K110" s="793">
        <v>1</v>
      </c>
      <c r="L110" s="792"/>
      <c r="M110" s="728"/>
      <c r="N110" s="792"/>
      <c r="O110" s="792">
        <f t="shared" si="8"/>
        <v>2015</v>
      </c>
      <c r="P110" s="619">
        <f t="shared" si="15"/>
        <v>42186</v>
      </c>
      <c r="Q110" s="764">
        <f t="shared" si="10"/>
        <v>42284</v>
      </c>
      <c r="R110" s="619">
        <f t="shared" si="11"/>
        <v>98</v>
      </c>
      <c r="S110" s="530">
        <f t="shared" si="12"/>
        <v>0.26830937713894593</v>
      </c>
      <c r="V110" s="527" t="s">
        <v>2017</v>
      </c>
      <c r="W110" s="874">
        <v>42191</v>
      </c>
      <c r="X110" s="872" t="s">
        <v>2167</v>
      </c>
      <c r="Y110" s="846" t="s">
        <v>2695</v>
      </c>
      <c r="Z110" s="874">
        <v>42284</v>
      </c>
      <c r="AB110" s="619">
        <f t="shared" si="13"/>
        <v>93</v>
      </c>
      <c r="AC110" s="530">
        <f t="shared" si="14"/>
        <v>0.25462012320328542</v>
      </c>
      <c r="AD110" s="795">
        <v>1</v>
      </c>
      <c r="AE110" s="795"/>
      <c r="AF110" s="795"/>
      <c r="AG110" s="795"/>
      <c r="AJ110" s="874"/>
    </row>
    <row r="111" spans="1:36" x14ac:dyDescent="0.2">
      <c r="A111" s="527"/>
      <c r="B111" s="807" t="s">
        <v>2011</v>
      </c>
      <c r="C111" s="527" t="s">
        <v>2038</v>
      </c>
      <c r="D111" s="851" t="s">
        <v>224</v>
      </c>
      <c r="E111" s="611" t="s">
        <v>1786</v>
      </c>
      <c r="F111" s="611" t="s">
        <v>1274</v>
      </c>
      <c r="G111" s="611" t="s">
        <v>1786</v>
      </c>
      <c r="H111" s="611">
        <v>2015</v>
      </c>
      <c r="I111" s="611">
        <v>2015</v>
      </c>
      <c r="J111" s="793"/>
      <c r="K111" s="793"/>
      <c r="L111" s="792"/>
      <c r="M111" s="728"/>
      <c r="N111" s="792"/>
      <c r="O111" s="792">
        <f t="shared" si="8"/>
        <v>2015</v>
      </c>
      <c r="P111" s="619">
        <f t="shared" si="15"/>
        <v>42186</v>
      </c>
      <c r="Q111" s="764">
        <f t="shared" si="10"/>
        <v>42299</v>
      </c>
      <c r="R111" s="619">
        <f t="shared" si="11"/>
        <v>113</v>
      </c>
      <c r="S111" s="530">
        <f t="shared" si="12"/>
        <v>0.30937713894592744</v>
      </c>
      <c r="V111" s="527" t="s">
        <v>2011</v>
      </c>
      <c r="W111" s="874">
        <v>42231</v>
      </c>
      <c r="X111" s="872" t="s">
        <v>2694</v>
      </c>
      <c r="Y111" s="846" t="s">
        <v>2695</v>
      </c>
      <c r="Z111" s="874">
        <v>42299</v>
      </c>
      <c r="AB111" s="619">
        <f t="shared" si="13"/>
        <v>68</v>
      </c>
      <c r="AC111" s="530">
        <f t="shared" si="14"/>
        <v>0.18617385352498289</v>
      </c>
      <c r="AD111" s="795">
        <v>1</v>
      </c>
      <c r="AE111" s="795"/>
      <c r="AF111" s="795"/>
      <c r="AG111" s="795"/>
      <c r="AJ111" s="874"/>
    </row>
    <row r="112" spans="1:36" x14ac:dyDescent="0.2">
      <c r="A112" s="527"/>
      <c r="B112" s="807" t="s">
        <v>2027</v>
      </c>
      <c r="C112" s="527" t="s">
        <v>496</v>
      </c>
      <c r="D112" s="851" t="s">
        <v>224</v>
      </c>
      <c r="E112" s="611"/>
      <c r="F112" s="611" t="s">
        <v>1274</v>
      </c>
      <c r="G112" s="611" t="s">
        <v>2362</v>
      </c>
      <c r="H112" s="611"/>
      <c r="I112" s="611">
        <v>2015</v>
      </c>
      <c r="J112" s="793"/>
      <c r="K112" s="793">
        <v>1</v>
      </c>
      <c r="L112" s="792"/>
      <c r="M112" s="728"/>
      <c r="N112" s="792"/>
      <c r="O112" s="792">
        <f t="shared" si="8"/>
        <v>2015</v>
      </c>
      <c r="P112" s="619">
        <f t="shared" si="15"/>
        <v>42186</v>
      </c>
      <c r="Q112" s="764">
        <f t="shared" si="10"/>
        <v>42332</v>
      </c>
      <c r="R112" s="619">
        <f t="shared" si="11"/>
        <v>146</v>
      </c>
      <c r="S112" s="530">
        <f t="shared" si="12"/>
        <v>0.39972621492128679</v>
      </c>
      <c r="V112" s="527" t="s">
        <v>2027</v>
      </c>
      <c r="W112" s="874">
        <v>42231</v>
      </c>
      <c r="X112" s="872" t="s">
        <v>2694</v>
      </c>
      <c r="Y112" s="846" t="s">
        <v>2695</v>
      </c>
      <c r="Z112" s="874">
        <v>42332</v>
      </c>
      <c r="AB112" s="619">
        <f t="shared" si="13"/>
        <v>101</v>
      </c>
      <c r="AC112" s="530">
        <f t="shared" si="14"/>
        <v>0.27652292950034224</v>
      </c>
      <c r="AD112" s="795">
        <v>1</v>
      </c>
      <c r="AE112" s="795"/>
      <c r="AF112" s="795"/>
      <c r="AG112" s="795"/>
      <c r="AJ112" s="874"/>
    </row>
    <row r="113" spans="1:36" x14ac:dyDescent="0.2">
      <c r="A113" s="527"/>
      <c r="B113" s="807" t="s">
        <v>2104</v>
      </c>
      <c r="C113" s="527" t="s">
        <v>496</v>
      </c>
      <c r="D113" s="851" t="s">
        <v>224</v>
      </c>
      <c r="E113" s="611" t="s">
        <v>2364</v>
      </c>
      <c r="F113" s="611" t="s">
        <v>1274</v>
      </c>
      <c r="G113" s="611" t="s">
        <v>2333</v>
      </c>
      <c r="H113" s="611">
        <v>2015</v>
      </c>
      <c r="I113" s="611">
        <v>2015</v>
      </c>
      <c r="J113" s="793"/>
      <c r="K113" s="793">
        <v>1</v>
      </c>
      <c r="L113" s="792"/>
      <c r="M113" s="728"/>
      <c r="N113" s="792"/>
      <c r="O113" s="792">
        <f t="shared" si="8"/>
        <v>2015</v>
      </c>
      <c r="P113" s="619">
        <f t="shared" si="15"/>
        <v>42186</v>
      </c>
      <c r="Q113" s="764">
        <f t="shared" si="10"/>
        <v>42382</v>
      </c>
      <c r="R113" s="619">
        <f t="shared" si="11"/>
        <v>196</v>
      </c>
      <c r="S113" s="530">
        <f t="shared" si="12"/>
        <v>0.53661875427789185</v>
      </c>
      <c r="V113" s="527" t="s">
        <v>2104</v>
      </c>
      <c r="W113" s="874">
        <v>42231</v>
      </c>
      <c r="X113" s="872" t="s">
        <v>2694</v>
      </c>
      <c r="Y113" s="846" t="s">
        <v>2695</v>
      </c>
      <c r="Z113" s="874">
        <v>42382</v>
      </c>
      <c r="AB113" s="619">
        <f t="shared" si="13"/>
        <v>151</v>
      </c>
      <c r="AC113" s="530">
        <f t="shared" si="14"/>
        <v>0.4134154688569473</v>
      </c>
      <c r="AD113" s="795">
        <v>1</v>
      </c>
      <c r="AE113" s="795"/>
      <c r="AF113" s="795"/>
      <c r="AG113" s="795"/>
      <c r="AJ113" s="874"/>
    </row>
    <row r="114" spans="1:36" x14ac:dyDescent="0.2">
      <c r="A114" s="527"/>
      <c r="B114" s="807" t="s">
        <v>2201</v>
      </c>
      <c r="C114" s="527" t="s">
        <v>496</v>
      </c>
      <c r="D114" s="851" t="s">
        <v>224</v>
      </c>
      <c r="E114" s="611"/>
      <c r="F114" s="611" t="s">
        <v>1274</v>
      </c>
      <c r="G114" s="611" t="s">
        <v>2370</v>
      </c>
      <c r="H114" s="611"/>
      <c r="I114" s="611">
        <v>2015</v>
      </c>
      <c r="J114" s="793"/>
      <c r="K114" s="793">
        <v>1</v>
      </c>
      <c r="L114" s="792"/>
      <c r="M114" s="728"/>
      <c r="N114" s="792"/>
      <c r="O114" s="792">
        <f t="shared" si="8"/>
        <v>2015</v>
      </c>
      <c r="P114" s="619">
        <f t="shared" si="15"/>
        <v>42186</v>
      </c>
      <c r="Q114" s="764">
        <f t="shared" si="10"/>
        <v>42595</v>
      </c>
      <c r="R114" s="619">
        <f t="shared" si="11"/>
        <v>409</v>
      </c>
      <c r="S114" s="530">
        <f t="shared" si="12"/>
        <v>1.1197809719370295</v>
      </c>
      <c r="V114" s="527" t="s">
        <v>2201</v>
      </c>
      <c r="W114" s="874">
        <v>42262</v>
      </c>
      <c r="X114" s="872" t="s">
        <v>2694</v>
      </c>
      <c r="Y114" s="846" t="s">
        <v>2695</v>
      </c>
      <c r="Z114" s="874">
        <v>42595</v>
      </c>
      <c r="AB114" s="619">
        <f t="shared" si="13"/>
        <v>333</v>
      </c>
      <c r="AC114" s="530">
        <f t="shared" si="14"/>
        <v>0.9117043121149897</v>
      </c>
      <c r="AD114" s="795">
        <v>1</v>
      </c>
      <c r="AE114" s="795"/>
      <c r="AF114" s="795"/>
      <c r="AG114" s="795"/>
      <c r="AJ114" s="874"/>
    </row>
    <row r="115" spans="1:36" ht="11.25" customHeight="1" x14ac:dyDescent="0.2">
      <c r="A115" s="527"/>
      <c r="B115" s="807" t="s">
        <v>2108</v>
      </c>
      <c r="C115" s="527" t="s">
        <v>2043</v>
      </c>
      <c r="D115" s="851" t="s">
        <v>224</v>
      </c>
      <c r="E115" s="611"/>
      <c r="F115" s="611" t="s">
        <v>1274</v>
      </c>
      <c r="G115" s="611" t="s">
        <v>2365</v>
      </c>
      <c r="H115" s="611"/>
      <c r="I115" s="611">
        <v>2015</v>
      </c>
      <c r="J115" s="793"/>
      <c r="K115" s="793">
        <v>1</v>
      </c>
      <c r="L115" s="792"/>
      <c r="M115" s="728"/>
      <c r="N115" s="792"/>
      <c r="O115" s="792">
        <f t="shared" si="8"/>
        <v>2015</v>
      </c>
      <c r="P115" s="619">
        <f t="shared" si="15"/>
        <v>42186</v>
      </c>
      <c r="Q115" s="764">
        <f t="shared" si="10"/>
        <v>42393</v>
      </c>
      <c r="R115" s="619">
        <f t="shared" si="11"/>
        <v>207</v>
      </c>
      <c r="S115" s="530">
        <f t="shared" si="12"/>
        <v>0.56673511293634493</v>
      </c>
      <c r="V115" s="527" t="s">
        <v>2108</v>
      </c>
      <c r="W115" s="874">
        <v>42292</v>
      </c>
      <c r="X115" s="872" t="s">
        <v>2694</v>
      </c>
      <c r="Y115" s="846" t="s">
        <v>2695</v>
      </c>
      <c r="Z115" s="874">
        <v>42393</v>
      </c>
      <c r="AB115" s="619">
        <f t="shared" si="13"/>
        <v>101</v>
      </c>
      <c r="AC115" s="530">
        <f t="shared" si="14"/>
        <v>0.27652292950034224</v>
      </c>
      <c r="AD115" s="795">
        <v>1</v>
      </c>
      <c r="AE115" s="795"/>
      <c r="AF115" s="795"/>
      <c r="AG115" s="795"/>
      <c r="AJ115" s="874"/>
    </row>
    <row r="116" spans="1:36" x14ac:dyDescent="0.2">
      <c r="A116" s="527"/>
      <c r="B116" s="807" t="s">
        <v>2121</v>
      </c>
      <c r="C116" s="527" t="s">
        <v>496</v>
      </c>
      <c r="D116" s="851" t="s">
        <v>224</v>
      </c>
      <c r="E116" s="611"/>
      <c r="F116" s="611" t="s">
        <v>1274</v>
      </c>
      <c r="G116" s="611" t="s">
        <v>2315</v>
      </c>
      <c r="H116" s="611"/>
      <c r="I116" s="611">
        <v>2015</v>
      </c>
      <c r="J116" s="793"/>
      <c r="K116" s="793">
        <v>1</v>
      </c>
      <c r="L116" s="792"/>
      <c r="M116" s="728"/>
      <c r="N116" s="792"/>
      <c r="O116" s="792">
        <f t="shared" si="8"/>
        <v>2015</v>
      </c>
      <c r="P116" s="619">
        <f t="shared" si="15"/>
        <v>42186</v>
      </c>
      <c r="Q116" s="764">
        <f t="shared" si="10"/>
        <v>42490</v>
      </c>
      <c r="R116" s="619">
        <f t="shared" si="11"/>
        <v>304</v>
      </c>
      <c r="S116" s="530">
        <f t="shared" si="12"/>
        <v>0.83230663928815884</v>
      </c>
      <c r="V116" s="614" t="s">
        <v>2121</v>
      </c>
      <c r="W116" s="874">
        <v>42292</v>
      </c>
      <c r="X116" s="872" t="s">
        <v>2694</v>
      </c>
      <c r="Y116" s="846" t="s">
        <v>2695</v>
      </c>
      <c r="Z116" s="874">
        <v>42490</v>
      </c>
      <c r="AB116" s="619">
        <f t="shared" si="13"/>
        <v>198</v>
      </c>
      <c r="AC116" s="530">
        <f t="shared" si="14"/>
        <v>0.5420944558521561</v>
      </c>
      <c r="AD116" s="795">
        <v>1</v>
      </c>
      <c r="AE116" s="795"/>
      <c r="AF116" s="795"/>
      <c r="AG116" s="795"/>
      <c r="AJ116" s="874"/>
    </row>
    <row r="117" spans="1:36" x14ac:dyDescent="0.2">
      <c r="A117" s="527"/>
      <c r="B117" s="807" t="s">
        <v>2110</v>
      </c>
      <c r="C117" s="527" t="s">
        <v>496</v>
      </c>
      <c r="D117" s="851" t="s">
        <v>224</v>
      </c>
      <c r="E117" s="611" t="s">
        <v>2367</v>
      </c>
      <c r="F117" s="611" t="s">
        <v>1274</v>
      </c>
      <c r="G117" s="611" t="s">
        <v>2319</v>
      </c>
      <c r="H117" s="611">
        <v>2015</v>
      </c>
      <c r="I117" s="611">
        <v>2015</v>
      </c>
      <c r="J117" s="793"/>
      <c r="K117" s="793">
        <v>1</v>
      </c>
      <c r="L117" s="792"/>
      <c r="M117" s="728"/>
      <c r="N117" s="792"/>
      <c r="O117" s="792">
        <f t="shared" si="8"/>
        <v>2015</v>
      </c>
      <c r="P117" s="619">
        <f t="shared" si="15"/>
        <v>42186</v>
      </c>
      <c r="Q117" s="764">
        <f t="shared" si="10"/>
        <v>42427</v>
      </c>
      <c r="R117" s="619">
        <f t="shared" si="11"/>
        <v>241</v>
      </c>
      <c r="S117" s="530">
        <f t="shared" si="12"/>
        <v>0.65982203969883646</v>
      </c>
      <c r="V117" s="527" t="s">
        <v>2110</v>
      </c>
      <c r="W117" s="874">
        <v>42323</v>
      </c>
      <c r="X117" s="872" t="s">
        <v>2694</v>
      </c>
      <c r="Y117" s="846" t="s">
        <v>2695</v>
      </c>
      <c r="Z117" s="874">
        <v>42427</v>
      </c>
      <c r="AB117" s="619">
        <f t="shared" si="13"/>
        <v>104</v>
      </c>
      <c r="AC117" s="530">
        <f t="shared" si="14"/>
        <v>0.28473648186173856</v>
      </c>
      <c r="AD117" s="795">
        <v>1</v>
      </c>
      <c r="AE117" s="795"/>
      <c r="AF117" s="795"/>
      <c r="AG117" s="795"/>
      <c r="AJ117" s="874"/>
    </row>
    <row r="118" spans="1:36" x14ac:dyDescent="0.2">
      <c r="A118" s="527"/>
      <c r="B118" s="807" t="s">
        <v>2193</v>
      </c>
      <c r="C118" s="527" t="s">
        <v>496</v>
      </c>
      <c r="D118" s="851" t="s">
        <v>224</v>
      </c>
      <c r="E118" s="611" t="s">
        <v>1786</v>
      </c>
      <c r="F118" s="611" t="s">
        <v>1274</v>
      </c>
      <c r="G118" s="611" t="s">
        <v>2368</v>
      </c>
      <c r="H118" s="611"/>
      <c r="I118" s="611">
        <v>2016</v>
      </c>
      <c r="J118" s="793"/>
      <c r="K118" s="793">
        <v>1</v>
      </c>
      <c r="L118" s="792"/>
      <c r="M118" s="728"/>
      <c r="N118" s="792"/>
      <c r="O118" s="792">
        <f t="shared" si="8"/>
        <v>2016</v>
      </c>
      <c r="P118" s="619">
        <f t="shared" si="15"/>
        <v>42552</v>
      </c>
      <c r="Q118" s="764">
        <f t="shared" si="10"/>
        <v>42505</v>
      </c>
      <c r="R118" s="619">
        <f t="shared" si="11"/>
        <v>-47</v>
      </c>
      <c r="S118" s="530">
        <f t="shared" si="12"/>
        <v>-0.12867898699520877</v>
      </c>
      <c r="V118" s="527" t="s">
        <v>2193</v>
      </c>
      <c r="W118" s="874">
        <v>42353</v>
      </c>
      <c r="X118" s="872" t="s">
        <v>2694</v>
      </c>
      <c r="Y118" s="846" t="s">
        <v>2695</v>
      </c>
      <c r="Z118" s="874">
        <v>42505</v>
      </c>
      <c r="AB118" s="619">
        <f t="shared" si="13"/>
        <v>152</v>
      </c>
      <c r="AC118" s="530">
        <f t="shared" si="14"/>
        <v>0.41615331964407942</v>
      </c>
      <c r="AD118" s="795">
        <v>1</v>
      </c>
      <c r="AE118" s="795"/>
      <c r="AF118" s="795"/>
      <c r="AG118" s="795"/>
      <c r="AJ118" s="874"/>
    </row>
    <row r="119" spans="1:36" x14ac:dyDescent="0.2">
      <c r="A119" s="527"/>
      <c r="B119" s="807" t="s">
        <v>2185</v>
      </c>
      <c r="C119" s="527" t="s">
        <v>496</v>
      </c>
      <c r="D119" s="851" t="s">
        <v>224</v>
      </c>
      <c r="E119" s="611"/>
      <c r="F119" s="611" t="s">
        <v>1274</v>
      </c>
      <c r="G119" s="611" t="s">
        <v>2340</v>
      </c>
      <c r="H119" s="611"/>
      <c r="I119" s="611">
        <v>2015</v>
      </c>
      <c r="J119" s="793"/>
      <c r="K119" s="793">
        <v>1</v>
      </c>
      <c r="L119" s="792"/>
      <c r="M119" s="728"/>
      <c r="N119" s="792"/>
      <c r="O119" s="792">
        <f t="shared" si="8"/>
        <v>2015</v>
      </c>
      <c r="P119" s="619">
        <f t="shared" si="15"/>
        <v>42186</v>
      </c>
      <c r="Q119" s="764">
        <f t="shared" si="10"/>
        <v>42514</v>
      </c>
      <c r="R119" s="619">
        <f t="shared" si="11"/>
        <v>328</v>
      </c>
      <c r="S119" s="530">
        <f t="shared" si="12"/>
        <v>0.89801505817932925</v>
      </c>
      <c r="V119" s="527" t="s">
        <v>2185</v>
      </c>
      <c r="W119" s="874">
        <v>42353</v>
      </c>
      <c r="X119" s="872" t="s">
        <v>2694</v>
      </c>
      <c r="Y119" s="846" t="s">
        <v>2695</v>
      </c>
      <c r="Z119" s="874">
        <v>42514</v>
      </c>
      <c r="AB119" s="619">
        <f t="shared" si="13"/>
        <v>161</v>
      </c>
      <c r="AC119" s="530">
        <f t="shared" si="14"/>
        <v>0.44079397672826831</v>
      </c>
      <c r="AD119" s="795">
        <v>1</v>
      </c>
      <c r="AE119" s="795"/>
      <c r="AF119" s="795"/>
      <c r="AG119" s="795"/>
      <c r="AJ119" s="874"/>
    </row>
    <row r="120" spans="1:36" x14ac:dyDescent="0.2">
      <c r="A120" s="527"/>
      <c r="B120" s="807" t="s">
        <v>2186</v>
      </c>
      <c r="C120" s="527" t="s">
        <v>2294</v>
      </c>
      <c r="D120" s="851" t="s">
        <v>224</v>
      </c>
      <c r="E120" s="611"/>
      <c r="F120" s="611" t="s">
        <v>1274</v>
      </c>
      <c r="G120" s="611" t="s">
        <v>1786</v>
      </c>
      <c r="H120" s="611"/>
      <c r="I120" s="611">
        <v>2016</v>
      </c>
      <c r="J120" s="793"/>
      <c r="K120" s="793"/>
      <c r="L120" s="792"/>
      <c r="M120" s="728"/>
      <c r="N120" s="792"/>
      <c r="O120" s="792">
        <f t="shared" si="8"/>
        <v>2016</v>
      </c>
      <c r="P120" s="619">
        <f t="shared" si="15"/>
        <v>42552</v>
      </c>
      <c r="Q120" s="764">
        <f t="shared" si="10"/>
        <v>42643</v>
      </c>
      <c r="R120" s="619">
        <f t="shared" si="11"/>
        <v>91</v>
      </c>
      <c r="S120" s="530">
        <f t="shared" si="12"/>
        <v>0.24914442162902123</v>
      </c>
      <c r="V120" s="527" t="s">
        <v>2186</v>
      </c>
      <c r="W120" s="874">
        <v>42384</v>
      </c>
      <c r="X120" s="872" t="s">
        <v>2694</v>
      </c>
      <c r="Y120" s="846" t="s">
        <v>2695</v>
      </c>
      <c r="Z120" s="874">
        <v>42643</v>
      </c>
      <c r="AB120" s="619">
        <f t="shared" si="13"/>
        <v>259</v>
      </c>
      <c r="AC120" s="530">
        <f t="shared" si="14"/>
        <v>0.70910335386721424</v>
      </c>
      <c r="AD120" s="795">
        <v>1</v>
      </c>
      <c r="AE120" s="795"/>
      <c r="AF120" s="795"/>
      <c r="AG120" s="795"/>
      <c r="AJ120" s="874"/>
    </row>
    <row r="121" spans="1:36" x14ac:dyDescent="0.2">
      <c r="A121" s="527"/>
      <c r="B121" s="807" t="s">
        <v>2116</v>
      </c>
      <c r="C121" s="527" t="s">
        <v>2060</v>
      </c>
      <c r="D121" s="851" t="s">
        <v>224</v>
      </c>
      <c r="E121" s="611"/>
      <c r="F121" s="611" t="s">
        <v>1274</v>
      </c>
      <c r="G121" s="611" t="s">
        <v>2348</v>
      </c>
      <c r="H121" s="611"/>
      <c r="I121" s="611">
        <v>2016</v>
      </c>
      <c r="J121" s="793"/>
      <c r="K121" s="793">
        <v>1</v>
      </c>
      <c r="L121" s="792"/>
      <c r="M121" s="728"/>
      <c r="N121" s="792"/>
      <c r="O121" s="792">
        <f t="shared" si="8"/>
        <v>2016</v>
      </c>
      <c r="P121" s="619">
        <f t="shared" si="15"/>
        <v>42552</v>
      </c>
      <c r="Q121" s="764">
        <f t="shared" si="10"/>
        <v>42471</v>
      </c>
      <c r="R121" s="619">
        <f t="shared" si="11"/>
        <v>-81</v>
      </c>
      <c r="S121" s="530">
        <f t="shared" si="12"/>
        <v>-0.22176591375770022</v>
      </c>
      <c r="V121" s="527" t="s">
        <v>2116</v>
      </c>
      <c r="W121" s="874">
        <v>42414</v>
      </c>
      <c r="X121" s="872" t="s">
        <v>2694</v>
      </c>
      <c r="Y121" s="846" t="s">
        <v>2695</v>
      </c>
      <c r="Z121" s="874">
        <v>42471</v>
      </c>
      <c r="AB121" s="619">
        <f t="shared" si="13"/>
        <v>57</v>
      </c>
      <c r="AC121" s="530">
        <f t="shared" si="14"/>
        <v>0.15605749486652978</v>
      </c>
      <c r="AD121" s="795">
        <v>1</v>
      </c>
      <c r="AE121" s="795"/>
      <c r="AF121" s="795"/>
      <c r="AG121" s="795"/>
      <c r="AJ121" s="874"/>
    </row>
    <row r="122" spans="1:36" x14ac:dyDescent="0.2">
      <c r="A122" s="527"/>
      <c r="B122" s="807" t="s">
        <v>2194</v>
      </c>
      <c r="C122" s="527" t="s">
        <v>496</v>
      </c>
      <c r="D122" s="851" t="s">
        <v>224</v>
      </c>
      <c r="E122" s="611"/>
      <c r="F122" s="611" t="s">
        <v>1274</v>
      </c>
      <c r="G122" s="611" t="s">
        <v>2317</v>
      </c>
      <c r="H122" s="611"/>
      <c r="I122" s="611">
        <v>2016</v>
      </c>
      <c r="J122" s="793"/>
      <c r="K122" s="793"/>
      <c r="L122" s="792"/>
      <c r="M122" s="728"/>
      <c r="N122" s="792"/>
      <c r="O122" s="792">
        <f t="shared" si="8"/>
        <v>2016</v>
      </c>
      <c r="P122" s="619">
        <f t="shared" si="15"/>
        <v>42552</v>
      </c>
      <c r="Q122" s="764">
        <f t="shared" si="10"/>
        <v>42505</v>
      </c>
      <c r="R122" s="619">
        <f t="shared" si="11"/>
        <v>-47</v>
      </c>
      <c r="S122" s="530">
        <f t="shared" si="12"/>
        <v>-0.12867898699520877</v>
      </c>
      <c r="V122" s="527" t="s">
        <v>2194</v>
      </c>
      <c r="W122" s="874">
        <v>42414</v>
      </c>
      <c r="X122" s="872" t="s">
        <v>2694</v>
      </c>
      <c r="Y122" s="846" t="s">
        <v>2695</v>
      </c>
      <c r="Z122" s="874">
        <v>42505</v>
      </c>
      <c r="AB122" s="619">
        <f t="shared" si="13"/>
        <v>91</v>
      </c>
      <c r="AC122" s="530">
        <f t="shared" si="14"/>
        <v>0.24914442162902123</v>
      </c>
      <c r="AD122" s="795">
        <v>1</v>
      </c>
      <c r="AE122" s="795"/>
      <c r="AF122" s="795"/>
      <c r="AG122" s="795"/>
      <c r="AJ122" s="874"/>
    </row>
    <row r="123" spans="1:36" x14ac:dyDescent="0.2">
      <c r="A123" s="527"/>
      <c r="B123" s="807" t="s">
        <v>2199</v>
      </c>
      <c r="C123" s="527" t="s">
        <v>496</v>
      </c>
      <c r="D123" s="851" t="s">
        <v>224</v>
      </c>
      <c r="E123" s="611"/>
      <c r="F123" s="611" t="s">
        <v>1274</v>
      </c>
      <c r="G123" s="611" t="s">
        <v>2319</v>
      </c>
      <c r="H123" s="611"/>
      <c r="I123" s="611">
        <v>2016</v>
      </c>
      <c r="J123" s="793"/>
      <c r="K123" s="793">
        <v>1</v>
      </c>
      <c r="L123" s="792"/>
      <c r="M123" s="728"/>
      <c r="N123" s="792"/>
      <c r="O123" s="792">
        <f t="shared" si="8"/>
        <v>2016</v>
      </c>
      <c r="P123" s="619">
        <f t="shared" si="15"/>
        <v>42552</v>
      </c>
      <c r="Q123" s="764">
        <f t="shared" si="10"/>
        <v>42553</v>
      </c>
      <c r="R123" s="619">
        <f t="shared" si="11"/>
        <v>1</v>
      </c>
      <c r="S123" s="530">
        <f t="shared" si="12"/>
        <v>2.7378507871321013E-3</v>
      </c>
      <c r="V123" s="614" t="s">
        <v>2199</v>
      </c>
      <c r="W123" s="874">
        <v>42414</v>
      </c>
      <c r="X123" s="872" t="s">
        <v>2694</v>
      </c>
      <c r="Y123" s="846" t="s">
        <v>2695</v>
      </c>
      <c r="Z123" s="874">
        <v>42553</v>
      </c>
      <c r="AB123" s="619">
        <f t="shared" si="13"/>
        <v>139</v>
      </c>
      <c r="AC123" s="530">
        <f t="shared" si="14"/>
        <v>0.3805612594113621</v>
      </c>
      <c r="AD123" s="795">
        <v>1</v>
      </c>
      <c r="AE123" s="795"/>
      <c r="AF123" s="795"/>
      <c r="AG123" s="795"/>
      <c r="AJ123" s="874"/>
    </row>
    <row r="124" spans="1:36" x14ac:dyDescent="0.2">
      <c r="A124" s="527"/>
      <c r="B124" s="807" t="s">
        <v>2217</v>
      </c>
      <c r="C124" s="527" t="s">
        <v>2297</v>
      </c>
      <c r="D124" s="851" t="s">
        <v>224</v>
      </c>
      <c r="E124" s="611" t="s">
        <v>1786</v>
      </c>
      <c r="F124" s="611" t="s">
        <v>1274</v>
      </c>
      <c r="G124" s="611" t="s">
        <v>2373</v>
      </c>
      <c r="H124" s="611"/>
      <c r="I124" s="611">
        <v>2015</v>
      </c>
      <c r="J124" s="793"/>
      <c r="K124" s="793">
        <v>1</v>
      </c>
      <c r="L124" s="792"/>
      <c r="M124" s="728"/>
      <c r="N124" s="792"/>
      <c r="O124" s="792">
        <f t="shared" si="8"/>
        <v>2015</v>
      </c>
      <c r="P124" s="619">
        <f t="shared" si="15"/>
        <v>42186</v>
      </c>
      <c r="Q124" s="764">
        <f t="shared" si="10"/>
        <v>42626</v>
      </c>
      <c r="R124" s="619">
        <f t="shared" si="11"/>
        <v>440</v>
      </c>
      <c r="S124" s="530">
        <f t="shared" si="12"/>
        <v>1.2046543463381245</v>
      </c>
      <c r="V124" s="527" t="s">
        <v>2217</v>
      </c>
      <c r="W124" s="874">
        <v>42414</v>
      </c>
      <c r="X124" s="872" t="s">
        <v>2694</v>
      </c>
      <c r="Y124" s="846" t="s">
        <v>2695</v>
      </c>
      <c r="Z124" s="874">
        <v>42626</v>
      </c>
      <c r="AB124" s="619">
        <f t="shared" si="13"/>
        <v>212</v>
      </c>
      <c r="AC124" s="530">
        <f t="shared" si="14"/>
        <v>0.58042436687200549</v>
      </c>
      <c r="AD124" s="795">
        <v>1</v>
      </c>
      <c r="AE124" s="795"/>
      <c r="AF124" s="795"/>
      <c r="AG124" s="795"/>
      <c r="AJ124" s="874"/>
    </row>
    <row r="125" spans="1:36" x14ac:dyDescent="0.2">
      <c r="A125" s="527"/>
      <c r="B125" s="527" t="s">
        <v>2667</v>
      </c>
      <c r="D125" s="611" t="s">
        <v>224</v>
      </c>
      <c r="E125" s="611"/>
      <c r="G125" s="611"/>
      <c r="I125" s="527">
        <v>2016</v>
      </c>
      <c r="O125" s="792">
        <f t="shared" si="8"/>
        <v>2016</v>
      </c>
      <c r="P125" s="619">
        <f t="shared" si="15"/>
        <v>42552</v>
      </c>
      <c r="Q125" s="764">
        <f t="shared" si="10"/>
        <v>43505</v>
      </c>
      <c r="R125" s="619">
        <f t="shared" si="11"/>
        <v>953</v>
      </c>
      <c r="S125" s="530">
        <f t="shared" si="12"/>
        <v>2.6091718001368926</v>
      </c>
      <c r="V125" s="527" t="s">
        <v>2667</v>
      </c>
      <c r="W125" s="874">
        <v>42422</v>
      </c>
      <c r="X125" s="872" t="s">
        <v>2167</v>
      </c>
      <c r="Y125" s="846" t="s">
        <v>2695</v>
      </c>
      <c r="Z125" s="874">
        <v>43505</v>
      </c>
      <c r="AB125" s="619">
        <f t="shared" si="13"/>
        <v>1083</v>
      </c>
      <c r="AC125" s="530">
        <f t="shared" si="14"/>
        <v>2.9650924024640659</v>
      </c>
      <c r="AD125" s="795">
        <v>1</v>
      </c>
      <c r="AE125" s="795"/>
      <c r="AF125" s="795"/>
      <c r="AG125" s="795"/>
      <c r="AJ125" s="874"/>
    </row>
    <row r="126" spans="1:36" x14ac:dyDescent="0.2">
      <c r="A126" s="527"/>
      <c r="B126" s="807" t="s">
        <v>2182</v>
      </c>
      <c r="C126" s="527" t="s">
        <v>496</v>
      </c>
      <c r="D126" s="851" t="s">
        <v>224</v>
      </c>
      <c r="E126" s="611"/>
      <c r="F126" s="611" t="s">
        <v>1274</v>
      </c>
      <c r="G126" s="611" t="s">
        <v>2317</v>
      </c>
      <c r="H126" s="611"/>
      <c r="I126" s="611">
        <v>2016</v>
      </c>
      <c r="J126" s="793"/>
      <c r="K126" s="793"/>
      <c r="L126" s="792"/>
      <c r="M126" s="728"/>
      <c r="N126" s="792"/>
      <c r="O126" s="792">
        <f t="shared" si="8"/>
        <v>2016</v>
      </c>
      <c r="P126" s="619">
        <f t="shared" si="15"/>
        <v>42552</v>
      </c>
      <c r="Q126" s="764">
        <f t="shared" si="10"/>
        <v>42484</v>
      </c>
      <c r="R126" s="619">
        <f t="shared" si="11"/>
        <v>-68</v>
      </c>
      <c r="S126" s="530">
        <f t="shared" si="12"/>
        <v>-0.18617385352498289</v>
      </c>
      <c r="V126" s="527" t="s">
        <v>2182</v>
      </c>
      <c r="W126" s="875">
        <v>42427</v>
      </c>
      <c r="X126" s="872" t="s">
        <v>316</v>
      </c>
      <c r="Y126" s="846" t="s">
        <v>2695</v>
      </c>
      <c r="Z126" s="874">
        <v>42484</v>
      </c>
      <c r="AB126" s="619">
        <f t="shared" si="13"/>
        <v>57</v>
      </c>
      <c r="AC126" s="530">
        <f t="shared" si="14"/>
        <v>0.15605749486652978</v>
      </c>
      <c r="AD126" s="795">
        <v>1</v>
      </c>
      <c r="AE126" s="795"/>
      <c r="AF126" s="795"/>
      <c r="AG126" s="795"/>
      <c r="AJ126" s="874"/>
    </row>
    <row r="127" spans="1:36" x14ac:dyDescent="0.2">
      <c r="A127" s="527"/>
      <c r="B127" s="807" t="s">
        <v>2183</v>
      </c>
      <c r="C127" s="527" t="s">
        <v>496</v>
      </c>
      <c r="D127" s="851" t="s">
        <v>224</v>
      </c>
      <c r="E127" s="611"/>
      <c r="F127" s="611" t="s">
        <v>1274</v>
      </c>
      <c r="G127" s="611" t="s">
        <v>2317</v>
      </c>
      <c r="H127" s="611"/>
      <c r="I127" s="611">
        <v>2016</v>
      </c>
      <c r="J127" s="793"/>
      <c r="K127" s="793"/>
      <c r="L127" s="792"/>
      <c r="M127" s="728"/>
      <c r="N127" s="792"/>
      <c r="O127" s="792">
        <f t="shared" si="8"/>
        <v>2016</v>
      </c>
      <c r="P127" s="619">
        <f t="shared" si="15"/>
        <v>42552</v>
      </c>
      <c r="Q127" s="764">
        <f t="shared" si="10"/>
        <v>42484</v>
      </c>
      <c r="R127" s="619">
        <f t="shared" si="11"/>
        <v>-68</v>
      </c>
      <c r="S127" s="530">
        <f t="shared" si="12"/>
        <v>-0.18617385352498289</v>
      </c>
      <c r="V127" s="527" t="s">
        <v>2183</v>
      </c>
      <c r="W127" s="875">
        <v>42427</v>
      </c>
      <c r="X127" s="872" t="s">
        <v>316</v>
      </c>
      <c r="Y127" s="846" t="s">
        <v>2695</v>
      </c>
      <c r="Z127" s="874">
        <v>42484</v>
      </c>
      <c r="AB127" s="619">
        <f t="shared" si="13"/>
        <v>57</v>
      </c>
      <c r="AC127" s="530">
        <f t="shared" si="14"/>
        <v>0.15605749486652978</v>
      </c>
      <c r="AD127" s="795">
        <v>1</v>
      </c>
      <c r="AE127" s="795"/>
      <c r="AF127" s="795"/>
      <c r="AG127" s="795"/>
      <c r="AJ127" s="874"/>
    </row>
    <row r="128" spans="1:36" x14ac:dyDescent="0.2">
      <c r="A128" s="527"/>
      <c r="B128" s="807" t="s">
        <v>2196</v>
      </c>
      <c r="C128" s="527" t="s">
        <v>496</v>
      </c>
      <c r="D128" s="851" t="s">
        <v>224</v>
      </c>
      <c r="E128" s="611"/>
      <c r="F128" s="611" t="s">
        <v>1274</v>
      </c>
      <c r="G128" s="611" t="s">
        <v>2340</v>
      </c>
      <c r="H128" s="611"/>
      <c r="I128" s="611">
        <v>2016</v>
      </c>
      <c r="J128" s="793"/>
      <c r="K128" s="793">
        <v>1</v>
      </c>
      <c r="L128" s="792"/>
      <c r="M128" s="728"/>
      <c r="N128" s="792"/>
      <c r="O128" s="792">
        <f t="shared" si="8"/>
        <v>2016</v>
      </c>
      <c r="P128" s="619">
        <f t="shared" si="15"/>
        <v>42552</v>
      </c>
      <c r="Q128" s="764">
        <f t="shared" si="10"/>
        <v>42532</v>
      </c>
      <c r="R128" s="619">
        <f t="shared" si="11"/>
        <v>-20</v>
      </c>
      <c r="S128" s="530">
        <f t="shared" si="12"/>
        <v>-5.4757015742642023E-2</v>
      </c>
      <c r="V128" s="614" t="s">
        <v>2196</v>
      </c>
      <c r="W128" s="874">
        <v>42444</v>
      </c>
      <c r="X128" s="872" t="s">
        <v>2694</v>
      </c>
      <c r="Y128" s="846" t="s">
        <v>2695</v>
      </c>
      <c r="Z128" s="874">
        <v>42532</v>
      </c>
      <c r="AB128" s="619">
        <f t="shared" si="13"/>
        <v>88</v>
      </c>
      <c r="AC128" s="530">
        <f t="shared" si="14"/>
        <v>0.24093086926762491</v>
      </c>
      <c r="AD128" s="795">
        <v>1</v>
      </c>
      <c r="AE128" s="795"/>
      <c r="AF128" s="795"/>
      <c r="AG128" s="795"/>
      <c r="AJ128" s="874"/>
    </row>
    <row r="129" spans="1:41" x14ac:dyDescent="0.2">
      <c r="A129" s="527"/>
      <c r="B129" s="807" t="s">
        <v>2381</v>
      </c>
      <c r="D129" s="851" t="s">
        <v>224</v>
      </c>
      <c r="E129" s="611"/>
      <c r="F129" s="611" t="s">
        <v>1274</v>
      </c>
      <c r="G129" s="611" t="s">
        <v>1786</v>
      </c>
      <c r="I129" s="611">
        <v>2016</v>
      </c>
      <c r="J129" s="794"/>
      <c r="K129" s="794"/>
      <c r="O129" s="792">
        <f t="shared" si="8"/>
        <v>2016</v>
      </c>
      <c r="P129" s="619">
        <f t="shared" si="15"/>
        <v>42552</v>
      </c>
      <c r="Q129" s="764">
        <f t="shared" si="10"/>
        <v>42808</v>
      </c>
      <c r="R129" s="619">
        <f t="shared" si="11"/>
        <v>256</v>
      </c>
      <c r="S129" s="530">
        <f t="shared" si="12"/>
        <v>0.70088980150581792</v>
      </c>
      <c r="T129" s="527" t="s">
        <v>496</v>
      </c>
      <c r="V129" s="527" t="s">
        <v>2381</v>
      </c>
      <c r="W129" s="874">
        <v>42475</v>
      </c>
      <c r="X129" s="872" t="s">
        <v>2694</v>
      </c>
      <c r="Y129" s="846" t="s">
        <v>2695</v>
      </c>
      <c r="Z129" s="874">
        <v>42808</v>
      </c>
      <c r="AB129" s="619">
        <f t="shared" si="13"/>
        <v>333</v>
      </c>
      <c r="AC129" s="530">
        <f t="shared" si="14"/>
        <v>0.9117043121149897</v>
      </c>
      <c r="AD129" s="795">
        <v>1</v>
      </c>
      <c r="AE129" s="795"/>
      <c r="AF129" s="795"/>
      <c r="AG129" s="795"/>
      <c r="AJ129" s="874"/>
    </row>
    <row r="130" spans="1:41" x14ac:dyDescent="0.2">
      <c r="A130" s="527"/>
      <c r="B130" s="807" t="s">
        <v>2601</v>
      </c>
      <c r="D130" s="851" t="s">
        <v>224</v>
      </c>
      <c r="E130" s="611"/>
      <c r="F130" s="611" t="s">
        <v>1274</v>
      </c>
      <c r="G130" s="611" t="s">
        <v>2317</v>
      </c>
      <c r="I130" s="527">
        <v>2016</v>
      </c>
      <c r="J130" s="793"/>
      <c r="K130" s="793"/>
      <c r="O130" s="792">
        <f t="shared" si="8"/>
        <v>2016</v>
      </c>
      <c r="P130" s="619">
        <f t="shared" si="15"/>
        <v>42552</v>
      </c>
      <c r="Q130" s="764">
        <f t="shared" si="10"/>
        <v>43258</v>
      </c>
      <c r="R130" s="619">
        <f t="shared" si="11"/>
        <v>706</v>
      </c>
      <c r="S130" s="530">
        <f t="shared" si="12"/>
        <v>1.9329226557152634</v>
      </c>
      <c r="V130" s="527" t="s">
        <v>2601</v>
      </c>
      <c r="W130" s="874">
        <v>42491</v>
      </c>
      <c r="X130" s="872" t="s">
        <v>2167</v>
      </c>
      <c r="Y130" s="846" t="s">
        <v>2695</v>
      </c>
      <c r="Z130" s="874">
        <v>43258</v>
      </c>
      <c r="AB130" s="619">
        <f t="shared" si="13"/>
        <v>767</v>
      </c>
      <c r="AC130" s="530">
        <f t="shared" si="14"/>
        <v>2.0999315537303218</v>
      </c>
      <c r="AD130" s="795">
        <v>1</v>
      </c>
      <c r="AE130" s="795"/>
      <c r="AF130" s="795"/>
      <c r="AG130" s="795"/>
      <c r="AJ130" s="874"/>
    </row>
    <row r="131" spans="1:41" x14ac:dyDescent="0.2">
      <c r="A131" s="527"/>
      <c r="B131" s="807" t="s">
        <v>2244</v>
      </c>
      <c r="D131" s="851" t="s">
        <v>224</v>
      </c>
      <c r="E131" s="611"/>
      <c r="F131" s="611" t="s">
        <v>1274</v>
      </c>
      <c r="G131" s="611" t="s">
        <v>2465</v>
      </c>
      <c r="I131" s="611">
        <v>2016</v>
      </c>
      <c r="J131" s="794"/>
      <c r="K131" s="794">
        <v>1</v>
      </c>
      <c r="O131" s="792">
        <f t="shared" si="8"/>
        <v>2016</v>
      </c>
      <c r="P131" s="619">
        <f t="shared" si="15"/>
        <v>42552</v>
      </c>
      <c r="Q131" s="764">
        <f t="shared" si="10"/>
        <v>42795</v>
      </c>
      <c r="R131" s="619">
        <f t="shared" si="11"/>
        <v>243</v>
      </c>
      <c r="S131" s="530">
        <f t="shared" si="12"/>
        <v>0.6652977412731006</v>
      </c>
      <c r="V131" s="527" t="s">
        <v>2244</v>
      </c>
      <c r="W131" s="874">
        <v>42505</v>
      </c>
      <c r="X131" s="872" t="s">
        <v>2694</v>
      </c>
      <c r="Y131" s="846" t="s">
        <v>2695</v>
      </c>
      <c r="Z131" s="874">
        <v>42795</v>
      </c>
      <c r="AB131" s="619">
        <f t="shared" si="13"/>
        <v>290</v>
      </c>
      <c r="AC131" s="530">
        <f t="shared" si="14"/>
        <v>0.79397672826830934</v>
      </c>
      <c r="AD131" s="795">
        <v>1</v>
      </c>
      <c r="AE131" s="795"/>
      <c r="AF131" s="795"/>
      <c r="AG131" s="795"/>
      <c r="AJ131" s="874"/>
    </row>
    <row r="132" spans="1:41" x14ac:dyDescent="0.2">
      <c r="A132" s="527"/>
      <c r="B132" s="807" t="s">
        <v>2509</v>
      </c>
      <c r="D132" s="851" t="s">
        <v>224</v>
      </c>
      <c r="E132" s="611" t="s">
        <v>2544</v>
      </c>
      <c r="F132" s="611" t="s">
        <v>1274</v>
      </c>
      <c r="G132" s="611" t="s">
        <v>2319</v>
      </c>
      <c r="I132" s="527">
        <v>2016</v>
      </c>
      <c r="J132" s="793"/>
      <c r="K132" s="793"/>
      <c r="M132" s="533" t="s">
        <v>2470</v>
      </c>
      <c r="O132" s="792">
        <f t="shared" ref="O132:O195" si="16">IF(H132&gt;1,H132,I132)</f>
        <v>2016</v>
      </c>
      <c r="P132" s="619">
        <f t="shared" ref="P132:P163" si="17">DATE(O132,7,1)</f>
        <v>42552</v>
      </c>
      <c r="Q132" s="764">
        <f t="shared" ref="Q132:Q195" si="18">Z132</f>
        <v>43021</v>
      </c>
      <c r="R132" s="619">
        <f t="shared" ref="R132:R195" si="19">Q132-P132</f>
        <v>469</v>
      </c>
      <c r="S132" s="530">
        <f t="shared" ref="S132:S195" si="20">R132/365.25</f>
        <v>1.2840520191649556</v>
      </c>
      <c r="T132" s="527" t="s">
        <v>496</v>
      </c>
      <c r="V132" s="527" t="s">
        <v>2509</v>
      </c>
      <c r="W132" s="874">
        <v>42505</v>
      </c>
      <c r="X132" s="872" t="s">
        <v>2694</v>
      </c>
      <c r="Y132" s="846" t="s">
        <v>2695</v>
      </c>
      <c r="Z132" s="874">
        <v>43021</v>
      </c>
      <c r="AB132" s="619">
        <f t="shared" ref="AB132:AB195" si="21">Z132-W132</f>
        <v>516</v>
      </c>
      <c r="AC132" s="530">
        <f t="shared" ref="AC132:AC195" si="22">AB132/365.25</f>
        <v>1.4127310061601643</v>
      </c>
      <c r="AD132" s="795">
        <v>1</v>
      </c>
      <c r="AE132" s="795"/>
      <c r="AF132" s="795"/>
      <c r="AG132" s="795"/>
      <c r="AJ132" s="874"/>
    </row>
    <row r="133" spans="1:41" x14ac:dyDescent="0.2">
      <c r="A133" s="527"/>
      <c r="B133" s="807" t="s">
        <v>2253</v>
      </c>
      <c r="D133" s="851" t="s">
        <v>224</v>
      </c>
      <c r="E133" s="611"/>
      <c r="F133" s="611" t="s">
        <v>1274</v>
      </c>
      <c r="G133" s="611" t="s">
        <v>2336</v>
      </c>
      <c r="I133" s="611">
        <v>2016</v>
      </c>
      <c r="J133" s="794"/>
      <c r="K133" s="794">
        <v>1</v>
      </c>
      <c r="O133" s="792">
        <f t="shared" si="16"/>
        <v>2016</v>
      </c>
      <c r="P133" s="619">
        <f t="shared" si="17"/>
        <v>42552</v>
      </c>
      <c r="Q133" s="764">
        <f t="shared" si="18"/>
        <v>42761</v>
      </c>
      <c r="R133" s="619">
        <f t="shared" si="19"/>
        <v>209</v>
      </c>
      <c r="S133" s="530">
        <f t="shared" si="20"/>
        <v>0.57221081451060918</v>
      </c>
      <c r="T133" s="527" t="s">
        <v>495</v>
      </c>
      <c r="V133" s="527" t="s">
        <v>2253</v>
      </c>
      <c r="W133" s="874">
        <v>42536</v>
      </c>
      <c r="X133" s="872" t="s">
        <v>2694</v>
      </c>
      <c r="Y133" s="846" t="s">
        <v>2695</v>
      </c>
      <c r="Z133" s="874">
        <v>42761</v>
      </c>
      <c r="AB133" s="619">
        <f t="shared" si="21"/>
        <v>225</v>
      </c>
      <c r="AC133" s="530">
        <f t="shared" si="22"/>
        <v>0.61601642710472282</v>
      </c>
      <c r="AD133" s="795">
        <v>1</v>
      </c>
      <c r="AE133" s="795"/>
      <c r="AF133" s="795"/>
      <c r="AG133" s="795"/>
      <c r="AJ133" s="874"/>
    </row>
    <row r="134" spans="1:41" x14ac:dyDescent="0.2">
      <c r="A134" s="527"/>
      <c r="B134" s="807" t="s">
        <v>2390</v>
      </c>
      <c r="D134" s="851" t="s">
        <v>224</v>
      </c>
      <c r="E134" s="611"/>
      <c r="F134" s="611" t="s">
        <v>1274</v>
      </c>
      <c r="G134" s="611" t="s">
        <v>2336</v>
      </c>
      <c r="H134" s="527">
        <v>2016</v>
      </c>
      <c r="I134" s="527">
        <v>2016</v>
      </c>
      <c r="J134" s="794"/>
      <c r="K134" s="794">
        <v>1</v>
      </c>
      <c r="O134" s="792">
        <f t="shared" si="16"/>
        <v>2016</v>
      </c>
      <c r="P134" s="619">
        <f t="shared" si="17"/>
        <v>42552</v>
      </c>
      <c r="Q134" s="764">
        <f t="shared" si="18"/>
        <v>42835</v>
      </c>
      <c r="R134" s="619">
        <f t="shared" si="19"/>
        <v>283</v>
      </c>
      <c r="S134" s="530">
        <f t="shared" si="20"/>
        <v>0.77481177275838464</v>
      </c>
      <c r="T134" s="527" t="s">
        <v>496</v>
      </c>
      <c r="V134" s="527" t="s">
        <v>2390</v>
      </c>
      <c r="W134" s="874">
        <v>42536</v>
      </c>
      <c r="X134" s="872" t="s">
        <v>2694</v>
      </c>
      <c r="Y134" s="846" t="s">
        <v>2695</v>
      </c>
      <c r="Z134" s="874">
        <v>42835</v>
      </c>
      <c r="AB134" s="619">
        <f t="shared" si="21"/>
        <v>299</v>
      </c>
      <c r="AC134" s="530">
        <f t="shared" si="22"/>
        <v>0.81861738535249828</v>
      </c>
      <c r="AD134" s="795">
        <v>1</v>
      </c>
      <c r="AE134" s="795"/>
      <c r="AF134" s="795"/>
      <c r="AG134" s="795"/>
      <c r="AJ134" s="874"/>
    </row>
    <row r="135" spans="1:41" x14ac:dyDescent="0.2">
      <c r="A135" s="527"/>
      <c r="B135" s="807" t="s">
        <v>2397</v>
      </c>
      <c r="D135" s="851" t="s">
        <v>224</v>
      </c>
      <c r="E135" s="611"/>
      <c r="F135" s="611" t="s">
        <v>1274</v>
      </c>
      <c r="G135" s="611" t="s">
        <v>2336</v>
      </c>
      <c r="H135" s="527">
        <v>2016</v>
      </c>
      <c r="I135" s="527">
        <v>2016</v>
      </c>
      <c r="J135" s="794"/>
      <c r="K135" s="794">
        <v>1</v>
      </c>
      <c r="O135" s="792">
        <f t="shared" si="16"/>
        <v>2016</v>
      </c>
      <c r="P135" s="619">
        <f t="shared" si="17"/>
        <v>42552</v>
      </c>
      <c r="Q135" s="764">
        <f t="shared" si="18"/>
        <v>42835</v>
      </c>
      <c r="R135" s="619">
        <f t="shared" si="19"/>
        <v>283</v>
      </c>
      <c r="S135" s="530">
        <f t="shared" si="20"/>
        <v>0.77481177275838464</v>
      </c>
      <c r="V135" s="527" t="s">
        <v>2397</v>
      </c>
      <c r="W135" s="874">
        <v>42536</v>
      </c>
      <c r="X135" s="872" t="s">
        <v>2694</v>
      </c>
      <c r="Y135" s="846" t="s">
        <v>2695</v>
      </c>
      <c r="Z135" s="874">
        <v>42835</v>
      </c>
      <c r="AB135" s="619">
        <f t="shared" si="21"/>
        <v>299</v>
      </c>
      <c r="AC135" s="530">
        <f t="shared" si="22"/>
        <v>0.81861738535249828</v>
      </c>
      <c r="AD135" s="795">
        <v>1</v>
      </c>
      <c r="AE135" s="795"/>
      <c r="AF135" s="795"/>
      <c r="AG135" s="795"/>
      <c r="AJ135" s="874"/>
    </row>
    <row r="136" spans="1:41" x14ac:dyDescent="0.2">
      <c r="A136" s="728"/>
      <c r="B136" s="807" t="s">
        <v>2614</v>
      </c>
      <c r="C136" s="611" t="s">
        <v>2705</v>
      </c>
      <c r="D136" s="851" t="s">
        <v>224</v>
      </c>
      <c r="E136" s="611"/>
      <c r="F136" s="611" t="s">
        <v>1274</v>
      </c>
      <c r="G136" s="611" t="s">
        <v>2348</v>
      </c>
      <c r="I136" s="527">
        <v>2016</v>
      </c>
      <c r="J136" s="793"/>
      <c r="K136" s="793"/>
      <c r="L136" s="613">
        <v>0</v>
      </c>
      <c r="O136" s="792">
        <f t="shared" si="16"/>
        <v>2016</v>
      </c>
      <c r="P136" s="619">
        <f t="shared" si="17"/>
        <v>42552</v>
      </c>
      <c r="Q136" s="764">
        <f t="shared" si="18"/>
        <v>43231</v>
      </c>
      <c r="R136" s="619">
        <f t="shared" si="19"/>
        <v>679</v>
      </c>
      <c r="S136" s="530">
        <f t="shared" si="20"/>
        <v>1.8590006844626967</v>
      </c>
      <c r="T136" s="527" t="s">
        <v>496</v>
      </c>
      <c r="U136" s="611"/>
      <c r="V136" s="527" t="s">
        <v>2614</v>
      </c>
      <c r="W136" s="874">
        <v>42552</v>
      </c>
      <c r="X136" s="872" t="s">
        <v>316</v>
      </c>
      <c r="Y136" s="846" t="s">
        <v>2695</v>
      </c>
      <c r="Z136" s="874">
        <v>43231</v>
      </c>
      <c r="AB136" s="619">
        <f t="shared" si="21"/>
        <v>679</v>
      </c>
      <c r="AC136" s="530">
        <f t="shared" si="22"/>
        <v>1.8590006844626967</v>
      </c>
      <c r="AD136" s="795">
        <v>1</v>
      </c>
      <c r="AE136" s="795"/>
      <c r="AF136" s="795"/>
      <c r="AG136" s="795"/>
      <c r="AH136" s="611"/>
      <c r="AJ136" s="874"/>
      <c r="AK136" s="611"/>
      <c r="AL136" s="611"/>
      <c r="AM136" s="611"/>
      <c r="AN136" s="611"/>
      <c r="AO136" s="611"/>
    </row>
    <row r="137" spans="1:41" x14ac:dyDescent="0.2">
      <c r="A137" s="527"/>
      <c r="B137" s="807" t="s">
        <v>2219</v>
      </c>
      <c r="C137" s="527" t="s">
        <v>496</v>
      </c>
      <c r="D137" s="851" t="s">
        <v>224</v>
      </c>
      <c r="E137" s="611" t="s">
        <v>2305</v>
      </c>
      <c r="F137" s="611" t="s">
        <v>1274</v>
      </c>
      <c r="G137" s="611" t="s">
        <v>2317</v>
      </c>
      <c r="H137" s="611"/>
      <c r="I137" s="611">
        <v>2016</v>
      </c>
      <c r="J137" s="793"/>
      <c r="K137" s="793"/>
      <c r="L137" s="792"/>
      <c r="M137" s="728"/>
      <c r="N137" s="792"/>
      <c r="O137" s="792">
        <f t="shared" si="16"/>
        <v>2016</v>
      </c>
      <c r="P137" s="619">
        <f t="shared" si="17"/>
        <v>42552</v>
      </c>
      <c r="Q137" s="764">
        <f t="shared" si="18"/>
        <v>42653</v>
      </c>
      <c r="R137" s="619">
        <f t="shared" si="19"/>
        <v>101</v>
      </c>
      <c r="S137" s="530">
        <f t="shared" si="20"/>
        <v>0.27652292950034224</v>
      </c>
      <c r="V137" s="527" t="s">
        <v>2219</v>
      </c>
      <c r="W137" s="874">
        <v>42552</v>
      </c>
      <c r="X137" s="872" t="s">
        <v>316</v>
      </c>
      <c r="Y137" s="846" t="s">
        <v>2695</v>
      </c>
      <c r="Z137" s="874">
        <v>42653</v>
      </c>
      <c r="AB137" s="619">
        <f t="shared" si="21"/>
        <v>101</v>
      </c>
      <c r="AC137" s="530">
        <f t="shared" si="22"/>
        <v>0.27652292950034224</v>
      </c>
      <c r="AD137" s="795">
        <v>1</v>
      </c>
      <c r="AE137" s="795"/>
      <c r="AF137" s="795"/>
      <c r="AG137" s="795"/>
      <c r="AJ137" s="874"/>
    </row>
    <row r="138" spans="1:41" x14ac:dyDescent="0.2">
      <c r="A138" s="527"/>
      <c r="B138" s="807" t="s">
        <v>2393</v>
      </c>
      <c r="D138" s="851" t="s">
        <v>224</v>
      </c>
      <c r="E138" s="611"/>
      <c r="F138" s="611" t="s">
        <v>1274</v>
      </c>
      <c r="G138" s="611" t="s">
        <v>2317</v>
      </c>
      <c r="I138" s="611">
        <v>2016</v>
      </c>
      <c r="J138" s="794"/>
      <c r="K138" s="794"/>
      <c r="O138" s="792">
        <f t="shared" si="16"/>
        <v>2016</v>
      </c>
      <c r="P138" s="619">
        <f t="shared" si="17"/>
        <v>42552</v>
      </c>
      <c r="Q138" s="764">
        <f t="shared" si="18"/>
        <v>42795</v>
      </c>
      <c r="R138" s="619">
        <f t="shared" si="19"/>
        <v>243</v>
      </c>
      <c r="S138" s="530">
        <f t="shared" si="20"/>
        <v>0.6652977412731006</v>
      </c>
      <c r="T138" s="527" t="s">
        <v>496</v>
      </c>
      <c r="V138" s="527" t="s">
        <v>2393</v>
      </c>
      <c r="W138" s="874">
        <v>42552</v>
      </c>
      <c r="X138" s="872" t="s">
        <v>316</v>
      </c>
      <c r="Y138" s="846" t="s">
        <v>2695</v>
      </c>
      <c r="Z138" s="874">
        <v>42795</v>
      </c>
      <c r="AB138" s="619">
        <f t="shared" si="21"/>
        <v>243</v>
      </c>
      <c r="AC138" s="530">
        <f t="shared" si="22"/>
        <v>0.6652977412731006</v>
      </c>
      <c r="AD138" s="795">
        <v>1</v>
      </c>
      <c r="AE138" s="795"/>
      <c r="AF138" s="795"/>
      <c r="AG138" s="795"/>
      <c r="AJ138" s="874"/>
    </row>
    <row r="139" spans="1:41" x14ac:dyDescent="0.2">
      <c r="A139" s="527"/>
      <c r="B139" s="807" t="s">
        <v>2566</v>
      </c>
      <c r="D139" s="851" t="s">
        <v>224</v>
      </c>
      <c r="E139" s="611" t="s">
        <v>2604</v>
      </c>
      <c r="F139" s="611" t="s">
        <v>1274</v>
      </c>
      <c r="G139" s="611" t="s">
        <v>2606</v>
      </c>
      <c r="I139" s="527">
        <v>2016</v>
      </c>
      <c r="J139" s="793"/>
      <c r="K139" s="793">
        <v>1</v>
      </c>
      <c r="L139" s="613">
        <v>1</v>
      </c>
      <c r="M139" s="533" t="s">
        <v>2470</v>
      </c>
      <c r="O139" s="792">
        <f t="shared" si="16"/>
        <v>2016</v>
      </c>
      <c r="P139" s="619">
        <f t="shared" si="17"/>
        <v>42552</v>
      </c>
      <c r="Q139" s="764">
        <f t="shared" si="18"/>
        <v>43151</v>
      </c>
      <c r="R139" s="619">
        <f t="shared" si="19"/>
        <v>599</v>
      </c>
      <c r="S139" s="530">
        <f t="shared" si="20"/>
        <v>1.6399726214921286</v>
      </c>
      <c r="T139" s="527" t="s">
        <v>495</v>
      </c>
      <c r="U139" s="611"/>
      <c r="V139" s="527" t="s">
        <v>2566</v>
      </c>
      <c r="W139" s="874">
        <v>42628</v>
      </c>
      <c r="X139" s="872" t="s">
        <v>2694</v>
      </c>
      <c r="Y139" s="846" t="s">
        <v>2695</v>
      </c>
      <c r="Z139" s="874">
        <v>43151</v>
      </c>
      <c r="AB139" s="619">
        <f t="shared" si="21"/>
        <v>523</v>
      </c>
      <c r="AC139" s="530">
        <f t="shared" si="22"/>
        <v>1.431895961670089</v>
      </c>
      <c r="AD139" s="795">
        <v>1</v>
      </c>
      <c r="AE139" s="795"/>
      <c r="AF139" s="795"/>
      <c r="AG139" s="795"/>
      <c r="AH139" s="611"/>
      <c r="AJ139" s="874"/>
      <c r="AK139" s="611"/>
      <c r="AL139" s="611"/>
      <c r="AM139" s="611"/>
      <c r="AN139" s="611"/>
      <c r="AO139" s="611"/>
    </row>
    <row r="140" spans="1:41" x14ac:dyDescent="0.2">
      <c r="A140" s="527"/>
      <c r="B140" s="807" t="s">
        <v>2252</v>
      </c>
      <c r="C140" s="527" t="s">
        <v>495</v>
      </c>
      <c r="D140" s="851" t="s">
        <v>224</v>
      </c>
      <c r="E140" s="611"/>
      <c r="F140" s="611" t="s">
        <v>1274</v>
      </c>
      <c r="G140" s="611" t="s">
        <v>2375</v>
      </c>
      <c r="H140" s="611"/>
      <c r="I140" s="611">
        <v>2016</v>
      </c>
      <c r="J140" s="793"/>
      <c r="K140" s="793">
        <v>1</v>
      </c>
      <c r="L140" s="792"/>
      <c r="M140" s="728"/>
      <c r="N140" s="792"/>
      <c r="O140" s="792">
        <f t="shared" si="16"/>
        <v>2016</v>
      </c>
      <c r="P140" s="619">
        <f t="shared" si="17"/>
        <v>42552</v>
      </c>
      <c r="Q140" s="764">
        <f t="shared" si="18"/>
        <v>42721</v>
      </c>
      <c r="R140" s="619">
        <f t="shared" si="19"/>
        <v>169</v>
      </c>
      <c r="S140" s="530">
        <f t="shared" si="20"/>
        <v>0.46269678302532513</v>
      </c>
      <c r="T140" s="527" t="s">
        <v>2299</v>
      </c>
      <c r="V140" s="614" t="s">
        <v>2252</v>
      </c>
      <c r="W140" s="874">
        <v>42628</v>
      </c>
      <c r="X140" s="872" t="s">
        <v>2694</v>
      </c>
      <c r="Y140" s="846" t="s">
        <v>2695</v>
      </c>
      <c r="Z140" s="874">
        <v>42721</v>
      </c>
      <c r="AB140" s="619">
        <f t="shared" si="21"/>
        <v>93</v>
      </c>
      <c r="AC140" s="530">
        <f t="shared" si="22"/>
        <v>0.25462012320328542</v>
      </c>
      <c r="AD140" s="795">
        <v>1</v>
      </c>
      <c r="AE140" s="795"/>
      <c r="AF140" s="795"/>
      <c r="AG140" s="795"/>
      <c r="AJ140" s="874"/>
    </row>
    <row r="141" spans="1:41" x14ac:dyDescent="0.2">
      <c r="A141" s="527"/>
      <c r="B141" s="807" t="s">
        <v>2422</v>
      </c>
      <c r="D141" s="851" t="s">
        <v>224</v>
      </c>
      <c r="E141" s="611" t="s">
        <v>2478</v>
      </c>
      <c r="F141" s="611" t="s">
        <v>1274</v>
      </c>
      <c r="G141" s="611" t="s">
        <v>2319</v>
      </c>
      <c r="H141" s="527">
        <v>2016</v>
      </c>
      <c r="I141" s="527">
        <v>2016</v>
      </c>
      <c r="J141" s="793">
        <v>1</v>
      </c>
      <c r="K141" s="793">
        <v>1</v>
      </c>
      <c r="L141" s="613">
        <v>1</v>
      </c>
      <c r="M141" s="533" t="s">
        <v>2470</v>
      </c>
      <c r="O141" s="792">
        <f t="shared" si="16"/>
        <v>2016</v>
      </c>
      <c r="P141" s="619">
        <f t="shared" si="17"/>
        <v>42552</v>
      </c>
      <c r="Q141" s="764">
        <f t="shared" si="18"/>
        <v>42866</v>
      </c>
      <c r="R141" s="619">
        <f t="shared" si="19"/>
        <v>314</v>
      </c>
      <c r="S141" s="530">
        <f t="shared" si="20"/>
        <v>0.85968514715947986</v>
      </c>
      <c r="T141" s="527" t="s">
        <v>496</v>
      </c>
      <c r="V141" s="527" t="s">
        <v>2422</v>
      </c>
      <c r="W141" s="874">
        <v>42628</v>
      </c>
      <c r="X141" s="872" t="s">
        <v>2694</v>
      </c>
      <c r="Y141" s="846" t="s">
        <v>2695</v>
      </c>
      <c r="Z141" s="874">
        <v>42866</v>
      </c>
      <c r="AB141" s="619">
        <f t="shared" si="21"/>
        <v>238</v>
      </c>
      <c r="AC141" s="530">
        <f t="shared" si="22"/>
        <v>0.65160848733744015</v>
      </c>
      <c r="AD141" s="795">
        <v>1</v>
      </c>
      <c r="AE141" s="795"/>
      <c r="AF141" s="795"/>
      <c r="AG141" s="795"/>
      <c r="AI141" s="807"/>
      <c r="AJ141" s="874"/>
    </row>
    <row r="142" spans="1:41" x14ac:dyDescent="0.2">
      <c r="A142" s="527"/>
      <c r="B142" s="807" t="s">
        <v>2277</v>
      </c>
      <c r="C142" s="527" t="s">
        <v>2049</v>
      </c>
      <c r="D142" s="851" t="s">
        <v>224</v>
      </c>
      <c r="E142" s="611"/>
      <c r="F142" s="611" t="s">
        <v>1274</v>
      </c>
      <c r="G142" s="611" t="s">
        <v>2378</v>
      </c>
      <c r="I142" s="611">
        <v>2016</v>
      </c>
      <c r="J142" s="794"/>
      <c r="K142" s="794">
        <v>1</v>
      </c>
      <c r="O142" s="792">
        <f t="shared" si="16"/>
        <v>2016</v>
      </c>
      <c r="P142" s="619">
        <f t="shared" si="17"/>
        <v>42552</v>
      </c>
      <c r="Q142" s="764">
        <f t="shared" si="18"/>
        <v>42734</v>
      </c>
      <c r="R142" s="619">
        <f t="shared" si="19"/>
        <v>182</v>
      </c>
      <c r="S142" s="530">
        <f t="shared" si="20"/>
        <v>0.49828884325804246</v>
      </c>
      <c r="T142" s="527" t="s">
        <v>496</v>
      </c>
      <c r="V142" s="614" t="s">
        <v>2277</v>
      </c>
      <c r="W142" s="874">
        <v>42689</v>
      </c>
      <c r="X142" s="872" t="s">
        <v>2694</v>
      </c>
      <c r="Y142" s="846" t="s">
        <v>2695</v>
      </c>
      <c r="Z142" s="874">
        <v>42734</v>
      </c>
      <c r="AB142" s="619">
        <f t="shared" si="21"/>
        <v>45</v>
      </c>
      <c r="AC142" s="530">
        <f t="shared" si="22"/>
        <v>0.12320328542094455</v>
      </c>
      <c r="AD142" s="795">
        <v>1</v>
      </c>
      <c r="AE142" s="795"/>
      <c r="AF142" s="795"/>
      <c r="AG142" s="795"/>
      <c r="AJ142" s="874"/>
    </row>
    <row r="143" spans="1:41" x14ac:dyDescent="0.2">
      <c r="A143" s="527"/>
      <c r="B143" s="807" t="s">
        <v>2405</v>
      </c>
      <c r="D143" s="851" t="s">
        <v>224</v>
      </c>
      <c r="E143" s="611" t="s">
        <v>2468</v>
      </c>
      <c r="F143" s="611" t="s">
        <v>1274</v>
      </c>
      <c r="G143" s="611" t="s">
        <v>2340</v>
      </c>
      <c r="H143" s="527">
        <v>2016</v>
      </c>
      <c r="I143" s="527">
        <v>2016</v>
      </c>
      <c r="J143" s="794">
        <v>1</v>
      </c>
      <c r="K143" s="794">
        <v>1</v>
      </c>
      <c r="O143" s="792">
        <f t="shared" si="16"/>
        <v>2016</v>
      </c>
      <c r="P143" s="619">
        <f t="shared" si="17"/>
        <v>42552</v>
      </c>
      <c r="Q143" s="764">
        <f t="shared" si="18"/>
        <v>42851</v>
      </c>
      <c r="R143" s="619">
        <f t="shared" si="19"/>
        <v>299</v>
      </c>
      <c r="S143" s="530">
        <f t="shared" si="20"/>
        <v>0.81861738535249828</v>
      </c>
      <c r="T143" s="527" t="s">
        <v>496</v>
      </c>
      <c r="V143" s="527" t="s">
        <v>2405</v>
      </c>
      <c r="W143" s="874">
        <v>42689</v>
      </c>
      <c r="X143" s="872" t="s">
        <v>2694</v>
      </c>
      <c r="Y143" s="846" t="s">
        <v>2695</v>
      </c>
      <c r="Z143" s="874">
        <v>42851</v>
      </c>
      <c r="AB143" s="619">
        <f t="shared" si="21"/>
        <v>162</v>
      </c>
      <c r="AC143" s="530">
        <f t="shared" si="22"/>
        <v>0.44353182751540043</v>
      </c>
      <c r="AD143" s="795">
        <v>1</v>
      </c>
      <c r="AE143" s="795"/>
      <c r="AF143" s="795"/>
      <c r="AG143" s="795"/>
      <c r="AJ143" s="874"/>
    </row>
    <row r="144" spans="1:41" x14ac:dyDescent="0.2">
      <c r="A144" s="527"/>
      <c r="B144" s="807" t="s">
        <v>2386</v>
      </c>
      <c r="D144" s="851" t="s">
        <v>224</v>
      </c>
      <c r="E144" s="611"/>
      <c r="F144" s="611" t="s">
        <v>1274</v>
      </c>
      <c r="G144" s="611" t="s">
        <v>2317</v>
      </c>
      <c r="H144" s="611">
        <v>2016</v>
      </c>
      <c r="I144" s="611">
        <v>2016</v>
      </c>
      <c r="J144" s="794"/>
      <c r="K144" s="794"/>
      <c r="O144" s="792">
        <f t="shared" si="16"/>
        <v>2016</v>
      </c>
      <c r="P144" s="619">
        <f t="shared" si="17"/>
        <v>42552</v>
      </c>
      <c r="Q144" s="764">
        <f t="shared" si="18"/>
        <v>42787</v>
      </c>
      <c r="R144" s="619">
        <f t="shared" si="19"/>
        <v>235</v>
      </c>
      <c r="S144" s="530">
        <f t="shared" si="20"/>
        <v>0.64339493497604383</v>
      </c>
      <c r="T144" s="527" t="s">
        <v>2550</v>
      </c>
      <c r="V144" s="527" t="s">
        <v>2386</v>
      </c>
      <c r="W144" s="874">
        <v>42719</v>
      </c>
      <c r="X144" s="872" t="s">
        <v>2694</v>
      </c>
      <c r="Y144" s="846" t="s">
        <v>2695</v>
      </c>
      <c r="Z144" s="874">
        <v>42787</v>
      </c>
      <c r="AB144" s="619">
        <f t="shared" si="21"/>
        <v>68</v>
      </c>
      <c r="AC144" s="530">
        <f t="shared" si="22"/>
        <v>0.18617385352498289</v>
      </c>
      <c r="AD144" s="795">
        <v>1</v>
      </c>
      <c r="AE144" s="795"/>
      <c r="AF144" s="795"/>
      <c r="AG144" s="795"/>
      <c r="AJ144" s="874"/>
    </row>
    <row r="145" spans="1:36" x14ac:dyDescent="0.2">
      <c r="A145" s="527"/>
      <c r="B145" s="807" t="s">
        <v>2387</v>
      </c>
      <c r="D145" s="851" t="s">
        <v>224</v>
      </c>
      <c r="E145" s="611"/>
      <c r="F145" s="611" t="s">
        <v>1274</v>
      </c>
      <c r="G145" s="611" t="s">
        <v>2317</v>
      </c>
      <c r="H145" s="611">
        <v>2016</v>
      </c>
      <c r="I145" s="611">
        <v>2016</v>
      </c>
      <c r="J145" s="794"/>
      <c r="K145" s="794"/>
      <c r="O145" s="792">
        <f t="shared" si="16"/>
        <v>2016</v>
      </c>
      <c r="P145" s="619">
        <f t="shared" si="17"/>
        <v>42552</v>
      </c>
      <c r="Q145" s="764">
        <f t="shared" si="18"/>
        <v>42787</v>
      </c>
      <c r="R145" s="619">
        <f t="shared" si="19"/>
        <v>235</v>
      </c>
      <c r="S145" s="530">
        <f t="shared" si="20"/>
        <v>0.64339493497604383</v>
      </c>
      <c r="T145" s="527" t="s">
        <v>496</v>
      </c>
      <c r="V145" s="527" t="s">
        <v>2387</v>
      </c>
      <c r="W145" s="874">
        <v>42719</v>
      </c>
      <c r="X145" s="872" t="s">
        <v>2694</v>
      </c>
      <c r="Y145" s="846" t="s">
        <v>2695</v>
      </c>
      <c r="Z145" s="874">
        <v>42787</v>
      </c>
      <c r="AB145" s="619">
        <f t="shared" si="21"/>
        <v>68</v>
      </c>
      <c r="AC145" s="530">
        <f t="shared" si="22"/>
        <v>0.18617385352498289</v>
      </c>
      <c r="AD145" s="795">
        <v>1</v>
      </c>
      <c r="AE145" s="795"/>
      <c r="AF145" s="795"/>
      <c r="AG145" s="795"/>
      <c r="AJ145" s="874"/>
    </row>
    <row r="146" spans="1:36" x14ac:dyDescent="0.2">
      <c r="A146" s="527"/>
      <c r="B146" s="807" t="s">
        <v>2388</v>
      </c>
      <c r="D146" s="851" t="s">
        <v>224</v>
      </c>
      <c r="E146" s="611"/>
      <c r="F146" s="611" t="s">
        <v>1274</v>
      </c>
      <c r="G146" s="611" t="s">
        <v>2317</v>
      </c>
      <c r="H146" s="611">
        <v>2016</v>
      </c>
      <c r="I146" s="611">
        <v>2016</v>
      </c>
      <c r="J146" s="794"/>
      <c r="K146" s="794"/>
      <c r="O146" s="792">
        <f t="shared" si="16"/>
        <v>2016</v>
      </c>
      <c r="P146" s="619">
        <f t="shared" si="17"/>
        <v>42552</v>
      </c>
      <c r="Q146" s="764">
        <f t="shared" si="18"/>
        <v>42787</v>
      </c>
      <c r="R146" s="619">
        <f t="shared" si="19"/>
        <v>235</v>
      </c>
      <c r="S146" s="530">
        <f t="shared" si="20"/>
        <v>0.64339493497604383</v>
      </c>
      <c r="T146" s="527" t="s">
        <v>496</v>
      </c>
      <c r="V146" s="527" t="s">
        <v>2388</v>
      </c>
      <c r="W146" s="874">
        <v>42719</v>
      </c>
      <c r="X146" s="872" t="s">
        <v>2694</v>
      </c>
      <c r="Y146" s="846" t="s">
        <v>2695</v>
      </c>
      <c r="Z146" s="874">
        <v>42787</v>
      </c>
      <c r="AB146" s="619">
        <f t="shared" si="21"/>
        <v>68</v>
      </c>
      <c r="AC146" s="530">
        <f t="shared" si="22"/>
        <v>0.18617385352498289</v>
      </c>
      <c r="AD146" s="795">
        <v>1</v>
      </c>
      <c r="AE146" s="795"/>
      <c r="AF146" s="795"/>
      <c r="AG146" s="795"/>
      <c r="AJ146" s="874"/>
    </row>
    <row r="147" spans="1:36" x14ac:dyDescent="0.2">
      <c r="A147" s="527"/>
      <c r="B147" s="807" t="s">
        <v>2426</v>
      </c>
      <c r="D147" s="851" t="s">
        <v>224</v>
      </c>
      <c r="E147" s="611"/>
      <c r="F147" s="611" t="s">
        <v>1274</v>
      </c>
      <c r="G147" s="611" t="s">
        <v>2317</v>
      </c>
      <c r="H147" s="527">
        <v>2016</v>
      </c>
      <c r="I147" s="527">
        <v>2016</v>
      </c>
      <c r="J147" s="794"/>
      <c r="K147" s="794"/>
      <c r="M147" s="533" t="s">
        <v>2470</v>
      </c>
      <c r="O147" s="792">
        <f t="shared" si="16"/>
        <v>2016</v>
      </c>
      <c r="P147" s="619">
        <f t="shared" si="17"/>
        <v>42552</v>
      </c>
      <c r="Q147" s="764">
        <f t="shared" si="18"/>
        <v>42895</v>
      </c>
      <c r="R147" s="619">
        <f t="shared" si="19"/>
        <v>343</v>
      </c>
      <c r="S147" s="530">
        <f t="shared" si="20"/>
        <v>0.93908281998631071</v>
      </c>
      <c r="T147" s="527" t="s">
        <v>496</v>
      </c>
      <c r="V147" s="527" t="s">
        <v>2426</v>
      </c>
      <c r="W147" s="874">
        <v>42719</v>
      </c>
      <c r="X147" s="872" t="s">
        <v>2694</v>
      </c>
      <c r="Y147" s="846" t="s">
        <v>2695</v>
      </c>
      <c r="Z147" s="874">
        <v>42895</v>
      </c>
      <c r="AB147" s="619">
        <f t="shared" si="21"/>
        <v>176</v>
      </c>
      <c r="AC147" s="530">
        <f t="shared" si="22"/>
        <v>0.48186173853524983</v>
      </c>
      <c r="AD147" s="795">
        <v>1</v>
      </c>
      <c r="AE147" s="795"/>
      <c r="AF147" s="795"/>
      <c r="AG147" s="795"/>
      <c r="AJ147" s="874"/>
    </row>
    <row r="148" spans="1:36" x14ac:dyDescent="0.2">
      <c r="A148" s="527"/>
      <c r="B148" s="807" t="s">
        <v>2399</v>
      </c>
      <c r="D148" s="851" t="s">
        <v>224</v>
      </c>
      <c r="E148" s="611"/>
      <c r="F148" s="611" t="s">
        <v>1274</v>
      </c>
      <c r="G148" s="611" t="s">
        <v>2348</v>
      </c>
      <c r="I148" s="611">
        <v>2017</v>
      </c>
      <c r="J148" s="794"/>
      <c r="K148" s="794">
        <v>1</v>
      </c>
      <c r="O148" s="792">
        <f t="shared" si="16"/>
        <v>2017</v>
      </c>
      <c r="P148" s="619">
        <f t="shared" si="17"/>
        <v>42917</v>
      </c>
      <c r="Q148" s="764">
        <f t="shared" si="18"/>
        <v>42822</v>
      </c>
      <c r="R148" s="619">
        <f t="shared" si="19"/>
        <v>-95</v>
      </c>
      <c r="S148" s="530">
        <f t="shared" si="20"/>
        <v>-0.26009582477754961</v>
      </c>
      <c r="T148" s="527" t="s">
        <v>496</v>
      </c>
      <c r="V148" s="527" t="s">
        <v>2399</v>
      </c>
      <c r="W148" s="875">
        <v>42750</v>
      </c>
      <c r="X148" s="872" t="s">
        <v>2694</v>
      </c>
      <c r="Y148" s="846" t="s">
        <v>2695</v>
      </c>
      <c r="Z148" s="874">
        <v>42822</v>
      </c>
      <c r="AB148" s="619">
        <f t="shared" si="21"/>
        <v>72</v>
      </c>
      <c r="AC148" s="530">
        <f t="shared" si="22"/>
        <v>0.1971252566735113</v>
      </c>
      <c r="AD148" s="795">
        <v>1</v>
      </c>
      <c r="AE148" s="795"/>
      <c r="AF148" s="795"/>
      <c r="AG148" s="795"/>
      <c r="AJ148" s="874"/>
    </row>
    <row r="149" spans="1:36" x14ac:dyDescent="0.2">
      <c r="A149" s="527"/>
      <c r="B149" s="807" t="s">
        <v>2423</v>
      </c>
      <c r="D149" s="851" t="s">
        <v>224</v>
      </c>
      <c r="E149" s="611" t="s">
        <v>2317</v>
      </c>
      <c r="F149" s="611" t="s">
        <v>1274</v>
      </c>
      <c r="G149" s="611" t="s">
        <v>2469</v>
      </c>
      <c r="I149" s="527">
        <v>2017</v>
      </c>
      <c r="J149" s="794"/>
      <c r="K149" s="794">
        <v>1</v>
      </c>
      <c r="O149" s="792">
        <f t="shared" si="16"/>
        <v>2017</v>
      </c>
      <c r="P149" s="619">
        <f t="shared" si="17"/>
        <v>42917</v>
      </c>
      <c r="Q149" s="764">
        <f t="shared" si="18"/>
        <v>42865</v>
      </c>
      <c r="R149" s="619">
        <f t="shared" si="19"/>
        <v>-52</v>
      </c>
      <c r="S149" s="530">
        <f t="shared" si="20"/>
        <v>-0.14236824093086928</v>
      </c>
      <c r="T149" s="527" t="s">
        <v>2549</v>
      </c>
      <c r="V149" s="527" t="s">
        <v>2423</v>
      </c>
      <c r="W149" s="875">
        <v>42750</v>
      </c>
      <c r="X149" s="872" t="s">
        <v>2694</v>
      </c>
      <c r="Y149" s="846" t="s">
        <v>2695</v>
      </c>
      <c r="Z149" s="874">
        <v>42865</v>
      </c>
      <c r="AB149" s="619">
        <f t="shared" si="21"/>
        <v>115</v>
      </c>
      <c r="AC149" s="530">
        <f t="shared" si="22"/>
        <v>0.31485284052019163</v>
      </c>
      <c r="AD149" s="795">
        <v>1</v>
      </c>
      <c r="AE149" s="795"/>
      <c r="AF149" s="795"/>
      <c r="AG149" s="795"/>
      <c r="AJ149" s="874"/>
    </row>
    <row r="150" spans="1:36" x14ac:dyDescent="0.2">
      <c r="A150" s="527"/>
      <c r="B150" s="807" t="s">
        <v>2425</v>
      </c>
      <c r="D150" s="851" t="s">
        <v>224</v>
      </c>
      <c r="E150" s="611"/>
      <c r="F150" s="611" t="s">
        <v>1274</v>
      </c>
      <c r="G150" s="611" t="s">
        <v>2469</v>
      </c>
      <c r="I150" s="527">
        <v>2017</v>
      </c>
      <c r="J150" s="794"/>
      <c r="K150" s="794">
        <v>1</v>
      </c>
      <c r="O150" s="792">
        <f t="shared" si="16"/>
        <v>2017</v>
      </c>
      <c r="P150" s="619">
        <f t="shared" si="17"/>
        <v>42917</v>
      </c>
      <c r="Q150" s="764">
        <f t="shared" si="18"/>
        <v>42866</v>
      </c>
      <c r="R150" s="619">
        <f t="shared" si="19"/>
        <v>-51</v>
      </c>
      <c r="S150" s="530">
        <f t="shared" si="20"/>
        <v>-0.13963039014373715</v>
      </c>
      <c r="T150" s="527" t="s">
        <v>496</v>
      </c>
      <c r="V150" s="527" t="s">
        <v>2425</v>
      </c>
      <c r="W150" s="874">
        <v>42750</v>
      </c>
      <c r="X150" s="872" t="s">
        <v>2694</v>
      </c>
      <c r="Y150" s="846" t="s">
        <v>2695</v>
      </c>
      <c r="Z150" s="874">
        <v>42866</v>
      </c>
      <c r="AB150" s="619">
        <f t="shared" si="21"/>
        <v>116</v>
      </c>
      <c r="AC150" s="530">
        <f t="shared" si="22"/>
        <v>0.31759069130732376</v>
      </c>
      <c r="AD150" s="795">
        <v>1</v>
      </c>
      <c r="AE150" s="795"/>
      <c r="AF150" s="795"/>
      <c r="AG150" s="795"/>
      <c r="AJ150" s="874"/>
    </row>
    <row r="151" spans="1:36" x14ac:dyDescent="0.2">
      <c r="A151" s="527"/>
      <c r="B151" s="807" t="s">
        <v>2427</v>
      </c>
      <c r="D151" s="851" t="s">
        <v>224</v>
      </c>
      <c r="E151" s="611"/>
      <c r="F151" s="611" t="s">
        <v>1274</v>
      </c>
      <c r="G151" s="611" t="s">
        <v>2340</v>
      </c>
      <c r="H151" s="527">
        <v>2017</v>
      </c>
      <c r="I151" s="527">
        <v>2017</v>
      </c>
      <c r="J151" s="794"/>
      <c r="K151" s="794">
        <v>1</v>
      </c>
      <c r="O151" s="792">
        <f t="shared" si="16"/>
        <v>2017</v>
      </c>
      <c r="P151" s="619">
        <f t="shared" si="17"/>
        <v>42917</v>
      </c>
      <c r="Q151" s="764">
        <f t="shared" si="18"/>
        <v>42895</v>
      </c>
      <c r="R151" s="619">
        <f t="shared" si="19"/>
        <v>-22</v>
      </c>
      <c r="S151" s="530">
        <f t="shared" si="20"/>
        <v>-6.0232717316906229E-2</v>
      </c>
      <c r="T151" s="527" t="s">
        <v>496</v>
      </c>
      <c r="V151" s="527" t="s">
        <v>2427</v>
      </c>
      <c r="W151" s="874">
        <v>42750</v>
      </c>
      <c r="X151" s="872" t="s">
        <v>2694</v>
      </c>
      <c r="Y151" s="846" t="s">
        <v>2695</v>
      </c>
      <c r="Z151" s="874">
        <v>42895</v>
      </c>
      <c r="AB151" s="619">
        <f t="shared" si="21"/>
        <v>145</v>
      </c>
      <c r="AC151" s="530">
        <f t="shared" si="22"/>
        <v>0.39698836413415467</v>
      </c>
      <c r="AD151" s="795">
        <v>1</v>
      </c>
      <c r="AE151" s="795"/>
      <c r="AF151" s="795"/>
      <c r="AG151" s="795"/>
      <c r="AJ151" s="874"/>
    </row>
    <row r="152" spans="1:36" x14ac:dyDescent="0.2">
      <c r="A152" s="527"/>
      <c r="B152" s="807" t="s">
        <v>2429</v>
      </c>
      <c r="D152" s="851" t="s">
        <v>224</v>
      </c>
      <c r="E152" s="611"/>
      <c r="F152" s="611" t="s">
        <v>1274</v>
      </c>
      <c r="G152" s="611" t="s">
        <v>2315</v>
      </c>
      <c r="H152" s="527">
        <v>2017</v>
      </c>
      <c r="I152" s="527">
        <v>2017</v>
      </c>
      <c r="J152" s="794"/>
      <c r="K152" s="794">
        <v>1</v>
      </c>
      <c r="O152" s="792">
        <f t="shared" si="16"/>
        <v>2017</v>
      </c>
      <c r="P152" s="619">
        <f t="shared" si="17"/>
        <v>42917</v>
      </c>
      <c r="Q152" s="764">
        <f t="shared" si="18"/>
        <v>42895</v>
      </c>
      <c r="R152" s="619">
        <f t="shared" si="19"/>
        <v>-22</v>
      </c>
      <c r="S152" s="530">
        <f t="shared" si="20"/>
        <v>-6.0232717316906229E-2</v>
      </c>
      <c r="T152" s="527" t="s">
        <v>2548</v>
      </c>
      <c r="V152" s="527" t="s">
        <v>2429</v>
      </c>
      <c r="W152" s="874">
        <v>42750</v>
      </c>
      <c r="X152" s="872" t="s">
        <v>2694</v>
      </c>
      <c r="Y152" s="846" t="s">
        <v>2695</v>
      </c>
      <c r="Z152" s="874">
        <v>42895</v>
      </c>
      <c r="AB152" s="619">
        <f t="shared" si="21"/>
        <v>145</v>
      </c>
      <c r="AC152" s="530">
        <f t="shared" si="22"/>
        <v>0.39698836413415467</v>
      </c>
      <c r="AD152" s="795">
        <v>1</v>
      </c>
      <c r="AE152" s="795"/>
      <c r="AF152" s="795"/>
      <c r="AG152" s="795"/>
      <c r="AJ152" s="874"/>
    </row>
    <row r="153" spans="1:36" x14ac:dyDescent="0.2">
      <c r="A153" s="527"/>
      <c r="B153" s="807" t="s">
        <v>2406</v>
      </c>
      <c r="D153" s="851" t="s">
        <v>224</v>
      </c>
      <c r="E153" s="611"/>
      <c r="F153" s="611" t="s">
        <v>1274</v>
      </c>
      <c r="G153" s="611" t="s">
        <v>2333</v>
      </c>
      <c r="I153" s="527">
        <v>2017</v>
      </c>
      <c r="J153" s="794"/>
      <c r="K153" s="794">
        <v>1</v>
      </c>
      <c r="O153" s="792">
        <f t="shared" si="16"/>
        <v>2017</v>
      </c>
      <c r="P153" s="619">
        <f t="shared" si="17"/>
        <v>42917</v>
      </c>
      <c r="Q153" s="764">
        <f t="shared" si="18"/>
        <v>42851</v>
      </c>
      <c r="R153" s="619">
        <f t="shared" si="19"/>
        <v>-66</v>
      </c>
      <c r="S153" s="530">
        <f t="shared" si="20"/>
        <v>-0.1806981519507187</v>
      </c>
      <c r="T153" s="527" t="s">
        <v>496</v>
      </c>
      <c r="V153" s="527" t="s">
        <v>2406</v>
      </c>
      <c r="W153" s="874">
        <v>42780</v>
      </c>
      <c r="X153" s="872" t="s">
        <v>2694</v>
      </c>
      <c r="Y153" s="846" t="s">
        <v>2695</v>
      </c>
      <c r="Z153" s="874">
        <v>42851</v>
      </c>
      <c r="AB153" s="619">
        <f t="shared" si="21"/>
        <v>71</v>
      </c>
      <c r="AC153" s="530">
        <f t="shared" si="22"/>
        <v>0.19438740588637921</v>
      </c>
      <c r="AD153" s="795">
        <v>1</v>
      </c>
      <c r="AE153" s="795"/>
      <c r="AF153" s="795"/>
      <c r="AG153" s="795"/>
      <c r="AJ153" s="874"/>
    </row>
    <row r="154" spans="1:36" x14ac:dyDescent="0.2">
      <c r="A154" s="527"/>
      <c r="B154" s="807" t="s">
        <v>2440</v>
      </c>
      <c r="D154" s="851" t="s">
        <v>224</v>
      </c>
      <c r="E154" s="611"/>
      <c r="F154" s="611" t="s">
        <v>1274</v>
      </c>
      <c r="G154" s="611" t="s">
        <v>2473</v>
      </c>
      <c r="H154" s="527">
        <v>2017</v>
      </c>
      <c r="I154" s="527">
        <v>2017</v>
      </c>
      <c r="J154" s="793"/>
      <c r="K154" s="793">
        <v>1</v>
      </c>
      <c r="O154" s="792">
        <f t="shared" si="16"/>
        <v>2017</v>
      </c>
      <c r="P154" s="619">
        <f t="shared" si="17"/>
        <v>42917</v>
      </c>
      <c r="Q154" s="764">
        <f t="shared" si="18"/>
        <v>42930</v>
      </c>
      <c r="R154" s="619">
        <f t="shared" si="19"/>
        <v>13</v>
      </c>
      <c r="S154" s="530">
        <f t="shared" si="20"/>
        <v>3.5592060232717319E-2</v>
      </c>
      <c r="T154" s="527" t="s">
        <v>496</v>
      </c>
      <c r="V154" s="527" t="s">
        <v>2440</v>
      </c>
      <c r="W154" s="874">
        <v>42780</v>
      </c>
      <c r="X154" s="872" t="s">
        <v>2694</v>
      </c>
      <c r="Y154" s="846" t="s">
        <v>2695</v>
      </c>
      <c r="Z154" s="874">
        <v>42930</v>
      </c>
      <c r="AB154" s="619">
        <f t="shared" si="21"/>
        <v>150</v>
      </c>
      <c r="AC154" s="530">
        <f t="shared" si="22"/>
        <v>0.41067761806981518</v>
      </c>
      <c r="AD154" s="795">
        <v>1</v>
      </c>
      <c r="AE154" s="795"/>
      <c r="AF154" s="795"/>
      <c r="AG154" s="795"/>
      <c r="AJ154" s="874"/>
    </row>
    <row r="155" spans="1:36" x14ac:dyDescent="0.2">
      <c r="A155" s="527"/>
      <c r="B155" s="807" t="s">
        <v>2453</v>
      </c>
      <c r="D155" s="851" t="s">
        <v>224</v>
      </c>
      <c r="E155" s="611" t="s">
        <v>2471</v>
      </c>
      <c r="F155" s="611" t="s">
        <v>1274</v>
      </c>
      <c r="G155" s="527" t="s">
        <v>1786</v>
      </c>
      <c r="J155" s="793">
        <v>1</v>
      </c>
      <c r="K155" s="793"/>
      <c r="L155" s="527"/>
      <c r="M155" s="533" t="s">
        <v>2546</v>
      </c>
      <c r="N155" s="527"/>
      <c r="O155" s="792">
        <f t="shared" si="16"/>
        <v>0</v>
      </c>
      <c r="P155" s="619">
        <f t="shared" si="17"/>
        <v>183</v>
      </c>
      <c r="Q155" s="764">
        <f t="shared" si="18"/>
        <v>43155</v>
      </c>
      <c r="R155" s="619">
        <f t="shared" si="19"/>
        <v>42972</v>
      </c>
      <c r="S155" s="530">
        <f t="shared" si="20"/>
        <v>117.65092402464066</v>
      </c>
      <c r="T155" s="527" t="s">
        <v>495</v>
      </c>
      <c r="V155" s="527" t="s">
        <v>2453</v>
      </c>
      <c r="W155" s="874">
        <v>42809</v>
      </c>
      <c r="X155" s="872" t="s">
        <v>2694</v>
      </c>
      <c r="Y155" s="846" t="s">
        <v>2695</v>
      </c>
      <c r="Z155" s="874">
        <v>43155</v>
      </c>
      <c r="AB155" s="619">
        <f t="shared" si="21"/>
        <v>346</v>
      </c>
      <c r="AC155" s="530">
        <f t="shared" si="22"/>
        <v>0.94729637234770703</v>
      </c>
      <c r="AD155" s="795">
        <v>1</v>
      </c>
      <c r="AE155" s="795"/>
      <c r="AF155" s="795"/>
      <c r="AG155" s="795"/>
      <c r="AJ155" s="874"/>
    </row>
    <row r="156" spans="1:36" x14ac:dyDescent="0.2">
      <c r="A156" s="527"/>
      <c r="B156" s="807" t="s">
        <v>2529</v>
      </c>
      <c r="D156" s="851" t="s">
        <v>224</v>
      </c>
      <c r="E156" s="611"/>
      <c r="F156" s="611" t="s">
        <v>1274</v>
      </c>
      <c r="G156" s="611" t="s">
        <v>2315</v>
      </c>
      <c r="I156" s="527">
        <v>2017</v>
      </c>
      <c r="J156" s="793"/>
      <c r="K156" s="793">
        <v>1</v>
      </c>
      <c r="M156" s="533" t="s">
        <v>2470</v>
      </c>
      <c r="O156" s="792">
        <f t="shared" si="16"/>
        <v>2017</v>
      </c>
      <c r="P156" s="619">
        <f t="shared" si="17"/>
        <v>42917</v>
      </c>
      <c r="Q156" s="764">
        <f t="shared" si="18"/>
        <v>43075</v>
      </c>
      <c r="R156" s="619">
        <f t="shared" si="19"/>
        <v>158</v>
      </c>
      <c r="S156" s="530">
        <f t="shared" si="20"/>
        <v>0.432580424366872</v>
      </c>
      <c r="T156" s="611" t="s">
        <v>496</v>
      </c>
      <c r="V156" s="527" t="s">
        <v>2529</v>
      </c>
      <c r="W156" s="874">
        <v>42809</v>
      </c>
      <c r="X156" s="872" t="s">
        <v>2694</v>
      </c>
      <c r="Y156" s="846" t="s">
        <v>2695</v>
      </c>
      <c r="Z156" s="874">
        <v>43075</v>
      </c>
      <c r="AB156" s="619">
        <f t="shared" si="21"/>
        <v>266</v>
      </c>
      <c r="AC156" s="530">
        <f t="shared" si="22"/>
        <v>0.72826830937713893</v>
      </c>
      <c r="AD156" s="795">
        <v>1</v>
      </c>
      <c r="AE156" s="795"/>
      <c r="AF156" s="795"/>
      <c r="AG156" s="795"/>
      <c r="AJ156" s="874"/>
    </row>
    <row r="157" spans="1:36" x14ac:dyDescent="0.2">
      <c r="A157" s="527"/>
      <c r="B157" s="807" t="s">
        <v>2564</v>
      </c>
      <c r="D157" s="851" t="s">
        <v>224</v>
      </c>
      <c r="G157" s="527" t="s">
        <v>1786</v>
      </c>
      <c r="I157" s="527">
        <v>2017</v>
      </c>
      <c r="J157" s="793"/>
      <c r="K157" s="793"/>
      <c r="M157" s="533" t="s">
        <v>2546</v>
      </c>
      <c r="O157" s="792">
        <f t="shared" si="16"/>
        <v>2017</v>
      </c>
      <c r="P157" s="619">
        <f t="shared" si="17"/>
        <v>42917</v>
      </c>
      <c r="Q157" s="764">
        <f t="shared" si="18"/>
        <v>43151</v>
      </c>
      <c r="R157" s="619">
        <f t="shared" si="19"/>
        <v>234</v>
      </c>
      <c r="S157" s="530">
        <f t="shared" si="20"/>
        <v>0.64065708418891165</v>
      </c>
      <c r="T157" s="611" t="s">
        <v>2611</v>
      </c>
      <c r="V157" s="527" t="s">
        <v>2564</v>
      </c>
      <c r="W157" s="874">
        <v>42809</v>
      </c>
      <c r="X157" s="872" t="s">
        <v>2694</v>
      </c>
      <c r="Y157" s="846" t="s">
        <v>2695</v>
      </c>
      <c r="Z157" s="874">
        <v>43151</v>
      </c>
      <c r="AB157" s="619">
        <f t="shared" si="21"/>
        <v>342</v>
      </c>
      <c r="AC157" s="530">
        <f t="shared" si="22"/>
        <v>0.93634496919917864</v>
      </c>
      <c r="AD157" s="795">
        <v>1</v>
      </c>
      <c r="AE157" s="795"/>
      <c r="AF157" s="795"/>
      <c r="AG157" s="795"/>
      <c r="AJ157" s="874"/>
    </row>
    <row r="158" spans="1:36" x14ac:dyDescent="0.2">
      <c r="A158" s="527"/>
      <c r="B158" s="807" t="s">
        <v>2602</v>
      </c>
      <c r="D158" s="851" t="s">
        <v>224</v>
      </c>
      <c r="E158" s="611" t="s">
        <v>2620</v>
      </c>
      <c r="F158" s="611"/>
      <c r="G158" s="611" t="s">
        <v>2330</v>
      </c>
      <c r="I158" s="527">
        <v>2018</v>
      </c>
      <c r="J158" s="793">
        <v>1</v>
      </c>
      <c r="K158" s="793">
        <v>1</v>
      </c>
      <c r="O158" s="792">
        <f t="shared" si="16"/>
        <v>2018</v>
      </c>
      <c r="P158" s="619">
        <f t="shared" si="17"/>
        <v>43282</v>
      </c>
      <c r="Q158" s="764">
        <f t="shared" si="18"/>
        <v>43285</v>
      </c>
      <c r="R158" s="619">
        <f t="shared" si="19"/>
        <v>3</v>
      </c>
      <c r="S158" s="530">
        <f t="shared" si="20"/>
        <v>8.2135523613963042E-3</v>
      </c>
      <c r="T158" s="527" t="s">
        <v>496</v>
      </c>
      <c r="V158" s="527" t="s">
        <v>2602</v>
      </c>
      <c r="W158" s="874">
        <v>42809</v>
      </c>
      <c r="X158" s="872" t="s">
        <v>2694</v>
      </c>
      <c r="Y158" s="846" t="s">
        <v>2695</v>
      </c>
      <c r="Z158" s="874">
        <v>43285</v>
      </c>
      <c r="AB158" s="619">
        <f t="shared" si="21"/>
        <v>476</v>
      </c>
      <c r="AC158" s="530">
        <f t="shared" si="22"/>
        <v>1.3032169746748803</v>
      </c>
      <c r="AD158" s="795">
        <v>1</v>
      </c>
      <c r="AE158" s="795"/>
      <c r="AF158" s="795"/>
      <c r="AG158" s="795"/>
      <c r="AJ158" s="874"/>
    </row>
    <row r="159" spans="1:36" x14ac:dyDescent="0.2">
      <c r="A159" s="527"/>
      <c r="B159" s="807" t="s">
        <v>2424</v>
      </c>
      <c r="D159" s="851" t="s">
        <v>224</v>
      </c>
      <c r="E159" s="611"/>
      <c r="F159" s="611" t="s">
        <v>1274</v>
      </c>
      <c r="G159" s="611" t="s">
        <v>2540</v>
      </c>
      <c r="I159" s="527">
        <v>2017</v>
      </c>
      <c r="J159" s="794"/>
      <c r="K159" s="794"/>
      <c r="M159" s="533" t="s">
        <v>2470</v>
      </c>
      <c r="O159" s="792">
        <f t="shared" si="16"/>
        <v>2017</v>
      </c>
      <c r="P159" s="619">
        <f t="shared" si="17"/>
        <v>42917</v>
      </c>
      <c r="Q159" s="764">
        <f t="shared" si="18"/>
        <v>42865</v>
      </c>
      <c r="R159" s="619">
        <f t="shared" si="19"/>
        <v>-52</v>
      </c>
      <c r="S159" s="530">
        <f t="shared" si="20"/>
        <v>-0.14236824093086928</v>
      </c>
      <c r="T159" s="527" t="s">
        <v>496</v>
      </c>
      <c r="V159" s="527" t="s">
        <v>2424</v>
      </c>
      <c r="W159" s="874">
        <v>42814</v>
      </c>
      <c r="X159" s="872" t="s">
        <v>2167</v>
      </c>
      <c r="Y159" s="846" t="s">
        <v>2695</v>
      </c>
      <c r="Z159" s="874">
        <v>42865</v>
      </c>
      <c r="AB159" s="619">
        <f t="shared" si="21"/>
        <v>51</v>
      </c>
      <c r="AC159" s="530">
        <f t="shared" si="22"/>
        <v>0.13963039014373715</v>
      </c>
      <c r="AD159" s="795">
        <v>1</v>
      </c>
      <c r="AE159" s="795"/>
      <c r="AF159" s="795"/>
      <c r="AG159" s="795"/>
      <c r="AJ159" s="874"/>
    </row>
    <row r="160" spans="1:36" x14ac:dyDescent="0.2">
      <c r="A160" s="527"/>
      <c r="B160" s="807" t="s">
        <v>2435</v>
      </c>
      <c r="D160" s="851" t="s">
        <v>224</v>
      </c>
      <c r="E160" s="611" t="s">
        <v>2471</v>
      </c>
      <c r="F160" s="611" t="s">
        <v>1274</v>
      </c>
      <c r="G160" s="611" t="s">
        <v>2317</v>
      </c>
      <c r="I160" s="527">
        <v>2017</v>
      </c>
      <c r="J160" s="793">
        <v>1</v>
      </c>
      <c r="K160" s="793"/>
      <c r="M160" s="533" t="s">
        <v>2470</v>
      </c>
      <c r="O160" s="792">
        <f t="shared" si="16"/>
        <v>2017</v>
      </c>
      <c r="P160" s="619">
        <f t="shared" si="17"/>
        <v>42917</v>
      </c>
      <c r="Q160" s="764">
        <f t="shared" si="18"/>
        <v>42914</v>
      </c>
      <c r="R160" s="619">
        <f t="shared" si="19"/>
        <v>-3</v>
      </c>
      <c r="S160" s="530">
        <f t="shared" si="20"/>
        <v>-8.2135523613963042E-3</v>
      </c>
      <c r="T160" s="527" t="s">
        <v>496</v>
      </c>
      <c r="V160" s="527" t="s">
        <v>2435</v>
      </c>
      <c r="W160" s="874">
        <v>42840</v>
      </c>
      <c r="X160" s="872" t="s">
        <v>2694</v>
      </c>
      <c r="Y160" s="846" t="s">
        <v>2695</v>
      </c>
      <c r="Z160" s="874">
        <v>42914</v>
      </c>
      <c r="AB160" s="619">
        <f t="shared" si="21"/>
        <v>74</v>
      </c>
      <c r="AC160" s="530">
        <f t="shared" si="22"/>
        <v>0.20260095824777549</v>
      </c>
      <c r="AD160" s="795">
        <v>1</v>
      </c>
      <c r="AE160" s="795"/>
      <c r="AF160" s="795"/>
      <c r="AG160" s="795"/>
      <c r="AJ160" s="874"/>
    </row>
    <row r="161" spans="1:36" x14ac:dyDescent="0.2">
      <c r="A161" s="527"/>
      <c r="B161" s="807" t="s">
        <v>2438</v>
      </c>
      <c r="D161" s="851" t="s">
        <v>224</v>
      </c>
      <c r="E161" s="611" t="s">
        <v>2471</v>
      </c>
      <c r="F161" s="611" t="s">
        <v>1274</v>
      </c>
      <c r="G161" s="611" t="s">
        <v>2317</v>
      </c>
      <c r="H161" s="611"/>
      <c r="I161" s="527">
        <v>2017</v>
      </c>
      <c r="J161" s="793">
        <v>1</v>
      </c>
      <c r="K161" s="793"/>
      <c r="M161" s="533" t="s">
        <v>2470</v>
      </c>
      <c r="O161" s="792">
        <f t="shared" si="16"/>
        <v>2017</v>
      </c>
      <c r="P161" s="619">
        <f t="shared" si="17"/>
        <v>42917</v>
      </c>
      <c r="Q161" s="764">
        <f t="shared" si="18"/>
        <v>42914</v>
      </c>
      <c r="R161" s="619">
        <f t="shared" si="19"/>
        <v>-3</v>
      </c>
      <c r="S161" s="530">
        <f t="shared" si="20"/>
        <v>-8.2135523613963042E-3</v>
      </c>
      <c r="T161" s="527" t="s">
        <v>496</v>
      </c>
      <c r="V161" s="527" t="s">
        <v>2438</v>
      </c>
      <c r="W161" s="874">
        <v>42840</v>
      </c>
      <c r="X161" s="872" t="s">
        <v>2694</v>
      </c>
      <c r="Y161" s="846" t="s">
        <v>2695</v>
      </c>
      <c r="Z161" s="874">
        <v>42914</v>
      </c>
      <c r="AB161" s="619">
        <f t="shared" si="21"/>
        <v>74</v>
      </c>
      <c r="AC161" s="530">
        <f t="shared" si="22"/>
        <v>0.20260095824777549</v>
      </c>
      <c r="AD161" s="795">
        <v>1</v>
      </c>
      <c r="AE161" s="795"/>
      <c r="AF161" s="795"/>
      <c r="AG161" s="795"/>
      <c r="AJ161" s="874"/>
    </row>
    <row r="162" spans="1:36" x14ac:dyDescent="0.2">
      <c r="A162" s="527"/>
      <c r="B162" s="807" t="s">
        <v>2436</v>
      </c>
      <c r="D162" s="851" t="s">
        <v>224</v>
      </c>
      <c r="E162" s="611" t="s">
        <v>2471</v>
      </c>
      <c r="F162" s="611" t="s">
        <v>1274</v>
      </c>
      <c r="G162" s="611" t="s">
        <v>2317</v>
      </c>
      <c r="I162" s="527">
        <v>2017</v>
      </c>
      <c r="J162" s="793">
        <v>1</v>
      </c>
      <c r="K162" s="793"/>
      <c r="M162" s="533" t="s">
        <v>2470</v>
      </c>
      <c r="O162" s="792">
        <f t="shared" si="16"/>
        <v>2017</v>
      </c>
      <c r="P162" s="619">
        <f t="shared" si="17"/>
        <v>42917</v>
      </c>
      <c r="Q162" s="764">
        <f t="shared" si="18"/>
        <v>43021</v>
      </c>
      <c r="R162" s="619">
        <f t="shared" si="19"/>
        <v>104</v>
      </c>
      <c r="S162" s="530">
        <f t="shared" si="20"/>
        <v>0.28473648186173856</v>
      </c>
      <c r="T162" s="527" t="s">
        <v>496</v>
      </c>
      <c r="V162" s="527" t="s">
        <v>2436</v>
      </c>
      <c r="W162" s="874">
        <v>42840</v>
      </c>
      <c r="X162" s="872" t="s">
        <v>2694</v>
      </c>
      <c r="Y162" s="846" t="s">
        <v>2695</v>
      </c>
      <c r="Z162" s="874">
        <v>43021</v>
      </c>
      <c r="AB162" s="619">
        <f t="shared" si="21"/>
        <v>181</v>
      </c>
      <c r="AC162" s="530">
        <f t="shared" si="22"/>
        <v>0.49555099247091033</v>
      </c>
      <c r="AD162" s="795">
        <v>1</v>
      </c>
      <c r="AE162" s="795"/>
      <c r="AF162" s="795"/>
      <c r="AG162" s="795"/>
      <c r="AJ162" s="874"/>
    </row>
    <row r="163" spans="1:36" x14ac:dyDescent="0.2">
      <c r="A163" s="527"/>
      <c r="B163" s="807" t="s">
        <v>2437</v>
      </c>
      <c r="D163" s="851" t="s">
        <v>224</v>
      </c>
      <c r="E163" s="611" t="s">
        <v>2471</v>
      </c>
      <c r="F163" s="611" t="s">
        <v>1274</v>
      </c>
      <c r="G163" s="611" t="s">
        <v>2472</v>
      </c>
      <c r="H163" s="527">
        <v>2017</v>
      </c>
      <c r="I163" s="527">
        <v>2017</v>
      </c>
      <c r="J163" s="793">
        <v>1</v>
      </c>
      <c r="K163" s="793">
        <v>1</v>
      </c>
      <c r="O163" s="792">
        <f t="shared" si="16"/>
        <v>2017</v>
      </c>
      <c r="P163" s="619">
        <f t="shared" si="17"/>
        <v>42917</v>
      </c>
      <c r="Q163" s="764">
        <f t="shared" si="18"/>
        <v>42930</v>
      </c>
      <c r="R163" s="619">
        <f t="shared" si="19"/>
        <v>13</v>
      </c>
      <c r="S163" s="530">
        <f t="shared" si="20"/>
        <v>3.5592060232717319E-2</v>
      </c>
      <c r="T163" s="527" t="s">
        <v>496</v>
      </c>
      <c r="V163" s="527" t="s">
        <v>2437</v>
      </c>
      <c r="W163" s="874">
        <v>42840</v>
      </c>
      <c r="X163" s="872" t="s">
        <v>2694</v>
      </c>
      <c r="Y163" s="846" t="s">
        <v>2695</v>
      </c>
      <c r="Z163" s="874">
        <v>42930</v>
      </c>
      <c r="AB163" s="619">
        <f t="shared" si="21"/>
        <v>90</v>
      </c>
      <c r="AC163" s="530">
        <f t="shared" si="22"/>
        <v>0.24640657084188911</v>
      </c>
      <c r="AD163" s="795">
        <v>1</v>
      </c>
      <c r="AE163" s="795"/>
      <c r="AF163" s="795"/>
      <c r="AG163" s="795"/>
      <c r="AJ163" s="874"/>
    </row>
    <row r="164" spans="1:36" x14ac:dyDescent="0.2">
      <c r="A164" s="527"/>
      <c r="B164" s="807" t="s">
        <v>2507</v>
      </c>
      <c r="D164" s="851" t="s">
        <v>224</v>
      </c>
      <c r="E164" s="611"/>
      <c r="F164" s="611" t="s">
        <v>1274</v>
      </c>
      <c r="G164" s="611" t="s">
        <v>2315</v>
      </c>
      <c r="I164" s="527">
        <v>2017</v>
      </c>
      <c r="J164" s="793"/>
      <c r="K164" s="793">
        <v>1</v>
      </c>
      <c r="M164" s="533" t="s">
        <v>2470</v>
      </c>
      <c r="O164" s="792">
        <f t="shared" si="16"/>
        <v>2017</v>
      </c>
      <c r="P164" s="619">
        <f t="shared" ref="P164:P195" si="23">DATE(O164,7,1)</f>
        <v>42917</v>
      </c>
      <c r="Q164" s="764">
        <f t="shared" si="18"/>
        <v>43021</v>
      </c>
      <c r="R164" s="619">
        <f t="shared" si="19"/>
        <v>104</v>
      </c>
      <c r="S164" s="530">
        <f t="shared" si="20"/>
        <v>0.28473648186173856</v>
      </c>
      <c r="T164" s="527" t="s">
        <v>496</v>
      </c>
      <c r="V164" s="527" t="s">
        <v>2507</v>
      </c>
      <c r="W164" s="874">
        <v>42840</v>
      </c>
      <c r="X164" s="872" t="s">
        <v>2694</v>
      </c>
      <c r="Y164" s="846" t="s">
        <v>2695</v>
      </c>
      <c r="Z164" s="874">
        <v>43021</v>
      </c>
      <c r="AB164" s="619">
        <f t="shared" si="21"/>
        <v>181</v>
      </c>
      <c r="AC164" s="530">
        <f t="shared" si="22"/>
        <v>0.49555099247091033</v>
      </c>
      <c r="AD164" s="795">
        <v>1</v>
      </c>
      <c r="AE164" s="795"/>
      <c r="AF164" s="795"/>
      <c r="AG164" s="795"/>
      <c r="AJ164" s="874"/>
    </row>
    <row r="165" spans="1:36" x14ac:dyDescent="0.2">
      <c r="A165" s="527"/>
      <c r="B165" s="807" t="s">
        <v>2522</v>
      </c>
      <c r="D165" s="851" t="s">
        <v>224</v>
      </c>
      <c r="E165" s="611"/>
      <c r="F165" s="611" t="s">
        <v>1274</v>
      </c>
      <c r="G165" s="527" t="s">
        <v>1786</v>
      </c>
      <c r="I165" s="527">
        <v>2017</v>
      </c>
      <c r="J165" s="793"/>
      <c r="K165" s="793"/>
      <c r="M165" s="533" t="s">
        <v>2546</v>
      </c>
      <c r="O165" s="792">
        <f t="shared" si="16"/>
        <v>2017</v>
      </c>
      <c r="P165" s="619">
        <f t="shared" si="23"/>
        <v>42917</v>
      </c>
      <c r="Q165" s="764">
        <f t="shared" si="18"/>
        <v>43054</v>
      </c>
      <c r="R165" s="619">
        <f t="shared" si="19"/>
        <v>137</v>
      </c>
      <c r="S165" s="530">
        <f t="shared" si="20"/>
        <v>0.3750855578370979</v>
      </c>
      <c r="T165" s="527" t="s">
        <v>496</v>
      </c>
      <c r="V165" s="527" t="s">
        <v>2522</v>
      </c>
      <c r="W165" s="874">
        <v>42865</v>
      </c>
      <c r="X165" s="872" t="s">
        <v>2167</v>
      </c>
      <c r="Y165" s="846" t="s">
        <v>2695</v>
      </c>
      <c r="Z165" s="874">
        <v>43054</v>
      </c>
      <c r="AB165" s="619">
        <f t="shared" si="21"/>
        <v>189</v>
      </c>
      <c r="AC165" s="530">
        <f t="shared" si="22"/>
        <v>0.51745379876796715</v>
      </c>
      <c r="AD165" s="795">
        <v>1</v>
      </c>
      <c r="AE165" s="795"/>
      <c r="AF165" s="795"/>
      <c r="AG165" s="795"/>
      <c r="AJ165" s="874"/>
    </row>
    <row r="166" spans="1:36" x14ac:dyDescent="0.2">
      <c r="A166" s="527"/>
      <c r="B166" s="807" t="s">
        <v>2447</v>
      </c>
      <c r="D166" s="851" t="s">
        <v>224</v>
      </c>
      <c r="E166" s="611"/>
      <c r="F166" s="611" t="s">
        <v>1274</v>
      </c>
      <c r="G166" s="611" t="s">
        <v>2340</v>
      </c>
      <c r="H166" s="527">
        <v>2017</v>
      </c>
      <c r="I166" s="527">
        <v>2017</v>
      </c>
      <c r="J166" s="793"/>
      <c r="K166" s="793">
        <v>1</v>
      </c>
      <c r="O166" s="792">
        <f t="shared" si="16"/>
        <v>2017</v>
      </c>
      <c r="P166" s="619">
        <f t="shared" si="23"/>
        <v>42917</v>
      </c>
      <c r="Q166" s="764">
        <f t="shared" si="18"/>
        <v>42962</v>
      </c>
      <c r="R166" s="619">
        <f t="shared" si="19"/>
        <v>45</v>
      </c>
      <c r="S166" s="530">
        <f t="shared" si="20"/>
        <v>0.12320328542094455</v>
      </c>
      <c r="T166" s="527" t="s">
        <v>496</v>
      </c>
      <c r="V166" s="527" t="s">
        <v>2447</v>
      </c>
      <c r="W166" s="874">
        <v>42870</v>
      </c>
      <c r="X166" s="872" t="s">
        <v>2694</v>
      </c>
      <c r="Y166" s="846" t="s">
        <v>2695</v>
      </c>
      <c r="Z166" s="874">
        <v>42962</v>
      </c>
      <c r="AB166" s="619">
        <f t="shared" si="21"/>
        <v>92</v>
      </c>
      <c r="AC166" s="530">
        <f t="shared" si="22"/>
        <v>0.2518822724161533</v>
      </c>
      <c r="AD166" s="795">
        <v>1</v>
      </c>
      <c r="AE166" s="795"/>
      <c r="AF166" s="795"/>
      <c r="AG166" s="795"/>
      <c r="AJ166" s="874"/>
    </row>
    <row r="167" spans="1:36" x14ac:dyDescent="0.2">
      <c r="A167" s="527"/>
      <c r="B167" s="807" t="s">
        <v>2568</v>
      </c>
      <c r="D167" s="851" t="s">
        <v>224</v>
      </c>
      <c r="E167" s="611" t="s">
        <v>2609</v>
      </c>
      <c r="F167" s="611" t="s">
        <v>1274</v>
      </c>
      <c r="G167" s="611" t="s">
        <v>2610</v>
      </c>
      <c r="I167" s="527">
        <v>2017</v>
      </c>
      <c r="J167" s="793">
        <v>1</v>
      </c>
      <c r="K167" s="793">
        <v>1</v>
      </c>
      <c r="M167" s="533" t="s">
        <v>2470</v>
      </c>
      <c r="O167" s="792">
        <f t="shared" si="16"/>
        <v>2017</v>
      </c>
      <c r="P167" s="619">
        <f t="shared" si="23"/>
        <v>42917</v>
      </c>
      <c r="Q167" s="764">
        <f t="shared" si="18"/>
        <v>43155</v>
      </c>
      <c r="R167" s="619">
        <f t="shared" si="19"/>
        <v>238</v>
      </c>
      <c r="S167" s="530">
        <f t="shared" si="20"/>
        <v>0.65160848733744015</v>
      </c>
      <c r="T167" s="527" t="s">
        <v>496</v>
      </c>
      <c r="V167" s="527" t="s">
        <v>2568</v>
      </c>
      <c r="W167" s="874">
        <v>42901</v>
      </c>
      <c r="X167" s="872" t="s">
        <v>2694</v>
      </c>
      <c r="Y167" s="846" t="s">
        <v>2695</v>
      </c>
      <c r="Z167" s="874">
        <v>43155</v>
      </c>
      <c r="AB167" s="619">
        <f t="shared" si="21"/>
        <v>254</v>
      </c>
      <c r="AC167" s="530">
        <f t="shared" si="22"/>
        <v>0.69541409993155368</v>
      </c>
      <c r="AD167" s="795">
        <v>1</v>
      </c>
      <c r="AE167" s="795"/>
      <c r="AF167" s="795"/>
      <c r="AG167" s="795"/>
      <c r="AJ167" s="874"/>
    </row>
    <row r="168" spans="1:36" x14ac:dyDescent="0.2">
      <c r="A168" s="527"/>
      <c r="B168" s="807" t="s">
        <v>2530</v>
      </c>
      <c r="D168" s="851" t="s">
        <v>224</v>
      </c>
      <c r="E168" s="611"/>
      <c r="F168" s="611" t="s">
        <v>1274</v>
      </c>
      <c r="G168" s="611" t="s">
        <v>2315</v>
      </c>
      <c r="I168" s="527">
        <v>2017</v>
      </c>
      <c r="J168" s="793"/>
      <c r="K168" s="793">
        <v>1</v>
      </c>
      <c r="M168" s="533" t="s">
        <v>2470</v>
      </c>
      <c r="O168" s="792">
        <f t="shared" si="16"/>
        <v>2017</v>
      </c>
      <c r="P168" s="619">
        <f t="shared" si="23"/>
        <v>42917</v>
      </c>
      <c r="Q168" s="764">
        <f t="shared" si="18"/>
        <v>43075</v>
      </c>
      <c r="R168" s="619">
        <f t="shared" si="19"/>
        <v>158</v>
      </c>
      <c r="S168" s="530">
        <f t="shared" si="20"/>
        <v>0.432580424366872</v>
      </c>
      <c r="T168" s="611" t="s">
        <v>2547</v>
      </c>
      <c r="V168" s="527" t="s">
        <v>2530</v>
      </c>
      <c r="W168" s="874">
        <v>42901</v>
      </c>
      <c r="X168" s="872" t="s">
        <v>2694</v>
      </c>
      <c r="Y168" s="846" t="s">
        <v>2695</v>
      </c>
      <c r="Z168" s="874">
        <v>43075</v>
      </c>
      <c r="AB168" s="619">
        <f t="shared" si="21"/>
        <v>174</v>
      </c>
      <c r="AC168" s="530">
        <f t="shared" si="22"/>
        <v>0.47638603696098564</v>
      </c>
      <c r="AD168" s="795">
        <v>1</v>
      </c>
      <c r="AE168" s="795"/>
      <c r="AF168" s="795"/>
      <c r="AG168" s="795"/>
      <c r="AJ168" s="874"/>
    </row>
    <row r="169" spans="1:36" x14ac:dyDescent="0.2">
      <c r="A169" s="527"/>
      <c r="B169" s="807" t="s">
        <v>2561</v>
      </c>
      <c r="D169" s="851" t="s">
        <v>224</v>
      </c>
      <c r="E169" s="611"/>
      <c r="F169" s="611" t="s">
        <v>1274</v>
      </c>
      <c r="G169" s="611" t="s">
        <v>2317</v>
      </c>
      <c r="I169" s="527">
        <v>2016</v>
      </c>
      <c r="J169" s="793"/>
      <c r="K169" s="793"/>
      <c r="M169" s="533" t="s">
        <v>2470</v>
      </c>
      <c r="O169" s="792">
        <f t="shared" si="16"/>
        <v>2016</v>
      </c>
      <c r="P169" s="619">
        <f t="shared" si="23"/>
        <v>42552</v>
      </c>
      <c r="Q169" s="764">
        <f t="shared" si="18"/>
        <v>43112</v>
      </c>
      <c r="R169" s="619">
        <f t="shared" si="19"/>
        <v>560</v>
      </c>
      <c r="S169" s="530">
        <f t="shared" si="20"/>
        <v>1.5331964407939767</v>
      </c>
      <c r="T169" s="611" t="s">
        <v>495</v>
      </c>
      <c r="V169" s="527" t="s">
        <v>2561</v>
      </c>
      <c r="W169" s="874">
        <v>42901</v>
      </c>
      <c r="X169" s="872" t="s">
        <v>2694</v>
      </c>
      <c r="Y169" s="846" t="s">
        <v>2695</v>
      </c>
      <c r="Z169" s="874">
        <v>43112</v>
      </c>
      <c r="AB169" s="619">
        <f t="shared" si="21"/>
        <v>211</v>
      </c>
      <c r="AC169" s="530">
        <f t="shared" si="22"/>
        <v>0.57768651608487342</v>
      </c>
      <c r="AD169" s="795">
        <v>1</v>
      </c>
      <c r="AE169" s="795"/>
      <c r="AF169" s="795"/>
      <c r="AG169" s="795"/>
      <c r="AJ169" s="874"/>
    </row>
    <row r="170" spans="1:36" x14ac:dyDescent="0.2">
      <c r="A170" s="527"/>
      <c r="B170" s="807" t="s">
        <v>2493</v>
      </c>
      <c r="D170" s="851" t="s">
        <v>224</v>
      </c>
      <c r="E170" s="611" t="s">
        <v>2323</v>
      </c>
      <c r="F170" s="611" t="s">
        <v>1274</v>
      </c>
      <c r="G170" s="611" t="s">
        <v>2540</v>
      </c>
      <c r="I170" s="527">
        <v>2017</v>
      </c>
      <c r="J170" s="793"/>
      <c r="K170" s="793"/>
      <c r="M170" s="533" t="s">
        <v>2470</v>
      </c>
      <c r="O170" s="792">
        <f t="shared" si="16"/>
        <v>2017</v>
      </c>
      <c r="P170" s="619">
        <f t="shared" si="23"/>
        <v>42917</v>
      </c>
      <c r="Q170" s="764">
        <f t="shared" si="18"/>
        <v>42989</v>
      </c>
      <c r="R170" s="619">
        <f t="shared" si="19"/>
        <v>72</v>
      </c>
      <c r="S170" s="530">
        <f t="shared" si="20"/>
        <v>0.1971252566735113</v>
      </c>
      <c r="T170" s="527" t="s">
        <v>496</v>
      </c>
      <c r="V170" s="527" t="s">
        <v>2493</v>
      </c>
      <c r="W170" s="874">
        <v>42917</v>
      </c>
      <c r="X170" s="872" t="s">
        <v>316</v>
      </c>
      <c r="Y170" s="846" t="s">
        <v>2695</v>
      </c>
      <c r="Z170" s="874">
        <v>42989</v>
      </c>
      <c r="AB170" s="619">
        <f t="shared" si="21"/>
        <v>72</v>
      </c>
      <c r="AC170" s="530">
        <f t="shared" si="22"/>
        <v>0.1971252566735113</v>
      </c>
      <c r="AD170" s="795">
        <v>1</v>
      </c>
      <c r="AE170" s="795"/>
      <c r="AF170" s="795"/>
      <c r="AG170" s="795"/>
      <c r="AJ170" s="874"/>
    </row>
    <row r="171" spans="1:36" x14ac:dyDescent="0.2">
      <c r="A171" s="527"/>
      <c r="B171" s="807" t="s">
        <v>2496</v>
      </c>
      <c r="D171" s="851" t="s">
        <v>224</v>
      </c>
      <c r="E171" s="611"/>
      <c r="F171" s="611" t="s">
        <v>1274</v>
      </c>
      <c r="G171" s="611" t="s">
        <v>2315</v>
      </c>
      <c r="I171" s="527">
        <v>2017</v>
      </c>
      <c r="J171" s="793"/>
      <c r="K171" s="793">
        <v>1</v>
      </c>
      <c r="O171" s="792">
        <f t="shared" si="16"/>
        <v>2017</v>
      </c>
      <c r="P171" s="619">
        <f t="shared" si="23"/>
        <v>42917</v>
      </c>
      <c r="Q171" s="764">
        <f t="shared" si="18"/>
        <v>43001</v>
      </c>
      <c r="R171" s="619">
        <f t="shared" si="19"/>
        <v>84</v>
      </c>
      <c r="S171" s="530">
        <f t="shared" si="20"/>
        <v>0.2299794661190965</v>
      </c>
      <c r="T171" s="527" t="s">
        <v>496</v>
      </c>
      <c r="V171" s="527" t="s">
        <v>2496</v>
      </c>
      <c r="W171" s="874">
        <v>42917</v>
      </c>
      <c r="X171" s="872" t="s">
        <v>316</v>
      </c>
      <c r="Y171" s="846" t="s">
        <v>2695</v>
      </c>
      <c r="Z171" s="874">
        <v>43001</v>
      </c>
      <c r="AB171" s="619">
        <f t="shared" si="21"/>
        <v>84</v>
      </c>
      <c r="AC171" s="530">
        <f t="shared" si="22"/>
        <v>0.2299794661190965</v>
      </c>
      <c r="AD171" s="795">
        <v>1</v>
      </c>
      <c r="AE171" s="795"/>
      <c r="AF171" s="795"/>
      <c r="AG171" s="795"/>
      <c r="AJ171" s="874"/>
    </row>
    <row r="172" spans="1:36" x14ac:dyDescent="0.2">
      <c r="A172" s="527"/>
      <c r="B172" s="807" t="s">
        <v>2508</v>
      </c>
      <c r="D172" s="851" t="s">
        <v>224</v>
      </c>
      <c r="E172" s="611" t="s">
        <v>2542</v>
      </c>
      <c r="F172" s="611" t="s">
        <v>1274</v>
      </c>
      <c r="G172" s="611" t="s">
        <v>2317</v>
      </c>
      <c r="I172" s="527">
        <v>2017</v>
      </c>
      <c r="J172" s="793"/>
      <c r="K172" s="793"/>
      <c r="M172" s="533" t="s">
        <v>2543</v>
      </c>
      <c r="O172" s="792">
        <f t="shared" si="16"/>
        <v>2017</v>
      </c>
      <c r="P172" s="619">
        <f t="shared" si="23"/>
        <v>42917</v>
      </c>
      <c r="Q172" s="764">
        <f t="shared" si="18"/>
        <v>43021</v>
      </c>
      <c r="R172" s="619">
        <f t="shared" si="19"/>
        <v>104</v>
      </c>
      <c r="S172" s="530">
        <f t="shared" si="20"/>
        <v>0.28473648186173856</v>
      </c>
      <c r="T172" s="527" t="s">
        <v>2541</v>
      </c>
      <c r="V172" s="527" t="s">
        <v>2508</v>
      </c>
      <c r="W172" s="874">
        <v>42917</v>
      </c>
      <c r="X172" s="872" t="s">
        <v>316</v>
      </c>
      <c r="Y172" s="846" t="s">
        <v>2695</v>
      </c>
      <c r="Z172" s="874">
        <v>43021</v>
      </c>
      <c r="AB172" s="619">
        <f t="shared" si="21"/>
        <v>104</v>
      </c>
      <c r="AC172" s="530">
        <f t="shared" si="22"/>
        <v>0.28473648186173856</v>
      </c>
      <c r="AD172" s="795">
        <v>1</v>
      </c>
      <c r="AE172" s="795"/>
      <c r="AF172" s="795"/>
      <c r="AG172" s="795"/>
      <c r="AJ172" s="874"/>
    </row>
    <row r="173" spans="1:36" x14ac:dyDescent="0.2">
      <c r="A173" s="527"/>
      <c r="B173" s="807" t="s">
        <v>2513</v>
      </c>
      <c r="D173" s="851" t="s">
        <v>224</v>
      </c>
      <c r="E173" s="611"/>
      <c r="F173" s="611" t="s">
        <v>1274</v>
      </c>
      <c r="G173" s="611" t="s">
        <v>2343</v>
      </c>
      <c r="I173" s="527">
        <v>2017</v>
      </c>
      <c r="J173" s="793"/>
      <c r="K173" s="793">
        <v>1</v>
      </c>
      <c r="M173" s="533" t="s">
        <v>2470</v>
      </c>
      <c r="O173" s="792">
        <f t="shared" si="16"/>
        <v>2017</v>
      </c>
      <c r="P173" s="619">
        <f t="shared" si="23"/>
        <v>42917</v>
      </c>
      <c r="Q173" s="764">
        <f t="shared" si="18"/>
        <v>43038</v>
      </c>
      <c r="R173" s="619">
        <f t="shared" si="19"/>
        <v>121</v>
      </c>
      <c r="S173" s="530">
        <f t="shared" si="20"/>
        <v>0.33127994524298426</v>
      </c>
      <c r="T173" s="527" t="s">
        <v>496</v>
      </c>
      <c r="V173" s="527" t="s">
        <v>2513</v>
      </c>
      <c r="W173" s="874">
        <v>42917</v>
      </c>
      <c r="X173" s="872" t="s">
        <v>316</v>
      </c>
      <c r="Y173" s="846" t="s">
        <v>2695</v>
      </c>
      <c r="Z173" s="874">
        <v>43038</v>
      </c>
      <c r="AB173" s="619">
        <f t="shared" si="21"/>
        <v>121</v>
      </c>
      <c r="AC173" s="530">
        <f t="shared" si="22"/>
        <v>0.33127994524298426</v>
      </c>
      <c r="AD173" s="795">
        <v>1</v>
      </c>
      <c r="AE173" s="795"/>
      <c r="AF173" s="795"/>
      <c r="AG173" s="795"/>
      <c r="AJ173" s="874"/>
    </row>
    <row r="174" spans="1:36" x14ac:dyDescent="0.2">
      <c r="A174" s="527"/>
      <c r="B174" s="807" t="s">
        <v>2528</v>
      </c>
      <c r="D174" s="851" t="s">
        <v>224</v>
      </c>
      <c r="E174" s="611"/>
      <c r="F174" s="611" t="s">
        <v>1274</v>
      </c>
      <c r="G174" s="611" t="s">
        <v>2317</v>
      </c>
      <c r="I174" s="527">
        <v>2017</v>
      </c>
      <c r="J174" s="793"/>
      <c r="K174" s="793"/>
      <c r="M174" s="533" t="s">
        <v>2470</v>
      </c>
      <c r="O174" s="792">
        <f t="shared" si="16"/>
        <v>2017</v>
      </c>
      <c r="P174" s="619">
        <f t="shared" si="23"/>
        <v>42917</v>
      </c>
      <c r="Q174" s="764">
        <f t="shared" si="18"/>
        <v>43075</v>
      </c>
      <c r="R174" s="619">
        <f t="shared" si="19"/>
        <v>158</v>
      </c>
      <c r="S174" s="530">
        <f t="shared" si="20"/>
        <v>0.432580424366872</v>
      </c>
      <c r="T174" s="527" t="s">
        <v>496</v>
      </c>
      <c r="V174" s="527" t="s">
        <v>2528</v>
      </c>
      <c r="W174" s="874">
        <v>42917</v>
      </c>
      <c r="X174" s="872" t="s">
        <v>316</v>
      </c>
      <c r="Y174" s="846" t="s">
        <v>2695</v>
      </c>
      <c r="Z174" s="874">
        <v>43075</v>
      </c>
      <c r="AB174" s="619">
        <f t="shared" si="21"/>
        <v>158</v>
      </c>
      <c r="AC174" s="530">
        <f t="shared" si="22"/>
        <v>0.432580424366872</v>
      </c>
      <c r="AD174" s="795">
        <v>1</v>
      </c>
      <c r="AE174" s="795"/>
      <c r="AF174" s="795"/>
      <c r="AG174" s="795"/>
      <c r="AJ174" s="874"/>
    </row>
    <row r="175" spans="1:36" x14ac:dyDescent="0.2">
      <c r="A175" s="527"/>
      <c r="B175" s="807" t="s">
        <v>2538</v>
      </c>
      <c r="D175" s="851" t="s">
        <v>224</v>
      </c>
      <c r="E175" s="611" t="s">
        <v>2323</v>
      </c>
      <c r="F175" s="611" t="s">
        <v>1274</v>
      </c>
      <c r="G175" s="611"/>
      <c r="I175" s="527">
        <v>2017</v>
      </c>
      <c r="J175" s="793"/>
      <c r="K175" s="793">
        <v>1</v>
      </c>
      <c r="M175" s="533" t="s">
        <v>2470</v>
      </c>
      <c r="O175" s="792">
        <f t="shared" si="16"/>
        <v>2017</v>
      </c>
      <c r="P175" s="619">
        <f t="shared" si="23"/>
        <v>42917</v>
      </c>
      <c r="Q175" s="764">
        <f t="shared" si="18"/>
        <v>43087</v>
      </c>
      <c r="R175" s="619">
        <f t="shared" si="19"/>
        <v>170</v>
      </c>
      <c r="S175" s="530">
        <f t="shared" si="20"/>
        <v>0.4654346338124572</v>
      </c>
      <c r="T175" s="611" t="s">
        <v>496</v>
      </c>
      <c r="V175" s="527" t="s">
        <v>2538</v>
      </c>
      <c r="W175" s="874">
        <v>42917</v>
      </c>
      <c r="X175" s="872" t="s">
        <v>316</v>
      </c>
      <c r="Y175" s="846" t="s">
        <v>2695</v>
      </c>
      <c r="Z175" s="874">
        <v>43087</v>
      </c>
      <c r="AB175" s="619">
        <f t="shared" si="21"/>
        <v>170</v>
      </c>
      <c r="AC175" s="530">
        <f t="shared" si="22"/>
        <v>0.4654346338124572</v>
      </c>
      <c r="AD175" s="795">
        <v>1</v>
      </c>
      <c r="AE175" s="795"/>
      <c r="AF175" s="795"/>
      <c r="AG175" s="795"/>
      <c r="AJ175" s="874"/>
    </row>
    <row r="176" spans="1:36" x14ac:dyDescent="0.2">
      <c r="A176" s="527"/>
      <c r="B176" s="807" t="s">
        <v>2593</v>
      </c>
      <c r="D176" s="851" t="s">
        <v>224</v>
      </c>
      <c r="E176" s="611"/>
      <c r="F176" s="611" t="s">
        <v>1274</v>
      </c>
      <c r="G176" s="527" t="s">
        <v>1786</v>
      </c>
      <c r="I176" s="527">
        <v>2017</v>
      </c>
      <c r="J176" s="793"/>
      <c r="K176" s="793"/>
      <c r="M176" s="533" t="s">
        <v>2613</v>
      </c>
      <c r="O176" s="792">
        <f t="shared" si="16"/>
        <v>2017</v>
      </c>
      <c r="P176" s="619">
        <f t="shared" si="23"/>
        <v>42917</v>
      </c>
      <c r="Q176" s="764">
        <f t="shared" si="18"/>
        <v>43246</v>
      </c>
      <c r="R176" s="619">
        <f t="shared" si="19"/>
        <v>329</v>
      </c>
      <c r="S176" s="530">
        <f t="shared" si="20"/>
        <v>0.90075290896646132</v>
      </c>
      <c r="T176" s="527" t="s">
        <v>496</v>
      </c>
      <c r="V176" s="527" t="s">
        <v>2593</v>
      </c>
      <c r="W176" s="874">
        <v>42917</v>
      </c>
      <c r="X176" s="872" t="s">
        <v>316</v>
      </c>
      <c r="Y176" s="846" t="s">
        <v>2695</v>
      </c>
      <c r="Z176" s="874">
        <v>43246</v>
      </c>
      <c r="AB176" s="619">
        <f t="shared" si="21"/>
        <v>329</v>
      </c>
      <c r="AC176" s="530">
        <f t="shared" si="22"/>
        <v>0.90075290896646132</v>
      </c>
      <c r="AD176" s="795">
        <v>1</v>
      </c>
      <c r="AE176" s="795"/>
      <c r="AF176" s="795"/>
      <c r="AG176" s="795"/>
      <c r="AJ176" s="874"/>
    </row>
    <row r="177" spans="1:36" x14ac:dyDescent="0.2">
      <c r="A177" s="527"/>
      <c r="B177" s="807" t="s">
        <v>2594</v>
      </c>
      <c r="D177" s="851" t="s">
        <v>224</v>
      </c>
      <c r="E177" s="611"/>
      <c r="F177" s="611" t="s">
        <v>1274</v>
      </c>
      <c r="G177" s="611" t="s">
        <v>2330</v>
      </c>
      <c r="I177" s="527">
        <v>2017</v>
      </c>
      <c r="J177" s="793"/>
      <c r="K177" s="793"/>
      <c r="M177" s="533" t="s">
        <v>2613</v>
      </c>
      <c r="O177" s="792">
        <f t="shared" si="16"/>
        <v>2017</v>
      </c>
      <c r="P177" s="619">
        <f t="shared" si="23"/>
        <v>42917</v>
      </c>
      <c r="Q177" s="764">
        <f t="shared" si="18"/>
        <v>43246</v>
      </c>
      <c r="R177" s="619">
        <f t="shared" si="19"/>
        <v>329</v>
      </c>
      <c r="S177" s="530">
        <f t="shared" si="20"/>
        <v>0.90075290896646132</v>
      </c>
      <c r="T177" s="527" t="s">
        <v>496</v>
      </c>
      <c r="V177" s="527" t="s">
        <v>2594</v>
      </c>
      <c r="W177" s="874">
        <v>42917</v>
      </c>
      <c r="X177" s="872" t="s">
        <v>316</v>
      </c>
      <c r="Y177" s="846" t="s">
        <v>2695</v>
      </c>
      <c r="Z177" s="874">
        <v>43246</v>
      </c>
      <c r="AB177" s="619">
        <f t="shared" si="21"/>
        <v>329</v>
      </c>
      <c r="AC177" s="530">
        <f t="shared" si="22"/>
        <v>0.90075290896646132</v>
      </c>
      <c r="AD177" s="795">
        <v>1</v>
      </c>
      <c r="AE177" s="795"/>
      <c r="AF177" s="795"/>
      <c r="AG177" s="795"/>
      <c r="AJ177" s="874"/>
    </row>
    <row r="178" spans="1:36" x14ac:dyDescent="0.2">
      <c r="A178" s="527"/>
      <c r="B178" s="807" t="s">
        <v>2595</v>
      </c>
      <c r="D178" s="851" t="s">
        <v>224</v>
      </c>
      <c r="E178" s="611" t="s">
        <v>2323</v>
      </c>
      <c r="F178" s="611" t="s">
        <v>1274</v>
      </c>
      <c r="G178" s="527" t="s">
        <v>1786</v>
      </c>
      <c r="I178" s="527">
        <v>2017</v>
      </c>
      <c r="J178" s="793"/>
      <c r="K178" s="793"/>
      <c r="M178" s="533" t="s">
        <v>2613</v>
      </c>
      <c r="O178" s="792">
        <f t="shared" si="16"/>
        <v>2017</v>
      </c>
      <c r="P178" s="619">
        <f t="shared" si="23"/>
        <v>42917</v>
      </c>
      <c r="Q178" s="764">
        <f t="shared" si="18"/>
        <v>43246</v>
      </c>
      <c r="R178" s="619">
        <f t="shared" si="19"/>
        <v>329</v>
      </c>
      <c r="S178" s="530">
        <f t="shared" si="20"/>
        <v>0.90075290896646132</v>
      </c>
      <c r="T178" s="527" t="s">
        <v>496</v>
      </c>
      <c r="V178" s="527" t="s">
        <v>2595</v>
      </c>
      <c r="W178" s="874">
        <v>42917</v>
      </c>
      <c r="X178" s="872" t="s">
        <v>316</v>
      </c>
      <c r="Y178" s="846" t="s">
        <v>2695</v>
      </c>
      <c r="Z178" s="874">
        <v>43246</v>
      </c>
      <c r="AB178" s="619">
        <f t="shared" si="21"/>
        <v>329</v>
      </c>
      <c r="AC178" s="530">
        <f t="shared" si="22"/>
        <v>0.90075290896646132</v>
      </c>
      <c r="AD178" s="795">
        <v>1</v>
      </c>
      <c r="AE178" s="795"/>
      <c r="AF178" s="795"/>
      <c r="AG178" s="795"/>
      <c r="AJ178" s="874"/>
    </row>
    <row r="179" spans="1:36" x14ac:dyDescent="0.2">
      <c r="A179" s="527"/>
      <c r="B179" s="807" t="s">
        <v>2615</v>
      </c>
      <c r="D179" s="851" t="s">
        <v>224</v>
      </c>
      <c r="G179" s="611" t="s">
        <v>2317</v>
      </c>
      <c r="I179" s="527">
        <v>2017</v>
      </c>
      <c r="J179" s="793"/>
      <c r="K179" s="793"/>
      <c r="M179" s="533" t="s">
        <v>2470</v>
      </c>
      <c r="O179" s="792">
        <f t="shared" si="16"/>
        <v>2017</v>
      </c>
      <c r="P179" s="619">
        <f t="shared" si="23"/>
        <v>42917</v>
      </c>
      <c r="Q179" s="764">
        <f t="shared" si="18"/>
        <v>43273</v>
      </c>
      <c r="R179" s="619">
        <f t="shared" si="19"/>
        <v>356</v>
      </c>
      <c r="S179" s="530">
        <f t="shared" si="20"/>
        <v>0.97467488021902804</v>
      </c>
      <c r="T179" s="527" t="s">
        <v>495</v>
      </c>
      <c r="V179" s="527" t="s">
        <v>2615</v>
      </c>
      <c r="W179" s="874">
        <v>42917</v>
      </c>
      <c r="X179" s="872" t="s">
        <v>316</v>
      </c>
      <c r="Y179" s="846" t="s">
        <v>2695</v>
      </c>
      <c r="Z179" s="874">
        <v>43273</v>
      </c>
      <c r="AB179" s="619">
        <f t="shared" si="21"/>
        <v>356</v>
      </c>
      <c r="AC179" s="530">
        <f t="shared" si="22"/>
        <v>0.97467488021902804</v>
      </c>
      <c r="AD179" s="795">
        <v>1</v>
      </c>
      <c r="AE179" s="795"/>
      <c r="AF179" s="795"/>
      <c r="AG179" s="795"/>
      <c r="AJ179" s="874"/>
    </row>
    <row r="180" spans="1:36" x14ac:dyDescent="0.2">
      <c r="A180" s="527"/>
      <c r="B180" s="527" t="s">
        <v>2684</v>
      </c>
      <c r="D180" s="611" t="s">
        <v>224</v>
      </c>
      <c r="E180" s="611" t="s">
        <v>2717</v>
      </c>
      <c r="G180" s="611" t="s">
        <v>2715</v>
      </c>
      <c r="H180" s="527">
        <v>2017</v>
      </c>
      <c r="I180" s="527">
        <v>2017</v>
      </c>
      <c r="K180" s="613">
        <v>1</v>
      </c>
      <c r="O180" s="792">
        <f t="shared" si="16"/>
        <v>2017</v>
      </c>
      <c r="P180" s="619">
        <f t="shared" si="23"/>
        <v>42917</v>
      </c>
      <c r="Q180" s="764">
        <f t="shared" si="18"/>
        <v>43600</v>
      </c>
      <c r="R180" s="619">
        <f t="shared" si="19"/>
        <v>683</v>
      </c>
      <c r="S180" s="530">
        <f t="shared" si="20"/>
        <v>1.8699520876112252</v>
      </c>
      <c r="V180" s="527" t="s">
        <v>2684</v>
      </c>
      <c r="W180" s="874">
        <v>42917</v>
      </c>
      <c r="X180" s="872" t="s">
        <v>316</v>
      </c>
      <c r="Y180" s="846" t="s">
        <v>2695</v>
      </c>
      <c r="Z180" s="874">
        <v>43600</v>
      </c>
      <c r="AB180" s="619">
        <f t="shared" si="21"/>
        <v>683</v>
      </c>
      <c r="AC180" s="530">
        <f t="shared" si="22"/>
        <v>1.8699520876112252</v>
      </c>
      <c r="AD180" s="795">
        <v>1</v>
      </c>
      <c r="AE180" s="795"/>
      <c r="AF180" s="795"/>
      <c r="AG180" s="795"/>
      <c r="AJ180" s="874"/>
    </row>
    <row r="181" spans="1:36" x14ac:dyDescent="0.2">
      <c r="B181" s="527" t="s">
        <v>2685</v>
      </c>
      <c r="D181" s="611" t="s">
        <v>224</v>
      </c>
      <c r="E181" s="611" t="s">
        <v>2718</v>
      </c>
      <c r="G181" s="611" t="s">
        <v>2715</v>
      </c>
      <c r="H181" s="527">
        <v>2017</v>
      </c>
      <c r="I181" s="527">
        <v>2017</v>
      </c>
      <c r="K181" s="613">
        <v>1</v>
      </c>
      <c r="O181" s="792">
        <f t="shared" si="16"/>
        <v>2017</v>
      </c>
      <c r="P181" s="619">
        <f t="shared" si="23"/>
        <v>42917</v>
      </c>
      <c r="Q181" s="764">
        <f t="shared" si="18"/>
        <v>43600</v>
      </c>
      <c r="R181" s="619">
        <f t="shared" si="19"/>
        <v>683</v>
      </c>
      <c r="S181" s="530">
        <f t="shared" si="20"/>
        <v>1.8699520876112252</v>
      </c>
      <c r="V181" s="527" t="s">
        <v>2685</v>
      </c>
      <c r="W181" s="874">
        <v>42917</v>
      </c>
      <c r="X181" s="872" t="s">
        <v>316</v>
      </c>
      <c r="Y181" s="846" t="s">
        <v>2695</v>
      </c>
      <c r="Z181" s="874">
        <v>43600</v>
      </c>
      <c r="AB181" s="619">
        <f t="shared" si="21"/>
        <v>683</v>
      </c>
      <c r="AC181" s="530">
        <f t="shared" si="22"/>
        <v>1.8699520876112252</v>
      </c>
      <c r="AD181" s="795">
        <v>1</v>
      </c>
      <c r="AE181" s="795"/>
      <c r="AF181" s="795"/>
      <c r="AG181" s="795"/>
      <c r="AJ181" s="874"/>
    </row>
    <row r="182" spans="1:36" x14ac:dyDescent="0.2">
      <c r="A182" s="527"/>
      <c r="B182" s="807" t="s">
        <v>2491</v>
      </c>
      <c r="D182" s="851" t="s">
        <v>224</v>
      </c>
      <c r="E182" s="611"/>
      <c r="F182" s="611" t="s">
        <v>1274</v>
      </c>
      <c r="G182" s="611" t="s">
        <v>2340</v>
      </c>
      <c r="I182" s="527">
        <v>2017</v>
      </c>
      <c r="J182" s="793"/>
      <c r="K182" s="793">
        <v>1</v>
      </c>
      <c r="O182" s="792">
        <f t="shared" si="16"/>
        <v>2017</v>
      </c>
      <c r="P182" s="619">
        <f t="shared" si="23"/>
        <v>42917</v>
      </c>
      <c r="Q182" s="764">
        <f t="shared" si="18"/>
        <v>43021</v>
      </c>
      <c r="R182" s="619">
        <f t="shared" si="19"/>
        <v>104</v>
      </c>
      <c r="S182" s="530">
        <f t="shared" si="20"/>
        <v>0.28473648186173856</v>
      </c>
      <c r="T182" s="527" t="s">
        <v>496</v>
      </c>
      <c r="V182" s="527" t="s">
        <v>2491</v>
      </c>
      <c r="W182" s="874">
        <v>42931</v>
      </c>
      <c r="X182" s="872" t="s">
        <v>2694</v>
      </c>
      <c r="Y182" s="846" t="s">
        <v>2695</v>
      </c>
      <c r="Z182" s="874">
        <v>43021</v>
      </c>
      <c r="AB182" s="619">
        <f t="shared" si="21"/>
        <v>90</v>
      </c>
      <c r="AC182" s="530">
        <f t="shared" si="22"/>
        <v>0.24640657084188911</v>
      </c>
      <c r="AD182" s="795">
        <v>1</v>
      </c>
      <c r="AE182" s="795"/>
      <c r="AF182" s="795"/>
      <c r="AG182" s="795"/>
      <c r="AJ182" s="874"/>
    </row>
    <row r="183" spans="1:36" x14ac:dyDescent="0.2">
      <c r="A183" s="527"/>
      <c r="B183" s="807" t="s">
        <v>2523</v>
      </c>
      <c r="D183" s="851" t="s">
        <v>224</v>
      </c>
      <c r="E183" s="611"/>
      <c r="F183" s="611" t="s">
        <v>1274</v>
      </c>
      <c r="G183" s="611" t="s">
        <v>2545</v>
      </c>
      <c r="I183" s="527">
        <v>2017</v>
      </c>
      <c r="J183" s="793"/>
      <c r="K183" s="793">
        <v>1</v>
      </c>
      <c r="M183" s="533" t="s">
        <v>2470</v>
      </c>
      <c r="O183" s="792">
        <f t="shared" si="16"/>
        <v>2017</v>
      </c>
      <c r="P183" s="619">
        <f t="shared" si="23"/>
        <v>42917</v>
      </c>
      <c r="Q183" s="764">
        <f t="shared" si="18"/>
        <v>43060</v>
      </c>
      <c r="R183" s="619">
        <f t="shared" si="19"/>
        <v>143</v>
      </c>
      <c r="S183" s="530">
        <f t="shared" si="20"/>
        <v>0.39151266255989048</v>
      </c>
      <c r="T183" s="527" t="s">
        <v>496</v>
      </c>
      <c r="V183" s="527" t="s">
        <v>2523</v>
      </c>
      <c r="W183" s="874">
        <v>42988</v>
      </c>
      <c r="X183" s="872" t="s">
        <v>2167</v>
      </c>
      <c r="Y183" s="846" t="s">
        <v>2695</v>
      </c>
      <c r="Z183" s="874">
        <v>43060</v>
      </c>
      <c r="AB183" s="619">
        <f t="shared" si="21"/>
        <v>72</v>
      </c>
      <c r="AC183" s="530">
        <f t="shared" si="22"/>
        <v>0.1971252566735113</v>
      </c>
      <c r="AD183" s="795">
        <v>1</v>
      </c>
      <c r="AE183" s="795"/>
      <c r="AF183" s="795"/>
      <c r="AG183" s="795"/>
      <c r="AJ183" s="874"/>
    </row>
    <row r="184" spans="1:36" x14ac:dyDescent="0.2">
      <c r="A184" s="527"/>
      <c r="B184" s="807" t="s">
        <v>2596</v>
      </c>
      <c r="D184" s="851" t="s">
        <v>224</v>
      </c>
      <c r="E184" s="611"/>
      <c r="F184" s="611" t="s">
        <v>1274</v>
      </c>
      <c r="G184" s="611" t="s">
        <v>2315</v>
      </c>
      <c r="I184" s="527">
        <v>2017</v>
      </c>
      <c r="J184" s="793"/>
      <c r="K184" s="793">
        <v>1</v>
      </c>
      <c r="M184" s="533" t="s">
        <v>2470</v>
      </c>
      <c r="O184" s="792">
        <f t="shared" si="16"/>
        <v>2017</v>
      </c>
      <c r="P184" s="619">
        <f t="shared" si="23"/>
        <v>42917</v>
      </c>
      <c r="Q184" s="764">
        <f t="shared" si="18"/>
        <v>43248</v>
      </c>
      <c r="R184" s="619">
        <f t="shared" si="19"/>
        <v>331</v>
      </c>
      <c r="S184" s="530">
        <f t="shared" si="20"/>
        <v>0.90622861054072557</v>
      </c>
      <c r="T184" s="527" t="s">
        <v>496</v>
      </c>
      <c r="V184" s="527" t="s">
        <v>2596</v>
      </c>
      <c r="W184" s="874">
        <v>42993</v>
      </c>
      <c r="X184" s="872" t="s">
        <v>2694</v>
      </c>
      <c r="Y184" s="846" t="s">
        <v>2695</v>
      </c>
      <c r="Z184" s="874">
        <v>43248</v>
      </c>
      <c r="AB184" s="619">
        <f t="shared" si="21"/>
        <v>255</v>
      </c>
      <c r="AC184" s="530">
        <f t="shared" si="22"/>
        <v>0.69815195071868585</v>
      </c>
      <c r="AD184" s="795">
        <v>1</v>
      </c>
      <c r="AE184" s="795"/>
      <c r="AF184" s="795"/>
      <c r="AG184" s="795"/>
      <c r="AJ184" s="874"/>
    </row>
    <row r="185" spans="1:36" x14ac:dyDescent="0.2">
      <c r="A185" s="527"/>
      <c r="B185" s="527" t="s">
        <v>2687</v>
      </c>
      <c r="D185" s="611" t="s">
        <v>224</v>
      </c>
      <c r="E185" s="611"/>
      <c r="F185" s="611" t="s">
        <v>1274</v>
      </c>
      <c r="G185" s="611" t="s">
        <v>2720</v>
      </c>
      <c r="I185" s="527">
        <v>2017</v>
      </c>
      <c r="J185" s="793"/>
      <c r="K185" s="613">
        <v>1</v>
      </c>
      <c r="O185" s="792">
        <f t="shared" si="16"/>
        <v>2017</v>
      </c>
      <c r="P185" s="619">
        <f t="shared" si="23"/>
        <v>42917</v>
      </c>
      <c r="Q185" s="764">
        <f t="shared" si="18"/>
        <v>43600</v>
      </c>
      <c r="R185" s="619">
        <f t="shared" si="19"/>
        <v>683</v>
      </c>
      <c r="S185" s="530">
        <f t="shared" si="20"/>
        <v>1.8699520876112252</v>
      </c>
      <c r="V185" s="527" t="s">
        <v>2687</v>
      </c>
      <c r="W185" s="874">
        <v>43037</v>
      </c>
      <c r="X185" s="872" t="s">
        <v>2167</v>
      </c>
      <c r="Y185" s="846" t="s">
        <v>2695</v>
      </c>
      <c r="Z185" s="874">
        <v>43600</v>
      </c>
      <c r="AB185" s="619">
        <f t="shared" si="21"/>
        <v>563</v>
      </c>
      <c r="AC185" s="530">
        <f t="shared" si="22"/>
        <v>1.5414099931553731</v>
      </c>
      <c r="AD185" s="795">
        <v>1</v>
      </c>
      <c r="AE185" s="795"/>
      <c r="AF185" s="795"/>
      <c r="AG185" s="795"/>
      <c r="AJ185" s="874"/>
    </row>
    <row r="186" spans="1:36" x14ac:dyDescent="0.2">
      <c r="A186" s="527"/>
      <c r="B186" s="807" t="s">
        <v>2619</v>
      </c>
      <c r="D186" s="851" t="s">
        <v>224</v>
      </c>
      <c r="E186" s="611"/>
      <c r="F186" s="611"/>
      <c r="G186" s="611" t="s">
        <v>2315</v>
      </c>
      <c r="I186" s="527">
        <v>2018</v>
      </c>
      <c r="J186" s="793"/>
      <c r="K186" s="793">
        <v>1</v>
      </c>
      <c r="M186" s="533" t="s">
        <v>2470</v>
      </c>
      <c r="O186" s="792">
        <f t="shared" si="16"/>
        <v>2018</v>
      </c>
      <c r="P186" s="619">
        <f t="shared" si="23"/>
        <v>43282</v>
      </c>
      <c r="Q186" s="764">
        <f t="shared" si="18"/>
        <v>43315</v>
      </c>
      <c r="R186" s="619">
        <f t="shared" si="19"/>
        <v>33</v>
      </c>
      <c r="S186" s="530">
        <f t="shared" si="20"/>
        <v>9.034907597535935E-2</v>
      </c>
      <c r="T186" s="527" t="s">
        <v>492</v>
      </c>
      <c r="V186" s="527" t="s">
        <v>2619</v>
      </c>
      <c r="W186" s="874">
        <v>43174</v>
      </c>
      <c r="X186" s="872" t="s">
        <v>2694</v>
      </c>
      <c r="Y186" s="846" t="s">
        <v>2695</v>
      </c>
      <c r="Z186" s="874">
        <v>43315</v>
      </c>
      <c r="AB186" s="619">
        <f t="shared" si="21"/>
        <v>141</v>
      </c>
      <c r="AC186" s="530">
        <f t="shared" si="22"/>
        <v>0.38603696098562629</v>
      </c>
      <c r="AD186" s="795">
        <v>1</v>
      </c>
      <c r="AE186" s="795"/>
      <c r="AF186" s="795"/>
      <c r="AG186" s="795"/>
      <c r="AJ186" s="874"/>
    </row>
    <row r="187" spans="1:36" x14ac:dyDescent="0.2">
      <c r="A187" s="527"/>
      <c r="B187" s="533" t="s">
        <v>2622</v>
      </c>
      <c r="D187" s="851" t="s">
        <v>224</v>
      </c>
      <c r="E187" s="611"/>
      <c r="F187" s="611"/>
      <c r="G187" s="611" t="s">
        <v>2330</v>
      </c>
      <c r="I187" s="527">
        <v>2018</v>
      </c>
      <c r="J187" s="793"/>
      <c r="K187" s="793"/>
      <c r="M187" s="533" t="s">
        <v>2623</v>
      </c>
      <c r="O187" s="792">
        <f t="shared" si="16"/>
        <v>2018</v>
      </c>
      <c r="P187" s="619">
        <f t="shared" si="23"/>
        <v>43282</v>
      </c>
      <c r="Q187" s="764">
        <f t="shared" si="18"/>
        <v>43343</v>
      </c>
      <c r="R187" s="619">
        <f t="shared" si="19"/>
        <v>61</v>
      </c>
      <c r="S187" s="530">
        <f t="shared" si="20"/>
        <v>0.16700889801505817</v>
      </c>
      <c r="T187" s="527" t="s">
        <v>492</v>
      </c>
      <c r="V187" s="527" t="s">
        <v>2622</v>
      </c>
      <c r="W187" s="874">
        <v>43174</v>
      </c>
      <c r="X187" s="872" t="s">
        <v>2694</v>
      </c>
      <c r="Y187" s="846" t="s">
        <v>2695</v>
      </c>
      <c r="Z187" s="874">
        <v>43343</v>
      </c>
      <c r="AB187" s="619">
        <f t="shared" si="21"/>
        <v>169</v>
      </c>
      <c r="AC187" s="530">
        <f t="shared" si="22"/>
        <v>0.46269678302532513</v>
      </c>
      <c r="AD187" s="795">
        <v>1</v>
      </c>
      <c r="AE187" s="795"/>
      <c r="AF187" s="795"/>
      <c r="AG187" s="795"/>
      <c r="AJ187" s="874"/>
    </row>
    <row r="188" spans="1:36" x14ac:dyDescent="0.2">
      <c r="A188" s="527"/>
      <c r="B188" s="807" t="s">
        <v>2603</v>
      </c>
      <c r="D188" s="851" t="s">
        <v>224</v>
      </c>
      <c r="E188" s="611" t="s">
        <v>2609</v>
      </c>
      <c r="F188" s="611"/>
      <c r="G188" s="611" t="s">
        <v>2708</v>
      </c>
      <c r="I188" s="527">
        <v>2018</v>
      </c>
      <c r="J188" s="793">
        <v>1</v>
      </c>
      <c r="K188" s="793">
        <v>1</v>
      </c>
      <c r="M188" s="533" t="s">
        <v>2621</v>
      </c>
      <c r="O188" s="792">
        <f t="shared" si="16"/>
        <v>2018</v>
      </c>
      <c r="P188" s="619">
        <f t="shared" si="23"/>
        <v>43282</v>
      </c>
      <c r="Q188" s="764">
        <f t="shared" si="18"/>
        <v>43298</v>
      </c>
      <c r="R188" s="619">
        <f t="shared" si="19"/>
        <v>16</v>
      </c>
      <c r="S188" s="530">
        <f t="shared" si="20"/>
        <v>4.380561259411362E-2</v>
      </c>
      <c r="V188" s="527" t="s">
        <v>2603</v>
      </c>
      <c r="W188" s="874">
        <v>43235</v>
      </c>
      <c r="X188" s="872" t="s">
        <v>2694</v>
      </c>
      <c r="Y188" s="846" t="s">
        <v>2695</v>
      </c>
      <c r="Z188" s="874">
        <v>43298</v>
      </c>
      <c r="AB188" s="619">
        <f t="shared" si="21"/>
        <v>63</v>
      </c>
      <c r="AC188" s="530">
        <f t="shared" si="22"/>
        <v>0.17248459958932238</v>
      </c>
      <c r="AD188" s="795">
        <v>1</v>
      </c>
      <c r="AE188" s="795"/>
      <c r="AF188" s="795"/>
      <c r="AG188" s="795"/>
      <c r="AJ188" s="874"/>
    </row>
    <row r="189" spans="1:36" x14ac:dyDescent="0.2">
      <c r="A189" s="527"/>
      <c r="B189" s="527" t="s">
        <v>2663</v>
      </c>
      <c r="D189" s="611" t="s">
        <v>224</v>
      </c>
      <c r="E189" s="611" t="s">
        <v>2707</v>
      </c>
      <c r="F189" s="611"/>
      <c r="G189" s="611" t="s">
        <v>2653</v>
      </c>
      <c r="H189" s="527">
        <v>2018</v>
      </c>
      <c r="I189" s="527">
        <v>2018</v>
      </c>
      <c r="J189" s="793">
        <v>1</v>
      </c>
      <c r="K189" s="793">
        <v>1</v>
      </c>
      <c r="M189" s="533" t="s">
        <v>2654</v>
      </c>
      <c r="O189" s="792">
        <f t="shared" si="16"/>
        <v>2018</v>
      </c>
      <c r="P189" s="619">
        <f t="shared" si="23"/>
        <v>43282</v>
      </c>
      <c r="Q189" s="764">
        <f t="shared" si="18"/>
        <v>43470</v>
      </c>
      <c r="R189" s="619">
        <f t="shared" si="19"/>
        <v>188</v>
      </c>
      <c r="S189" s="530">
        <f t="shared" si="20"/>
        <v>0.51471594798083509</v>
      </c>
      <c r="T189" s="527" t="s">
        <v>495</v>
      </c>
      <c r="V189" s="527" t="s">
        <v>2663</v>
      </c>
      <c r="W189" s="874">
        <v>43235</v>
      </c>
      <c r="X189" s="872" t="s">
        <v>2694</v>
      </c>
      <c r="Y189" s="846" t="s">
        <v>2695</v>
      </c>
      <c r="Z189" s="874">
        <v>43470</v>
      </c>
      <c r="AB189" s="619">
        <f t="shared" si="21"/>
        <v>235</v>
      </c>
      <c r="AC189" s="530">
        <f t="shared" si="22"/>
        <v>0.64339493497604383</v>
      </c>
      <c r="AD189" s="795">
        <v>1</v>
      </c>
      <c r="AE189" s="795"/>
      <c r="AF189" s="795"/>
      <c r="AG189" s="795"/>
      <c r="AJ189" s="874"/>
    </row>
    <row r="190" spans="1:36" x14ac:dyDescent="0.2">
      <c r="A190" s="527"/>
      <c r="B190" s="533" t="s">
        <v>2650</v>
      </c>
      <c r="D190" s="611" t="s">
        <v>224</v>
      </c>
      <c r="E190" s="611" t="s">
        <v>2653</v>
      </c>
      <c r="F190" s="611"/>
      <c r="G190" s="611" t="s">
        <v>2653</v>
      </c>
      <c r="H190" s="527">
        <v>2018</v>
      </c>
      <c r="I190" s="527">
        <v>2018</v>
      </c>
      <c r="J190" s="793">
        <v>1</v>
      </c>
      <c r="K190" s="793">
        <v>1</v>
      </c>
      <c r="M190" s="533" t="s">
        <v>2654</v>
      </c>
      <c r="O190" s="792">
        <f t="shared" si="16"/>
        <v>2018</v>
      </c>
      <c r="P190" s="619">
        <f t="shared" si="23"/>
        <v>43282</v>
      </c>
      <c r="Q190" s="764">
        <f t="shared" si="18"/>
        <v>43428</v>
      </c>
      <c r="R190" s="619">
        <f t="shared" si="19"/>
        <v>146</v>
      </c>
      <c r="S190" s="530">
        <f t="shared" si="20"/>
        <v>0.39972621492128679</v>
      </c>
      <c r="T190" s="527" t="s">
        <v>2549</v>
      </c>
      <c r="V190" s="527" t="s">
        <v>2650</v>
      </c>
      <c r="W190" s="874">
        <v>43235</v>
      </c>
      <c r="X190" s="872" t="s">
        <v>2694</v>
      </c>
      <c r="Y190" s="846" t="s">
        <v>2695</v>
      </c>
      <c r="Z190" s="874">
        <v>43428</v>
      </c>
      <c r="AB190" s="619">
        <f t="shared" si="21"/>
        <v>193</v>
      </c>
      <c r="AC190" s="530">
        <f t="shared" si="22"/>
        <v>0.52840520191649554</v>
      </c>
      <c r="AD190" s="795">
        <v>1</v>
      </c>
      <c r="AE190" s="795"/>
      <c r="AF190" s="795"/>
      <c r="AG190" s="795"/>
      <c r="AJ190" s="874"/>
    </row>
    <row r="191" spans="1:36" x14ac:dyDescent="0.2">
      <c r="A191" s="527"/>
      <c r="B191" s="533" t="s">
        <v>2655</v>
      </c>
      <c r="D191" s="611" t="s">
        <v>224</v>
      </c>
      <c r="E191" s="611"/>
      <c r="F191" s="611" t="s">
        <v>1274</v>
      </c>
      <c r="G191" s="611" t="s">
        <v>2653</v>
      </c>
      <c r="I191" s="527">
        <v>2018</v>
      </c>
      <c r="J191" s="793"/>
      <c r="K191" s="793">
        <v>1</v>
      </c>
      <c r="M191" s="533" t="s">
        <v>2654</v>
      </c>
      <c r="O191" s="792">
        <f t="shared" si="16"/>
        <v>2018</v>
      </c>
      <c r="P191" s="619">
        <f t="shared" si="23"/>
        <v>43282</v>
      </c>
      <c r="Q191" s="764">
        <f t="shared" si="18"/>
        <v>43436</v>
      </c>
      <c r="R191" s="619">
        <f t="shared" si="19"/>
        <v>154</v>
      </c>
      <c r="S191" s="530">
        <f t="shared" si="20"/>
        <v>0.42162902121834361</v>
      </c>
      <c r="T191" s="527" t="s">
        <v>496</v>
      </c>
      <c r="V191" s="527" t="s">
        <v>2655</v>
      </c>
      <c r="W191" s="874">
        <v>43282</v>
      </c>
      <c r="X191" s="872" t="s">
        <v>316</v>
      </c>
      <c r="Y191" s="846" t="s">
        <v>2695</v>
      </c>
      <c r="Z191" s="874">
        <v>43436</v>
      </c>
      <c r="AB191" s="619">
        <f t="shared" si="21"/>
        <v>154</v>
      </c>
      <c r="AC191" s="530">
        <f t="shared" si="22"/>
        <v>0.42162902121834361</v>
      </c>
      <c r="AD191" s="795">
        <v>1</v>
      </c>
      <c r="AE191" s="795"/>
      <c r="AF191" s="795"/>
      <c r="AG191" s="795"/>
      <c r="AJ191" s="874"/>
    </row>
    <row r="192" spans="1:36" x14ac:dyDescent="0.2">
      <c r="A192" s="527"/>
      <c r="B192" s="533" t="s">
        <v>2649</v>
      </c>
      <c r="D192" s="611" t="s">
        <v>224</v>
      </c>
      <c r="E192" s="611" t="s">
        <v>2317</v>
      </c>
      <c r="F192" s="611"/>
      <c r="G192" s="611" t="s">
        <v>2340</v>
      </c>
      <c r="I192" s="611">
        <v>2018</v>
      </c>
      <c r="J192" s="793"/>
      <c r="K192" s="793">
        <v>1</v>
      </c>
      <c r="M192" s="533" t="s">
        <v>2470</v>
      </c>
      <c r="O192" s="792">
        <f t="shared" si="16"/>
        <v>2018</v>
      </c>
      <c r="P192" s="619">
        <f t="shared" si="23"/>
        <v>43282</v>
      </c>
      <c r="Q192" s="764">
        <f t="shared" si="18"/>
        <v>43400</v>
      </c>
      <c r="R192" s="619">
        <f t="shared" si="19"/>
        <v>118</v>
      </c>
      <c r="S192" s="530">
        <f t="shared" si="20"/>
        <v>0.32306639288158795</v>
      </c>
      <c r="T192" s="527" t="s">
        <v>500</v>
      </c>
      <c r="V192" s="527" t="s">
        <v>2649</v>
      </c>
      <c r="W192" s="874">
        <v>43327</v>
      </c>
      <c r="X192" s="872" t="s">
        <v>2694</v>
      </c>
      <c r="Y192" s="846" t="s">
        <v>2695</v>
      </c>
      <c r="Z192" s="874">
        <v>43400</v>
      </c>
      <c r="AB192" s="619">
        <f t="shared" si="21"/>
        <v>73</v>
      </c>
      <c r="AC192" s="530">
        <f t="shared" si="22"/>
        <v>0.1998631074606434</v>
      </c>
      <c r="AD192" s="795">
        <v>1</v>
      </c>
      <c r="AE192" s="795"/>
      <c r="AF192" s="795"/>
      <c r="AG192" s="795"/>
      <c r="AJ192" s="874"/>
    </row>
    <row r="193" spans="1:41" x14ac:dyDescent="0.2">
      <c r="A193" s="527"/>
      <c r="B193" s="527" t="s">
        <v>2661</v>
      </c>
      <c r="D193" s="611" t="s">
        <v>224</v>
      </c>
      <c r="E193" s="611"/>
      <c r="G193" s="611" t="s">
        <v>2333</v>
      </c>
      <c r="I193" s="527">
        <v>2018</v>
      </c>
      <c r="K193" s="613">
        <v>1</v>
      </c>
      <c r="O193" s="792">
        <f t="shared" si="16"/>
        <v>2018</v>
      </c>
      <c r="P193" s="619">
        <f t="shared" si="23"/>
        <v>43282</v>
      </c>
      <c r="Q193" s="764">
        <f t="shared" si="18"/>
        <v>43466</v>
      </c>
      <c r="R193" s="619">
        <f t="shared" si="19"/>
        <v>184</v>
      </c>
      <c r="S193" s="530">
        <f t="shared" si="20"/>
        <v>0.50376454483230659</v>
      </c>
      <c r="V193" s="527" t="s">
        <v>2661</v>
      </c>
      <c r="W193" s="874">
        <v>43419</v>
      </c>
      <c r="X193" s="872" t="s">
        <v>2694</v>
      </c>
      <c r="Y193" s="846" t="s">
        <v>2695</v>
      </c>
      <c r="Z193" s="874">
        <v>43466</v>
      </c>
      <c r="AB193" s="619">
        <f t="shared" si="21"/>
        <v>47</v>
      </c>
      <c r="AC193" s="530">
        <f t="shared" si="22"/>
        <v>0.12867898699520877</v>
      </c>
      <c r="AD193" s="795">
        <v>1</v>
      </c>
      <c r="AE193" s="795"/>
      <c r="AF193" s="795"/>
      <c r="AG193" s="795"/>
      <c r="AJ193" s="874"/>
    </row>
    <row r="194" spans="1:41" x14ac:dyDescent="0.2">
      <c r="B194" s="527" t="s">
        <v>2686</v>
      </c>
      <c r="D194" s="611" t="s">
        <v>224</v>
      </c>
      <c r="E194" s="611"/>
      <c r="F194" s="611" t="s">
        <v>1274</v>
      </c>
      <c r="G194" s="611" t="s">
        <v>2719</v>
      </c>
      <c r="I194" s="527">
        <v>2018</v>
      </c>
      <c r="K194" s="613">
        <v>1</v>
      </c>
      <c r="M194" s="533" t="s">
        <v>2470</v>
      </c>
      <c r="O194" s="792">
        <f t="shared" si="16"/>
        <v>2018</v>
      </c>
      <c r="P194" s="619">
        <f t="shared" si="23"/>
        <v>43282</v>
      </c>
      <c r="Q194" s="764">
        <f t="shared" si="18"/>
        <v>43600</v>
      </c>
      <c r="R194" s="619">
        <f t="shared" si="19"/>
        <v>318</v>
      </c>
      <c r="S194" s="530">
        <f t="shared" si="20"/>
        <v>0.87063655030800824</v>
      </c>
      <c r="V194" s="527" t="s">
        <v>2686</v>
      </c>
      <c r="W194" s="874">
        <v>43449</v>
      </c>
      <c r="X194" s="872" t="s">
        <v>2694</v>
      </c>
      <c r="Y194" s="846" t="s">
        <v>2695</v>
      </c>
      <c r="Z194" s="874">
        <v>43600</v>
      </c>
      <c r="AB194" s="619">
        <f t="shared" si="21"/>
        <v>151</v>
      </c>
      <c r="AC194" s="530">
        <f t="shared" si="22"/>
        <v>0.4134154688569473</v>
      </c>
      <c r="AD194" s="795">
        <v>1</v>
      </c>
      <c r="AE194" s="795"/>
      <c r="AF194" s="795"/>
      <c r="AG194" s="795"/>
      <c r="AJ194" s="874"/>
    </row>
    <row r="195" spans="1:41" x14ac:dyDescent="0.2">
      <c r="A195" s="527"/>
      <c r="B195" s="527" t="s">
        <v>2691</v>
      </c>
      <c r="D195" s="611" t="s">
        <v>224</v>
      </c>
      <c r="E195" s="611"/>
      <c r="F195" s="611" t="s">
        <v>1274</v>
      </c>
      <c r="G195" s="611" t="s">
        <v>2653</v>
      </c>
      <c r="I195" s="527">
        <v>2019</v>
      </c>
      <c r="J195" s="793"/>
      <c r="K195" s="793">
        <v>1</v>
      </c>
      <c r="M195" s="611" t="s">
        <v>2654</v>
      </c>
      <c r="O195" s="792">
        <f t="shared" si="16"/>
        <v>2019</v>
      </c>
      <c r="P195" s="619">
        <f t="shared" si="23"/>
        <v>43647</v>
      </c>
      <c r="Q195" s="764">
        <f t="shared" si="18"/>
        <v>43616</v>
      </c>
      <c r="R195" s="619">
        <f t="shared" si="19"/>
        <v>-31</v>
      </c>
      <c r="S195" s="530">
        <f t="shared" si="20"/>
        <v>-8.4873374401095145E-2</v>
      </c>
      <c r="V195" s="527" t="s">
        <v>2691</v>
      </c>
      <c r="W195" s="874">
        <v>43510</v>
      </c>
      <c r="X195" s="872" t="s">
        <v>2694</v>
      </c>
      <c r="Y195" s="846" t="s">
        <v>2695</v>
      </c>
      <c r="Z195" s="874">
        <v>43616</v>
      </c>
      <c r="AB195" s="619">
        <f t="shared" si="21"/>
        <v>106</v>
      </c>
      <c r="AC195" s="530">
        <f t="shared" si="22"/>
        <v>0.29021218343600275</v>
      </c>
      <c r="AD195" s="795">
        <v>1</v>
      </c>
      <c r="AE195" s="795"/>
      <c r="AF195" s="795"/>
      <c r="AG195" s="795"/>
      <c r="AJ195" s="874"/>
    </row>
    <row r="196" spans="1:41" x14ac:dyDescent="0.2">
      <c r="A196" s="728"/>
      <c r="B196" s="807" t="s">
        <v>2697</v>
      </c>
      <c r="C196" s="611"/>
      <c r="D196" s="851" t="s">
        <v>224</v>
      </c>
      <c r="E196" s="611" t="s">
        <v>2482</v>
      </c>
      <c r="F196" s="611" t="s">
        <v>1274</v>
      </c>
      <c r="G196" s="611"/>
      <c r="H196" s="611">
        <v>1997</v>
      </c>
      <c r="I196" s="611"/>
      <c r="J196" s="793">
        <v>1</v>
      </c>
      <c r="K196" s="793"/>
      <c r="L196" s="792">
        <v>1</v>
      </c>
      <c r="M196" s="728"/>
      <c r="N196" s="792"/>
      <c r="O196" s="792">
        <f t="shared" ref="O196:O260" si="24">IF(H196&gt;1,H196,I196)</f>
        <v>1997</v>
      </c>
      <c r="P196" s="857">
        <f t="shared" ref="P196:P202" si="25">W196</f>
        <v>35512</v>
      </c>
      <c r="Q196" s="764">
        <f t="shared" ref="Q196:Q260" si="26">Z196</f>
        <v>35612</v>
      </c>
      <c r="R196" s="619">
        <f t="shared" ref="R196:R259" si="27">Q196-P196</f>
        <v>100</v>
      </c>
      <c r="S196" s="530">
        <f t="shared" ref="S196:S259" si="28">R196/365.25</f>
        <v>0.27378507871321012</v>
      </c>
      <c r="T196" s="611" t="s">
        <v>2048</v>
      </c>
      <c r="U196" s="611"/>
      <c r="V196" s="614" t="s">
        <v>1476</v>
      </c>
      <c r="W196" s="874">
        <v>35512</v>
      </c>
      <c r="Y196" s="843" t="s">
        <v>2167</v>
      </c>
      <c r="Z196" s="874">
        <v>35612</v>
      </c>
      <c r="AA196" s="530">
        <f>(Z196-W196)/365.25</f>
        <v>0.27378507871321012</v>
      </c>
      <c r="AB196" s="619">
        <f t="shared" ref="AB196:AB260" si="29">Z196-W196</f>
        <v>100</v>
      </c>
      <c r="AC196" s="530">
        <f t="shared" ref="AC196:AC259" si="30">AB196/365.25</f>
        <v>0.27378507871321012</v>
      </c>
      <c r="AD196" s="795"/>
      <c r="AE196" s="795"/>
      <c r="AF196" s="795"/>
      <c r="AG196" s="795">
        <v>1</v>
      </c>
      <c r="AH196" s="611"/>
      <c r="AJ196" s="874"/>
      <c r="AK196" s="757"/>
      <c r="AL196" s="611"/>
      <c r="AM196" s="611"/>
    </row>
    <row r="197" spans="1:41" x14ac:dyDescent="0.2">
      <c r="A197" s="728"/>
      <c r="B197" s="807" t="s">
        <v>2698</v>
      </c>
      <c r="C197" s="611"/>
      <c r="D197" s="851" t="s">
        <v>224</v>
      </c>
      <c r="E197" s="611" t="s">
        <v>2484</v>
      </c>
      <c r="F197" s="611" t="s">
        <v>1274</v>
      </c>
      <c r="G197" s="611"/>
      <c r="H197" s="611">
        <v>1998</v>
      </c>
      <c r="I197" s="611"/>
      <c r="J197" s="793">
        <v>1</v>
      </c>
      <c r="K197" s="793"/>
      <c r="L197" s="792">
        <v>1</v>
      </c>
      <c r="M197" s="728"/>
      <c r="N197" s="792"/>
      <c r="O197" s="792">
        <f t="shared" si="24"/>
        <v>1998</v>
      </c>
      <c r="P197" s="857">
        <f t="shared" si="25"/>
        <v>35864</v>
      </c>
      <c r="Q197" s="764">
        <f t="shared" si="26"/>
        <v>35977</v>
      </c>
      <c r="R197" s="619">
        <f t="shared" si="27"/>
        <v>113</v>
      </c>
      <c r="S197" s="530">
        <f t="shared" si="28"/>
        <v>0.30937713894592744</v>
      </c>
      <c r="T197" s="611" t="s">
        <v>2048</v>
      </c>
      <c r="U197" s="611"/>
      <c r="V197" s="614" t="s">
        <v>1538</v>
      </c>
      <c r="W197" s="874">
        <v>35864</v>
      </c>
      <c r="Y197" s="843" t="s">
        <v>2167</v>
      </c>
      <c r="Z197" s="874">
        <v>35977</v>
      </c>
      <c r="AA197" s="530">
        <f t="shared" ref="AA197:AA260" si="31">(Z197-W197)/365.25</f>
        <v>0.30937713894592744</v>
      </c>
      <c r="AB197" s="619">
        <f t="shared" si="29"/>
        <v>113</v>
      </c>
      <c r="AC197" s="530">
        <f t="shared" si="30"/>
        <v>0.30937713894592744</v>
      </c>
      <c r="AD197" s="795"/>
      <c r="AE197" s="795"/>
      <c r="AF197" s="795"/>
      <c r="AG197" s="795">
        <v>1</v>
      </c>
      <c r="AH197" s="611"/>
      <c r="AJ197" s="874"/>
      <c r="AK197" s="757"/>
      <c r="AL197" s="611"/>
      <c r="AM197" s="611"/>
    </row>
    <row r="198" spans="1:41" x14ac:dyDescent="0.2">
      <c r="A198" s="728"/>
      <c r="B198" s="807" t="s">
        <v>2699</v>
      </c>
      <c r="C198" s="611"/>
      <c r="D198" s="851" t="s">
        <v>224</v>
      </c>
      <c r="E198" s="611" t="s">
        <v>2484</v>
      </c>
      <c r="F198" s="611" t="s">
        <v>1274</v>
      </c>
      <c r="G198" s="611"/>
      <c r="H198" s="611">
        <v>1999</v>
      </c>
      <c r="I198" s="611"/>
      <c r="J198" s="793">
        <v>1</v>
      </c>
      <c r="K198" s="793"/>
      <c r="L198" s="792">
        <v>0</v>
      </c>
      <c r="M198" s="728"/>
      <c r="N198" s="792"/>
      <c r="O198" s="792">
        <f t="shared" si="24"/>
        <v>1999</v>
      </c>
      <c r="P198" s="857">
        <f t="shared" si="25"/>
        <v>36294</v>
      </c>
      <c r="Q198" s="764">
        <f t="shared" si="26"/>
        <v>37803</v>
      </c>
      <c r="R198" s="619">
        <f t="shared" si="27"/>
        <v>1509</v>
      </c>
      <c r="S198" s="530">
        <f t="shared" si="28"/>
        <v>4.131416837782341</v>
      </c>
      <c r="T198" s="611" t="s">
        <v>2556</v>
      </c>
      <c r="U198" s="611"/>
      <c r="V198" s="527" t="s">
        <v>1477</v>
      </c>
      <c r="W198" s="874">
        <v>36294</v>
      </c>
      <c r="Y198" s="843" t="s">
        <v>2167</v>
      </c>
      <c r="Z198" s="874">
        <v>37803</v>
      </c>
      <c r="AA198" s="530">
        <f t="shared" si="31"/>
        <v>4.131416837782341</v>
      </c>
      <c r="AB198" s="619">
        <f t="shared" si="29"/>
        <v>1509</v>
      </c>
      <c r="AC198" s="530">
        <f t="shared" si="30"/>
        <v>4.131416837782341</v>
      </c>
      <c r="AD198" s="795"/>
      <c r="AE198" s="795"/>
      <c r="AF198" s="795"/>
      <c r="AG198" s="795">
        <v>1</v>
      </c>
      <c r="AH198" s="611"/>
      <c r="AJ198" s="874"/>
      <c r="AK198" s="757"/>
      <c r="AL198" s="611"/>
      <c r="AM198" s="611"/>
    </row>
    <row r="199" spans="1:41" x14ac:dyDescent="0.2">
      <c r="A199" s="728"/>
      <c r="B199" s="807" t="s">
        <v>2480</v>
      </c>
      <c r="C199" s="611"/>
      <c r="D199" s="851" t="s">
        <v>224</v>
      </c>
      <c r="E199" s="611" t="s">
        <v>2484</v>
      </c>
      <c r="F199" s="611" t="s">
        <v>1274</v>
      </c>
      <c r="G199" s="611" t="s">
        <v>230</v>
      </c>
      <c r="H199" s="611">
        <v>2001</v>
      </c>
      <c r="I199" s="611">
        <v>2003</v>
      </c>
      <c r="J199" s="793">
        <v>1</v>
      </c>
      <c r="K199" s="793">
        <v>1</v>
      </c>
      <c r="L199" s="792">
        <v>1</v>
      </c>
      <c r="M199" s="728"/>
      <c r="N199" s="792"/>
      <c r="O199" s="792">
        <f t="shared" si="24"/>
        <v>2001</v>
      </c>
      <c r="P199" s="857">
        <f t="shared" si="25"/>
        <v>37070</v>
      </c>
      <c r="Q199" s="764">
        <f t="shared" si="26"/>
        <v>39287</v>
      </c>
      <c r="R199" s="619">
        <f t="shared" si="27"/>
        <v>2217</v>
      </c>
      <c r="S199" s="530">
        <f t="shared" si="28"/>
        <v>6.0698151950718682</v>
      </c>
      <c r="T199" s="611" t="s">
        <v>496</v>
      </c>
      <c r="U199" s="611"/>
      <c r="V199" s="527" t="s">
        <v>1297</v>
      </c>
      <c r="W199" s="874">
        <v>37070</v>
      </c>
      <c r="Y199" s="843" t="s">
        <v>2167</v>
      </c>
      <c r="Z199" s="874">
        <v>39287</v>
      </c>
      <c r="AA199" s="530">
        <f t="shared" si="31"/>
        <v>6.0698151950718682</v>
      </c>
      <c r="AB199" s="619">
        <f t="shared" si="29"/>
        <v>2217</v>
      </c>
      <c r="AC199" s="530">
        <f t="shared" si="30"/>
        <v>6.0698151950718682</v>
      </c>
      <c r="AD199" s="795"/>
      <c r="AE199" s="795"/>
      <c r="AF199" s="795"/>
      <c r="AG199" s="795">
        <v>1</v>
      </c>
      <c r="AH199" s="611"/>
      <c r="AJ199" s="874"/>
      <c r="AK199" s="757"/>
      <c r="AL199" s="611"/>
      <c r="AM199" s="611"/>
    </row>
    <row r="200" spans="1:41" x14ac:dyDescent="0.2">
      <c r="A200" s="728"/>
      <c r="B200" s="807" t="s">
        <v>2</v>
      </c>
      <c r="C200" s="611" t="s">
        <v>2061</v>
      </c>
      <c r="D200" s="851" t="s">
        <v>224</v>
      </c>
      <c r="E200" s="611" t="s">
        <v>2307</v>
      </c>
      <c r="F200" s="611" t="s">
        <v>1274</v>
      </c>
      <c r="G200" s="611"/>
      <c r="H200" s="611">
        <v>2006</v>
      </c>
      <c r="I200" s="611"/>
      <c r="J200" s="793">
        <v>1</v>
      </c>
      <c r="K200" s="793"/>
      <c r="L200" s="792">
        <v>1</v>
      </c>
      <c r="M200" s="728"/>
      <c r="N200" s="792"/>
      <c r="O200" s="792">
        <f t="shared" si="24"/>
        <v>2006</v>
      </c>
      <c r="P200" s="857">
        <f t="shared" si="25"/>
        <v>38840</v>
      </c>
      <c r="Q200" s="764">
        <f t="shared" si="26"/>
        <v>39461</v>
      </c>
      <c r="R200" s="619">
        <f t="shared" si="27"/>
        <v>621</v>
      </c>
      <c r="S200" s="530">
        <f t="shared" si="28"/>
        <v>1.700205338809035</v>
      </c>
      <c r="T200" s="611" t="s">
        <v>2061</v>
      </c>
      <c r="U200" s="611"/>
      <c r="V200" s="527" t="s">
        <v>2</v>
      </c>
      <c r="W200" s="874">
        <v>38840</v>
      </c>
      <c r="Y200" s="843" t="s">
        <v>2167</v>
      </c>
      <c r="Z200" s="874">
        <v>39461</v>
      </c>
      <c r="AA200" s="530">
        <f t="shared" si="31"/>
        <v>1.700205338809035</v>
      </c>
      <c r="AB200" s="619">
        <f t="shared" si="29"/>
        <v>621</v>
      </c>
      <c r="AC200" s="530">
        <f t="shared" si="30"/>
        <v>1.700205338809035</v>
      </c>
      <c r="AD200" s="795"/>
      <c r="AE200" s="795"/>
      <c r="AF200" s="795"/>
      <c r="AG200" s="795">
        <v>1</v>
      </c>
      <c r="AH200" s="611"/>
      <c r="AJ200" s="874"/>
      <c r="AK200" s="757"/>
      <c r="AL200" s="611"/>
      <c r="AM200" s="611"/>
    </row>
    <row r="201" spans="1:41" x14ac:dyDescent="0.2">
      <c r="A201" s="728"/>
      <c r="B201" s="807" t="s">
        <v>1932</v>
      </c>
      <c r="C201" s="527" t="s">
        <v>2706</v>
      </c>
      <c r="D201" s="851" t="s">
        <v>224</v>
      </c>
      <c r="E201" s="611" t="s">
        <v>2337</v>
      </c>
      <c r="F201" s="611" t="s">
        <v>1274</v>
      </c>
      <c r="G201" s="611"/>
      <c r="H201" s="611">
        <v>2011</v>
      </c>
      <c r="I201" s="611"/>
      <c r="J201" s="793">
        <v>1</v>
      </c>
      <c r="K201" s="793"/>
      <c r="L201" s="792">
        <v>1</v>
      </c>
      <c r="M201" s="728"/>
      <c r="N201" s="792"/>
      <c r="O201" s="792">
        <f t="shared" si="24"/>
        <v>2011</v>
      </c>
      <c r="P201" s="857">
        <f t="shared" si="25"/>
        <v>40691</v>
      </c>
      <c r="Q201" s="764">
        <f t="shared" si="26"/>
        <v>40812</v>
      </c>
      <c r="R201" s="619">
        <f t="shared" si="27"/>
        <v>121</v>
      </c>
      <c r="S201" s="530">
        <f t="shared" si="28"/>
        <v>0.33127994524298426</v>
      </c>
      <c r="T201" s="611"/>
      <c r="U201" s="611"/>
      <c r="V201" s="614" t="s">
        <v>1932</v>
      </c>
      <c r="W201" s="874">
        <v>40691</v>
      </c>
      <c r="Y201" s="843" t="s">
        <v>2167</v>
      </c>
      <c r="Z201" s="874">
        <v>40812</v>
      </c>
      <c r="AA201" s="530">
        <f t="shared" si="31"/>
        <v>0.33127994524298426</v>
      </c>
      <c r="AB201" s="619">
        <f t="shared" si="29"/>
        <v>121</v>
      </c>
      <c r="AC201" s="530">
        <f t="shared" si="30"/>
        <v>0.33127994524298426</v>
      </c>
      <c r="AD201" s="795"/>
      <c r="AE201" s="795"/>
      <c r="AF201" s="795"/>
      <c r="AG201" s="795">
        <v>1</v>
      </c>
      <c r="AH201" s="611"/>
      <c r="AJ201" s="874"/>
      <c r="AK201" s="757"/>
      <c r="AL201" s="611"/>
      <c r="AM201" s="611"/>
    </row>
    <row r="202" spans="1:41" x14ac:dyDescent="0.2">
      <c r="A202" s="728"/>
      <c r="B202" s="807" t="s">
        <v>2481</v>
      </c>
      <c r="C202" s="611"/>
      <c r="D202" s="851" t="s">
        <v>224</v>
      </c>
      <c r="E202" s="611" t="s">
        <v>2484</v>
      </c>
      <c r="F202" s="611" t="s">
        <v>1274</v>
      </c>
      <c r="G202" s="611"/>
      <c r="H202" s="611">
        <v>1998</v>
      </c>
      <c r="I202" s="611"/>
      <c r="J202" s="793">
        <v>1</v>
      </c>
      <c r="K202" s="793"/>
      <c r="L202" s="792">
        <v>1</v>
      </c>
      <c r="M202" s="728"/>
      <c r="N202" s="792"/>
      <c r="O202" s="792">
        <f t="shared" si="24"/>
        <v>1998</v>
      </c>
      <c r="P202" s="857">
        <f t="shared" si="25"/>
        <v>36047</v>
      </c>
      <c r="Q202" s="764">
        <f t="shared" si="26"/>
        <v>41222</v>
      </c>
      <c r="R202" s="619">
        <f t="shared" si="27"/>
        <v>5175</v>
      </c>
      <c r="S202" s="530">
        <f t="shared" si="28"/>
        <v>14.168377823408624</v>
      </c>
      <c r="T202" s="611" t="s">
        <v>496</v>
      </c>
      <c r="U202" s="611"/>
      <c r="V202" s="527" t="s">
        <v>1552</v>
      </c>
      <c r="W202" s="874">
        <v>36047</v>
      </c>
      <c r="Y202" s="843" t="s">
        <v>2167</v>
      </c>
      <c r="Z202" s="874">
        <v>41222</v>
      </c>
      <c r="AA202" s="530">
        <f t="shared" si="31"/>
        <v>14.168377823408624</v>
      </c>
      <c r="AB202" s="619">
        <f t="shared" si="29"/>
        <v>5175</v>
      </c>
      <c r="AC202" s="530">
        <f t="shared" si="30"/>
        <v>14.168377823408624</v>
      </c>
      <c r="AD202" s="795"/>
      <c r="AE202" s="795"/>
      <c r="AF202" s="795"/>
      <c r="AG202" s="795">
        <v>1</v>
      </c>
      <c r="AH202" s="611"/>
      <c r="AJ202" s="874"/>
      <c r="AK202" s="757"/>
      <c r="AL202" s="611"/>
      <c r="AM202" s="611"/>
    </row>
    <row r="203" spans="1:41" x14ac:dyDescent="0.2">
      <c r="A203" s="527"/>
      <c r="B203" s="759" t="s">
        <v>1724</v>
      </c>
      <c r="C203" s="611" t="s">
        <v>2308</v>
      </c>
      <c r="D203" s="851" t="s">
        <v>224</v>
      </c>
      <c r="E203" s="611" t="s">
        <v>2474</v>
      </c>
      <c r="F203" s="611" t="s">
        <v>1274</v>
      </c>
      <c r="G203" s="611"/>
      <c r="H203" s="611">
        <v>2014</v>
      </c>
      <c r="I203" s="611"/>
      <c r="J203" s="793">
        <v>1</v>
      </c>
      <c r="K203" s="793"/>
      <c r="L203" s="792">
        <v>1</v>
      </c>
      <c r="M203" s="728"/>
      <c r="N203" s="792"/>
      <c r="O203" s="792">
        <f t="shared" si="24"/>
        <v>2014</v>
      </c>
      <c r="P203" s="619">
        <f>DATE(O203,7,1)</f>
        <v>41821</v>
      </c>
      <c r="Q203" s="764">
        <f t="shared" si="26"/>
        <v>41836</v>
      </c>
      <c r="R203" s="619">
        <f t="shared" si="27"/>
        <v>15</v>
      </c>
      <c r="S203" s="530">
        <f t="shared" si="28"/>
        <v>4.1067761806981518E-2</v>
      </c>
      <c r="T203" s="527" t="s">
        <v>2308</v>
      </c>
      <c r="V203" s="614" t="s">
        <v>1724</v>
      </c>
      <c r="W203" s="874">
        <v>41654</v>
      </c>
      <c r="Y203" s="843" t="s">
        <v>2167</v>
      </c>
      <c r="Z203" s="874">
        <v>41836</v>
      </c>
      <c r="AA203" s="530">
        <f t="shared" si="31"/>
        <v>0.49828884325804246</v>
      </c>
      <c r="AB203" s="619">
        <f t="shared" si="29"/>
        <v>182</v>
      </c>
      <c r="AC203" s="530">
        <f t="shared" si="30"/>
        <v>0.49828884325804246</v>
      </c>
      <c r="AD203" s="795"/>
      <c r="AE203" s="795"/>
      <c r="AF203" s="795"/>
      <c r="AG203" s="795">
        <v>1</v>
      </c>
      <c r="AH203" s="611"/>
      <c r="AI203" s="759"/>
      <c r="AJ203" s="874"/>
      <c r="AK203" s="757"/>
      <c r="AL203" s="611"/>
      <c r="AM203" s="611"/>
    </row>
    <row r="204" spans="1:41" x14ac:dyDescent="0.2">
      <c r="A204" s="527"/>
      <c r="B204" s="807" t="s">
        <v>2192</v>
      </c>
      <c r="C204" s="527" t="s">
        <v>2292</v>
      </c>
      <c r="D204" s="851" t="s">
        <v>224</v>
      </c>
      <c r="E204" s="611" t="s">
        <v>2487</v>
      </c>
      <c r="F204" s="611" t="s">
        <v>1274</v>
      </c>
      <c r="G204" s="611" t="s">
        <v>2486</v>
      </c>
      <c r="H204" s="611">
        <v>2015</v>
      </c>
      <c r="I204" s="611">
        <v>2015</v>
      </c>
      <c r="J204" s="793">
        <v>1</v>
      </c>
      <c r="K204" s="793">
        <v>1</v>
      </c>
      <c r="L204" s="792">
        <v>1</v>
      </c>
      <c r="M204" s="728"/>
      <c r="N204" s="792"/>
      <c r="O204" s="792">
        <f t="shared" si="24"/>
        <v>2015</v>
      </c>
      <c r="P204" s="857">
        <f>W204</f>
        <v>42090</v>
      </c>
      <c r="Q204" s="764">
        <f t="shared" si="26"/>
        <v>42502</v>
      </c>
      <c r="R204" s="619">
        <f t="shared" si="27"/>
        <v>412</v>
      </c>
      <c r="S204" s="530">
        <f t="shared" si="28"/>
        <v>1.1279945242984257</v>
      </c>
      <c r="T204" s="611" t="s">
        <v>2292</v>
      </c>
      <c r="U204" s="611"/>
      <c r="V204" s="527" t="s">
        <v>2192</v>
      </c>
      <c r="W204" s="874">
        <v>42090</v>
      </c>
      <c r="Y204" s="843" t="s">
        <v>2167</v>
      </c>
      <c r="Z204" s="874">
        <v>42502</v>
      </c>
      <c r="AA204" s="530">
        <f t="shared" si="31"/>
        <v>1.1279945242984257</v>
      </c>
      <c r="AB204" s="619">
        <f t="shared" si="29"/>
        <v>412</v>
      </c>
      <c r="AC204" s="530">
        <f t="shared" si="30"/>
        <v>1.1279945242984257</v>
      </c>
      <c r="AD204" s="795"/>
      <c r="AE204" s="795"/>
      <c r="AF204" s="795"/>
      <c r="AG204" s="795">
        <v>1</v>
      </c>
      <c r="AH204" s="611"/>
      <c r="AJ204" s="874"/>
      <c r="AK204" s="757"/>
      <c r="AL204" s="611"/>
      <c r="AM204" s="611"/>
    </row>
    <row r="205" spans="1:41" x14ac:dyDescent="0.2">
      <c r="A205" s="527"/>
      <c r="B205" s="807" t="s">
        <v>2260</v>
      </c>
      <c r="C205" s="527" t="s">
        <v>2300</v>
      </c>
      <c r="D205" s="851" t="s">
        <v>224</v>
      </c>
      <c r="E205" s="611" t="s">
        <v>2376</v>
      </c>
      <c r="F205" s="611" t="s">
        <v>1274</v>
      </c>
      <c r="G205" s="611"/>
      <c r="H205" s="611">
        <v>2015</v>
      </c>
      <c r="J205" s="794">
        <v>1</v>
      </c>
      <c r="K205" s="794"/>
      <c r="O205" s="792">
        <f t="shared" si="24"/>
        <v>2015</v>
      </c>
      <c r="P205" s="619">
        <f>DATE(O205,7,1)</f>
        <v>42186</v>
      </c>
      <c r="Q205" s="764">
        <f t="shared" si="26"/>
        <v>42721</v>
      </c>
      <c r="R205" s="619">
        <f t="shared" si="27"/>
        <v>535</v>
      </c>
      <c r="S205" s="530">
        <f t="shared" si="28"/>
        <v>1.4647501711156743</v>
      </c>
      <c r="T205" s="527" t="s">
        <v>2553</v>
      </c>
      <c r="V205" s="527" t="s">
        <v>2260</v>
      </c>
      <c r="W205" s="874">
        <v>42323</v>
      </c>
      <c r="Y205" s="877" t="s">
        <v>2167</v>
      </c>
      <c r="Z205" s="874">
        <v>42721</v>
      </c>
      <c r="AA205" s="530">
        <f t="shared" si="31"/>
        <v>1.0896646132785763</v>
      </c>
      <c r="AB205" s="619">
        <f t="shared" si="29"/>
        <v>398</v>
      </c>
      <c r="AC205" s="530">
        <f t="shared" si="30"/>
        <v>1.0896646132785763</v>
      </c>
      <c r="AD205" s="795"/>
      <c r="AE205" s="795"/>
      <c r="AF205" s="795"/>
      <c r="AG205" s="795">
        <v>1</v>
      </c>
      <c r="AJ205" s="874"/>
    </row>
    <row r="206" spans="1:41" x14ac:dyDescent="0.2">
      <c r="A206" s="527"/>
      <c r="B206" s="533" t="s">
        <v>2659</v>
      </c>
      <c r="D206" s="611" t="s">
        <v>224</v>
      </c>
      <c r="E206" s="611"/>
      <c r="G206" s="611" t="s">
        <v>2370</v>
      </c>
      <c r="I206" s="527">
        <v>2018</v>
      </c>
      <c r="K206" s="613">
        <v>1</v>
      </c>
      <c r="M206" s="533" t="s">
        <v>2711</v>
      </c>
      <c r="O206" s="792">
        <f t="shared" si="24"/>
        <v>2018</v>
      </c>
      <c r="P206" s="857">
        <f>W206</f>
        <v>42653</v>
      </c>
      <c r="Q206" s="764">
        <f t="shared" si="26"/>
        <v>43445</v>
      </c>
      <c r="R206" s="619">
        <f t="shared" si="27"/>
        <v>792</v>
      </c>
      <c r="S206" s="530">
        <f t="shared" si="28"/>
        <v>2.1683778234086244</v>
      </c>
      <c r="V206" s="527" t="s">
        <v>2659</v>
      </c>
      <c r="W206" s="874">
        <v>42653</v>
      </c>
      <c r="Y206" s="843" t="s">
        <v>2167</v>
      </c>
      <c r="Z206" s="874">
        <v>43445</v>
      </c>
      <c r="AA206" s="530">
        <f t="shared" si="31"/>
        <v>2.1683778234086244</v>
      </c>
      <c r="AB206" s="619">
        <f t="shared" si="29"/>
        <v>792</v>
      </c>
      <c r="AC206" s="530">
        <f t="shared" si="30"/>
        <v>2.1683778234086244</v>
      </c>
      <c r="AD206" s="795"/>
      <c r="AE206" s="795"/>
      <c r="AF206" s="795"/>
      <c r="AG206" s="795">
        <v>1</v>
      </c>
      <c r="AH206" s="611"/>
      <c r="AJ206" s="874"/>
      <c r="AK206" s="757"/>
      <c r="AL206" s="611"/>
      <c r="AM206" s="611"/>
      <c r="AN206" s="611"/>
      <c r="AO206" s="611"/>
    </row>
    <row r="207" spans="1:41" x14ac:dyDescent="0.2">
      <c r="A207" s="728"/>
      <c r="B207" s="807" t="s">
        <v>1888</v>
      </c>
      <c r="C207" s="611" t="s">
        <v>2050</v>
      </c>
      <c r="D207" s="851" t="s">
        <v>224</v>
      </c>
      <c r="E207" s="611" t="s">
        <v>2488</v>
      </c>
      <c r="F207" s="611" t="s">
        <v>1274</v>
      </c>
      <c r="G207" s="611"/>
      <c r="H207" s="611">
        <v>1999</v>
      </c>
      <c r="I207" s="611"/>
      <c r="J207" s="793">
        <v>1</v>
      </c>
      <c r="K207" s="793"/>
      <c r="L207" s="792">
        <v>1</v>
      </c>
      <c r="M207" s="728"/>
      <c r="N207" s="792"/>
      <c r="O207" s="792">
        <f t="shared" si="24"/>
        <v>1999</v>
      </c>
      <c r="P207" s="619">
        <f t="shared" ref="P207:P238" si="32">DATE(O207,7,1)</f>
        <v>36342</v>
      </c>
      <c r="Q207" s="764">
        <f t="shared" si="26"/>
        <v>36708</v>
      </c>
      <c r="R207" s="619">
        <f t="shared" si="27"/>
        <v>366</v>
      </c>
      <c r="S207" s="530">
        <f t="shared" si="28"/>
        <v>1.0020533880903491</v>
      </c>
      <c r="T207" s="611" t="s">
        <v>2050</v>
      </c>
      <c r="U207" s="611"/>
      <c r="V207" s="614" t="s">
        <v>1888</v>
      </c>
      <c r="W207" s="874">
        <v>36448</v>
      </c>
      <c r="Y207" s="843" t="s">
        <v>2694</v>
      </c>
      <c r="Z207" s="874">
        <v>36708</v>
      </c>
      <c r="AA207" s="530">
        <f t="shared" si="31"/>
        <v>0.7118412046543463</v>
      </c>
      <c r="AB207" s="619">
        <f t="shared" si="29"/>
        <v>260</v>
      </c>
      <c r="AC207" s="530">
        <f t="shared" si="30"/>
        <v>0.7118412046543463</v>
      </c>
      <c r="AD207" s="795"/>
      <c r="AE207" s="795"/>
      <c r="AF207" s="795">
        <v>1</v>
      </c>
      <c r="AG207" s="795"/>
      <c r="AH207" s="611"/>
      <c r="AJ207" s="874"/>
      <c r="AK207" s="757"/>
      <c r="AL207" s="611"/>
      <c r="AM207" s="611"/>
      <c r="AN207" s="611"/>
      <c r="AO207" s="611"/>
    </row>
    <row r="208" spans="1:41" x14ac:dyDescent="0.2">
      <c r="A208" s="728"/>
      <c r="B208" s="807" t="s">
        <v>1907</v>
      </c>
      <c r="C208" s="611" t="s">
        <v>500</v>
      </c>
      <c r="D208" s="851" t="s">
        <v>224</v>
      </c>
      <c r="E208" s="611" t="s">
        <v>2310</v>
      </c>
      <c r="F208" s="611" t="s">
        <v>1274</v>
      </c>
      <c r="G208" s="611"/>
      <c r="H208" s="611">
        <v>2000</v>
      </c>
      <c r="I208" s="611"/>
      <c r="J208" s="793">
        <v>1</v>
      </c>
      <c r="K208" s="793"/>
      <c r="L208" s="792">
        <v>1</v>
      </c>
      <c r="M208" s="728"/>
      <c r="N208" s="792"/>
      <c r="O208" s="792">
        <f t="shared" si="24"/>
        <v>2000</v>
      </c>
      <c r="P208" s="619">
        <f t="shared" si="32"/>
        <v>36708</v>
      </c>
      <c r="Q208" s="764">
        <f t="shared" si="26"/>
        <v>37073</v>
      </c>
      <c r="R208" s="619">
        <f t="shared" si="27"/>
        <v>365</v>
      </c>
      <c r="S208" s="530">
        <f t="shared" si="28"/>
        <v>0.99931553730321698</v>
      </c>
      <c r="T208" s="611" t="s">
        <v>500</v>
      </c>
      <c r="U208" s="611"/>
      <c r="V208" s="527" t="s">
        <v>1907</v>
      </c>
      <c r="W208" s="874">
        <v>36845</v>
      </c>
      <c r="Y208" s="843" t="s">
        <v>2694</v>
      </c>
      <c r="Z208" s="874">
        <v>37073</v>
      </c>
      <c r="AA208" s="530">
        <f t="shared" si="31"/>
        <v>0.62422997946611913</v>
      </c>
      <c r="AB208" s="619">
        <f t="shared" si="29"/>
        <v>228</v>
      </c>
      <c r="AC208" s="530">
        <f t="shared" si="30"/>
        <v>0.62422997946611913</v>
      </c>
      <c r="AD208" s="795"/>
      <c r="AE208" s="795"/>
      <c r="AF208" s="795">
        <v>1</v>
      </c>
      <c r="AG208" s="795"/>
      <c r="AH208" s="611"/>
      <c r="AJ208" s="874"/>
      <c r="AK208" s="757"/>
      <c r="AL208" s="611"/>
      <c r="AM208" s="611"/>
      <c r="AN208" s="611"/>
      <c r="AO208" s="611"/>
    </row>
    <row r="209" spans="1:41" x14ac:dyDescent="0.2">
      <c r="A209" s="527"/>
      <c r="B209" s="807" t="s">
        <v>1941</v>
      </c>
      <c r="C209" s="611" t="s">
        <v>2063</v>
      </c>
      <c r="D209" s="851" t="s">
        <v>224</v>
      </c>
      <c r="E209" s="611" t="s">
        <v>2312</v>
      </c>
      <c r="F209" s="611" t="s">
        <v>1274</v>
      </c>
      <c r="G209" s="611"/>
      <c r="H209" s="611">
        <v>2000</v>
      </c>
      <c r="I209" s="611"/>
      <c r="J209" s="793">
        <v>1</v>
      </c>
      <c r="K209" s="793"/>
      <c r="L209" s="792">
        <v>1</v>
      </c>
      <c r="M209" s="728"/>
      <c r="N209" s="792"/>
      <c r="O209" s="792">
        <f t="shared" si="24"/>
        <v>2000</v>
      </c>
      <c r="P209" s="619">
        <f t="shared" si="32"/>
        <v>36708</v>
      </c>
      <c r="Q209" s="764">
        <f t="shared" si="26"/>
        <v>37073</v>
      </c>
      <c r="R209" s="619">
        <f t="shared" si="27"/>
        <v>365</v>
      </c>
      <c r="S209" s="530">
        <f t="shared" si="28"/>
        <v>0.99931553730321698</v>
      </c>
      <c r="T209" s="611" t="s">
        <v>2559</v>
      </c>
      <c r="U209" s="611"/>
      <c r="V209" s="614" t="s">
        <v>1941</v>
      </c>
      <c r="W209" s="874">
        <v>36784</v>
      </c>
      <c r="Y209" s="843" t="s">
        <v>2694</v>
      </c>
      <c r="Z209" s="874">
        <v>37073</v>
      </c>
      <c r="AA209" s="530">
        <f t="shared" si="31"/>
        <v>0.79123887748117727</v>
      </c>
      <c r="AB209" s="619">
        <f t="shared" si="29"/>
        <v>289</v>
      </c>
      <c r="AC209" s="530">
        <f t="shared" si="30"/>
        <v>0.79123887748117727</v>
      </c>
      <c r="AD209" s="795"/>
      <c r="AE209" s="795"/>
      <c r="AF209" s="795">
        <v>1</v>
      </c>
      <c r="AG209" s="795"/>
      <c r="AH209" s="611"/>
      <c r="AJ209" s="874"/>
      <c r="AK209" s="757"/>
      <c r="AL209" s="611"/>
      <c r="AM209" s="611"/>
      <c r="AN209" s="611"/>
      <c r="AO209" s="611"/>
    </row>
    <row r="210" spans="1:41" x14ac:dyDescent="0.2">
      <c r="A210" s="728"/>
      <c r="B210" s="807" t="s">
        <v>1889</v>
      </c>
      <c r="C210" s="611" t="s">
        <v>2074</v>
      </c>
      <c r="D210" s="851" t="s">
        <v>224</v>
      </c>
      <c r="E210" s="611" t="s">
        <v>2314</v>
      </c>
      <c r="F210" s="611" t="s">
        <v>1274</v>
      </c>
      <c r="G210" s="611" t="s">
        <v>2313</v>
      </c>
      <c r="H210" s="611">
        <v>2004</v>
      </c>
      <c r="I210" s="611">
        <v>2004</v>
      </c>
      <c r="J210" s="793">
        <v>1</v>
      </c>
      <c r="K210" s="794">
        <v>1</v>
      </c>
      <c r="L210" s="613">
        <v>0</v>
      </c>
      <c r="O210" s="792">
        <f t="shared" si="24"/>
        <v>2004</v>
      </c>
      <c r="P210" s="619">
        <f t="shared" si="32"/>
        <v>38169</v>
      </c>
      <c r="Q210" s="764">
        <f t="shared" si="26"/>
        <v>38528</v>
      </c>
      <c r="R210" s="619">
        <f t="shared" si="27"/>
        <v>359</v>
      </c>
      <c r="S210" s="530">
        <f t="shared" si="28"/>
        <v>0.98288843258042435</v>
      </c>
      <c r="T210" s="611" t="s">
        <v>496</v>
      </c>
      <c r="U210" s="611"/>
      <c r="V210" s="614" t="s">
        <v>1889</v>
      </c>
      <c r="W210" s="874">
        <v>38214</v>
      </c>
      <c r="Y210" s="843" t="s">
        <v>2694</v>
      </c>
      <c r="Z210" s="874">
        <v>38528</v>
      </c>
      <c r="AA210" s="530">
        <f t="shared" si="31"/>
        <v>0.85968514715947986</v>
      </c>
      <c r="AB210" s="619">
        <f t="shared" si="29"/>
        <v>314</v>
      </c>
      <c r="AC210" s="530">
        <f t="shared" si="30"/>
        <v>0.85968514715947986</v>
      </c>
      <c r="AD210" s="795"/>
      <c r="AE210" s="795"/>
      <c r="AF210" s="795">
        <v>1</v>
      </c>
      <c r="AG210" s="795"/>
      <c r="AH210" s="611"/>
      <c r="AJ210" s="874"/>
      <c r="AK210" s="757"/>
      <c r="AL210" s="611"/>
      <c r="AM210" s="611"/>
      <c r="AN210" s="611"/>
      <c r="AO210" s="611"/>
    </row>
    <row r="211" spans="1:41" x14ac:dyDescent="0.2">
      <c r="A211" s="728"/>
      <c r="B211" s="807" t="s">
        <v>889</v>
      </c>
      <c r="C211" s="611" t="s">
        <v>2073</v>
      </c>
      <c r="D211" s="851" t="s">
        <v>224</v>
      </c>
      <c r="E211" s="611" t="s">
        <v>2309</v>
      </c>
      <c r="F211" s="611" t="s">
        <v>1274</v>
      </c>
      <c r="G211" s="611"/>
      <c r="H211" s="611">
        <v>2002</v>
      </c>
      <c r="I211" s="611"/>
      <c r="J211" s="793">
        <v>1</v>
      </c>
      <c r="K211" s="793"/>
      <c r="L211" s="792">
        <v>0</v>
      </c>
      <c r="M211" s="728"/>
      <c r="N211" s="792"/>
      <c r="O211" s="792">
        <f t="shared" si="24"/>
        <v>2002</v>
      </c>
      <c r="P211" s="619">
        <f t="shared" si="32"/>
        <v>37438</v>
      </c>
      <c r="Q211" s="764">
        <f t="shared" si="26"/>
        <v>38534</v>
      </c>
      <c r="R211" s="619">
        <f t="shared" si="27"/>
        <v>1096</v>
      </c>
      <c r="S211" s="530">
        <f t="shared" si="28"/>
        <v>3.0006844626967832</v>
      </c>
      <c r="T211" s="611" t="s">
        <v>2557</v>
      </c>
      <c r="U211" s="611"/>
      <c r="V211" s="614" t="s">
        <v>889</v>
      </c>
      <c r="W211" s="874">
        <v>37361</v>
      </c>
      <c r="Y211" s="843" t="s">
        <v>2694</v>
      </c>
      <c r="Z211" s="874">
        <v>38534</v>
      </c>
      <c r="AA211" s="530">
        <f t="shared" si="31"/>
        <v>3.2114989733059547</v>
      </c>
      <c r="AB211" s="619">
        <f t="shared" si="29"/>
        <v>1173</v>
      </c>
      <c r="AC211" s="530">
        <f t="shared" si="30"/>
        <v>3.2114989733059547</v>
      </c>
      <c r="AD211" s="795"/>
      <c r="AE211" s="795"/>
      <c r="AF211" s="795">
        <v>1</v>
      </c>
      <c r="AG211" s="795"/>
      <c r="AH211" s="611"/>
      <c r="AJ211" s="874"/>
      <c r="AK211" s="757"/>
      <c r="AL211" s="611"/>
      <c r="AM211" s="611"/>
      <c r="AN211" s="611"/>
      <c r="AO211" s="611"/>
    </row>
    <row r="212" spans="1:41" x14ac:dyDescent="0.2">
      <c r="A212" s="728"/>
      <c r="B212" s="807" t="s">
        <v>1090</v>
      </c>
      <c r="C212" s="611" t="s">
        <v>2062</v>
      </c>
      <c r="D212" s="851" t="s">
        <v>224</v>
      </c>
      <c r="E212" s="611" t="s">
        <v>2485</v>
      </c>
      <c r="F212" s="611" t="s">
        <v>1274</v>
      </c>
      <c r="G212" s="611"/>
      <c r="H212" s="611">
        <v>2001</v>
      </c>
      <c r="I212" s="611"/>
      <c r="J212" s="793">
        <v>1</v>
      </c>
      <c r="K212" s="793"/>
      <c r="L212" s="792">
        <v>1</v>
      </c>
      <c r="M212" s="728"/>
      <c r="N212" s="792"/>
      <c r="O212" s="792">
        <f t="shared" si="24"/>
        <v>2001</v>
      </c>
      <c r="P212" s="619">
        <f t="shared" si="32"/>
        <v>37073</v>
      </c>
      <c r="Q212" s="764">
        <f t="shared" si="26"/>
        <v>38733</v>
      </c>
      <c r="R212" s="619">
        <f t="shared" si="27"/>
        <v>1660</v>
      </c>
      <c r="S212" s="530">
        <f t="shared" si="28"/>
        <v>4.5448323066392877</v>
      </c>
      <c r="T212" s="611" t="s">
        <v>2062</v>
      </c>
      <c r="U212" s="611"/>
      <c r="V212" s="614" t="s">
        <v>1090</v>
      </c>
      <c r="W212" s="874">
        <v>37240</v>
      </c>
      <c r="Y212" s="843" t="s">
        <v>2694</v>
      </c>
      <c r="Z212" s="874">
        <v>38733</v>
      </c>
      <c r="AA212" s="530">
        <f t="shared" si="31"/>
        <v>4.0876112251882271</v>
      </c>
      <c r="AB212" s="619">
        <f t="shared" si="29"/>
        <v>1493</v>
      </c>
      <c r="AC212" s="530">
        <f t="shared" si="30"/>
        <v>4.0876112251882271</v>
      </c>
      <c r="AD212" s="795"/>
      <c r="AE212" s="795"/>
      <c r="AF212" s="795">
        <v>1</v>
      </c>
      <c r="AG212" s="795"/>
      <c r="AH212" s="611"/>
      <c r="AJ212" s="874"/>
      <c r="AK212" s="757"/>
      <c r="AL212" s="611"/>
      <c r="AM212" s="611"/>
      <c r="AN212" s="611"/>
      <c r="AO212" s="611"/>
    </row>
    <row r="213" spans="1:41" x14ac:dyDescent="0.2">
      <c r="A213" s="728"/>
      <c r="B213" s="807" t="s">
        <v>1895</v>
      </c>
      <c r="C213" s="527" t="s">
        <v>2048</v>
      </c>
      <c r="D213" s="851" t="s">
        <v>224</v>
      </c>
      <c r="E213" s="611" t="s">
        <v>2318</v>
      </c>
      <c r="F213" s="611" t="s">
        <v>1274</v>
      </c>
      <c r="G213" s="611" t="s">
        <v>2317</v>
      </c>
      <c r="H213" s="611">
        <v>2006</v>
      </c>
      <c r="I213" s="611">
        <v>2006</v>
      </c>
      <c r="J213" s="793">
        <v>1</v>
      </c>
      <c r="K213" s="794"/>
      <c r="L213" s="613">
        <v>0</v>
      </c>
      <c r="O213" s="792">
        <f t="shared" si="24"/>
        <v>2006</v>
      </c>
      <c r="P213" s="619">
        <f t="shared" si="32"/>
        <v>38899</v>
      </c>
      <c r="Q213" s="764">
        <f t="shared" si="26"/>
        <v>39142</v>
      </c>
      <c r="R213" s="619">
        <f t="shared" si="27"/>
        <v>243</v>
      </c>
      <c r="S213" s="530">
        <f t="shared" si="28"/>
        <v>0.6652977412731006</v>
      </c>
      <c r="T213" s="860"/>
      <c r="U213" s="611"/>
      <c r="V213" s="614" t="s">
        <v>1895</v>
      </c>
      <c r="W213" s="874">
        <v>38852</v>
      </c>
      <c r="Y213" s="843" t="s">
        <v>2694</v>
      </c>
      <c r="Z213" s="874">
        <v>39142</v>
      </c>
      <c r="AA213" s="530">
        <f t="shared" si="31"/>
        <v>0.79397672826830934</v>
      </c>
      <c r="AB213" s="619">
        <f t="shared" si="29"/>
        <v>290</v>
      </c>
      <c r="AC213" s="530">
        <f t="shared" si="30"/>
        <v>0.79397672826830934</v>
      </c>
      <c r="AD213" s="795"/>
      <c r="AE213" s="795"/>
      <c r="AF213" s="795">
        <v>1</v>
      </c>
      <c r="AG213" s="795"/>
      <c r="AH213" s="611"/>
      <c r="AJ213" s="874"/>
      <c r="AK213" s="757"/>
      <c r="AL213" s="611"/>
      <c r="AM213" s="611"/>
      <c r="AN213" s="611"/>
      <c r="AO213" s="611"/>
    </row>
    <row r="214" spans="1:41" x14ac:dyDescent="0.2">
      <c r="A214" s="728"/>
      <c r="B214" s="807" t="s">
        <v>1913</v>
      </c>
      <c r="C214" s="611" t="s">
        <v>2057</v>
      </c>
      <c r="D214" s="851" t="s">
        <v>224</v>
      </c>
      <c r="E214" s="611" t="s">
        <v>2328</v>
      </c>
      <c r="F214" s="611" t="s">
        <v>1274</v>
      </c>
      <c r="G214" s="611"/>
      <c r="H214" s="611">
        <v>2007</v>
      </c>
      <c r="I214" s="611">
        <v>2007</v>
      </c>
      <c r="J214" s="793"/>
      <c r="K214" s="794"/>
      <c r="L214" s="613">
        <v>0</v>
      </c>
      <c r="O214" s="792">
        <f t="shared" si="24"/>
        <v>2007</v>
      </c>
      <c r="P214" s="619">
        <f t="shared" si="32"/>
        <v>39264</v>
      </c>
      <c r="Q214" s="764">
        <f t="shared" si="26"/>
        <v>39477</v>
      </c>
      <c r="R214" s="619">
        <f t="shared" si="27"/>
        <v>213</v>
      </c>
      <c r="S214" s="530">
        <f t="shared" si="28"/>
        <v>0.58316221765913756</v>
      </c>
      <c r="T214" s="611"/>
      <c r="U214" s="611"/>
      <c r="V214" s="614" t="s">
        <v>1913</v>
      </c>
      <c r="W214" s="874">
        <v>39278</v>
      </c>
      <c r="Y214" s="843" t="s">
        <v>2694</v>
      </c>
      <c r="Z214" s="874">
        <v>39477</v>
      </c>
      <c r="AA214" s="530">
        <f t="shared" si="31"/>
        <v>0.54483230663928817</v>
      </c>
      <c r="AB214" s="619">
        <f t="shared" si="29"/>
        <v>199</v>
      </c>
      <c r="AC214" s="530">
        <f t="shared" si="30"/>
        <v>0.54483230663928817</v>
      </c>
      <c r="AD214" s="795"/>
      <c r="AE214" s="795"/>
      <c r="AF214" s="795">
        <v>1</v>
      </c>
      <c r="AG214" s="795"/>
      <c r="AH214" s="611"/>
      <c r="AJ214" s="874"/>
      <c r="AK214" s="757"/>
      <c r="AL214" s="611"/>
      <c r="AM214" s="611"/>
      <c r="AN214" s="611"/>
      <c r="AO214" s="611"/>
    </row>
    <row r="215" spans="1:41" x14ac:dyDescent="0.2">
      <c r="A215" s="728"/>
      <c r="B215" s="807" t="s">
        <v>1919</v>
      </c>
      <c r="C215" s="611" t="s">
        <v>2066</v>
      </c>
      <c r="D215" s="851" t="s">
        <v>224</v>
      </c>
      <c r="E215" s="611" t="s">
        <v>2331</v>
      </c>
      <c r="F215" s="611" t="s">
        <v>1274</v>
      </c>
      <c r="G215" s="611"/>
      <c r="H215" s="611">
        <v>2009</v>
      </c>
      <c r="I215" s="611">
        <v>2009</v>
      </c>
      <c r="J215" s="793">
        <v>1</v>
      </c>
      <c r="K215" s="793"/>
      <c r="L215" s="792">
        <v>0</v>
      </c>
      <c r="M215" s="728"/>
      <c r="N215" s="792"/>
      <c r="O215" s="792">
        <f t="shared" si="24"/>
        <v>2009</v>
      </c>
      <c r="P215" s="619">
        <f t="shared" si="32"/>
        <v>39995</v>
      </c>
      <c r="Q215" s="764">
        <f t="shared" si="26"/>
        <v>39919</v>
      </c>
      <c r="R215" s="619">
        <f t="shared" si="27"/>
        <v>-76</v>
      </c>
      <c r="S215" s="530">
        <f t="shared" si="28"/>
        <v>-0.20807665982203971</v>
      </c>
      <c r="T215" s="611"/>
      <c r="U215" s="611"/>
      <c r="V215" s="614" t="s">
        <v>1919</v>
      </c>
      <c r="W215" s="874">
        <v>39858</v>
      </c>
      <c r="Y215" s="843" t="s">
        <v>2694</v>
      </c>
      <c r="Z215" s="874">
        <v>39919</v>
      </c>
      <c r="AA215" s="530">
        <f t="shared" si="31"/>
        <v>0.16700889801505817</v>
      </c>
      <c r="AB215" s="619">
        <f t="shared" si="29"/>
        <v>61</v>
      </c>
      <c r="AC215" s="530">
        <f t="shared" si="30"/>
        <v>0.16700889801505817</v>
      </c>
      <c r="AD215" s="795"/>
      <c r="AE215" s="795"/>
      <c r="AF215" s="795">
        <v>1</v>
      </c>
      <c r="AG215" s="795"/>
      <c r="AH215" s="611"/>
      <c r="AJ215" s="874"/>
      <c r="AK215" s="757"/>
      <c r="AL215" s="611"/>
      <c r="AM215" s="611"/>
      <c r="AN215" s="611"/>
      <c r="AO215" s="611"/>
    </row>
    <row r="216" spans="1:41" x14ac:dyDescent="0.2">
      <c r="A216" s="728"/>
      <c r="B216" s="807" t="s">
        <v>1923</v>
      </c>
      <c r="C216" s="611" t="s">
        <v>2072</v>
      </c>
      <c r="D216" s="851" t="s">
        <v>224</v>
      </c>
      <c r="E216" s="611" t="s">
        <v>2328</v>
      </c>
      <c r="F216" s="611" t="s">
        <v>1274</v>
      </c>
      <c r="G216" s="611" t="s">
        <v>2489</v>
      </c>
      <c r="H216" s="611">
        <v>2009</v>
      </c>
      <c r="I216" s="611">
        <v>2010</v>
      </c>
      <c r="J216" s="793"/>
      <c r="K216" s="793"/>
      <c r="L216" s="792">
        <v>0</v>
      </c>
      <c r="M216" s="728"/>
      <c r="N216" s="792"/>
      <c r="O216" s="792">
        <f t="shared" si="24"/>
        <v>2009</v>
      </c>
      <c r="P216" s="619">
        <f t="shared" si="32"/>
        <v>39995</v>
      </c>
      <c r="Q216" s="764">
        <f t="shared" si="26"/>
        <v>40648</v>
      </c>
      <c r="R216" s="619">
        <f t="shared" si="27"/>
        <v>653</v>
      </c>
      <c r="S216" s="530">
        <f t="shared" si="28"/>
        <v>1.7878165639972621</v>
      </c>
      <c r="T216" s="611"/>
      <c r="U216" s="611"/>
      <c r="V216" s="527" t="s">
        <v>1923</v>
      </c>
      <c r="W216" s="874">
        <v>39979</v>
      </c>
      <c r="Y216" s="843" t="s">
        <v>2694</v>
      </c>
      <c r="Z216" s="874">
        <v>40648</v>
      </c>
      <c r="AA216" s="530">
        <f t="shared" si="31"/>
        <v>1.8316221765913758</v>
      </c>
      <c r="AB216" s="619">
        <f t="shared" si="29"/>
        <v>669</v>
      </c>
      <c r="AC216" s="530">
        <f t="shared" si="30"/>
        <v>1.8316221765913758</v>
      </c>
      <c r="AD216" s="795"/>
      <c r="AE216" s="795"/>
      <c r="AF216" s="795">
        <v>1</v>
      </c>
      <c r="AG216" s="795"/>
      <c r="AH216" s="611"/>
      <c r="AJ216" s="874"/>
      <c r="AK216" s="757"/>
      <c r="AL216" s="611"/>
      <c r="AM216" s="611"/>
      <c r="AN216" s="611"/>
      <c r="AO216" s="611"/>
    </row>
    <row r="217" spans="1:41" x14ac:dyDescent="0.2">
      <c r="A217" s="728"/>
      <c r="B217" s="807" t="s">
        <v>1925</v>
      </c>
      <c r="C217" s="611" t="s">
        <v>2057</v>
      </c>
      <c r="D217" s="851" t="s">
        <v>224</v>
      </c>
      <c r="E217" s="611" t="s">
        <v>2334</v>
      </c>
      <c r="F217" s="611" t="s">
        <v>1274</v>
      </c>
      <c r="G217" s="611" t="s">
        <v>2319</v>
      </c>
      <c r="H217" s="611">
        <v>2010</v>
      </c>
      <c r="I217" s="611">
        <v>2010</v>
      </c>
      <c r="J217" s="793">
        <v>1</v>
      </c>
      <c r="K217" s="793">
        <v>1</v>
      </c>
      <c r="L217" s="792">
        <v>0</v>
      </c>
      <c r="M217" s="728"/>
      <c r="N217" s="792"/>
      <c r="O217" s="792">
        <f t="shared" si="24"/>
        <v>2010</v>
      </c>
      <c r="P217" s="619">
        <f t="shared" si="32"/>
        <v>40360</v>
      </c>
      <c r="Q217" s="764">
        <f t="shared" si="26"/>
        <v>40648</v>
      </c>
      <c r="R217" s="619">
        <f t="shared" si="27"/>
        <v>288</v>
      </c>
      <c r="S217" s="530">
        <f t="shared" si="28"/>
        <v>0.7885010266940452</v>
      </c>
      <c r="T217" s="611"/>
      <c r="U217" s="611"/>
      <c r="V217" s="614" t="s">
        <v>1925</v>
      </c>
      <c r="W217" s="874">
        <v>40405</v>
      </c>
      <c r="Y217" s="843" t="s">
        <v>2694</v>
      </c>
      <c r="Z217" s="874">
        <v>40648</v>
      </c>
      <c r="AA217" s="530">
        <f t="shared" si="31"/>
        <v>0.6652977412731006</v>
      </c>
      <c r="AB217" s="619">
        <f t="shared" si="29"/>
        <v>243</v>
      </c>
      <c r="AC217" s="530">
        <f t="shared" si="30"/>
        <v>0.6652977412731006</v>
      </c>
      <c r="AD217" s="795"/>
      <c r="AE217" s="795"/>
      <c r="AF217" s="795">
        <v>1</v>
      </c>
      <c r="AG217" s="795"/>
      <c r="AH217" s="611"/>
      <c r="AJ217" s="874"/>
      <c r="AK217" s="757"/>
      <c r="AL217" s="611"/>
      <c r="AM217" s="611"/>
      <c r="AN217" s="611"/>
      <c r="AO217" s="611"/>
    </row>
    <row r="218" spans="1:41" x14ac:dyDescent="0.2">
      <c r="A218" s="728"/>
      <c r="B218" s="807" t="s">
        <v>1933</v>
      </c>
      <c r="C218" s="611" t="s">
        <v>2299</v>
      </c>
      <c r="D218" s="611"/>
      <c r="E218" s="611" t="s">
        <v>2709</v>
      </c>
      <c r="F218" s="611" t="s">
        <v>1274</v>
      </c>
      <c r="G218" s="851" t="s">
        <v>224</v>
      </c>
      <c r="H218" s="611">
        <v>2011</v>
      </c>
      <c r="I218" s="611">
        <v>2011</v>
      </c>
      <c r="J218" s="611">
        <v>1</v>
      </c>
      <c r="K218" s="611"/>
      <c r="L218" s="792">
        <v>0</v>
      </c>
      <c r="M218" s="728"/>
      <c r="N218" s="792"/>
      <c r="O218" s="792">
        <f t="shared" si="24"/>
        <v>2011</v>
      </c>
      <c r="P218" s="619">
        <f t="shared" si="32"/>
        <v>40725</v>
      </c>
      <c r="Q218" s="764">
        <f t="shared" si="26"/>
        <v>40893</v>
      </c>
      <c r="R218" s="619">
        <f t="shared" si="27"/>
        <v>168</v>
      </c>
      <c r="S218" s="530">
        <f t="shared" si="28"/>
        <v>0.45995893223819301</v>
      </c>
      <c r="T218" s="611"/>
      <c r="U218" s="611"/>
      <c r="V218" s="527" t="s">
        <v>1933</v>
      </c>
      <c r="W218" s="874">
        <v>40344</v>
      </c>
      <c r="Y218" s="877" t="s">
        <v>2694</v>
      </c>
      <c r="Z218" s="874">
        <v>40893</v>
      </c>
      <c r="AA218" s="530">
        <f t="shared" si="31"/>
        <v>1.5030800821355237</v>
      </c>
      <c r="AB218" s="619">
        <f t="shared" si="29"/>
        <v>549</v>
      </c>
      <c r="AC218" s="530">
        <f t="shared" si="30"/>
        <v>1.5030800821355237</v>
      </c>
      <c r="AD218" s="795"/>
      <c r="AE218" s="795"/>
      <c r="AF218" s="795">
        <v>1</v>
      </c>
      <c r="AG218" s="795"/>
      <c r="AJ218" s="874"/>
    </row>
    <row r="219" spans="1:41" x14ac:dyDescent="0.2">
      <c r="A219" s="728"/>
      <c r="B219" s="807" t="s">
        <v>1934</v>
      </c>
      <c r="C219" s="611" t="s">
        <v>2080</v>
      </c>
      <c r="D219" s="851" t="s">
        <v>224</v>
      </c>
      <c r="E219" s="611" t="s">
        <v>2338</v>
      </c>
      <c r="F219" s="611" t="s">
        <v>1274</v>
      </c>
      <c r="G219" s="611" t="s">
        <v>2340</v>
      </c>
      <c r="H219" s="611">
        <v>2011</v>
      </c>
      <c r="I219" s="611">
        <v>2011</v>
      </c>
      <c r="J219" s="793">
        <v>1</v>
      </c>
      <c r="K219" s="793">
        <v>1</v>
      </c>
      <c r="L219" s="792">
        <v>0</v>
      </c>
      <c r="M219" s="728"/>
      <c r="N219" s="792"/>
      <c r="O219" s="792">
        <f t="shared" si="24"/>
        <v>2011</v>
      </c>
      <c r="P219" s="619">
        <f t="shared" si="32"/>
        <v>40725</v>
      </c>
      <c r="Q219" s="764">
        <f t="shared" si="26"/>
        <v>40893</v>
      </c>
      <c r="R219" s="619">
        <f t="shared" si="27"/>
        <v>168</v>
      </c>
      <c r="S219" s="530">
        <f t="shared" si="28"/>
        <v>0.45995893223819301</v>
      </c>
      <c r="T219" s="611"/>
      <c r="U219" s="611"/>
      <c r="V219" s="527" t="s">
        <v>1934</v>
      </c>
      <c r="W219" s="874">
        <v>39340</v>
      </c>
      <c r="Y219" s="843" t="s">
        <v>2694</v>
      </c>
      <c r="Z219" s="874">
        <v>40893</v>
      </c>
      <c r="AA219" s="530">
        <f t="shared" si="31"/>
        <v>4.2518822724161529</v>
      </c>
      <c r="AB219" s="619">
        <f t="shared" si="29"/>
        <v>1553</v>
      </c>
      <c r="AC219" s="530">
        <f t="shared" si="30"/>
        <v>4.2518822724161529</v>
      </c>
      <c r="AD219" s="795"/>
      <c r="AE219" s="795"/>
      <c r="AF219" s="795">
        <v>1</v>
      </c>
      <c r="AG219" s="795"/>
      <c r="AH219" s="611"/>
      <c r="AJ219" s="874"/>
      <c r="AK219" s="757"/>
      <c r="AL219" s="611"/>
      <c r="AM219" s="611"/>
      <c r="AN219" s="611"/>
      <c r="AO219" s="611"/>
    </row>
    <row r="220" spans="1:41" x14ac:dyDescent="0.2">
      <c r="A220" s="728"/>
      <c r="B220" s="807" t="s">
        <v>1935</v>
      </c>
      <c r="C220" s="611" t="s">
        <v>2057</v>
      </c>
      <c r="D220" s="851" t="s">
        <v>224</v>
      </c>
      <c r="E220" s="611" t="s">
        <v>2339</v>
      </c>
      <c r="F220" s="611" t="s">
        <v>1274</v>
      </c>
      <c r="G220" s="611" t="s">
        <v>2340</v>
      </c>
      <c r="H220" s="611">
        <v>2011</v>
      </c>
      <c r="I220" s="611">
        <v>2011</v>
      </c>
      <c r="J220" s="793"/>
      <c r="K220" s="793">
        <v>1</v>
      </c>
      <c r="L220" s="792">
        <v>0</v>
      </c>
      <c r="M220" s="728"/>
      <c r="N220" s="792"/>
      <c r="O220" s="792">
        <f t="shared" si="24"/>
        <v>2011</v>
      </c>
      <c r="P220" s="619">
        <f t="shared" si="32"/>
        <v>40725</v>
      </c>
      <c r="Q220" s="764">
        <f t="shared" si="26"/>
        <v>40893</v>
      </c>
      <c r="R220" s="619">
        <f t="shared" si="27"/>
        <v>168</v>
      </c>
      <c r="S220" s="530">
        <f t="shared" si="28"/>
        <v>0.45995893223819301</v>
      </c>
      <c r="T220" s="611"/>
      <c r="U220" s="611"/>
      <c r="V220" s="614" t="s">
        <v>1935</v>
      </c>
      <c r="W220" s="874">
        <v>40603</v>
      </c>
      <c r="Y220" s="843" t="s">
        <v>2694</v>
      </c>
      <c r="Z220" s="874">
        <v>40893</v>
      </c>
      <c r="AA220" s="530">
        <f t="shared" si="31"/>
        <v>0.79397672826830934</v>
      </c>
      <c r="AB220" s="619">
        <f t="shared" si="29"/>
        <v>290</v>
      </c>
      <c r="AC220" s="530">
        <f t="shared" si="30"/>
        <v>0.79397672826830934</v>
      </c>
      <c r="AD220" s="795"/>
      <c r="AE220" s="795"/>
      <c r="AF220" s="795">
        <v>1</v>
      </c>
      <c r="AG220" s="795"/>
      <c r="AH220" s="611"/>
      <c r="AJ220" s="874"/>
      <c r="AK220" s="757"/>
      <c r="AL220" s="611"/>
      <c r="AM220" s="611"/>
      <c r="AN220" s="611"/>
      <c r="AO220" s="611"/>
    </row>
    <row r="221" spans="1:41" x14ac:dyDescent="0.2">
      <c r="A221" s="728"/>
      <c r="B221" s="807" t="s">
        <v>1936</v>
      </c>
      <c r="C221" s="611" t="s">
        <v>2072</v>
      </c>
      <c r="D221" s="851" t="s">
        <v>224</v>
      </c>
      <c r="E221" s="611" t="s">
        <v>2328</v>
      </c>
      <c r="F221" s="611" t="s">
        <v>1274</v>
      </c>
      <c r="G221" s="611" t="s">
        <v>2315</v>
      </c>
      <c r="H221" s="611">
        <v>2011</v>
      </c>
      <c r="I221" s="611">
        <v>2011</v>
      </c>
      <c r="J221" s="793"/>
      <c r="K221" s="793">
        <v>1</v>
      </c>
      <c r="L221" s="792">
        <v>0</v>
      </c>
      <c r="M221" s="728"/>
      <c r="N221" s="792"/>
      <c r="O221" s="792">
        <f t="shared" si="24"/>
        <v>2011</v>
      </c>
      <c r="P221" s="619">
        <f t="shared" si="32"/>
        <v>40725</v>
      </c>
      <c r="Q221" s="764">
        <f t="shared" si="26"/>
        <v>41212</v>
      </c>
      <c r="R221" s="619">
        <f t="shared" si="27"/>
        <v>487</v>
      </c>
      <c r="S221" s="530">
        <f t="shared" si="28"/>
        <v>1.3333333333333333</v>
      </c>
      <c r="T221" s="611"/>
      <c r="U221" s="611"/>
      <c r="V221" s="527" t="s">
        <v>1936</v>
      </c>
      <c r="W221" s="874">
        <v>40770</v>
      </c>
      <c r="Y221" s="843" t="s">
        <v>2694</v>
      </c>
      <c r="Z221" s="874">
        <v>41212</v>
      </c>
      <c r="AA221" s="530">
        <f t="shared" si="31"/>
        <v>1.2101300479123889</v>
      </c>
      <c r="AB221" s="619">
        <f t="shared" si="29"/>
        <v>442</v>
      </c>
      <c r="AC221" s="530">
        <f t="shared" si="30"/>
        <v>1.2101300479123889</v>
      </c>
      <c r="AD221" s="795"/>
      <c r="AE221" s="795"/>
      <c r="AF221" s="795">
        <v>1</v>
      </c>
      <c r="AG221" s="795"/>
      <c r="AH221" s="611"/>
      <c r="AJ221" s="874"/>
      <c r="AK221" s="757"/>
      <c r="AL221" s="611"/>
      <c r="AM221" s="611"/>
      <c r="AN221" s="611"/>
      <c r="AO221" s="611"/>
    </row>
    <row r="222" spans="1:41" x14ac:dyDescent="0.2">
      <c r="A222" s="728"/>
      <c r="B222" s="807" t="s">
        <v>1939</v>
      </c>
      <c r="C222" s="611" t="s">
        <v>2057</v>
      </c>
      <c r="D222" s="851" t="s">
        <v>224</v>
      </c>
      <c r="E222" s="611" t="s">
        <v>2341</v>
      </c>
      <c r="F222" s="611" t="s">
        <v>1274</v>
      </c>
      <c r="G222" s="611" t="s">
        <v>2319</v>
      </c>
      <c r="H222" s="611">
        <v>2011</v>
      </c>
      <c r="I222" s="611">
        <v>2012</v>
      </c>
      <c r="J222" s="793">
        <v>1</v>
      </c>
      <c r="K222" s="793">
        <v>1</v>
      </c>
      <c r="L222" s="792">
        <v>0</v>
      </c>
      <c r="M222" s="728"/>
      <c r="N222" s="792"/>
      <c r="O222" s="792">
        <f t="shared" si="24"/>
        <v>2011</v>
      </c>
      <c r="P222" s="619">
        <f t="shared" si="32"/>
        <v>40725</v>
      </c>
      <c r="Q222" s="764">
        <f t="shared" si="26"/>
        <v>41255</v>
      </c>
      <c r="R222" s="619">
        <f t="shared" si="27"/>
        <v>530</v>
      </c>
      <c r="S222" s="530">
        <f t="shared" si="28"/>
        <v>1.4510609171800137</v>
      </c>
      <c r="T222" s="611"/>
      <c r="U222" s="611"/>
      <c r="V222" s="614" t="s">
        <v>1939</v>
      </c>
      <c r="W222" s="874">
        <v>40739</v>
      </c>
      <c r="Y222" s="843" t="s">
        <v>2694</v>
      </c>
      <c r="Z222" s="874">
        <v>41255</v>
      </c>
      <c r="AA222" s="530">
        <f t="shared" si="31"/>
        <v>1.4127310061601643</v>
      </c>
      <c r="AB222" s="619">
        <f t="shared" si="29"/>
        <v>516</v>
      </c>
      <c r="AC222" s="530">
        <f t="shared" si="30"/>
        <v>1.4127310061601643</v>
      </c>
      <c r="AD222" s="795"/>
      <c r="AE222" s="795"/>
      <c r="AF222" s="795">
        <v>1</v>
      </c>
      <c r="AG222" s="795"/>
      <c r="AH222" s="611"/>
      <c r="AJ222" s="874"/>
      <c r="AK222" s="757"/>
      <c r="AL222" s="611"/>
      <c r="AM222" s="611"/>
      <c r="AN222" s="611"/>
      <c r="AO222" s="611"/>
    </row>
    <row r="223" spans="1:41" x14ac:dyDescent="0.2">
      <c r="A223" s="728"/>
      <c r="B223" s="807" t="s">
        <v>1940</v>
      </c>
      <c r="C223" s="611" t="s">
        <v>2057</v>
      </c>
      <c r="D223" s="851" t="s">
        <v>224</v>
      </c>
      <c r="E223" s="611" t="s">
        <v>2342</v>
      </c>
      <c r="F223" s="611" t="s">
        <v>1274</v>
      </c>
      <c r="G223" s="611" t="s">
        <v>2489</v>
      </c>
      <c r="H223" s="611">
        <v>2012</v>
      </c>
      <c r="I223" s="611">
        <v>2012</v>
      </c>
      <c r="J223" s="793"/>
      <c r="K223" s="793"/>
      <c r="L223" s="792">
        <v>0</v>
      </c>
      <c r="M223" s="728"/>
      <c r="N223" s="792"/>
      <c r="O223" s="792">
        <f t="shared" si="24"/>
        <v>2012</v>
      </c>
      <c r="P223" s="619">
        <f t="shared" si="32"/>
        <v>41091</v>
      </c>
      <c r="Q223" s="764">
        <f t="shared" si="26"/>
        <v>41275</v>
      </c>
      <c r="R223" s="619">
        <f t="shared" si="27"/>
        <v>184</v>
      </c>
      <c r="S223" s="530">
        <f t="shared" si="28"/>
        <v>0.50376454483230659</v>
      </c>
      <c r="T223" s="611"/>
      <c r="U223" s="611"/>
      <c r="V223" s="614" t="s">
        <v>1940</v>
      </c>
      <c r="W223" s="874">
        <v>41044</v>
      </c>
      <c r="Y223" s="843" t="s">
        <v>2694</v>
      </c>
      <c r="Z223" s="874">
        <v>41275</v>
      </c>
      <c r="AA223" s="530">
        <f t="shared" si="31"/>
        <v>0.63244353182751545</v>
      </c>
      <c r="AB223" s="619">
        <f t="shared" si="29"/>
        <v>231</v>
      </c>
      <c r="AC223" s="530">
        <f t="shared" si="30"/>
        <v>0.63244353182751545</v>
      </c>
      <c r="AD223" s="795"/>
      <c r="AE223" s="795"/>
      <c r="AF223" s="795">
        <v>1</v>
      </c>
      <c r="AG223" s="795"/>
      <c r="AH223" s="611"/>
      <c r="AJ223" s="874"/>
      <c r="AK223" s="757"/>
      <c r="AL223" s="611"/>
      <c r="AM223" s="611"/>
      <c r="AN223" s="611"/>
      <c r="AO223" s="611"/>
    </row>
    <row r="224" spans="1:41" x14ac:dyDescent="0.2">
      <c r="A224" s="527"/>
      <c r="B224" s="807" t="s">
        <v>1964</v>
      </c>
      <c r="C224" s="527" t="s">
        <v>2039</v>
      </c>
      <c r="D224" s="851" t="s">
        <v>224</v>
      </c>
      <c r="E224" s="611" t="s">
        <v>1786</v>
      </c>
      <c r="F224" s="611" t="s">
        <v>1274</v>
      </c>
      <c r="G224" s="611" t="s">
        <v>2351</v>
      </c>
      <c r="H224" s="611">
        <v>2014</v>
      </c>
      <c r="I224" s="611"/>
      <c r="J224" s="793"/>
      <c r="K224" s="793">
        <v>1</v>
      </c>
      <c r="L224" s="613">
        <v>0</v>
      </c>
      <c r="O224" s="792">
        <f t="shared" si="24"/>
        <v>2014</v>
      </c>
      <c r="P224" s="619">
        <f t="shared" si="32"/>
        <v>41821</v>
      </c>
      <c r="Q224" s="764">
        <f t="shared" si="26"/>
        <v>41955</v>
      </c>
      <c r="R224" s="619">
        <f t="shared" si="27"/>
        <v>134</v>
      </c>
      <c r="S224" s="530">
        <f t="shared" si="28"/>
        <v>0.36687200547570159</v>
      </c>
      <c r="V224" s="527" t="s">
        <v>1964</v>
      </c>
      <c r="W224" s="874">
        <v>41744</v>
      </c>
      <c r="Y224" s="843" t="s">
        <v>2694</v>
      </c>
      <c r="Z224" s="874">
        <v>41955</v>
      </c>
      <c r="AA224" s="530">
        <f t="shared" si="31"/>
        <v>0.57768651608487342</v>
      </c>
      <c r="AB224" s="619">
        <f t="shared" si="29"/>
        <v>211</v>
      </c>
      <c r="AC224" s="530">
        <f t="shared" si="30"/>
        <v>0.57768651608487342</v>
      </c>
      <c r="AD224" s="795"/>
      <c r="AE224" s="795"/>
      <c r="AF224" s="795">
        <v>1</v>
      </c>
      <c r="AG224" s="795"/>
      <c r="AH224" s="611"/>
      <c r="AJ224" s="874"/>
      <c r="AK224" s="757"/>
      <c r="AL224" s="611"/>
      <c r="AM224" s="611"/>
      <c r="AN224" s="611"/>
      <c r="AO224" s="611"/>
    </row>
    <row r="225" spans="1:41" x14ac:dyDescent="0.2">
      <c r="A225" s="527"/>
      <c r="B225" s="807" t="s">
        <v>1971</v>
      </c>
      <c r="C225" s="527" t="s">
        <v>2047</v>
      </c>
      <c r="D225" s="851" t="s">
        <v>224</v>
      </c>
      <c r="E225" s="611" t="s">
        <v>2352</v>
      </c>
      <c r="F225" s="611" t="s">
        <v>1274</v>
      </c>
      <c r="G225" s="611" t="s">
        <v>1786</v>
      </c>
      <c r="H225" s="611">
        <v>2014</v>
      </c>
      <c r="I225" s="611">
        <v>2014</v>
      </c>
      <c r="J225" s="793">
        <v>1</v>
      </c>
      <c r="K225" s="793"/>
      <c r="L225" s="613">
        <v>0</v>
      </c>
      <c r="O225" s="792">
        <f t="shared" si="24"/>
        <v>2014</v>
      </c>
      <c r="P225" s="619">
        <f t="shared" si="32"/>
        <v>41821</v>
      </c>
      <c r="Q225" s="764">
        <f t="shared" si="26"/>
        <v>42039</v>
      </c>
      <c r="R225" s="619">
        <f t="shared" si="27"/>
        <v>218</v>
      </c>
      <c r="S225" s="530">
        <f t="shared" si="28"/>
        <v>0.59685147159479812</v>
      </c>
      <c r="V225" s="527" t="s">
        <v>1971</v>
      </c>
      <c r="W225" s="874">
        <v>41744</v>
      </c>
      <c r="Y225" s="843" t="s">
        <v>2694</v>
      </c>
      <c r="Z225" s="874">
        <v>42039</v>
      </c>
      <c r="AA225" s="530">
        <f t="shared" si="31"/>
        <v>0.8076659822039699</v>
      </c>
      <c r="AB225" s="619">
        <f t="shared" si="29"/>
        <v>295</v>
      </c>
      <c r="AC225" s="530">
        <f t="shared" si="30"/>
        <v>0.8076659822039699</v>
      </c>
      <c r="AD225" s="795"/>
      <c r="AE225" s="795"/>
      <c r="AF225" s="795">
        <v>1</v>
      </c>
      <c r="AG225" s="795"/>
      <c r="AH225" s="611"/>
      <c r="AJ225" s="874"/>
      <c r="AK225" s="757"/>
      <c r="AL225" s="611"/>
      <c r="AM225" s="611"/>
      <c r="AN225" s="611"/>
      <c r="AO225" s="611"/>
    </row>
    <row r="226" spans="1:41" x14ac:dyDescent="0.2">
      <c r="A226" s="527"/>
      <c r="B226" s="807" t="s">
        <v>1869</v>
      </c>
      <c r="C226" s="527" t="s">
        <v>855</v>
      </c>
      <c r="D226" s="851" t="s">
        <v>224</v>
      </c>
      <c r="E226" s="611" t="s">
        <v>2354</v>
      </c>
      <c r="F226" s="611" t="s">
        <v>1274</v>
      </c>
      <c r="G226" s="611" t="s">
        <v>1786</v>
      </c>
      <c r="H226" s="611">
        <v>2015</v>
      </c>
      <c r="I226" s="611">
        <v>2015</v>
      </c>
      <c r="J226" s="793"/>
      <c r="K226" s="793"/>
      <c r="L226" s="792"/>
      <c r="M226" s="728"/>
      <c r="N226" s="792"/>
      <c r="O226" s="792">
        <f t="shared" si="24"/>
        <v>2015</v>
      </c>
      <c r="P226" s="619">
        <f t="shared" si="32"/>
        <v>42186</v>
      </c>
      <c r="Q226" s="764">
        <f t="shared" si="26"/>
        <v>42101</v>
      </c>
      <c r="R226" s="619">
        <f t="shared" si="27"/>
        <v>-85</v>
      </c>
      <c r="S226" s="530">
        <f t="shared" si="28"/>
        <v>-0.2327173169062286</v>
      </c>
      <c r="V226" s="527" t="s">
        <v>1869</v>
      </c>
      <c r="W226" s="874">
        <v>41988</v>
      </c>
      <c r="Y226" s="843" t="s">
        <v>2694</v>
      </c>
      <c r="Z226" s="874">
        <v>42101</v>
      </c>
      <c r="AA226" s="530">
        <f t="shared" si="31"/>
        <v>0.30937713894592744</v>
      </c>
      <c r="AB226" s="619">
        <f t="shared" si="29"/>
        <v>113</v>
      </c>
      <c r="AC226" s="530">
        <f t="shared" si="30"/>
        <v>0.30937713894592744</v>
      </c>
      <c r="AD226" s="795"/>
      <c r="AE226" s="795"/>
      <c r="AF226" s="795">
        <v>1</v>
      </c>
      <c r="AG226" s="795"/>
      <c r="AH226" s="611"/>
      <c r="AJ226" s="874"/>
      <c r="AK226" s="757"/>
      <c r="AL226" s="611"/>
      <c r="AM226" s="611"/>
      <c r="AN226" s="611"/>
      <c r="AO226" s="611"/>
    </row>
    <row r="227" spans="1:41" x14ac:dyDescent="0.2">
      <c r="A227" s="527"/>
      <c r="B227" s="807" t="s">
        <v>2111</v>
      </c>
      <c r="C227" s="527" t="s">
        <v>2048</v>
      </c>
      <c r="D227" s="851" t="s">
        <v>224</v>
      </c>
      <c r="E227" s="611"/>
      <c r="F227" s="611" t="s">
        <v>1274</v>
      </c>
      <c r="G227" s="611" t="s">
        <v>2366</v>
      </c>
      <c r="H227" s="611">
        <v>2014</v>
      </c>
      <c r="I227" s="611">
        <v>2015</v>
      </c>
      <c r="J227" s="793"/>
      <c r="K227" s="793">
        <v>1</v>
      </c>
      <c r="O227" s="792">
        <f t="shared" si="24"/>
        <v>2014</v>
      </c>
      <c r="P227" s="619">
        <f t="shared" si="32"/>
        <v>41821</v>
      </c>
      <c r="Q227" s="764">
        <f t="shared" si="26"/>
        <v>42427</v>
      </c>
      <c r="R227" s="619">
        <f t="shared" si="27"/>
        <v>606</v>
      </c>
      <c r="S227" s="530">
        <f t="shared" si="28"/>
        <v>1.6591375770020533</v>
      </c>
      <c r="V227" s="614" t="s">
        <v>2111</v>
      </c>
      <c r="W227" s="874">
        <v>41866</v>
      </c>
      <c r="Y227" s="877" t="s">
        <v>2694</v>
      </c>
      <c r="Z227" s="874">
        <v>42427</v>
      </c>
      <c r="AA227" s="530">
        <f t="shared" si="31"/>
        <v>1.5359342915811087</v>
      </c>
      <c r="AB227" s="619">
        <f t="shared" si="29"/>
        <v>561</v>
      </c>
      <c r="AC227" s="530">
        <f t="shared" si="30"/>
        <v>1.5359342915811087</v>
      </c>
      <c r="AD227" s="795"/>
      <c r="AE227" s="795"/>
      <c r="AF227" s="795">
        <v>1</v>
      </c>
      <c r="AG227" s="795"/>
      <c r="AJ227" s="874"/>
    </row>
    <row r="228" spans="1:41" x14ac:dyDescent="0.2">
      <c r="A228" s="527"/>
      <c r="B228" s="807" t="s">
        <v>2115</v>
      </c>
      <c r="C228" s="527" t="s">
        <v>855</v>
      </c>
      <c r="D228" s="851" t="s">
        <v>224</v>
      </c>
      <c r="E228" s="611" t="s">
        <v>2306</v>
      </c>
      <c r="F228" s="611" t="s">
        <v>1274</v>
      </c>
      <c r="G228" s="611"/>
      <c r="H228" s="611">
        <v>2011</v>
      </c>
      <c r="I228" s="611"/>
      <c r="J228" s="793">
        <v>1</v>
      </c>
      <c r="K228" s="793"/>
      <c r="L228" s="792">
        <v>1</v>
      </c>
      <c r="M228" s="728"/>
      <c r="N228" s="792"/>
      <c r="O228" s="792">
        <f t="shared" si="24"/>
        <v>2011</v>
      </c>
      <c r="P228" s="619">
        <f t="shared" si="32"/>
        <v>40725</v>
      </c>
      <c r="Q228" s="764">
        <f t="shared" si="26"/>
        <v>42504</v>
      </c>
      <c r="R228" s="619">
        <f t="shared" si="27"/>
        <v>1779</v>
      </c>
      <c r="S228" s="530">
        <f t="shared" si="28"/>
        <v>4.8706365503080082</v>
      </c>
      <c r="T228" s="611" t="s">
        <v>855</v>
      </c>
      <c r="U228" s="611"/>
      <c r="V228" s="527" t="s">
        <v>2115</v>
      </c>
      <c r="W228" s="874">
        <v>40558</v>
      </c>
      <c r="Y228" s="843" t="s">
        <v>2694</v>
      </c>
      <c r="Z228" s="874">
        <v>42504</v>
      </c>
      <c r="AA228" s="530">
        <f t="shared" si="31"/>
        <v>5.3278576317590689</v>
      </c>
      <c r="AB228" s="619">
        <f t="shared" si="29"/>
        <v>1946</v>
      </c>
      <c r="AC228" s="530">
        <f t="shared" si="30"/>
        <v>5.3278576317590689</v>
      </c>
      <c r="AD228" s="795"/>
      <c r="AE228" s="795"/>
      <c r="AF228" s="795">
        <v>1</v>
      </c>
      <c r="AG228" s="795"/>
      <c r="AH228" s="611"/>
      <c r="AJ228" s="874"/>
      <c r="AK228" s="757"/>
      <c r="AL228" s="611"/>
      <c r="AM228" s="611"/>
      <c r="AN228" s="611"/>
      <c r="AO228" s="611"/>
    </row>
    <row r="229" spans="1:41" x14ac:dyDescent="0.2">
      <c r="A229" s="527"/>
      <c r="B229" s="807" t="s">
        <v>2200</v>
      </c>
      <c r="C229" s="527" t="s">
        <v>2295</v>
      </c>
      <c r="D229" s="851" t="s">
        <v>224</v>
      </c>
      <c r="E229" s="611" t="s">
        <v>2369</v>
      </c>
      <c r="F229" s="611" t="s">
        <v>1274</v>
      </c>
      <c r="G229" s="611" t="s">
        <v>2317</v>
      </c>
      <c r="H229" s="611">
        <v>2015</v>
      </c>
      <c r="I229" s="611">
        <v>2016</v>
      </c>
      <c r="J229" s="793"/>
      <c r="K229" s="793"/>
      <c r="L229" s="792"/>
      <c r="M229" s="728"/>
      <c r="N229" s="792"/>
      <c r="O229" s="792">
        <f t="shared" si="24"/>
        <v>2015</v>
      </c>
      <c r="P229" s="619">
        <f t="shared" si="32"/>
        <v>42186</v>
      </c>
      <c r="Q229" s="764">
        <f t="shared" si="26"/>
        <v>42541</v>
      </c>
      <c r="R229" s="619">
        <f t="shared" si="27"/>
        <v>355</v>
      </c>
      <c r="S229" s="530">
        <f t="shared" si="28"/>
        <v>0.97193702943189597</v>
      </c>
      <c r="V229" s="527" t="s">
        <v>2200</v>
      </c>
      <c r="W229" s="874">
        <v>42323</v>
      </c>
      <c r="Y229" s="843" t="s">
        <v>2694</v>
      </c>
      <c r="Z229" s="874">
        <v>42541</v>
      </c>
      <c r="AA229" s="530">
        <f t="shared" si="31"/>
        <v>0.59685147159479812</v>
      </c>
      <c r="AB229" s="619">
        <f t="shared" si="29"/>
        <v>218</v>
      </c>
      <c r="AC229" s="530">
        <f t="shared" si="30"/>
        <v>0.59685147159479812</v>
      </c>
      <c r="AD229" s="795"/>
      <c r="AE229" s="795"/>
      <c r="AF229" s="795">
        <v>1</v>
      </c>
      <c r="AG229" s="795"/>
      <c r="AH229" s="611"/>
      <c r="AJ229" s="874"/>
      <c r="AK229" s="757"/>
      <c r="AL229" s="611"/>
      <c r="AM229" s="611"/>
      <c r="AN229" s="611"/>
      <c r="AO229" s="611"/>
    </row>
    <row r="230" spans="1:41" x14ac:dyDescent="0.2">
      <c r="A230" s="527"/>
      <c r="B230" s="807" t="s">
        <v>2281</v>
      </c>
      <c r="D230" s="851" t="s">
        <v>224</v>
      </c>
      <c r="E230" s="611" t="s">
        <v>2466</v>
      </c>
      <c r="F230" s="611" t="s">
        <v>1274</v>
      </c>
      <c r="G230" s="611" t="s">
        <v>1786</v>
      </c>
      <c r="I230" s="611">
        <v>2016</v>
      </c>
      <c r="J230" s="794"/>
      <c r="K230" s="794"/>
      <c r="O230" s="792">
        <f t="shared" si="24"/>
        <v>2016</v>
      </c>
      <c r="P230" s="619">
        <f t="shared" si="32"/>
        <v>42552</v>
      </c>
      <c r="Q230" s="764">
        <f t="shared" si="26"/>
        <v>42780</v>
      </c>
      <c r="R230" s="619">
        <f t="shared" si="27"/>
        <v>228</v>
      </c>
      <c r="S230" s="530">
        <f t="shared" si="28"/>
        <v>0.62422997946611913</v>
      </c>
      <c r="T230" s="527" t="s">
        <v>2552</v>
      </c>
      <c r="V230" s="614" t="s">
        <v>2281</v>
      </c>
      <c r="W230" s="874">
        <v>42658</v>
      </c>
      <c r="Y230" s="843" t="s">
        <v>2694</v>
      </c>
      <c r="Z230" s="874">
        <v>42780</v>
      </c>
      <c r="AA230" s="530">
        <f t="shared" si="31"/>
        <v>0.33401779603011633</v>
      </c>
      <c r="AB230" s="619">
        <f t="shared" si="29"/>
        <v>122</v>
      </c>
      <c r="AC230" s="530">
        <f t="shared" si="30"/>
        <v>0.33401779603011633</v>
      </c>
      <c r="AD230" s="795"/>
      <c r="AE230" s="795"/>
      <c r="AF230" s="795">
        <v>1</v>
      </c>
      <c r="AG230" s="795"/>
      <c r="AH230" s="611"/>
      <c r="AJ230" s="874"/>
      <c r="AK230" s="757"/>
      <c r="AL230" s="611"/>
      <c r="AM230" s="611"/>
      <c r="AN230" s="611"/>
      <c r="AO230" s="611"/>
    </row>
    <row r="231" spans="1:41" x14ac:dyDescent="0.2">
      <c r="A231" s="527"/>
      <c r="B231" s="807" t="s">
        <v>2282</v>
      </c>
      <c r="D231" s="851" t="s">
        <v>224</v>
      </c>
      <c r="E231" s="611" t="s">
        <v>2467</v>
      </c>
      <c r="F231" s="611" t="s">
        <v>1274</v>
      </c>
      <c r="G231" s="611" t="s">
        <v>1786</v>
      </c>
      <c r="I231" s="611">
        <v>2016</v>
      </c>
      <c r="J231" s="794">
        <v>1</v>
      </c>
      <c r="K231" s="794"/>
      <c r="O231" s="792">
        <f t="shared" si="24"/>
        <v>2016</v>
      </c>
      <c r="P231" s="619">
        <f t="shared" si="32"/>
        <v>42552</v>
      </c>
      <c r="Q231" s="764">
        <f t="shared" si="26"/>
        <v>42780</v>
      </c>
      <c r="R231" s="619">
        <f t="shared" si="27"/>
        <v>228</v>
      </c>
      <c r="S231" s="530">
        <f t="shared" si="28"/>
        <v>0.62422997946611913</v>
      </c>
      <c r="T231" s="527" t="s">
        <v>2551</v>
      </c>
      <c r="V231" s="527" t="s">
        <v>2282</v>
      </c>
      <c r="W231" s="874">
        <v>42658</v>
      </c>
      <c r="Y231" s="843" t="s">
        <v>2694</v>
      </c>
      <c r="Z231" s="874">
        <v>42780</v>
      </c>
      <c r="AA231" s="530">
        <f t="shared" si="31"/>
        <v>0.33401779603011633</v>
      </c>
      <c r="AB231" s="619">
        <f t="shared" si="29"/>
        <v>122</v>
      </c>
      <c r="AC231" s="530">
        <f t="shared" si="30"/>
        <v>0.33401779603011633</v>
      </c>
      <c r="AD231" s="795"/>
      <c r="AE231" s="795"/>
      <c r="AF231" s="795">
        <v>1</v>
      </c>
      <c r="AG231" s="795"/>
      <c r="AH231" s="611"/>
      <c r="AJ231" s="874"/>
      <c r="AK231" s="757"/>
      <c r="AL231" s="611"/>
      <c r="AM231" s="611"/>
      <c r="AN231" s="611"/>
      <c r="AO231" s="611"/>
    </row>
    <row r="232" spans="1:41" x14ac:dyDescent="0.2">
      <c r="A232" s="527"/>
      <c r="B232" s="807" t="s">
        <v>2280</v>
      </c>
      <c r="D232" s="851" t="s">
        <v>224</v>
      </c>
      <c r="E232" s="611" t="s">
        <v>2475</v>
      </c>
      <c r="F232" s="611" t="s">
        <v>1274</v>
      </c>
      <c r="G232" s="611" t="s">
        <v>2333</v>
      </c>
      <c r="H232" s="527">
        <v>2016</v>
      </c>
      <c r="I232" s="611"/>
      <c r="J232" s="793">
        <v>1</v>
      </c>
      <c r="K232" s="793"/>
      <c r="L232" s="613">
        <v>1</v>
      </c>
      <c r="M232" s="533" t="s">
        <v>2470</v>
      </c>
      <c r="O232" s="792">
        <f t="shared" si="24"/>
        <v>2016</v>
      </c>
      <c r="P232" s="619">
        <f t="shared" si="32"/>
        <v>42552</v>
      </c>
      <c r="Q232" s="764">
        <f t="shared" si="26"/>
        <v>42780</v>
      </c>
      <c r="R232" s="619">
        <f t="shared" si="27"/>
        <v>228</v>
      </c>
      <c r="S232" s="530">
        <f t="shared" si="28"/>
        <v>0.62422997946611913</v>
      </c>
      <c r="T232" s="527" t="s">
        <v>496</v>
      </c>
      <c r="V232" s="527" t="s">
        <v>2280</v>
      </c>
      <c r="W232" s="874">
        <v>42597</v>
      </c>
      <c r="Y232" s="843" t="s">
        <v>2694</v>
      </c>
      <c r="Z232" s="874">
        <v>42780</v>
      </c>
      <c r="AA232" s="530">
        <f t="shared" si="31"/>
        <v>0.50102669404517453</v>
      </c>
      <c r="AB232" s="619">
        <f t="shared" si="29"/>
        <v>183</v>
      </c>
      <c r="AC232" s="530">
        <f t="shared" si="30"/>
        <v>0.50102669404517453</v>
      </c>
      <c r="AD232" s="795"/>
      <c r="AE232" s="795"/>
      <c r="AF232" s="795">
        <v>1</v>
      </c>
      <c r="AG232" s="795"/>
      <c r="AH232" s="611"/>
      <c r="AI232" s="807"/>
      <c r="AJ232" s="874"/>
      <c r="AK232" s="757"/>
      <c r="AL232" s="611"/>
      <c r="AM232" s="611"/>
      <c r="AN232" s="611"/>
      <c r="AO232" s="611"/>
    </row>
    <row r="233" spans="1:41" x14ac:dyDescent="0.2">
      <c r="A233" s="527"/>
      <c r="B233" s="807" t="s">
        <v>2395</v>
      </c>
      <c r="D233" s="851" t="s">
        <v>224</v>
      </c>
      <c r="E233" s="611" t="s">
        <v>2475</v>
      </c>
      <c r="F233" s="611" t="s">
        <v>1274</v>
      </c>
      <c r="G233" s="611"/>
      <c r="H233" s="527">
        <v>2016</v>
      </c>
      <c r="I233" s="527">
        <v>2016</v>
      </c>
      <c r="J233" s="793">
        <v>1</v>
      </c>
      <c r="K233" s="793">
        <v>1</v>
      </c>
      <c r="L233" s="613">
        <v>1</v>
      </c>
      <c r="M233" s="533" t="s">
        <v>2470</v>
      </c>
      <c r="O233" s="792">
        <f t="shared" si="24"/>
        <v>2016</v>
      </c>
      <c r="P233" s="619">
        <f t="shared" si="32"/>
        <v>42552</v>
      </c>
      <c r="Q233" s="764">
        <f t="shared" si="26"/>
        <v>42797</v>
      </c>
      <c r="R233" s="619">
        <f t="shared" si="27"/>
        <v>245</v>
      </c>
      <c r="S233" s="530">
        <f t="shared" si="28"/>
        <v>0.67077344284736484</v>
      </c>
      <c r="T233" s="527" t="s">
        <v>496</v>
      </c>
      <c r="V233" s="527" t="s">
        <v>2395</v>
      </c>
      <c r="W233" s="874">
        <v>42658</v>
      </c>
      <c r="Y233" s="843" t="s">
        <v>2694</v>
      </c>
      <c r="Z233" s="874">
        <v>42797</v>
      </c>
      <c r="AA233" s="530">
        <f t="shared" si="31"/>
        <v>0.3805612594113621</v>
      </c>
      <c r="AB233" s="619">
        <f t="shared" si="29"/>
        <v>139</v>
      </c>
      <c r="AC233" s="530">
        <f t="shared" si="30"/>
        <v>0.3805612594113621</v>
      </c>
      <c r="AD233" s="795"/>
      <c r="AE233" s="795"/>
      <c r="AF233" s="795">
        <v>1</v>
      </c>
      <c r="AG233" s="795"/>
      <c r="AH233" s="611"/>
      <c r="AI233" s="807"/>
      <c r="AJ233" s="874"/>
      <c r="AK233" s="757"/>
      <c r="AL233" s="611"/>
      <c r="AM233" s="611"/>
      <c r="AN233" s="611"/>
      <c r="AO233" s="611"/>
    </row>
    <row r="234" spans="1:41" x14ac:dyDescent="0.2">
      <c r="A234" s="527"/>
      <c r="B234" s="807" t="s">
        <v>2416</v>
      </c>
      <c r="D234" s="851" t="s">
        <v>224</v>
      </c>
      <c r="E234" s="611" t="s">
        <v>2476</v>
      </c>
      <c r="F234" s="611" t="s">
        <v>1274</v>
      </c>
      <c r="G234" s="611" t="s">
        <v>2477</v>
      </c>
      <c r="H234" s="527">
        <v>2016</v>
      </c>
      <c r="I234" s="527">
        <v>2016</v>
      </c>
      <c r="J234" s="793">
        <v>1</v>
      </c>
      <c r="K234" s="793">
        <v>1</v>
      </c>
      <c r="L234" s="613">
        <v>1</v>
      </c>
      <c r="M234" s="533" t="s">
        <v>2607</v>
      </c>
      <c r="O234" s="792">
        <f t="shared" si="24"/>
        <v>2016</v>
      </c>
      <c r="P234" s="619">
        <f t="shared" si="32"/>
        <v>42552</v>
      </c>
      <c r="Q234" s="764">
        <f t="shared" si="26"/>
        <v>42851</v>
      </c>
      <c r="R234" s="619">
        <f t="shared" si="27"/>
        <v>299</v>
      </c>
      <c r="S234" s="530">
        <f t="shared" si="28"/>
        <v>0.81861738535249828</v>
      </c>
      <c r="T234" s="527" t="s">
        <v>496</v>
      </c>
      <c r="V234" s="527" t="s">
        <v>2416</v>
      </c>
      <c r="W234" s="874">
        <v>42597</v>
      </c>
      <c r="Y234" s="843" t="s">
        <v>2694</v>
      </c>
      <c r="Z234" s="874">
        <v>42851</v>
      </c>
      <c r="AA234" s="530">
        <f t="shared" si="31"/>
        <v>0.69541409993155368</v>
      </c>
      <c r="AB234" s="619">
        <f t="shared" si="29"/>
        <v>254</v>
      </c>
      <c r="AC234" s="530">
        <f t="shared" si="30"/>
        <v>0.69541409993155368</v>
      </c>
      <c r="AD234" s="795"/>
      <c r="AE234" s="795"/>
      <c r="AF234" s="795">
        <v>1</v>
      </c>
      <c r="AG234" s="795"/>
      <c r="AH234" s="611"/>
      <c r="AI234" s="807"/>
      <c r="AJ234" s="874"/>
      <c r="AK234" s="757"/>
      <c r="AL234" s="611"/>
      <c r="AM234" s="611"/>
      <c r="AN234" s="611"/>
      <c r="AO234" s="611"/>
    </row>
    <row r="235" spans="1:41" x14ac:dyDescent="0.2">
      <c r="A235" s="527"/>
      <c r="B235" s="807" t="s">
        <v>2450</v>
      </c>
      <c r="D235" s="851" t="s">
        <v>224</v>
      </c>
      <c r="E235" s="611" t="s">
        <v>2608</v>
      </c>
      <c r="F235" s="611" t="s">
        <v>1274</v>
      </c>
      <c r="G235" s="611" t="s">
        <v>2319</v>
      </c>
      <c r="H235" s="527">
        <v>2016</v>
      </c>
      <c r="I235" s="527">
        <v>2017</v>
      </c>
      <c r="J235" s="793">
        <v>1</v>
      </c>
      <c r="K235" s="793">
        <v>1</v>
      </c>
      <c r="L235" s="613">
        <v>1</v>
      </c>
      <c r="M235" s="533" t="s">
        <v>2470</v>
      </c>
      <c r="O235" s="792">
        <f t="shared" si="24"/>
        <v>2016</v>
      </c>
      <c r="P235" s="619">
        <f t="shared" si="32"/>
        <v>42552</v>
      </c>
      <c r="Q235" s="764">
        <f t="shared" si="26"/>
        <v>42989</v>
      </c>
      <c r="R235" s="619">
        <f t="shared" si="27"/>
        <v>437</v>
      </c>
      <c r="S235" s="530">
        <f t="shared" si="28"/>
        <v>1.1964407939767283</v>
      </c>
      <c r="T235" s="527" t="s">
        <v>496</v>
      </c>
      <c r="V235" s="527" t="s">
        <v>2450</v>
      </c>
      <c r="W235" s="874">
        <v>42597</v>
      </c>
      <c r="Y235" s="843" t="s">
        <v>2694</v>
      </c>
      <c r="Z235" s="874">
        <v>42989</v>
      </c>
      <c r="AA235" s="530">
        <f t="shared" si="31"/>
        <v>1.0732375085557837</v>
      </c>
      <c r="AB235" s="619">
        <f t="shared" si="29"/>
        <v>392</v>
      </c>
      <c r="AC235" s="530">
        <f t="shared" si="30"/>
        <v>1.0732375085557837</v>
      </c>
      <c r="AD235" s="795"/>
      <c r="AE235" s="795"/>
      <c r="AF235" s="795">
        <v>1</v>
      </c>
      <c r="AG235" s="795"/>
      <c r="AH235" s="611"/>
      <c r="AI235" s="807"/>
      <c r="AJ235" s="874"/>
      <c r="AK235" s="757"/>
      <c r="AL235" s="611"/>
      <c r="AM235" s="611"/>
      <c r="AN235" s="611"/>
      <c r="AO235" s="611"/>
    </row>
    <row r="236" spans="1:41" x14ac:dyDescent="0.2">
      <c r="A236" s="527"/>
      <c r="B236" s="807" t="s">
        <v>2451</v>
      </c>
      <c r="D236" s="851" t="s">
        <v>224</v>
      </c>
      <c r="E236" s="611" t="s">
        <v>2608</v>
      </c>
      <c r="F236" s="611" t="s">
        <v>1274</v>
      </c>
      <c r="G236" s="611" t="s">
        <v>2319</v>
      </c>
      <c r="H236" s="527">
        <v>2016</v>
      </c>
      <c r="I236" s="527">
        <v>2017</v>
      </c>
      <c r="J236" s="793">
        <v>1</v>
      </c>
      <c r="K236" s="793">
        <v>1</v>
      </c>
      <c r="L236" s="613">
        <v>1</v>
      </c>
      <c r="M236" s="533" t="s">
        <v>2470</v>
      </c>
      <c r="O236" s="792">
        <f t="shared" si="24"/>
        <v>2016</v>
      </c>
      <c r="P236" s="619">
        <f t="shared" si="32"/>
        <v>42552</v>
      </c>
      <c r="Q236" s="764">
        <f t="shared" si="26"/>
        <v>42989</v>
      </c>
      <c r="R236" s="619">
        <f t="shared" si="27"/>
        <v>437</v>
      </c>
      <c r="S236" s="530">
        <f t="shared" si="28"/>
        <v>1.1964407939767283</v>
      </c>
      <c r="T236" s="527" t="s">
        <v>496</v>
      </c>
      <c r="V236" s="527" t="s">
        <v>2451</v>
      </c>
      <c r="W236" s="874">
        <v>42689</v>
      </c>
      <c r="Y236" s="843" t="s">
        <v>2694</v>
      </c>
      <c r="Z236" s="874">
        <v>42989</v>
      </c>
      <c r="AA236" s="530">
        <f t="shared" si="31"/>
        <v>0.82135523613963035</v>
      </c>
      <c r="AB236" s="619">
        <f t="shared" si="29"/>
        <v>300</v>
      </c>
      <c r="AC236" s="530">
        <f t="shared" si="30"/>
        <v>0.82135523613963035</v>
      </c>
      <c r="AD236" s="795"/>
      <c r="AE236" s="795"/>
      <c r="AF236" s="795">
        <v>1</v>
      </c>
      <c r="AG236" s="795"/>
      <c r="AH236" s="611"/>
      <c r="AI236" s="807"/>
      <c r="AJ236" s="874"/>
      <c r="AK236" s="757"/>
      <c r="AL236" s="611"/>
      <c r="AM236" s="611"/>
      <c r="AN236" s="611"/>
      <c r="AO236" s="611"/>
    </row>
    <row r="237" spans="1:41" x14ac:dyDescent="0.2">
      <c r="A237" s="527"/>
      <c r="B237" s="807" t="s">
        <v>2495</v>
      </c>
      <c r="D237" s="851" t="s">
        <v>224</v>
      </c>
      <c r="E237" s="611" t="s">
        <v>2317</v>
      </c>
      <c r="F237" s="611" t="s">
        <v>1274</v>
      </c>
      <c r="G237" s="611" t="s">
        <v>2319</v>
      </c>
      <c r="H237" s="527">
        <v>2016</v>
      </c>
      <c r="I237" s="527">
        <v>2016</v>
      </c>
      <c r="J237" s="793"/>
      <c r="K237" s="793">
        <v>1</v>
      </c>
      <c r="L237" s="613">
        <v>1</v>
      </c>
      <c r="M237" s="533" t="s">
        <v>2470</v>
      </c>
      <c r="O237" s="792">
        <f t="shared" si="24"/>
        <v>2016</v>
      </c>
      <c r="P237" s="619">
        <f t="shared" si="32"/>
        <v>42552</v>
      </c>
      <c r="Q237" s="764">
        <f t="shared" si="26"/>
        <v>42989</v>
      </c>
      <c r="R237" s="619">
        <f t="shared" si="27"/>
        <v>437</v>
      </c>
      <c r="S237" s="530">
        <f t="shared" si="28"/>
        <v>1.1964407939767283</v>
      </c>
      <c r="T237" s="527" t="s">
        <v>495</v>
      </c>
      <c r="V237" s="527" t="s">
        <v>2495</v>
      </c>
      <c r="W237" s="874">
        <v>42597</v>
      </c>
      <c r="Y237" s="843" t="s">
        <v>2694</v>
      </c>
      <c r="Z237" s="874">
        <v>42989</v>
      </c>
      <c r="AA237" s="530">
        <f t="shared" si="31"/>
        <v>1.0732375085557837</v>
      </c>
      <c r="AB237" s="619">
        <f t="shared" si="29"/>
        <v>392</v>
      </c>
      <c r="AC237" s="530">
        <f t="shared" si="30"/>
        <v>1.0732375085557837</v>
      </c>
      <c r="AD237" s="795"/>
      <c r="AE237" s="795"/>
      <c r="AF237" s="795">
        <v>1</v>
      </c>
      <c r="AG237" s="795"/>
      <c r="AH237" s="611"/>
      <c r="AI237" s="807"/>
      <c r="AJ237" s="874"/>
      <c r="AK237" s="757"/>
      <c r="AL237" s="611"/>
      <c r="AM237" s="611"/>
      <c r="AN237" s="611"/>
      <c r="AO237" s="611"/>
    </row>
    <row r="238" spans="1:41" x14ac:dyDescent="0.2">
      <c r="A238" s="527"/>
      <c r="B238" s="807" t="s">
        <v>2521</v>
      </c>
      <c r="D238" s="851" t="s">
        <v>224</v>
      </c>
      <c r="E238" s="611" t="s">
        <v>2527</v>
      </c>
      <c r="F238" s="611" t="s">
        <v>1274</v>
      </c>
      <c r="G238" s="611" t="s">
        <v>2317</v>
      </c>
      <c r="H238" s="527">
        <v>2017</v>
      </c>
      <c r="I238" s="527">
        <v>2017</v>
      </c>
      <c r="J238" s="793"/>
      <c r="K238" s="793"/>
      <c r="O238" s="792">
        <f t="shared" si="24"/>
        <v>2017</v>
      </c>
      <c r="P238" s="619">
        <f t="shared" si="32"/>
        <v>42917</v>
      </c>
      <c r="Q238" s="764">
        <f t="shared" si="26"/>
        <v>43054</v>
      </c>
      <c r="R238" s="619">
        <f t="shared" si="27"/>
        <v>137</v>
      </c>
      <c r="S238" s="530">
        <f t="shared" si="28"/>
        <v>0.3750855578370979</v>
      </c>
      <c r="T238" s="527" t="s">
        <v>496</v>
      </c>
      <c r="V238" s="527" t="s">
        <v>2521</v>
      </c>
      <c r="W238" s="874">
        <v>42809</v>
      </c>
      <c r="Y238" s="843" t="s">
        <v>2694</v>
      </c>
      <c r="Z238" s="874">
        <v>43054</v>
      </c>
      <c r="AA238" s="530">
        <f t="shared" si="31"/>
        <v>0.67077344284736484</v>
      </c>
      <c r="AB238" s="619">
        <f t="shared" si="29"/>
        <v>245</v>
      </c>
      <c r="AC238" s="530">
        <f t="shared" si="30"/>
        <v>0.67077344284736484</v>
      </c>
      <c r="AD238" s="795"/>
      <c r="AE238" s="795"/>
      <c r="AF238" s="795">
        <v>1</v>
      </c>
      <c r="AG238" s="795"/>
      <c r="AH238" s="611"/>
      <c r="AJ238" s="874"/>
      <c r="AK238" s="757"/>
      <c r="AL238" s="611"/>
      <c r="AM238" s="611"/>
      <c r="AN238" s="611"/>
      <c r="AO238" s="611"/>
    </row>
    <row r="239" spans="1:41" x14ac:dyDescent="0.2">
      <c r="A239" s="527"/>
      <c r="B239" s="807" t="s">
        <v>2562</v>
      </c>
      <c r="D239" s="851" t="s">
        <v>224</v>
      </c>
      <c r="E239" s="611" t="s">
        <v>2605</v>
      </c>
      <c r="F239" s="611" t="s">
        <v>1274</v>
      </c>
      <c r="G239" s="860"/>
      <c r="H239" s="527">
        <v>2016</v>
      </c>
      <c r="J239" s="793">
        <v>1</v>
      </c>
      <c r="K239" s="793"/>
      <c r="L239" s="613">
        <v>1</v>
      </c>
      <c r="O239" s="792">
        <f t="shared" si="24"/>
        <v>2016</v>
      </c>
      <c r="P239" s="619">
        <f t="shared" ref="P239:P260" si="33">DATE(O239,7,1)</f>
        <v>42552</v>
      </c>
      <c r="Q239" s="764">
        <f t="shared" si="26"/>
        <v>43122</v>
      </c>
      <c r="R239" s="619">
        <f t="shared" si="27"/>
        <v>570</v>
      </c>
      <c r="S239" s="530">
        <f t="shared" si="28"/>
        <v>1.5605749486652978</v>
      </c>
      <c r="T239" s="527" t="s">
        <v>496</v>
      </c>
      <c r="U239" s="611"/>
      <c r="V239" s="527" t="s">
        <v>2562</v>
      </c>
      <c r="W239" s="874">
        <v>42475</v>
      </c>
      <c r="Y239" s="843" t="s">
        <v>2694</v>
      </c>
      <c r="Z239" s="874">
        <v>43122</v>
      </c>
      <c r="AA239" s="530">
        <f t="shared" si="31"/>
        <v>1.7713894592744694</v>
      </c>
      <c r="AB239" s="619">
        <f t="shared" si="29"/>
        <v>647</v>
      </c>
      <c r="AC239" s="530">
        <f t="shared" si="30"/>
        <v>1.7713894592744694</v>
      </c>
      <c r="AD239" s="795"/>
      <c r="AE239" s="795"/>
      <c r="AF239" s="795">
        <v>1</v>
      </c>
      <c r="AG239" s="795"/>
      <c r="AH239" s="611"/>
      <c r="AJ239" s="874"/>
      <c r="AK239" s="757"/>
      <c r="AL239" s="611"/>
      <c r="AM239" s="611"/>
      <c r="AN239" s="611"/>
      <c r="AO239" s="611"/>
    </row>
    <row r="240" spans="1:41" x14ac:dyDescent="0.2">
      <c r="A240" s="527"/>
      <c r="B240" s="807" t="s">
        <v>2570</v>
      </c>
      <c r="D240" s="851" t="s">
        <v>224</v>
      </c>
      <c r="E240" s="611" t="s">
        <v>2323</v>
      </c>
      <c r="F240" s="611" t="s">
        <v>1274</v>
      </c>
      <c r="G240" s="611" t="s">
        <v>2317</v>
      </c>
      <c r="H240" s="527">
        <v>2017</v>
      </c>
      <c r="I240" s="527">
        <v>2017</v>
      </c>
      <c r="J240" s="793"/>
      <c r="K240" s="793"/>
      <c r="M240" s="533" t="s">
        <v>2470</v>
      </c>
      <c r="O240" s="792">
        <f t="shared" si="24"/>
        <v>2017</v>
      </c>
      <c r="P240" s="619">
        <f t="shared" si="33"/>
        <v>42917</v>
      </c>
      <c r="Q240" s="764">
        <f t="shared" si="26"/>
        <v>43186</v>
      </c>
      <c r="R240" s="619">
        <f t="shared" si="27"/>
        <v>269</v>
      </c>
      <c r="S240" s="530">
        <f t="shared" si="28"/>
        <v>0.73648186173853525</v>
      </c>
      <c r="T240" s="611" t="s">
        <v>496</v>
      </c>
      <c r="V240" s="527" t="s">
        <v>2570</v>
      </c>
      <c r="W240" s="874">
        <v>42809</v>
      </c>
      <c r="Y240" s="843" t="s">
        <v>2694</v>
      </c>
      <c r="Z240" s="874">
        <v>43186</v>
      </c>
      <c r="AA240" s="530">
        <f t="shared" si="31"/>
        <v>1.0321697467488022</v>
      </c>
      <c r="AB240" s="619">
        <f t="shared" si="29"/>
        <v>377</v>
      </c>
      <c r="AC240" s="530">
        <f t="shared" si="30"/>
        <v>1.0321697467488022</v>
      </c>
      <c r="AD240" s="795"/>
      <c r="AE240" s="795"/>
      <c r="AF240" s="795">
        <v>1</v>
      </c>
      <c r="AG240" s="795"/>
      <c r="AH240" s="611"/>
      <c r="AJ240" s="874"/>
      <c r="AK240" s="757"/>
      <c r="AL240" s="611"/>
      <c r="AM240" s="611"/>
      <c r="AN240" s="611"/>
      <c r="AO240" s="611"/>
    </row>
    <row r="241" spans="1:41" ht="15.75" x14ac:dyDescent="0.25">
      <c r="A241" s="728"/>
      <c r="B241" s="527" t="s">
        <v>2702</v>
      </c>
      <c r="C241" s="861" t="s">
        <v>2704</v>
      </c>
      <c r="D241" s="851" t="s">
        <v>224</v>
      </c>
      <c r="E241" s="861" t="s">
        <v>2703</v>
      </c>
      <c r="F241" s="611" t="s">
        <v>1274</v>
      </c>
      <c r="H241" s="527">
        <v>2018</v>
      </c>
      <c r="I241" s="527">
        <v>2018</v>
      </c>
      <c r="J241" s="613">
        <v>1</v>
      </c>
      <c r="L241" s="613">
        <v>1</v>
      </c>
      <c r="O241" s="792">
        <f t="shared" si="24"/>
        <v>2018</v>
      </c>
      <c r="P241" s="619">
        <f t="shared" si="33"/>
        <v>43282</v>
      </c>
      <c r="Q241" s="764">
        <f t="shared" si="26"/>
        <v>43505</v>
      </c>
      <c r="R241" s="619">
        <f t="shared" si="27"/>
        <v>223</v>
      </c>
      <c r="S241" s="530">
        <f t="shared" si="28"/>
        <v>0.61054072553045857</v>
      </c>
      <c r="T241" s="861" t="s">
        <v>2704</v>
      </c>
      <c r="V241" s="527" t="s">
        <v>2666</v>
      </c>
      <c r="W241" s="874">
        <v>43419</v>
      </c>
      <c r="Y241" s="843" t="s">
        <v>2694</v>
      </c>
      <c r="Z241" s="874">
        <v>43505</v>
      </c>
      <c r="AA241" s="530">
        <f t="shared" si="31"/>
        <v>0.23545516769336072</v>
      </c>
      <c r="AB241" s="619">
        <f t="shared" si="29"/>
        <v>86</v>
      </c>
      <c r="AC241" s="530">
        <f t="shared" si="30"/>
        <v>0.23545516769336072</v>
      </c>
      <c r="AD241" s="795"/>
      <c r="AE241" s="795"/>
      <c r="AF241" s="795">
        <v>1</v>
      </c>
      <c r="AG241" s="795"/>
      <c r="AH241" s="611"/>
      <c r="AJ241" s="874"/>
      <c r="AK241" s="757"/>
      <c r="AL241" s="611"/>
      <c r="AM241" s="611"/>
      <c r="AN241" s="611"/>
      <c r="AO241" s="611"/>
    </row>
    <row r="242" spans="1:41" x14ac:dyDescent="0.2">
      <c r="A242" s="527"/>
      <c r="B242" s="527" t="s">
        <v>2668</v>
      </c>
      <c r="D242" s="611" t="s">
        <v>224</v>
      </c>
      <c r="E242" s="611" t="s">
        <v>2712</v>
      </c>
      <c r="G242" s="611" t="s">
        <v>2340</v>
      </c>
      <c r="H242" s="527">
        <v>2018</v>
      </c>
      <c r="I242" s="527">
        <v>2018</v>
      </c>
      <c r="J242" s="613">
        <v>1</v>
      </c>
      <c r="K242" s="613">
        <v>1</v>
      </c>
      <c r="M242" s="533" t="s">
        <v>2470</v>
      </c>
      <c r="O242" s="792">
        <f t="shared" si="24"/>
        <v>2018</v>
      </c>
      <c r="P242" s="619">
        <f t="shared" si="33"/>
        <v>43282</v>
      </c>
      <c r="Q242" s="764">
        <f t="shared" si="26"/>
        <v>43505</v>
      </c>
      <c r="R242" s="619">
        <f t="shared" si="27"/>
        <v>223</v>
      </c>
      <c r="S242" s="530">
        <f t="shared" si="28"/>
        <v>0.61054072553045857</v>
      </c>
      <c r="V242" s="527" t="s">
        <v>2668</v>
      </c>
      <c r="W242" s="874">
        <v>43388</v>
      </c>
      <c r="Y242" s="843" t="s">
        <v>2694</v>
      </c>
      <c r="Z242" s="874">
        <v>43505</v>
      </c>
      <c r="AA242" s="530">
        <f t="shared" si="31"/>
        <v>0.32032854209445583</v>
      </c>
      <c r="AB242" s="619">
        <f t="shared" si="29"/>
        <v>117</v>
      </c>
      <c r="AC242" s="530">
        <f t="shared" si="30"/>
        <v>0.32032854209445583</v>
      </c>
      <c r="AD242" s="795"/>
      <c r="AE242" s="795"/>
      <c r="AF242" s="795">
        <v>1</v>
      </c>
      <c r="AG242" s="795"/>
      <c r="AH242" s="611"/>
      <c r="AJ242" s="874"/>
      <c r="AK242" s="757"/>
      <c r="AL242" s="611"/>
      <c r="AM242" s="611"/>
      <c r="AN242" s="611"/>
      <c r="AO242" s="611"/>
    </row>
    <row r="243" spans="1:41" x14ac:dyDescent="0.2">
      <c r="A243" s="527"/>
      <c r="B243" s="527" t="s">
        <v>2669</v>
      </c>
      <c r="D243" s="611" t="s">
        <v>224</v>
      </c>
      <c r="E243" s="611" t="s">
        <v>2714</v>
      </c>
      <c r="G243" s="611" t="s">
        <v>2713</v>
      </c>
      <c r="H243" s="527">
        <v>2017</v>
      </c>
      <c r="I243" s="527">
        <v>2017</v>
      </c>
      <c r="K243" s="613">
        <v>1</v>
      </c>
      <c r="O243" s="792">
        <f t="shared" si="24"/>
        <v>2017</v>
      </c>
      <c r="P243" s="619">
        <f t="shared" si="33"/>
        <v>42917</v>
      </c>
      <c r="Q243" s="764">
        <f t="shared" si="26"/>
        <v>43505</v>
      </c>
      <c r="R243" s="619">
        <f t="shared" si="27"/>
        <v>588</v>
      </c>
      <c r="S243" s="530">
        <f t="shared" si="28"/>
        <v>1.6098562628336757</v>
      </c>
      <c r="V243" s="527" t="s">
        <v>2669</v>
      </c>
      <c r="W243" s="874">
        <v>42993</v>
      </c>
      <c r="Y243" s="843" t="s">
        <v>2694</v>
      </c>
      <c r="Z243" s="874">
        <v>43505</v>
      </c>
      <c r="AA243" s="530">
        <f t="shared" si="31"/>
        <v>1.4017796030116358</v>
      </c>
      <c r="AB243" s="619">
        <f t="shared" si="29"/>
        <v>512</v>
      </c>
      <c r="AC243" s="530">
        <f t="shared" si="30"/>
        <v>1.4017796030116358</v>
      </c>
      <c r="AD243" s="795"/>
      <c r="AE243" s="795"/>
      <c r="AF243" s="795">
        <v>1</v>
      </c>
      <c r="AG243" s="795"/>
      <c r="AH243" s="611"/>
      <c r="AJ243" s="874"/>
      <c r="AK243" s="757"/>
      <c r="AL243" s="611"/>
      <c r="AM243" s="611"/>
      <c r="AN243" s="611"/>
      <c r="AO243" s="611"/>
    </row>
    <row r="244" spans="1:41" x14ac:dyDescent="0.2">
      <c r="A244" s="527"/>
      <c r="B244" s="527" t="s">
        <v>2670</v>
      </c>
      <c r="D244" s="611" t="s">
        <v>224</v>
      </c>
      <c r="E244" s="611" t="s">
        <v>2716</v>
      </c>
      <c r="G244" s="611" t="s">
        <v>2715</v>
      </c>
      <c r="H244" s="527">
        <v>2017</v>
      </c>
      <c r="I244" s="527">
        <v>2017</v>
      </c>
      <c r="K244" s="613">
        <v>1</v>
      </c>
      <c r="O244" s="792">
        <f t="shared" si="24"/>
        <v>2017</v>
      </c>
      <c r="P244" s="619">
        <f t="shared" si="33"/>
        <v>42917</v>
      </c>
      <c r="Q244" s="764">
        <f t="shared" si="26"/>
        <v>43505</v>
      </c>
      <c r="R244" s="619">
        <f t="shared" si="27"/>
        <v>588</v>
      </c>
      <c r="S244" s="530">
        <f t="shared" si="28"/>
        <v>1.6098562628336757</v>
      </c>
      <c r="V244" s="527" t="s">
        <v>2670</v>
      </c>
      <c r="W244" s="874">
        <v>43388</v>
      </c>
      <c r="Y244" s="843" t="s">
        <v>2694</v>
      </c>
      <c r="Z244" s="874">
        <v>43505</v>
      </c>
      <c r="AA244" s="530">
        <f t="shared" si="31"/>
        <v>0.32032854209445583</v>
      </c>
      <c r="AB244" s="619">
        <f t="shared" si="29"/>
        <v>117</v>
      </c>
      <c r="AC244" s="530">
        <f t="shared" si="30"/>
        <v>0.32032854209445583</v>
      </c>
      <c r="AD244" s="795"/>
      <c r="AE244" s="795"/>
      <c r="AF244" s="795">
        <v>1</v>
      </c>
      <c r="AG244" s="795"/>
      <c r="AH244" s="611"/>
      <c r="AJ244" s="874"/>
      <c r="AK244" s="757"/>
      <c r="AL244" s="611"/>
      <c r="AM244" s="611"/>
      <c r="AN244" s="611"/>
      <c r="AO244" s="611"/>
    </row>
    <row r="245" spans="1:41" x14ac:dyDescent="0.2">
      <c r="A245" s="728"/>
      <c r="B245" s="807" t="s">
        <v>2479</v>
      </c>
      <c r="C245" s="611"/>
      <c r="D245" s="851" t="s">
        <v>224</v>
      </c>
      <c r="E245" s="611" t="s">
        <v>2484</v>
      </c>
      <c r="F245" s="611" t="s">
        <v>1274</v>
      </c>
      <c r="G245" s="611"/>
      <c r="H245" s="611">
        <v>1999</v>
      </c>
      <c r="I245" s="611"/>
      <c r="J245" s="793">
        <v>1</v>
      </c>
      <c r="K245" s="793"/>
      <c r="L245" s="792">
        <v>1</v>
      </c>
      <c r="M245" s="728"/>
      <c r="N245" s="792"/>
      <c r="O245" s="792">
        <f t="shared" si="24"/>
        <v>1999</v>
      </c>
      <c r="P245" s="619">
        <f t="shared" si="33"/>
        <v>36342</v>
      </c>
      <c r="Q245" s="764">
        <f t="shared" si="26"/>
        <v>39169</v>
      </c>
      <c r="R245" s="619">
        <f t="shared" si="27"/>
        <v>2827</v>
      </c>
      <c r="S245" s="530">
        <f t="shared" si="28"/>
        <v>7.73990417522245</v>
      </c>
      <c r="T245" s="611" t="s">
        <v>495</v>
      </c>
      <c r="U245" s="611"/>
      <c r="V245" s="527" t="s">
        <v>1260</v>
      </c>
      <c r="W245" s="874">
        <v>36342</v>
      </c>
      <c r="X245" s="873"/>
      <c r="Y245" s="866" t="s">
        <v>316</v>
      </c>
      <c r="Z245" s="874">
        <v>39169</v>
      </c>
      <c r="AA245" s="530">
        <f t="shared" si="31"/>
        <v>7.73990417522245</v>
      </c>
      <c r="AB245" s="619">
        <f t="shared" si="29"/>
        <v>2827</v>
      </c>
      <c r="AC245" s="530">
        <f t="shared" si="30"/>
        <v>7.73990417522245</v>
      </c>
      <c r="AD245" s="795"/>
      <c r="AE245" s="795">
        <v>1</v>
      </c>
      <c r="AF245" s="795"/>
      <c r="AG245" s="795"/>
      <c r="AH245" s="611"/>
      <c r="AJ245" s="874"/>
      <c r="AK245" s="757"/>
      <c r="AL245" s="611"/>
      <c r="AM245" s="611"/>
      <c r="AN245" s="611"/>
      <c r="AO245" s="611"/>
    </row>
    <row r="246" spans="1:41" x14ac:dyDescent="0.2">
      <c r="A246" s="728"/>
      <c r="B246" s="807" t="s">
        <v>1887</v>
      </c>
      <c r="C246" s="611" t="s">
        <v>2065</v>
      </c>
      <c r="D246" s="851" t="s">
        <v>224</v>
      </c>
      <c r="E246" s="611" t="s">
        <v>2321</v>
      </c>
      <c r="F246" s="611" t="s">
        <v>1274</v>
      </c>
      <c r="G246" s="611" t="s">
        <v>2319</v>
      </c>
      <c r="H246" s="611">
        <v>2005</v>
      </c>
      <c r="I246" s="611">
        <v>2007</v>
      </c>
      <c r="J246" s="793">
        <v>1</v>
      </c>
      <c r="K246" s="793">
        <v>1</v>
      </c>
      <c r="L246" s="613">
        <v>0</v>
      </c>
      <c r="O246" s="792">
        <f t="shared" si="24"/>
        <v>2005</v>
      </c>
      <c r="P246" s="619">
        <f t="shared" si="33"/>
        <v>38534</v>
      </c>
      <c r="Q246" s="764">
        <f t="shared" si="26"/>
        <v>39461</v>
      </c>
      <c r="R246" s="619">
        <f t="shared" si="27"/>
        <v>927</v>
      </c>
      <c r="S246" s="530">
        <f t="shared" si="28"/>
        <v>2.537987679671458</v>
      </c>
      <c r="T246" s="611"/>
      <c r="U246" s="611"/>
      <c r="V246" s="527" t="s">
        <v>1887</v>
      </c>
      <c r="W246" s="874">
        <v>38534</v>
      </c>
      <c r="X246" s="873"/>
      <c r="Y246" s="843" t="s">
        <v>316</v>
      </c>
      <c r="Z246" s="874">
        <v>39461</v>
      </c>
      <c r="AA246" s="530">
        <f t="shared" si="31"/>
        <v>2.537987679671458</v>
      </c>
      <c r="AB246" s="619">
        <f t="shared" si="29"/>
        <v>927</v>
      </c>
      <c r="AC246" s="530">
        <f t="shared" si="30"/>
        <v>2.537987679671458</v>
      </c>
      <c r="AD246" s="795"/>
      <c r="AE246" s="795">
        <v>1</v>
      </c>
      <c r="AF246" s="795"/>
      <c r="AG246" s="795"/>
      <c r="AH246" s="611"/>
      <c r="AJ246" s="874"/>
      <c r="AK246" s="757"/>
      <c r="AL246" s="611"/>
      <c r="AM246" s="611"/>
      <c r="AN246" s="611"/>
      <c r="AO246" s="611"/>
    </row>
    <row r="247" spans="1:41" x14ac:dyDescent="0.2">
      <c r="A247" s="728"/>
      <c r="B247" s="807" t="s">
        <v>1916</v>
      </c>
      <c r="C247" s="611" t="s">
        <v>2071</v>
      </c>
      <c r="D247" s="851" t="s">
        <v>224</v>
      </c>
      <c r="E247" s="611"/>
      <c r="F247" s="611" t="s">
        <v>1274</v>
      </c>
      <c r="G247" s="611" t="s">
        <v>2315</v>
      </c>
      <c r="H247" s="611">
        <v>2007</v>
      </c>
      <c r="I247" s="611">
        <v>2008</v>
      </c>
      <c r="J247" s="793"/>
      <c r="K247" s="794">
        <v>1</v>
      </c>
      <c r="L247" s="613">
        <v>0</v>
      </c>
      <c r="O247" s="792">
        <f t="shared" si="24"/>
        <v>2007</v>
      </c>
      <c r="P247" s="619">
        <f t="shared" si="33"/>
        <v>39264</v>
      </c>
      <c r="Q247" s="764">
        <f t="shared" si="26"/>
        <v>39694</v>
      </c>
      <c r="R247" s="619">
        <f t="shared" si="27"/>
        <v>430</v>
      </c>
      <c r="S247" s="530">
        <f t="shared" si="28"/>
        <v>1.1772758384668036</v>
      </c>
      <c r="T247" s="611"/>
      <c r="U247" s="611"/>
      <c r="V247" s="614" t="s">
        <v>1916</v>
      </c>
      <c r="W247" s="874">
        <v>38899</v>
      </c>
      <c r="Y247" s="877" t="s">
        <v>316</v>
      </c>
      <c r="Z247" s="874">
        <v>39694</v>
      </c>
      <c r="AA247" s="530">
        <f t="shared" si="31"/>
        <v>2.1765913757700206</v>
      </c>
      <c r="AB247" s="619">
        <f t="shared" si="29"/>
        <v>795</v>
      </c>
      <c r="AC247" s="530">
        <f t="shared" si="30"/>
        <v>2.1765913757700206</v>
      </c>
      <c r="AD247" s="795"/>
      <c r="AE247" s="795">
        <v>1</v>
      </c>
      <c r="AF247" s="795"/>
      <c r="AG247" s="795"/>
      <c r="AJ247" s="874"/>
    </row>
    <row r="248" spans="1:41" x14ac:dyDescent="0.2">
      <c r="A248" s="728"/>
      <c r="B248" s="807" t="s">
        <v>1914</v>
      </c>
      <c r="C248" s="611" t="s">
        <v>2067</v>
      </c>
      <c r="D248" s="851" t="s">
        <v>224</v>
      </c>
      <c r="E248" s="611" t="s">
        <v>2323</v>
      </c>
      <c r="F248" s="611" t="s">
        <v>1274</v>
      </c>
      <c r="G248" s="611" t="s">
        <v>2320</v>
      </c>
      <c r="H248" s="611">
        <v>2007</v>
      </c>
      <c r="I248" s="611">
        <v>2007</v>
      </c>
      <c r="J248" s="793"/>
      <c r="K248" s="794">
        <v>1</v>
      </c>
      <c r="L248" s="613">
        <v>0</v>
      </c>
      <c r="O248" s="792">
        <f t="shared" si="24"/>
        <v>2007</v>
      </c>
      <c r="P248" s="619">
        <f t="shared" si="33"/>
        <v>39264</v>
      </c>
      <c r="Q248" s="764">
        <f t="shared" si="26"/>
        <v>39694</v>
      </c>
      <c r="R248" s="619">
        <f t="shared" si="27"/>
        <v>430</v>
      </c>
      <c r="S248" s="530">
        <f t="shared" si="28"/>
        <v>1.1772758384668036</v>
      </c>
      <c r="T248" s="611"/>
      <c r="U248" s="611"/>
      <c r="V248" s="527" t="s">
        <v>1914</v>
      </c>
      <c r="W248" s="874">
        <v>39264</v>
      </c>
      <c r="Y248" s="877" t="s">
        <v>316</v>
      </c>
      <c r="Z248" s="874">
        <v>39694</v>
      </c>
      <c r="AA248" s="530">
        <f t="shared" si="31"/>
        <v>1.1772758384668036</v>
      </c>
      <c r="AB248" s="619">
        <f t="shared" si="29"/>
        <v>430</v>
      </c>
      <c r="AC248" s="530">
        <f t="shared" si="30"/>
        <v>1.1772758384668036</v>
      </c>
      <c r="AD248" s="795"/>
      <c r="AE248" s="795">
        <v>1</v>
      </c>
      <c r="AF248" s="795"/>
      <c r="AG248" s="795"/>
      <c r="AJ248" s="874"/>
    </row>
    <row r="249" spans="1:41" x14ac:dyDescent="0.2">
      <c r="A249" s="728"/>
      <c r="B249" s="807" t="s">
        <v>1924</v>
      </c>
      <c r="C249" s="611" t="s">
        <v>2072</v>
      </c>
      <c r="D249" s="851" t="s">
        <v>224</v>
      </c>
      <c r="E249" s="611" t="s">
        <v>2328</v>
      </c>
      <c r="F249" s="611" t="s">
        <v>1274</v>
      </c>
      <c r="G249" s="611" t="s">
        <v>2319</v>
      </c>
      <c r="H249" s="611">
        <v>2009</v>
      </c>
      <c r="I249" s="611">
        <v>2010</v>
      </c>
      <c r="J249" s="793"/>
      <c r="K249" s="793">
        <v>1</v>
      </c>
      <c r="L249" s="792">
        <v>0</v>
      </c>
      <c r="M249" s="728"/>
      <c r="N249" s="792"/>
      <c r="O249" s="792">
        <f t="shared" si="24"/>
        <v>2009</v>
      </c>
      <c r="P249" s="619">
        <f t="shared" si="33"/>
        <v>39995</v>
      </c>
      <c r="Q249" s="764">
        <f t="shared" si="26"/>
        <v>40648</v>
      </c>
      <c r="R249" s="619">
        <f t="shared" si="27"/>
        <v>653</v>
      </c>
      <c r="S249" s="530">
        <f t="shared" si="28"/>
        <v>1.7878165639972621</v>
      </c>
      <c r="T249" s="611"/>
      <c r="U249" s="611"/>
      <c r="V249" s="527" t="s">
        <v>1924</v>
      </c>
      <c r="W249" s="874">
        <v>39995</v>
      </c>
      <c r="Y249" s="843" t="s">
        <v>316</v>
      </c>
      <c r="Z249" s="874">
        <v>40648</v>
      </c>
      <c r="AA249" s="530">
        <f t="shared" si="31"/>
        <v>1.7878165639972621</v>
      </c>
      <c r="AB249" s="619">
        <f t="shared" si="29"/>
        <v>653</v>
      </c>
      <c r="AC249" s="530">
        <f t="shared" si="30"/>
        <v>1.7878165639972621</v>
      </c>
      <c r="AD249" s="795"/>
      <c r="AE249" s="795">
        <v>1</v>
      </c>
      <c r="AF249" s="795"/>
      <c r="AG249" s="795"/>
      <c r="AH249" s="611"/>
      <c r="AJ249" s="874"/>
      <c r="AK249" s="757"/>
      <c r="AL249" s="611"/>
      <c r="AM249" s="611"/>
      <c r="AN249" s="611"/>
      <c r="AO249" s="611"/>
    </row>
    <row r="250" spans="1:41" x14ac:dyDescent="0.2">
      <c r="A250" s="728"/>
      <c r="B250" s="807" t="s">
        <v>1928</v>
      </c>
      <c r="C250" s="611" t="s">
        <v>2072</v>
      </c>
      <c r="D250" s="851" t="s">
        <v>224</v>
      </c>
      <c r="E250" s="611" t="s">
        <v>2328</v>
      </c>
      <c r="F250" s="611" t="s">
        <v>1274</v>
      </c>
      <c r="G250" s="611" t="s">
        <v>2335</v>
      </c>
      <c r="H250" s="611">
        <v>2010</v>
      </c>
      <c r="I250" s="611">
        <v>2010</v>
      </c>
      <c r="J250" s="793"/>
      <c r="K250" s="793">
        <v>1</v>
      </c>
      <c r="L250" s="792">
        <v>0</v>
      </c>
      <c r="M250" s="728"/>
      <c r="N250" s="792"/>
      <c r="O250" s="792">
        <f t="shared" si="24"/>
        <v>2010</v>
      </c>
      <c r="P250" s="619">
        <f t="shared" si="33"/>
        <v>40360</v>
      </c>
      <c r="Q250" s="764">
        <f t="shared" si="26"/>
        <v>40648</v>
      </c>
      <c r="R250" s="619">
        <f t="shared" si="27"/>
        <v>288</v>
      </c>
      <c r="S250" s="530">
        <f t="shared" si="28"/>
        <v>0.7885010266940452</v>
      </c>
      <c r="T250" s="611"/>
      <c r="U250" s="611"/>
      <c r="V250" s="527" t="s">
        <v>1928</v>
      </c>
      <c r="W250" s="874">
        <v>40360</v>
      </c>
      <c r="X250" s="873"/>
      <c r="Y250" s="843" t="s">
        <v>316</v>
      </c>
      <c r="Z250" s="874">
        <v>40648</v>
      </c>
      <c r="AA250" s="530">
        <f t="shared" si="31"/>
        <v>0.7885010266940452</v>
      </c>
      <c r="AB250" s="619">
        <f t="shared" si="29"/>
        <v>288</v>
      </c>
      <c r="AC250" s="530">
        <f t="shared" si="30"/>
        <v>0.7885010266940452</v>
      </c>
      <c r="AD250" s="795"/>
      <c r="AE250" s="795">
        <v>1</v>
      </c>
      <c r="AF250" s="795"/>
      <c r="AG250" s="795"/>
      <c r="AH250" s="611"/>
      <c r="AJ250" s="874"/>
      <c r="AK250" s="757"/>
      <c r="AL250" s="611"/>
      <c r="AM250" s="611"/>
      <c r="AN250" s="611"/>
      <c r="AO250" s="611"/>
    </row>
    <row r="251" spans="1:41" x14ac:dyDescent="0.2">
      <c r="A251" s="728"/>
      <c r="B251" s="807" t="s">
        <v>1931</v>
      </c>
      <c r="C251" s="611" t="s">
        <v>2057</v>
      </c>
      <c r="D251" s="851" t="s">
        <v>224</v>
      </c>
      <c r="E251" s="611" t="s">
        <v>2334</v>
      </c>
      <c r="F251" s="611" t="s">
        <v>1274</v>
      </c>
      <c r="G251" s="611" t="s">
        <v>2336</v>
      </c>
      <c r="H251" s="611">
        <v>2010</v>
      </c>
      <c r="I251" s="611">
        <v>2010</v>
      </c>
      <c r="J251" s="793">
        <v>1</v>
      </c>
      <c r="K251" s="793">
        <v>1</v>
      </c>
      <c r="L251" s="792">
        <v>0</v>
      </c>
      <c r="M251" s="728"/>
      <c r="N251" s="792"/>
      <c r="O251" s="792">
        <f t="shared" si="24"/>
        <v>2010</v>
      </c>
      <c r="P251" s="619">
        <f t="shared" si="33"/>
        <v>40360</v>
      </c>
      <c r="Q251" s="764">
        <f t="shared" si="26"/>
        <v>40712</v>
      </c>
      <c r="R251" s="619">
        <f t="shared" si="27"/>
        <v>352</v>
      </c>
      <c r="S251" s="530">
        <f t="shared" si="28"/>
        <v>0.96372347707049966</v>
      </c>
      <c r="T251" s="611"/>
      <c r="U251" s="611"/>
      <c r="V251" s="614" t="s">
        <v>1931</v>
      </c>
      <c r="W251" s="874">
        <v>40422</v>
      </c>
      <c r="X251" s="873"/>
      <c r="Y251" s="843" t="s">
        <v>316</v>
      </c>
      <c r="Z251" s="874">
        <v>40712</v>
      </c>
      <c r="AA251" s="530">
        <f t="shared" si="31"/>
        <v>0.79397672826830934</v>
      </c>
      <c r="AB251" s="619">
        <f t="shared" si="29"/>
        <v>290</v>
      </c>
      <c r="AC251" s="530">
        <f t="shared" si="30"/>
        <v>0.79397672826830934</v>
      </c>
      <c r="AD251" s="795"/>
      <c r="AE251" s="795">
        <v>1</v>
      </c>
      <c r="AF251" s="795"/>
      <c r="AG251" s="795"/>
      <c r="AH251" s="611"/>
      <c r="AJ251" s="874"/>
      <c r="AK251" s="757"/>
      <c r="AL251" s="611"/>
      <c r="AM251" s="611"/>
      <c r="AN251" s="611"/>
      <c r="AO251" s="611"/>
    </row>
    <row r="252" spans="1:41" x14ac:dyDescent="0.2">
      <c r="A252" s="728"/>
      <c r="B252" s="807" t="s">
        <v>1930</v>
      </c>
      <c r="C252" s="611" t="s">
        <v>2059</v>
      </c>
      <c r="D252" s="851" t="s">
        <v>224</v>
      </c>
      <c r="E252" s="611" t="s">
        <v>2317</v>
      </c>
      <c r="F252" s="611" t="s">
        <v>1274</v>
      </c>
      <c r="G252" s="611" t="s">
        <v>2315</v>
      </c>
      <c r="H252" s="611">
        <v>2010</v>
      </c>
      <c r="I252" s="611">
        <v>2010</v>
      </c>
      <c r="J252" s="793"/>
      <c r="K252" s="793">
        <v>1</v>
      </c>
      <c r="L252" s="792">
        <v>0</v>
      </c>
      <c r="M252" s="728"/>
      <c r="N252" s="792"/>
      <c r="O252" s="792">
        <f t="shared" si="24"/>
        <v>2010</v>
      </c>
      <c r="P252" s="619">
        <f t="shared" si="33"/>
        <v>40360</v>
      </c>
      <c r="Q252" s="764">
        <f t="shared" si="26"/>
        <v>40893</v>
      </c>
      <c r="R252" s="619">
        <f t="shared" si="27"/>
        <v>533</v>
      </c>
      <c r="S252" s="530">
        <f t="shared" si="28"/>
        <v>1.4592744695414099</v>
      </c>
      <c r="T252" s="611"/>
      <c r="U252" s="611"/>
      <c r="V252" s="614" t="s">
        <v>1930</v>
      </c>
      <c r="W252" s="874">
        <v>40360</v>
      </c>
      <c r="X252" s="873"/>
      <c r="Y252" s="843" t="s">
        <v>316</v>
      </c>
      <c r="Z252" s="874">
        <v>40893</v>
      </c>
      <c r="AA252" s="530">
        <f t="shared" si="31"/>
        <v>1.4592744695414099</v>
      </c>
      <c r="AB252" s="619">
        <f t="shared" si="29"/>
        <v>533</v>
      </c>
      <c r="AC252" s="530">
        <f t="shared" si="30"/>
        <v>1.4592744695414099</v>
      </c>
      <c r="AD252" s="795"/>
      <c r="AE252" s="795">
        <v>1</v>
      </c>
      <c r="AF252" s="795"/>
      <c r="AG252" s="795"/>
      <c r="AH252" s="611"/>
      <c r="AJ252" s="874"/>
      <c r="AK252" s="757"/>
      <c r="AL252" s="611"/>
      <c r="AM252" s="611"/>
      <c r="AN252" s="611"/>
      <c r="AO252" s="611"/>
    </row>
    <row r="253" spans="1:41" x14ac:dyDescent="0.2">
      <c r="A253" s="728"/>
      <c r="B253" s="807" t="s">
        <v>1947</v>
      </c>
      <c r="C253" s="611" t="s">
        <v>2054</v>
      </c>
      <c r="D253" s="851" t="s">
        <v>224</v>
      </c>
      <c r="E253" s="611" t="s">
        <v>2344</v>
      </c>
      <c r="F253" s="611" t="s">
        <v>1274</v>
      </c>
      <c r="G253" s="611"/>
      <c r="H253" s="611"/>
      <c r="I253" s="611">
        <v>2013</v>
      </c>
      <c r="J253" s="793">
        <v>1</v>
      </c>
      <c r="K253" s="793"/>
      <c r="L253" s="792">
        <v>0</v>
      </c>
      <c r="M253" s="728"/>
      <c r="N253" s="792"/>
      <c r="O253" s="792">
        <f t="shared" si="24"/>
        <v>2013</v>
      </c>
      <c r="P253" s="619">
        <f t="shared" si="33"/>
        <v>41456</v>
      </c>
      <c r="Q253" s="764">
        <f t="shared" si="26"/>
        <v>41561</v>
      </c>
      <c r="R253" s="619">
        <f t="shared" si="27"/>
        <v>105</v>
      </c>
      <c r="S253" s="530">
        <f t="shared" si="28"/>
        <v>0.28747433264887062</v>
      </c>
      <c r="T253" s="611"/>
      <c r="V253" s="614" t="s">
        <v>1947</v>
      </c>
      <c r="W253" s="874">
        <v>41456</v>
      </c>
      <c r="X253" s="873"/>
      <c r="Y253" s="843" t="s">
        <v>316</v>
      </c>
      <c r="Z253" s="874">
        <v>41561</v>
      </c>
      <c r="AA253" s="530">
        <f t="shared" si="31"/>
        <v>0.28747433264887062</v>
      </c>
      <c r="AB253" s="619">
        <f t="shared" si="29"/>
        <v>105</v>
      </c>
      <c r="AC253" s="530">
        <f t="shared" si="30"/>
        <v>0.28747433264887062</v>
      </c>
      <c r="AD253" s="795"/>
      <c r="AE253" s="795">
        <v>1</v>
      </c>
      <c r="AF253" s="795"/>
      <c r="AG253" s="795"/>
      <c r="AH253" s="611"/>
      <c r="AJ253" s="874"/>
      <c r="AK253" s="757"/>
      <c r="AL253" s="611"/>
      <c r="AM253" s="611"/>
      <c r="AN253" s="611"/>
      <c r="AO253" s="611"/>
    </row>
    <row r="254" spans="1:41" x14ac:dyDescent="0.2">
      <c r="A254" s="527"/>
      <c r="B254" s="807" t="s">
        <v>1962</v>
      </c>
      <c r="C254" s="527" t="s">
        <v>500</v>
      </c>
      <c r="D254" s="851" t="s">
        <v>224</v>
      </c>
      <c r="E254" s="611" t="s">
        <v>2350</v>
      </c>
      <c r="F254" s="611" t="s">
        <v>1274</v>
      </c>
      <c r="G254" s="611" t="s">
        <v>2319</v>
      </c>
      <c r="H254" s="611">
        <v>2013</v>
      </c>
      <c r="I254" s="611">
        <v>2014</v>
      </c>
      <c r="J254" s="793"/>
      <c r="K254" s="793">
        <v>1</v>
      </c>
      <c r="L254" s="613">
        <v>0</v>
      </c>
      <c r="O254" s="792">
        <f t="shared" si="24"/>
        <v>2013</v>
      </c>
      <c r="P254" s="619">
        <f t="shared" si="33"/>
        <v>41456</v>
      </c>
      <c r="Q254" s="764">
        <f t="shared" si="26"/>
        <v>41966</v>
      </c>
      <c r="R254" s="619">
        <f t="shared" si="27"/>
        <v>510</v>
      </c>
      <c r="S254" s="530">
        <f t="shared" si="28"/>
        <v>1.3963039014373717</v>
      </c>
      <c r="V254" s="614" t="s">
        <v>1962</v>
      </c>
      <c r="W254" s="874">
        <v>41456</v>
      </c>
      <c r="X254" s="873"/>
      <c r="Y254" s="843" t="s">
        <v>316</v>
      </c>
      <c r="Z254" s="874">
        <v>41966</v>
      </c>
      <c r="AA254" s="530">
        <f t="shared" si="31"/>
        <v>1.3963039014373717</v>
      </c>
      <c r="AB254" s="619">
        <f t="shared" si="29"/>
        <v>510</v>
      </c>
      <c r="AC254" s="530">
        <f t="shared" si="30"/>
        <v>1.3963039014373717</v>
      </c>
      <c r="AD254" s="795"/>
      <c r="AE254" s="795">
        <v>1</v>
      </c>
      <c r="AF254" s="795"/>
      <c r="AG254" s="795"/>
      <c r="AH254" s="611"/>
      <c r="AJ254" s="874"/>
      <c r="AK254" s="757"/>
      <c r="AL254" s="611"/>
      <c r="AM254" s="611"/>
      <c r="AN254" s="611"/>
      <c r="AO254" s="611"/>
    </row>
    <row r="255" spans="1:41" x14ac:dyDescent="0.2">
      <c r="A255" s="527"/>
      <c r="B255" s="807" t="s">
        <v>2103</v>
      </c>
      <c r="C255" s="527" t="s">
        <v>496</v>
      </c>
      <c r="D255" s="851" t="s">
        <v>224</v>
      </c>
      <c r="E255" s="611" t="s">
        <v>2328</v>
      </c>
      <c r="F255" s="611" t="s">
        <v>1274</v>
      </c>
      <c r="G255" s="611"/>
      <c r="H255" s="611">
        <v>2015</v>
      </c>
      <c r="I255" s="611"/>
      <c r="J255" s="793"/>
      <c r="K255" s="793"/>
      <c r="L255" s="792"/>
      <c r="M255" s="728"/>
      <c r="N255" s="792"/>
      <c r="O255" s="792">
        <f t="shared" si="24"/>
        <v>2015</v>
      </c>
      <c r="P255" s="619">
        <f t="shared" si="33"/>
        <v>42186</v>
      </c>
      <c r="Q255" s="764">
        <f t="shared" si="26"/>
        <v>42403</v>
      </c>
      <c r="R255" s="619">
        <f t="shared" si="27"/>
        <v>217</v>
      </c>
      <c r="S255" s="530">
        <f t="shared" si="28"/>
        <v>0.59411362080766594</v>
      </c>
      <c r="V255" s="614" t="s">
        <v>2103</v>
      </c>
      <c r="W255" s="874">
        <v>42186</v>
      </c>
      <c r="X255" s="873"/>
      <c r="Y255" s="843" t="s">
        <v>316</v>
      </c>
      <c r="Z255" s="874">
        <v>42403</v>
      </c>
      <c r="AA255" s="530">
        <f t="shared" si="31"/>
        <v>0.59411362080766594</v>
      </c>
      <c r="AB255" s="619">
        <f t="shared" si="29"/>
        <v>217</v>
      </c>
      <c r="AC255" s="530">
        <f t="shared" si="30"/>
        <v>0.59411362080766594</v>
      </c>
      <c r="AD255" s="795"/>
      <c r="AE255" s="795">
        <v>1</v>
      </c>
      <c r="AF255" s="795"/>
      <c r="AG255" s="795"/>
      <c r="AH255" s="611"/>
      <c r="AJ255" s="874"/>
      <c r="AK255" s="757"/>
      <c r="AL255" s="611"/>
      <c r="AM255" s="611"/>
      <c r="AN255" s="611"/>
      <c r="AO255" s="611"/>
    </row>
    <row r="256" spans="1:41" x14ac:dyDescent="0.2">
      <c r="A256" s="527"/>
      <c r="B256" s="807" t="s">
        <v>2218</v>
      </c>
      <c r="C256" s="527" t="s">
        <v>496</v>
      </c>
      <c r="D256" s="851" t="s">
        <v>224</v>
      </c>
      <c r="E256" s="611"/>
      <c r="F256" s="611" t="s">
        <v>1274</v>
      </c>
      <c r="G256" s="611" t="s">
        <v>2317</v>
      </c>
      <c r="H256" s="611">
        <v>2015</v>
      </c>
      <c r="I256" s="611">
        <v>2016</v>
      </c>
      <c r="J256" s="793"/>
      <c r="K256" s="793"/>
      <c r="L256" s="792"/>
      <c r="M256" s="728"/>
      <c r="N256" s="792"/>
      <c r="O256" s="792">
        <f t="shared" si="24"/>
        <v>2015</v>
      </c>
      <c r="P256" s="619">
        <f t="shared" si="33"/>
        <v>42186</v>
      </c>
      <c r="Q256" s="764">
        <f t="shared" si="26"/>
        <v>42653</v>
      </c>
      <c r="R256" s="619">
        <f t="shared" si="27"/>
        <v>467</v>
      </c>
      <c r="S256" s="530">
        <f t="shared" si="28"/>
        <v>1.2785763175906912</v>
      </c>
      <c r="V256" s="527" t="s">
        <v>2218</v>
      </c>
      <c r="W256" s="874">
        <v>42186</v>
      </c>
      <c r="X256" s="873"/>
      <c r="Y256" s="843" t="s">
        <v>316</v>
      </c>
      <c r="Z256" s="874">
        <v>42653</v>
      </c>
      <c r="AA256" s="530">
        <f t="shared" si="31"/>
        <v>1.2785763175906912</v>
      </c>
      <c r="AB256" s="619">
        <f t="shared" si="29"/>
        <v>467</v>
      </c>
      <c r="AC256" s="530">
        <f t="shared" si="30"/>
        <v>1.2785763175906912</v>
      </c>
      <c r="AD256" s="795"/>
      <c r="AE256" s="795">
        <v>1</v>
      </c>
      <c r="AF256" s="795"/>
      <c r="AG256" s="795"/>
      <c r="AH256" s="611"/>
      <c r="AJ256" s="874"/>
      <c r="AK256" s="757"/>
      <c r="AL256" s="611"/>
      <c r="AM256" s="611"/>
      <c r="AN256" s="611"/>
      <c r="AO256" s="611"/>
    </row>
    <row r="257" spans="1:41" x14ac:dyDescent="0.2">
      <c r="A257" s="527"/>
      <c r="B257" s="807" t="s">
        <v>2258</v>
      </c>
      <c r="C257" s="527" t="s">
        <v>496</v>
      </c>
      <c r="D257" s="851" t="s">
        <v>224</v>
      </c>
      <c r="E257" s="611"/>
      <c r="F257" s="611" t="s">
        <v>1274</v>
      </c>
      <c r="G257" s="611" t="s">
        <v>2317</v>
      </c>
      <c r="H257" s="611"/>
      <c r="I257" s="611">
        <v>2015</v>
      </c>
      <c r="J257" s="793"/>
      <c r="K257" s="793"/>
      <c r="L257" s="792"/>
      <c r="M257" s="728"/>
      <c r="N257" s="792"/>
      <c r="O257" s="792">
        <f t="shared" si="24"/>
        <v>2015</v>
      </c>
      <c r="P257" s="619">
        <f t="shared" si="33"/>
        <v>42186</v>
      </c>
      <c r="Q257" s="764">
        <f t="shared" si="26"/>
        <v>42721</v>
      </c>
      <c r="R257" s="619">
        <f t="shared" si="27"/>
        <v>535</v>
      </c>
      <c r="S257" s="530">
        <f t="shared" si="28"/>
        <v>1.4647501711156743</v>
      </c>
      <c r="T257" s="527" t="s">
        <v>496</v>
      </c>
      <c r="V257" s="527" t="s">
        <v>2258</v>
      </c>
      <c r="W257" s="874">
        <v>42186</v>
      </c>
      <c r="Y257" s="877" t="s">
        <v>316</v>
      </c>
      <c r="Z257" s="874">
        <v>42721</v>
      </c>
      <c r="AA257" s="530">
        <f t="shared" si="31"/>
        <v>1.4647501711156743</v>
      </c>
      <c r="AB257" s="619">
        <f t="shared" si="29"/>
        <v>535</v>
      </c>
      <c r="AC257" s="530">
        <f t="shared" si="30"/>
        <v>1.4647501711156743</v>
      </c>
      <c r="AD257" s="795"/>
      <c r="AE257" s="795">
        <v>1</v>
      </c>
      <c r="AF257" s="795"/>
      <c r="AG257" s="795"/>
      <c r="AJ257" s="874"/>
    </row>
    <row r="258" spans="1:41" x14ac:dyDescent="0.2">
      <c r="A258" s="527"/>
      <c r="B258" s="807" t="s">
        <v>2443</v>
      </c>
      <c r="D258" s="851" t="s">
        <v>224</v>
      </c>
      <c r="E258" s="611" t="s">
        <v>2475</v>
      </c>
      <c r="F258" s="611" t="s">
        <v>1274</v>
      </c>
      <c r="G258" s="611"/>
      <c r="H258" s="527">
        <v>2016</v>
      </c>
      <c r="I258" s="527">
        <v>2017</v>
      </c>
      <c r="J258" s="793">
        <v>1</v>
      </c>
      <c r="K258" s="793"/>
      <c r="L258" s="613">
        <v>1</v>
      </c>
      <c r="M258" s="533" t="s">
        <v>2470</v>
      </c>
      <c r="O258" s="792">
        <f t="shared" si="24"/>
        <v>2016</v>
      </c>
      <c r="P258" s="619">
        <f t="shared" si="33"/>
        <v>42552</v>
      </c>
      <c r="Q258" s="764">
        <f t="shared" si="26"/>
        <v>42947</v>
      </c>
      <c r="R258" s="619">
        <f t="shared" si="27"/>
        <v>395</v>
      </c>
      <c r="S258" s="530">
        <f t="shared" si="28"/>
        <v>1.0814510609171799</v>
      </c>
      <c r="T258" s="527" t="s">
        <v>496</v>
      </c>
      <c r="V258" s="527" t="s">
        <v>2443</v>
      </c>
      <c r="W258" s="874">
        <v>42552</v>
      </c>
      <c r="X258" s="873"/>
      <c r="Y258" s="843" t="s">
        <v>316</v>
      </c>
      <c r="Z258" s="874">
        <v>42947</v>
      </c>
      <c r="AA258" s="530">
        <f t="shared" si="31"/>
        <v>1.0814510609171799</v>
      </c>
      <c r="AB258" s="619">
        <f t="shared" si="29"/>
        <v>395</v>
      </c>
      <c r="AC258" s="530">
        <f t="shared" si="30"/>
        <v>1.0814510609171799</v>
      </c>
      <c r="AD258" s="795"/>
      <c r="AE258" s="795">
        <v>1</v>
      </c>
      <c r="AF258" s="795"/>
      <c r="AG258" s="795"/>
      <c r="AH258" s="611"/>
      <c r="AI258" s="807"/>
      <c r="AJ258" s="874"/>
      <c r="AK258" s="757"/>
      <c r="AL258" s="611"/>
      <c r="AM258" s="611"/>
      <c r="AN258" s="611"/>
      <c r="AO258" s="611"/>
    </row>
    <row r="259" spans="1:41" x14ac:dyDescent="0.2">
      <c r="A259" s="527"/>
      <c r="B259" s="533" t="s">
        <v>2657</v>
      </c>
      <c r="D259" s="611" t="s">
        <v>224</v>
      </c>
      <c r="E259" s="611" t="s">
        <v>2710</v>
      </c>
      <c r="G259" s="611" t="s">
        <v>2335</v>
      </c>
      <c r="H259" s="527">
        <v>2017</v>
      </c>
      <c r="I259" s="527">
        <v>2018</v>
      </c>
      <c r="K259" s="613">
        <v>1</v>
      </c>
      <c r="O259" s="792">
        <f t="shared" si="24"/>
        <v>2017</v>
      </c>
      <c r="P259" s="619">
        <f t="shared" si="33"/>
        <v>42917</v>
      </c>
      <c r="Q259" s="764">
        <f t="shared" si="26"/>
        <v>43440</v>
      </c>
      <c r="R259" s="619">
        <f t="shared" si="27"/>
        <v>523</v>
      </c>
      <c r="S259" s="530">
        <f t="shared" si="28"/>
        <v>1.431895961670089</v>
      </c>
      <c r="V259" s="527" t="s">
        <v>2657</v>
      </c>
      <c r="W259" s="874">
        <v>42840</v>
      </c>
      <c r="X259" s="873"/>
      <c r="Y259" s="843" t="s">
        <v>316</v>
      </c>
      <c r="Z259" s="874">
        <v>43440</v>
      </c>
      <c r="AA259" s="530">
        <f t="shared" si="31"/>
        <v>1.6427104722792607</v>
      </c>
      <c r="AB259" s="619">
        <f t="shared" si="29"/>
        <v>600</v>
      </c>
      <c r="AC259" s="530">
        <f t="shared" si="30"/>
        <v>1.6427104722792607</v>
      </c>
      <c r="AD259" s="795"/>
      <c r="AE259" s="795">
        <v>1</v>
      </c>
      <c r="AF259" s="795"/>
      <c r="AG259" s="795"/>
      <c r="AH259" s="611"/>
      <c r="AJ259" s="874"/>
      <c r="AK259" s="757"/>
      <c r="AL259" s="611"/>
      <c r="AM259" s="611"/>
      <c r="AN259" s="611"/>
      <c r="AO259" s="611"/>
    </row>
    <row r="260" spans="1:41" ht="15.75" x14ac:dyDescent="0.25">
      <c r="A260" s="728"/>
      <c r="B260" s="527" t="s">
        <v>2677</v>
      </c>
      <c r="C260" s="611" t="s">
        <v>496</v>
      </c>
      <c r="D260" s="851" t="s">
        <v>224</v>
      </c>
      <c r="E260" s="861" t="s">
        <v>2700</v>
      </c>
      <c r="F260" s="611" t="s">
        <v>1274</v>
      </c>
      <c r="G260" s="611"/>
      <c r="H260" s="527">
        <v>2015</v>
      </c>
      <c r="I260" s="527">
        <v>2015</v>
      </c>
      <c r="J260" s="793">
        <v>1</v>
      </c>
      <c r="K260" s="793">
        <v>1</v>
      </c>
      <c r="L260" s="613">
        <v>1</v>
      </c>
      <c r="M260" s="533" t="s">
        <v>2701</v>
      </c>
      <c r="O260" s="792">
        <f t="shared" si="24"/>
        <v>2015</v>
      </c>
      <c r="P260" s="619">
        <f t="shared" si="33"/>
        <v>42186</v>
      </c>
      <c r="Q260" s="764">
        <f t="shared" si="26"/>
        <v>43577</v>
      </c>
      <c r="R260" s="619">
        <f>Q260-P260</f>
        <v>1391</v>
      </c>
      <c r="S260" s="530">
        <f>R260/365.25</f>
        <v>3.808350444900753</v>
      </c>
      <c r="T260" s="611" t="s">
        <v>496</v>
      </c>
      <c r="V260" s="527" t="s">
        <v>2677</v>
      </c>
      <c r="W260" s="874">
        <v>42186</v>
      </c>
      <c r="X260" s="873"/>
      <c r="Y260" s="843" t="s">
        <v>316</v>
      </c>
      <c r="Z260" s="874">
        <v>43577</v>
      </c>
      <c r="AA260" s="530">
        <f t="shared" si="31"/>
        <v>3.808350444900753</v>
      </c>
      <c r="AB260" s="619">
        <f t="shared" si="29"/>
        <v>1391</v>
      </c>
      <c r="AC260" s="530">
        <f>AB260/365.25</f>
        <v>3.808350444900753</v>
      </c>
      <c r="AD260" s="795"/>
      <c r="AE260" s="795">
        <v>1</v>
      </c>
      <c r="AF260" s="795"/>
      <c r="AG260" s="795"/>
      <c r="AH260" s="611"/>
      <c r="AJ260" s="874"/>
      <c r="AK260" s="757"/>
      <c r="AL260" s="611"/>
      <c r="AM260" s="611"/>
      <c r="AN260" s="611"/>
      <c r="AO260" s="611"/>
    </row>
    <row r="261" spans="1:41" ht="15.75" x14ac:dyDescent="0.25">
      <c r="A261" s="728"/>
      <c r="C261" s="611"/>
      <c r="D261" s="851"/>
      <c r="E261" s="861"/>
      <c r="F261" s="611"/>
      <c r="G261" s="611"/>
      <c r="J261" s="793"/>
      <c r="K261" s="793"/>
      <c r="O261" s="792"/>
      <c r="P261" s="619"/>
      <c r="Q261" s="764"/>
      <c r="R261" s="619"/>
      <c r="S261" s="530"/>
      <c r="T261" s="611"/>
      <c r="W261" s="874"/>
      <c r="X261" s="873"/>
      <c r="Y261" s="843"/>
      <c r="Z261" s="874"/>
      <c r="AB261" s="619"/>
      <c r="AD261" s="795"/>
      <c r="AE261" s="795"/>
      <c r="AF261" s="795"/>
      <c r="AG261" s="795"/>
      <c r="AH261" s="611"/>
      <c r="AJ261" s="874"/>
      <c r="AK261" s="757"/>
      <c r="AL261" s="611"/>
      <c r="AM261" s="611"/>
      <c r="AN261" s="611"/>
      <c r="AO261" s="611"/>
    </row>
    <row r="262" spans="1:41" ht="15.75" x14ac:dyDescent="0.25">
      <c r="A262" s="728"/>
      <c r="C262" s="611"/>
      <c r="D262" s="851"/>
      <c r="E262" s="861"/>
      <c r="F262" s="611"/>
      <c r="G262" s="611"/>
      <c r="J262" s="793"/>
      <c r="K262" s="793"/>
      <c r="O262" s="792"/>
      <c r="P262" s="619"/>
      <c r="Q262" s="764"/>
      <c r="R262" s="619"/>
      <c r="S262" s="530"/>
      <c r="T262" s="611"/>
      <c r="W262" s="874"/>
      <c r="X262" s="873"/>
      <c r="Y262" s="843"/>
      <c r="Z262" s="874"/>
      <c r="AB262" s="619"/>
      <c r="AD262" s="795"/>
      <c r="AE262" s="795"/>
      <c r="AF262" s="795"/>
      <c r="AG262" s="795"/>
      <c r="AH262" s="611"/>
      <c r="AJ262" s="874"/>
      <c r="AK262" s="757"/>
      <c r="AL262" s="611"/>
      <c r="AM262" s="611"/>
      <c r="AN262" s="611"/>
      <c r="AO262" s="611"/>
    </row>
    <row r="263" spans="1:41" ht="15.75" x14ac:dyDescent="0.25">
      <c r="A263" s="728"/>
      <c r="C263" s="611"/>
      <c r="D263" s="851"/>
      <c r="E263" s="861"/>
      <c r="F263" s="611"/>
      <c r="G263" s="611"/>
      <c r="J263" s="793"/>
      <c r="K263" s="793"/>
      <c r="O263" s="792"/>
      <c r="P263" s="619"/>
      <c r="Q263" s="764"/>
      <c r="R263" s="619"/>
      <c r="S263" s="530"/>
      <c r="T263" s="611"/>
      <c r="W263" s="874"/>
      <c r="X263" s="873"/>
      <c r="Y263" s="843"/>
      <c r="Z263" s="874"/>
      <c r="AB263" s="619"/>
      <c r="AD263" s="795"/>
      <c r="AE263" s="795"/>
      <c r="AF263" s="795"/>
      <c r="AG263" s="795"/>
      <c r="AH263" s="611"/>
      <c r="AJ263" s="874"/>
      <c r="AK263" s="757"/>
      <c r="AL263" s="611"/>
      <c r="AM263" s="611"/>
      <c r="AN263" s="611"/>
      <c r="AO263" s="611"/>
    </row>
    <row r="264" spans="1:41" ht="15.75" x14ac:dyDescent="0.25">
      <c r="A264" s="728"/>
      <c r="C264" s="611"/>
      <c r="D264" s="851"/>
      <c r="E264" s="861"/>
      <c r="F264" s="611"/>
      <c r="G264" s="611"/>
      <c r="J264" s="793"/>
      <c r="K264" s="793"/>
      <c r="O264" s="792"/>
      <c r="P264" s="619"/>
      <c r="Q264" s="764"/>
      <c r="R264" s="619"/>
      <c r="S264" s="530"/>
      <c r="T264" s="611"/>
      <c r="W264" s="874"/>
      <c r="X264" s="873"/>
      <c r="Y264" s="843"/>
      <c r="Z264" s="874"/>
      <c r="AB264" s="619"/>
      <c r="AD264" s="795"/>
      <c r="AE264" s="795"/>
      <c r="AF264" s="795"/>
      <c r="AG264" s="795"/>
      <c r="AH264" s="611"/>
      <c r="AJ264" s="874"/>
      <c r="AK264" s="757"/>
      <c r="AL264" s="611"/>
      <c r="AM264" s="611"/>
      <c r="AN264" s="611"/>
      <c r="AO264" s="611"/>
    </row>
    <row r="265" spans="1:41" ht="15.75" x14ac:dyDescent="0.25">
      <c r="A265" s="728"/>
      <c r="C265" s="611"/>
      <c r="D265" s="851"/>
      <c r="E265" s="861"/>
      <c r="F265" s="611"/>
      <c r="G265" s="611"/>
      <c r="J265" s="793"/>
      <c r="K265" s="793"/>
      <c r="O265" s="792"/>
      <c r="P265" s="619"/>
      <c r="Q265" s="764"/>
      <c r="R265" s="619"/>
      <c r="S265" s="530"/>
      <c r="T265" s="611"/>
      <c r="W265" s="874"/>
      <c r="X265" s="873"/>
      <c r="Y265" s="843"/>
      <c r="Z265" s="874"/>
      <c r="AB265" s="619"/>
      <c r="AD265" s="795"/>
      <c r="AE265" s="795"/>
      <c r="AF265" s="795"/>
      <c r="AG265" s="795"/>
      <c r="AH265" s="611"/>
      <c r="AJ265" s="874"/>
      <c r="AK265" s="757"/>
      <c r="AL265" s="611"/>
      <c r="AM265" s="611"/>
      <c r="AN265" s="611"/>
      <c r="AO265" s="611"/>
    </row>
    <row r="266" spans="1:41" ht="15.75" x14ac:dyDescent="0.25">
      <c r="A266" s="728"/>
      <c r="C266" s="611"/>
      <c r="D266" s="851"/>
      <c r="E266" s="861"/>
      <c r="F266" s="611"/>
      <c r="G266" s="611"/>
      <c r="J266" s="793"/>
      <c r="K266" s="793"/>
      <c r="O266" s="792"/>
      <c r="P266" s="619"/>
      <c r="Q266" s="764"/>
      <c r="R266" s="619"/>
      <c r="S266" s="530"/>
      <c r="T266" s="611"/>
      <c r="W266" s="874"/>
      <c r="X266" s="873"/>
      <c r="Y266" s="843"/>
      <c r="Z266" s="874"/>
      <c r="AB266" s="619"/>
      <c r="AD266" s="795"/>
      <c r="AE266" s="795"/>
      <c r="AF266" s="795"/>
      <c r="AG266" s="795"/>
      <c r="AH266" s="611"/>
      <c r="AJ266" s="874"/>
      <c r="AK266" s="757"/>
      <c r="AL266" s="611"/>
      <c r="AM266" s="611"/>
      <c r="AN266" s="611"/>
      <c r="AO266" s="611"/>
    </row>
    <row r="267" spans="1:41" ht="15.75" x14ac:dyDescent="0.25">
      <c r="A267" s="728"/>
      <c r="B267"/>
      <c r="C267" s="611"/>
      <c r="D267" s="851"/>
      <c r="E267" s="861"/>
      <c r="F267" s="611"/>
      <c r="G267" s="611"/>
      <c r="J267" s="793"/>
      <c r="K267" s="793"/>
      <c r="O267" s="792"/>
      <c r="P267" s="619"/>
      <c r="Q267" s="764"/>
      <c r="R267" s="619"/>
      <c r="S267" s="530"/>
      <c r="T267" s="611"/>
      <c r="W267" s="874"/>
      <c r="X267" s="873"/>
      <c r="Y267" s="843"/>
      <c r="Z267" s="874"/>
      <c r="AB267" s="619"/>
      <c r="AD267" s="795"/>
      <c r="AE267" s="795"/>
      <c r="AF267" s="795"/>
      <c r="AG267" s="795"/>
      <c r="AH267" s="611"/>
      <c r="AJ267" s="874"/>
      <c r="AK267" s="757"/>
      <c r="AL267" s="611"/>
      <c r="AM267" s="611"/>
      <c r="AN267" s="611"/>
      <c r="AO267" s="611"/>
    </row>
    <row r="268" spans="1:41" x14ac:dyDescent="0.2">
      <c r="A268" s="527"/>
      <c r="B268"/>
      <c r="C268" s="611"/>
      <c r="D268" s="851" t="s">
        <v>224</v>
      </c>
      <c r="J268" s="793"/>
      <c r="K268" s="793"/>
    </row>
    <row r="269" spans="1:41" x14ac:dyDescent="0.2">
      <c r="A269" s="527"/>
      <c r="B269"/>
      <c r="C269" s="611"/>
      <c r="D269" s="851" t="s">
        <v>224</v>
      </c>
      <c r="J269" s="793"/>
      <c r="K269" s="793"/>
    </row>
    <row r="270" spans="1:41" x14ac:dyDescent="0.2">
      <c r="A270" s="527"/>
      <c r="B270"/>
      <c r="C270" s="611"/>
      <c r="D270" s="851" t="s">
        <v>224</v>
      </c>
      <c r="J270" s="793"/>
      <c r="K270" s="793"/>
    </row>
    <row r="271" spans="1:41" x14ac:dyDescent="0.2">
      <c r="A271" s="527"/>
      <c r="B271"/>
      <c r="C271" s="611"/>
      <c r="D271" s="851" t="s">
        <v>224</v>
      </c>
      <c r="J271" s="793"/>
      <c r="K271" s="793"/>
    </row>
    <row r="272" spans="1:41" x14ac:dyDescent="0.2">
      <c r="A272" s="527"/>
      <c r="B272"/>
      <c r="C272" s="611"/>
      <c r="D272" s="851" t="s">
        <v>224</v>
      </c>
      <c r="J272" s="793"/>
      <c r="K272" s="793"/>
    </row>
    <row r="273" spans="1:34" x14ac:dyDescent="0.2">
      <c r="A273" s="527"/>
      <c r="B273"/>
      <c r="C273" s="611"/>
      <c r="D273" s="851" t="s">
        <v>224</v>
      </c>
      <c r="J273" s="793"/>
      <c r="K273" s="793"/>
    </row>
    <row r="274" spans="1:34" x14ac:dyDescent="0.2">
      <c r="A274" s="527"/>
      <c r="B274"/>
      <c r="C274" s="611"/>
      <c r="D274" s="851" t="s">
        <v>224</v>
      </c>
      <c r="J274" s="793"/>
      <c r="K274" s="793"/>
    </row>
    <row r="275" spans="1:34" x14ac:dyDescent="0.2">
      <c r="A275" s="527"/>
      <c r="B275"/>
      <c r="C275" s="611"/>
      <c r="D275" s="851" t="s">
        <v>224</v>
      </c>
      <c r="AA275" s="530">
        <f>AVERAGE(AA4:AA274)</f>
        <v>1.6322645185068181</v>
      </c>
      <c r="AB275" s="530">
        <f>AVERAGE(AB4:AB274)</f>
        <v>386.85992217898831</v>
      </c>
      <c r="AC275" s="530">
        <f>AVERAGE(AC4:AC274)</f>
        <v>1.0591647424476065</v>
      </c>
      <c r="AD275" s="527">
        <f>SUM(AD4:AD274)</f>
        <v>192</v>
      </c>
      <c r="AE275" s="527">
        <f>SUM(AE4:AE274)</f>
        <v>16</v>
      </c>
      <c r="AF275" s="527">
        <f>SUM(AF4:AF274)</f>
        <v>38</v>
      </c>
      <c r="AG275" s="527">
        <f>SUM(AG4:AG274)</f>
        <v>11</v>
      </c>
      <c r="AH275" s="527">
        <f>SUM(AD275:AG275)</f>
        <v>257</v>
      </c>
    </row>
    <row r="276" spans="1:34" x14ac:dyDescent="0.2">
      <c r="A276" s="527"/>
      <c r="B276"/>
      <c r="D276" s="851" t="s">
        <v>224</v>
      </c>
      <c r="J276" s="527"/>
      <c r="K276" s="527"/>
      <c r="AD276" s="862">
        <f>AD275/$AH275</f>
        <v>0.74708171206225682</v>
      </c>
      <c r="AE276" s="862">
        <f>AE275/$AH275</f>
        <v>6.2256809338521402E-2</v>
      </c>
      <c r="AF276" s="862">
        <f>AF275/$AH275</f>
        <v>0.14785992217898833</v>
      </c>
      <c r="AG276" s="862">
        <f>AG275/$AH275</f>
        <v>4.2801556420233464E-2</v>
      </c>
      <c r="AH276" s="862">
        <f>AH275/$AH275</f>
        <v>1</v>
      </c>
    </row>
    <row r="277" spans="1:34" x14ac:dyDescent="0.2">
      <c r="A277" s="527"/>
      <c r="B277"/>
      <c r="D277" s="851" t="s">
        <v>224</v>
      </c>
      <c r="J277" s="527"/>
      <c r="K277" s="527"/>
      <c r="AD277" s="878">
        <f>AH276-AD276</f>
        <v>0.25291828793774318</v>
      </c>
    </row>
    <row r="278" spans="1:34" x14ac:dyDescent="0.2">
      <c r="A278" s="527"/>
      <c r="B278"/>
      <c r="D278" s="851" t="s">
        <v>224</v>
      </c>
      <c r="J278" s="527"/>
      <c r="K278" s="527"/>
    </row>
    <row r="279" spans="1:34" x14ac:dyDescent="0.2">
      <c r="A279" s="527"/>
      <c r="B279"/>
      <c r="D279" s="851" t="s">
        <v>224</v>
      </c>
      <c r="J279" s="527"/>
      <c r="K279" s="527"/>
    </row>
    <row r="280" spans="1:34" x14ac:dyDescent="0.2">
      <c r="A280" s="527"/>
      <c r="B280"/>
      <c r="D280" s="851" t="s">
        <v>224</v>
      </c>
      <c r="J280" s="527"/>
      <c r="K280" s="527"/>
    </row>
    <row r="281" spans="1:34" x14ac:dyDescent="0.2">
      <c r="A281" s="527"/>
      <c r="D281" s="851" t="s">
        <v>224</v>
      </c>
      <c r="J281" s="527"/>
      <c r="K281" s="527"/>
    </row>
    <row r="282" spans="1:34" x14ac:dyDescent="0.2">
      <c r="A282" s="527"/>
      <c r="D282" s="851" t="s">
        <v>224</v>
      </c>
      <c r="J282" s="527"/>
      <c r="K282" s="527"/>
    </row>
    <row r="283" spans="1:34" x14ac:dyDescent="0.2">
      <c r="A283" s="527"/>
      <c r="D283" s="851" t="s">
        <v>224</v>
      </c>
      <c r="J283" s="527"/>
      <c r="K283" s="527"/>
    </row>
    <row r="284" spans="1:34" x14ac:dyDescent="0.2">
      <c r="A284" s="527"/>
      <c r="D284" s="851" t="s">
        <v>224</v>
      </c>
      <c r="J284" s="527"/>
      <c r="K284" s="527"/>
    </row>
    <row r="285" spans="1:34" x14ac:dyDescent="0.2">
      <c r="A285" s="527"/>
      <c r="D285" s="851" t="s">
        <v>224</v>
      </c>
      <c r="J285" s="527"/>
      <c r="K285" s="527"/>
    </row>
    <row r="286" spans="1:34" x14ac:dyDescent="0.2">
      <c r="A286" s="527"/>
      <c r="D286" s="851" t="s">
        <v>224</v>
      </c>
      <c r="J286" s="527"/>
      <c r="K286" s="527"/>
    </row>
    <row r="287" spans="1:34" x14ac:dyDescent="0.2">
      <c r="A287" s="527"/>
      <c r="D287" s="851" t="s">
        <v>224</v>
      </c>
      <c r="J287" s="527"/>
      <c r="K287" s="527"/>
    </row>
    <row r="288" spans="1:34" x14ac:dyDescent="0.2">
      <c r="A288" s="527"/>
      <c r="D288" s="851" t="s">
        <v>224</v>
      </c>
      <c r="J288" s="527"/>
      <c r="K288" s="527"/>
    </row>
    <row r="289" spans="1:11" x14ac:dyDescent="0.2">
      <c r="A289" s="527"/>
      <c r="D289" s="851" t="s">
        <v>224</v>
      </c>
      <c r="J289" s="527"/>
      <c r="K289" s="527"/>
    </row>
    <row r="290" spans="1:11" x14ac:dyDescent="0.2">
      <c r="A290" s="527"/>
      <c r="D290" s="851" t="s">
        <v>224</v>
      </c>
      <c r="J290" s="527"/>
      <c r="K290" s="527"/>
    </row>
    <row r="291" spans="1:11" x14ac:dyDescent="0.2">
      <c r="A291" s="527"/>
      <c r="D291" s="851" t="s">
        <v>224</v>
      </c>
      <c r="J291" s="527"/>
      <c r="K291" s="527"/>
    </row>
    <row r="292" spans="1:11" x14ac:dyDescent="0.2">
      <c r="A292" s="527"/>
      <c r="D292" s="851" t="s">
        <v>224</v>
      </c>
      <c r="J292" s="527"/>
      <c r="K292" s="527"/>
    </row>
    <row r="293" spans="1:11" x14ac:dyDescent="0.2">
      <c r="A293" s="527"/>
      <c r="D293" s="851" t="s">
        <v>224</v>
      </c>
      <c r="J293" s="527"/>
      <c r="K293" s="527"/>
    </row>
    <row r="294" spans="1:11" x14ac:dyDescent="0.2">
      <c r="A294" s="527"/>
      <c r="D294" s="851" t="s">
        <v>224</v>
      </c>
      <c r="J294" s="527"/>
      <c r="K294" s="527"/>
    </row>
    <row r="295" spans="1:11" ht="15.75" customHeight="1" x14ac:dyDescent="0.2">
      <c r="A295" s="527"/>
      <c r="D295" s="851" t="s">
        <v>224</v>
      </c>
      <c r="J295" s="527"/>
      <c r="K295" s="527"/>
    </row>
    <row r="296" spans="1:11" x14ac:dyDescent="0.2">
      <c r="A296" s="527"/>
      <c r="D296" s="851" t="s">
        <v>224</v>
      </c>
      <c r="J296" s="527"/>
      <c r="K296" s="527"/>
    </row>
    <row r="297" spans="1:11" x14ac:dyDescent="0.2">
      <c r="A297" s="527"/>
      <c r="D297" s="851" t="s">
        <v>224</v>
      </c>
      <c r="J297" s="527"/>
      <c r="K297" s="527"/>
    </row>
    <row r="298" spans="1:11" x14ac:dyDescent="0.2">
      <c r="A298" s="527"/>
      <c r="D298" s="851" t="s">
        <v>224</v>
      </c>
      <c r="J298" s="527"/>
      <c r="K298" s="527"/>
    </row>
    <row r="299" spans="1:11" x14ac:dyDescent="0.2">
      <c r="A299" s="527"/>
      <c r="D299" s="851" t="s">
        <v>224</v>
      </c>
      <c r="J299" s="527"/>
      <c r="K299" s="527"/>
    </row>
    <row r="300" spans="1:11" x14ac:dyDescent="0.2">
      <c r="A300" s="527"/>
      <c r="D300" s="851" t="s">
        <v>224</v>
      </c>
      <c r="J300" s="527"/>
      <c r="K300" s="527"/>
    </row>
    <row r="301" spans="1:11" x14ac:dyDescent="0.2">
      <c r="A301" s="527"/>
      <c r="J301" s="527"/>
      <c r="K301" s="527"/>
    </row>
    <row r="302" spans="1:11" x14ac:dyDescent="0.2">
      <c r="A302" s="527"/>
      <c r="J302" s="527"/>
      <c r="K302" s="527"/>
    </row>
    <row r="303" spans="1:11" x14ac:dyDescent="0.2">
      <c r="A303" s="527"/>
      <c r="J303" s="527"/>
      <c r="K303" s="527"/>
    </row>
    <row r="304" spans="1:11" x14ac:dyDescent="0.2">
      <c r="A304" s="527"/>
      <c r="J304" s="527"/>
      <c r="K304" s="527"/>
    </row>
    <row r="305" spans="1:11" x14ac:dyDescent="0.2">
      <c r="A305" s="527"/>
      <c r="J305" s="527"/>
      <c r="K305" s="527"/>
    </row>
    <row r="306" spans="1:11" x14ac:dyDescent="0.2">
      <c r="A306" s="527"/>
      <c r="J306" s="527"/>
      <c r="K306" s="527"/>
    </row>
    <row r="307" spans="1:11" x14ac:dyDescent="0.2">
      <c r="A307" s="527"/>
      <c r="J307" s="527"/>
      <c r="K307" s="527"/>
    </row>
    <row r="308" spans="1:11" x14ac:dyDescent="0.2">
      <c r="A308" s="527"/>
      <c r="J308" s="527"/>
      <c r="K308" s="527"/>
    </row>
    <row r="309" spans="1:11" x14ac:dyDescent="0.2">
      <c r="A309" s="527"/>
      <c r="J309" s="527"/>
      <c r="K309" s="527"/>
    </row>
    <row r="310" spans="1:11" x14ac:dyDescent="0.2">
      <c r="A310" s="527"/>
      <c r="J310" s="527"/>
      <c r="K310" s="527"/>
    </row>
    <row r="311" spans="1:11" x14ac:dyDescent="0.2">
      <c r="A311" s="527"/>
      <c r="J311" s="527"/>
      <c r="K311" s="527"/>
    </row>
    <row r="312" spans="1:11" x14ac:dyDescent="0.2">
      <c r="A312" s="527"/>
      <c r="J312" s="527"/>
      <c r="K312" s="527"/>
    </row>
    <row r="313" spans="1:11" x14ac:dyDescent="0.2">
      <c r="A313" s="527"/>
      <c r="J313" s="527"/>
      <c r="K313" s="527"/>
    </row>
    <row r="314" spans="1:11" x14ac:dyDescent="0.2">
      <c r="A314" s="527"/>
      <c r="J314" s="527"/>
      <c r="K314" s="527"/>
    </row>
    <row r="315" spans="1:11" x14ac:dyDescent="0.2">
      <c r="A315" s="527"/>
      <c r="J315" s="527"/>
      <c r="K315" s="527"/>
    </row>
    <row r="316" spans="1:11" x14ac:dyDescent="0.2">
      <c r="A316" s="527"/>
      <c r="J316" s="527"/>
      <c r="K316" s="527"/>
    </row>
    <row r="317" spans="1:11" x14ac:dyDescent="0.2">
      <c r="A317" s="527"/>
      <c r="J317" s="527"/>
      <c r="K317" s="527"/>
    </row>
    <row r="318" spans="1:11" x14ac:dyDescent="0.2">
      <c r="A318" s="527"/>
      <c r="J318" s="527"/>
      <c r="K318" s="527"/>
    </row>
    <row r="319" spans="1:11" x14ac:dyDescent="0.2">
      <c r="A319" s="527"/>
      <c r="J319" s="527"/>
      <c r="K319" s="527"/>
    </row>
    <row r="320" spans="1:11" x14ac:dyDescent="0.2">
      <c r="A320" s="527"/>
      <c r="J320" s="527"/>
      <c r="K320" s="527"/>
    </row>
    <row r="321" spans="1:11" x14ac:dyDescent="0.2">
      <c r="A321" s="527"/>
      <c r="J321" s="527"/>
      <c r="K321" s="527"/>
    </row>
    <row r="322" spans="1:11" x14ac:dyDescent="0.2">
      <c r="A322" s="527"/>
      <c r="J322" s="527"/>
      <c r="K322" s="527"/>
    </row>
    <row r="323" spans="1:11" x14ac:dyDescent="0.2">
      <c r="A323" s="527"/>
      <c r="J323" s="527"/>
      <c r="K323" s="527"/>
    </row>
    <row r="324" spans="1:11" x14ac:dyDescent="0.2">
      <c r="A324" s="527"/>
      <c r="J324" s="527"/>
      <c r="K324" s="527"/>
    </row>
    <row r="325" spans="1:11" x14ac:dyDescent="0.2">
      <c r="A325" s="527"/>
      <c r="J325" s="527"/>
      <c r="K325" s="527"/>
    </row>
    <row r="326" spans="1:11" x14ac:dyDescent="0.2">
      <c r="A326" s="527"/>
      <c r="J326" s="527"/>
      <c r="K326" s="527"/>
    </row>
    <row r="327" spans="1:11" x14ac:dyDescent="0.2">
      <c r="A327" s="527"/>
      <c r="J327" s="527"/>
      <c r="K327" s="527"/>
    </row>
    <row r="328" spans="1:11" x14ac:dyDescent="0.2">
      <c r="A328" s="527"/>
      <c r="J328" s="527"/>
      <c r="K328" s="527"/>
    </row>
    <row r="329" spans="1:11" x14ac:dyDescent="0.2">
      <c r="A329" s="527"/>
      <c r="J329" s="527"/>
      <c r="K329" s="527"/>
    </row>
    <row r="330" spans="1:11" x14ac:dyDescent="0.2">
      <c r="A330" s="527"/>
      <c r="J330" s="527"/>
      <c r="K330" s="527"/>
    </row>
    <row r="331" spans="1:11" x14ac:dyDescent="0.2">
      <c r="A331" s="527"/>
      <c r="J331" s="527"/>
      <c r="K331" s="527"/>
    </row>
    <row r="332" spans="1:11" x14ac:dyDescent="0.2">
      <c r="A332" s="527"/>
      <c r="J332" s="527"/>
      <c r="K332" s="527"/>
    </row>
    <row r="333" spans="1:11" x14ac:dyDescent="0.2">
      <c r="A333" s="527"/>
      <c r="J333" s="527"/>
      <c r="K333" s="527"/>
    </row>
    <row r="334" spans="1:11" x14ac:dyDescent="0.2">
      <c r="A334" s="527"/>
      <c r="J334" s="527"/>
      <c r="K334" s="527"/>
    </row>
    <row r="335" spans="1:11" x14ac:dyDescent="0.2">
      <c r="A335" s="527"/>
      <c r="J335" s="527"/>
      <c r="K335" s="527"/>
    </row>
    <row r="336" spans="1:11" x14ac:dyDescent="0.2">
      <c r="A336" s="527"/>
      <c r="J336" s="527"/>
      <c r="K336" s="527"/>
    </row>
    <row r="337" spans="1:11" x14ac:dyDescent="0.2">
      <c r="A337" s="527"/>
      <c r="J337" s="527"/>
      <c r="K337" s="527"/>
    </row>
    <row r="338" spans="1:11" x14ac:dyDescent="0.2">
      <c r="A338" s="527"/>
      <c r="J338" s="527"/>
      <c r="K338" s="527"/>
    </row>
    <row r="339" spans="1:11" x14ac:dyDescent="0.2">
      <c r="A339" s="527"/>
      <c r="J339" s="527"/>
      <c r="K339" s="527"/>
    </row>
    <row r="340" spans="1:11" x14ac:dyDescent="0.2">
      <c r="A340" s="527"/>
      <c r="J340" s="527"/>
      <c r="K340" s="527"/>
    </row>
    <row r="341" spans="1:11" x14ac:dyDescent="0.2">
      <c r="A341" s="527"/>
      <c r="J341" s="527"/>
      <c r="K341" s="527"/>
    </row>
    <row r="342" spans="1:11" x14ac:dyDescent="0.2">
      <c r="A342" s="527"/>
      <c r="J342" s="527"/>
      <c r="K342" s="527"/>
    </row>
    <row r="343" spans="1:11" x14ac:dyDescent="0.2">
      <c r="A343" s="527"/>
      <c r="J343" s="527"/>
      <c r="K343" s="527"/>
    </row>
    <row r="344" spans="1:11" x14ac:dyDescent="0.2">
      <c r="A344" s="527"/>
      <c r="J344" s="527"/>
      <c r="K344" s="527"/>
    </row>
    <row r="345" spans="1:11" x14ac:dyDescent="0.2">
      <c r="A345" s="527"/>
      <c r="J345" s="527"/>
      <c r="K345" s="527"/>
    </row>
    <row r="346" spans="1:11" x14ac:dyDescent="0.2">
      <c r="A346" s="527"/>
      <c r="J346" s="527"/>
      <c r="K346" s="527"/>
    </row>
    <row r="347" spans="1:11" x14ac:dyDescent="0.2">
      <c r="A347" s="527"/>
      <c r="J347" s="527"/>
      <c r="K347" s="527"/>
    </row>
    <row r="348" spans="1:11" x14ac:dyDescent="0.2">
      <c r="A348" s="527"/>
      <c r="J348" s="527"/>
      <c r="K348" s="527"/>
    </row>
    <row r="349" spans="1:11" x14ac:dyDescent="0.2">
      <c r="A349" s="527"/>
      <c r="J349" s="527"/>
      <c r="K349" s="527"/>
    </row>
    <row r="350" spans="1:11" x14ac:dyDescent="0.2">
      <c r="A350" s="527"/>
      <c r="J350" s="527"/>
      <c r="K350" s="527"/>
    </row>
    <row r="351" spans="1:11" x14ac:dyDescent="0.2">
      <c r="A351" s="527"/>
      <c r="J351" s="527"/>
      <c r="K351" s="527"/>
    </row>
    <row r="352" spans="1:11" x14ac:dyDescent="0.2">
      <c r="A352" s="527"/>
      <c r="J352" s="527"/>
      <c r="K352" s="527"/>
    </row>
    <row r="353" spans="1:11" x14ac:dyDescent="0.2">
      <c r="A353" s="527"/>
      <c r="J353" s="527"/>
      <c r="K353" s="527"/>
    </row>
    <row r="354" spans="1:11" x14ac:dyDescent="0.2">
      <c r="A354" s="527"/>
      <c r="J354" s="527"/>
      <c r="K354" s="527"/>
    </row>
    <row r="355" spans="1:11" x14ac:dyDescent="0.2">
      <c r="A355" s="527"/>
      <c r="J355" s="527"/>
      <c r="K355" s="527"/>
    </row>
    <row r="356" spans="1:11" x14ac:dyDescent="0.2">
      <c r="A356" s="527"/>
      <c r="J356" s="527"/>
      <c r="K356" s="527"/>
    </row>
    <row r="357" spans="1:11" x14ac:dyDescent="0.2">
      <c r="A357" s="527"/>
      <c r="J357" s="527"/>
      <c r="K357" s="527"/>
    </row>
    <row r="358" spans="1:11" x14ac:dyDescent="0.2">
      <c r="A358" s="527"/>
      <c r="J358" s="527"/>
      <c r="K358" s="527"/>
    </row>
    <row r="359" spans="1:11" x14ac:dyDescent="0.2">
      <c r="A359" s="527"/>
      <c r="J359" s="527"/>
      <c r="K359" s="527"/>
    </row>
    <row r="360" spans="1:11" x14ac:dyDescent="0.2">
      <c r="A360" s="527"/>
      <c r="J360" s="527"/>
      <c r="K360" s="527"/>
    </row>
    <row r="361" spans="1:11" x14ac:dyDescent="0.2">
      <c r="A361" s="527"/>
      <c r="J361" s="527"/>
      <c r="K361" s="527"/>
    </row>
    <row r="362" spans="1:11" x14ac:dyDescent="0.2">
      <c r="A362" s="527"/>
      <c r="J362" s="527"/>
      <c r="K362" s="527"/>
    </row>
    <row r="363" spans="1:11" x14ac:dyDescent="0.2">
      <c r="A363" s="527"/>
      <c r="J363" s="527"/>
      <c r="K363" s="527"/>
    </row>
    <row r="364" spans="1:11" x14ac:dyDescent="0.2">
      <c r="A364" s="527"/>
      <c r="J364" s="527"/>
      <c r="K364" s="527"/>
    </row>
    <row r="365" spans="1:11" x14ac:dyDescent="0.2">
      <c r="A365" s="527"/>
      <c r="J365" s="527"/>
      <c r="K365" s="527"/>
    </row>
    <row r="366" spans="1:11" x14ac:dyDescent="0.2">
      <c r="A366" s="527"/>
      <c r="J366" s="527"/>
      <c r="K366" s="527"/>
    </row>
    <row r="367" spans="1:11" x14ac:dyDescent="0.2">
      <c r="A367" s="527"/>
      <c r="J367" s="527"/>
      <c r="K367" s="527"/>
    </row>
    <row r="368" spans="1:11" x14ac:dyDescent="0.2">
      <c r="A368" s="527"/>
      <c r="J368" s="527"/>
      <c r="K368" s="527"/>
    </row>
    <row r="369" spans="1:11" x14ac:dyDescent="0.2">
      <c r="A369" s="527"/>
      <c r="J369" s="527"/>
      <c r="K369" s="527"/>
    </row>
    <row r="370" spans="1:11" x14ac:dyDescent="0.2">
      <c r="A370" s="527"/>
      <c r="J370" s="527"/>
      <c r="K370" s="527"/>
    </row>
    <row r="371" spans="1:11" x14ac:dyDescent="0.2">
      <c r="A371" s="527"/>
      <c r="J371" s="527"/>
      <c r="K371" s="527"/>
    </row>
    <row r="372" spans="1:11" x14ac:dyDescent="0.2">
      <c r="A372" s="527"/>
      <c r="J372" s="527"/>
      <c r="K372" s="527"/>
    </row>
    <row r="373" spans="1:11" x14ac:dyDescent="0.2">
      <c r="A373" s="527"/>
      <c r="J373" s="527"/>
      <c r="K373" s="527"/>
    </row>
    <row r="374" spans="1:11" x14ac:dyDescent="0.2">
      <c r="A374" s="527"/>
      <c r="J374" s="527"/>
      <c r="K374" s="527"/>
    </row>
    <row r="375" spans="1:11" x14ac:dyDescent="0.2">
      <c r="A375" s="527"/>
      <c r="J375" s="527"/>
      <c r="K375" s="527"/>
    </row>
    <row r="376" spans="1:11" x14ac:dyDescent="0.2">
      <c r="A376" s="527"/>
      <c r="J376" s="527"/>
      <c r="K376" s="527"/>
    </row>
    <row r="377" spans="1:11" x14ac:dyDescent="0.2">
      <c r="A377" s="527"/>
      <c r="J377" s="527"/>
      <c r="K377" s="527"/>
    </row>
    <row r="378" spans="1:11" x14ac:dyDescent="0.2">
      <c r="A378" s="527"/>
      <c r="J378" s="527"/>
      <c r="K378" s="527"/>
    </row>
    <row r="379" spans="1:11" x14ac:dyDescent="0.2">
      <c r="A379" s="527"/>
      <c r="J379" s="527"/>
      <c r="K379" s="527"/>
    </row>
    <row r="380" spans="1:11" x14ac:dyDescent="0.2">
      <c r="A380" s="527"/>
      <c r="J380" s="527"/>
      <c r="K380" s="527"/>
    </row>
    <row r="381" spans="1:11" x14ac:dyDescent="0.2">
      <c r="A381" s="527"/>
      <c r="J381" s="527"/>
      <c r="K381" s="527"/>
    </row>
    <row r="382" spans="1:11" x14ac:dyDescent="0.2">
      <c r="A382" s="527"/>
      <c r="J382" s="527"/>
      <c r="K382" s="527"/>
    </row>
    <row r="383" spans="1:11" x14ac:dyDescent="0.2">
      <c r="A383" s="527"/>
      <c r="J383" s="527"/>
      <c r="K383" s="527"/>
    </row>
    <row r="384" spans="1:11" x14ac:dyDescent="0.2">
      <c r="A384" s="527"/>
      <c r="J384" s="527"/>
      <c r="K384" s="527"/>
    </row>
    <row r="385" spans="1:11" x14ac:dyDescent="0.2">
      <c r="A385" s="527"/>
      <c r="J385" s="527"/>
      <c r="K385" s="527"/>
    </row>
    <row r="386" spans="1:11" x14ac:dyDescent="0.2">
      <c r="A386" s="527"/>
      <c r="J386" s="527"/>
      <c r="K386" s="527"/>
    </row>
    <row r="387" spans="1:11" x14ac:dyDescent="0.2">
      <c r="A387" s="527"/>
      <c r="J387" s="527"/>
      <c r="K387" s="527"/>
    </row>
    <row r="388" spans="1:11" x14ac:dyDescent="0.2">
      <c r="A388" s="527"/>
      <c r="J388" s="527"/>
      <c r="K388" s="527"/>
    </row>
    <row r="389" spans="1:11" x14ac:dyDescent="0.2">
      <c r="A389" s="527"/>
      <c r="J389" s="527"/>
      <c r="K389" s="527"/>
    </row>
    <row r="390" spans="1:11" x14ac:dyDescent="0.2">
      <c r="A390" s="527"/>
      <c r="J390" s="527"/>
      <c r="K390" s="527"/>
    </row>
    <row r="391" spans="1:11" x14ac:dyDescent="0.2">
      <c r="A391" s="527"/>
      <c r="J391" s="527"/>
      <c r="K391" s="527"/>
    </row>
    <row r="392" spans="1:11" x14ac:dyDescent="0.2">
      <c r="A392" s="527"/>
      <c r="J392" s="527"/>
      <c r="K392" s="527"/>
    </row>
  </sheetData>
  <sortState xmlns:xlrd2="http://schemas.microsoft.com/office/spreadsheetml/2017/richdata2" ref="A196:AO260">
    <sortCondition ref="Y196:Y260"/>
    <sortCondition ref="Z196:Z260"/>
  </sortState>
  <mergeCells count="1">
    <mergeCell ref="AE1:A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/>
  <dimension ref="B1:AQ483"/>
  <sheetViews>
    <sheetView zoomScale="124" zoomScaleNormal="124" workbookViewId="0">
      <pane ySplit="1" topLeftCell="A455" activePane="bottomLeft" state="frozen"/>
      <selection pane="bottomLeft" activeCell="G393" sqref="G393"/>
    </sheetView>
  </sheetViews>
  <sheetFormatPr defaultColWidth="9.33203125" defaultRowHeight="12.75" customHeight="1" x14ac:dyDescent="0.2"/>
  <cols>
    <col min="1" max="1" width="4" customWidth="1"/>
    <col min="2" max="2" width="28.1640625" customWidth="1"/>
    <col min="3" max="3" width="11.6640625" bestFit="1" customWidth="1"/>
    <col min="4" max="4" width="9.6640625" bestFit="1" customWidth="1"/>
    <col min="5" max="5" width="7.6640625" bestFit="1" customWidth="1"/>
    <col min="6" max="6" width="11.83203125" bestFit="1" customWidth="1"/>
    <col min="7" max="7" width="10.83203125" bestFit="1" customWidth="1"/>
    <col min="8" max="8" width="7.5" bestFit="1" customWidth="1"/>
    <col min="9" max="9" width="7.33203125" customWidth="1"/>
    <col min="10" max="12" width="11.83203125" style="32" customWidth="1"/>
    <col min="13" max="13" width="12.5" customWidth="1"/>
    <col min="14" max="14" width="12.83203125" customWidth="1"/>
    <col min="15" max="15" width="7.1640625" customWidth="1"/>
    <col min="16" max="16" width="8.83203125" customWidth="1"/>
    <col min="17" max="18" width="5.83203125" customWidth="1"/>
    <col min="19" max="19" width="13.83203125" customWidth="1"/>
    <col min="20" max="25" width="5.83203125" customWidth="1"/>
    <col min="26" max="26" width="10.5" customWidth="1"/>
    <col min="27" max="27" width="2.83203125" customWidth="1"/>
    <col min="28" max="33" width="5.83203125" hidden="1" customWidth="1"/>
    <col min="34" max="34" width="12.33203125" customWidth="1"/>
    <col min="35" max="35" width="11.33203125" customWidth="1"/>
    <col min="36" max="36" width="12.1640625" bestFit="1" customWidth="1"/>
    <col min="37" max="37" width="17.83203125" hidden="1" customWidth="1"/>
    <col min="38" max="39" width="7.83203125" hidden="1" customWidth="1"/>
    <col min="40" max="40" width="9.83203125" hidden="1" customWidth="1"/>
    <col min="41" max="42" width="8.83203125" hidden="1" customWidth="1"/>
    <col min="43" max="43" width="9.83203125" hidden="1" customWidth="1"/>
    <col min="44" max="44" width="4.33203125" customWidth="1"/>
    <col min="45" max="46" width="7.83203125" customWidth="1"/>
    <col min="47" max="47" width="9.5" customWidth="1"/>
    <col min="48" max="48" width="8.5" customWidth="1"/>
    <col min="49" max="49" width="7.83203125" customWidth="1"/>
    <col min="50" max="50" width="7.83203125" bestFit="1" customWidth="1"/>
    <col min="51" max="52" width="7.83203125" customWidth="1"/>
    <col min="53" max="53" width="9.83203125" bestFit="1" customWidth="1"/>
    <col min="54" max="55" width="8.83203125" bestFit="1" customWidth="1"/>
    <col min="56" max="56" width="12.1640625" bestFit="1" customWidth="1"/>
    <col min="57" max="58" width="7.83203125" customWidth="1"/>
    <col min="60" max="60" width="5.6640625" bestFit="1" customWidth="1"/>
  </cols>
  <sheetData>
    <row r="1" spans="2:22" ht="12.75" customHeight="1" thickBot="1" x14ac:dyDescent="0.25">
      <c r="B1" s="5" t="s">
        <v>1442</v>
      </c>
      <c r="C1" s="5" t="s">
        <v>123</v>
      </c>
      <c r="D1" s="4" t="s">
        <v>1006</v>
      </c>
      <c r="E1" s="4" t="s">
        <v>1007</v>
      </c>
      <c r="F1" s="4" t="s">
        <v>3379</v>
      </c>
      <c r="G1" s="4" t="s">
        <v>2750</v>
      </c>
      <c r="H1" s="4" t="s">
        <v>586</v>
      </c>
      <c r="J1" s="955" t="s">
        <v>1006</v>
      </c>
      <c r="K1" s="955" t="s">
        <v>2750</v>
      </c>
      <c r="L1" s="955" t="s">
        <v>3379</v>
      </c>
      <c r="N1" s="188">
        <v>44395</v>
      </c>
    </row>
    <row r="2" spans="2:22" ht="12.75" customHeight="1" x14ac:dyDescent="0.2">
      <c r="B2" t="s">
        <v>1301</v>
      </c>
      <c r="C2">
        <v>0.78800000000000003</v>
      </c>
      <c r="D2">
        <f t="shared" ref="D2:D43" si="0">C2</f>
        <v>0.78800000000000003</v>
      </c>
      <c r="J2" s="32">
        <f>LOG10(C2)</f>
        <v>-0.10347378251044466</v>
      </c>
      <c r="N2">
        <v>0.5</v>
      </c>
      <c r="P2" s="838" t="s">
        <v>1014</v>
      </c>
      <c r="Q2" s="838" t="s">
        <v>1015</v>
      </c>
      <c r="S2" s="2" t="s">
        <v>896</v>
      </c>
      <c r="T2" s="838" t="s">
        <v>1006</v>
      </c>
      <c r="U2" s="524" t="s">
        <v>2750</v>
      </c>
      <c r="V2" s="524" t="s">
        <v>3379</v>
      </c>
    </row>
    <row r="3" spans="2:22" ht="12.75" customHeight="1" x14ac:dyDescent="0.2">
      <c r="B3" t="s">
        <v>62</v>
      </c>
      <c r="C3">
        <v>1.3680000000000001</v>
      </c>
      <c r="D3">
        <f t="shared" si="0"/>
        <v>1.3680000000000001</v>
      </c>
      <c r="J3" s="32">
        <f t="shared" ref="J3:J43" si="1">LOG10(C3)</f>
        <v>0.13608609738409747</v>
      </c>
      <c r="N3">
        <f>N2*2</f>
        <v>1</v>
      </c>
      <c r="P3">
        <v>0.5</v>
      </c>
      <c r="Q3">
        <v>0</v>
      </c>
      <c r="T3">
        <v>0</v>
      </c>
      <c r="U3">
        <v>0</v>
      </c>
      <c r="V3">
        <v>0</v>
      </c>
    </row>
    <row r="4" spans="2:22" ht="12.75" customHeight="1" x14ac:dyDescent="0.2">
      <c r="B4" t="s">
        <v>298</v>
      </c>
      <c r="C4">
        <v>3.2</v>
      </c>
      <c r="D4">
        <f t="shared" si="0"/>
        <v>3.2</v>
      </c>
      <c r="J4" s="32">
        <f t="shared" si="1"/>
        <v>0.50514997831990605</v>
      </c>
      <c r="N4">
        <f t="shared" ref="N4:N27" si="2">N3*2</f>
        <v>2</v>
      </c>
      <c r="P4">
        <v>1</v>
      </c>
      <c r="Q4">
        <v>1</v>
      </c>
      <c r="S4" s="2" t="s">
        <v>3380</v>
      </c>
      <c r="T4">
        <v>1</v>
      </c>
      <c r="U4">
        <v>0</v>
      </c>
      <c r="V4">
        <v>1</v>
      </c>
    </row>
    <row r="5" spans="2:22" ht="12.75" customHeight="1" x14ac:dyDescent="0.2">
      <c r="B5" t="s">
        <v>1307</v>
      </c>
      <c r="C5">
        <v>5.2930000000000001</v>
      </c>
      <c r="D5">
        <f t="shared" si="0"/>
        <v>5.2930000000000001</v>
      </c>
      <c r="J5" s="32">
        <f t="shared" si="1"/>
        <v>0.72370189399126783</v>
      </c>
      <c r="N5">
        <f t="shared" si="2"/>
        <v>4</v>
      </c>
      <c r="P5">
        <v>2</v>
      </c>
      <c r="Q5">
        <v>3</v>
      </c>
      <c r="S5" s="953" t="s">
        <v>3381</v>
      </c>
      <c r="T5">
        <v>1</v>
      </c>
      <c r="U5">
        <v>1</v>
      </c>
      <c r="V5">
        <v>3</v>
      </c>
    </row>
    <row r="6" spans="2:22" ht="12.75" customHeight="1" x14ac:dyDescent="0.2">
      <c r="B6" t="s">
        <v>289</v>
      </c>
      <c r="C6">
        <v>6.1</v>
      </c>
      <c r="D6">
        <f t="shared" si="0"/>
        <v>6.1</v>
      </c>
      <c r="J6" s="32">
        <f t="shared" si="1"/>
        <v>0.78532983501076703</v>
      </c>
      <c r="N6">
        <f t="shared" si="2"/>
        <v>8</v>
      </c>
      <c r="P6">
        <v>4</v>
      </c>
      <c r="Q6">
        <v>0</v>
      </c>
      <c r="S6" s="953" t="s">
        <v>3382</v>
      </c>
      <c r="T6">
        <v>1</v>
      </c>
      <c r="U6">
        <v>5</v>
      </c>
      <c r="V6">
        <v>0</v>
      </c>
    </row>
    <row r="7" spans="2:22" ht="12.75" customHeight="1" x14ac:dyDescent="0.2">
      <c r="B7" t="s">
        <v>2741</v>
      </c>
      <c r="C7">
        <v>6.7770000000000001</v>
      </c>
      <c r="D7">
        <f t="shared" si="0"/>
        <v>6.7770000000000001</v>
      </c>
      <c r="J7" s="32">
        <f t="shared" si="1"/>
        <v>0.83103748564002544</v>
      </c>
      <c r="N7">
        <f t="shared" si="2"/>
        <v>16</v>
      </c>
      <c r="P7">
        <v>8</v>
      </c>
      <c r="Q7">
        <v>5</v>
      </c>
      <c r="S7" s="954" t="s">
        <v>3383</v>
      </c>
      <c r="T7">
        <v>3</v>
      </c>
      <c r="U7">
        <v>3</v>
      </c>
      <c r="V7">
        <v>5</v>
      </c>
    </row>
    <row r="8" spans="2:22" ht="12.75" customHeight="1" x14ac:dyDescent="0.2">
      <c r="B8" s="2" t="s">
        <v>144</v>
      </c>
      <c r="C8">
        <v>8.6999999999999993</v>
      </c>
      <c r="D8">
        <f t="shared" si="0"/>
        <v>8.6999999999999993</v>
      </c>
      <c r="J8" s="32">
        <f t="shared" si="1"/>
        <v>0.93951925261861846</v>
      </c>
      <c r="N8">
        <f t="shared" si="2"/>
        <v>32</v>
      </c>
      <c r="P8">
        <v>16</v>
      </c>
      <c r="Q8">
        <v>11</v>
      </c>
      <c r="S8" s="954" t="s">
        <v>3384</v>
      </c>
      <c r="T8">
        <v>4</v>
      </c>
      <c r="U8">
        <v>6</v>
      </c>
      <c r="V8">
        <v>11</v>
      </c>
    </row>
    <row r="9" spans="2:22" ht="12.75" customHeight="1" x14ac:dyDescent="0.2">
      <c r="B9" t="s">
        <v>2745</v>
      </c>
      <c r="C9">
        <v>11.64</v>
      </c>
      <c r="D9">
        <f t="shared" si="0"/>
        <v>11.64</v>
      </c>
      <c r="J9" s="32">
        <f t="shared" si="1"/>
        <v>1.0659529803138696</v>
      </c>
      <c r="N9">
        <f t="shared" si="2"/>
        <v>64</v>
      </c>
      <c r="P9">
        <v>32</v>
      </c>
      <c r="Q9">
        <v>27</v>
      </c>
      <c r="S9" s="954" t="s">
        <v>3385</v>
      </c>
      <c r="T9">
        <v>9</v>
      </c>
      <c r="U9">
        <v>10</v>
      </c>
      <c r="V9">
        <v>27</v>
      </c>
    </row>
    <row r="10" spans="2:22" ht="12.75" customHeight="1" x14ac:dyDescent="0.2">
      <c r="B10" t="s">
        <v>2743</v>
      </c>
      <c r="C10">
        <v>13.59</v>
      </c>
      <c r="D10">
        <f t="shared" si="0"/>
        <v>13.59</v>
      </c>
      <c r="J10" s="32">
        <f t="shared" si="1"/>
        <v>1.1332194567324942</v>
      </c>
      <c r="N10">
        <v>125</v>
      </c>
      <c r="P10">
        <v>64</v>
      </c>
      <c r="Q10">
        <v>46</v>
      </c>
      <c r="S10" s="954" t="s">
        <v>3386</v>
      </c>
      <c r="T10">
        <v>8</v>
      </c>
      <c r="U10">
        <v>17</v>
      </c>
      <c r="V10">
        <v>46</v>
      </c>
    </row>
    <row r="11" spans="2:22" ht="12.75" customHeight="1" x14ac:dyDescent="0.2">
      <c r="B11" t="s">
        <v>2801</v>
      </c>
      <c r="C11">
        <v>15.92</v>
      </c>
      <c r="D11">
        <f t="shared" si="0"/>
        <v>15.92</v>
      </c>
      <c r="J11" s="32">
        <f t="shared" si="1"/>
        <v>1.2019430634016501</v>
      </c>
      <c r="N11">
        <f t="shared" si="2"/>
        <v>250</v>
      </c>
      <c r="P11">
        <v>125</v>
      </c>
      <c r="Q11">
        <v>42</v>
      </c>
      <c r="S11" s="954" t="s">
        <v>3387</v>
      </c>
      <c r="T11">
        <v>2</v>
      </c>
      <c r="U11">
        <v>13</v>
      </c>
      <c r="V11">
        <v>42</v>
      </c>
    </row>
    <row r="12" spans="2:22" ht="12.75" customHeight="1" x14ac:dyDescent="0.2">
      <c r="B12" t="s">
        <v>2742</v>
      </c>
      <c r="C12">
        <v>16.52</v>
      </c>
      <c r="D12">
        <f t="shared" si="0"/>
        <v>16.52</v>
      </c>
      <c r="J12" s="32">
        <f t="shared" si="1"/>
        <v>1.2180100429843634</v>
      </c>
      <c r="N12">
        <f t="shared" si="2"/>
        <v>500</v>
      </c>
      <c r="P12">
        <v>250</v>
      </c>
      <c r="Q12">
        <v>52</v>
      </c>
      <c r="S12" s="954" t="s">
        <v>3388</v>
      </c>
      <c r="T12">
        <v>7</v>
      </c>
      <c r="U12">
        <v>13</v>
      </c>
      <c r="V12">
        <v>52</v>
      </c>
    </row>
    <row r="13" spans="2:22" ht="12.75" customHeight="1" x14ac:dyDescent="0.2">
      <c r="B13" t="s">
        <v>260</v>
      </c>
      <c r="C13">
        <v>21.4</v>
      </c>
      <c r="D13">
        <f t="shared" si="0"/>
        <v>21.4</v>
      </c>
      <c r="J13" s="32">
        <f t="shared" si="1"/>
        <v>1.3304137733491908</v>
      </c>
      <c r="N13">
        <f t="shared" si="2"/>
        <v>1000</v>
      </c>
      <c r="P13">
        <v>500</v>
      </c>
      <c r="Q13">
        <v>39</v>
      </c>
      <c r="S13" s="954" t="s">
        <v>3389</v>
      </c>
      <c r="T13">
        <v>3</v>
      </c>
      <c r="U13">
        <v>2</v>
      </c>
      <c r="V13">
        <v>39</v>
      </c>
    </row>
    <row r="14" spans="2:22" ht="12.75" customHeight="1" x14ac:dyDescent="0.2">
      <c r="B14" t="s">
        <v>769</v>
      </c>
      <c r="C14">
        <v>22.372</v>
      </c>
      <c r="D14">
        <f t="shared" si="0"/>
        <v>22.372</v>
      </c>
      <c r="J14" s="32">
        <f t="shared" si="1"/>
        <v>1.3497048106562106</v>
      </c>
      <c r="N14">
        <f t="shared" si="2"/>
        <v>2000</v>
      </c>
      <c r="P14">
        <v>1000</v>
      </c>
      <c r="Q14">
        <v>42</v>
      </c>
      <c r="S14" s="954" t="s">
        <v>3390</v>
      </c>
      <c r="T14">
        <v>2</v>
      </c>
      <c r="U14">
        <v>1</v>
      </c>
      <c r="V14">
        <v>42</v>
      </c>
    </row>
    <row r="15" spans="2:22" ht="12.75" customHeight="1" x14ac:dyDescent="0.2">
      <c r="B15" t="s">
        <v>856</v>
      </c>
      <c r="C15">
        <v>22.83</v>
      </c>
      <c r="D15">
        <f t="shared" si="0"/>
        <v>22.83</v>
      </c>
      <c r="J15" s="32">
        <f t="shared" si="1"/>
        <v>1.3585059114902351</v>
      </c>
      <c r="N15">
        <f t="shared" si="2"/>
        <v>4000</v>
      </c>
      <c r="P15">
        <v>2000</v>
      </c>
      <c r="Q15">
        <v>33</v>
      </c>
      <c r="S15" s="954" t="s">
        <v>3391</v>
      </c>
      <c r="T15">
        <v>1</v>
      </c>
      <c r="U15">
        <v>1</v>
      </c>
      <c r="V15">
        <v>33</v>
      </c>
    </row>
    <row r="16" spans="2:22" ht="12.75" customHeight="1" x14ac:dyDescent="0.2">
      <c r="B16" t="s">
        <v>143</v>
      </c>
      <c r="C16">
        <v>23.4</v>
      </c>
      <c r="D16">
        <f t="shared" si="0"/>
        <v>23.4</v>
      </c>
      <c r="J16" s="32">
        <f t="shared" si="1"/>
        <v>1.3692158574101427</v>
      </c>
      <c r="N16">
        <f t="shared" si="2"/>
        <v>8000</v>
      </c>
      <c r="P16">
        <v>4000</v>
      </c>
      <c r="Q16">
        <v>19</v>
      </c>
      <c r="S16" s="954" t="s">
        <v>3392</v>
      </c>
      <c r="T16">
        <v>0</v>
      </c>
      <c r="U16">
        <v>0</v>
      </c>
      <c r="V16">
        <v>19</v>
      </c>
    </row>
    <row r="17" spans="2:22" ht="12.75" customHeight="1" x14ac:dyDescent="0.2">
      <c r="B17" t="s">
        <v>2802</v>
      </c>
      <c r="C17">
        <v>25.07</v>
      </c>
      <c r="D17">
        <f t="shared" si="0"/>
        <v>25.07</v>
      </c>
      <c r="J17" s="32">
        <f t="shared" si="1"/>
        <v>1.3991543339582164</v>
      </c>
      <c r="N17">
        <f t="shared" si="2"/>
        <v>16000</v>
      </c>
      <c r="P17">
        <v>8000</v>
      </c>
      <c r="Q17">
        <v>15</v>
      </c>
      <c r="S17" s="954" t="s">
        <v>3393</v>
      </c>
      <c r="T17">
        <v>0</v>
      </c>
      <c r="U17">
        <v>1</v>
      </c>
      <c r="V17">
        <v>15</v>
      </c>
    </row>
    <row r="18" spans="2:22" ht="12.75" customHeight="1" x14ac:dyDescent="0.2">
      <c r="B18" t="s">
        <v>1009</v>
      </c>
      <c r="C18">
        <v>27.04</v>
      </c>
      <c r="D18">
        <f t="shared" si="0"/>
        <v>27.04</v>
      </c>
      <c r="J18" s="32">
        <f t="shared" si="1"/>
        <v>1.4320066872695982</v>
      </c>
      <c r="N18">
        <f t="shared" si="2"/>
        <v>32000</v>
      </c>
      <c r="P18">
        <v>16000</v>
      </c>
      <c r="Q18">
        <v>9</v>
      </c>
      <c r="S18" s="954" t="s">
        <v>3394</v>
      </c>
      <c r="T18">
        <v>0</v>
      </c>
      <c r="U18">
        <v>0</v>
      </c>
      <c r="V18">
        <v>9</v>
      </c>
    </row>
    <row r="19" spans="2:22" ht="12.75" customHeight="1" x14ac:dyDescent="0.2">
      <c r="B19" t="s">
        <v>267</v>
      </c>
      <c r="C19">
        <v>30.7</v>
      </c>
      <c r="D19">
        <f t="shared" si="0"/>
        <v>30.7</v>
      </c>
      <c r="J19" s="32">
        <f t="shared" si="1"/>
        <v>1.4871383754771865</v>
      </c>
      <c r="N19">
        <f t="shared" si="2"/>
        <v>64000</v>
      </c>
      <c r="P19">
        <v>32000</v>
      </c>
      <c r="Q19">
        <v>4</v>
      </c>
      <c r="S19" s="954" t="s">
        <v>3395</v>
      </c>
      <c r="T19">
        <v>0</v>
      </c>
      <c r="U19">
        <v>0</v>
      </c>
      <c r="V19">
        <v>4</v>
      </c>
    </row>
    <row r="20" spans="2:22" ht="12.75" customHeight="1" x14ac:dyDescent="0.2">
      <c r="B20" t="s">
        <v>195</v>
      </c>
      <c r="C20">
        <v>31.4</v>
      </c>
      <c r="D20">
        <f t="shared" si="0"/>
        <v>31.4</v>
      </c>
      <c r="J20" s="32">
        <f t="shared" si="1"/>
        <v>1.4969296480732148</v>
      </c>
      <c r="N20">
        <v>125000</v>
      </c>
      <c r="P20">
        <v>64000</v>
      </c>
      <c r="Q20">
        <v>2</v>
      </c>
      <c r="S20" s="954" t="s">
        <v>3396</v>
      </c>
      <c r="T20">
        <v>0</v>
      </c>
      <c r="U20">
        <v>0</v>
      </c>
      <c r="V20">
        <v>2</v>
      </c>
    </row>
    <row r="21" spans="2:22" ht="12.75" customHeight="1" x14ac:dyDescent="0.2">
      <c r="B21" t="s">
        <v>2002</v>
      </c>
      <c r="C21">
        <v>32.25</v>
      </c>
      <c r="D21">
        <f t="shared" si="0"/>
        <v>32.25</v>
      </c>
      <c r="J21" s="32">
        <f t="shared" si="1"/>
        <v>1.5085297189712865</v>
      </c>
      <c r="N21">
        <v>250000</v>
      </c>
      <c r="P21">
        <v>125000</v>
      </c>
      <c r="Q21">
        <v>2</v>
      </c>
      <c r="S21" s="954" t="s">
        <v>3397</v>
      </c>
      <c r="T21">
        <v>0</v>
      </c>
      <c r="U21">
        <v>0</v>
      </c>
      <c r="V21">
        <v>2</v>
      </c>
    </row>
    <row r="22" spans="2:22" ht="12.75" customHeight="1" x14ac:dyDescent="0.2">
      <c r="B22" t="s">
        <v>428</v>
      </c>
      <c r="C22">
        <v>36.67</v>
      </c>
      <c r="D22">
        <f t="shared" si="0"/>
        <v>36.67</v>
      </c>
      <c r="J22" s="32">
        <f t="shared" si="1"/>
        <v>1.5643109099606027</v>
      </c>
      <c r="N22">
        <f t="shared" si="2"/>
        <v>500000</v>
      </c>
      <c r="P22">
        <v>250000</v>
      </c>
      <c r="Q22">
        <v>0</v>
      </c>
      <c r="T22">
        <v>0</v>
      </c>
      <c r="U22">
        <v>0</v>
      </c>
      <c r="V22">
        <v>0</v>
      </c>
    </row>
    <row r="23" spans="2:22" ht="12.75" customHeight="1" x14ac:dyDescent="0.2">
      <c r="B23" t="s">
        <v>2744</v>
      </c>
      <c r="C23">
        <v>45.87</v>
      </c>
      <c r="D23">
        <f t="shared" si="0"/>
        <v>45.87</v>
      </c>
      <c r="J23" s="32">
        <f t="shared" si="1"/>
        <v>1.6615287401319825</v>
      </c>
      <c r="N23">
        <f t="shared" si="2"/>
        <v>1000000</v>
      </c>
      <c r="P23">
        <v>500000</v>
      </c>
      <c r="Q23">
        <v>0</v>
      </c>
      <c r="T23">
        <v>0</v>
      </c>
      <c r="U23">
        <v>0</v>
      </c>
      <c r="V23">
        <v>0</v>
      </c>
    </row>
    <row r="24" spans="2:22" ht="12.75" customHeight="1" x14ac:dyDescent="0.2">
      <c r="B24" t="s">
        <v>140</v>
      </c>
      <c r="C24">
        <v>52.4</v>
      </c>
      <c r="D24">
        <f t="shared" si="0"/>
        <v>52.4</v>
      </c>
      <c r="J24" s="32">
        <f t="shared" si="1"/>
        <v>1.7193312869837267</v>
      </c>
      <c r="N24">
        <f t="shared" si="2"/>
        <v>2000000</v>
      </c>
      <c r="P24">
        <v>1000000</v>
      </c>
      <c r="Q24">
        <v>0</v>
      </c>
      <c r="T24">
        <v>0</v>
      </c>
      <c r="U24">
        <v>0</v>
      </c>
      <c r="V24">
        <v>0</v>
      </c>
    </row>
    <row r="25" spans="2:22" ht="12.75" customHeight="1" x14ac:dyDescent="0.2">
      <c r="B25" t="s">
        <v>375</v>
      </c>
      <c r="C25">
        <v>52.97</v>
      </c>
      <c r="D25">
        <f t="shared" si="0"/>
        <v>52.97</v>
      </c>
      <c r="J25" s="32">
        <f t="shared" si="1"/>
        <v>1.7240299729355977</v>
      </c>
      <c r="N25">
        <f t="shared" si="2"/>
        <v>4000000</v>
      </c>
      <c r="P25">
        <v>2000000</v>
      </c>
      <c r="Q25">
        <v>0</v>
      </c>
      <c r="T25">
        <v>0</v>
      </c>
      <c r="U25">
        <v>0</v>
      </c>
      <c r="V25">
        <v>0</v>
      </c>
    </row>
    <row r="26" spans="2:22" ht="12.75" customHeight="1" x14ac:dyDescent="0.2">
      <c r="B26" t="s">
        <v>1160</v>
      </c>
      <c r="C26">
        <v>55.991999999999997</v>
      </c>
      <c r="D26">
        <f t="shared" si="0"/>
        <v>55.991999999999997</v>
      </c>
      <c r="J26" s="32">
        <f t="shared" si="1"/>
        <v>1.7481259805053586</v>
      </c>
      <c r="N26">
        <f t="shared" si="2"/>
        <v>8000000</v>
      </c>
      <c r="P26">
        <v>4000000</v>
      </c>
      <c r="Q26">
        <v>0</v>
      </c>
      <c r="T26">
        <v>0</v>
      </c>
      <c r="U26">
        <v>0</v>
      </c>
      <c r="V26">
        <v>0</v>
      </c>
    </row>
    <row r="27" spans="2:22" ht="12.75" customHeight="1" x14ac:dyDescent="0.2">
      <c r="B27" t="s">
        <v>854</v>
      </c>
      <c r="C27">
        <v>58.97</v>
      </c>
      <c r="D27">
        <f t="shared" si="0"/>
        <v>58.97</v>
      </c>
      <c r="J27" s="32">
        <f t="shared" si="1"/>
        <v>1.7706311277778066</v>
      </c>
      <c r="N27">
        <f t="shared" si="2"/>
        <v>16000000</v>
      </c>
      <c r="P27">
        <v>8000000</v>
      </c>
      <c r="Q27">
        <v>0</v>
      </c>
      <c r="T27">
        <v>0</v>
      </c>
      <c r="U27">
        <v>0</v>
      </c>
      <c r="V27">
        <v>0</v>
      </c>
    </row>
    <row r="28" spans="2:22" ht="12.75" customHeight="1" x14ac:dyDescent="0.2">
      <c r="B28" t="s">
        <v>1607</v>
      </c>
      <c r="C28">
        <v>61.2</v>
      </c>
      <c r="D28">
        <f t="shared" si="0"/>
        <v>61.2</v>
      </c>
      <c r="J28" s="32">
        <f t="shared" si="1"/>
        <v>1.7867514221455612</v>
      </c>
      <c r="P28">
        <v>16000000</v>
      </c>
      <c r="Q28">
        <v>0</v>
      </c>
      <c r="T28">
        <v>0</v>
      </c>
      <c r="U28">
        <v>0</v>
      </c>
      <c r="V28">
        <v>0</v>
      </c>
    </row>
    <row r="29" spans="2:22" ht="12.75" customHeight="1" thickBot="1" x14ac:dyDescent="0.25">
      <c r="B29" t="s">
        <v>874</v>
      </c>
      <c r="C29">
        <v>92.566000000000003</v>
      </c>
      <c r="D29">
        <f t="shared" si="0"/>
        <v>92.566000000000003</v>
      </c>
      <c r="J29" s="32">
        <f t="shared" si="1"/>
        <v>1.9664514972232794</v>
      </c>
      <c r="P29" s="837" t="s">
        <v>136</v>
      </c>
      <c r="Q29" s="837">
        <v>0</v>
      </c>
      <c r="T29" s="837">
        <v>0</v>
      </c>
      <c r="U29" s="837">
        <v>0</v>
      </c>
      <c r="V29" s="837">
        <v>0</v>
      </c>
    </row>
    <row r="30" spans="2:22" ht="12.75" customHeight="1" x14ac:dyDescent="0.2">
      <c r="B30" t="s">
        <v>1720</v>
      </c>
      <c r="C30">
        <v>94.2</v>
      </c>
      <c r="D30">
        <f t="shared" si="0"/>
        <v>94.2</v>
      </c>
      <c r="J30" s="32">
        <f t="shared" si="1"/>
        <v>1.9740509027928774</v>
      </c>
    </row>
    <row r="31" spans="2:22" ht="12.75" customHeight="1" x14ac:dyDescent="0.2">
      <c r="B31" t="s">
        <v>244</v>
      </c>
      <c r="C31">
        <v>137.46100000000001</v>
      </c>
      <c r="D31">
        <f t="shared" si="0"/>
        <v>137.46100000000001</v>
      </c>
      <c r="J31" s="32">
        <f t="shared" si="1"/>
        <v>2.1381794989859775</v>
      </c>
    </row>
    <row r="32" spans="2:22" ht="12.75" customHeight="1" x14ac:dyDescent="0.2">
      <c r="B32" t="s">
        <v>1229</v>
      </c>
      <c r="C32">
        <v>142.21600000000001</v>
      </c>
      <c r="D32">
        <f t="shared" si="0"/>
        <v>142.21600000000001</v>
      </c>
      <c r="J32" s="32">
        <f t="shared" si="1"/>
        <v>2.1529484594093149</v>
      </c>
      <c r="N32">
        <v>131072</v>
      </c>
    </row>
    <row r="33" spans="2:12" ht="12.75" customHeight="1" x14ac:dyDescent="0.2">
      <c r="B33" t="s">
        <v>247</v>
      </c>
      <c r="C33">
        <v>143.523</v>
      </c>
      <c r="D33">
        <f t="shared" si="0"/>
        <v>143.523</v>
      </c>
      <c r="J33" s="32">
        <f t="shared" si="1"/>
        <v>2.1569215036670513</v>
      </c>
    </row>
    <row r="34" spans="2:12" ht="12.75" customHeight="1" x14ac:dyDescent="0.2">
      <c r="B34" t="s">
        <v>453</v>
      </c>
      <c r="C34">
        <v>185.8</v>
      </c>
      <c r="D34">
        <f t="shared" si="0"/>
        <v>185.8</v>
      </c>
      <c r="J34" s="32">
        <f t="shared" si="1"/>
        <v>2.2690457096576231</v>
      </c>
    </row>
    <row r="35" spans="2:12" ht="12.75" customHeight="1" x14ac:dyDescent="0.2">
      <c r="B35" t="s">
        <v>242</v>
      </c>
      <c r="C35">
        <v>195.565</v>
      </c>
      <c r="D35">
        <f t="shared" si="0"/>
        <v>195.565</v>
      </c>
      <c r="J35" s="32">
        <f t="shared" si="1"/>
        <v>2.2912911323177663</v>
      </c>
    </row>
    <row r="36" spans="2:12" ht="12.75" customHeight="1" x14ac:dyDescent="0.2">
      <c r="B36" t="s">
        <v>853</v>
      </c>
      <c r="C36">
        <v>244.1</v>
      </c>
      <c r="D36">
        <f t="shared" si="0"/>
        <v>244.1</v>
      </c>
      <c r="J36" s="32">
        <f t="shared" si="1"/>
        <v>2.3875677794171888</v>
      </c>
    </row>
    <row r="37" spans="2:12" ht="12.75" customHeight="1" x14ac:dyDescent="0.2">
      <c r="B37" t="s">
        <v>243</v>
      </c>
      <c r="C37">
        <v>244.83</v>
      </c>
      <c r="D37">
        <f t="shared" si="0"/>
        <v>244.83</v>
      </c>
      <c r="J37" s="32">
        <f t="shared" si="1"/>
        <v>2.388864632575594</v>
      </c>
    </row>
    <row r="38" spans="2:12" ht="12.75" customHeight="1" x14ac:dyDescent="0.2">
      <c r="B38" t="s">
        <v>852</v>
      </c>
      <c r="C38">
        <v>252.5</v>
      </c>
      <c r="D38">
        <f t="shared" si="0"/>
        <v>252.5</v>
      </c>
      <c r="J38" s="32">
        <f t="shared" si="1"/>
        <v>2.4022613824546801</v>
      </c>
    </row>
    <row r="39" spans="2:12" ht="12.75" customHeight="1" x14ac:dyDescent="0.2">
      <c r="B39" t="s">
        <v>505</v>
      </c>
      <c r="C39">
        <v>289.70999999999998</v>
      </c>
      <c r="D39">
        <f t="shared" si="0"/>
        <v>289.70999999999998</v>
      </c>
      <c r="J39" s="32">
        <f t="shared" si="1"/>
        <v>2.4619634861249384</v>
      </c>
    </row>
    <row r="40" spans="2:12" ht="12.75" customHeight="1" x14ac:dyDescent="0.2">
      <c r="B40" t="s">
        <v>526</v>
      </c>
      <c r="C40">
        <v>442</v>
      </c>
      <c r="D40">
        <f t="shared" si="0"/>
        <v>442</v>
      </c>
      <c r="J40" s="32">
        <f t="shared" si="1"/>
        <v>2.6454222693490919</v>
      </c>
    </row>
    <row r="41" spans="2:12" ht="12.75" customHeight="1" x14ac:dyDescent="0.2">
      <c r="B41" t="s">
        <v>138</v>
      </c>
      <c r="C41">
        <v>648.42999999999995</v>
      </c>
      <c r="D41">
        <f t="shared" si="0"/>
        <v>648.42999999999995</v>
      </c>
      <c r="J41" s="32">
        <f t="shared" si="1"/>
        <v>2.8118630995340639</v>
      </c>
    </row>
    <row r="42" spans="2:12" ht="12.75" customHeight="1" x14ac:dyDescent="0.2">
      <c r="B42" t="s">
        <v>347</v>
      </c>
      <c r="C42">
        <v>662.5</v>
      </c>
      <c r="D42">
        <f t="shared" si="0"/>
        <v>662.5</v>
      </c>
      <c r="J42" s="32">
        <f t="shared" si="1"/>
        <v>2.8211858826088454</v>
      </c>
    </row>
    <row r="43" spans="2:12" ht="12.75" customHeight="1" x14ac:dyDescent="0.2">
      <c r="B43" t="s">
        <v>768</v>
      </c>
      <c r="C43">
        <v>1226.3</v>
      </c>
      <c r="D43">
        <f t="shared" si="0"/>
        <v>1226.3</v>
      </c>
      <c r="J43" s="32">
        <f t="shared" si="1"/>
        <v>3.088596728262746</v>
      </c>
    </row>
    <row r="44" spans="2:12" ht="12.75" customHeight="1" x14ac:dyDescent="0.2">
      <c r="B44" t="s">
        <v>1297</v>
      </c>
      <c r="C44">
        <v>0.80100000000000005</v>
      </c>
      <c r="F44">
        <f t="shared" ref="F44:F107" si="3">C44</f>
        <v>0.80100000000000005</v>
      </c>
      <c r="L44" s="32">
        <f>LOG10(F44)</f>
        <v>-9.6367483915762317E-2</v>
      </c>
    </row>
    <row r="45" spans="2:12" ht="12.75" customHeight="1" x14ac:dyDescent="0.2">
      <c r="B45" t="s">
        <v>65</v>
      </c>
      <c r="C45">
        <v>1.3</v>
      </c>
      <c r="F45">
        <f t="shared" si="3"/>
        <v>1.3</v>
      </c>
      <c r="L45" s="32">
        <f t="shared" ref="L45:L108" si="4">LOG10(F45)</f>
        <v>0.11394335230683679</v>
      </c>
    </row>
    <row r="46" spans="2:12" ht="12.75" customHeight="1" x14ac:dyDescent="0.2">
      <c r="B46" t="s">
        <v>2781</v>
      </c>
      <c r="C46">
        <v>1.39</v>
      </c>
      <c r="F46">
        <f t="shared" si="3"/>
        <v>1.39</v>
      </c>
      <c r="L46" s="32">
        <f t="shared" si="4"/>
        <v>0.14301480025409505</v>
      </c>
    </row>
    <row r="47" spans="2:12" ht="12.75" customHeight="1" x14ac:dyDescent="0.2">
      <c r="B47" t="s">
        <v>2870</v>
      </c>
      <c r="C47">
        <v>1.91</v>
      </c>
      <c r="F47">
        <f t="shared" si="3"/>
        <v>1.91</v>
      </c>
      <c r="L47" s="32">
        <f t="shared" si="4"/>
        <v>0.28103336724772754</v>
      </c>
    </row>
    <row r="48" spans="2:12" ht="12.75" customHeight="1" x14ac:dyDescent="0.2">
      <c r="B48" t="s">
        <v>1867</v>
      </c>
      <c r="C48">
        <v>5.2</v>
      </c>
      <c r="F48">
        <f t="shared" si="3"/>
        <v>5.2</v>
      </c>
      <c r="L48" s="32">
        <f t="shared" si="4"/>
        <v>0.71600334363479923</v>
      </c>
    </row>
    <row r="49" spans="2:12" ht="12.75" customHeight="1" x14ac:dyDescent="0.2">
      <c r="B49" t="s">
        <v>1866</v>
      </c>
      <c r="C49">
        <v>5.27</v>
      </c>
      <c r="F49">
        <f t="shared" si="3"/>
        <v>5.27</v>
      </c>
      <c r="L49" s="32">
        <f t="shared" si="4"/>
        <v>0.72181061521254652</v>
      </c>
    </row>
    <row r="50" spans="2:12" ht="12.75" customHeight="1" x14ac:dyDescent="0.2">
      <c r="B50" t="s">
        <v>1505</v>
      </c>
      <c r="C50">
        <v>5.28</v>
      </c>
      <c r="F50">
        <f t="shared" si="3"/>
        <v>5.28</v>
      </c>
      <c r="L50" s="32">
        <f t="shared" si="4"/>
        <v>0.72263392253381231</v>
      </c>
    </row>
    <row r="51" spans="2:12" ht="12.75" customHeight="1" x14ac:dyDescent="0.2">
      <c r="B51" t="s">
        <v>2</v>
      </c>
      <c r="C51">
        <v>5.92</v>
      </c>
      <c r="F51">
        <f t="shared" si="3"/>
        <v>5.92</v>
      </c>
      <c r="L51" s="32">
        <f t="shared" si="4"/>
        <v>0.77232170672291978</v>
      </c>
    </row>
    <row r="52" spans="2:12" ht="12.75" customHeight="1" x14ac:dyDescent="0.2">
      <c r="B52" t="s">
        <v>1651</v>
      </c>
      <c r="C52">
        <v>5.92</v>
      </c>
      <c r="F52">
        <f t="shared" si="3"/>
        <v>5.92</v>
      </c>
      <c r="L52" s="32">
        <f t="shared" si="4"/>
        <v>0.77232170672291978</v>
      </c>
    </row>
    <row r="53" spans="2:12" ht="12.75" customHeight="1" x14ac:dyDescent="0.2">
      <c r="B53" t="s">
        <v>2877</v>
      </c>
      <c r="C53">
        <v>8.6</v>
      </c>
      <c r="F53">
        <f t="shared" si="3"/>
        <v>8.6</v>
      </c>
      <c r="L53" s="32">
        <f t="shared" si="4"/>
        <v>0.93449845124356767</v>
      </c>
    </row>
    <row r="54" spans="2:12" ht="12.75" customHeight="1" x14ac:dyDescent="0.2">
      <c r="B54" t="s">
        <v>2003</v>
      </c>
      <c r="C54">
        <v>10.01</v>
      </c>
      <c r="F54">
        <f t="shared" si="3"/>
        <v>10.01</v>
      </c>
      <c r="L54" s="32">
        <f t="shared" si="4"/>
        <v>1.0004340774793186</v>
      </c>
    </row>
    <row r="55" spans="2:12" ht="12.75" customHeight="1" x14ac:dyDescent="0.2">
      <c r="B55" t="s">
        <v>2393</v>
      </c>
      <c r="C55">
        <v>10.7</v>
      </c>
      <c r="F55">
        <f t="shared" si="3"/>
        <v>10.7</v>
      </c>
      <c r="L55" s="32">
        <f t="shared" si="4"/>
        <v>1.0293837776852097</v>
      </c>
    </row>
    <row r="56" spans="2:12" ht="12.75" customHeight="1" x14ac:dyDescent="0.2">
      <c r="B56" t="s">
        <v>2017</v>
      </c>
      <c r="C56">
        <v>11</v>
      </c>
      <c r="F56">
        <f t="shared" si="3"/>
        <v>11</v>
      </c>
      <c r="L56" s="32">
        <f t="shared" si="4"/>
        <v>1.0413926851582251</v>
      </c>
    </row>
    <row r="57" spans="2:12" ht="12.75" customHeight="1" x14ac:dyDescent="0.2">
      <c r="B57" t="s">
        <v>1657</v>
      </c>
      <c r="C57">
        <v>12.2</v>
      </c>
      <c r="F57">
        <f t="shared" si="3"/>
        <v>12.2</v>
      </c>
      <c r="L57" s="32">
        <f t="shared" si="4"/>
        <v>1.0863598306747482</v>
      </c>
    </row>
    <row r="58" spans="2:12" ht="12.75" customHeight="1" x14ac:dyDescent="0.2">
      <c r="B58" t="s">
        <v>758</v>
      </c>
      <c r="C58">
        <v>12.31</v>
      </c>
      <c r="F58">
        <f t="shared" si="3"/>
        <v>12.31</v>
      </c>
      <c r="L58" s="32">
        <f t="shared" si="4"/>
        <v>1.0902580529313164</v>
      </c>
    </row>
    <row r="59" spans="2:12" ht="12.75" customHeight="1" x14ac:dyDescent="0.2">
      <c r="B59" t="s">
        <v>1303</v>
      </c>
      <c r="C59">
        <v>13.7</v>
      </c>
      <c r="F59">
        <f t="shared" si="3"/>
        <v>13.7</v>
      </c>
      <c r="L59" s="32">
        <f t="shared" si="4"/>
        <v>1.1367205671564067</v>
      </c>
    </row>
    <row r="60" spans="2:12" ht="12.75" customHeight="1" x14ac:dyDescent="0.2">
      <c r="B60" t="s">
        <v>2261</v>
      </c>
      <c r="C60">
        <v>14.4</v>
      </c>
      <c r="F60">
        <f t="shared" si="3"/>
        <v>14.4</v>
      </c>
      <c r="L60" s="32">
        <f t="shared" si="4"/>
        <v>1.1583624920952498</v>
      </c>
    </row>
    <row r="61" spans="2:12" ht="12.75" customHeight="1" x14ac:dyDescent="0.2">
      <c r="B61" t="s">
        <v>2581</v>
      </c>
      <c r="C61">
        <v>15</v>
      </c>
      <c r="F61">
        <f t="shared" si="3"/>
        <v>15</v>
      </c>
      <c r="L61" s="32">
        <f t="shared" si="4"/>
        <v>1.1760912590556813</v>
      </c>
    </row>
    <row r="62" spans="2:12" ht="12.75" customHeight="1" x14ac:dyDescent="0.2">
      <c r="B62" t="s">
        <v>3354</v>
      </c>
      <c r="C62">
        <v>15</v>
      </c>
      <c r="F62">
        <f t="shared" si="3"/>
        <v>15</v>
      </c>
      <c r="L62" s="32">
        <f t="shared" si="4"/>
        <v>1.1760912590556813</v>
      </c>
    </row>
    <row r="63" spans="2:12" ht="12.75" customHeight="1" x14ac:dyDescent="0.2">
      <c r="B63" t="s">
        <v>1686</v>
      </c>
      <c r="C63">
        <v>15.6</v>
      </c>
      <c r="F63">
        <f t="shared" si="3"/>
        <v>15.6</v>
      </c>
      <c r="L63" s="32">
        <f t="shared" si="4"/>
        <v>1.1931245983544616</v>
      </c>
    </row>
    <row r="64" spans="2:12" ht="12.75" customHeight="1" x14ac:dyDescent="0.2">
      <c r="B64" t="s">
        <v>2800</v>
      </c>
      <c r="C64">
        <v>16.7</v>
      </c>
      <c r="F64">
        <f t="shared" si="3"/>
        <v>16.7</v>
      </c>
      <c r="L64" s="32">
        <f t="shared" si="4"/>
        <v>1.2227164711475833</v>
      </c>
    </row>
    <row r="65" spans="2:12" ht="12.75" customHeight="1" x14ac:dyDescent="0.2">
      <c r="B65" t="s">
        <v>1683</v>
      </c>
      <c r="C65">
        <v>18.2</v>
      </c>
      <c r="F65">
        <f t="shared" si="3"/>
        <v>18.2</v>
      </c>
      <c r="L65" s="32">
        <f t="shared" si="4"/>
        <v>1.2600713879850747</v>
      </c>
    </row>
    <row r="66" spans="2:12" ht="12.75" customHeight="1" x14ac:dyDescent="0.2">
      <c r="B66" t="s">
        <v>1998</v>
      </c>
      <c r="C66">
        <v>19.399999999999999</v>
      </c>
      <c r="F66">
        <f t="shared" si="3"/>
        <v>19.399999999999999</v>
      </c>
      <c r="L66" s="32">
        <f t="shared" si="4"/>
        <v>1.287801729930226</v>
      </c>
    </row>
    <row r="67" spans="2:12" ht="12.75" customHeight="1" x14ac:dyDescent="0.2">
      <c r="B67" t="s">
        <v>2033</v>
      </c>
      <c r="C67">
        <v>20</v>
      </c>
      <c r="F67">
        <f t="shared" si="3"/>
        <v>20</v>
      </c>
      <c r="L67" s="32">
        <f t="shared" si="4"/>
        <v>1.3010299956639813</v>
      </c>
    </row>
    <row r="68" spans="2:12" ht="12.75" customHeight="1" x14ac:dyDescent="0.2">
      <c r="B68" t="s">
        <v>1452</v>
      </c>
      <c r="C68">
        <v>20</v>
      </c>
      <c r="F68">
        <f t="shared" si="3"/>
        <v>20</v>
      </c>
      <c r="L68" s="32">
        <f t="shared" si="4"/>
        <v>1.3010299956639813</v>
      </c>
    </row>
    <row r="69" spans="2:12" ht="12.75" customHeight="1" x14ac:dyDescent="0.2">
      <c r="B69" t="s">
        <v>3265</v>
      </c>
      <c r="C69">
        <v>20.309999999999999</v>
      </c>
      <c r="F69">
        <f t="shared" si="3"/>
        <v>20.309999999999999</v>
      </c>
      <c r="L69" s="32">
        <f t="shared" si="4"/>
        <v>1.3077099234048066</v>
      </c>
    </row>
    <row r="70" spans="2:12" ht="12.75" customHeight="1" x14ac:dyDescent="0.2">
      <c r="B70" t="s">
        <v>2416</v>
      </c>
      <c r="C70">
        <v>20.78</v>
      </c>
      <c r="F70">
        <f t="shared" si="3"/>
        <v>20.78</v>
      </c>
      <c r="L70" s="32">
        <f t="shared" si="4"/>
        <v>1.3176455432211587</v>
      </c>
    </row>
    <row r="71" spans="2:12" ht="12.75" customHeight="1" x14ac:dyDescent="0.2">
      <c r="B71" t="s">
        <v>2032</v>
      </c>
      <c r="C71">
        <v>21.73</v>
      </c>
      <c r="F71">
        <f t="shared" si="3"/>
        <v>21.73</v>
      </c>
      <c r="L71" s="32">
        <f t="shared" si="4"/>
        <v>1.3370597263205246</v>
      </c>
    </row>
    <row r="72" spans="2:12" ht="12.75" customHeight="1" x14ac:dyDescent="0.2">
      <c r="B72" t="s">
        <v>2603</v>
      </c>
      <c r="C72">
        <v>21.9</v>
      </c>
      <c r="F72">
        <f t="shared" si="3"/>
        <v>21.9</v>
      </c>
      <c r="L72" s="32">
        <f t="shared" si="4"/>
        <v>1.3404441148401183</v>
      </c>
    </row>
    <row r="73" spans="2:12" ht="12.75" customHeight="1" x14ac:dyDescent="0.2">
      <c r="B73" t="s">
        <v>2120</v>
      </c>
      <c r="C73">
        <v>22</v>
      </c>
      <c r="F73">
        <f t="shared" si="3"/>
        <v>22</v>
      </c>
      <c r="L73" s="32">
        <f t="shared" si="4"/>
        <v>1.3424226808222062</v>
      </c>
    </row>
    <row r="74" spans="2:12" ht="12.75" customHeight="1" x14ac:dyDescent="0.2">
      <c r="B74" t="s">
        <v>2232</v>
      </c>
      <c r="C74">
        <v>22</v>
      </c>
      <c r="F74">
        <f t="shared" si="3"/>
        <v>22</v>
      </c>
      <c r="L74" s="32">
        <f t="shared" si="4"/>
        <v>1.3424226808222062</v>
      </c>
    </row>
    <row r="75" spans="2:12" ht="12.75" customHeight="1" x14ac:dyDescent="0.2">
      <c r="B75" t="s">
        <v>2429</v>
      </c>
      <c r="C75">
        <v>22.9</v>
      </c>
      <c r="F75">
        <f t="shared" si="3"/>
        <v>22.9</v>
      </c>
      <c r="L75" s="32">
        <f t="shared" si="4"/>
        <v>1.3598354823398879</v>
      </c>
    </row>
    <row r="76" spans="2:12" ht="12.75" customHeight="1" x14ac:dyDescent="0.2">
      <c r="B76" t="s">
        <v>2844</v>
      </c>
      <c r="C76">
        <v>22.9</v>
      </c>
      <c r="F76">
        <f t="shared" si="3"/>
        <v>22.9</v>
      </c>
      <c r="L76" s="32">
        <f t="shared" si="4"/>
        <v>1.3598354823398879</v>
      </c>
    </row>
    <row r="77" spans="2:12" ht="12.75" customHeight="1" x14ac:dyDescent="0.2">
      <c r="B77" t="s">
        <v>1658</v>
      </c>
      <c r="C77">
        <v>23.4</v>
      </c>
      <c r="F77">
        <f t="shared" si="3"/>
        <v>23.4</v>
      </c>
      <c r="L77" s="32">
        <f t="shared" si="4"/>
        <v>1.3692158574101427</v>
      </c>
    </row>
    <row r="78" spans="2:12" ht="12.75" customHeight="1" x14ac:dyDescent="0.2">
      <c r="B78" t="s">
        <v>1798</v>
      </c>
      <c r="C78">
        <v>23.8</v>
      </c>
      <c r="F78">
        <f t="shared" si="3"/>
        <v>23.8</v>
      </c>
      <c r="L78" s="32">
        <f t="shared" si="4"/>
        <v>1.3765769570565121</v>
      </c>
    </row>
    <row r="79" spans="2:12" ht="12.75" customHeight="1" x14ac:dyDescent="0.2">
      <c r="B79" t="s">
        <v>2887</v>
      </c>
      <c r="C79">
        <v>24.2</v>
      </c>
      <c r="F79">
        <f t="shared" si="3"/>
        <v>24.2</v>
      </c>
      <c r="L79" s="32">
        <f t="shared" si="4"/>
        <v>1.3838153659804313</v>
      </c>
    </row>
    <row r="80" spans="2:12" ht="12.75" customHeight="1" x14ac:dyDescent="0.2">
      <c r="B80" t="s">
        <v>2819</v>
      </c>
      <c r="C80">
        <v>24.4</v>
      </c>
      <c r="F80">
        <f t="shared" si="3"/>
        <v>24.4</v>
      </c>
      <c r="L80" s="32">
        <f t="shared" si="4"/>
        <v>1.3873898263387294</v>
      </c>
    </row>
    <row r="81" spans="2:12" ht="12.75" customHeight="1" x14ac:dyDescent="0.2">
      <c r="B81" t="s">
        <v>2196</v>
      </c>
      <c r="C81">
        <v>24.73</v>
      </c>
      <c r="F81">
        <f t="shared" si="3"/>
        <v>24.73</v>
      </c>
      <c r="L81" s="32">
        <f t="shared" si="4"/>
        <v>1.3932241163612973</v>
      </c>
    </row>
    <row r="82" spans="2:12" ht="12.75" customHeight="1" x14ac:dyDescent="0.2">
      <c r="B82" t="s">
        <v>2252</v>
      </c>
      <c r="C82">
        <v>25</v>
      </c>
      <c r="F82">
        <f t="shared" si="3"/>
        <v>25</v>
      </c>
      <c r="L82" s="32">
        <f t="shared" si="4"/>
        <v>1.3979400086720377</v>
      </c>
    </row>
    <row r="83" spans="2:12" ht="12.75" customHeight="1" x14ac:dyDescent="0.2">
      <c r="B83" t="s">
        <v>2755</v>
      </c>
      <c r="C83">
        <v>25</v>
      </c>
      <c r="F83">
        <f t="shared" si="3"/>
        <v>25</v>
      </c>
      <c r="L83" s="32">
        <f t="shared" si="4"/>
        <v>1.3979400086720377</v>
      </c>
    </row>
    <row r="84" spans="2:12" ht="12.75" customHeight="1" x14ac:dyDescent="0.2">
      <c r="B84" t="s">
        <v>2258</v>
      </c>
      <c r="C84">
        <v>26</v>
      </c>
      <c r="F84">
        <f t="shared" si="3"/>
        <v>26</v>
      </c>
      <c r="L84" s="32">
        <f t="shared" si="4"/>
        <v>1.414973347970818</v>
      </c>
    </row>
    <row r="85" spans="2:12" ht="12.75" customHeight="1" x14ac:dyDescent="0.2">
      <c r="B85" t="s">
        <v>1848</v>
      </c>
      <c r="C85">
        <v>27.5</v>
      </c>
      <c r="F85">
        <f t="shared" si="3"/>
        <v>27.5</v>
      </c>
      <c r="L85" s="32">
        <f t="shared" si="4"/>
        <v>1.4393326938302626</v>
      </c>
    </row>
    <row r="86" spans="2:12" ht="12.75" customHeight="1" x14ac:dyDescent="0.2">
      <c r="B86" t="s">
        <v>2423</v>
      </c>
      <c r="C86">
        <v>28</v>
      </c>
      <c r="F86">
        <f t="shared" si="3"/>
        <v>28</v>
      </c>
      <c r="L86" s="32">
        <f t="shared" si="4"/>
        <v>1.4471580313422192</v>
      </c>
    </row>
    <row r="87" spans="2:12" ht="12.75" customHeight="1" x14ac:dyDescent="0.2">
      <c r="B87" t="s">
        <v>82</v>
      </c>
      <c r="C87">
        <v>29.72</v>
      </c>
      <c r="F87">
        <f t="shared" si="3"/>
        <v>29.72</v>
      </c>
      <c r="L87" s="32">
        <f t="shared" si="4"/>
        <v>1.4730488050885377</v>
      </c>
    </row>
    <row r="88" spans="2:12" ht="12.75" customHeight="1" x14ac:dyDescent="0.2">
      <c r="B88" t="s">
        <v>2757</v>
      </c>
      <c r="C88">
        <v>30.07</v>
      </c>
      <c r="F88">
        <f t="shared" si="3"/>
        <v>30.07</v>
      </c>
      <c r="L88" s="32">
        <f t="shared" si="4"/>
        <v>1.4781334281005176</v>
      </c>
    </row>
    <row r="89" spans="2:12" ht="12.75" customHeight="1" x14ac:dyDescent="0.2">
      <c r="B89" t="s">
        <v>2018</v>
      </c>
      <c r="C89">
        <v>31</v>
      </c>
      <c r="F89">
        <f t="shared" si="3"/>
        <v>31</v>
      </c>
      <c r="L89" s="32">
        <f t="shared" si="4"/>
        <v>1.4913616938342726</v>
      </c>
    </row>
    <row r="90" spans="2:12" ht="12.75" customHeight="1" x14ac:dyDescent="0.2">
      <c r="B90" t="s">
        <v>1066</v>
      </c>
      <c r="C90">
        <v>31.7</v>
      </c>
      <c r="F90">
        <f t="shared" si="3"/>
        <v>31.7</v>
      </c>
      <c r="L90" s="32">
        <f t="shared" si="4"/>
        <v>1.5010592622177514</v>
      </c>
    </row>
    <row r="91" spans="2:12" ht="12.75" customHeight="1" x14ac:dyDescent="0.2">
      <c r="B91" t="s">
        <v>2108</v>
      </c>
      <c r="C91">
        <v>33</v>
      </c>
      <c r="F91">
        <f t="shared" si="3"/>
        <v>33</v>
      </c>
      <c r="L91" s="32">
        <f t="shared" si="4"/>
        <v>1.5185139398778875</v>
      </c>
    </row>
    <row r="92" spans="2:12" ht="12.75" customHeight="1" x14ac:dyDescent="0.2">
      <c r="B92" t="s">
        <v>2784</v>
      </c>
      <c r="C92">
        <v>33</v>
      </c>
      <c r="F92">
        <f t="shared" si="3"/>
        <v>33</v>
      </c>
      <c r="L92" s="32">
        <f t="shared" si="4"/>
        <v>1.5185139398778875</v>
      </c>
    </row>
    <row r="93" spans="2:12" ht="12.75" customHeight="1" x14ac:dyDescent="0.2">
      <c r="B93" t="s">
        <v>976</v>
      </c>
      <c r="C93">
        <v>33</v>
      </c>
      <c r="F93">
        <f t="shared" si="3"/>
        <v>33</v>
      </c>
      <c r="L93" s="32">
        <f t="shared" si="4"/>
        <v>1.5185139398778875</v>
      </c>
    </row>
    <row r="94" spans="2:12" ht="12.75" customHeight="1" x14ac:dyDescent="0.2">
      <c r="B94" t="s">
        <v>974</v>
      </c>
      <c r="C94">
        <v>34</v>
      </c>
      <c r="F94">
        <f t="shared" si="3"/>
        <v>34</v>
      </c>
      <c r="L94" s="32">
        <f t="shared" si="4"/>
        <v>1.5314789170422551</v>
      </c>
    </row>
    <row r="95" spans="2:12" ht="12.75" customHeight="1" x14ac:dyDescent="0.2">
      <c r="B95" t="s">
        <v>2663</v>
      </c>
      <c r="C95">
        <v>34.4</v>
      </c>
      <c r="F95">
        <f t="shared" si="3"/>
        <v>34.4</v>
      </c>
      <c r="L95" s="32">
        <f t="shared" si="4"/>
        <v>1.5365584425715302</v>
      </c>
    </row>
    <row r="96" spans="2:12" ht="12.75" customHeight="1" x14ac:dyDescent="0.2">
      <c r="B96" t="s">
        <v>2896</v>
      </c>
      <c r="C96">
        <v>35</v>
      </c>
      <c r="F96">
        <f t="shared" si="3"/>
        <v>35</v>
      </c>
      <c r="L96" s="32">
        <f t="shared" si="4"/>
        <v>1.5440680443502757</v>
      </c>
    </row>
    <row r="97" spans="2:12" ht="12.75" customHeight="1" x14ac:dyDescent="0.2">
      <c r="B97" t="s">
        <v>2619</v>
      </c>
      <c r="C97">
        <v>36</v>
      </c>
      <c r="F97">
        <f t="shared" si="3"/>
        <v>36</v>
      </c>
      <c r="L97" s="32">
        <f t="shared" si="4"/>
        <v>1.5563025007672873</v>
      </c>
    </row>
    <row r="98" spans="2:12" ht="12.75" customHeight="1" x14ac:dyDescent="0.2">
      <c r="B98" t="s">
        <v>2246</v>
      </c>
      <c r="C98">
        <v>36.28</v>
      </c>
      <c r="F98">
        <f t="shared" si="3"/>
        <v>36.28</v>
      </c>
      <c r="L98" s="32">
        <f t="shared" si="4"/>
        <v>1.5596672783880576</v>
      </c>
    </row>
    <row r="99" spans="2:12" ht="12.75" customHeight="1" x14ac:dyDescent="0.2">
      <c r="B99" t="s">
        <v>1787</v>
      </c>
      <c r="C99">
        <v>36.5</v>
      </c>
      <c r="F99">
        <f t="shared" si="3"/>
        <v>36.5</v>
      </c>
      <c r="L99" s="32">
        <f t="shared" si="4"/>
        <v>1.5622928644564746</v>
      </c>
    </row>
    <row r="100" spans="2:12" ht="12.75" customHeight="1" x14ac:dyDescent="0.2">
      <c r="B100" t="s">
        <v>2650</v>
      </c>
      <c r="C100">
        <v>37.299999999999997</v>
      </c>
      <c r="F100">
        <f t="shared" si="3"/>
        <v>37.299999999999997</v>
      </c>
      <c r="L100" s="32">
        <f t="shared" si="4"/>
        <v>1.5717088318086876</v>
      </c>
    </row>
    <row r="101" spans="2:12" ht="12.75" customHeight="1" x14ac:dyDescent="0.2">
      <c r="B101" t="s">
        <v>619</v>
      </c>
      <c r="C101">
        <v>38</v>
      </c>
      <c r="F101">
        <f t="shared" si="3"/>
        <v>38</v>
      </c>
      <c r="L101" s="32">
        <f t="shared" si="4"/>
        <v>1.5797835966168101</v>
      </c>
    </row>
    <row r="102" spans="2:12" ht="12.75" customHeight="1" x14ac:dyDescent="0.2">
      <c r="B102" t="s">
        <v>1989</v>
      </c>
      <c r="C102">
        <v>39</v>
      </c>
      <c r="F102">
        <f t="shared" si="3"/>
        <v>39</v>
      </c>
      <c r="L102" s="32">
        <f t="shared" si="4"/>
        <v>1.5910646070264991</v>
      </c>
    </row>
    <row r="103" spans="2:12" ht="12.75" customHeight="1" x14ac:dyDescent="0.2">
      <c r="B103" t="s">
        <v>2231</v>
      </c>
      <c r="C103">
        <v>39</v>
      </c>
      <c r="F103">
        <f t="shared" si="3"/>
        <v>39</v>
      </c>
      <c r="L103" s="32">
        <f t="shared" si="4"/>
        <v>1.5910646070264991</v>
      </c>
    </row>
    <row r="104" spans="2:12" ht="12.75" customHeight="1" x14ac:dyDescent="0.2">
      <c r="B104" t="s">
        <v>2885</v>
      </c>
      <c r="C104">
        <v>39.200000000000003</v>
      </c>
      <c r="F104">
        <f t="shared" si="3"/>
        <v>39.200000000000003</v>
      </c>
      <c r="L104" s="32">
        <f t="shared" si="4"/>
        <v>1.5932860670204574</v>
      </c>
    </row>
    <row r="105" spans="2:12" ht="12.75" customHeight="1" x14ac:dyDescent="0.2">
      <c r="B105" t="s">
        <v>3</v>
      </c>
      <c r="C105">
        <v>40.700000000000003</v>
      </c>
      <c r="F105">
        <f t="shared" si="3"/>
        <v>40.700000000000003</v>
      </c>
      <c r="L105" s="32">
        <f t="shared" si="4"/>
        <v>1.6095944092252201</v>
      </c>
    </row>
    <row r="106" spans="2:12" ht="12.75" customHeight="1" x14ac:dyDescent="0.2">
      <c r="B106" t="s">
        <v>2185</v>
      </c>
      <c r="C106">
        <v>41.3</v>
      </c>
      <c r="F106">
        <f t="shared" si="3"/>
        <v>41.3</v>
      </c>
      <c r="L106" s="32">
        <f t="shared" si="4"/>
        <v>1.6159500516564009</v>
      </c>
    </row>
    <row r="107" spans="2:12" ht="12.75" customHeight="1" x14ac:dyDescent="0.2">
      <c r="B107" t="s">
        <v>1347</v>
      </c>
      <c r="C107">
        <v>42</v>
      </c>
      <c r="F107">
        <f t="shared" si="3"/>
        <v>42</v>
      </c>
      <c r="L107" s="32">
        <f t="shared" si="4"/>
        <v>1.6232492903979006</v>
      </c>
    </row>
    <row r="108" spans="2:12" ht="12.75" customHeight="1" x14ac:dyDescent="0.2">
      <c r="B108" t="s">
        <v>1465</v>
      </c>
      <c r="C108">
        <v>42.4</v>
      </c>
      <c r="F108">
        <f t="shared" ref="F108:F171" si="5">C108</f>
        <v>42.4</v>
      </c>
      <c r="L108" s="32">
        <f t="shared" si="4"/>
        <v>1.6273658565927327</v>
      </c>
    </row>
    <row r="109" spans="2:12" ht="12.75" customHeight="1" x14ac:dyDescent="0.2">
      <c r="B109" t="s">
        <v>2668</v>
      </c>
      <c r="C109">
        <v>42.8</v>
      </c>
      <c r="F109">
        <f t="shared" si="5"/>
        <v>42.8</v>
      </c>
      <c r="L109" s="32">
        <f t="shared" ref="L109:L172" si="6">LOG10(F109)</f>
        <v>1.631443769013172</v>
      </c>
    </row>
    <row r="110" spans="2:12" ht="12.75" customHeight="1" x14ac:dyDescent="0.2">
      <c r="B110" t="s">
        <v>2183</v>
      </c>
      <c r="C110">
        <v>43.02</v>
      </c>
      <c r="F110">
        <f t="shared" si="5"/>
        <v>43.02</v>
      </c>
      <c r="L110" s="32">
        <f t="shared" si="6"/>
        <v>1.6336704060514438</v>
      </c>
    </row>
    <row r="111" spans="2:12" ht="12.75" customHeight="1" x14ac:dyDescent="0.2">
      <c r="B111" t="s">
        <v>2110</v>
      </c>
      <c r="C111">
        <v>43.35</v>
      </c>
      <c r="F111">
        <f t="shared" si="5"/>
        <v>43.35</v>
      </c>
      <c r="L111" s="32">
        <f t="shared" si="6"/>
        <v>1.6369891018122291</v>
      </c>
    </row>
    <row r="112" spans="2:12" ht="12.75" customHeight="1" x14ac:dyDescent="0.2">
      <c r="B112" t="s">
        <v>2193</v>
      </c>
      <c r="C112">
        <v>43.56</v>
      </c>
      <c r="F112">
        <f t="shared" si="5"/>
        <v>43.56</v>
      </c>
      <c r="L112" s="32">
        <f t="shared" si="6"/>
        <v>1.6390878710837373</v>
      </c>
    </row>
    <row r="113" spans="2:12" ht="12.75" customHeight="1" x14ac:dyDescent="0.2">
      <c r="B113" t="s">
        <v>1791</v>
      </c>
      <c r="C113">
        <v>45</v>
      </c>
      <c r="F113">
        <f t="shared" si="5"/>
        <v>45</v>
      </c>
      <c r="L113" s="32">
        <f t="shared" si="6"/>
        <v>1.6532125137753437</v>
      </c>
    </row>
    <row r="114" spans="2:12" ht="12.75" customHeight="1" x14ac:dyDescent="0.2">
      <c r="B114" t="s">
        <v>2686</v>
      </c>
      <c r="C114">
        <v>47</v>
      </c>
      <c r="F114">
        <f t="shared" si="5"/>
        <v>47</v>
      </c>
      <c r="L114" s="32">
        <f t="shared" si="6"/>
        <v>1.6720978579357175</v>
      </c>
    </row>
    <row r="115" spans="2:12" ht="12.75" customHeight="1" x14ac:dyDescent="0.2">
      <c r="B115" t="s">
        <v>1667</v>
      </c>
      <c r="C115">
        <v>47.3</v>
      </c>
      <c r="F115">
        <f t="shared" si="5"/>
        <v>47.3</v>
      </c>
      <c r="L115" s="32">
        <f t="shared" si="6"/>
        <v>1.6748611407378116</v>
      </c>
    </row>
    <row r="116" spans="2:12" ht="12.75" customHeight="1" x14ac:dyDescent="0.2">
      <c r="B116" t="s">
        <v>2841</v>
      </c>
      <c r="C116">
        <v>48.7</v>
      </c>
      <c r="F116">
        <f t="shared" si="5"/>
        <v>48.7</v>
      </c>
      <c r="L116" s="32">
        <f t="shared" si="6"/>
        <v>1.6875289612146342</v>
      </c>
    </row>
    <row r="117" spans="2:12" ht="12.75" customHeight="1" x14ac:dyDescent="0.2">
      <c r="B117" t="s">
        <v>2199</v>
      </c>
      <c r="C117">
        <v>49.15</v>
      </c>
      <c r="F117">
        <f t="shared" si="5"/>
        <v>49.15</v>
      </c>
      <c r="L117" s="32">
        <f t="shared" si="6"/>
        <v>1.6915235221681544</v>
      </c>
    </row>
    <row r="118" spans="2:12" ht="12.75" customHeight="1" x14ac:dyDescent="0.2">
      <c r="B118" t="s">
        <v>49</v>
      </c>
      <c r="C118">
        <v>50.4</v>
      </c>
      <c r="F118">
        <f t="shared" si="5"/>
        <v>50.4</v>
      </c>
      <c r="L118" s="32">
        <f t="shared" si="6"/>
        <v>1.7024305364455252</v>
      </c>
    </row>
    <row r="119" spans="2:12" ht="12.75" customHeight="1" x14ac:dyDescent="0.2">
      <c r="B119" t="s">
        <v>1849</v>
      </c>
      <c r="C119">
        <v>51</v>
      </c>
      <c r="F119">
        <f t="shared" si="5"/>
        <v>51</v>
      </c>
      <c r="L119" s="32">
        <f t="shared" si="6"/>
        <v>1.7075701760979363</v>
      </c>
    </row>
    <row r="120" spans="2:12" ht="12.75" customHeight="1" x14ac:dyDescent="0.2">
      <c r="B120" t="s">
        <v>2872</v>
      </c>
      <c r="C120">
        <v>54</v>
      </c>
      <c r="F120">
        <f t="shared" si="5"/>
        <v>54</v>
      </c>
      <c r="L120" s="32">
        <f t="shared" si="6"/>
        <v>1.7323937598229686</v>
      </c>
    </row>
    <row r="121" spans="2:12" ht="12.75" customHeight="1" x14ac:dyDescent="0.2">
      <c r="B121" t="s">
        <v>1979</v>
      </c>
      <c r="C121">
        <v>54.2</v>
      </c>
      <c r="F121">
        <f t="shared" si="5"/>
        <v>54.2</v>
      </c>
      <c r="L121" s="32">
        <f t="shared" si="6"/>
        <v>1.7339992865383869</v>
      </c>
    </row>
    <row r="122" spans="2:12" ht="12.75" customHeight="1" x14ac:dyDescent="0.2">
      <c r="B122" t="s">
        <v>2561</v>
      </c>
      <c r="C122">
        <v>54.5</v>
      </c>
      <c r="F122">
        <f t="shared" si="5"/>
        <v>54.5</v>
      </c>
      <c r="L122" s="32">
        <f t="shared" si="6"/>
        <v>1.7363965022766426</v>
      </c>
    </row>
    <row r="123" spans="2:12" ht="12.75" customHeight="1" x14ac:dyDescent="0.2">
      <c r="B123" t="s">
        <v>2244</v>
      </c>
      <c r="C123">
        <v>55</v>
      </c>
      <c r="F123">
        <f t="shared" si="5"/>
        <v>55</v>
      </c>
      <c r="L123" s="32">
        <f t="shared" si="6"/>
        <v>1.7403626894942439</v>
      </c>
    </row>
    <row r="124" spans="2:12" ht="12.75" customHeight="1" x14ac:dyDescent="0.2">
      <c r="B124" t="s">
        <v>1870</v>
      </c>
      <c r="C124">
        <v>56</v>
      </c>
      <c r="F124">
        <f t="shared" si="5"/>
        <v>56</v>
      </c>
      <c r="L124" s="32">
        <f t="shared" si="6"/>
        <v>1.7481880270062005</v>
      </c>
    </row>
    <row r="125" spans="2:12" ht="12.75" customHeight="1" x14ac:dyDescent="0.2">
      <c r="B125" t="s">
        <v>2218</v>
      </c>
      <c r="C125">
        <v>56</v>
      </c>
      <c r="F125">
        <f t="shared" si="5"/>
        <v>56</v>
      </c>
      <c r="L125" s="32">
        <f t="shared" si="6"/>
        <v>1.7481880270062005</v>
      </c>
    </row>
    <row r="126" spans="2:12" ht="12.75" customHeight="1" x14ac:dyDescent="0.2">
      <c r="B126" t="s">
        <v>2009</v>
      </c>
      <c r="C126">
        <v>58</v>
      </c>
      <c r="F126">
        <f t="shared" si="5"/>
        <v>58</v>
      </c>
      <c r="L126" s="32">
        <f t="shared" si="6"/>
        <v>1.7634279935629373</v>
      </c>
    </row>
    <row r="127" spans="2:12" ht="12.75" customHeight="1" x14ac:dyDescent="0.2">
      <c r="B127" t="s">
        <v>1669</v>
      </c>
      <c r="C127">
        <v>58</v>
      </c>
      <c r="F127">
        <f t="shared" si="5"/>
        <v>58</v>
      </c>
      <c r="L127" s="32">
        <f t="shared" si="6"/>
        <v>1.7634279935629373</v>
      </c>
    </row>
    <row r="128" spans="2:12" ht="12.75" customHeight="1" x14ac:dyDescent="0.2">
      <c r="B128" t="s">
        <v>2838</v>
      </c>
      <c r="C128">
        <v>59</v>
      </c>
      <c r="F128">
        <f t="shared" si="5"/>
        <v>59</v>
      </c>
      <c r="L128" s="32">
        <f t="shared" si="6"/>
        <v>1.7708520116421442</v>
      </c>
    </row>
    <row r="129" spans="2:12" ht="12.75" customHeight="1" x14ac:dyDescent="0.2">
      <c r="B129" t="s">
        <v>1652</v>
      </c>
      <c r="C129">
        <v>59.8</v>
      </c>
      <c r="F129">
        <f t="shared" si="5"/>
        <v>59.8</v>
      </c>
      <c r="L129" s="32">
        <f t="shared" si="6"/>
        <v>1.7767011839884108</v>
      </c>
    </row>
    <row r="130" spans="2:12" ht="12.75" customHeight="1" x14ac:dyDescent="0.2">
      <c r="B130" t="s">
        <v>2399</v>
      </c>
      <c r="C130">
        <v>60</v>
      </c>
      <c r="F130">
        <f t="shared" si="5"/>
        <v>60</v>
      </c>
      <c r="L130" s="32">
        <f t="shared" si="6"/>
        <v>1.7781512503836436</v>
      </c>
    </row>
    <row r="131" spans="2:12" ht="12.75" customHeight="1" x14ac:dyDescent="0.2">
      <c r="B131" t="s">
        <v>2785</v>
      </c>
      <c r="C131">
        <v>60</v>
      </c>
      <c r="F131">
        <f t="shared" si="5"/>
        <v>60</v>
      </c>
      <c r="L131" s="32">
        <f t="shared" si="6"/>
        <v>1.7781512503836436</v>
      </c>
    </row>
    <row r="132" spans="2:12" ht="12.75" customHeight="1" x14ac:dyDescent="0.2">
      <c r="B132" t="s">
        <v>1456</v>
      </c>
      <c r="C132">
        <v>60</v>
      </c>
      <c r="F132">
        <f t="shared" si="5"/>
        <v>60</v>
      </c>
      <c r="L132" s="32">
        <f t="shared" si="6"/>
        <v>1.7781512503836436</v>
      </c>
    </row>
    <row r="133" spans="2:12" ht="12.75" customHeight="1" x14ac:dyDescent="0.2">
      <c r="B133" t="s">
        <v>2200</v>
      </c>
      <c r="C133">
        <v>60.2</v>
      </c>
      <c r="F133">
        <f t="shared" si="5"/>
        <v>60.2</v>
      </c>
      <c r="L133" s="32">
        <f t="shared" si="6"/>
        <v>1.7795964912578246</v>
      </c>
    </row>
    <row r="134" spans="2:12" ht="12.75" customHeight="1" x14ac:dyDescent="0.2">
      <c r="B134" t="s">
        <v>2495</v>
      </c>
      <c r="C134">
        <v>61.5</v>
      </c>
      <c r="F134">
        <f t="shared" si="5"/>
        <v>61.5</v>
      </c>
      <c r="L134" s="32">
        <f t="shared" si="6"/>
        <v>1.7888751157754168</v>
      </c>
    </row>
    <row r="135" spans="2:12" ht="12.75" customHeight="1" x14ac:dyDescent="0.2">
      <c r="B135" t="s">
        <v>2387</v>
      </c>
      <c r="C135">
        <v>62</v>
      </c>
      <c r="F135">
        <f t="shared" si="5"/>
        <v>62</v>
      </c>
      <c r="L135" s="32">
        <f t="shared" si="6"/>
        <v>1.7923916894982539</v>
      </c>
    </row>
    <row r="136" spans="2:12" ht="12.75" customHeight="1" x14ac:dyDescent="0.2">
      <c r="B136" t="s">
        <v>1863</v>
      </c>
      <c r="C136">
        <v>64</v>
      </c>
      <c r="F136">
        <f t="shared" si="5"/>
        <v>64</v>
      </c>
      <c r="L136" s="32">
        <f t="shared" si="6"/>
        <v>1.8061799739838871</v>
      </c>
    </row>
    <row r="137" spans="2:12" ht="12.75" customHeight="1" x14ac:dyDescent="0.2">
      <c r="B137" t="s">
        <v>1254</v>
      </c>
      <c r="C137">
        <v>64.3</v>
      </c>
      <c r="F137">
        <f t="shared" si="5"/>
        <v>64.3</v>
      </c>
      <c r="L137" s="32">
        <f t="shared" si="6"/>
        <v>1.8082109729242219</v>
      </c>
    </row>
    <row r="138" spans="2:12" ht="12.75" customHeight="1" x14ac:dyDescent="0.2">
      <c r="B138" t="s">
        <v>2592</v>
      </c>
      <c r="C138">
        <v>65</v>
      </c>
      <c r="F138">
        <f t="shared" si="5"/>
        <v>65</v>
      </c>
      <c r="L138" s="32">
        <f t="shared" si="6"/>
        <v>1.8129133566428555</v>
      </c>
    </row>
    <row r="139" spans="2:12" ht="12.75" customHeight="1" x14ac:dyDescent="0.2">
      <c r="B139" t="s">
        <v>2596</v>
      </c>
      <c r="C139">
        <v>67</v>
      </c>
      <c r="F139">
        <f t="shared" si="5"/>
        <v>67</v>
      </c>
      <c r="L139" s="32">
        <f t="shared" si="6"/>
        <v>1.8260748027008264</v>
      </c>
    </row>
    <row r="140" spans="2:12" ht="12.75" customHeight="1" x14ac:dyDescent="0.2">
      <c r="B140" t="s">
        <v>2601</v>
      </c>
      <c r="C140">
        <v>67.05</v>
      </c>
      <c r="F140">
        <f t="shared" si="5"/>
        <v>67.05</v>
      </c>
      <c r="L140" s="32">
        <f t="shared" si="6"/>
        <v>1.8263987821876178</v>
      </c>
    </row>
    <row r="141" spans="2:12" ht="12.75" customHeight="1" x14ac:dyDescent="0.2">
      <c r="B141" t="s">
        <v>1987</v>
      </c>
      <c r="C141">
        <v>68</v>
      </c>
      <c r="F141">
        <f t="shared" si="5"/>
        <v>68</v>
      </c>
      <c r="L141" s="32">
        <f t="shared" si="6"/>
        <v>1.8325089127062364</v>
      </c>
    </row>
    <row r="142" spans="2:12" ht="12.75" customHeight="1" x14ac:dyDescent="0.2">
      <c r="B142" t="s">
        <v>2245</v>
      </c>
      <c r="C142">
        <v>68.040000000000006</v>
      </c>
      <c r="F142">
        <f t="shared" si="5"/>
        <v>68.040000000000006</v>
      </c>
      <c r="L142" s="32">
        <f t="shared" si="6"/>
        <v>1.8327643049405316</v>
      </c>
    </row>
    <row r="143" spans="2:12" ht="12.75" customHeight="1" x14ac:dyDescent="0.2">
      <c r="B143" t="s">
        <v>2762</v>
      </c>
      <c r="C143">
        <v>68.75</v>
      </c>
      <c r="F143">
        <f t="shared" si="5"/>
        <v>68.75</v>
      </c>
      <c r="L143" s="32">
        <f t="shared" si="6"/>
        <v>1.8372727025023003</v>
      </c>
    </row>
    <row r="144" spans="2:12" ht="12.75" customHeight="1" x14ac:dyDescent="0.2">
      <c r="B144" t="s">
        <v>3364</v>
      </c>
      <c r="C144">
        <v>69.599999999999994</v>
      </c>
      <c r="F144">
        <f t="shared" si="5"/>
        <v>69.599999999999994</v>
      </c>
      <c r="L144" s="32">
        <f t="shared" si="6"/>
        <v>1.842609239610562</v>
      </c>
    </row>
    <row r="145" spans="2:12" ht="12.75" customHeight="1" x14ac:dyDescent="0.2">
      <c r="B145" t="s">
        <v>1844</v>
      </c>
      <c r="C145">
        <v>69.900000000000006</v>
      </c>
      <c r="F145">
        <f t="shared" si="5"/>
        <v>69.900000000000006</v>
      </c>
      <c r="L145" s="32">
        <f t="shared" si="6"/>
        <v>1.8444771757456815</v>
      </c>
    </row>
    <row r="146" spans="2:12" ht="12.75" customHeight="1" x14ac:dyDescent="0.2">
      <c r="B146" t="s">
        <v>2538</v>
      </c>
      <c r="C146">
        <v>70</v>
      </c>
      <c r="F146">
        <f t="shared" si="5"/>
        <v>70</v>
      </c>
      <c r="L146" s="32">
        <f t="shared" si="6"/>
        <v>1.8450980400142569</v>
      </c>
    </row>
    <row r="147" spans="2:12" ht="12.75" customHeight="1" x14ac:dyDescent="0.2">
      <c r="B147" t="s">
        <v>4</v>
      </c>
      <c r="C147">
        <v>70</v>
      </c>
      <c r="F147">
        <f t="shared" si="5"/>
        <v>70</v>
      </c>
      <c r="L147" s="32">
        <f t="shared" si="6"/>
        <v>1.8450980400142569</v>
      </c>
    </row>
    <row r="148" spans="2:12" ht="12.75" customHeight="1" x14ac:dyDescent="0.2">
      <c r="B148" t="s">
        <v>2732</v>
      </c>
      <c r="C148">
        <v>71.239999999999995</v>
      </c>
      <c r="F148">
        <f t="shared" si="5"/>
        <v>71.239999999999995</v>
      </c>
      <c r="L148" s="32">
        <f t="shared" si="6"/>
        <v>1.8527239107912059</v>
      </c>
    </row>
    <row r="149" spans="2:12" ht="12.75" customHeight="1" x14ac:dyDescent="0.2">
      <c r="B149" t="s">
        <v>1817</v>
      </c>
      <c r="C149">
        <v>72</v>
      </c>
      <c r="F149">
        <f t="shared" si="5"/>
        <v>72</v>
      </c>
      <c r="L149" s="32">
        <f t="shared" si="6"/>
        <v>1.8573324964312685</v>
      </c>
    </row>
    <row r="150" spans="2:12" ht="12.75" customHeight="1" x14ac:dyDescent="0.2">
      <c r="B150" t="s">
        <v>2427</v>
      </c>
      <c r="C150">
        <v>73.599999999999994</v>
      </c>
      <c r="F150">
        <f t="shared" si="5"/>
        <v>73.599999999999994</v>
      </c>
      <c r="L150" s="32">
        <f t="shared" si="6"/>
        <v>1.8668778143374989</v>
      </c>
    </row>
    <row r="151" spans="2:12" ht="12.75" customHeight="1" x14ac:dyDescent="0.2">
      <c r="B151" t="s">
        <v>2004</v>
      </c>
      <c r="C151">
        <v>74.25</v>
      </c>
      <c r="F151">
        <f t="shared" si="5"/>
        <v>74.25</v>
      </c>
      <c r="L151" s="32">
        <f t="shared" si="6"/>
        <v>1.87069645798925</v>
      </c>
    </row>
    <row r="152" spans="2:12" ht="12.75" customHeight="1" x14ac:dyDescent="0.2">
      <c r="B152" t="s">
        <v>2440</v>
      </c>
      <c r="C152">
        <v>74.5</v>
      </c>
      <c r="F152">
        <f t="shared" si="5"/>
        <v>74.5</v>
      </c>
      <c r="L152" s="32">
        <f t="shared" si="6"/>
        <v>1.8721562727482928</v>
      </c>
    </row>
    <row r="153" spans="2:12" ht="12.75" customHeight="1" x14ac:dyDescent="0.2">
      <c r="B153" t="s">
        <v>2253</v>
      </c>
      <c r="C153">
        <v>75</v>
      </c>
      <c r="F153">
        <f t="shared" si="5"/>
        <v>75</v>
      </c>
      <c r="L153" s="32">
        <f t="shared" si="6"/>
        <v>1.8750612633917001</v>
      </c>
    </row>
    <row r="154" spans="2:12" ht="12.75" customHeight="1" x14ac:dyDescent="0.2">
      <c r="B154" t="s">
        <v>2386</v>
      </c>
      <c r="C154">
        <v>77</v>
      </c>
      <c r="F154">
        <f t="shared" si="5"/>
        <v>77</v>
      </c>
      <c r="L154" s="32">
        <f t="shared" si="6"/>
        <v>1.8864907251724818</v>
      </c>
    </row>
    <row r="155" spans="2:12" ht="12.75" customHeight="1" x14ac:dyDescent="0.2">
      <c r="B155" t="s">
        <v>2119</v>
      </c>
      <c r="C155">
        <v>77.8</v>
      </c>
      <c r="F155">
        <f t="shared" si="5"/>
        <v>77.8</v>
      </c>
      <c r="L155" s="32">
        <f t="shared" si="6"/>
        <v>1.890979596989689</v>
      </c>
    </row>
    <row r="156" spans="2:12" ht="12.75" customHeight="1" x14ac:dyDescent="0.2">
      <c r="B156" t="s">
        <v>2426</v>
      </c>
      <c r="C156">
        <v>80</v>
      </c>
      <c r="F156">
        <f t="shared" si="5"/>
        <v>80</v>
      </c>
      <c r="L156" s="32">
        <f t="shared" si="6"/>
        <v>1.9030899869919435</v>
      </c>
    </row>
    <row r="157" spans="2:12" ht="12.75" customHeight="1" x14ac:dyDescent="0.2">
      <c r="B157" t="s">
        <v>2960</v>
      </c>
      <c r="C157">
        <v>80</v>
      </c>
      <c r="F157">
        <f t="shared" si="5"/>
        <v>80</v>
      </c>
      <c r="L157" s="32">
        <f t="shared" si="6"/>
        <v>1.9030899869919435</v>
      </c>
    </row>
    <row r="158" spans="2:12" ht="12.75" customHeight="1" x14ac:dyDescent="0.2">
      <c r="B158" t="s">
        <v>1810</v>
      </c>
      <c r="C158">
        <v>82</v>
      </c>
      <c r="F158">
        <f t="shared" si="5"/>
        <v>82</v>
      </c>
      <c r="L158" s="32">
        <f t="shared" si="6"/>
        <v>1.9138138523837167</v>
      </c>
    </row>
    <row r="159" spans="2:12" ht="12.75" customHeight="1" x14ac:dyDescent="0.2">
      <c r="B159" t="s">
        <v>2625</v>
      </c>
      <c r="C159">
        <v>85.8</v>
      </c>
      <c r="F159">
        <f t="shared" si="5"/>
        <v>85.8</v>
      </c>
      <c r="L159" s="32">
        <f t="shared" si="6"/>
        <v>1.9334872878487055</v>
      </c>
    </row>
    <row r="160" spans="2:12" ht="12.75" customHeight="1" x14ac:dyDescent="0.2">
      <c r="B160" t="s">
        <v>2568</v>
      </c>
      <c r="C160">
        <v>88</v>
      </c>
      <c r="F160">
        <f t="shared" si="5"/>
        <v>88</v>
      </c>
      <c r="L160" s="32">
        <f t="shared" si="6"/>
        <v>1.9444826721501687</v>
      </c>
    </row>
    <row r="161" spans="2:12" ht="12.75" customHeight="1" x14ac:dyDescent="0.2">
      <c r="B161" t="s">
        <v>3347</v>
      </c>
      <c r="C161">
        <v>90</v>
      </c>
      <c r="F161">
        <f t="shared" si="5"/>
        <v>90</v>
      </c>
      <c r="L161" s="32">
        <f t="shared" si="6"/>
        <v>1.954242509439325</v>
      </c>
    </row>
    <row r="162" spans="2:12" ht="12.75" customHeight="1" x14ac:dyDescent="0.2">
      <c r="B162" t="s">
        <v>1455</v>
      </c>
      <c r="C162">
        <v>91</v>
      </c>
      <c r="F162">
        <f t="shared" si="5"/>
        <v>91</v>
      </c>
      <c r="L162" s="32">
        <f t="shared" si="6"/>
        <v>1.9590413923210936</v>
      </c>
    </row>
    <row r="163" spans="2:12" ht="12.75" customHeight="1" x14ac:dyDescent="0.2">
      <c r="B163" t="s">
        <v>3337</v>
      </c>
      <c r="C163">
        <v>92</v>
      </c>
      <c r="F163">
        <f t="shared" si="5"/>
        <v>92</v>
      </c>
      <c r="L163" s="32">
        <f t="shared" si="6"/>
        <v>1.9637878273455553</v>
      </c>
    </row>
    <row r="164" spans="2:12" ht="12.75" customHeight="1" x14ac:dyDescent="0.2">
      <c r="B164" t="s">
        <v>12</v>
      </c>
      <c r="C164">
        <v>93.3</v>
      </c>
      <c r="F164">
        <f t="shared" si="5"/>
        <v>93.3</v>
      </c>
      <c r="L164" s="32">
        <f t="shared" si="6"/>
        <v>1.9698816437464999</v>
      </c>
    </row>
    <row r="165" spans="2:12" ht="12.75" customHeight="1" x14ac:dyDescent="0.2">
      <c r="B165" t="s">
        <v>2390</v>
      </c>
      <c r="C165">
        <v>94.02</v>
      </c>
      <c r="F165">
        <f t="shared" si="5"/>
        <v>94.02</v>
      </c>
      <c r="L165" s="32">
        <f t="shared" si="6"/>
        <v>1.9732202468522337</v>
      </c>
    </row>
    <row r="166" spans="2:12" ht="12.75" customHeight="1" x14ac:dyDescent="0.2">
      <c r="B166" t="s">
        <v>876</v>
      </c>
      <c r="C166">
        <v>95.1</v>
      </c>
      <c r="F166">
        <f t="shared" si="5"/>
        <v>95.1</v>
      </c>
      <c r="L166" s="32">
        <f t="shared" si="6"/>
        <v>1.9781805169374138</v>
      </c>
    </row>
    <row r="167" spans="2:12" ht="12.75" customHeight="1" x14ac:dyDescent="0.2">
      <c r="B167" t="s">
        <v>1302</v>
      </c>
      <c r="C167">
        <v>96</v>
      </c>
      <c r="F167">
        <f t="shared" si="5"/>
        <v>96</v>
      </c>
      <c r="L167" s="32">
        <f t="shared" si="6"/>
        <v>1.9822712330395684</v>
      </c>
    </row>
    <row r="168" spans="2:12" ht="12.75" customHeight="1" x14ac:dyDescent="0.2">
      <c r="B168" t="s">
        <v>1668</v>
      </c>
      <c r="C168">
        <v>98</v>
      </c>
      <c r="F168">
        <f t="shared" si="5"/>
        <v>98</v>
      </c>
      <c r="L168" s="32">
        <f t="shared" si="6"/>
        <v>1.9912260756924949</v>
      </c>
    </row>
    <row r="169" spans="2:12" ht="12.75" customHeight="1" x14ac:dyDescent="0.2">
      <c r="B169" t="s">
        <v>2816</v>
      </c>
      <c r="C169">
        <v>100.15</v>
      </c>
      <c r="F169">
        <f t="shared" si="5"/>
        <v>100.15</v>
      </c>
      <c r="L169" s="32">
        <f t="shared" si="6"/>
        <v>2.0006509536295951</v>
      </c>
    </row>
    <row r="170" spans="2:12" ht="12.75" customHeight="1" x14ac:dyDescent="0.2">
      <c r="B170" t="s">
        <v>48</v>
      </c>
      <c r="C170">
        <v>101</v>
      </c>
      <c r="F170">
        <f t="shared" si="5"/>
        <v>101</v>
      </c>
      <c r="L170" s="32">
        <f t="shared" si="6"/>
        <v>2.0043213737826426</v>
      </c>
    </row>
    <row r="171" spans="2:12" ht="12.75" customHeight="1" x14ac:dyDescent="0.2">
      <c r="B171" t="s">
        <v>1988</v>
      </c>
      <c r="C171">
        <v>102</v>
      </c>
      <c r="F171">
        <f t="shared" si="5"/>
        <v>102</v>
      </c>
      <c r="L171" s="32">
        <f t="shared" si="6"/>
        <v>2.0086001717619175</v>
      </c>
    </row>
    <row r="172" spans="2:12" ht="12.75" customHeight="1" x14ac:dyDescent="0.2">
      <c r="B172" t="s">
        <v>2260</v>
      </c>
      <c r="C172">
        <v>108.2</v>
      </c>
      <c r="F172">
        <f t="shared" ref="F172:F235" si="7">C172</f>
        <v>108.2</v>
      </c>
      <c r="L172" s="32">
        <f t="shared" si="6"/>
        <v>2.0342272607705505</v>
      </c>
    </row>
    <row r="173" spans="2:12" ht="12.75" customHeight="1" x14ac:dyDescent="0.2">
      <c r="B173" t="s">
        <v>1124</v>
      </c>
      <c r="C173">
        <v>109.4</v>
      </c>
      <c r="F173">
        <f t="shared" si="7"/>
        <v>109.4</v>
      </c>
      <c r="L173" s="32">
        <f t="shared" ref="L173:L236" si="8">LOG10(F173)</f>
        <v>2.0390173219974121</v>
      </c>
    </row>
    <row r="174" spans="2:12" ht="12.75" customHeight="1" x14ac:dyDescent="0.2">
      <c r="B174" t="s">
        <v>2388</v>
      </c>
      <c r="C174">
        <v>111</v>
      </c>
      <c r="F174">
        <f t="shared" si="7"/>
        <v>111</v>
      </c>
      <c r="L174" s="32">
        <f t="shared" si="8"/>
        <v>2.0453229787866576</v>
      </c>
    </row>
    <row r="175" spans="2:12" ht="12.75" customHeight="1" x14ac:dyDescent="0.2">
      <c r="B175" t="s">
        <v>2840</v>
      </c>
      <c r="C175">
        <v>113</v>
      </c>
      <c r="F175">
        <f t="shared" si="7"/>
        <v>113</v>
      </c>
      <c r="L175" s="32">
        <f t="shared" si="8"/>
        <v>2.0530784434834195</v>
      </c>
    </row>
    <row r="176" spans="2:12" ht="12.75" customHeight="1" x14ac:dyDescent="0.2">
      <c r="B176" t="s">
        <v>1454</v>
      </c>
      <c r="C176">
        <v>113</v>
      </c>
      <c r="F176">
        <f t="shared" si="7"/>
        <v>113</v>
      </c>
      <c r="L176" s="32">
        <f t="shared" si="8"/>
        <v>2.0530784434834195</v>
      </c>
    </row>
    <row r="177" spans="2:12" ht="12.75" customHeight="1" x14ac:dyDescent="0.2">
      <c r="B177" t="s">
        <v>1090</v>
      </c>
      <c r="C177">
        <v>124</v>
      </c>
      <c r="F177">
        <f t="shared" si="7"/>
        <v>124</v>
      </c>
      <c r="L177" s="32">
        <f t="shared" si="8"/>
        <v>2.0934216851622351</v>
      </c>
    </row>
    <row r="178" spans="2:12" ht="12.75" customHeight="1" x14ac:dyDescent="0.2">
      <c r="B178" t="s">
        <v>2201</v>
      </c>
      <c r="C178">
        <v>125</v>
      </c>
      <c r="F178">
        <f t="shared" si="7"/>
        <v>125</v>
      </c>
      <c r="L178" s="32">
        <f t="shared" si="8"/>
        <v>2.0969100130080562</v>
      </c>
    </row>
    <row r="179" spans="2:12" ht="12.75" customHeight="1" x14ac:dyDescent="0.2">
      <c r="B179" t="s">
        <v>2109</v>
      </c>
      <c r="C179">
        <v>130</v>
      </c>
      <c r="F179">
        <f t="shared" si="7"/>
        <v>130</v>
      </c>
      <c r="L179" s="32">
        <f t="shared" si="8"/>
        <v>2.1139433523068369</v>
      </c>
    </row>
    <row r="180" spans="2:12" ht="12.75" customHeight="1" x14ac:dyDescent="0.2">
      <c r="B180" t="s">
        <v>2812</v>
      </c>
      <c r="C180">
        <v>134.86000000000001</v>
      </c>
      <c r="F180">
        <f t="shared" si="7"/>
        <v>134.86000000000001</v>
      </c>
      <c r="L180" s="32">
        <f t="shared" si="8"/>
        <v>2.1298831553406212</v>
      </c>
    </row>
    <row r="181" spans="2:12" ht="12.75" customHeight="1" x14ac:dyDescent="0.2">
      <c r="B181" t="s">
        <v>7</v>
      </c>
      <c r="C181">
        <v>137</v>
      </c>
      <c r="F181">
        <f t="shared" si="7"/>
        <v>137</v>
      </c>
      <c r="L181" s="32">
        <f t="shared" si="8"/>
        <v>2.1367205671564067</v>
      </c>
    </row>
    <row r="182" spans="2:12" ht="12.75" customHeight="1" x14ac:dyDescent="0.2">
      <c r="B182" t="s">
        <v>2830</v>
      </c>
      <c r="C182">
        <v>137.30000000000001</v>
      </c>
      <c r="F182">
        <f t="shared" si="7"/>
        <v>137.30000000000001</v>
      </c>
      <c r="L182" s="32">
        <f t="shared" si="8"/>
        <v>2.137670537236755</v>
      </c>
    </row>
    <row r="183" spans="2:12" ht="12.75" customHeight="1" x14ac:dyDescent="0.2">
      <c r="B183" t="s">
        <v>81</v>
      </c>
      <c r="C183">
        <v>138</v>
      </c>
      <c r="F183">
        <f t="shared" si="7"/>
        <v>138</v>
      </c>
      <c r="L183" s="32">
        <f t="shared" si="8"/>
        <v>2.1398790864012365</v>
      </c>
    </row>
    <row r="184" spans="2:12" ht="12.75" customHeight="1" x14ac:dyDescent="0.2">
      <c r="B184" t="s">
        <v>2424</v>
      </c>
      <c r="C184">
        <v>140</v>
      </c>
      <c r="F184">
        <f t="shared" si="7"/>
        <v>140</v>
      </c>
      <c r="L184" s="32">
        <f t="shared" si="8"/>
        <v>2.1461280356782382</v>
      </c>
    </row>
    <row r="185" spans="2:12" ht="12.75" customHeight="1" x14ac:dyDescent="0.2">
      <c r="B185" t="s">
        <v>2730</v>
      </c>
      <c r="C185">
        <v>140</v>
      </c>
      <c r="F185">
        <f t="shared" si="7"/>
        <v>140</v>
      </c>
      <c r="L185" s="32">
        <f t="shared" si="8"/>
        <v>2.1461280356782382</v>
      </c>
    </row>
    <row r="186" spans="2:12" ht="12.75" customHeight="1" x14ac:dyDescent="0.2">
      <c r="B186" t="s">
        <v>1977</v>
      </c>
      <c r="C186">
        <v>149.5</v>
      </c>
      <c r="F186">
        <f t="shared" si="7"/>
        <v>149.5</v>
      </c>
      <c r="L186" s="32">
        <f t="shared" si="8"/>
        <v>2.1746411926604483</v>
      </c>
    </row>
    <row r="187" spans="2:12" ht="12.75" customHeight="1" x14ac:dyDescent="0.2">
      <c r="B187" t="s">
        <v>2761</v>
      </c>
      <c r="C187">
        <v>150.80000000000001</v>
      </c>
      <c r="F187">
        <f t="shared" si="7"/>
        <v>150.80000000000001</v>
      </c>
      <c r="L187" s="32">
        <f t="shared" si="8"/>
        <v>2.1784013415337551</v>
      </c>
    </row>
    <row r="188" spans="2:12" ht="12.75" customHeight="1" x14ac:dyDescent="0.2">
      <c r="B188" t="s">
        <v>2447</v>
      </c>
      <c r="C188">
        <v>150.87</v>
      </c>
      <c r="F188">
        <f t="shared" si="7"/>
        <v>150.87</v>
      </c>
      <c r="L188" s="32">
        <f t="shared" si="8"/>
        <v>2.1786028903405894</v>
      </c>
    </row>
    <row r="189" spans="2:12" ht="12.75" customHeight="1" x14ac:dyDescent="0.2">
      <c r="B189" t="s">
        <v>2397</v>
      </c>
      <c r="C189">
        <v>155</v>
      </c>
      <c r="F189">
        <f t="shared" si="7"/>
        <v>155</v>
      </c>
      <c r="L189" s="32">
        <f t="shared" si="8"/>
        <v>2.1903316981702914</v>
      </c>
    </row>
    <row r="190" spans="2:12" ht="12.75" customHeight="1" x14ac:dyDescent="0.2">
      <c r="B190" t="s">
        <v>2562</v>
      </c>
      <c r="C190">
        <v>156</v>
      </c>
      <c r="F190">
        <f t="shared" si="7"/>
        <v>156</v>
      </c>
      <c r="L190" s="32">
        <f t="shared" si="8"/>
        <v>2.1931245983544616</v>
      </c>
    </row>
    <row r="191" spans="2:12" ht="12.75" customHeight="1" x14ac:dyDescent="0.2">
      <c r="B191" t="s">
        <v>510</v>
      </c>
      <c r="C191">
        <v>156</v>
      </c>
      <c r="F191">
        <f t="shared" si="7"/>
        <v>156</v>
      </c>
      <c r="L191" s="32">
        <f t="shared" si="8"/>
        <v>2.1931245983544616</v>
      </c>
    </row>
    <row r="192" spans="2:12" ht="12.75" customHeight="1" x14ac:dyDescent="0.2">
      <c r="B192" t="s">
        <v>1653</v>
      </c>
      <c r="C192">
        <v>156</v>
      </c>
      <c r="F192">
        <f t="shared" si="7"/>
        <v>156</v>
      </c>
      <c r="L192" s="32">
        <f t="shared" si="8"/>
        <v>2.1931245983544616</v>
      </c>
    </row>
    <row r="193" spans="2:12" ht="12.75" customHeight="1" x14ac:dyDescent="0.2">
      <c r="B193" t="s">
        <v>2627</v>
      </c>
      <c r="C193">
        <v>157.13</v>
      </c>
      <c r="F193">
        <f t="shared" si="7"/>
        <v>157.13</v>
      </c>
      <c r="L193" s="32">
        <f t="shared" si="8"/>
        <v>2.1962591105053755</v>
      </c>
    </row>
    <row r="194" spans="2:12" ht="12.75" customHeight="1" x14ac:dyDescent="0.2">
      <c r="B194" t="s">
        <v>3270</v>
      </c>
      <c r="C194">
        <v>158</v>
      </c>
      <c r="F194">
        <f t="shared" si="7"/>
        <v>158</v>
      </c>
      <c r="L194" s="32">
        <f t="shared" si="8"/>
        <v>2.1986570869544226</v>
      </c>
    </row>
    <row r="195" spans="2:12" ht="12.75" customHeight="1" x14ac:dyDescent="0.2">
      <c r="B195" t="s">
        <v>1153</v>
      </c>
      <c r="C195">
        <v>163</v>
      </c>
      <c r="F195">
        <f t="shared" si="7"/>
        <v>163</v>
      </c>
      <c r="L195" s="32">
        <f t="shared" si="8"/>
        <v>2.2121876044039577</v>
      </c>
    </row>
    <row r="196" spans="2:12" ht="12.75" customHeight="1" x14ac:dyDescent="0.2">
      <c r="B196" t="s">
        <v>2027</v>
      </c>
      <c r="C196">
        <v>164</v>
      </c>
      <c r="F196">
        <f t="shared" si="7"/>
        <v>164</v>
      </c>
      <c r="L196" s="32">
        <f t="shared" si="8"/>
        <v>2.214843848047698</v>
      </c>
    </row>
    <row r="197" spans="2:12" ht="12.75" customHeight="1" x14ac:dyDescent="0.2">
      <c r="B197" t="s">
        <v>2194</v>
      </c>
      <c r="C197">
        <v>166</v>
      </c>
      <c r="F197">
        <f t="shared" si="7"/>
        <v>166</v>
      </c>
      <c r="L197" s="32">
        <f t="shared" si="8"/>
        <v>2.220108088040055</v>
      </c>
    </row>
    <row r="198" spans="2:12" ht="12.75" customHeight="1" x14ac:dyDescent="0.2">
      <c r="B198" t="s">
        <v>1808</v>
      </c>
      <c r="C198">
        <v>166.3</v>
      </c>
      <c r="F198">
        <f t="shared" si="7"/>
        <v>166.3</v>
      </c>
      <c r="L198" s="32">
        <f t="shared" si="8"/>
        <v>2.2208922492195193</v>
      </c>
    </row>
    <row r="199" spans="2:12" ht="12.75" customHeight="1" x14ac:dyDescent="0.2">
      <c r="B199" t="s">
        <v>101</v>
      </c>
      <c r="C199">
        <v>170</v>
      </c>
      <c r="F199">
        <f t="shared" si="7"/>
        <v>170</v>
      </c>
      <c r="L199" s="32">
        <f t="shared" si="8"/>
        <v>2.2304489213782741</v>
      </c>
    </row>
    <row r="200" spans="2:12" ht="12.75" customHeight="1" x14ac:dyDescent="0.2">
      <c r="B200" t="s">
        <v>3271</v>
      </c>
      <c r="C200">
        <v>175.38</v>
      </c>
      <c r="F200">
        <f t="shared" si="7"/>
        <v>175.38</v>
      </c>
      <c r="L200" s="32">
        <f t="shared" si="8"/>
        <v>2.2439800657410802</v>
      </c>
    </row>
    <row r="201" spans="2:12" ht="12.75" customHeight="1" x14ac:dyDescent="0.2">
      <c r="B201" t="s">
        <v>2886</v>
      </c>
      <c r="C201">
        <v>176.6</v>
      </c>
      <c r="F201">
        <f t="shared" si="7"/>
        <v>176.6</v>
      </c>
      <c r="L201" s="32">
        <f t="shared" si="8"/>
        <v>2.2469906992415498</v>
      </c>
    </row>
    <row r="202" spans="2:12" ht="12.75" customHeight="1" x14ac:dyDescent="0.2">
      <c r="B202" t="s">
        <v>0</v>
      </c>
      <c r="C202">
        <v>179</v>
      </c>
      <c r="F202">
        <f t="shared" si="7"/>
        <v>179</v>
      </c>
      <c r="L202" s="32">
        <f t="shared" si="8"/>
        <v>2.2528530309798933</v>
      </c>
    </row>
    <row r="203" spans="2:12" ht="12.75" customHeight="1" x14ac:dyDescent="0.2">
      <c r="B203" t="s">
        <v>1443</v>
      </c>
      <c r="C203">
        <v>181</v>
      </c>
      <c r="F203">
        <f t="shared" si="7"/>
        <v>181</v>
      </c>
      <c r="L203" s="32">
        <f t="shared" si="8"/>
        <v>2.2576785748691846</v>
      </c>
    </row>
    <row r="204" spans="2:12" ht="12.75" customHeight="1" x14ac:dyDescent="0.2">
      <c r="B204" t="s">
        <v>2788</v>
      </c>
      <c r="C204">
        <v>182</v>
      </c>
      <c r="F204">
        <f t="shared" si="7"/>
        <v>182</v>
      </c>
      <c r="L204" s="32">
        <f t="shared" si="8"/>
        <v>2.2600713879850747</v>
      </c>
    </row>
    <row r="205" spans="2:12" ht="12.75" customHeight="1" x14ac:dyDescent="0.2">
      <c r="B205" t="s">
        <v>1234</v>
      </c>
      <c r="C205">
        <v>188</v>
      </c>
      <c r="F205">
        <f t="shared" si="7"/>
        <v>188</v>
      </c>
      <c r="L205" s="32">
        <f t="shared" si="8"/>
        <v>2.27415784926368</v>
      </c>
    </row>
    <row r="206" spans="2:12" ht="12.75" customHeight="1" x14ac:dyDescent="0.2">
      <c r="B206" t="s">
        <v>3363</v>
      </c>
      <c r="C206">
        <v>189</v>
      </c>
      <c r="F206">
        <f t="shared" si="7"/>
        <v>189</v>
      </c>
      <c r="L206" s="32">
        <f t="shared" si="8"/>
        <v>2.2764618041732443</v>
      </c>
    </row>
    <row r="207" spans="2:12" ht="12.75" customHeight="1" x14ac:dyDescent="0.2">
      <c r="B207" t="s">
        <v>3340</v>
      </c>
      <c r="C207">
        <v>190</v>
      </c>
      <c r="F207">
        <f t="shared" si="7"/>
        <v>190</v>
      </c>
      <c r="L207" s="32">
        <f t="shared" si="8"/>
        <v>2.2787536009528289</v>
      </c>
    </row>
    <row r="208" spans="2:12" ht="12.75" customHeight="1" x14ac:dyDescent="0.2">
      <c r="B208" t="s">
        <v>1978</v>
      </c>
      <c r="C208">
        <v>191</v>
      </c>
      <c r="F208">
        <f t="shared" si="7"/>
        <v>191</v>
      </c>
      <c r="L208" s="32">
        <f t="shared" si="8"/>
        <v>2.2810333672477277</v>
      </c>
    </row>
    <row r="209" spans="2:12" ht="12.75" customHeight="1" x14ac:dyDescent="0.2">
      <c r="B209" t="s">
        <v>975</v>
      </c>
      <c r="C209">
        <v>191.2</v>
      </c>
      <c r="F209">
        <f t="shared" si="7"/>
        <v>191.2</v>
      </c>
      <c r="L209" s="32">
        <f t="shared" si="8"/>
        <v>2.2814878879400813</v>
      </c>
    </row>
    <row r="210" spans="2:12" ht="12.75" customHeight="1" x14ac:dyDescent="0.2">
      <c r="B210" t="s">
        <v>2410</v>
      </c>
      <c r="C210">
        <v>197.5</v>
      </c>
      <c r="F210">
        <f t="shared" si="7"/>
        <v>197.5</v>
      </c>
      <c r="L210" s="32">
        <f t="shared" si="8"/>
        <v>2.2955670999624789</v>
      </c>
    </row>
    <row r="211" spans="2:12" ht="12.75" customHeight="1" x14ac:dyDescent="0.2">
      <c r="B211" t="s">
        <v>2817</v>
      </c>
      <c r="C211">
        <v>200.4</v>
      </c>
      <c r="F211">
        <f t="shared" si="7"/>
        <v>200.4</v>
      </c>
      <c r="L211" s="32">
        <f t="shared" si="8"/>
        <v>2.301897717195208</v>
      </c>
    </row>
    <row r="212" spans="2:12" ht="12.75" customHeight="1" x14ac:dyDescent="0.2">
      <c r="B212" t="s">
        <v>2834</v>
      </c>
      <c r="C212">
        <v>200.6</v>
      </c>
      <c r="F212">
        <f t="shared" si="7"/>
        <v>200.6</v>
      </c>
      <c r="L212" s="32">
        <f t="shared" si="8"/>
        <v>2.3023309286843991</v>
      </c>
    </row>
    <row r="213" spans="2:12" ht="12.75" customHeight="1" x14ac:dyDescent="0.2">
      <c r="B213" t="s">
        <v>2219</v>
      </c>
      <c r="C213">
        <v>202</v>
      </c>
      <c r="F213">
        <f t="shared" si="7"/>
        <v>202</v>
      </c>
      <c r="L213" s="32">
        <f t="shared" si="8"/>
        <v>2.3053513694466239</v>
      </c>
    </row>
    <row r="214" spans="2:12" ht="12.75" customHeight="1" x14ac:dyDescent="0.2">
      <c r="B214" t="s">
        <v>1256</v>
      </c>
      <c r="C214">
        <v>208</v>
      </c>
      <c r="F214">
        <f t="shared" si="7"/>
        <v>208</v>
      </c>
      <c r="L214" s="32">
        <f t="shared" si="8"/>
        <v>2.3180633349627615</v>
      </c>
    </row>
    <row r="215" spans="2:12" ht="12.75" customHeight="1" x14ac:dyDescent="0.2">
      <c r="B215" t="s">
        <v>1446</v>
      </c>
      <c r="C215">
        <v>208</v>
      </c>
      <c r="F215">
        <f t="shared" si="7"/>
        <v>208</v>
      </c>
      <c r="L215" s="32">
        <f t="shared" si="8"/>
        <v>2.3180633349627615</v>
      </c>
    </row>
    <row r="216" spans="2:12" ht="12.75" customHeight="1" x14ac:dyDescent="0.2">
      <c r="B216" t="s">
        <v>2874</v>
      </c>
      <c r="C216">
        <v>208</v>
      </c>
      <c r="F216">
        <f t="shared" si="7"/>
        <v>208</v>
      </c>
      <c r="L216" s="32">
        <f t="shared" si="8"/>
        <v>2.3180633349627615</v>
      </c>
    </row>
    <row r="217" spans="2:12" ht="12.75" customHeight="1" x14ac:dyDescent="0.2">
      <c r="B217" t="s">
        <v>1688</v>
      </c>
      <c r="C217">
        <v>208.6</v>
      </c>
      <c r="F217">
        <f t="shared" si="7"/>
        <v>208.6</v>
      </c>
      <c r="L217" s="32">
        <f t="shared" si="8"/>
        <v>2.3193143040905122</v>
      </c>
    </row>
    <row r="218" spans="2:12" ht="12.75" customHeight="1" x14ac:dyDescent="0.2">
      <c r="B218" t="s">
        <v>2438</v>
      </c>
      <c r="C218">
        <v>220</v>
      </c>
      <c r="F218">
        <f t="shared" si="7"/>
        <v>220</v>
      </c>
      <c r="L218" s="32">
        <f t="shared" si="8"/>
        <v>2.3424226808222062</v>
      </c>
    </row>
    <row r="219" spans="2:12" ht="12.75" customHeight="1" x14ac:dyDescent="0.2">
      <c r="B219" t="s">
        <v>2406</v>
      </c>
      <c r="C219">
        <v>222.34</v>
      </c>
      <c r="F219">
        <f t="shared" si="7"/>
        <v>222.34</v>
      </c>
      <c r="L219" s="32">
        <f t="shared" si="8"/>
        <v>2.3470176013249486</v>
      </c>
    </row>
    <row r="220" spans="2:12" ht="12.75" customHeight="1" x14ac:dyDescent="0.2">
      <c r="B220" t="s">
        <v>2733</v>
      </c>
      <c r="C220">
        <v>224</v>
      </c>
      <c r="F220">
        <f t="shared" si="7"/>
        <v>224</v>
      </c>
      <c r="L220" s="32">
        <f t="shared" si="8"/>
        <v>2.3502480183341627</v>
      </c>
    </row>
    <row r="221" spans="2:12" ht="12.75" customHeight="1" x14ac:dyDescent="0.2">
      <c r="B221" t="s">
        <v>2602</v>
      </c>
      <c r="C221">
        <v>227</v>
      </c>
      <c r="F221">
        <f t="shared" si="7"/>
        <v>227</v>
      </c>
      <c r="L221" s="32">
        <f t="shared" si="8"/>
        <v>2.3560258571931225</v>
      </c>
    </row>
    <row r="222" spans="2:12" ht="12.75" customHeight="1" x14ac:dyDescent="0.2">
      <c r="B222" t="s">
        <v>2021</v>
      </c>
      <c r="C222">
        <v>229</v>
      </c>
      <c r="F222">
        <f t="shared" si="7"/>
        <v>229</v>
      </c>
      <c r="L222" s="32">
        <f t="shared" si="8"/>
        <v>2.3598354823398879</v>
      </c>
    </row>
    <row r="223" spans="2:12" ht="12.75" customHeight="1" x14ac:dyDescent="0.2">
      <c r="B223" t="s">
        <v>2451</v>
      </c>
      <c r="C223">
        <v>229</v>
      </c>
      <c r="F223">
        <f t="shared" si="7"/>
        <v>229</v>
      </c>
      <c r="L223" s="32">
        <f t="shared" si="8"/>
        <v>2.3598354823398879</v>
      </c>
    </row>
    <row r="224" spans="2:12" ht="12.75" customHeight="1" x14ac:dyDescent="0.2">
      <c r="B224" t="s">
        <v>2758</v>
      </c>
      <c r="C224">
        <v>232</v>
      </c>
      <c r="F224">
        <f t="shared" si="7"/>
        <v>232</v>
      </c>
      <c r="L224" s="32">
        <f t="shared" si="8"/>
        <v>2.3654879848908998</v>
      </c>
    </row>
    <row r="225" spans="2:12" ht="12.75" customHeight="1" x14ac:dyDescent="0.2">
      <c r="B225" t="s">
        <v>2760</v>
      </c>
      <c r="C225">
        <v>233</v>
      </c>
      <c r="F225">
        <f t="shared" si="7"/>
        <v>233</v>
      </c>
      <c r="L225" s="32">
        <f t="shared" si="8"/>
        <v>2.3673559210260189</v>
      </c>
    </row>
    <row r="226" spans="2:12" ht="12.75" customHeight="1" x14ac:dyDescent="0.2">
      <c r="B226" t="s">
        <v>1067</v>
      </c>
      <c r="C226">
        <v>233</v>
      </c>
      <c r="F226">
        <f t="shared" si="7"/>
        <v>233</v>
      </c>
      <c r="L226" s="32">
        <f t="shared" si="8"/>
        <v>2.3673559210260189</v>
      </c>
    </row>
    <row r="227" spans="2:12" ht="12.75" customHeight="1" x14ac:dyDescent="0.2">
      <c r="B227" t="s">
        <v>5</v>
      </c>
      <c r="C227">
        <v>234</v>
      </c>
      <c r="F227">
        <f t="shared" si="7"/>
        <v>234</v>
      </c>
      <c r="L227" s="32">
        <f t="shared" si="8"/>
        <v>2.369215857410143</v>
      </c>
    </row>
    <row r="228" spans="2:12" ht="12.75" customHeight="1" x14ac:dyDescent="0.2">
      <c r="B228" t="s">
        <v>2843</v>
      </c>
      <c r="C228">
        <v>240</v>
      </c>
      <c r="F228">
        <f t="shared" si="7"/>
        <v>240</v>
      </c>
      <c r="L228" s="32">
        <f t="shared" si="8"/>
        <v>2.3802112417116059</v>
      </c>
    </row>
    <row r="229" spans="2:12" ht="12.75" customHeight="1" x14ac:dyDescent="0.2">
      <c r="B229" t="s">
        <v>2661</v>
      </c>
      <c r="C229">
        <v>244</v>
      </c>
      <c r="F229">
        <f t="shared" si="7"/>
        <v>244</v>
      </c>
      <c r="L229" s="32">
        <f t="shared" si="8"/>
        <v>2.3873898263387292</v>
      </c>
    </row>
    <row r="230" spans="2:12" ht="12.75" customHeight="1" x14ac:dyDescent="0.2">
      <c r="B230" t="s">
        <v>2259</v>
      </c>
      <c r="C230">
        <v>250</v>
      </c>
      <c r="F230">
        <f t="shared" si="7"/>
        <v>250</v>
      </c>
      <c r="L230" s="32">
        <f t="shared" si="8"/>
        <v>2.3979400086720375</v>
      </c>
    </row>
    <row r="231" spans="2:12" ht="12.75" customHeight="1" x14ac:dyDescent="0.2">
      <c r="B231" t="s">
        <v>3370</v>
      </c>
      <c r="C231">
        <v>251.8</v>
      </c>
      <c r="F231">
        <f t="shared" si="7"/>
        <v>251.8</v>
      </c>
      <c r="L231" s="32">
        <f t="shared" si="8"/>
        <v>2.4010557257718439</v>
      </c>
    </row>
    <row r="232" spans="2:12" ht="12.75" customHeight="1" x14ac:dyDescent="0.2">
      <c r="B232" t="s">
        <v>1790</v>
      </c>
      <c r="C232">
        <v>261</v>
      </c>
      <c r="F232">
        <f t="shared" si="7"/>
        <v>261</v>
      </c>
      <c r="L232" s="32">
        <f t="shared" si="8"/>
        <v>2.4166405073382808</v>
      </c>
    </row>
    <row r="233" spans="2:12" ht="12.75" customHeight="1" x14ac:dyDescent="0.2">
      <c r="B233" t="s">
        <v>889</v>
      </c>
      <c r="C233">
        <v>262</v>
      </c>
      <c r="F233">
        <f t="shared" si="7"/>
        <v>262</v>
      </c>
      <c r="L233" s="32">
        <f t="shared" si="8"/>
        <v>2.4183012913197452</v>
      </c>
    </row>
    <row r="234" spans="2:12" ht="12.75" customHeight="1" x14ac:dyDescent="0.2">
      <c r="B234" t="s">
        <v>2186</v>
      </c>
      <c r="C234">
        <v>262.5</v>
      </c>
      <c r="F234">
        <f t="shared" si="7"/>
        <v>262.5</v>
      </c>
      <c r="L234" s="32">
        <f t="shared" si="8"/>
        <v>2.4191293077419758</v>
      </c>
    </row>
    <row r="235" spans="2:12" ht="12.75" customHeight="1" x14ac:dyDescent="0.2">
      <c r="B235" t="s">
        <v>1809</v>
      </c>
      <c r="C235">
        <v>263</v>
      </c>
      <c r="F235">
        <f t="shared" si="7"/>
        <v>263</v>
      </c>
      <c r="L235" s="32">
        <f t="shared" si="8"/>
        <v>2.419955748489758</v>
      </c>
    </row>
    <row r="236" spans="2:12" ht="12.75" customHeight="1" x14ac:dyDescent="0.2">
      <c r="B236" t="s">
        <v>3375</v>
      </c>
      <c r="C236">
        <v>265</v>
      </c>
      <c r="F236">
        <f t="shared" ref="F236:F299" si="9">C236</f>
        <v>265</v>
      </c>
      <c r="L236" s="32">
        <f t="shared" si="8"/>
        <v>2.4232458739368079</v>
      </c>
    </row>
    <row r="237" spans="2:12" ht="12.75" customHeight="1" x14ac:dyDescent="0.2">
      <c r="B237" t="s">
        <v>2509</v>
      </c>
      <c r="C237">
        <v>273</v>
      </c>
      <c r="F237">
        <f t="shared" si="9"/>
        <v>273</v>
      </c>
      <c r="L237" s="32">
        <f t="shared" ref="L237:L300" si="10">LOG10(F237)</f>
        <v>2.436162647040756</v>
      </c>
    </row>
    <row r="238" spans="2:12" ht="12.75" customHeight="1" x14ac:dyDescent="0.2">
      <c r="B238" t="s">
        <v>2782</v>
      </c>
      <c r="C238">
        <v>280</v>
      </c>
      <c r="F238">
        <f t="shared" si="9"/>
        <v>280</v>
      </c>
      <c r="L238" s="32">
        <f t="shared" si="10"/>
        <v>2.4471580313422194</v>
      </c>
    </row>
    <row r="239" spans="2:12" ht="12.75" customHeight="1" x14ac:dyDescent="0.2">
      <c r="B239" t="s">
        <v>60</v>
      </c>
      <c r="C239">
        <v>281</v>
      </c>
      <c r="F239">
        <f t="shared" si="9"/>
        <v>281</v>
      </c>
      <c r="L239" s="32">
        <f t="shared" si="10"/>
        <v>2.4487063199050798</v>
      </c>
    </row>
    <row r="240" spans="2:12" ht="12.75" customHeight="1" x14ac:dyDescent="0.2">
      <c r="B240" t="s">
        <v>2751</v>
      </c>
      <c r="C240">
        <v>282</v>
      </c>
      <c r="F240">
        <f t="shared" si="9"/>
        <v>282</v>
      </c>
      <c r="L240" s="32">
        <f t="shared" si="10"/>
        <v>2.4502491083193609</v>
      </c>
    </row>
    <row r="241" spans="2:12" ht="12.75" customHeight="1" x14ac:dyDescent="0.2">
      <c r="B241" t="s">
        <v>1865</v>
      </c>
      <c r="C241">
        <v>282.8</v>
      </c>
      <c r="F241">
        <f t="shared" si="9"/>
        <v>282.8</v>
      </c>
      <c r="L241" s="32">
        <f t="shared" si="10"/>
        <v>2.4514794051248616</v>
      </c>
    </row>
    <row r="242" spans="2:12" ht="12.75" customHeight="1" x14ac:dyDescent="0.2">
      <c r="B242" t="s">
        <v>2104</v>
      </c>
      <c r="C242">
        <v>285.75</v>
      </c>
      <c r="F242">
        <f t="shared" si="9"/>
        <v>285.75</v>
      </c>
      <c r="L242" s="32">
        <f t="shared" si="10"/>
        <v>2.4559862390673195</v>
      </c>
    </row>
    <row r="243" spans="2:12" ht="12.75" customHeight="1" x14ac:dyDescent="0.2">
      <c r="B243" t="s">
        <v>2513</v>
      </c>
      <c r="C243">
        <v>286</v>
      </c>
      <c r="F243">
        <f t="shared" si="9"/>
        <v>286</v>
      </c>
      <c r="L243" s="32">
        <f t="shared" si="10"/>
        <v>2.4563660331290431</v>
      </c>
    </row>
    <row r="244" spans="2:12" ht="12.75" customHeight="1" x14ac:dyDescent="0.2">
      <c r="B244" t="s">
        <v>617</v>
      </c>
      <c r="C244">
        <v>289</v>
      </c>
      <c r="F244">
        <f t="shared" si="9"/>
        <v>289</v>
      </c>
      <c r="L244" s="32">
        <f t="shared" si="10"/>
        <v>2.4608978427565478</v>
      </c>
    </row>
    <row r="245" spans="2:12" ht="12.75" customHeight="1" x14ac:dyDescent="0.2">
      <c r="B245" t="s">
        <v>3352</v>
      </c>
      <c r="C245">
        <v>296.8</v>
      </c>
      <c r="F245">
        <f t="shared" si="9"/>
        <v>296.8</v>
      </c>
      <c r="L245" s="32">
        <f t="shared" si="10"/>
        <v>2.4724638966069894</v>
      </c>
    </row>
    <row r="246" spans="2:12" ht="12.75" customHeight="1" x14ac:dyDescent="0.2">
      <c r="B246" t="s">
        <v>454</v>
      </c>
      <c r="C246">
        <v>300</v>
      </c>
      <c r="F246">
        <f t="shared" si="9"/>
        <v>300</v>
      </c>
      <c r="L246" s="32">
        <f t="shared" si="10"/>
        <v>2.4771212547196626</v>
      </c>
    </row>
    <row r="247" spans="2:12" ht="12.75" customHeight="1" x14ac:dyDescent="0.2">
      <c r="B247" t="s">
        <v>2811</v>
      </c>
      <c r="C247">
        <v>300</v>
      </c>
      <c r="F247">
        <f t="shared" si="9"/>
        <v>300</v>
      </c>
      <c r="L247" s="32">
        <f t="shared" si="10"/>
        <v>2.4771212547196626</v>
      </c>
    </row>
    <row r="248" spans="2:12" ht="12.75" customHeight="1" x14ac:dyDescent="0.2">
      <c r="B248" t="s">
        <v>2507</v>
      </c>
      <c r="C248">
        <v>305</v>
      </c>
      <c r="F248">
        <f t="shared" si="9"/>
        <v>305</v>
      </c>
      <c r="L248" s="32">
        <f t="shared" si="10"/>
        <v>2.4842998393467859</v>
      </c>
    </row>
    <row r="249" spans="2:12" ht="12.75" customHeight="1" x14ac:dyDescent="0.2">
      <c r="B249" t="s">
        <v>2437</v>
      </c>
      <c r="C249">
        <v>318</v>
      </c>
      <c r="F249">
        <f t="shared" si="9"/>
        <v>318</v>
      </c>
      <c r="L249" s="32">
        <f t="shared" si="10"/>
        <v>2.5024271199844326</v>
      </c>
    </row>
    <row r="250" spans="2:12" ht="12.75" customHeight="1" x14ac:dyDescent="0.2">
      <c r="B250" t="s">
        <v>2209</v>
      </c>
      <c r="C250">
        <v>318.60000000000002</v>
      </c>
      <c r="F250">
        <f t="shared" si="9"/>
        <v>318.60000000000002</v>
      </c>
      <c r="L250" s="32">
        <f t="shared" si="10"/>
        <v>2.5032457714651128</v>
      </c>
    </row>
    <row r="251" spans="2:12" ht="12.75" customHeight="1" x14ac:dyDescent="0.2">
      <c r="B251" t="s">
        <v>2528</v>
      </c>
      <c r="C251">
        <v>330</v>
      </c>
      <c r="F251">
        <f t="shared" si="9"/>
        <v>330</v>
      </c>
      <c r="L251" s="32">
        <f t="shared" si="10"/>
        <v>2.5185139398778875</v>
      </c>
    </row>
    <row r="252" spans="2:12" ht="12.75" customHeight="1" x14ac:dyDescent="0.2">
      <c r="B252" t="s">
        <v>2685</v>
      </c>
      <c r="C252">
        <v>332.8</v>
      </c>
      <c r="F252">
        <f t="shared" si="9"/>
        <v>332.8</v>
      </c>
      <c r="L252" s="32">
        <f t="shared" si="10"/>
        <v>2.5221833176186865</v>
      </c>
    </row>
    <row r="253" spans="2:12" ht="12.75" customHeight="1" x14ac:dyDescent="0.2">
      <c r="B253" t="s">
        <v>2192</v>
      </c>
      <c r="C253">
        <v>337.74</v>
      </c>
      <c r="F253">
        <f t="shared" si="9"/>
        <v>337.74</v>
      </c>
      <c r="L253" s="32">
        <f t="shared" si="10"/>
        <v>2.5285824990438459</v>
      </c>
    </row>
    <row r="254" spans="2:12" ht="12.75" customHeight="1" x14ac:dyDescent="0.2">
      <c r="B254" t="s">
        <v>2837</v>
      </c>
      <c r="C254">
        <v>345</v>
      </c>
      <c r="F254">
        <f t="shared" si="9"/>
        <v>345</v>
      </c>
      <c r="L254" s="32">
        <f t="shared" si="10"/>
        <v>2.537819095073274</v>
      </c>
    </row>
    <row r="255" spans="2:12" ht="12.75" customHeight="1" x14ac:dyDescent="0.2">
      <c r="B255" t="s">
        <v>2116</v>
      </c>
      <c r="C255">
        <v>350</v>
      </c>
      <c r="F255">
        <f t="shared" si="9"/>
        <v>350</v>
      </c>
      <c r="L255" s="32">
        <f t="shared" si="10"/>
        <v>2.5440680443502757</v>
      </c>
    </row>
    <row r="256" spans="2:12" ht="12.75" customHeight="1" x14ac:dyDescent="0.2">
      <c r="B256" t="s">
        <v>2570</v>
      </c>
      <c r="C256">
        <v>350</v>
      </c>
      <c r="F256">
        <f t="shared" si="9"/>
        <v>350</v>
      </c>
      <c r="L256" s="32">
        <f t="shared" si="10"/>
        <v>2.5440680443502757</v>
      </c>
    </row>
    <row r="257" spans="2:12" ht="12.75" customHeight="1" x14ac:dyDescent="0.2">
      <c r="B257" t="s">
        <v>1869</v>
      </c>
      <c r="C257">
        <v>352.3</v>
      </c>
      <c r="F257">
        <f t="shared" si="9"/>
        <v>352.3</v>
      </c>
      <c r="L257" s="32">
        <f t="shared" si="10"/>
        <v>2.5469126431812423</v>
      </c>
    </row>
    <row r="258" spans="2:12" ht="12.75" customHeight="1" x14ac:dyDescent="0.2">
      <c r="B258" t="s">
        <v>2095</v>
      </c>
      <c r="C258">
        <v>354</v>
      </c>
      <c r="F258">
        <f t="shared" si="9"/>
        <v>354</v>
      </c>
      <c r="L258" s="32">
        <f t="shared" si="10"/>
        <v>2.5490032620257876</v>
      </c>
    </row>
    <row r="259" spans="2:12" ht="12.75" customHeight="1" x14ac:dyDescent="0.2">
      <c r="B259" t="s">
        <v>1512</v>
      </c>
      <c r="C259">
        <v>372.6</v>
      </c>
      <c r="F259">
        <f t="shared" si="9"/>
        <v>372.6</v>
      </c>
      <c r="L259" s="32">
        <f t="shared" si="10"/>
        <v>2.5712428505602238</v>
      </c>
    </row>
    <row r="260" spans="2:12" ht="12.75" customHeight="1" x14ac:dyDescent="0.2">
      <c r="B260" t="s">
        <v>2804</v>
      </c>
      <c r="C260">
        <v>386</v>
      </c>
      <c r="F260">
        <f t="shared" si="9"/>
        <v>386</v>
      </c>
      <c r="L260" s="32">
        <f t="shared" si="10"/>
        <v>2.5865873046717551</v>
      </c>
    </row>
    <row r="261" spans="2:12" ht="12.75" customHeight="1" x14ac:dyDescent="0.2">
      <c r="B261" t="s">
        <v>2771</v>
      </c>
      <c r="C261">
        <v>395</v>
      </c>
      <c r="F261">
        <f t="shared" si="9"/>
        <v>395</v>
      </c>
      <c r="L261" s="32">
        <f t="shared" si="10"/>
        <v>2.5965970956264601</v>
      </c>
    </row>
    <row r="262" spans="2:12" ht="12.75" customHeight="1" x14ac:dyDescent="0.2">
      <c r="B262" t="s">
        <v>2217</v>
      </c>
      <c r="C262">
        <v>402.4</v>
      </c>
      <c r="F262">
        <f t="shared" si="9"/>
        <v>402.4</v>
      </c>
      <c r="L262" s="32">
        <f t="shared" si="10"/>
        <v>2.6046579720478711</v>
      </c>
    </row>
    <row r="263" spans="2:12" ht="12.75" customHeight="1" x14ac:dyDescent="0.2">
      <c r="B263" t="s">
        <v>1515</v>
      </c>
      <c r="C263">
        <v>413</v>
      </c>
      <c r="F263">
        <f t="shared" si="9"/>
        <v>413</v>
      </c>
      <c r="L263" s="32">
        <f t="shared" si="10"/>
        <v>2.6159500516564012</v>
      </c>
    </row>
    <row r="264" spans="2:12" ht="12.75" customHeight="1" x14ac:dyDescent="0.2">
      <c r="B264" t="s">
        <v>627</v>
      </c>
      <c r="C264">
        <v>415</v>
      </c>
      <c r="F264">
        <f t="shared" si="9"/>
        <v>415</v>
      </c>
      <c r="L264" s="32">
        <f t="shared" si="10"/>
        <v>2.6180480967120925</v>
      </c>
    </row>
    <row r="265" spans="2:12" ht="12.75" customHeight="1" x14ac:dyDescent="0.2">
      <c r="B265" t="s">
        <v>2629</v>
      </c>
      <c r="C265">
        <v>427.8</v>
      </c>
      <c r="F265">
        <f t="shared" si="9"/>
        <v>427.8</v>
      </c>
      <c r="L265" s="32">
        <f t="shared" si="10"/>
        <v>2.6312407802355091</v>
      </c>
    </row>
    <row r="266" spans="2:12" ht="12.75" customHeight="1" x14ac:dyDescent="0.2">
      <c r="B266" t="s">
        <v>1724</v>
      </c>
      <c r="C266">
        <v>432.5</v>
      </c>
      <c r="F266">
        <f t="shared" si="9"/>
        <v>432.5</v>
      </c>
      <c r="L266" s="32">
        <f t="shared" si="10"/>
        <v>2.635986111800833</v>
      </c>
    </row>
    <row r="267" spans="2:12" ht="12.75" customHeight="1" x14ac:dyDescent="0.2">
      <c r="B267" t="s">
        <v>1457</v>
      </c>
      <c r="C267">
        <v>444</v>
      </c>
      <c r="F267">
        <f t="shared" si="9"/>
        <v>444</v>
      </c>
      <c r="L267" s="32">
        <f t="shared" si="10"/>
        <v>2.6473829701146196</v>
      </c>
    </row>
    <row r="268" spans="2:12" ht="12.75" customHeight="1" x14ac:dyDescent="0.2">
      <c r="B268" t="s">
        <v>2381</v>
      </c>
      <c r="C268">
        <v>474.6</v>
      </c>
      <c r="F268">
        <f t="shared" si="9"/>
        <v>474.6</v>
      </c>
      <c r="L268" s="32">
        <f t="shared" si="10"/>
        <v>2.6763277338813203</v>
      </c>
    </row>
    <row r="269" spans="2:12" ht="12.75" customHeight="1" x14ac:dyDescent="0.2">
      <c r="B269" t="s">
        <v>2770</v>
      </c>
      <c r="C269">
        <v>500</v>
      </c>
      <c r="F269">
        <f t="shared" si="9"/>
        <v>500</v>
      </c>
      <c r="L269" s="32">
        <f t="shared" si="10"/>
        <v>2.6989700043360187</v>
      </c>
    </row>
    <row r="270" spans="2:12" ht="12.75" customHeight="1" x14ac:dyDescent="0.2">
      <c r="B270" t="s">
        <v>1542</v>
      </c>
      <c r="C270">
        <v>503</v>
      </c>
      <c r="F270">
        <f t="shared" si="9"/>
        <v>503</v>
      </c>
      <c r="L270" s="32">
        <f t="shared" si="10"/>
        <v>2.7015679850559273</v>
      </c>
    </row>
    <row r="271" spans="2:12" ht="12.75" customHeight="1" x14ac:dyDescent="0.2">
      <c r="B271" t="s">
        <v>2523</v>
      </c>
      <c r="C271">
        <v>504</v>
      </c>
      <c r="F271">
        <f t="shared" si="9"/>
        <v>504</v>
      </c>
      <c r="L271" s="32">
        <f t="shared" si="10"/>
        <v>2.7024305364455254</v>
      </c>
    </row>
    <row r="272" spans="2:12" ht="12.75" customHeight="1" x14ac:dyDescent="0.2">
      <c r="B272" t="s">
        <v>2878</v>
      </c>
      <c r="C272">
        <v>512</v>
      </c>
      <c r="F272">
        <f t="shared" si="9"/>
        <v>512</v>
      </c>
      <c r="L272" s="32">
        <f t="shared" si="10"/>
        <v>2.7092699609758308</v>
      </c>
    </row>
    <row r="273" spans="2:12" ht="12.75" customHeight="1" x14ac:dyDescent="0.2">
      <c r="B273" t="s">
        <v>301</v>
      </c>
      <c r="C273">
        <v>513</v>
      </c>
      <c r="F273">
        <f t="shared" si="9"/>
        <v>513</v>
      </c>
      <c r="L273" s="32">
        <f t="shared" si="10"/>
        <v>2.7101173651118162</v>
      </c>
    </row>
    <row r="274" spans="2:12" ht="12.75" customHeight="1" x14ac:dyDescent="0.2">
      <c r="B274" t="s">
        <v>1675</v>
      </c>
      <c r="C274">
        <v>529</v>
      </c>
      <c r="F274">
        <f t="shared" si="9"/>
        <v>529</v>
      </c>
      <c r="L274" s="32">
        <f t="shared" si="10"/>
        <v>2.7234556720351857</v>
      </c>
    </row>
    <row r="275" spans="2:12" ht="12.75" customHeight="1" x14ac:dyDescent="0.2">
      <c r="B275" t="s">
        <v>1092</v>
      </c>
      <c r="C275">
        <v>538</v>
      </c>
      <c r="F275">
        <f t="shared" si="9"/>
        <v>538</v>
      </c>
      <c r="L275" s="32">
        <f t="shared" si="10"/>
        <v>2.7307822756663893</v>
      </c>
    </row>
    <row r="276" spans="2:12" ht="12.75" customHeight="1" x14ac:dyDescent="0.2">
      <c r="B276" t="s">
        <v>884</v>
      </c>
      <c r="C276">
        <v>552</v>
      </c>
      <c r="F276">
        <f t="shared" si="9"/>
        <v>552</v>
      </c>
      <c r="L276" s="32">
        <f t="shared" si="10"/>
        <v>2.741939077729199</v>
      </c>
    </row>
    <row r="277" spans="2:12" ht="12.75" customHeight="1" x14ac:dyDescent="0.2">
      <c r="B277" t="s">
        <v>1813</v>
      </c>
      <c r="C277">
        <v>562.5</v>
      </c>
      <c r="F277">
        <f t="shared" si="9"/>
        <v>562.5</v>
      </c>
      <c r="L277" s="32">
        <f t="shared" si="10"/>
        <v>2.7501225267834002</v>
      </c>
    </row>
    <row r="278" spans="2:12" ht="12.75" customHeight="1" x14ac:dyDescent="0.2">
      <c r="B278" t="s">
        <v>2649</v>
      </c>
      <c r="C278">
        <v>577</v>
      </c>
      <c r="F278">
        <f t="shared" si="9"/>
        <v>577</v>
      </c>
      <c r="L278" s="32">
        <f t="shared" si="10"/>
        <v>2.7611758131557314</v>
      </c>
    </row>
    <row r="279" spans="2:12" ht="12.75" customHeight="1" x14ac:dyDescent="0.2">
      <c r="B279" t="s">
        <v>2425</v>
      </c>
      <c r="C279">
        <v>583</v>
      </c>
      <c r="F279">
        <f t="shared" si="9"/>
        <v>583</v>
      </c>
      <c r="L279" s="32">
        <f t="shared" si="10"/>
        <v>2.7656685547590141</v>
      </c>
    </row>
    <row r="280" spans="2:12" ht="12.75" customHeight="1" x14ac:dyDescent="0.2">
      <c r="B280" t="s">
        <v>2522</v>
      </c>
      <c r="C280">
        <v>586</v>
      </c>
      <c r="F280">
        <f t="shared" si="9"/>
        <v>586</v>
      </c>
      <c r="L280" s="32">
        <f t="shared" si="10"/>
        <v>2.7678976160180908</v>
      </c>
    </row>
    <row r="281" spans="2:12" ht="12.75" customHeight="1" x14ac:dyDescent="0.2">
      <c r="B281" t="s">
        <v>2566</v>
      </c>
      <c r="C281">
        <v>590</v>
      </c>
      <c r="F281">
        <f t="shared" si="9"/>
        <v>590</v>
      </c>
      <c r="L281" s="32">
        <f t="shared" si="10"/>
        <v>2.7708520116421442</v>
      </c>
    </row>
    <row r="282" spans="2:12" ht="12.75" customHeight="1" x14ac:dyDescent="0.2">
      <c r="B282" t="s">
        <v>1812</v>
      </c>
      <c r="C282">
        <v>598</v>
      </c>
      <c r="F282">
        <f t="shared" si="9"/>
        <v>598</v>
      </c>
      <c r="L282" s="32">
        <f t="shared" si="10"/>
        <v>2.7767011839884108</v>
      </c>
    </row>
    <row r="283" spans="2:12" ht="12.75" customHeight="1" x14ac:dyDescent="0.2">
      <c r="B283" t="s">
        <v>6</v>
      </c>
      <c r="C283">
        <v>606</v>
      </c>
      <c r="F283">
        <f t="shared" si="9"/>
        <v>606</v>
      </c>
      <c r="L283" s="32">
        <f t="shared" si="10"/>
        <v>2.782472624166286</v>
      </c>
    </row>
    <row r="284" spans="2:12" ht="12.75" customHeight="1" x14ac:dyDescent="0.2">
      <c r="B284" t="s">
        <v>2836</v>
      </c>
      <c r="C284">
        <v>629</v>
      </c>
      <c r="F284">
        <f t="shared" si="9"/>
        <v>629</v>
      </c>
      <c r="L284" s="32">
        <f t="shared" si="10"/>
        <v>2.7986506454452691</v>
      </c>
    </row>
    <row r="285" spans="2:12" ht="12.75" customHeight="1" x14ac:dyDescent="0.2">
      <c r="B285" t="s">
        <v>2687</v>
      </c>
      <c r="C285">
        <v>631</v>
      </c>
      <c r="F285">
        <f t="shared" si="9"/>
        <v>631</v>
      </c>
      <c r="L285" s="32">
        <f t="shared" si="10"/>
        <v>2.8000293592441343</v>
      </c>
    </row>
    <row r="286" spans="2:12" ht="12.75" customHeight="1" x14ac:dyDescent="0.2">
      <c r="B286" t="s">
        <v>478</v>
      </c>
      <c r="C286">
        <v>633</v>
      </c>
      <c r="F286">
        <f t="shared" si="9"/>
        <v>633</v>
      </c>
      <c r="L286" s="32">
        <f t="shared" si="10"/>
        <v>2.8014037100173552</v>
      </c>
    </row>
    <row r="287" spans="2:12" ht="12.75" customHeight="1" x14ac:dyDescent="0.2">
      <c r="B287" t="s">
        <v>2111</v>
      </c>
      <c r="C287">
        <v>660</v>
      </c>
      <c r="F287">
        <f t="shared" si="9"/>
        <v>660</v>
      </c>
      <c r="L287" s="32">
        <f t="shared" si="10"/>
        <v>2.8195439355418688</v>
      </c>
    </row>
    <row r="288" spans="2:12" ht="12.75" customHeight="1" x14ac:dyDescent="0.2">
      <c r="B288" t="s">
        <v>2959</v>
      </c>
      <c r="C288">
        <v>698</v>
      </c>
      <c r="F288">
        <f t="shared" si="9"/>
        <v>698</v>
      </c>
      <c r="L288" s="32">
        <f t="shared" si="10"/>
        <v>2.8438554226231609</v>
      </c>
    </row>
    <row r="289" spans="2:12" ht="12.75" customHeight="1" x14ac:dyDescent="0.2">
      <c r="B289" t="s">
        <v>2493</v>
      </c>
      <c r="C289">
        <v>700</v>
      </c>
      <c r="F289">
        <f t="shared" si="9"/>
        <v>700</v>
      </c>
      <c r="L289" s="32">
        <f t="shared" si="10"/>
        <v>2.8450980400142569</v>
      </c>
    </row>
    <row r="290" spans="2:12" ht="12.75" customHeight="1" x14ac:dyDescent="0.2">
      <c r="B290" t="s">
        <v>1793</v>
      </c>
      <c r="C290">
        <v>704.5</v>
      </c>
      <c r="F290">
        <f t="shared" si="9"/>
        <v>704.5</v>
      </c>
      <c r="L290" s="32">
        <f t="shared" si="10"/>
        <v>2.8478809974453752</v>
      </c>
    </row>
    <row r="291" spans="2:12" ht="12.75" customHeight="1" x14ac:dyDescent="0.2">
      <c r="B291" t="s">
        <v>3346</v>
      </c>
      <c r="C291">
        <v>712</v>
      </c>
      <c r="F291">
        <f t="shared" si="9"/>
        <v>712</v>
      </c>
      <c r="L291" s="32">
        <f t="shared" si="10"/>
        <v>2.8524799936368566</v>
      </c>
    </row>
    <row r="292" spans="2:12" ht="12.75" customHeight="1" x14ac:dyDescent="0.2">
      <c r="B292" t="s">
        <v>2895</v>
      </c>
      <c r="C292">
        <v>712</v>
      </c>
      <c r="F292">
        <f t="shared" si="9"/>
        <v>712</v>
      </c>
      <c r="L292" s="32">
        <f t="shared" si="10"/>
        <v>2.8524799936368566</v>
      </c>
    </row>
    <row r="293" spans="2:12" ht="12.75" customHeight="1" x14ac:dyDescent="0.2">
      <c r="B293" t="s">
        <v>3268</v>
      </c>
      <c r="C293">
        <v>760</v>
      </c>
      <c r="F293">
        <f t="shared" si="9"/>
        <v>760</v>
      </c>
      <c r="L293" s="32">
        <f t="shared" si="10"/>
        <v>2.8808135922807914</v>
      </c>
    </row>
    <row r="294" spans="2:12" ht="12.75" customHeight="1" x14ac:dyDescent="0.2">
      <c r="B294" t="s">
        <v>132</v>
      </c>
      <c r="C294">
        <v>760</v>
      </c>
      <c r="F294">
        <f t="shared" si="9"/>
        <v>760</v>
      </c>
      <c r="L294" s="32">
        <f t="shared" si="10"/>
        <v>2.8808135922807914</v>
      </c>
    </row>
    <row r="295" spans="2:12" ht="12.75" customHeight="1" x14ac:dyDescent="0.2">
      <c r="B295" t="s">
        <v>2622</v>
      </c>
      <c r="C295">
        <v>767.8</v>
      </c>
      <c r="F295">
        <f t="shared" si="9"/>
        <v>767.8</v>
      </c>
      <c r="L295" s="32">
        <f t="shared" si="10"/>
        <v>2.8852481077813863</v>
      </c>
    </row>
    <row r="296" spans="2:12" ht="12.75" customHeight="1" x14ac:dyDescent="0.2">
      <c r="B296" t="s">
        <v>1695</v>
      </c>
      <c r="C296">
        <v>773</v>
      </c>
      <c r="F296">
        <f t="shared" si="9"/>
        <v>773</v>
      </c>
      <c r="L296" s="32">
        <f t="shared" si="10"/>
        <v>2.888179493918325</v>
      </c>
    </row>
    <row r="297" spans="2:12" ht="12.75" customHeight="1" x14ac:dyDescent="0.2">
      <c r="B297" t="s">
        <v>2491</v>
      </c>
      <c r="C297">
        <v>783.39</v>
      </c>
      <c r="F297">
        <f t="shared" si="9"/>
        <v>783.39</v>
      </c>
      <c r="L297" s="32">
        <f t="shared" si="10"/>
        <v>2.8939780234633945</v>
      </c>
    </row>
    <row r="298" spans="2:12" ht="12.75" customHeight="1" x14ac:dyDescent="0.2">
      <c r="B298" t="s">
        <v>1992</v>
      </c>
      <c r="C298">
        <v>788</v>
      </c>
      <c r="F298">
        <f t="shared" si="9"/>
        <v>788</v>
      </c>
      <c r="L298" s="32">
        <f t="shared" si="10"/>
        <v>2.8965262174895554</v>
      </c>
    </row>
    <row r="299" spans="2:12" ht="12.75" customHeight="1" x14ac:dyDescent="0.2">
      <c r="B299" t="s">
        <v>1260</v>
      </c>
      <c r="C299">
        <v>801</v>
      </c>
      <c r="F299">
        <f t="shared" si="9"/>
        <v>801</v>
      </c>
      <c r="L299" s="32">
        <f t="shared" si="10"/>
        <v>2.9036325160842376</v>
      </c>
    </row>
    <row r="300" spans="2:12" ht="12.75" customHeight="1" x14ac:dyDescent="0.2">
      <c r="B300" t="s">
        <v>2773</v>
      </c>
      <c r="C300">
        <v>808</v>
      </c>
      <c r="F300">
        <f t="shared" ref="F300:F363" si="11">C300</f>
        <v>808</v>
      </c>
      <c r="L300" s="32">
        <f t="shared" si="10"/>
        <v>2.907411360774586</v>
      </c>
    </row>
    <row r="301" spans="2:12" ht="12.75" customHeight="1" x14ac:dyDescent="0.2">
      <c r="B301" t="s">
        <v>2580</v>
      </c>
      <c r="C301">
        <v>810</v>
      </c>
      <c r="F301">
        <f t="shared" si="11"/>
        <v>810</v>
      </c>
      <c r="L301" s="32">
        <f t="shared" ref="L301:L364" si="12">LOG10(F301)</f>
        <v>2.90848501887865</v>
      </c>
    </row>
    <row r="302" spans="2:12" ht="12.75" customHeight="1" x14ac:dyDescent="0.2">
      <c r="B302" t="s">
        <v>2798</v>
      </c>
      <c r="C302">
        <v>818.7</v>
      </c>
      <c r="F302">
        <f t="shared" si="11"/>
        <v>818.7</v>
      </c>
      <c r="L302" s="32">
        <f t="shared" si="12"/>
        <v>2.913124790389559</v>
      </c>
    </row>
    <row r="303" spans="2:12" ht="12.75" customHeight="1" x14ac:dyDescent="0.2">
      <c r="B303" t="s">
        <v>2530</v>
      </c>
      <c r="C303">
        <v>820</v>
      </c>
      <c r="F303">
        <f t="shared" si="11"/>
        <v>820</v>
      </c>
      <c r="L303" s="32">
        <f t="shared" si="12"/>
        <v>2.9138138523837167</v>
      </c>
    </row>
    <row r="304" spans="2:12" ht="12.75" customHeight="1" x14ac:dyDescent="0.2">
      <c r="B304" t="s">
        <v>2866</v>
      </c>
      <c r="C304">
        <v>825</v>
      </c>
      <c r="F304">
        <f t="shared" si="11"/>
        <v>825</v>
      </c>
      <c r="L304" s="32">
        <f t="shared" si="12"/>
        <v>2.916453948549925</v>
      </c>
    </row>
    <row r="305" spans="2:12" ht="12.75" customHeight="1" x14ac:dyDescent="0.2">
      <c r="B305" t="s">
        <v>2521</v>
      </c>
      <c r="C305">
        <v>840</v>
      </c>
      <c r="F305">
        <f t="shared" si="11"/>
        <v>840</v>
      </c>
      <c r="L305" s="32">
        <f t="shared" si="12"/>
        <v>2.9242792860618816</v>
      </c>
    </row>
    <row r="306" spans="2:12" ht="12.75" customHeight="1" x14ac:dyDescent="0.2">
      <c r="B306" t="s">
        <v>3272</v>
      </c>
      <c r="C306">
        <v>861</v>
      </c>
      <c r="F306">
        <f t="shared" si="11"/>
        <v>861</v>
      </c>
      <c r="L306" s="32">
        <f t="shared" si="12"/>
        <v>2.935003151453655</v>
      </c>
    </row>
    <row r="307" spans="2:12" ht="12.75" customHeight="1" x14ac:dyDescent="0.2">
      <c r="B307" t="s">
        <v>1624</v>
      </c>
      <c r="C307">
        <v>905</v>
      </c>
      <c r="F307">
        <f t="shared" si="11"/>
        <v>905</v>
      </c>
      <c r="L307" s="32">
        <f t="shared" si="12"/>
        <v>2.9566485792052033</v>
      </c>
    </row>
    <row r="308" spans="2:12" ht="12.75" customHeight="1" x14ac:dyDescent="0.2">
      <c r="B308" t="s">
        <v>2496</v>
      </c>
      <c r="C308">
        <v>912</v>
      </c>
      <c r="F308">
        <f t="shared" si="11"/>
        <v>912</v>
      </c>
      <c r="L308" s="32">
        <f t="shared" si="12"/>
        <v>2.959994838328416</v>
      </c>
    </row>
    <row r="309" spans="2:12" ht="12.75" customHeight="1" x14ac:dyDescent="0.2">
      <c r="B309" t="s">
        <v>1551</v>
      </c>
      <c r="C309">
        <v>916</v>
      </c>
      <c r="F309">
        <f t="shared" si="11"/>
        <v>916</v>
      </c>
      <c r="L309" s="32">
        <f t="shared" si="12"/>
        <v>2.9618954736678504</v>
      </c>
    </row>
    <row r="310" spans="2:12" ht="12.75" customHeight="1" x14ac:dyDescent="0.2">
      <c r="B310" t="s">
        <v>1244</v>
      </c>
      <c r="C310">
        <v>968</v>
      </c>
      <c r="F310">
        <f t="shared" si="11"/>
        <v>968</v>
      </c>
      <c r="L310" s="32">
        <f t="shared" si="12"/>
        <v>2.9858753573083936</v>
      </c>
    </row>
    <row r="311" spans="2:12" ht="12.75" customHeight="1" x14ac:dyDescent="0.2">
      <c r="B311" t="s">
        <v>3349</v>
      </c>
      <c r="C311">
        <v>1000</v>
      </c>
      <c r="F311">
        <f t="shared" si="11"/>
        <v>1000</v>
      </c>
      <c r="L311" s="32">
        <f t="shared" si="12"/>
        <v>3</v>
      </c>
    </row>
    <row r="312" spans="2:12" ht="12.75" customHeight="1" x14ac:dyDescent="0.2">
      <c r="B312" t="s">
        <v>2005</v>
      </c>
      <c r="C312">
        <v>1015</v>
      </c>
      <c r="F312">
        <f t="shared" si="11"/>
        <v>1015</v>
      </c>
      <c r="L312" s="32">
        <f t="shared" si="12"/>
        <v>3.0064660422492318</v>
      </c>
    </row>
    <row r="313" spans="2:12" ht="12.75" customHeight="1" x14ac:dyDescent="0.2">
      <c r="B313" t="s">
        <v>475</v>
      </c>
      <c r="C313">
        <v>1015</v>
      </c>
      <c r="F313">
        <f t="shared" si="11"/>
        <v>1015</v>
      </c>
      <c r="L313" s="32">
        <f t="shared" si="12"/>
        <v>3.0064660422492318</v>
      </c>
    </row>
    <row r="314" spans="2:12" ht="12.75" customHeight="1" x14ac:dyDescent="0.2">
      <c r="B314" t="s">
        <v>2435</v>
      </c>
      <c r="C314">
        <v>1017</v>
      </c>
      <c r="F314">
        <f t="shared" si="11"/>
        <v>1017</v>
      </c>
      <c r="L314" s="32">
        <f t="shared" si="12"/>
        <v>3.0073209529227447</v>
      </c>
    </row>
    <row r="315" spans="2:12" ht="12.75" customHeight="1" x14ac:dyDescent="0.2">
      <c r="B315" t="s">
        <v>3353</v>
      </c>
      <c r="C315">
        <v>1035</v>
      </c>
      <c r="F315">
        <f t="shared" si="11"/>
        <v>1035</v>
      </c>
      <c r="L315" s="32">
        <f t="shared" si="12"/>
        <v>3.0149403497929366</v>
      </c>
    </row>
    <row r="316" spans="2:12" ht="12.75" customHeight="1" x14ac:dyDescent="0.2">
      <c r="B316" t="s">
        <v>3338</v>
      </c>
      <c r="C316">
        <v>1036</v>
      </c>
      <c r="F316">
        <f t="shared" si="11"/>
        <v>1036</v>
      </c>
      <c r="L316" s="32">
        <f t="shared" si="12"/>
        <v>3.0153597554092144</v>
      </c>
    </row>
    <row r="317" spans="2:12" ht="12.75" customHeight="1" x14ac:dyDescent="0.2">
      <c r="B317" t="s">
        <v>2281</v>
      </c>
      <c r="C317">
        <v>1040</v>
      </c>
      <c r="F317">
        <f t="shared" si="11"/>
        <v>1040</v>
      </c>
      <c r="L317" s="32">
        <f t="shared" si="12"/>
        <v>3.0170333392987803</v>
      </c>
    </row>
    <row r="318" spans="2:12" ht="12.75" customHeight="1" x14ac:dyDescent="0.2">
      <c r="B318" t="s">
        <v>2282</v>
      </c>
      <c r="C318">
        <v>1139.7</v>
      </c>
      <c r="F318">
        <f t="shared" si="11"/>
        <v>1139.7</v>
      </c>
      <c r="L318" s="32">
        <f t="shared" si="12"/>
        <v>3.0567905482743827</v>
      </c>
    </row>
    <row r="319" spans="2:12" ht="12.75" customHeight="1" x14ac:dyDescent="0.2">
      <c r="B319" t="s">
        <v>1661</v>
      </c>
      <c r="C319">
        <v>1226</v>
      </c>
      <c r="F319">
        <f t="shared" si="11"/>
        <v>1226</v>
      </c>
      <c r="L319" s="32">
        <f t="shared" si="12"/>
        <v>3.0884904701823963</v>
      </c>
    </row>
    <row r="320" spans="2:12" ht="12.75" customHeight="1" x14ac:dyDescent="0.2">
      <c r="B320" t="s">
        <v>2667</v>
      </c>
      <c r="C320">
        <v>1267.0999999999999</v>
      </c>
      <c r="F320">
        <f t="shared" si="11"/>
        <v>1267.0999999999999</v>
      </c>
      <c r="L320" s="32">
        <f t="shared" si="12"/>
        <v>3.1028108909169152</v>
      </c>
    </row>
    <row r="321" spans="2:12" ht="12.75" customHeight="1" x14ac:dyDescent="0.2">
      <c r="B321" t="s">
        <v>1986</v>
      </c>
      <c r="C321">
        <v>1279.3</v>
      </c>
      <c r="F321">
        <f t="shared" si="11"/>
        <v>1279.3</v>
      </c>
      <c r="L321" s="32">
        <f t="shared" si="12"/>
        <v>3.1069723998866734</v>
      </c>
    </row>
    <row r="322" spans="2:12" ht="12.75" customHeight="1" x14ac:dyDescent="0.2">
      <c r="B322" t="s">
        <v>2655</v>
      </c>
      <c r="C322">
        <v>1300</v>
      </c>
      <c r="F322">
        <f t="shared" si="11"/>
        <v>1300</v>
      </c>
      <c r="L322" s="32">
        <f t="shared" si="12"/>
        <v>3.1139433523068369</v>
      </c>
    </row>
    <row r="323" spans="2:12" ht="12.75" customHeight="1" x14ac:dyDescent="0.2">
      <c r="B323" t="s">
        <v>2783</v>
      </c>
      <c r="C323">
        <v>1300</v>
      </c>
      <c r="F323">
        <f t="shared" si="11"/>
        <v>1300</v>
      </c>
      <c r="L323" s="32">
        <f t="shared" si="12"/>
        <v>3.1139433523068369</v>
      </c>
    </row>
    <row r="324" spans="2:12" ht="12.75" customHeight="1" x14ac:dyDescent="0.2">
      <c r="B324" t="s">
        <v>3351</v>
      </c>
      <c r="C324">
        <v>1321</v>
      </c>
      <c r="F324">
        <f t="shared" si="11"/>
        <v>1321</v>
      </c>
      <c r="L324" s="32">
        <f t="shared" si="12"/>
        <v>3.1209028176145273</v>
      </c>
    </row>
    <row r="325" spans="2:12" ht="12.75" customHeight="1" x14ac:dyDescent="0.2">
      <c r="B325" t="s">
        <v>2508</v>
      </c>
      <c r="C325">
        <v>1323</v>
      </c>
      <c r="F325">
        <f t="shared" si="11"/>
        <v>1323</v>
      </c>
      <c r="L325" s="32">
        <f t="shared" si="12"/>
        <v>3.1215598441875008</v>
      </c>
    </row>
    <row r="326" spans="2:12" ht="12.75" customHeight="1" x14ac:dyDescent="0.2">
      <c r="B326" t="s">
        <v>1845</v>
      </c>
      <c r="C326">
        <v>1345</v>
      </c>
      <c r="F326">
        <f t="shared" si="11"/>
        <v>1345</v>
      </c>
      <c r="L326" s="32">
        <f t="shared" si="12"/>
        <v>3.1287222843384268</v>
      </c>
    </row>
    <row r="327" spans="2:12" ht="12.75" customHeight="1" x14ac:dyDescent="0.2">
      <c r="B327" t="s">
        <v>1335</v>
      </c>
      <c r="C327">
        <v>1372</v>
      </c>
      <c r="F327">
        <f t="shared" si="11"/>
        <v>1372</v>
      </c>
      <c r="L327" s="32">
        <f t="shared" si="12"/>
        <v>3.1373541113707328</v>
      </c>
    </row>
    <row r="328" spans="2:12" ht="12.75" customHeight="1" x14ac:dyDescent="0.2">
      <c r="B328" t="s">
        <v>1694</v>
      </c>
      <c r="C328">
        <v>1389</v>
      </c>
      <c r="F328">
        <f t="shared" si="11"/>
        <v>1389</v>
      </c>
      <c r="L328" s="32">
        <f t="shared" si="12"/>
        <v>3.1427022457376155</v>
      </c>
    </row>
    <row r="329" spans="2:12" ht="12.75" customHeight="1" x14ac:dyDescent="0.2">
      <c r="B329" t="s">
        <v>2684</v>
      </c>
      <c r="C329">
        <v>1420</v>
      </c>
      <c r="F329">
        <f t="shared" si="11"/>
        <v>1420</v>
      </c>
      <c r="L329" s="32">
        <f t="shared" si="12"/>
        <v>3.1522883443830563</v>
      </c>
    </row>
    <row r="330" spans="2:12" ht="12.75" customHeight="1" x14ac:dyDescent="0.2">
      <c r="B330" t="s">
        <v>376</v>
      </c>
      <c r="C330">
        <v>1425</v>
      </c>
      <c r="F330">
        <f t="shared" si="11"/>
        <v>1425</v>
      </c>
      <c r="L330" s="32">
        <f t="shared" si="12"/>
        <v>3.153814864344529</v>
      </c>
    </row>
    <row r="331" spans="2:12" ht="12.75" customHeight="1" x14ac:dyDescent="0.2">
      <c r="B331" t="s">
        <v>2824</v>
      </c>
      <c r="C331">
        <v>1560</v>
      </c>
      <c r="F331">
        <f t="shared" si="11"/>
        <v>1560</v>
      </c>
      <c r="L331" s="32">
        <f t="shared" si="12"/>
        <v>3.1931245983544616</v>
      </c>
    </row>
    <row r="332" spans="2:12" ht="12.75" customHeight="1" x14ac:dyDescent="0.2">
      <c r="B332" t="s">
        <v>2831</v>
      </c>
      <c r="C332">
        <v>1601</v>
      </c>
      <c r="F332">
        <f t="shared" si="11"/>
        <v>1601</v>
      </c>
      <c r="L332" s="32">
        <f t="shared" si="12"/>
        <v>3.2043913319192998</v>
      </c>
    </row>
    <row r="333" spans="2:12" ht="12.75" customHeight="1" x14ac:dyDescent="0.2">
      <c r="B333" t="s">
        <v>2867</v>
      </c>
      <c r="C333">
        <v>1608</v>
      </c>
      <c r="F333">
        <f t="shared" si="11"/>
        <v>1608</v>
      </c>
      <c r="L333" s="32">
        <f t="shared" si="12"/>
        <v>3.2062860444124324</v>
      </c>
    </row>
    <row r="334" spans="2:12" ht="12.75" customHeight="1" x14ac:dyDescent="0.2">
      <c r="B334" t="s">
        <v>1000</v>
      </c>
      <c r="C334">
        <v>1634</v>
      </c>
      <c r="F334">
        <f t="shared" si="11"/>
        <v>1634</v>
      </c>
      <c r="L334" s="32">
        <f t="shared" si="12"/>
        <v>3.2132520521963968</v>
      </c>
    </row>
    <row r="335" spans="2:12" ht="12.75" customHeight="1" x14ac:dyDescent="0.2">
      <c r="B335" t="s">
        <v>217</v>
      </c>
      <c r="C335">
        <v>1638</v>
      </c>
      <c r="F335">
        <f t="shared" si="11"/>
        <v>1638</v>
      </c>
      <c r="L335" s="32">
        <f t="shared" si="12"/>
        <v>3.2143138974243999</v>
      </c>
    </row>
    <row r="336" spans="2:12" ht="12.75" customHeight="1" x14ac:dyDescent="0.2">
      <c r="B336" t="s">
        <v>1450</v>
      </c>
      <c r="C336">
        <v>1649</v>
      </c>
      <c r="F336">
        <f t="shared" si="11"/>
        <v>1649</v>
      </c>
      <c r="L336" s="32">
        <f t="shared" si="12"/>
        <v>3.2172206556445189</v>
      </c>
    </row>
    <row r="337" spans="2:12" ht="12.75" customHeight="1" x14ac:dyDescent="0.2">
      <c r="B337" t="s">
        <v>3266</v>
      </c>
      <c r="C337">
        <v>1680</v>
      </c>
      <c r="F337">
        <f t="shared" si="11"/>
        <v>1680</v>
      </c>
      <c r="L337" s="32">
        <f t="shared" si="12"/>
        <v>3.2253092817258628</v>
      </c>
    </row>
    <row r="338" spans="2:12" ht="12.75" customHeight="1" x14ac:dyDescent="0.2">
      <c r="B338" t="s">
        <v>2808</v>
      </c>
      <c r="C338">
        <v>1780</v>
      </c>
      <c r="F338">
        <f t="shared" si="11"/>
        <v>1780</v>
      </c>
      <c r="L338" s="32">
        <f t="shared" si="12"/>
        <v>3.2504200023088941</v>
      </c>
    </row>
    <row r="339" spans="2:12" ht="12.75" customHeight="1" x14ac:dyDescent="0.2">
      <c r="B339" t="s">
        <v>1458</v>
      </c>
      <c r="C339">
        <v>1815</v>
      </c>
      <c r="F339">
        <f t="shared" si="11"/>
        <v>1815</v>
      </c>
      <c r="L339" s="32">
        <f t="shared" si="12"/>
        <v>3.2588766293721312</v>
      </c>
    </row>
    <row r="340" spans="2:12" ht="12.75" customHeight="1" x14ac:dyDescent="0.2">
      <c r="B340" t="s">
        <v>1980</v>
      </c>
      <c r="C340">
        <v>1815</v>
      </c>
      <c r="F340">
        <f t="shared" si="11"/>
        <v>1815</v>
      </c>
      <c r="L340" s="32">
        <f t="shared" si="12"/>
        <v>3.2588766293721312</v>
      </c>
    </row>
    <row r="341" spans="2:12" ht="12.75" customHeight="1" x14ac:dyDescent="0.2">
      <c r="B341" t="s">
        <v>2659</v>
      </c>
      <c r="C341">
        <v>1830</v>
      </c>
      <c r="F341">
        <f t="shared" si="11"/>
        <v>1830</v>
      </c>
      <c r="L341" s="32">
        <f t="shared" si="12"/>
        <v>3.2624510897304293</v>
      </c>
    </row>
    <row r="342" spans="2:12" ht="12.75" customHeight="1" x14ac:dyDescent="0.2">
      <c r="B342" t="s">
        <v>2121</v>
      </c>
      <c r="C342">
        <v>1849</v>
      </c>
      <c r="F342">
        <f t="shared" si="11"/>
        <v>1849</v>
      </c>
      <c r="L342" s="32">
        <f t="shared" si="12"/>
        <v>3.2669369111591728</v>
      </c>
    </row>
    <row r="343" spans="2:12" ht="12.75" customHeight="1" x14ac:dyDescent="0.2">
      <c r="B343" t="s">
        <v>2657</v>
      </c>
      <c r="C343">
        <v>1868</v>
      </c>
      <c r="F343">
        <f t="shared" si="11"/>
        <v>1868</v>
      </c>
      <c r="L343" s="32">
        <f t="shared" si="12"/>
        <v>3.2713768718940743</v>
      </c>
    </row>
    <row r="344" spans="2:12" ht="12.75" customHeight="1" x14ac:dyDescent="0.2">
      <c r="B344" t="s">
        <v>2829</v>
      </c>
      <c r="C344">
        <v>2000</v>
      </c>
      <c r="F344">
        <f t="shared" si="11"/>
        <v>2000</v>
      </c>
      <c r="L344" s="32">
        <f t="shared" si="12"/>
        <v>3.3010299956639813</v>
      </c>
    </row>
    <row r="345" spans="2:12" ht="12.75" customHeight="1" x14ac:dyDescent="0.2">
      <c r="B345" t="s">
        <v>2182</v>
      </c>
      <c r="C345">
        <v>2014</v>
      </c>
      <c r="F345">
        <f t="shared" si="11"/>
        <v>2014</v>
      </c>
      <c r="L345" s="32">
        <f t="shared" si="12"/>
        <v>3.3040594662175993</v>
      </c>
    </row>
    <row r="346" spans="2:12" ht="12.75" customHeight="1" x14ac:dyDescent="0.2">
      <c r="B346" t="s">
        <v>3269</v>
      </c>
      <c r="C346">
        <v>2045</v>
      </c>
      <c r="F346">
        <f t="shared" si="11"/>
        <v>2045</v>
      </c>
      <c r="L346" s="32">
        <f t="shared" si="12"/>
        <v>3.3106933123433606</v>
      </c>
    </row>
    <row r="347" spans="2:12" ht="12.75" customHeight="1" x14ac:dyDescent="0.2">
      <c r="B347" t="s">
        <v>2670</v>
      </c>
      <c r="C347">
        <v>2070</v>
      </c>
      <c r="F347">
        <f t="shared" si="11"/>
        <v>2070</v>
      </c>
      <c r="L347" s="32">
        <f t="shared" si="12"/>
        <v>3.3159703454569178</v>
      </c>
    </row>
    <row r="348" spans="2:12" ht="12.75" customHeight="1" x14ac:dyDescent="0.2">
      <c r="B348" t="s">
        <v>2277</v>
      </c>
      <c r="C348">
        <v>2245</v>
      </c>
      <c r="F348">
        <f t="shared" si="11"/>
        <v>2245</v>
      </c>
      <c r="L348" s="32">
        <f t="shared" si="12"/>
        <v>3.351216345339342</v>
      </c>
    </row>
    <row r="349" spans="2:12" ht="12.75" customHeight="1" x14ac:dyDescent="0.2">
      <c r="B349" t="s">
        <v>2871</v>
      </c>
      <c r="C349">
        <v>2300</v>
      </c>
      <c r="F349">
        <f t="shared" si="11"/>
        <v>2300</v>
      </c>
      <c r="L349" s="32">
        <f t="shared" si="12"/>
        <v>3.3617278360175931</v>
      </c>
    </row>
    <row r="350" spans="2:12" ht="12.75" customHeight="1" x14ac:dyDescent="0.2">
      <c r="B350" t="s">
        <v>3371</v>
      </c>
      <c r="C350">
        <v>2394</v>
      </c>
      <c r="F350">
        <f t="shared" si="11"/>
        <v>2394</v>
      </c>
      <c r="L350" s="32">
        <f t="shared" si="12"/>
        <v>3.3791241460703918</v>
      </c>
    </row>
    <row r="351" spans="2:12" ht="12.75" customHeight="1" x14ac:dyDescent="0.2">
      <c r="B351" t="s">
        <v>1847</v>
      </c>
      <c r="C351">
        <v>2436.3000000000002</v>
      </c>
      <c r="F351">
        <f t="shared" si="11"/>
        <v>2436.3000000000002</v>
      </c>
      <c r="L351" s="32">
        <f t="shared" si="12"/>
        <v>3.3867307652098315</v>
      </c>
    </row>
    <row r="352" spans="2:12" ht="12.75" customHeight="1" x14ac:dyDescent="0.2">
      <c r="B352" t="s">
        <v>2564</v>
      </c>
      <c r="C352">
        <v>2550.8000000000002</v>
      </c>
      <c r="F352">
        <f t="shared" si="11"/>
        <v>2550.8000000000002</v>
      </c>
      <c r="L352" s="32">
        <f t="shared" si="12"/>
        <v>3.4066764083152177</v>
      </c>
    </row>
    <row r="353" spans="2:12" ht="12.75" customHeight="1" x14ac:dyDescent="0.2">
      <c r="B353" t="s">
        <v>2897</v>
      </c>
      <c r="C353">
        <v>2600</v>
      </c>
      <c r="F353">
        <f t="shared" si="11"/>
        <v>2600</v>
      </c>
      <c r="L353" s="32">
        <f t="shared" si="12"/>
        <v>3.4149733479708178</v>
      </c>
    </row>
    <row r="354" spans="2:12" ht="12.75" customHeight="1" x14ac:dyDescent="0.2">
      <c r="B354" t="s">
        <v>2691</v>
      </c>
      <c r="C354">
        <v>2602</v>
      </c>
      <c r="F354">
        <f t="shared" si="11"/>
        <v>2602</v>
      </c>
      <c r="L354" s="32">
        <f t="shared" si="12"/>
        <v>3.4153072922255676</v>
      </c>
    </row>
    <row r="355" spans="2:12" ht="12.75" customHeight="1" x14ac:dyDescent="0.2">
      <c r="B355" t="s">
        <v>2772</v>
      </c>
      <c r="C355">
        <v>2742</v>
      </c>
      <c r="F355">
        <f t="shared" si="11"/>
        <v>2742</v>
      </c>
      <c r="L355" s="32">
        <f t="shared" si="12"/>
        <v>3.4380674504534938</v>
      </c>
    </row>
    <row r="356" spans="2:12" ht="12.75" customHeight="1" x14ac:dyDescent="0.2">
      <c r="B356" t="s">
        <v>2436</v>
      </c>
      <c r="C356">
        <v>2808</v>
      </c>
      <c r="F356">
        <f t="shared" si="11"/>
        <v>2808</v>
      </c>
      <c r="L356" s="32">
        <f t="shared" si="12"/>
        <v>3.4483971034577676</v>
      </c>
    </row>
    <row r="357" spans="2:12" ht="12.75" customHeight="1" x14ac:dyDescent="0.2">
      <c r="B357" t="s">
        <v>1721</v>
      </c>
      <c r="C357">
        <v>2814</v>
      </c>
      <c r="F357">
        <f t="shared" si="11"/>
        <v>2814</v>
      </c>
      <c r="L357" s="32">
        <f t="shared" si="12"/>
        <v>3.4493240930987268</v>
      </c>
    </row>
    <row r="358" spans="2:12" ht="12.75" customHeight="1" x14ac:dyDescent="0.2">
      <c r="B358" t="s">
        <v>2818</v>
      </c>
      <c r="C358">
        <v>3000</v>
      </c>
      <c r="F358">
        <f t="shared" si="11"/>
        <v>3000</v>
      </c>
      <c r="L358" s="32">
        <f t="shared" si="12"/>
        <v>3.4771212547196626</v>
      </c>
    </row>
    <row r="359" spans="2:12" ht="12.75" customHeight="1" x14ac:dyDescent="0.2">
      <c r="B359" t="s">
        <v>3372</v>
      </c>
      <c r="C359">
        <v>3121</v>
      </c>
      <c r="F359">
        <f t="shared" si="11"/>
        <v>3121</v>
      </c>
      <c r="L359" s="32">
        <f t="shared" si="12"/>
        <v>3.4942937686653326</v>
      </c>
    </row>
    <row r="360" spans="2:12" ht="12.75" customHeight="1" x14ac:dyDescent="0.2">
      <c r="B360" t="s">
        <v>1999</v>
      </c>
      <c r="C360">
        <v>3300</v>
      </c>
      <c r="F360">
        <f t="shared" si="11"/>
        <v>3300</v>
      </c>
      <c r="L360" s="32">
        <f t="shared" si="12"/>
        <v>3.5185139398778875</v>
      </c>
    </row>
    <row r="361" spans="2:12" ht="12.75" customHeight="1" x14ac:dyDescent="0.2">
      <c r="B361" t="s">
        <v>2529</v>
      </c>
      <c r="C361">
        <v>3362</v>
      </c>
      <c r="F361">
        <f t="shared" si="11"/>
        <v>3362</v>
      </c>
      <c r="L361" s="32">
        <f t="shared" si="12"/>
        <v>3.5265977091034522</v>
      </c>
    </row>
    <row r="362" spans="2:12" ht="12.75" customHeight="1" x14ac:dyDescent="0.2">
      <c r="B362" t="s">
        <v>2669</v>
      </c>
      <c r="C362">
        <v>3469</v>
      </c>
      <c r="F362">
        <f t="shared" si="11"/>
        <v>3469</v>
      </c>
      <c r="L362" s="32">
        <f t="shared" si="12"/>
        <v>3.5402042998420598</v>
      </c>
    </row>
    <row r="363" spans="2:12" ht="12.75" customHeight="1" x14ac:dyDescent="0.2">
      <c r="B363" t="s">
        <v>2845</v>
      </c>
      <c r="C363">
        <v>3710</v>
      </c>
      <c r="F363">
        <f t="shared" si="11"/>
        <v>3710</v>
      </c>
      <c r="L363" s="32">
        <f t="shared" si="12"/>
        <v>3.5693739096150461</v>
      </c>
    </row>
    <row r="364" spans="2:12" ht="12.75" customHeight="1" x14ac:dyDescent="0.2">
      <c r="B364" t="s">
        <v>2115</v>
      </c>
      <c r="C364">
        <v>4050</v>
      </c>
      <c r="F364">
        <f t="shared" ref="F364:F395" si="13">C364</f>
        <v>4050</v>
      </c>
      <c r="L364" s="32">
        <f t="shared" si="12"/>
        <v>3.6074550232146687</v>
      </c>
    </row>
    <row r="365" spans="2:12" ht="12.75" customHeight="1" x14ac:dyDescent="0.2">
      <c r="B365" t="s">
        <v>3339</v>
      </c>
      <c r="C365">
        <v>4300</v>
      </c>
      <c r="F365">
        <f t="shared" si="13"/>
        <v>4300</v>
      </c>
      <c r="L365" s="32">
        <f t="shared" ref="L365:L395" si="14">LOG10(F365)</f>
        <v>3.6334684555795866</v>
      </c>
    </row>
    <row r="366" spans="2:12" ht="12.75" customHeight="1" x14ac:dyDescent="0.2">
      <c r="B366" t="s">
        <v>2450</v>
      </c>
      <c r="C366">
        <v>4432</v>
      </c>
      <c r="F366">
        <f t="shared" si="13"/>
        <v>4432</v>
      </c>
      <c r="L366" s="32">
        <f t="shared" si="14"/>
        <v>3.6465997517203732</v>
      </c>
    </row>
    <row r="367" spans="2:12" ht="12.75" customHeight="1" x14ac:dyDescent="0.2">
      <c r="B367" t="s">
        <v>2763</v>
      </c>
      <c r="C367">
        <v>4602</v>
      </c>
      <c r="F367">
        <f t="shared" si="13"/>
        <v>4602</v>
      </c>
      <c r="L367" s="32">
        <f t="shared" si="14"/>
        <v>3.6629466143326246</v>
      </c>
    </row>
    <row r="368" spans="2:12" ht="12.75" customHeight="1" x14ac:dyDescent="0.2">
      <c r="B368" t="s">
        <v>2443</v>
      </c>
      <c r="C368">
        <v>4810</v>
      </c>
      <c r="F368">
        <f t="shared" si="13"/>
        <v>4810</v>
      </c>
      <c r="L368" s="32">
        <f t="shared" si="14"/>
        <v>3.6821450763738319</v>
      </c>
    </row>
    <row r="369" spans="2:12" ht="12.75" customHeight="1" x14ac:dyDescent="0.2">
      <c r="B369" t="s">
        <v>2571</v>
      </c>
      <c r="C369">
        <v>5309.1</v>
      </c>
      <c r="F369">
        <f t="shared" si="13"/>
        <v>5309.1</v>
      </c>
      <c r="L369" s="32">
        <f t="shared" si="14"/>
        <v>3.7250209056084724</v>
      </c>
    </row>
    <row r="370" spans="2:12" ht="12.75" customHeight="1" x14ac:dyDescent="0.2">
      <c r="B370" t="s">
        <v>2615</v>
      </c>
      <c r="C370">
        <v>5340</v>
      </c>
      <c r="F370">
        <f t="shared" si="13"/>
        <v>5340</v>
      </c>
      <c r="L370" s="32">
        <f t="shared" si="14"/>
        <v>3.7275412570285562</v>
      </c>
    </row>
    <row r="371" spans="2:12" ht="12.75" customHeight="1" x14ac:dyDescent="0.2">
      <c r="B371" t="s">
        <v>2595</v>
      </c>
      <c r="C371">
        <v>5492</v>
      </c>
      <c r="F371">
        <f t="shared" si="13"/>
        <v>5492</v>
      </c>
      <c r="L371" s="32">
        <f t="shared" si="14"/>
        <v>3.7397305285647175</v>
      </c>
    </row>
    <row r="372" spans="2:12" ht="12.75" customHeight="1" x14ac:dyDescent="0.2">
      <c r="B372" t="s">
        <v>1799</v>
      </c>
      <c r="C372">
        <v>5895</v>
      </c>
      <c r="F372">
        <f t="shared" si="13"/>
        <v>5895</v>
      </c>
      <c r="L372" s="32">
        <f t="shared" si="14"/>
        <v>3.7704838094311079</v>
      </c>
    </row>
    <row r="373" spans="2:12" ht="12.75" customHeight="1" x14ac:dyDescent="0.2">
      <c r="B373" t="s">
        <v>2453</v>
      </c>
      <c r="C373">
        <v>6000</v>
      </c>
      <c r="F373">
        <f t="shared" si="13"/>
        <v>6000</v>
      </c>
      <c r="L373" s="32">
        <f t="shared" si="14"/>
        <v>3.7781512503836434</v>
      </c>
    </row>
    <row r="374" spans="2:12" ht="12.75" customHeight="1" x14ac:dyDescent="0.2">
      <c r="B374" t="s">
        <v>2280</v>
      </c>
      <c r="C374">
        <v>6371.9</v>
      </c>
      <c r="F374">
        <f t="shared" si="13"/>
        <v>6371.9</v>
      </c>
      <c r="L374" s="32">
        <f t="shared" si="14"/>
        <v>3.8042689514057768</v>
      </c>
    </row>
    <row r="375" spans="2:12" ht="12.75" customHeight="1" x14ac:dyDescent="0.2">
      <c r="B375" t="s">
        <v>3361</v>
      </c>
      <c r="C375">
        <v>6500</v>
      </c>
      <c r="F375">
        <f t="shared" si="13"/>
        <v>6500</v>
      </c>
      <c r="L375" s="32">
        <f t="shared" si="14"/>
        <v>3.8129133566428557</v>
      </c>
    </row>
    <row r="376" spans="2:12" ht="12.75" customHeight="1" x14ac:dyDescent="0.2">
      <c r="B376" t="s">
        <v>2008</v>
      </c>
      <c r="C376">
        <v>6674.1</v>
      </c>
      <c r="F376">
        <f t="shared" si="13"/>
        <v>6674.1</v>
      </c>
      <c r="L376" s="32">
        <f t="shared" si="14"/>
        <v>3.8243927095292669</v>
      </c>
    </row>
    <row r="377" spans="2:12" ht="12.75" customHeight="1" x14ac:dyDescent="0.2">
      <c r="B377" t="s">
        <v>2803</v>
      </c>
      <c r="C377">
        <v>7000</v>
      </c>
      <c r="F377">
        <f t="shared" si="13"/>
        <v>7000</v>
      </c>
      <c r="L377" s="32">
        <f t="shared" si="14"/>
        <v>3.8450980400142569</v>
      </c>
    </row>
    <row r="378" spans="2:12" ht="12.75" customHeight="1" x14ac:dyDescent="0.2">
      <c r="B378" t="s">
        <v>3350</v>
      </c>
      <c r="C378">
        <v>7940</v>
      </c>
      <c r="F378">
        <f t="shared" si="13"/>
        <v>7940</v>
      </c>
      <c r="L378" s="32">
        <f t="shared" si="14"/>
        <v>3.8998205024270964</v>
      </c>
    </row>
    <row r="379" spans="2:12" ht="12.75" customHeight="1" x14ac:dyDescent="0.2">
      <c r="B379" t="s">
        <v>2422</v>
      </c>
      <c r="C379">
        <v>9354</v>
      </c>
      <c r="F379">
        <f t="shared" si="13"/>
        <v>9354</v>
      </c>
      <c r="L379" s="32">
        <f t="shared" si="14"/>
        <v>3.9709973655724853</v>
      </c>
    </row>
    <row r="380" spans="2:12" ht="12.75" customHeight="1" x14ac:dyDescent="0.2">
      <c r="B380" t="s">
        <v>2594</v>
      </c>
      <c r="C380">
        <v>10441</v>
      </c>
      <c r="F380">
        <f t="shared" si="13"/>
        <v>10441</v>
      </c>
      <c r="L380" s="32">
        <f t="shared" si="14"/>
        <v>4.0187420957623816</v>
      </c>
    </row>
    <row r="381" spans="2:12" ht="12.75" customHeight="1" x14ac:dyDescent="0.2">
      <c r="B381" t="s">
        <v>2846</v>
      </c>
      <c r="C381">
        <v>11280</v>
      </c>
      <c r="F381">
        <f t="shared" si="13"/>
        <v>11280</v>
      </c>
      <c r="L381" s="32">
        <f t="shared" si="14"/>
        <v>4.0523090996473234</v>
      </c>
    </row>
    <row r="382" spans="2:12" ht="12.75" customHeight="1" x14ac:dyDescent="0.2">
      <c r="B382" t="s">
        <v>11</v>
      </c>
      <c r="C382">
        <v>11528</v>
      </c>
      <c r="F382">
        <f t="shared" si="13"/>
        <v>11528</v>
      </c>
      <c r="L382" s="32">
        <f t="shared" si="14"/>
        <v>4.0617539678059327</v>
      </c>
    </row>
    <row r="383" spans="2:12" ht="12.75" customHeight="1" x14ac:dyDescent="0.2">
      <c r="B383" t="s">
        <v>3365</v>
      </c>
      <c r="C383">
        <v>11700</v>
      </c>
      <c r="F383">
        <f t="shared" si="13"/>
        <v>11700</v>
      </c>
      <c r="L383" s="32">
        <f t="shared" si="14"/>
        <v>4.0681858617461613</v>
      </c>
    </row>
    <row r="384" spans="2:12" ht="12.75" customHeight="1" x14ac:dyDescent="0.2">
      <c r="B384" t="s">
        <v>2666</v>
      </c>
      <c r="C384">
        <v>12168</v>
      </c>
      <c r="F384">
        <f t="shared" si="13"/>
        <v>12168</v>
      </c>
      <c r="L384" s="32">
        <f t="shared" si="14"/>
        <v>4.085219201044942</v>
      </c>
    </row>
    <row r="385" spans="2:12" ht="12.75" customHeight="1" x14ac:dyDescent="0.2">
      <c r="B385" t="s">
        <v>2395</v>
      </c>
      <c r="C385">
        <v>15464</v>
      </c>
      <c r="F385">
        <f t="shared" si="13"/>
        <v>15464</v>
      </c>
      <c r="L385" s="32">
        <f t="shared" si="14"/>
        <v>4.1893218410204964</v>
      </c>
    </row>
    <row r="386" spans="2:12" ht="12.75" customHeight="1" x14ac:dyDescent="0.2">
      <c r="B386" t="s">
        <v>2103</v>
      </c>
      <c r="C386">
        <v>15600</v>
      </c>
      <c r="F386">
        <f t="shared" si="13"/>
        <v>15600</v>
      </c>
      <c r="L386" s="32">
        <f t="shared" si="14"/>
        <v>4.1931245983544612</v>
      </c>
    </row>
    <row r="387" spans="2:12" ht="12.75" customHeight="1" x14ac:dyDescent="0.2">
      <c r="B387" t="s">
        <v>2739</v>
      </c>
      <c r="C387">
        <v>15949</v>
      </c>
      <c r="F387">
        <f t="shared" si="13"/>
        <v>15949</v>
      </c>
      <c r="L387" s="32">
        <f t="shared" si="14"/>
        <v>4.2027334580454436</v>
      </c>
    </row>
    <row r="388" spans="2:12" ht="12.75" customHeight="1" x14ac:dyDescent="0.2">
      <c r="B388" t="s">
        <v>2011</v>
      </c>
      <c r="C388">
        <v>16518</v>
      </c>
      <c r="F388">
        <f t="shared" si="13"/>
        <v>16518</v>
      </c>
      <c r="L388" s="32">
        <f t="shared" si="14"/>
        <v>4.2179574617769742</v>
      </c>
    </row>
    <row r="389" spans="2:12" ht="12.75" customHeight="1" x14ac:dyDescent="0.2">
      <c r="B389" t="s">
        <v>3264</v>
      </c>
      <c r="C389">
        <v>16974</v>
      </c>
      <c r="F389">
        <f t="shared" si="13"/>
        <v>16974</v>
      </c>
      <c r="L389" s="32">
        <f t="shared" si="14"/>
        <v>4.2297841978406341</v>
      </c>
    </row>
    <row r="390" spans="2:12" ht="12.75" customHeight="1" x14ac:dyDescent="0.2">
      <c r="B390" t="s">
        <v>2593</v>
      </c>
      <c r="C390">
        <v>23500</v>
      </c>
      <c r="F390">
        <f t="shared" si="13"/>
        <v>23500</v>
      </c>
      <c r="L390" s="32">
        <f t="shared" si="14"/>
        <v>4.3710678622717358</v>
      </c>
    </row>
    <row r="391" spans="2:12" ht="12.75" customHeight="1" x14ac:dyDescent="0.2">
      <c r="B391" t="s">
        <v>2677</v>
      </c>
      <c r="C391">
        <v>27249</v>
      </c>
      <c r="F391">
        <f t="shared" si="13"/>
        <v>27249</v>
      </c>
      <c r="L391" s="32">
        <f t="shared" si="14"/>
        <v>4.4353505689080448</v>
      </c>
    </row>
    <row r="392" spans="2:12" ht="12.75" customHeight="1" x14ac:dyDescent="0.2">
      <c r="B392" t="s">
        <v>2825</v>
      </c>
      <c r="C392">
        <v>57410</v>
      </c>
      <c r="F392">
        <f t="shared" si="13"/>
        <v>57410</v>
      </c>
      <c r="L392" s="32">
        <f t="shared" si="14"/>
        <v>4.758987546867619</v>
      </c>
    </row>
    <row r="393" spans="2:12" ht="12.75" customHeight="1" x14ac:dyDescent="0.2">
      <c r="B393" t="s">
        <v>2737</v>
      </c>
      <c r="C393">
        <v>58090</v>
      </c>
      <c r="F393">
        <f t="shared" si="13"/>
        <v>58090</v>
      </c>
      <c r="L393" s="32">
        <f t="shared" si="14"/>
        <v>4.764101376476229</v>
      </c>
    </row>
    <row r="394" spans="2:12" ht="12.75" customHeight="1" x14ac:dyDescent="0.2">
      <c r="B394" t="s">
        <v>2806</v>
      </c>
      <c r="C394">
        <v>68796</v>
      </c>
      <c r="F394">
        <f t="shared" si="13"/>
        <v>68796</v>
      </c>
      <c r="L394" s="32">
        <f t="shared" si="14"/>
        <v>4.8375631878223002</v>
      </c>
    </row>
    <row r="395" spans="2:12" ht="12.75" customHeight="1" x14ac:dyDescent="0.2">
      <c r="B395" t="s">
        <v>2740</v>
      </c>
      <c r="C395">
        <v>103770</v>
      </c>
      <c r="F395">
        <f t="shared" si="13"/>
        <v>103770</v>
      </c>
      <c r="L395" s="32">
        <f t="shared" si="14"/>
        <v>5.0160718167340237</v>
      </c>
    </row>
    <row r="396" spans="2:12" ht="12.75" customHeight="1" x14ac:dyDescent="0.2">
      <c r="B396" t="s">
        <v>754</v>
      </c>
      <c r="C396">
        <v>2</v>
      </c>
      <c r="G396">
        <f t="shared" ref="G396:G427" si="15">C396</f>
        <v>2</v>
      </c>
      <c r="K396" s="32">
        <f>LOG10(G396)</f>
        <v>0.3010299956639812</v>
      </c>
    </row>
    <row r="397" spans="2:12" ht="12.75" customHeight="1" x14ac:dyDescent="0.2">
      <c r="B397" t="s">
        <v>1471</v>
      </c>
      <c r="C397">
        <v>2.5099999999999998</v>
      </c>
      <c r="G397">
        <f t="shared" si="15"/>
        <v>2.5099999999999998</v>
      </c>
      <c r="K397" s="32">
        <f t="shared" ref="K397:K460" si="16">LOG10(G397)</f>
        <v>0.39967372148103808</v>
      </c>
    </row>
    <row r="398" spans="2:12" ht="12.75" customHeight="1" x14ac:dyDescent="0.2">
      <c r="B398" t="s">
        <v>1532</v>
      </c>
      <c r="C398">
        <v>3.3</v>
      </c>
      <c r="G398">
        <f t="shared" si="15"/>
        <v>3.3</v>
      </c>
      <c r="K398" s="32">
        <f t="shared" si="16"/>
        <v>0.51851393987788741</v>
      </c>
    </row>
    <row r="399" spans="2:12" ht="12.75" customHeight="1" x14ac:dyDescent="0.2">
      <c r="B399" t="s">
        <v>508</v>
      </c>
      <c r="C399">
        <v>3.83</v>
      </c>
      <c r="G399">
        <f t="shared" si="15"/>
        <v>3.83</v>
      </c>
      <c r="K399" s="32">
        <f t="shared" si="16"/>
        <v>0.58319877396862274</v>
      </c>
    </row>
    <row r="400" spans="2:12" ht="12.75" customHeight="1" x14ac:dyDescent="0.2">
      <c r="B400" t="s">
        <v>859</v>
      </c>
      <c r="C400">
        <v>3.9</v>
      </c>
      <c r="G400">
        <f t="shared" si="15"/>
        <v>3.9</v>
      </c>
      <c r="K400" s="32">
        <f t="shared" si="16"/>
        <v>0.59106460702649921</v>
      </c>
    </row>
    <row r="401" spans="2:11" ht="12.75" customHeight="1" x14ac:dyDescent="0.2">
      <c r="B401" t="s">
        <v>762</v>
      </c>
      <c r="C401">
        <v>4</v>
      </c>
      <c r="G401">
        <f t="shared" si="15"/>
        <v>4</v>
      </c>
      <c r="K401" s="32">
        <f t="shared" si="16"/>
        <v>0.6020599913279624</v>
      </c>
    </row>
    <row r="402" spans="2:11" ht="12.75" customHeight="1" x14ac:dyDescent="0.2">
      <c r="B402" t="s">
        <v>509</v>
      </c>
      <c r="C402">
        <v>4.1500000000000004</v>
      </c>
      <c r="G402">
        <f t="shared" si="15"/>
        <v>4.1500000000000004</v>
      </c>
      <c r="K402" s="32">
        <f t="shared" si="16"/>
        <v>0.61804809671209271</v>
      </c>
    </row>
    <row r="403" spans="2:11" ht="12.75" customHeight="1" x14ac:dyDescent="0.2">
      <c r="B403" t="s">
        <v>903</v>
      </c>
      <c r="C403">
        <v>4.57</v>
      </c>
      <c r="G403">
        <f t="shared" si="15"/>
        <v>4.57</v>
      </c>
      <c r="K403" s="32">
        <f t="shared" si="16"/>
        <v>0.6599162000698503</v>
      </c>
    </row>
    <row r="404" spans="2:11" ht="12.75" customHeight="1" x14ac:dyDescent="0.2">
      <c r="B404" t="s">
        <v>2171</v>
      </c>
      <c r="C404">
        <v>4.95</v>
      </c>
      <c r="G404">
        <f t="shared" si="15"/>
        <v>4.95</v>
      </c>
      <c r="K404" s="32">
        <f t="shared" si="16"/>
        <v>0.69460519893356876</v>
      </c>
    </row>
    <row r="405" spans="2:11" ht="12.75" customHeight="1" x14ac:dyDescent="0.2">
      <c r="B405" t="s">
        <v>507</v>
      </c>
      <c r="C405">
        <v>9</v>
      </c>
      <c r="G405">
        <f t="shared" si="15"/>
        <v>9</v>
      </c>
      <c r="K405" s="32">
        <f t="shared" si="16"/>
        <v>0.95424250943932487</v>
      </c>
    </row>
    <row r="406" spans="2:11" ht="12.75" customHeight="1" x14ac:dyDescent="0.2">
      <c r="B406" t="s">
        <v>665</v>
      </c>
      <c r="C406">
        <v>10</v>
      </c>
      <c r="G406">
        <f t="shared" si="15"/>
        <v>10</v>
      </c>
      <c r="K406" s="32">
        <f t="shared" si="16"/>
        <v>1</v>
      </c>
    </row>
    <row r="407" spans="2:11" ht="12.75" customHeight="1" x14ac:dyDescent="0.2">
      <c r="B407" t="s">
        <v>761</v>
      </c>
      <c r="C407">
        <v>10.8</v>
      </c>
      <c r="G407">
        <f t="shared" si="15"/>
        <v>10.8</v>
      </c>
      <c r="K407" s="32">
        <f t="shared" si="16"/>
        <v>1.0334237554869496</v>
      </c>
    </row>
    <row r="408" spans="2:11" ht="12.75" customHeight="1" x14ac:dyDescent="0.2">
      <c r="B408" t="s">
        <v>663</v>
      </c>
      <c r="C408">
        <v>12.86</v>
      </c>
      <c r="G408">
        <f t="shared" si="15"/>
        <v>12.86</v>
      </c>
      <c r="K408" s="32">
        <f t="shared" si="16"/>
        <v>1.1092409685882032</v>
      </c>
    </row>
    <row r="409" spans="2:11" ht="12.75" customHeight="1" x14ac:dyDescent="0.2">
      <c r="B409" t="s">
        <v>2746</v>
      </c>
      <c r="C409">
        <v>13</v>
      </c>
      <c r="G409">
        <f t="shared" si="15"/>
        <v>13</v>
      </c>
      <c r="K409" s="32">
        <f t="shared" si="16"/>
        <v>1.1139433523068367</v>
      </c>
    </row>
    <row r="410" spans="2:11" ht="12.75" customHeight="1" x14ac:dyDescent="0.2">
      <c r="B410" t="s">
        <v>1535</v>
      </c>
      <c r="C410">
        <v>15.1</v>
      </c>
      <c r="G410">
        <f t="shared" si="15"/>
        <v>15.1</v>
      </c>
      <c r="K410" s="32">
        <f t="shared" si="16"/>
        <v>1.1789769472931695</v>
      </c>
    </row>
    <row r="411" spans="2:11" ht="12.75" customHeight="1" x14ac:dyDescent="0.2">
      <c r="B411" t="s">
        <v>10</v>
      </c>
      <c r="C411">
        <v>16.5</v>
      </c>
      <c r="G411">
        <f t="shared" si="15"/>
        <v>16.5</v>
      </c>
      <c r="K411" s="32">
        <f t="shared" si="16"/>
        <v>1.2174839442139063</v>
      </c>
    </row>
    <row r="412" spans="2:11" ht="12.75" customHeight="1" x14ac:dyDescent="0.2">
      <c r="B412" t="s">
        <v>55</v>
      </c>
      <c r="C412">
        <v>18.399999999999999</v>
      </c>
      <c r="G412">
        <f t="shared" si="15"/>
        <v>18.399999999999999</v>
      </c>
      <c r="K412" s="32">
        <f t="shared" si="16"/>
        <v>1.2648178230095364</v>
      </c>
    </row>
    <row r="413" spans="2:11" ht="12.75" customHeight="1" x14ac:dyDescent="0.2">
      <c r="B413" t="s">
        <v>933</v>
      </c>
      <c r="C413">
        <v>18.899999999999999</v>
      </c>
      <c r="G413">
        <f t="shared" si="15"/>
        <v>18.899999999999999</v>
      </c>
      <c r="K413" s="32">
        <f t="shared" si="16"/>
        <v>1.2764618041732441</v>
      </c>
    </row>
    <row r="414" spans="2:11" ht="12.75" customHeight="1" x14ac:dyDescent="0.2">
      <c r="B414" t="s">
        <v>905</v>
      </c>
      <c r="C414">
        <v>21.6</v>
      </c>
      <c r="G414">
        <f t="shared" si="15"/>
        <v>21.6</v>
      </c>
      <c r="K414" s="32">
        <f t="shared" si="16"/>
        <v>1.3344537511509309</v>
      </c>
    </row>
    <row r="415" spans="2:11" ht="12.75" customHeight="1" x14ac:dyDescent="0.2">
      <c r="B415" t="s">
        <v>902</v>
      </c>
      <c r="C415">
        <v>21.7</v>
      </c>
      <c r="G415">
        <f t="shared" si="15"/>
        <v>21.7</v>
      </c>
      <c r="K415" s="32">
        <f t="shared" si="16"/>
        <v>1.3364597338485296</v>
      </c>
    </row>
    <row r="416" spans="2:11" ht="12.75" customHeight="1" x14ac:dyDescent="0.2">
      <c r="B416" t="s">
        <v>929</v>
      </c>
      <c r="C416">
        <v>22.3</v>
      </c>
      <c r="G416">
        <f t="shared" si="15"/>
        <v>22.3</v>
      </c>
      <c r="K416" s="32">
        <f t="shared" si="16"/>
        <v>1.3483048630481607</v>
      </c>
    </row>
    <row r="417" spans="2:11" ht="12.75" customHeight="1" x14ac:dyDescent="0.2">
      <c r="B417" t="s">
        <v>1797</v>
      </c>
      <c r="C417">
        <v>23.5</v>
      </c>
      <c r="G417">
        <f t="shared" si="15"/>
        <v>23.5</v>
      </c>
      <c r="K417" s="32">
        <f t="shared" si="16"/>
        <v>1.3710678622717363</v>
      </c>
    </row>
    <row r="418" spans="2:11" ht="12.75" customHeight="1" x14ac:dyDescent="0.2">
      <c r="B418" t="s">
        <v>1434</v>
      </c>
      <c r="C418">
        <v>24.2</v>
      </c>
      <c r="G418">
        <f t="shared" si="15"/>
        <v>24.2</v>
      </c>
      <c r="K418" s="32">
        <f t="shared" si="16"/>
        <v>1.3838153659804313</v>
      </c>
    </row>
    <row r="419" spans="2:11" ht="12.75" customHeight="1" x14ac:dyDescent="0.2">
      <c r="B419" t="s">
        <v>928</v>
      </c>
      <c r="C419">
        <v>24.3</v>
      </c>
      <c r="G419">
        <f t="shared" si="15"/>
        <v>24.3</v>
      </c>
      <c r="K419" s="32">
        <f t="shared" si="16"/>
        <v>1.3856062735983121</v>
      </c>
    </row>
    <row r="420" spans="2:11" ht="12.75" customHeight="1" x14ac:dyDescent="0.2">
      <c r="B420" t="s">
        <v>925</v>
      </c>
      <c r="C420">
        <v>31.5</v>
      </c>
      <c r="G420">
        <f t="shared" si="15"/>
        <v>31.5</v>
      </c>
      <c r="K420" s="32">
        <f t="shared" si="16"/>
        <v>1.4983105537896004</v>
      </c>
    </row>
    <row r="421" spans="2:11" ht="12.75" customHeight="1" x14ac:dyDescent="0.2">
      <c r="B421" t="s">
        <v>1819</v>
      </c>
      <c r="C421">
        <v>32.1</v>
      </c>
      <c r="G421">
        <f t="shared" si="15"/>
        <v>32.1</v>
      </c>
      <c r="K421" s="32">
        <f t="shared" si="16"/>
        <v>1.5065050324048721</v>
      </c>
    </row>
    <row r="422" spans="2:11" ht="12.75" customHeight="1" x14ac:dyDescent="0.2">
      <c r="B422" t="s">
        <v>661</v>
      </c>
      <c r="C422">
        <v>33.700000000000003</v>
      </c>
      <c r="G422">
        <f t="shared" si="15"/>
        <v>33.700000000000003</v>
      </c>
      <c r="K422" s="32">
        <f t="shared" si="16"/>
        <v>1.5276299008713388</v>
      </c>
    </row>
    <row r="423" spans="2:11" ht="12.75" customHeight="1" x14ac:dyDescent="0.2">
      <c r="B423" t="s">
        <v>690</v>
      </c>
      <c r="C423">
        <v>34.049999999999997</v>
      </c>
      <c r="G423">
        <f t="shared" si="15"/>
        <v>34.049999999999997</v>
      </c>
      <c r="K423" s="32">
        <f t="shared" si="16"/>
        <v>1.5321171162488039</v>
      </c>
    </row>
    <row r="424" spans="2:11" ht="12.75" customHeight="1" x14ac:dyDescent="0.2">
      <c r="B424" t="s">
        <v>662</v>
      </c>
      <c r="C424">
        <v>34.11</v>
      </c>
      <c r="G424">
        <f t="shared" si="15"/>
        <v>34.11</v>
      </c>
      <c r="K424" s="32">
        <f t="shared" si="16"/>
        <v>1.5328817194073971</v>
      </c>
    </row>
    <row r="425" spans="2:11" ht="12.75" customHeight="1" x14ac:dyDescent="0.2">
      <c r="B425" t="s">
        <v>1733</v>
      </c>
      <c r="C425">
        <v>34.36</v>
      </c>
      <c r="G425">
        <f t="shared" si="15"/>
        <v>34.36</v>
      </c>
      <c r="K425" s="32">
        <f t="shared" si="16"/>
        <v>1.5360531551592047</v>
      </c>
    </row>
    <row r="426" spans="2:11" ht="12.75" customHeight="1" x14ac:dyDescent="0.2">
      <c r="B426" t="s">
        <v>635</v>
      </c>
      <c r="C426">
        <v>34.4</v>
      </c>
      <c r="G426">
        <f t="shared" si="15"/>
        <v>34.4</v>
      </c>
      <c r="K426" s="32">
        <f t="shared" si="16"/>
        <v>1.5365584425715302</v>
      </c>
    </row>
    <row r="427" spans="2:11" ht="12.75" customHeight="1" x14ac:dyDescent="0.2">
      <c r="B427" t="s">
        <v>904</v>
      </c>
      <c r="C427">
        <v>35.4</v>
      </c>
      <c r="G427">
        <f t="shared" si="15"/>
        <v>35.4</v>
      </c>
      <c r="K427" s="32">
        <f t="shared" si="16"/>
        <v>1.5490032620257879</v>
      </c>
    </row>
    <row r="428" spans="2:11" ht="12.75" customHeight="1" x14ac:dyDescent="0.2">
      <c r="B428" t="s">
        <v>764</v>
      </c>
      <c r="C428">
        <v>36</v>
      </c>
      <c r="G428">
        <f t="shared" ref="G428:G459" si="17">C428</f>
        <v>36</v>
      </c>
      <c r="K428" s="32">
        <f t="shared" si="16"/>
        <v>1.5563025007672873</v>
      </c>
    </row>
    <row r="429" spans="2:11" ht="12.75" customHeight="1" x14ac:dyDescent="0.2">
      <c r="B429" t="s">
        <v>932</v>
      </c>
      <c r="C429">
        <v>36.200000000000003</v>
      </c>
      <c r="G429">
        <f t="shared" si="17"/>
        <v>36.200000000000003</v>
      </c>
      <c r="K429" s="32">
        <f t="shared" si="16"/>
        <v>1.5587085705331658</v>
      </c>
    </row>
    <row r="430" spans="2:11" ht="12.75" customHeight="1" x14ac:dyDescent="0.2">
      <c r="B430" t="s">
        <v>90</v>
      </c>
      <c r="C430">
        <v>36.700000000000003</v>
      </c>
      <c r="G430">
        <f t="shared" si="17"/>
        <v>36.700000000000003</v>
      </c>
      <c r="K430" s="32">
        <f t="shared" si="16"/>
        <v>1.5646660642520893</v>
      </c>
    </row>
    <row r="431" spans="2:11" ht="12.75" customHeight="1" x14ac:dyDescent="0.2">
      <c r="B431" t="s">
        <v>924</v>
      </c>
      <c r="C431">
        <v>36.700000000000003</v>
      </c>
      <c r="G431">
        <f t="shared" si="17"/>
        <v>36.700000000000003</v>
      </c>
      <c r="K431" s="32">
        <f t="shared" si="16"/>
        <v>1.5646660642520893</v>
      </c>
    </row>
    <row r="432" spans="2:11" ht="12.75" customHeight="1" x14ac:dyDescent="0.2">
      <c r="B432" t="s">
        <v>120</v>
      </c>
      <c r="C432">
        <v>42.6</v>
      </c>
      <c r="G432">
        <f t="shared" si="17"/>
        <v>42.6</v>
      </c>
      <c r="K432" s="32">
        <f t="shared" si="16"/>
        <v>1.6294095991027189</v>
      </c>
    </row>
    <row r="433" spans="2:11" ht="12.75" customHeight="1" x14ac:dyDescent="0.2">
      <c r="B433" t="s">
        <v>927</v>
      </c>
      <c r="C433">
        <v>44.7</v>
      </c>
      <c r="G433">
        <f t="shared" si="17"/>
        <v>44.7</v>
      </c>
      <c r="K433" s="32">
        <f t="shared" si="16"/>
        <v>1.6503075231319364</v>
      </c>
    </row>
    <row r="434" spans="2:11" ht="12.75" customHeight="1" x14ac:dyDescent="0.2">
      <c r="B434" t="s">
        <v>867</v>
      </c>
      <c r="C434">
        <v>49</v>
      </c>
      <c r="G434">
        <f t="shared" si="17"/>
        <v>49</v>
      </c>
      <c r="K434" s="32">
        <f t="shared" si="16"/>
        <v>1.6901960800285136</v>
      </c>
    </row>
    <row r="435" spans="2:11" ht="12.75" customHeight="1" x14ac:dyDescent="0.2">
      <c r="B435" t="s">
        <v>664</v>
      </c>
      <c r="C435">
        <v>50</v>
      </c>
      <c r="G435">
        <f t="shared" si="17"/>
        <v>50</v>
      </c>
      <c r="K435" s="32">
        <f t="shared" si="16"/>
        <v>1.6989700043360187</v>
      </c>
    </row>
    <row r="436" spans="2:11" ht="12.75" customHeight="1" x14ac:dyDescent="0.2">
      <c r="B436" t="s">
        <v>1818</v>
      </c>
      <c r="C436">
        <v>56.3</v>
      </c>
      <c r="G436">
        <f t="shared" si="17"/>
        <v>56.3</v>
      </c>
      <c r="K436" s="32">
        <f t="shared" si="16"/>
        <v>1.7505083948513462</v>
      </c>
    </row>
    <row r="437" spans="2:11" ht="12.75" customHeight="1" x14ac:dyDescent="0.2">
      <c r="B437" t="s">
        <v>53</v>
      </c>
      <c r="C437">
        <v>57.2</v>
      </c>
      <c r="G437">
        <f t="shared" si="17"/>
        <v>57.2</v>
      </c>
      <c r="K437" s="32">
        <f t="shared" si="16"/>
        <v>1.7573960287930241</v>
      </c>
    </row>
    <row r="438" spans="2:11" ht="12.75" customHeight="1" x14ac:dyDescent="0.2">
      <c r="B438" t="s">
        <v>931</v>
      </c>
      <c r="C438">
        <v>69.2</v>
      </c>
      <c r="G438">
        <f t="shared" si="17"/>
        <v>69.2</v>
      </c>
      <c r="K438" s="32">
        <f t="shared" si="16"/>
        <v>1.8401060944567578</v>
      </c>
    </row>
    <row r="439" spans="2:11" ht="12.75" customHeight="1" x14ac:dyDescent="0.2">
      <c r="B439" t="s">
        <v>930</v>
      </c>
      <c r="C439">
        <v>70.7</v>
      </c>
      <c r="G439">
        <f t="shared" si="17"/>
        <v>70.7</v>
      </c>
      <c r="K439" s="32">
        <f t="shared" si="16"/>
        <v>1.8494194137968993</v>
      </c>
    </row>
    <row r="440" spans="2:11" ht="12.75" customHeight="1" x14ac:dyDescent="0.2">
      <c r="B440" t="s">
        <v>926</v>
      </c>
      <c r="C440">
        <v>73.099999999999994</v>
      </c>
      <c r="G440">
        <f t="shared" si="17"/>
        <v>73.099999999999994</v>
      </c>
      <c r="K440" s="32">
        <f t="shared" si="16"/>
        <v>1.8639173769578605</v>
      </c>
    </row>
    <row r="441" spans="2:11" ht="12.75" customHeight="1" x14ac:dyDescent="0.2">
      <c r="B441" t="s">
        <v>760</v>
      </c>
      <c r="C441">
        <v>81.3</v>
      </c>
      <c r="G441">
        <f t="shared" si="17"/>
        <v>81.3</v>
      </c>
      <c r="K441" s="32">
        <f t="shared" si="16"/>
        <v>1.9100905455940682</v>
      </c>
    </row>
    <row r="442" spans="2:11" ht="12.75" customHeight="1" x14ac:dyDescent="0.2">
      <c r="B442" t="s">
        <v>1459</v>
      </c>
      <c r="C442">
        <v>86.1</v>
      </c>
      <c r="G442">
        <f t="shared" si="17"/>
        <v>86.1</v>
      </c>
      <c r="K442" s="32">
        <f t="shared" si="16"/>
        <v>1.9350031514536548</v>
      </c>
    </row>
    <row r="443" spans="2:11" ht="12.75" customHeight="1" x14ac:dyDescent="0.2">
      <c r="B443" t="s">
        <v>886</v>
      </c>
      <c r="C443">
        <v>90</v>
      </c>
      <c r="G443">
        <f t="shared" si="17"/>
        <v>90</v>
      </c>
      <c r="K443" s="32">
        <f t="shared" si="16"/>
        <v>1.954242509439325</v>
      </c>
    </row>
    <row r="444" spans="2:11" ht="12.75" customHeight="1" x14ac:dyDescent="0.2">
      <c r="B444" t="s">
        <v>765</v>
      </c>
      <c r="C444">
        <v>98</v>
      </c>
      <c r="G444">
        <f t="shared" si="17"/>
        <v>98</v>
      </c>
      <c r="K444" s="32">
        <f t="shared" si="16"/>
        <v>1.9912260756924949</v>
      </c>
    </row>
    <row r="445" spans="2:11" ht="12.75" customHeight="1" x14ac:dyDescent="0.2">
      <c r="B445" t="s">
        <v>923</v>
      </c>
      <c r="C445">
        <v>99.5</v>
      </c>
      <c r="G445">
        <f t="shared" si="17"/>
        <v>99.5</v>
      </c>
      <c r="K445" s="32">
        <f t="shared" si="16"/>
        <v>1.9978230807457256</v>
      </c>
    </row>
    <row r="446" spans="2:11" ht="12.75" customHeight="1" x14ac:dyDescent="0.2">
      <c r="B446" t="s">
        <v>52</v>
      </c>
      <c r="C446">
        <v>100.86</v>
      </c>
      <c r="G446">
        <f t="shared" si="17"/>
        <v>100.86</v>
      </c>
      <c r="K446" s="32">
        <f t="shared" si="16"/>
        <v>2.0037189638231148</v>
      </c>
    </row>
    <row r="447" spans="2:11" ht="12.75" customHeight="1" x14ac:dyDescent="0.2">
      <c r="B447" t="s">
        <v>69</v>
      </c>
      <c r="C447">
        <v>106.5</v>
      </c>
      <c r="G447">
        <f t="shared" si="17"/>
        <v>106.5</v>
      </c>
      <c r="K447" s="32">
        <f t="shared" si="16"/>
        <v>2.0273496077747564</v>
      </c>
    </row>
    <row r="448" spans="2:11" ht="12.75" customHeight="1" x14ac:dyDescent="0.2">
      <c r="B448" t="s">
        <v>763</v>
      </c>
      <c r="C448">
        <v>108</v>
      </c>
      <c r="G448">
        <f t="shared" si="17"/>
        <v>108</v>
      </c>
      <c r="K448" s="32">
        <f t="shared" si="16"/>
        <v>2.0334237554869499</v>
      </c>
    </row>
    <row r="449" spans="2:11" ht="12.75" customHeight="1" x14ac:dyDescent="0.2">
      <c r="B449" t="s">
        <v>900</v>
      </c>
      <c r="C449">
        <v>115.2</v>
      </c>
      <c r="G449">
        <f t="shared" si="17"/>
        <v>115.2</v>
      </c>
      <c r="K449" s="32">
        <f t="shared" si="16"/>
        <v>2.0614524790871931</v>
      </c>
    </row>
    <row r="450" spans="2:11" ht="12.75" customHeight="1" x14ac:dyDescent="0.2">
      <c r="B450" t="s">
        <v>1685</v>
      </c>
      <c r="C450">
        <v>122.78</v>
      </c>
      <c r="G450">
        <f t="shared" si="17"/>
        <v>122.78</v>
      </c>
      <c r="K450" s="32">
        <f t="shared" si="16"/>
        <v>2.0891276290442784</v>
      </c>
    </row>
    <row r="451" spans="2:11" ht="12.75" customHeight="1" x14ac:dyDescent="0.2">
      <c r="B451" t="s">
        <v>1859</v>
      </c>
      <c r="C451">
        <v>125.4</v>
      </c>
      <c r="G451">
        <f t="shared" si="17"/>
        <v>125.4</v>
      </c>
      <c r="K451" s="32">
        <f t="shared" si="16"/>
        <v>2.0982975364946976</v>
      </c>
    </row>
    <row r="452" spans="2:11" ht="12.75" customHeight="1" x14ac:dyDescent="0.2">
      <c r="B452" t="s">
        <v>122</v>
      </c>
      <c r="C452">
        <v>128.80000000000001</v>
      </c>
      <c r="G452">
        <f t="shared" si="17"/>
        <v>128.80000000000001</v>
      </c>
      <c r="K452" s="32">
        <f t="shared" si="16"/>
        <v>2.1099158630237933</v>
      </c>
    </row>
    <row r="453" spans="2:11" ht="12.75" customHeight="1" x14ac:dyDescent="0.2">
      <c r="B453" t="s">
        <v>860</v>
      </c>
      <c r="C453">
        <v>142</v>
      </c>
      <c r="G453">
        <f t="shared" si="17"/>
        <v>142</v>
      </c>
      <c r="K453" s="32">
        <f t="shared" si="16"/>
        <v>2.1522883443830563</v>
      </c>
    </row>
    <row r="454" spans="2:11" ht="12.75" customHeight="1" x14ac:dyDescent="0.2">
      <c r="B454" t="s">
        <v>456</v>
      </c>
      <c r="C454">
        <v>148</v>
      </c>
      <c r="G454">
        <f t="shared" si="17"/>
        <v>148</v>
      </c>
      <c r="K454" s="32">
        <f t="shared" si="16"/>
        <v>2.1702617153949575</v>
      </c>
    </row>
    <row r="455" spans="2:11" ht="12.75" customHeight="1" x14ac:dyDescent="0.2">
      <c r="B455" t="s">
        <v>899</v>
      </c>
      <c r="C455">
        <v>152.6</v>
      </c>
      <c r="G455">
        <f t="shared" si="17"/>
        <v>152.6</v>
      </c>
      <c r="K455" s="32">
        <f t="shared" si="16"/>
        <v>2.1835545336188615</v>
      </c>
    </row>
    <row r="456" spans="2:11" ht="12.75" customHeight="1" x14ac:dyDescent="0.2">
      <c r="B456" t="s">
        <v>501</v>
      </c>
      <c r="C456">
        <v>154</v>
      </c>
      <c r="G456">
        <f t="shared" si="17"/>
        <v>154</v>
      </c>
      <c r="K456" s="32">
        <f t="shared" si="16"/>
        <v>2.1875207208364631</v>
      </c>
    </row>
    <row r="457" spans="2:11" ht="12.75" customHeight="1" x14ac:dyDescent="0.2">
      <c r="B457" t="s">
        <v>457</v>
      </c>
      <c r="C457">
        <v>174</v>
      </c>
      <c r="G457">
        <f t="shared" si="17"/>
        <v>174</v>
      </c>
      <c r="K457" s="32">
        <f t="shared" si="16"/>
        <v>2.2405492482825999</v>
      </c>
    </row>
    <row r="458" spans="2:11" ht="12.75" customHeight="1" x14ac:dyDescent="0.2">
      <c r="B458" t="s">
        <v>861</v>
      </c>
      <c r="C458">
        <v>194</v>
      </c>
      <c r="G458">
        <f t="shared" si="17"/>
        <v>194</v>
      </c>
      <c r="K458" s="32">
        <f t="shared" si="16"/>
        <v>2.287801729930226</v>
      </c>
    </row>
    <row r="459" spans="2:11" ht="12.75" customHeight="1" x14ac:dyDescent="0.2">
      <c r="B459" t="s">
        <v>887</v>
      </c>
      <c r="C459">
        <v>197</v>
      </c>
      <c r="G459">
        <f t="shared" si="17"/>
        <v>197</v>
      </c>
      <c r="K459" s="32">
        <f t="shared" si="16"/>
        <v>2.2944662261615929</v>
      </c>
    </row>
    <row r="460" spans="2:11" ht="12.75" customHeight="1" x14ac:dyDescent="0.2">
      <c r="B460" t="s">
        <v>1012</v>
      </c>
      <c r="C460">
        <v>206.45400000000001</v>
      </c>
      <c r="G460">
        <f t="shared" ref="G460:G468" si="18">C460</f>
        <v>206.45400000000001</v>
      </c>
      <c r="K460" s="32">
        <f t="shared" si="16"/>
        <v>2.3148233016505309</v>
      </c>
    </row>
    <row r="461" spans="2:11" ht="12.75" customHeight="1" x14ac:dyDescent="0.2">
      <c r="B461" t="s">
        <v>1112</v>
      </c>
      <c r="C461">
        <v>213</v>
      </c>
      <c r="G461">
        <f t="shared" si="18"/>
        <v>213</v>
      </c>
      <c r="K461" s="32">
        <f t="shared" ref="K461:K468" si="19">LOG10(G461)</f>
        <v>2.3283796034387376</v>
      </c>
    </row>
    <row r="462" spans="2:11" ht="12.75" customHeight="1" x14ac:dyDescent="0.2">
      <c r="B462" t="s">
        <v>121</v>
      </c>
      <c r="C462">
        <v>213.2</v>
      </c>
      <c r="G462">
        <f t="shared" si="18"/>
        <v>213.2</v>
      </c>
      <c r="K462" s="32">
        <f t="shared" si="19"/>
        <v>2.3287872003545345</v>
      </c>
    </row>
    <row r="463" spans="2:11" ht="12.75" customHeight="1" x14ac:dyDescent="0.2">
      <c r="B463" t="s">
        <v>858</v>
      </c>
      <c r="C463">
        <v>245</v>
      </c>
      <c r="G463">
        <f t="shared" si="18"/>
        <v>245</v>
      </c>
      <c r="K463" s="32">
        <f t="shared" si="19"/>
        <v>2.3891660843645326</v>
      </c>
    </row>
    <row r="464" spans="2:11" ht="12.75" customHeight="1" x14ac:dyDescent="0.2">
      <c r="B464" t="s">
        <v>506</v>
      </c>
      <c r="C464">
        <v>251.2</v>
      </c>
      <c r="G464">
        <f t="shared" si="18"/>
        <v>251.2</v>
      </c>
      <c r="K464" s="32">
        <f t="shared" si="19"/>
        <v>2.4000196350651586</v>
      </c>
    </row>
    <row r="465" spans="2:15" ht="12.75" customHeight="1" x14ac:dyDescent="0.2">
      <c r="B465" t="s">
        <v>1660</v>
      </c>
      <c r="C465">
        <v>292</v>
      </c>
      <c r="G465">
        <f t="shared" si="18"/>
        <v>292</v>
      </c>
      <c r="K465" s="32">
        <f t="shared" si="19"/>
        <v>2.4653828514484184</v>
      </c>
    </row>
    <row r="466" spans="2:15" ht="12.75" customHeight="1" x14ac:dyDescent="0.2">
      <c r="B466" t="s">
        <v>455</v>
      </c>
      <c r="C466">
        <v>751</v>
      </c>
      <c r="G466">
        <f t="shared" si="18"/>
        <v>751</v>
      </c>
      <c r="K466" s="32">
        <f t="shared" si="19"/>
        <v>2.8756399370041685</v>
      </c>
    </row>
    <row r="467" spans="2:15" ht="12.75" customHeight="1" x14ac:dyDescent="0.2">
      <c r="B467" t="s">
        <v>2683</v>
      </c>
      <c r="C467">
        <v>1337</v>
      </c>
      <c r="G467">
        <f t="shared" si="18"/>
        <v>1337</v>
      </c>
      <c r="K467" s="32">
        <f t="shared" si="19"/>
        <v>3.1261314072619846</v>
      </c>
    </row>
    <row r="468" spans="2:15" ht="12.75" customHeight="1" x14ac:dyDescent="0.2">
      <c r="B468" t="s">
        <v>89</v>
      </c>
      <c r="C468">
        <v>5525</v>
      </c>
      <c r="G468">
        <f t="shared" si="18"/>
        <v>5525</v>
      </c>
      <c r="K468" s="32">
        <f t="shared" si="19"/>
        <v>3.7423322823571481</v>
      </c>
    </row>
    <row r="469" spans="2:15" ht="12.75" customHeight="1" x14ac:dyDescent="0.2">
      <c r="B469" t="s">
        <v>142</v>
      </c>
      <c r="C469">
        <v>19</v>
      </c>
      <c r="E469">
        <f>C469</f>
        <v>19</v>
      </c>
    </row>
    <row r="470" spans="2:15" ht="12.75" customHeight="1" x14ac:dyDescent="0.2">
      <c r="B470" t="s">
        <v>1523</v>
      </c>
      <c r="C470">
        <v>36.54</v>
      </c>
      <c r="E470">
        <f>C470</f>
        <v>36.54</v>
      </c>
      <c r="N470">
        <f>LOG(32)</f>
        <v>1.505149978319906</v>
      </c>
    </row>
    <row r="471" spans="2:15" ht="12.75" customHeight="1" x14ac:dyDescent="0.2">
      <c r="B471" t="s">
        <v>897</v>
      </c>
      <c r="C471">
        <v>585</v>
      </c>
      <c r="H471">
        <f>C471</f>
        <v>585</v>
      </c>
      <c r="N471">
        <f>LOG(45.7)</f>
        <v>1.6599162000698502</v>
      </c>
      <c r="O471">
        <f>(N471-N470)/(N472-N470)</f>
        <v>0.51412226017070728</v>
      </c>
    </row>
    <row r="472" spans="2:15" ht="12.75" customHeight="1" x14ac:dyDescent="0.2">
      <c r="B472" t="s">
        <v>898</v>
      </c>
      <c r="C472">
        <v>13500</v>
      </c>
      <c r="H472">
        <f>C472</f>
        <v>13500</v>
      </c>
      <c r="N472">
        <f>LOG(64)</f>
        <v>1.8061799739838871</v>
      </c>
    </row>
    <row r="474" spans="2:15" ht="12.75" customHeight="1" x14ac:dyDescent="0.2">
      <c r="B474" t="s">
        <v>2749</v>
      </c>
      <c r="C474">
        <f t="shared" ref="C474:H474" si="20">COUNT(C2:C473)</f>
        <v>471</v>
      </c>
      <c r="D474">
        <f t="shared" si="20"/>
        <v>42</v>
      </c>
      <c r="E474">
        <f t="shared" si="20"/>
        <v>2</v>
      </c>
      <c r="F474">
        <f t="shared" si="20"/>
        <v>352</v>
      </c>
      <c r="G474">
        <f t="shared" si="20"/>
        <v>73</v>
      </c>
      <c r="H474">
        <f t="shared" si="20"/>
        <v>2</v>
      </c>
      <c r="I474">
        <f>SUM(D474:H474)</f>
        <v>471</v>
      </c>
    </row>
    <row r="476" spans="2:15" ht="12.75" customHeight="1" x14ac:dyDescent="0.2">
      <c r="B476" t="s">
        <v>498</v>
      </c>
      <c r="C476">
        <f t="shared" ref="C476:H476" si="21">SUM(C2:C472)</f>
        <v>761296.92599999963</v>
      </c>
      <c r="D476">
        <f t="shared" si="21"/>
        <v>5692.1310000000003</v>
      </c>
      <c r="E476">
        <f t="shared" si="21"/>
        <v>55.54</v>
      </c>
      <c r="F476">
        <f t="shared" si="21"/>
        <v>728782.97100000002</v>
      </c>
      <c r="G476">
        <f t="shared" si="21"/>
        <v>12681.284</v>
      </c>
      <c r="H476">
        <f t="shared" si="21"/>
        <v>14085</v>
      </c>
      <c r="I476">
        <f>SUM(D476:H476)</f>
        <v>761296.92599999998</v>
      </c>
    </row>
    <row r="477" spans="2:15" ht="12.75" customHeight="1" x14ac:dyDescent="0.2">
      <c r="D477" s="887">
        <f>D476/$C476</f>
        <v>7.476886882898044E-3</v>
      </c>
      <c r="E477" s="888">
        <f>E476/$C476</f>
        <v>7.2954451940083128E-5</v>
      </c>
      <c r="F477" s="887">
        <f>F476/$C476</f>
        <v>0.95729136176756402</v>
      </c>
      <c r="G477" s="887">
        <f>G476/$C476</f>
        <v>1.6657474326909349E-2</v>
      </c>
      <c r="H477" s="887">
        <f>H476/$C476</f>
        <v>1.850132257068907E-2</v>
      </c>
      <c r="I477" s="887">
        <f>SUM(D477:H477)</f>
        <v>1.0000000000000007</v>
      </c>
      <c r="J477" s="956"/>
      <c r="K477" s="956"/>
      <c r="L477" s="956"/>
    </row>
    <row r="480" spans="2:15" ht="12.75" customHeight="1" x14ac:dyDescent="0.2">
      <c r="D480" s="887">
        <f t="shared" ref="D480:I480" si="22">D474/$C474</f>
        <v>8.9171974522292988E-2</v>
      </c>
      <c r="E480" s="887">
        <f t="shared" si="22"/>
        <v>4.246284501061571E-3</v>
      </c>
      <c r="F480" s="887">
        <f t="shared" si="22"/>
        <v>0.74734607218683646</v>
      </c>
      <c r="G480" s="887">
        <f t="shared" si="22"/>
        <v>0.15498938428874734</v>
      </c>
      <c r="H480" s="887">
        <f t="shared" si="22"/>
        <v>4.246284501061571E-3</v>
      </c>
      <c r="I480" s="887">
        <f t="shared" si="22"/>
        <v>1</v>
      </c>
      <c r="J480" s="956"/>
      <c r="K480" s="956"/>
      <c r="L480" s="956"/>
    </row>
    <row r="482" spans="3:12" ht="12.75" customHeight="1" x14ac:dyDescent="0.2">
      <c r="C482" s="33">
        <f t="shared" ref="C482:H482" si="23">AVERAGE(C2:C473)</f>
        <v>1616.3416687898082</v>
      </c>
      <c r="D482" s="33">
        <f t="shared" si="23"/>
        <v>135.52692857142858</v>
      </c>
      <c r="E482" s="33">
        <f t="shared" si="23"/>
        <v>27.77</v>
      </c>
      <c r="F482" s="33">
        <f t="shared" si="23"/>
        <v>2070.4061676136366</v>
      </c>
      <c r="G482" s="33">
        <f t="shared" si="23"/>
        <v>173.71621917808218</v>
      </c>
      <c r="H482" s="33">
        <f t="shared" si="23"/>
        <v>7042.5</v>
      </c>
      <c r="J482" s="32">
        <f>AVERAGE(J2:J473)</f>
        <v>1.6452237815562758</v>
      </c>
      <c r="K482" s="32">
        <f>AVERAGE(K2:K473)</f>
        <v>1.6598468273482472</v>
      </c>
      <c r="L482" s="32">
        <f>AVERAGE(L2:L473)</f>
        <v>2.3994455725106802</v>
      </c>
    </row>
    <row r="483" spans="3:12" ht="12.75" customHeight="1" x14ac:dyDescent="0.2">
      <c r="J483" s="32">
        <f>10^J482</f>
        <v>44.179803667114122</v>
      </c>
      <c r="K483" s="32">
        <f>10^K482</f>
        <v>45.692700620630234</v>
      </c>
      <c r="L483" s="32">
        <f>10^L482</f>
        <v>250.86817619174158</v>
      </c>
    </row>
  </sheetData>
  <sortState xmlns:xlrd2="http://schemas.microsoft.com/office/spreadsheetml/2017/richdata2" ref="P3:P28">
    <sortCondition ref="P3"/>
  </sortState>
  <phoneticPr fontId="32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indexed="29"/>
  </sheetPr>
  <dimension ref="A1:FK137"/>
  <sheetViews>
    <sheetView zoomScale="160" zoomScaleNormal="160" workbookViewId="0">
      <pane xSplit="1" ySplit="2" topLeftCell="M105" activePane="bottomRight" state="frozen"/>
      <selection pane="topRight" activeCell="B1" sqref="B1"/>
      <selection pane="bottomLeft" activeCell="A5" sqref="A5"/>
      <selection pane="bottomRight" activeCell="R105" sqref="R105"/>
    </sheetView>
  </sheetViews>
  <sheetFormatPr defaultColWidth="7.83203125" defaultRowHeight="11.1" customHeight="1" x14ac:dyDescent="0.2"/>
  <cols>
    <col min="1" max="1" width="13.83203125" customWidth="1"/>
    <col min="2" max="2" width="9.6640625" bestFit="1" customWidth="1"/>
    <col min="4" max="4" width="9.6640625" customWidth="1"/>
    <col min="5" max="10" width="9.83203125" customWidth="1"/>
    <col min="11" max="11" width="9.6640625" customWidth="1"/>
    <col min="12" max="12" width="9.6640625" bestFit="1" customWidth="1"/>
    <col min="13" max="13" width="9.83203125" bestFit="1" customWidth="1"/>
    <col min="14" max="14" width="10.83203125" customWidth="1"/>
    <col min="15" max="15" width="9.83203125" customWidth="1"/>
    <col min="16" max="16" width="8.6640625" bestFit="1" customWidth="1"/>
    <col min="17" max="17" width="8.5" customWidth="1"/>
    <col min="19" max="20" width="9.6640625" bestFit="1" customWidth="1"/>
    <col min="21" max="21" width="9.33203125" customWidth="1"/>
    <col min="22" max="22" width="8.1640625" customWidth="1"/>
    <col min="23" max="23" width="8.1640625" bestFit="1" customWidth="1"/>
    <col min="24" max="25" width="8.1640625" customWidth="1"/>
    <col min="26" max="27" width="8.1640625" bestFit="1" customWidth="1"/>
    <col min="28" max="29" width="8.1640625" customWidth="1"/>
    <col min="31" max="31" width="8.6640625" bestFit="1" customWidth="1"/>
    <col min="35" max="35" width="7.6640625" customWidth="1"/>
    <col min="37" max="37" width="9.83203125" bestFit="1" customWidth="1"/>
    <col min="38" max="39" width="9" customWidth="1"/>
    <col min="40" max="40" width="9.6640625" customWidth="1"/>
    <col min="41" max="41" width="8.1640625" bestFit="1" customWidth="1"/>
    <col min="42" max="42" width="8.1640625" customWidth="1"/>
    <col min="43" max="43" width="7.5" style="41" customWidth="1"/>
    <col min="44" max="44" width="7.5" customWidth="1"/>
    <col min="45" max="45" width="8.1640625" customWidth="1"/>
    <col min="46" max="46" width="9.6640625" customWidth="1"/>
    <col min="47" max="47" width="8.6640625" customWidth="1"/>
    <col min="48" max="48" width="8.1640625" customWidth="1"/>
    <col min="50" max="50" width="9.6640625" customWidth="1"/>
    <col min="51" max="51" width="8.1640625" bestFit="1" customWidth="1"/>
    <col min="53" max="53" width="9.33203125" customWidth="1"/>
    <col min="54" max="54" width="8.1640625" customWidth="1"/>
    <col min="57" max="57" width="7.5" style="41" customWidth="1"/>
    <col min="58" max="58" width="9.1640625" customWidth="1"/>
    <col min="59" max="59" width="9.33203125" customWidth="1"/>
    <col min="60" max="65" width="7.5" style="41" customWidth="1"/>
    <col min="66" max="66" width="8" customWidth="1"/>
    <col min="69" max="69" width="8.1640625" customWidth="1"/>
    <col min="75" max="75" width="8.33203125" customWidth="1"/>
    <col min="78" max="78" width="9.6640625" customWidth="1"/>
    <col min="79" max="79" width="7.5" style="41" customWidth="1"/>
    <col min="80" max="80" width="8" customWidth="1"/>
    <col min="81" max="81" width="8.1640625" customWidth="1"/>
    <col min="82" max="87" width="9.6640625" customWidth="1"/>
    <col min="88" max="88" width="7.5" style="41" customWidth="1"/>
    <col min="89" max="89" width="10.5" customWidth="1"/>
    <col min="90" max="90" width="9.6640625" customWidth="1"/>
    <col min="91" max="91" width="10.1640625" customWidth="1"/>
    <col min="93" max="96" width="8.33203125" customWidth="1"/>
    <col min="97" max="97" width="9.5" customWidth="1"/>
    <col min="98" max="99" width="8.6640625" customWidth="1"/>
    <col min="100" max="100" width="9.6640625" bestFit="1" customWidth="1"/>
    <col min="101" max="101" width="8.33203125" customWidth="1"/>
    <col min="104" max="104" width="8.1640625" customWidth="1"/>
    <col min="105" max="105" width="8.33203125" customWidth="1"/>
    <col min="109" max="109" width="9.6640625" bestFit="1" customWidth="1"/>
    <col min="126" max="126" width="9.6640625" customWidth="1"/>
    <col min="127" max="128" width="8" customWidth="1"/>
    <col min="133" max="140" width="9.6640625" customWidth="1"/>
    <col min="141" max="141" width="3.1640625" customWidth="1"/>
    <col min="142" max="143" width="9.6640625" customWidth="1"/>
    <col min="147" max="149" width="9.6640625" customWidth="1"/>
    <col min="150" max="151" width="8" customWidth="1"/>
    <col min="152" max="152" width="9.6640625" customWidth="1"/>
    <col min="153" max="153" width="8" customWidth="1"/>
    <col min="154" max="155" width="9.6640625" customWidth="1"/>
  </cols>
  <sheetData>
    <row r="1" spans="1:167" s="535" customFormat="1" ht="14.25" x14ac:dyDescent="0.3">
      <c r="B1" s="536" t="s">
        <v>459</v>
      </c>
      <c r="C1" s="536" t="s">
        <v>459</v>
      </c>
      <c r="D1" s="536" t="s">
        <v>459</v>
      </c>
      <c r="E1" s="536" t="s">
        <v>459</v>
      </c>
      <c r="F1" s="536" t="s">
        <v>459</v>
      </c>
      <c r="G1" s="536" t="s">
        <v>459</v>
      </c>
      <c r="H1" s="536" t="s">
        <v>459</v>
      </c>
      <c r="I1" s="536" t="s">
        <v>459</v>
      </c>
      <c r="J1" s="536" t="s">
        <v>459</v>
      </c>
      <c r="K1" s="536" t="s">
        <v>459</v>
      </c>
      <c r="L1" s="536" t="s">
        <v>459</v>
      </c>
      <c r="M1" s="536" t="s">
        <v>459</v>
      </c>
      <c r="N1" s="536" t="s">
        <v>459</v>
      </c>
      <c r="O1" s="536" t="s">
        <v>459</v>
      </c>
      <c r="P1" s="536" t="s">
        <v>459</v>
      </c>
      <c r="Q1" s="537" t="s">
        <v>1101</v>
      </c>
      <c r="R1" s="538" t="s">
        <v>1255</v>
      </c>
      <c r="S1" s="538" t="s">
        <v>1255</v>
      </c>
      <c r="T1" s="538" t="s">
        <v>1255</v>
      </c>
      <c r="U1" s="538" t="s">
        <v>1255</v>
      </c>
      <c r="V1" s="538" t="s">
        <v>1255</v>
      </c>
      <c r="W1" s="538" t="s">
        <v>1255</v>
      </c>
      <c r="X1" s="538" t="s">
        <v>1255</v>
      </c>
      <c r="Y1" s="538" t="s">
        <v>1255</v>
      </c>
      <c r="Z1" s="539" t="s">
        <v>1102</v>
      </c>
      <c r="AA1" s="539" t="s">
        <v>1102</v>
      </c>
      <c r="AB1" s="539"/>
      <c r="AC1" s="539" t="s">
        <v>1102</v>
      </c>
      <c r="AE1" s="537" t="s">
        <v>1101</v>
      </c>
      <c r="AI1" s="536" t="s">
        <v>459</v>
      </c>
      <c r="AJ1" s="536" t="s">
        <v>459</v>
      </c>
      <c r="AK1" s="536" t="s">
        <v>459</v>
      </c>
      <c r="AL1" s="538" t="s">
        <v>1255</v>
      </c>
      <c r="AM1" s="536" t="s">
        <v>459</v>
      </c>
      <c r="AN1" s="539" t="s">
        <v>1102</v>
      </c>
      <c r="AO1" s="539" t="s">
        <v>1102</v>
      </c>
      <c r="AP1" s="539" t="s">
        <v>1102</v>
      </c>
      <c r="AQ1" s="536" t="s">
        <v>459</v>
      </c>
      <c r="AR1" s="536" t="s">
        <v>459</v>
      </c>
      <c r="AS1" s="538" t="s">
        <v>1255</v>
      </c>
      <c r="AT1" s="537" t="s">
        <v>1101</v>
      </c>
      <c r="AU1" s="536" t="s">
        <v>459</v>
      </c>
      <c r="AV1" s="538" t="s">
        <v>1255</v>
      </c>
      <c r="AW1" s="536" t="s">
        <v>459</v>
      </c>
      <c r="AX1" s="537" t="s">
        <v>1101</v>
      </c>
      <c r="AY1" s="539" t="s">
        <v>1102</v>
      </c>
      <c r="AZ1" s="536" t="s">
        <v>459</v>
      </c>
      <c r="BA1" s="537" t="s">
        <v>1101</v>
      </c>
      <c r="BB1" s="537" t="s">
        <v>1101</v>
      </c>
      <c r="BC1" s="536" t="s">
        <v>459</v>
      </c>
      <c r="BD1" s="536" t="s">
        <v>459</v>
      </c>
      <c r="BE1" s="536" t="s">
        <v>459</v>
      </c>
      <c r="BF1" s="537" t="s">
        <v>1101</v>
      </c>
      <c r="BG1" s="537" t="s">
        <v>1101</v>
      </c>
      <c r="BH1" s="536" t="s">
        <v>459</v>
      </c>
      <c r="BI1" s="536" t="s">
        <v>459</v>
      </c>
      <c r="BJ1" s="536" t="s">
        <v>459</v>
      </c>
      <c r="BK1" s="536" t="s">
        <v>459</v>
      </c>
      <c r="BL1" s="536" t="s">
        <v>459</v>
      </c>
      <c r="BM1" s="536" t="s">
        <v>459</v>
      </c>
      <c r="BN1" s="539" t="s">
        <v>1102</v>
      </c>
      <c r="BO1" s="539" t="s">
        <v>1102</v>
      </c>
      <c r="BP1" s="539"/>
      <c r="BQ1" s="539" t="s">
        <v>1102</v>
      </c>
      <c r="BR1" s="539" t="s">
        <v>1102</v>
      </c>
      <c r="BS1" s="539" t="s">
        <v>1102</v>
      </c>
      <c r="BT1" s="539" t="s">
        <v>1102</v>
      </c>
      <c r="BU1" s="539" t="s">
        <v>1102</v>
      </c>
      <c r="BV1" s="539"/>
      <c r="BW1" s="537" t="s">
        <v>1101</v>
      </c>
      <c r="BX1" s="543"/>
      <c r="BY1" s="543"/>
      <c r="BZ1" s="536" t="s">
        <v>459</v>
      </c>
      <c r="CA1" s="536" t="s">
        <v>459</v>
      </c>
      <c r="CB1" s="536" t="s">
        <v>459</v>
      </c>
      <c r="CC1" s="539" t="s">
        <v>1102</v>
      </c>
      <c r="CD1" s="536" t="s">
        <v>459</v>
      </c>
      <c r="CE1" s="536" t="s">
        <v>459</v>
      </c>
      <c r="CF1" s="536" t="s">
        <v>459</v>
      </c>
      <c r="CG1" s="536" t="s">
        <v>459</v>
      </c>
      <c r="CH1" s="536">
        <v>1.0361758771045047</v>
      </c>
      <c r="CI1" s="537" t="s">
        <v>1101</v>
      </c>
      <c r="CJ1" s="536" t="s">
        <v>459</v>
      </c>
      <c r="CK1" s="536" t="s">
        <v>459</v>
      </c>
      <c r="CL1" s="536" t="s">
        <v>459</v>
      </c>
      <c r="CM1" s="537" t="s">
        <v>1101</v>
      </c>
      <c r="CN1" s="537" t="s">
        <v>1101</v>
      </c>
      <c r="CO1" s="548" t="s">
        <v>1475</v>
      </c>
      <c r="CP1" s="536" t="s">
        <v>459</v>
      </c>
      <c r="CQ1" s="536" t="s">
        <v>459</v>
      </c>
      <c r="CR1" s="536" t="s">
        <v>459</v>
      </c>
      <c r="CS1" s="536" t="s">
        <v>459</v>
      </c>
      <c r="CT1" s="536" t="s">
        <v>459</v>
      </c>
      <c r="CU1" s="536" t="s">
        <v>459</v>
      </c>
      <c r="CV1" s="537" t="s">
        <v>1101</v>
      </c>
      <c r="CW1" s="537" t="s">
        <v>1101</v>
      </c>
      <c r="CX1" s="536" t="s">
        <v>459</v>
      </c>
      <c r="CY1" s="536" t="s">
        <v>459</v>
      </c>
      <c r="CZ1" s="536" t="s">
        <v>459</v>
      </c>
      <c r="DA1" s="536" t="s">
        <v>459</v>
      </c>
      <c r="DE1"/>
      <c r="DJ1" s="539"/>
      <c r="DM1" s="540">
        <v>303</v>
      </c>
      <c r="DN1" s="540">
        <v>305</v>
      </c>
      <c r="DO1" s="540">
        <v>306</v>
      </c>
      <c r="DP1" s="540">
        <v>309</v>
      </c>
      <c r="DQ1" s="540">
        <v>908</v>
      </c>
      <c r="DR1" s="540">
        <v>911</v>
      </c>
      <c r="DS1" s="540">
        <v>1085</v>
      </c>
      <c r="DT1" s="535">
        <v>489</v>
      </c>
      <c r="DU1" s="535">
        <v>489</v>
      </c>
      <c r="DV1" s="536" t="s">
        <v>459</v>
      </c>
      <c r="DW1" s="536" t="s">
        <v>459</v>
      </c>
      <c r="DX1" s="536" t="s">
        <v>459</v>
      </c>
      <c r="DY1" s="536" t="s">
        <v>459</v>
      </c>
      <c r="DZ1" s="536" t="s">
        <v>459</v>
      </c>
      <c r="EA1" s="536" t="s">
        <v>459</v>
      </c>
      <c r="EB1" s="536" t="s">
        <v>459</v>
      </c>
      <c r="EC1" s="536" t="s">
        <v>459</v>
      </c>
      <c r="ED1" s="536" t="s">
        <v>459</v>
      </c>
      <c r="EE1" s="536" t="s">
        <v>459</v>
      </c>
      <c r="EF1" s="536" t="s">
        <v>459</v>
      </c>
      <c r="EG1" s="536" t="s">
        <v>459</v>
      </c>
      <c r="EH1" s="536" t="s">
        <v>459</v>
      </c>
      <c r="EI1" s="536" t="s">
        <v>459</v>
      </c>
      <c r="EJ1" s="536" t="s">
        <v>459</v>
      </c>
      <c r="EK1" s="536"/>
      <c r="EL1" s="536" t="s">
        <v>459</v>
      </c>
      <c r="EM1" s="536" t="s">
        <v>459</v>
      </c>
      <c r="EQ1" s="536" t="s">
        <v>459</v>
      </c>
      <c r="ER1" s="536" t="s">
        <v>459</v>
      </c>
      <c r="ES1" s="536" t="s">
        <v>459</v>
      </c>
      <c r="ET1" s="536" t="s">
        <v>459</v>
      </c>
      <c r="EU1" s="536" t="s">
        <v>459</v>
      </c>
      <c r="EV1" s="536" t="s">
        <v>459</v>
      </c>
      <c r="EW1" s="536"/>
      <c r="EX1" s="536"/>
      <c r="EY1" s="536"/>
      <c r="FC1" s="541" t="s">
        <v>354</v>
      </c>
      <c r="FD1" s="535" t="s">
        <v>1101</v>
      </c>
      <c r="FH1" s="536" t="s">
        <v>459</v>
      </c>
      <c r="FI1" s="536" t="s">
        <v>459</v>
      </c>
      <c r="FJ1" s="536" t="s">
        <v>459</v>
      </c>
    </row>
    <row r="2" spans="1:167" s="487" customFormat="1" ht="42.75" customHeight="1" x14ac:dyDescent="0.2">
      <c r="A2" s="547"/>
      <c r="B2" s="448" t="s">
        <v>141</v>
      </c>
      <c r="C2" s="449" t="s">
        <v>736</v>
      </c>
      <c r="D2" s="450" t="s">
        <v>140</v>
      </c>
      <c r="E2" s="601" t="s">
        <v>62</v>
      </c>
      <c r="F2" s="591" t="s">
        <v>242</v>
      </c>
      <c r="G2" s="590" t="s">
        <v>243</v>
      </c>
      <c r="H2" s="510" t="s">
        <v>244</v>
      </c>
      <c r="I2" s="510" t="s">
        <v>247</v>
      </c>
      <c r="J2" s="510" t="s">
        <v>1083</v>
      </c>
      <c r="K2" s="452" t="s">
        <v>769</v>
      </c>
      <c r="L2" s="453" t="s">
        <v>139</v>
      </c>
      <c r="M2" s="454" t="s">
        <v>1343</v>
      </c>
      <c r="N2" s="252" t="s">
        <v>41</v>
      </c>
      <c r="O2" s="455" t="s">
        <v>1307</v>
      </c>
      <c r="P2" s="534" t="s">
        <v>1013</v>
      </c>
      <c r="Q2" s="473" t="s">
        <v>505</v>
      </c>
      <c r="R2" s="449" t="s">
        <v>453</v>
      </c>
      <c r="S2" s="449" t="s">
        <v>144</v>
      </c>
      <c r="T2" s="449" t="s">
        <v>735</v>
      </c>
      <c r="U2" s="475" t="s">
        <v>143</v>
      </c>
      <c r="V2" s="542" t="s">
        <v>856</v>
      </c>
      <c r="W2" s="462" t="s">
        <v>145</v>
      </c>
      <c r="X2" s="462" t="s">
        <v>299</v>
      </c>
      <c r="Y2" s="462" t="s">
        <v>514</v>
      </c>
      <c r="Z2" s="482" t="s">
        <v>146</v>
      </c>
      <c r="AA2" s="482" t="s">
        <v>147</v>
      </c>
      <c r="AB2" s="482" t="s">
        <v>1229</v>
      </c>
      <c r="AC2" s="483" t="s">
        <v>1209</v>
      </c>
      <c r="AE2" s="473" t="s">
        <v>142</v>
      </c>
      <c r="AI2" s="252" t="s">
        <v>1028</v>
      </c>
      <c r="AJ2" s="252" t="s">
        <v>376</v>
      </c>
      <c r="AK2" s="463" t="s">
        <v>897</v>
      </c>
      <c r="AL2" s="463" t="s">
        <v>898</v>
      </c>
      <c r="AM2" s="470" t="s">
        <v>889</v>
      </c>
      <c r="AN2" s="459" t="s">
        <v>1295</v>
      </c>
      <c r="AO2" s="459" t="s">
        <v>1296</v>
      </c>
      <c r="AP2" s="485" t="s">
        <v>1473</v>
      </c>
      <c r="AQ2" s="451" t="s">
        <v>1021</v>
      </c>
      <c r="AR2" s="471" t="s">
        <v>884</v>
      </c>
      <c r="AS2" s="478" t="s">
        <v>1178</v>
      </c>
      <c r="AT2" s="452" t="s">
        <v>38</v>
      </c>
      <c r="AU2" s="472" t="s">
        <v>1153</v>
      </c>
      <c r="AV2" s="477" t="s">
        <v>876</v>
      </c>
      <c r="AW2" s="573" t="s">
        <v>1497</v>
      </c>
      <c r="AX2" s="450" t="s">
        <v>1292</v>
      </c>
      <c r="AY2" s="484" t="s">
        <v>1335</v>
      </c>
      <c r="AZ2" s="451" t="s">
        <v>5</v>
      </c>
      <c r="BA2" s="476" t="s">
        <v>1347</v>
      </c>
      <c r="BB2" s="456" t="s">
        <v>1348</v>
      </c>
      <c r="BC2" s="451" t="s">
        <v>12</v>
      </c>
      <c r="BD2" s="451" t="s">
        <v>0</v>
      </c>
      <c r="BE2" s="469" t="s">
        <v>11</v>
      </c>
      <c r="BF2" s="452" t="s">
        <v>49</v>
      </c>
      <c r="BG2" s="452" t="s">
        <v>48</v>
      </c>
      <c r="BH2" s="474" t="s">
        <v>101</v>
      </c>
      <c r="BI2" s="575" t="s">
        <v>1303</v>
      </c>
      <c r="BJ2" s="582" t="s">
        <v>217</v>
      </c>
      <c r="BK2" s="583" t="s">
        <v>1443</v>
      </c>
      <c r="BL2" s="584" t="s">
        <v>1446</v>
      </c>
      <c r="BM2" s="585" t="s">
        <v>1501</v>
      </c>
      <c r="BN2" s="479" t="s">
        <v>1179</v>
      </c>
      <c r="BO2" s="480" t="s">
        <v>1180</v>
      </c>
      <c r="BP2" s="480" t="s">
        <v>1214</v>
      </c>
      <c r="BQ2" s="481" t="s">
        <v>772</v>
      </c>
      <c r="BR2" s="481" t="s">
        <v>773</v>
      </c>
      <c r="BS2" s="481" t="s">
        <v>1181</v>
      </c>
      <c r="BT2" s="481" t="s">
        <v>1109</v>
      </c>
      <c r="BU2" s="481" t="s">
        <v>1182</v>
      </c>
      <c r="BV2" s="481" t="s">
        <v>1219</v>
      </c>
      <c r="BW2" s="546" t="s">
        <v>134</v>
      </c>
      <c r="BX2" s="544"/>
      <c r="BY2" s="544"/>
      <c r="BZ2" s="251" t="s">
        <v>1140</v>
      </c>
      <c r="CA2" s="457" t="s">
        <v>102</v>
      </c>
      <c r="CB2" s="458" t="s">
        <v>1139</v>
      </c>
      <c r="CC2" s="486" t="s">
        <v>1029</v>
      </c>
      <c r="CD2" s="459" t="s">
        <v>1053</v>
      </c>
      <c r="CE2" s="460" t="s">
        <v>1238</v>
      </c>
      <c r="CF2" s="461" t="s">
        <v>1054</v>
      </c>
      <c r="CG2" s="462" t="s">
        <v>1141</v>
      </c>
      <c r="CH2" s="462" t="s">
        <v>1495</v>
      </c>
      <c r="CI2" s="465" t="s">
        <v>900</v>
      </c>
      <c r="CJ2" s="586" t="s">
        <v>1112</v>
      </c>
      <c r="CK2" s="464" t="s">
        <v>1453</v>
      </c>
      <c r="CL2" s="458" t="s">
        <v>1474</v>
      </c>
      <c r="CM2" s="458" t="s">
        <v>1159</v>
      </c>
      <c r="CN2" s="458" t="s">
        <v>1429</v>
      </c>
      <c r="CO2" s="466" t="s">
        <v>69</v>
      </c>
      <c r="CP2" s="519" t="s">
        <v>120</v>
      </c>
      <c r="CQ2" s="588" t="s">
        <v>121</v>
      </c>
      <c r="CR2" s="589" t="s">
        <v>1459</v>
      </c>
      <c r="CS2" s="464" t="s">
        <v>55</v>
      </c>
      <c r="CT2" s="251" t="s">
        <v>899</v>
      </c>
      <c r="CU2" s="467" t="s">
        <v>10</v>
      </c>
      <c r="CV2" s="468" t="s">
        <v>877</v>
      </c>
      <c r="CW2" s="468" t="s">
        <v>878</v>
      </c>
      <c r="CX2" s="469" t="s">
        <v>52</v>
      </c>
      <c r="CY2" s="469" t="s">
        <v>53</v>
      </c>
      <c r="CZ2" s="469" t="s">
        <v>89</v>
      </c>
      <c r="DA2" s="469" t="s">
        <v>122</v>
      </c>
      <c r="DE2" s="433"/>
      <c r="DM2" s="446"/>
      <c r="DV2" s="460" t="s">
        <v>1119</v>
      </c>
      <c r="DW2" s="460" t="s">
        <v>1120</v>
      </c>
      <c r="DX2" s="460" t="s">
        <v>1121</v>
      </c>
      <c r="DY2" s="460" t="s">
        <v>1122</v>
      </c>
      <c r="DZ2" s="460" t="s">
        <v>1125</v>
      </c>
      <c r="EA2" s="460" t="s">
        <v>1126</v>
      </c>
      <c r="EB2" s="460" t="s">
        <v>1127</v>
      </c>
      <c r="EC2" s="460" t="s">
        <v>1128</v>
      </c>
      <c r="ED2" s="460" t="s">
        <v>1129</v>
      </c>
      <c r="EE2" s="460" t="s">
        <v>1130</v>
      </c>
      <c r="EF2" s="460" t="s">
        <v>1131</v>
      </c>
      <c r="EG2" s="460" t="s">
        <v>1132</v>
      </c>
      <c r="EH2" s="460" t="s">
        <v>1133</v>
      </c>
      <c r="EI2" s="460" t="s">
        <v>1134</v>
      </c>
      <c r="EJ2" s="460" t="s">
        <v>887</v>
      </c>
      <c r="EK2" s="460"/>
      <c r="EL2" s="462" t="s">
        <v>1135</v>
      </c>
      <c r="EM2" s="462" t="s">
        <v>886</v>
      </c>
      <c r="EQ2" s="251" t="s">
        <v>1055</v>
      </c>
      <c r="ER2" s="488" t="s">
        <v>1118</v>
      </c>
      <c r="ES2" s="488" t="s">
        <v>1117</v>
      </c>
      <c r="ET2" s="458" t="s">
        <v>1115</v>
      </c>
      <c r="EU2" s="458" t="s">
        <v>1116</v>
      </c>
      <c r="EV2" s="458" t="s">
        <v>1138</v>
      </c>
      <c r="EW2" s="458" t="s">
        <v>1253</v>
      </c>
      <c r="EX2" s="488"/>
      <c r="EY2" s="488"/>
      <c r="FE2" s="487" t="s">
        <v>877</v>
      </c>
      <c r="FI2" s="473" t="s">
        <v>1000</v>
      </c>
      <c r="FJ2" s="489" t="s">
        <v>1240</v>
      </c>
      <c r="FK2" s="473" t="s">
        <v>1241</v>
      </c>
    </row>
    <row r="3" spans="1:167" s="39" customFormat="1" ht="11.1" customHeight="1" x14ac:dyDescent="0.2">
      <c r="A3" s="241" t="s">
        <v>148</v>
      </c>
      <c r="B3" s="39">
        <f>nonmare!$H11</f>
        <v>44.9253</v>
      </c>
      <c r="C3" s="39">
        <f>nonmare!$H131</f>
        <v>44.689608</v>
      </c>
      <c r="D3" s="39">
        <f>nonmare!$H31</f>
        <v>44.026325</v>
      </c>
      <c r="E3" s="39">
        <f>nonmare!$H577</f>
        <v>45.108057988997025</v>
      </c>
      <c r="F3" s="39">
        <f>nonmare!$H583</f>
        <v>44.287286089335687</v>
      </c>
      <c r="G3" s="39">
        <f>nonmare!$H589</f>
        <v>45.428673518466375</v>
      </c>
      <c r="H3" s="39">
        <f>nonmare!$H595</f>
        <v>44.501106983059067</v>
      </c>
      <c r="I3" s="39">
        <f>nonmare!$H601</f>
        <v>45.195461633928353</v>
      </c>
      <c r="J3" s="39">
        <f>AVERAGE(H3:I3)</f>
        <v>44.84828430849371</v>
      </c>
      <c r="K3" s="39">
        <f>nonmare!$H294</f>
        <v>44.176603886164777</v>
      </c>
      <c r="L3" s="39">
        <f>nonmare!$H114</f>
        <v>45.10465833333334</v>
      </c>
      <c r="M3" s="39">
        <f>nonmare!$H84</f>
        <v>44.534349351901156</v>
      </c>
      <c r="N3" s="39">
        <f>nonmare!$H525</f>
        <v>44.097631324927754</v>
      </c>
      <c r="O3" s="39">
        <f>nonmare!$H531</f>
        <v>44.026787981318186</v>
      </c>
      <c r="P3" s="39">
        <v>43.91</v>
      </c>
      <c r="Q3" s="39">
        <f>nonmare!$H283</f>
        <v>45.823832645267032</v>
      </c>
      <c r="R3" s="39">
        <f>nonhighlands!$E94</f>
        <v>45.666054110963387</v>
      </c>
      <c r="S3" s="39">
        <f>nonhighlands!$E83</f>
        <v>47.682299999999998</v>
      </c>
      <c r="T3" s="39">
        <f>(R3*30.7+S3*52.97)/83.67</f>
        <v>46.942503791162608</v>
      </c>
      <c r="U3" s="39">
        <f>nonhighlands!$E105</f>
        <v>47.340240000000001</v>
      </c>
      <c r="V3" s="39">
        <f>nonhighlands!$E293</f>
        <v>44.604231727788488</v>
      </c>
      <c r="W3" s="39">
        <f>nonhighlands!$E47</f>
        <v>47.272551704876186</v>
      </c>
      <c r="X3" s="39">
        <f>nonhighlands!$E64</f>
        <v>46.542244823039567</v>
      </c>
      <c r="Y3" s="38">
        <f>(W3*W$85+X3*X$85)/Y$85</f>
        <v>46.810207309861418</v>
      </c>
      <c r="Z3" s="39">
        <f>nonhighlands!$E210</f>
        <v>45.335257333333338</v>
      </c>
      <c r="AA3" s="39">
        <f>nonhighlands!$E196</f>
        <v>46.186287133333337</v>
      </c>
      <c r="AB3" s="39">
        <f>nonhighlands!$E334</f>
        <v>47.042651509240287</v>
      </c>
      <c r="AC3" s="39">
        <f>nonhighlands!$E159</f>
        <v>45.292484057224556</v>
      </c>
      <c r="AE3" s="39">
        <f>nonhighlands!$E12</f>
        <v>46.996918049509269</v>
      </c>
      <c r="AI3" s="39">
        <f>nonmare!$H157</f>
        <v>44.108071135318973</v>
      </c>
      <c r="AJ3" s="39">
        <f>nonmare!$H170</f>
        <v>43.211307500000004</v>
      </c>
      <c r="AK3" s="39">
        <f>nonmare!$H490</f>
        <v>44.722519559834566</v>
      </c>
      <c r="AL3" s="39">
        <f>nonhighlands!$E342</f>
        <v>46.944620630195786</v>
      </c>
      <c r="AM3" s="39">
        <f>nonmare!$H441</f>
        <v>43.858171343051097</v>
      </c>
      <c r="AN3" s="39">
        <f>nonhighlands!$E303</f>
        <v>44.72</v>
      </c>
      <c r="AO3" s="39">
        <f>nonhighlands!$E308</f>
        <v>44.739775803083049</v>
      </c>
      <c r="AP3" s="39">
        <f>nonhighlands!$E119</f>
        <v>45.112658564954806</v>
      </c>
      <c r="AQ3" s="39">
        <f>nonmare!$H265</f>
        <v>44.539814841251307</v>
      </c>
      <c r="AR3" s="39">
        <f>nonmare!$H274</f>
        <v>43.770058027381637</v>
      </c>
      <c r="AS3" s="39">
        <f>nonhighlands!$E232</f>
        <v>46.224129677998569</v>
      </c>
      <c r="AT3" s="39">
        <f>nonhighlands!$E313</f>
        <v>46.155707056264319</v>
      </c>
      <c r="AU3" s="248">
        <f>nonmare!$H475</f>
        <v>44.137646184170059</v>
      </c>
      <c r="AV3" s="39">
        <f>nonhighlands!$E298</f>
        <v>45.839821408726415</v>
      </c>
      <c r="AW3" s="39">
        <f>nonmare!$H463</f>
        <v>44.972220201841182</v>
      </c>
      <c r="AX3" s="39">
        <f>nonhighlands!$E347</f>
        <v>48.037922110465558</v>
      </c>
      <c r="AY3" s="39">
        <f>nonhighlands!$E366</f>
        <v>46.082014303459978</v>
      </c>
      <c r="AZ3" s="39">
        <f>nonmare!$H513</f>
        <v>46.400116145520464</v>
      </c>
      <c r="BA3" s="39">
        <f>nonhighlands!$E380</f>
        <v>46.620073213717582</v>
      </c>
      <c r="BB3" s="39">
        <f>nonhighlands!$E374</f>
        <v>46.724927602133867</v>
      </c>
      <c r="BC3" s="39">
        <f>nonmare!$H507</f>
        <v>46.017730946104592</v>
      </c>
      <c r="BD3" s="39">
        <f>nonmare!$H519</f>
        <v>44.768510262042788</v>
      </c>
      <c r="BE3" s="39">
        <f>nonmare!$H566</f>
        <v>44.84033326326395</v>
      </c>
      <c r="BF3" s="39">
        <f>nonhighlands!$E319</f>
        <v>45.991901162010976</v>
      </c>
      <c r="BG3" s="39">
        <f>nonhighlands!$E324</f>
        <v>46.057459088178611</v>
      </c>
      <c r="BH3" s="39">
        <f>nonmare!$H572</f>
        <v>43.937852424123719</v>
      </c>
      <c r="BI3" s="39" t="e">
        <f>nonmare!$H622</f>
        <v>#DIV/0!</v>
      </c>
      <c r="BJ3" s="39" t="e">
        <f>nonmare!$H627</f>
        <v>#DIV/0!</v>
      </c>
      <c r="BK3" s="39" t="e">
        <f>nonmare!$H632</f>
        <v>#DIV/0!</v>
      </c>
      <c r="BL3" s="39" t="e">
        <f>nonmare!$H637</f>
        <v>#DIV/0!</v>
      </c>
      <c r="BM3" s="39" t="e">
        <f>nonmare!$H642</f>
        <v>#DIV/0!</v>
      </c>
      <c r="BN3" s="39">
        <f>nonhighlands!$E252</f>
        <v>46.327955008847823</v>
      </c>
      <c r="BO3" s="39">
        <f>nonhighlands!$E257</f>
        <v>45.510659176258663</v>
      </c>
      <c r="BP3" s="38">
        <f>AVERAGE(BN3:BO3)</f>
        <v>45.91930709255324</v>
      </c>
      <c r="BQ3" s="39">
        <f>nonhighlands!$E219</f>
        <v>46.100715405479797</v>
      </c>
      <c r="BR3" s="39">
        <f>nonhighlands!$E227</f>
        <v>42.27</v>
      </c>
      <c r="BT3" s="39">
        <f>nonhighlands!$E237</f>
        <v>42.921413843077374</v>
      </c>
      <c r="BU3" s="39">
        <f>nonhighlands!$E267</f>
        <v>42.98929576337423</v>
      </c>
      <c r="BV3" s="38">
        <f>AVERAGE(BR3:BU3)</f>
        <v>42.726903202150538</v>
      </c>
      <c r="BW3" s="39">
        <f>nonhighlands!$E352</f>
        <v>47.239123291559977</v>
      </c>
      <c r="BZ3" s="220">
        <f>nonmare!$H194</f>
        <v>44.31412471934263</v>
      </c>
      <c r="CA3" s="220">
        <f>nonmare!$H235</f>
        <v>44.741019494057703</v>
      </c>
      <c r="CB3" s="39">
        <f t="shared" ref="CB3:CB13" si="0">AVERAGE(ET3,EU3,EV3)</f>
        <v>44.370926106335126</v>
      </c>
      <c r="CC3" s="39">
        <f>nonhighlands!$E275</f>
        <v>43.973123432304135</v>
      </c>
      <c r="CD3" s="39">
        <f>nonmare!$H322</f>
        <v>44.106765235808979</v>
      </c>
      <c r="CE3" s="38">
        <f t="shared" ref="CE3:CE13" si="1">AVERAGE(DV3:EJ3)</f>
        <v>43.601381660286037</v>
      </c>
      <c r="CF3" s="39">
        <f>nonmare!$H436</f>
        <v>44.933903523526482</v>
      </c>
      <c r="CG3" s="6">
        <f>(34.05*EL3+90*EM3)/(34.05+90)</f>
        <v>42.007658893362887</v>
      </c>
      <c r="CH3" s="6">
        <f>CG3*CH$1</f>
        <v>43.527322798937135</v>
      </c>
      <c r="CI3" s="39">
        <f>nonhighlands!$E30</f>
        <v>44.740408804244595</v>
      </c>
      <c r="CJ3" s="39">
        <f>nonmare!$H470</f>
        <v>45.155767814037318</v>
      </c>
      <c r="CK3" s="39">
        <f>nonmare!$H485</f>
        <v>44.685235341377968</v>
      </c>
      <c r="CL3" s="6">
        <f>nonhighlands!$E176</f>
        <v>44.826745611736136</v>
      </c>
      <c r="CM3" s="6">
        <f>nonhighlands!$E164</f>
        <v>45.681363333269708</v>
      </c>
      <c r="CN3" s="6">
        <f>(CL3*84.4+CM3*21.6)/106</f>
        <v>45.000894128576945</v>
      </c>
      <c r="CO3" s="39">
        <f>nonhighlands!$E386</f>
        <v>48.534278210182109</v>
      </c>
      <c r="CP3" s="248">
        <f>nonmare!$H607</f>
        <v>44.091731074212809</v>
      </c>
      <c r="CQ3" s="248">
        <f>nonmare!$H612</f>
        <v>45.436869679967756</v>
      </c>
      <c r="CR3" s="248" t="e">
        <f>nonmare!$H627</f>
        <v>#DIV/0!</v>
      </c>
      <c r="CS3" s="39">
        <f>nonmare!$H480</f>
        <v>45.161052090908029</v>
      </c>
      <c r="CT3" s="39">
        <f>nonmare!$H501</f>
        <v>44.999911077899199</v>
      </c>
      <c r="CU3" s="248">
        <f>nonmare!$H561</f>
        <v>44.734768900598986</v>
      </c>
      <c r="CV3" s="39">
        <f>nonmare!$H301</f>
        <v>45.328864121358563</v>
      </c>
      <c r="CW3" s="39">
        <f>nonmare!$H307</f>
        <v>47.000939322883426</v>
      </c>
      <c r="CX3" s="248">
        <f>nonmare!$H537</f>
        <v>43.998530278145346</v>
      </c>
      <c r="CY3" s="39">
        <f>nonmare!$H543</f>
        <v>44.243653224649158</v>
      </c>
      <c r="CZ3" s="39">
        <f>nonmare!$H555</f>
        <v>44.510716207475362</v>
      </c>
      <c r="DA3" s="248">
        <f>nonmare!$H549</f>
        <v>44.623820922338339</v>
      </c>
      <c r="DE3"/>
      <c r="DI3"/>
      <c r="DM3"/>
      <c r="DV3" s="39">
        <f>nonmare!$H328</f>
        <v>43.50371616828518</v>
      </c>
      <c r="DW3" s="39">
        <f>nonmare!$H334</f>
        <v>43.449357528289056</v>
      </c>
      <c r="DX3" s="39">
        <f>nonmare!$H340</f>
        <v>43.516008696767535</v>
      </c>
      <c r="DY3" s="39">
        <f>nonmare!$H346</f>
        <v>43.8</v>
      </c>
      <c r="DZ3" s="39">
        <f>nonmare!$H366</f>
        <v>43.509373754207047</v>
      </c>
      <c r="EA3" s="7">
        <f>nonmare!$H373</f>
        <v>43.601876268880304</v>
      </c>
      <c r="EB3" s="39">
        <f>nonmare!$H381</f>
        <v>44.1</v>
      </c>
      <c r="EC3" s="39">
        <f>nonmare!$H358</f>
        <v>43.606546136309248</v>
      </c>
      <c r="ED3" s="39">
        <f>nonmare!$H388</f>
        <v>43.7</v>
      </c>
      <c r="EE3" s="39">
        <f>nonmare!$H395</f>
        <v>43.4</v>
      </c>
      <c r="EF3" s="39">
        <f>nonmare!$H400</f>
        <v>43.476125386946407</v>
      </c>
      <c r="EH3" s="39">
        <f>nonmare!$H405</f>
        <v>43.426935621211676</v>
      </c>
      <c r="EI3" s="39">
        <f>nonmare!$H411</f>
        <v>43.9</v>
      </c>
      <c r="EJ3" s="39">
        <f>nonmare!$H416</f>
        <v>43.429403683107978</v>
      </c>
      <c r="EL3" s="279">
        <f>nonmare!$H426</f>
        <v>41.101630281243615</v>
      </c>
      <c r="EM3" s="279">
        <f>nonmare!$H431</f>
        <v>42.350439718281343</v>
      </c>
      <c r="EQ3" s="39">
        <f>nonmare!$H179</f>
        <v>44.255780940352103</v>
      </c>
      <c r="ER3" s="39">
        <f>nonmare!$H186</f>
        <v>44.42869039619238</v>
      </c>
      <c r="ES3" s="39">
        <f>nonmare!$H192</f>
        <v>44.374590379464479</v>
      </c>
      <c r="ET3" s="220">
        <f>nonmare!$H243</f>
        <v>44.669657153459561</v>
      </c>
      <c r="EU3" s="220">
        <f>nonmare!$H249</f>
        <v>44.216517226537427</v>
      </c>
      <c r="EV3" s="220">
        <f>nonmare!$H254</f>
        <v>44.226603939008385</v>
      </c>
      <c r="EW3" s="39">
        <v>43.518548271410808</v>
      </c>
      <c r="FD3" s="39">
        <v>45.328864121358563</v>
      </c>
      <c r="FH3" s="39">
        <f>nonmare!$H447</f>
        <v>45.137214860644541</v>
      </c>
      <c r="FI3" s="323">
        <f>FH3</f>
        <v>45.137214860644541</v>
      </c>
      <c r="FJ3" s="323">
        <f t="shared" ref="FJ3:FJ15" si="2">FI3*100/FI$17</f>
        <v>53.784172097013723</v>
      </c>
    </row>
    <row r="4" spans="1:167" s="32" customFormat="1" ht="10.5" customHeight="1" x14ac:dyDescent="0.2">
      <c r="A4" s="230" t="s">
        <v>149</v>
      </c>
      <c r="B4" s="3">
        <f>nonmare!$I11</f>
        <v>0.26515582000000004</v>
      </c>
      <c r="C4" s="3">
        <f>nonmare!$I131</f>
        <v>0.24932416260014553</v>
      </c>
      <c r="D4" s="3">
        <f>nonmare!$I31</f>
        <v>0.2896115428571428</v>
      </c>
      <c r="E4" s="3">
        <f>nonmare!$I577</f>
        <v>0.27496688620393889</v>
      </c>
      <c r="F4" s="3">
        <f>nonmare!$I583</f>
        <v>0.15249994649285736</v>
      </c>
      <c r="G4" s="3">
        <f>nonmare!$I589</f>
        <v>0.56503629230403207</v>
      </c>
      <c r="H4" s="3">
        <f>nonmare!$I595</f>
        <v>0.14394014032116265</v>
      </c>
      <c r="I4" s="3">
        <f>nonmare!$I601</f>
        <v>0.21263633651607972</v>
      </c>
      <c r="J4" s="3">
        <f t="shared" ref="J4:J15" si="3">AVERAGE(H4:I4)</f>
        <v>0.17828823841862118</v>
      </c>
      <c r="K4" s="3">
        <f>nonmare!$I294</f>
        <v>0.28392659493520683</v>
      </c>
      <c r="L4" s="3">
        <f>nonmare!$I114</f>
        <v>0.23742434612709523</v>
      </c>
      <c r="M4" s="3">
        <f>nonmare!$I84</f>
        <v>0.21816232289134785</v>
      </c>
      <c r="N4" s="3">
        <f>nonmare!$I525</f>
        <v>0.1712840937509047</v>
      </c>
      <c r="O4" s="3">
        <f>nonmare!$I531</f>
        <v>0.18703343604768907</v>
      </c>
      <c r="P4" s="3">
        <v>0.18</v>
      </c>
      <c r="Q4" s="3">
        <f>nonmare!$I283</f>
        <v>0.4950379090235828</v>
      </c>
      <c r="R4" s="3">
        <f>nonhighlands!$F94</f>
        <v>0.65227194509504449</v>
      </c>
      <c r="S4" s="3">
        <f>nonhighlands!$F83</f>
        <v>0.58679080000000006</v>
      </c>
      <c r="T4" s="3">
        <f t="shared" ref="T4:T68" si="4">(R4*30.7+S4*52.97)/83.67</f>
        <v>0.61081698805327911</v>
      </c>
      <c r="U4" s="3">
        <f>nonhighlands!$F105</f>
        <v>0.69460071428571424</v>
      </c>
      <c r="V4" s="3">
        <f>nonhighlands!$F293</f>
        <v>1.5329604939101393</v>
      </c>
      <c r="W4" s="3">
        <f>nonhighlands!$F47</f>
        <v>0.76099073351503321</v>
      </c>
      <c r="X4" s="3">
        <f>nonhighlands!$F64</f>
        <v>0.69069329759069142</v>
      </c>
      <c r="Y4" s="38">
        <f t="shared" ref="Y4:Y15" si="5">(W4*W$85+X4*X$85)/Y$85</f>
        <v>0.71648666776969572</v>
      </c>
      <c r="Z4" s="3">
        <f>nonhighlands!$F210</f>
        <v>2.1475110625</v>
      </c>
      <c r="AA4" s="3">
        <f>nonhighlands!$F196</f>
        <v>2.4177701699999998</v>
      </c>
      <c r="AB4" s="3">
        <f>nonhighlands!$F334</f>
        <v>1.4872789698451476</v>
      </c>
      <c r="AC4" s="3">
        <f>nonhighlands!$F159</f>
        <v>3.2278114076521831</v>
      </c>
      <c r="AE4" s="3">
        <f>nonhighlands!$F12</f>
        <v>0.78613977085485698</v>
      </c>
      <c r="AI4" s="3">
        <f>nonmare!$I157</f>
        <v>0.20575323135015058</v>
      </c>
      <c r="AJ4" s="3">
        <f>nonmare!$I170</f>
        <v>0.16337664700204088</v>
      </c>
      <c r="AK4" s="3">
        <f>nonmare!$I490</f>
        <v>0.27</v>
      </c>
      <c r="AL4" s="3">
        <f>nonhighlands!$F342</f>
        <v>0.50222832490603586</v>
      </c>
      <c r="AM4" s="3">
        <f>nonmare!$I441</f>
        <v>0.25565883719956695</v>
      </c>
      <c r="AN4" s="3">
        <f>nonhighlands!$F303</f>
        <v>1.32</v>
      </c>
      <c r="AO4" s="3">
        <f>nonhighlands!$F308</f>
        <v>1.7440695704098745</v>
      </c>
      <c r="AP4" s="3">
        <f>nonhighlands!$F119</f>
        <v>3.0990937670108734</v>
      </c>
      <c r="AQ4" s="3">
        <f>nonmare!$I265</f>
        <v>0.17099626240818011</v>
      </c>
      <c r="AR4" s="3">
        <f>nonmare!$I274</f>
        <v>0.16423503578452939</v>
      </c>
      <c r="AS4" s="3">
        <f>nonhighlands!$F232</f>
        <v>0.83899709800654798</v>
      </c>
      <c r="AT4" s="3">
        <f>nonhighlands!$F313</f>
        <v>0.67679035713990676</v>
      </c>
      <c r="AU4" s="117">
        <f>nonmare!$I475</f>
        <v>0.10980138898369951</v>
      </c>
      <c r="AV4" s="3">
        <f>nonhighlands!$F298</f>
        <v>1.2308267422253072</v>
      </c>
      <c r="AW4" s="3">
        <f>nonmare!$I463</f>
        <v>0.19097040358723041</v>
      </c>
      <c r="AX4" s="3">
        <f>nonhighlands!$F347</f>
        <v>1.2795342621221817</v>
      </c>
      <c r="AY4" s="3">
        <f>nonhighlands!$F366</f>
        <v>3.2475345794329566</v>
      </c>
      <c r="AZ4" s="3">
        <f>nonmare!$I513</f>
        <v>0.3529746152041473</v>
      </c>
      <c r="BA4" s="3">
        <f>nonhighlands!$F380</f>
        <v>0.61438174270334289</v>
      </c>
      <c r="BB4" s="3">
        <f>nonhighlands!$F374</f>
        <v>2.3238358336059024</v>
      </c>
      <c r="BC4" s="6">
        <f>nonmare!$I507</f>
        <v>0.33894561487236619</v>
      </c>
      <c r="BD4" s="3">
        <f>nonmare!$I519</f>
        <v>0.73719771290398017</v>
      </c>
      <c r="BE4" s="3">
        <f>nonmare!$I566</f>
        <v>0.37898665681762639</v>
      </c>
      <c r="BF4" s="3">
        <f>nonhighlands!$F319</f>
        <v>0.7250877721849065</v>
      </c>
      <c r="BG4" s="3">
        <f>nonhighlands!$F324</f>
        <v>0.52477084627375015</v>
      </c>
      <c r="BH4" s="3">
        <f>nonmare!$I572</f>
        <v>0.15321977003895107</v>
      </c>
      <c r="BI4" s="3" t="e">
        <f>nonmare!$I622</f>
        <v>#DIV/0!</v>
      </c>
      <c r="BJ4" s="3" t="e">
        <f>nonmare!$I627</f>
        <v>#DIV/0!</v>
      </c>
      <c r="BK4" s="3" t="e">
        <f>nonmare!$I632</f>
        <v>#DIV/0!</v>
      </c>
      <c r="BL4" s="3" t="e">
        <f>nonmare!$I637</f>
        <v>#DIV/0!</v>
      </c>
      <c r="BM4" s="3" t="e">
        <f>nonmare!$I642</f>
        <v>#DIV/0!</v>
      </c>
      <c r="BN4" s="3">
        <f>nonhighlands!$F252</f>
        <v>0.90975181996167809</v>
      </c>
      <c r="BO4" s="3">
        <f>nonhighlands!$F257</f>
        <v>0.80597316329879276</v>
      </c>
      <c r="BP4" s="49">
        <f t="shared" ref="BP4:BP13" si="6">AVERAGE(BN4:BO4)</f>
        <v>0.85786249163023542</v>
      </c>
      <c r="BQ4" s="3">
        <f>nonhighlands!$F219</f>
        <v>0.86991624031148251</v>
      </c>
      <c r="BR4" s="3">
        <f>nonhighlands!$F227</f>
        <v>0.34166666666666662</v>
      </c>
      <c r="BS4" s="3"/>
      <c r="BT4" s="3">
        <f>nonhighlands!$F237</f>
        <v>0.31956762054495313</v>
      </c>
      <c r="BU4" s="3">
        <f>nonhighlands!$F267</f>
        <v>0.39182615718035002</v>
      </c>
      <c r="BV4" s="49">
        <f t="shared" ref="BV4:BV13" si="7">AVERAGE(BR4:BU4)</f>
        <v>0.35102014813065657</v>
      </c>
      <c r="BW4" s="3">
        <f>nonhighlands!$F352</f>
        <v>0.49025846457395583</v>
      </c>
      <c r="BX4" s="3"/>
      <c r="BY4" s="3"/>
      <c r="BZ4" s="3">
        <f>nonmare!$I194</f>
        <v>0.28355252451629809</v>
      </c>
      <c r="CA4" s="3">
        <f>nonmare!$I235</f>
        <v>0.19384671813828039</v>
      </c>
      <c r="CB4" s="3">
        <f t="shared" si="0"/>
        <v>0.13162848107333497</v>
      </c>
      <c r="CC4" s="3">
        <f>nonhighlands!$F275</f>
        <v>2.7599285814391918</v>
      </c>
      <c r="CD4" s="3">
        <f>nonmare!$I322</f>
        <v>0.18202069750848782</v>
      </c>
      <c r="CE4" s="49">
        <f t="shared" si="1"/>
        <v>0.11940801456089585</v>
      </c>
      <c r="CF4" s="3">
        <f>nonmare!$I436</f>
        <v>0.30514495938404207</v>
      </c>
      <c r="CG4" s="6">
        <f t="shared" ref="CG4:CG15" si="8">(34.05*EL4+90*EM4)/(34.05+90)</f>
        <v>0.20367908118058578</v>
      </c>
      <c r="CH4" s="6">
        <f t="shared" ref="CH4:CH9" si="9">CG4*CH$1</f>
        <v>0.21104735059013308</v>
      </c>
      <c r="CI4" s="3">
        <f>nonhighlands!$F30</f>
        <v>0.72984474857329462</v>
      </c>
      <c r="CJ4" s="3">
        <f>nonmare!$I470</f>
        <v>0.18940198201218794</v>
      </c>
      <c r="CK4" s="3">
        <f>nonmare!$I485</f>
        <v>0.30571851015823071</v>
      </c>
      <c r="CL4" s="6">
        <f>nonhighlands!$F176</f>
        <v>0.31647127186466112</v>
      </c>
      <c r="CM4" s="3">
        <f>nonhighlands!$F164</f>
        <v>0.62313084242166139</v>
      </c>
      <c r="CN4" s="3">
        <f t="shared" ref="CN4:CN15" si="10">(CL4*84.4+CM4*21.6)/106</f>
        <v>0.37896039190269137</v>
      </c>
      <c r="CO4" s="3">
        <f>nonhighlands!$F386</f>
        <v>2.7478834982603142</v>
      </c>
      <c r="CP4" s="116">
        <f>nonmare!$I607</f>
        <v>0.25014333575172243</v>
      </c>
      <c r="CQ4" s="116">
        <f>nonmare!$I612</f>
        <v>0.25162223953307927</v>
      </c>
      <c r="CR4" s="116" t="e">
        <f>nonmare!$I627</f>
        <v>#DIV/0!</v>
      </c>
      <c r="CS4" s="3">
        <f>nonmare!$I480</f>
        <v>0.27248578202515433</v>
      </c>
      <c r="CT4" s="3">
        <f>nonmare!$I501</f>
        <v>0.2965455881784394</v>
      </c>
      <c r="CU4" s="116">
        <f>nonmare!$I561</f>
        <v>0.30588828501341969</v>
      </c>
      <c r="CV4" s="3">
        <f>nonmare!$I301</f>
        <v>2.2527354137635172</v>
      </c>
      <c r="CW4" s="3">
        <f>nonmare!$I307</f>
        <v>2.5126455567493737</v>
      </c>
      <c r="CX4" s="116">
        <f>nonmare!$I537</f>
        <v>0.16852438921081281</v>
      </c>
      <c r="CY4" s="3">
        <f>nonmare!$I543</f>
        <v>0.21138793441344825</v>
      </c>
      <c r="CZ4" s="116">
        <f>nonmare!$I555</f>
        <v>0.16066220422976921</v>
      </c>
      <c r="DA4" s="116">
        <f>nonmare!$I549</f>
        <v>0.19216145299106868</v>
      </c>
      <c r="DE4"/>
      <c r="DV4" s="3">
        <f>nonmare!$I328</f>
        <v>0.12330660914228417</v>
      </c>
      <c r="DW4" s="3">
        <f>nonmare!$I334</f>
        <v>0.11902107408454649</v>
      </c>
      <c r="DX4" s="3">
        <f>nonmare!$I340</f>
        <v>0.12974713267289856</v>
      </c>
      <c r="DY4" s="3">
        <f>nonmare!$I346</f>
        <v>0.09</v>
      </c>
      <c r="DZ4" s="3">
        <f>nonmare!$I366</f>
        <v>0.12867938271053825</v>
      </c>
      <c r="EA4" s="3">
        <f>nonmare!$I374</f>
        <v>0.11459500144476681</v>
      </c>
      <c r="EB4" s="3">
        <f>nonmare!$I381</f>
        <v>0.13</v>
      </c>
      <c r="EC4" s="3">
        <f>nonmare!$I358</f>
        <v>0.11647694988758765</v>
      </c>
      <c r="ED4" s="3">
        <f>nonmare!$I388</f>
        <v>0.17</v>
      </c>
      <c r="EE4" s="3">
        <f>nonmare!$I395</f>
        <v>0.14000000000000001</v>
      </c>
      <c r="EF4" s="3">
        <f>nonmare!$I400</f>
        <v>0.1233287798127092</v>
      </c>
      <c r="EG4" s="3"/>
      <c r="EH4" s="3">
        <f>nonmare!$I405</f>
        <v>0.11541275491378661</v>
      </c>
      <c r="EI4" s="3">
        <f>nonmare!$I411</f>
        <v>0.05</v>
      </c>
      <c r="EJ4" s="3">
        <f>nonmare!$I416</f>
        <v>0.12114451918342392</v>
      </c>
      <c r="EK4" s="3"/>
      <c r="EL4" s="3">
        <f>nonmare!$I426</f>
        <v>0.19687272699287722</v>
      </c>
      <c r="EM4" s="3">
        <f>nonmare!$I431</f>
        <v>0.20625415184826887</v>
      </c>
      <c r="EQ4" s="3">
        <f>nonmare!$I179</f>
        <v>0.29456086973517542</v>
      </c>
      <c r="ER4" s="3">
        <f>nonmare!$I186</f>
        <v>0.27104015833857487</v>
      </c>
      <c r="ES4" s="3">
        <f>nonmare!$I192</f>
        <v>0.26352281419901741</v>
      </c>
      <c r="ET4" s="3">
        <f>nonmare!$I243</f>
        <v>0.12314538795768742</v>
      </c>
      <c r="EU4" s="3">
        <f>nonmare!$I249</f>
        <v>0.18907151421165572</v>
      </c>
      <c r="EV4" s="3">
        <f>nonmare!$I254</f>
        <v>8.2668541050661737E-2</v>
      </c>
      <c r="EW4" s="3">
        <v>0.33858578311951337</v>
      </c>
      <c r="EX4" s="3"/>
      <c r="EY4" s="3"/>
      <c r="FD4" s="32">
        <v>2.2527354137635172</v>
      </c>
      <c r="FH4" s="3">
        <f>nonmare!$I447</f>
        <v>0.18762737336995891</v>
      </c>
      <c r="FI4" s="324">
        <f t="shared" ref="FI4:FI9" si="11">FH4</f>
        <v>0.18762737336995891</v>
      </c>
      <c r="FJ4" s="324">
        <f t="shared" si="2"/>
        <v>0.22357123651949709</v>
      </c>
    </row>
    <row r="5" spans="1:167" s="30" customFormat="1" ht="10.5" customHeight="1" x14ac:dyDescent="0.2">
      <c r="A5" s="61" t="s">
        <v>150</v>
      </c>
      <c r="B5" s="6">
        <f>nonmare!$J11</f>
        <v>25.810192393612429</v>
      </c>
      <c r="C5" s="6">
        <f>nonmare!$J131</f>
        <v>28.882200024464737</v>
      </c>
      <c r="D5" s="6">
        <f>nonmare!$J31</f>
        <v>26.778914110753515</v>
      </c>
      <c r="E5" s="6">
        <f>nonmare!$J577</f>
        <v>27.224979594475691</v>
      </c>
      <c r="F5" s="6">
        <f>nonmare!$J583</f>
        <v>30.998807636404106</v>
      </c>
      <c r="G5" s="6">
        <f>nonmare!$J589</f>
        <v>27.091250412267833</v>
      </c>
      <c r="H5" s="6">
        <f>nonmare!$J595</f>
        <v>31.261080510766156</v>
      </c>
      <c r="I5" s="6">
        <f>nonmare!$J601</f>
        <v>29.800456567328407</v>
      </c>
      <c r="J5" s="6">
        <f t="shared" si="3"/>
        <v>30.53076853904728</v>
      </c>
      <c r="K5" s="6">
        <f>nonmare!$J294</f>
        <v>26.210934626256279</v>
      </c>
      <c r="L5" s="6">
        <f>nonmare!$J114</f>
        <v>28.72645</v>
      </c>
      <c r="M5" s="6">
        <f>nonmare!$J84</f>
        <v>28.030696790090825</v>
      </c>
      <c r="N5" s="6">
        <f>nonmare!$J525</f>
        <v>28.840131294192211</v>
      </c>
      <c r="O5" s="6">
        <f>nonmare!$J531</f>
        <v>29.84374789143779</v>
      </c>
      <c r="P5" s="6">
        <v>27.44</v>
      </c>
      <c r="Q5" s="6">
        <f>nonmare!$J283</f>
        <v>22.30960627980074</v>
      </c>
      <c r="R5" s="6">
        <f>nonhighlands!$G94</f>
        <v>18.381259705439721</v>
      </c>
      <c r="S5" s="6">
        <f>nonhighlands!$G83</f>
        <v>15.506830571209509</v>
      </c>
      <c r="T5" s="6">
        <f t="shared" si="4"/>
        <v>16.561509361945344</v>
      </c>
      <c r="U5" s="6">
        <f>nonhighlands!$G105</f>
        <v>16.032621428571428</v>
      </c>
      <c r="V5" s="6">
        <f>nonhighlands!$G293</f>
        <v>16.614495868826278</v>
      </c>
      <c r="W5" s="6">
        <f>nonhighlands!$G47</f>
        <v>14.482576608072321</v>
      </c>
      <c r="X5" s="6">
        <f>nonhighlands!$G64</f>
        <v>12.657929320234656</v>
      </c>
      <c r="Y5" s="38">
        <f t="shared" si="5"/>
        <v>13.327424620062745</v>
      </c>
      <c r="Z5" s="6">
        <f>nonhighlands!$G210</f>
        <v>11.240745069091139</v>
      </c>
      <c r="AA5" s="6">
        <f>nonhighlands!$G196</f>
        <v>10.221081760708044</v>
      </c>
      <c r="AB5" s="6">
        <f>nonhighlands!$G334</f>
        <v>9.4931901352778478</v>
      </c>
      <c r="AC5" s="6">
        <f>nonhighlands!$G159</f>
        <v>9.8613210797197137</v>
      </c>
      <c r="AE5" s="6">
        <f>nonhighlands!$G12</f>
        <v>20.675754270820285</v>
      </c>
      <c r="AI5" s="6">
        <f>nonmare!$J157</f>
        <v>28.381071350454118</v>
      </c>
      <c r="AJ5" s="6">
        <f>nonmare!$J170</f>
        <v>28.651428992236099</v>
      </c>
      <c r="AK5" s="6">
        <f>nonmare!$J490</f>
        <v>28.175863691580247</v>
      </c>
      <c r="AL5" s="6">
        <f>nonhighlands!$G342</f>
        <v>13.826273631599301</v>
      </c>
      <c r="AM5" s="6">
        <f>nonmare!$J441</f>
        <v>26.754095772862019</v>
      </c>
      <c r="AN5" s="6">
        <f>nonhighlands!$G303</f>
        <v>8.02</v>
      </c>
      <c r="AO5" s="6">
        <f>nonhighlands!$G308</f>
        <v>4.3959412065005807</v>
      </c>
      <c r="AP5" s="6">
        <f>nonhighlands!$G119</f>
        <v>9.1878806800923787</v>
      </c>
      <c r="AQ5" s="6">
        <f>nonmare!$J265</f>
        <v>29.679169661949047</v>
      </c>
      <c r="AR5" s="6">
        <f>nonmare!$J274</f>
        <v>29.924261039888655</v>
      </c>
      <c r="AS5" s="6">
        <f>nonhighlands!$G232</f>
        <v>6.754662782094087</v>
      </c>
      <c r="AT5" s="6">
        <f>nonhighlands!$G313</f>
        <v>20.650011035095041</v>
      </c>
      <c r="AU5" s="116">
        <f>nonmare!$J475</f>
        <v>31.762384625213137</v>
      </c>
      <c r="AV5" s="6">
        <f>nonhighlands!$G298</f>
        <v>13.855239203508166</v>
      </c>
      <c r="AW5" s="116">
        <f>nonmare!$J463</f>
        <v>27.502486133431255</v>
      </c>
      <c r="AX5" s="6">
        <f>nonhighlands!$G347</f>
        <v>17.782714323645195</v>
      </c>
      <c r="AY5" s="6">
        <f>nonhighlands!$G366</f>
        <v>9.7949487196412139</v>
      </c>
      <c r="AZ5" s="6">
        <f>nonmare!$J513</f>
        <v>22.092882549725285</v>
      </c>
      <c r="BA5" s="6">
        <f>nonhighlands!$G380</f>
        <v>16.57507160458691</v>
      </c>
      <c r="BB5" s="6">
        <f>nonhighlands!$G374</f>
        <v>12.40090512583269</v>
      </c>
      <c r="BC5" s="6">
        <f>nonmare!$J507</f>
        <v>21.770304130592475</v>
      </c>
      <c r="BD5" s="6">
        <f>nonmare!$J519</f>
        <v>25.193902045239881</v>
      </c>
      <c r="BE5" s="6">
        <f>nonmare!$J566</f>
        <v>25.896005097812434</v>
      </c>
      <c r="BF5" s="6">
        <f>nonhighlands!$G319</f>
        <v>17.265146277990471</v>
      </c>
      <c r="BG5" s="6">
        <f>nonhighlands!$G324</f>
        <v>23.894610307645628</v>
      </c>
      <c r="BH5" s="6">
        <f>nonmare!$J572</f>
        <v>22.828616572479255</v>
      </c>
      <c r="BI5" s="6" t="e">
        <f>nonmare!$J622</f>
        <v>#DIV/0!</v>
      </c>
      <c r="BJ5" s="6" t="e">
        <f>nonmare!$J627</f>
        <v>#DIV/0!</v>
      </c>
      <c r="BK5" s="6" t="e">
        <f>nonmare!$J632</f>
        <v>#DIV/0!</v>
      </c>
      <c r="BL5" s="6" t="e">
        <f>nonmare!$J637</f>
        <v>#DIV/0!</v>
      </c>
      <c r="BM5" s="6" t="e">
        <f>nonmare!$J642</f>
        <v>#DIV/0!</v>
      </c>
      <c r="BN5" s="6">
        <f>nonhighlands!$G252</f>
        <v>8.5324614226295026</v>
      </c>
      <c r="BO5" s="6">
        <f>nonhighlands!$G257</f>
        <v>7.6843841287578467</v>
      </c>
      <c r="BP5" s="38">
        <f t="shared" si="6"/>
        <v>8.1084227756936755</v>
      </c>
      <c r="BQ5" s="6">
        <f>nonhighlands!$G219</f>
        <v>8.4664788018424435</v>
      </c>
      <c r="BR5" s="6">
        <f>nonhighlands!$G227</f>
        <v>4.6966666666666663</v>
      </c>
      <c r="BS5" s="6"/>
      <c r="BT5" s="6">
        <f>nonhighlands!$G237</f>
        <v>5.4193801924551543</v>
      </c>
      <c r="BU5" s="6">
        <f>nonhighlands!$G267</f>
        <v>4.0356957347044968</v>
      </c>
      <c r="BV5" s="38">
        <f t="shared" si="7"/>
        <v>4.7172475312754392</v>
      </c>
      <c r="BW5" s="6">
        <f>nonhighlands!$G352</f>
        <v>19.039234334870617</v>
      </c>
      <c r="BX5" s="6"/>
      <c r="BY5" s="6"/>
      <c r="BZ5" s="6">
        <f>nonmare!$J194</f>
        <v>27.159046454215275</v>
      </c>
      <c r="CA5" s="6">
        <f>nonmare!$J235</f>
        <v>29.303553952966759</v>
      </c>
      <c r="CB5" s="6">
        <f t="shared" si="0"/>
        <v>31.704491519240047</v>
      </c>
      <c r="CC5" s="6">
        <f>nonhighlands!$G275</f>
        <v>8.5960972799029918</v>
      </c>
      <c r="CD5" s="6">
        <f>nonmare!$J322</f>
        <v>30.221497120036261</v>
      </c>
      <c r="CE5" s="38">
        <f t="shared" si="1"/>
        <v>28.629654474542267</v>
      </c>
      <c r="CF5" s="116">
        <f>nonmare!$J436</f>
        <v>29.145261505375586</v>
      </c>
      <c r="CG5" s="6">
        <f t="shared" si="8"/>
        <v>28.480019198304742</v>
      </c>
      <c r="CH5" s="6">
        <f t="shared" si="9"/>
        <v>29.510308872756546</v>
      </c>
      <c r="CI5" s="6">
        <f>nonhighlands!$G30</f>
        <v>23.070976373984905</v>
      </c>
      <c r="CJ5" s="6">
        <f>nonmare!$J470</f>
        <v>29.022815751468578</v>
      </c>
      <c r="CK5" s="116">
        <f>nonmare!$J485</f>
        <v>27.904992056323859</v>
      </c>
      <c r="CL5" s="7">
        <f>nonhighlands!$G176</f>
        <v>22.573108543572669</v>
      </c>
      <c r="CM5" s="6">
        <f>nonhighlands!$G164</f>
        <v>17.851371253952543</v>
      </c>
      <c r="CN5" s="6">
        <f t="shared" si="10"/>
        <v>21.610943209084041</v>
      </c>
      <c r="CO5" s="6">
        <f>nonhighlands!$G386</f>
        <v>13.614489611856319</v>
      </c>
      <c r="CP5" s="116">
        <f>nonmare!$J607</f>
        <v>24.538774812845542</v>
      </c>
      <c r="CQ5" s="116">
        <f>nonmare!$J612</f>
        <v>24.391518417334396</v>
      </c>
      <c r="CR5" s="116" t="e">
        <f>nonmare!$J627</f>
        <v>#DIV/0!</v>
      </c>
      <c r="CS5" s="116">
        <f>nonmare!$J480</f>
        <v>27.656193600426029</v>
      </c>
      <c r="CT5" s="6">
        <f>nonmare!$J501</f>
        <v>23.281923876436693</v>
      </c>
      <c r="CU5" s="248">
        <f>nonmare!$J561</f>
        <v>22.99973922462981</v>
      </c>
      <c r="CV5" s="6">
        <f>nonmare!$J301</f>
        <v>15.531553082188861</v>
      </c>
      <c r="CW5" s="6">
        <f>nonmare!$J307</f>
        <v>17.174365428224725</v>
      </c>
      <c r="CX5" s="116">
        <f>nonmare!$J537</f>
        <v>30.007064688896037</v>
      </c>
      <c r="CY5" s="6">
        <f>nonmare!$J543</f>
        <v>25.18468626105615</v>
      </c>
      <c r="CZ5" s="116">
        <f>nonmare!$J555</f>
        <v>30.757518638266728</v>
      </c>
      <c r="DA5" s="116">
        <f>nonmare!$J549</f>
        <v>29.316807792325708</v>
      </c>
      <c r="DE5"/>
      <c r="DM5" s="30">
        <v>25.76322616110172</v>
      </c>
      <c r="DN5" s="30">
        <v>27.500425437260702</v>
      </c>
      <c r="DO5" s="30">
        <v>27.505689024943212</v>
      </c>
      <c r="DP5" s="30">
        <v>28.246727843741539</v>
      </c>
      <c r="DQ5" s="30">
        <v>28.668418938349518</v>
      </c>
      <c r="DR5" s="30">
        <v>26.875326697949863</v>
      </c>
      <c r="DS5" s="30">
        <v>26.852939791503861</v>
      </c>
      <c r="DT5" s="30">
        <v>27.7</v>
      </c>
      <c r="DU5" s="30">
        <v>29.8</v>
      </c>
      <c r="DV5" s="6">
        <f>nonmare!$J328</f>
        <v>26.62735519437642</v>
      </c>
      <c r="DW5" s="6">
        <f>nonmare!$J334</f>
        <v>28.318628754376022</v>
      </c>
      <c r="DX5" s="6">
        <f>nonmare!$J340</f>
        <v>27.831915319348678</v>
      </c>
      <c r="DY5" s="6">
        <f>nonmare!$J346</f>
        <v>30.8</v>
      </c>
      <c r="DZ5" s="6">
        <f>nonmare!$J366</f>
        <v>27.880366318161514</v>
      </c>
      <c r="EA5" s="6">
        <f>nonmare!$J374</f>
        <v>28.433622646102513</v>
      </c>
      <c r="EB5" s="6">
        <f>nonmare!$J381</f>
        <v>29.9</v>
      </c>
      <c r="EC5" s="6">
        <f>nonmare!$J358</f>
        <v>27.867742751892354</v>
      </c>
      <c r="ED5" s="6">
        <f>nonmare!$J388</f>
        <v>27.6</v>
      </c>
      <c r="EE5" s="6">
        <f>nonmare!$J395</f>
        <v>28.2</v>
      </c>
      <c r="EF5" s="6">
        <f>nonmare!$J400</f>
        <v>28.123159166477457</v>
      </c>
      <c r="EG5" s="6"/>
      <c r="EH5" s="6">
        <f>nonmare!$J405</f>
        <v>28.482362469217254</v>
      </c>
      <c r="EI5" s="6">
        <f>nonmare!$J411</f>
        <v>33.1</v>
      </c>
      <c r="EJ5" s="6">
        <f>nonmare!$J416</f>
        <v>27.65001002363946</v>
      </c>
      <c r="EK5" s="6"/>
      <c r="EL5" s="116">
        <f>nonmare!$J426</f>
        <v>28.030556880062022</v>
      </c>
      <c r="EM5" s="116">
        <f>nonmare!$J431</f>
        <v>28.650065775373243</v>
      </c>
      <c r="EQ5" s="6">
        <f>nonmare!$J179</f>
        <v>27.192989944624188</v>
      </c>
      <c r="ER5" s="6">
        <f>nonmare!$J186</f>
        <v>27.473428572645282</v>
      </c>
      <c r="ES5" s="6">
        <f>nonmare!$J192</f>
        <v>27.69728234887566</v>
      </c>
      <c r="ET5" s="6">
        <f>nonmare!$J243</f>
        <v>31.649303216720039</v>
      </c>
      <c r="EU5" s="6">
        <f>nonmare!$J249</f>
        <v>30.446343619230781</v>
      </c>
      <c r="EV5" s="116">
        <f>nonmare!$J254</f>
        <v>33.017827721769322</v>
      </c>
      <c r="EW5" s="6">
        <v>26.734208347029945</v>
      </c>
      <c r="EX5" s="6"/>
      <c r="EY5" s="6"/>
      <c r="FD5" s="30">
        <v>15.531553082188861</v>
      </c>
      <c r="FH5" s="116">
        <f>nonmare!$J447</f>
        <v>27.168304316996728</v>
      </c>
      <c r="FI5" s="323">
        <f t="shared" si="11"/>
        <v>27.168304316996728</v>
      </c>
      <c r="FJ5" s="323">
        <f t="shared" si="2"/>
        <v>32.372949006285388</v>
      </c>
    </row>
    <row r="6" spans="1:167" ht="11.1" customHeight="1" x14ac:dyDescent="0.2">
      <c r="A6" s="1" t="s">
        <v>151</v>
      </c>
      <c r="B6" s="6">
        <f>nonmare!$K11</f>
        <v>0.12902209783815002</v>
      </c>
      <c r="C6" s="6">
        <f>nonmare!$K131</f>
        <v>8.3600599312839002E-2</v>
      </c>
      <c r="D6" s="6">
        <f>nonmare!$K31</f>
        <v>0.12817515020172912</v>
      </c>
      <c r="E6" s="6">
        <f>nonmare!$K577</f>
        <v>0.12319701678332676</v>
      </c>
      <c r="F6" s="6">
        <f>nonmare!$K583</f>
        <v>6.923076070050066E-2</v>
      </c>
      <c r="G6" s="6">
        <f>nonmare!$K589</f>
        <v>9.6130378647103248E-2</v>
      </c>
      <c r="H6" s="6">
        <f>nonmare!$K595</f>
        <v>6.3343444523749695E-2</v>
      </c>
      <c r="I6" s="6">
        <f>nonmare!$K601</f>
        <v>7.5648247866440116E-2</v>
      </c>
      <c r="J6" s="6">
        <f t="shared" si="3"/>
        <v>6.9495846195094912E-2</v>
      </c>
      <c r="K6" s="6">
        <f>nonmare!$K294</f>
        <v>0.1412758646860755</v>
      </c>
      <c r="L6" s="6">
        <f>nonmare!$K114</f>
        <v>9.2661020223713628E-2</v>
      </c>
      <c r="M6" s="6">
        <f>nonmare!$K84</f>
        <v>0.1052118191443492</v>
      </c>
      <c r="N6" s="6">
        <f>nonmare!$K525</f>
        <v>8.0963686357614306E-2</v>
      </c>
      <c r="O6" s="6">
        <f>nonmare!$K531</f>
        <v>8.1442661042345252E-2</v>
      </c>
      <c r="P6" s="6">
        <v>6.2E-2</v>
      </c>
      <c r="Q6" s="6">
        <f>nonmare!$K283</f>
        <v>0.20071901516035034</v>
      </c>
      <c r="R6" s="6">
        <f>nonhighlands!$H94</f>
        <v>0.26705596347660454</v>
      </c>
      <c r="S6" s="6">
        <f>nonhighlands!$H83</f>
        <v>0.29944222892706535</v>
      </c>
      <c r="T6" s="6">
        <f t="shared" si="4"/>
        <v>0.28755913642880854</v>
      </c>
      <c r="U6" s="6">
        <f>nonhighlands!$H105</f>
        <v>0.26122169142857149</v>
      </c>
      <c r="V6" s="6">
        <f>nonhighlands!$H293</f>
        <v>0.22115280462891404</v>
      </c>
      <c r="W6" s="6">
        <f>nonhighlands!$H47</f>
        <v>0.25764730157665106</v>
      </c>
      <c r="X6" s="6">
        <f>nonhighlands!$H64</f>
        <v>0.28037549398875922</v>
      </c>
      <c r="Y6" s="38">
        <f t="shared" si="5"/>
        <v>0.27203611897917729</v>
      </c>
      <c r="Z6" s="6">
        <f>nonhighlands!$H210</f>
        <v>0.23800556177033494</v>
      </c>
      <c r="AA6" s="6">
        <f>nonhighlands!$H196</f>
        <v>0.29149580000000003</v>
      </c>
      <c r="AB6" s="6">
        <f>nonhighlands!$H334</f>
        <v>0.3135463002466658</v>
      </c>
      <c r="AC6" s="6">
        <f>nonhighlands!$H159</f>
        <v>0.30178731686944726</v>
      </c>
      <c r="AE6" s="6">
        <f>nonhighlands!$H12</f>
        <v>0.18402447046775211</v>
      </c>
      <c r="AI6" s="6">
        <f>nonmare!$K157</f>
        <v>9.3131129052111392E-2</v>
      </c>
      <c r="AJ6" s="6">
        <f>nonmare!$K170</f>
        <v>7.4609244289561588E-2</v>
      </c>
      <c r="AK6" s="6">
        <f>nonmare!$K490</f>
        <v>0.10456889703549062</v>
      </c>
      <c r="AL6" s="6">
        <f>nonhighlands!$H342</f>
        <v>0.40504376287344512</v>
      </c>
      <c r="AM6" s="6">
        <f>nonmare!$K441</f>
        <v>0.11776801826139946</v>
      </c>
      <c r="AN6" s="6">
        <f>nonhighlands!$H303</f>
        <v>0.52</v>
      </c>
      <c r="AO6" s="6">
        <f>nonhighlands!$H308</f>
        <v>0.50830312876539308</v>
      </c>
      <c r="AP6" s="6">
        <f>nonhighlands!$H119</f>
        <v>0.3936152708511001</v>
      </c>
      <c r="AQ6" s="6">
        <f>nonmare!$K265</f>
        <v>7.5165848577834912E-2</v>
      </c>
      <c r="AR6" s="6">
        <f>nonmare!$K274</f>
        <v>7.2032533420949688E-2</v>
      </c>
      <c r="AS6" s="6">
        <f>nonhighlands!$H232</f>
        <v>0.50425933152654046</v>
      </c>
      <c r="AT6" s="6">
        <f>nonhighlands!$H313</f>
        <v>0.23013544607559705</v>
      </c>
      <c r="AU6" s="116">
        <f>nonmare!$K475</f>
        <v>5.1992604676576931E-2</v>
      </c>
      <c r="AV6" s="6">
        <f>nonhighlands!$H298</f>
        <v>0.41966646946965214</v>
      </c>
      <c r="AW6" s="6">
        <f>nonmare!$K463</f>
        <v>0.14265096230975194</v>
      </c>
      <c r="AX6" s="6">
        <f>nonhighlands!$H347</f>
        <v>0.22943476122638654</v>
      </c>
      <c r="AY6" s="6">
        <f>nonhighlands!$H366</f>
        <v>0.32320147144821626</v>
      </c>
      <c r="AZ6" s="6">
        <f>nonmare!$K513</f>
        <v>0.2055827452799483</v>
      </c>
      <c r="BA6" s="6">
        <f>nonhighlands!$H380</f>
        <v>0.29986811294700494</v>
      </c>
      <c r="BB6" s="6">
        <f>nonhighlands!$H374</f>
        <v>0.44192730074609993</v>
      </c>
      <c r="BC6" s="6">
        <f>nonmare!$K507</f>
        <v>0.21939704196512566</v>
      </c>
      <c r="BD6" s="6">
        <f>nonmare!$K519</f>
        <v>0.11768002770490918</v>
      </c>
      <c r="BE6" s="6">
        <f>nonmare!$K566</f>
        <v>0.11428837353115727</v>
      </c>
      <c r="BF6" s="6">
        <f>nonhighlands!$H319</f>
        <v>0.28694041738435799</v>
      </c>
      <c r="BG6" s="6">
        <f>nonhighlands!$H324</f>
        <v>0.1556555255120399</v>
      </c>
      <c r="BH6" s="6">
        <f>nonmare!$K572</f>
        <v>0.15302952</v>
      </c>
      <c r="BI6" s="6">
        <f>nonmare!$K622</f>
        <v>0.10772382544887624</v>
      </c>
      <c r="BJ6" s="6">
        <f>nonmare!$K627</f>
        <v>8.7785824575754151E-2</v>
      </c>
      <c r="BK6" s="6">
        <f>nonmare!$K632</f>
        <v>0.10658577267595033</v>
      </c>
      <c r="BL6" s="6">
        <f>nonmare!$K637</f>
        <v>0.1317294929062178</v>
      </c>
      <c r="BM6" s="6">
        <f>nonmare!$K642</f>
        <v>9.8829963393908371E-2</v>
      </c>
      <c r="BN6" s="6">
        <f>nonhighlands!$H252</f>
        <v>0.5151159095393395</v>
      </c>
      <c r="BO6" s="6">
        <f>nonhighlands!$H257</f>
        <v>0.595916710368108</v>
      </c>
      <c r="BP6" s="38">
        <f t="shared" si="6"/>
        <v>0.5555163099537237</v>
      </c>
      <c r="BQ6" s="6">
        <f>nonhighlands!$H219</f>
        <v>0.42572984055566815</v>
      </c>
      <c r="BR6" s="6">
        <f>nonhighlands!$H227</f>
        <v>0.3669422998392875</v>
      </c>
      <c r="BS6" s="6"/>
      <c r="BT6" s="6">
        <f>nonhighlands!$H237</f>
        <v>0.52031426997043495</v>
      </c>
      <c r="BU6" s="6">
        <f>nonhighlands!$H267</f>
        <v>0.39127032</v>
      </c>
      <c r="BV6" s="38">
        <f t="shared" si="7"/>
        <v>0.42617562993657415</v>
      </c>
      <c r="BW6" s="6">
        <f>nonhighlands!$H352</f>
        <v>0.29199999841958346</v>
      </c>
      <c r="BX6" s="6"/>
      <c r="BY6" s="6"/>
      <c r="BZ6" s="6">
        <f>nonmare!$K194</f>
        <v>0.11193799571371157</v>
      </c>
      <c r="CA6" s="6">
        <f>nonmare!$K235</f>
        <v>8.4250694813326005E-2</v>
      </c>
      <c r="CB6" s="6">
        <f t="shared" si="0"/>
        <v>5.3582190320285529E-2</v>
      </c>
      <c r="CC6" s="6">
        <f>nonhighlands!$H275</f>
        <v>0.63623365954838051</v>
      </c>
      <c r="CD6" s="6">
        <f>nonmare!$K322</f>
        <v>7.087797844593037E-2</v>
      </c>
      <c r="CE6" s="38">
        <f t="shared" si="1"/>
        <v>7.3326010212376572E-2</v>
      </c>
      <c r="CF6" s="6">
        <f>nonmare!$K436</f>
        <v>6.1663477562000836E-2</v>
      </c>
      <c r="CG6" s="6">
        <f t="shared" si="8"/>
        <v>7.526938226593119E-2</v>
      </c>
      <c r="CH6" s="6">
        <f t="shared" si="9"/>
        <v>7.79923181885155E-2</v>
      </c>
      <c r="CI6" s="6">
        <f>nonhighlands!$H30</f>
        <v>0.15149927847984879</v>
      </c>
      <c r="CJ6" s="6">
        <f>nonmare!$K470</f>
        <v>8.4628364454352248E-2</v>
      </c>
      <c r="CK6" s="6">
        <f>nonmare!$K485</f>
        <v>0.12292603455810101</v>
      </c>
      <c r="CL6" s="6">
        <f>nonhighlands!$H176</f>
        <v>0.20353689737080752</v>
      </c>
      <c r="CM6" s="6">
        <f>nonhighlands!$H164</f>
        <v>0.28706643877327492</v>
      </c>
      <c r="CN6" s="6">
        <f t="shared" si="10"/>
        <v>0.22055801146791409</v>
      </c>
      <c r="CO6" s="6">
        <f>nonhighlands!$H386</f>
        <v>0.23946998180023502</v>
      </c>
      <c r="CP6" s="116">
        <f>nonmare!$K607</f>
        <v>0.17183936146474854</v>
      </c>
      <c r="CQ6" s="116">
        <f>nonmare!$K612</f>
        <v>0.18663300301376151</v>
      </c>
      <c r="CR6" s="116">
        <f>nonmare!$K627</f>
        <v>8.7785824575754151E-2</v>
      </c>
      <c r="CS6" s="6">
        <f>nonmare!$K480</f>
        <v>0.12472747748479382</v>
      </c>
      <c r="CT6" s="6">
        <f>nonmare!$K501</f>
        <v>0.21736217850388884</v>
      </c>
      <c r="CU6" s="116">
        <f>nonmare!$K561</f>
        <v>0.20057178026824124</v>
      </c>
      <c r="CV6" s="6">
        <f>nonmare!$K301</f>
        <v>0.13493956776603133</v>
      </c>
      <c r="CW6" s="6">
        <f>nonmare!$K307</f>
        <v>0.22284668414717648</v>
      </c>
      <c r="CX6" s="116">
        <f>nonmare!$K537</f>
        <v>8.1842979362788212E-2</v>
      </c>
      <c r="CY6" s="6">
        <f>nonmare!$K543</f>
        <v>0.16107840104923316</v>
      </c>
      <c r="CZ6" s="116">
        <f>nonmare!$K555</f>
        <v>6.3211506697989139E-2</v>
      </c>
      <c r="DA6" s="116">
        <f>nonmare!$K549</f>
        <v>8.8456175383464286E-2</v>
      </c>
      <c r="DN6" s="32"/>
      <c r="DO6" s="32"/>
      <c r="DP6" s="32"/>
      <c r="DQ6" s="32"/>
      <c r="DR6" s="32"/>
      <c r="DV6" s="6">
        <f>nonmare!$K328</f>
        <v>9.1496159999999993E-2</v>
      </c>
      <c r="DW6" s="6">
        <f>nonmare!$K334</f>
        <v>7.2824521711454732E-2</v>
      </c>
      <c r="DX6" s="6">
        <f>nonmare!$K340</f>
        <v>7.6776335884641791E-2</v>
      </c>
      <c r="DY6" s="6">
        <f>nonmare!$K346</f>
        <v>7.7885999999999997E-2</v>
      </c>
      <c r="DZ6" s="6">
        <f>nonmare!$K366</f>
        <v>7.3898400336605885E-2</v>
      </c>
      <c r="EA6" s="6">
        <f>nonmare!$K374</f>
        <v>7.3458482448569992E-2</v>
      </c>
      <c r="EB6" s="6">
        <f>nonmare!$K381</f>
        <v>6.725884E-2</v>
      </c>
      <c r="EC6" s="6">
        <f>nonmare!$K358</f>
        <v>7.074801566435103E-2</v>
      </c>
      <c r="ED6" s="6">
        <f>nonmare!$K388</f>
        <v>8.3366999999999997E-2</v>
      </c>
      <c r="EE6" s="6">
        <f>nonmare!$K395</f>
        <v>7.5078400000000003E-2</v>
      </c>
      <c r="EF6" s="6">
        <f>nonmare!$K400</f>
        <v>7.2838030794979094E-2</v>
      </c>
      <c r="EG6" s="6"/>
      <c r="EH6" s="6">
        <f>nonmare!$K405</f>
        <v>8.7904880820169479E-2</v>
      </c>
      <c r="EI6" s="116">
        <f>nonmare!$K411</f>
        <v>0.02</v>
      </c>
      <c r="EJ6" s="116">
        <f>nonmare!$K416</f>
        <v>8.302907531250002E-2</v>
      </c>
      <c r="EK6" s="116"/>
      <c r="EL6" s="6">
        <f>nonmare!$K426</f>
        <v>7.125615924959218E-2</v>
      </c>
      <c r="EM6" s="6">
        <f>nonmare!$K431</f>
        <v>7.6787718307112784E-2</v>
      </c>
      <c r="EQ6" s="6">
        <f>nonmare!$K179</f>
        <v>0.10869455150433986</v>
      </c>
      <c r="ER6" s="6">
        <f>nonmare!$K186</f>
        <v>0.11749691613356081</v>
      </c>
      <c r="ES6" s="6">
        <f>nonmare!$K192</f>
        <v>0.10919944045270817</v>
      </c>
      <c r="ET6" s="6">
        <f>nonmare!$K243</f>
        <v>5.4802851362681787E-2</v>
      </c>
      <c r="EU6" s="6">
        <f>nonmare!$K249</f>
        <v>5.8777549336295171E-2</v>
      </c>
      <c r="EV6" s="6">
        <f>nonmare!$K254</f>
        <v>4.7166170261879622E-2</v>
      </c>
      <c r="EW6" s="6"/>
      <c r="EX6" s="6"/>
      <c r="EY6" s="6"/>
      <c r="FD6">
        <v>0.13493956776603133</v>
      </c>
      <c r="FH6" s="6">
        <f>nonmare!$K447</f>
        <v>0.14974097769853284</v>
      </c>
      <c r="FI6" s="324">
        <f t="shared" si="11"/>
        <v>0.14974097769853284</v>
      </c>
      <c r="FJ6" s="324">
        <f t="shared" si="2"/>
        <v>0.17842692641488292</v>
      </c>
    </row>
    <row r="7" spans="1:167" ht="10.5" customHeight="1" x14ac:dyDescent="0.2">
      <c r="A7" s="1" t="s">
        <v>152</v>
      </c>
      <c r="B7" s="3">
        <f>nonmare!$L11</f>
        <v>5.4657937109167998</v>
      </c>
      <c r="C7" s="3">
        <f>nonmare!$L131</f>
        <v>4.3741051506307764</v>
      </c>
      <c r="D7" s="6">
        <f>nonmare!$L31</f>
        <v>6.3062131128722383</v>
      </c>
      <c r="E7" s="6">
        <f>nonmare!$L577</f>
        <v>5.5393210119281697</v>
      </c>
      <c r="F7" s="6">
        <f>nonmare!$L583</f>
        <v>3.404595633296633</v>
      </c>
      <c r="G7" s="6">
        <f>nonmare!$L589</f>
        <v>5.0113385118854961</v>
      </c>
      <c r="H7" s="6">
        <f>nonmare!$L595</f>
        <v>3.2590273938175427</v>
      </c>
      <c r="I7" s="6">
        <f>nonmare!$L601</f>
        <v>3.6961574571226947</v>
      </c>
      <c r="J7" s="6">
        <f t="shared" si="3"/>
        <v>3.4775924254701187</v>
      </c>
      <c r="K7" s="3">
        <f>nonmare!$L294</f>
        <v>6.2422794738168852</v>
      </c>
      <c r="L7" s="3">
        <f>nonmare!$L114</f>
        <v>4.2903933333333333</v>
      </c>
      <c r="M7" s="3">
        <f>nonmare!$L84</f>
        <v>4.7</v>
      </c>
      <c r="N7" s="3">
        <f>nonmare!$L525</f>
        <v>3.5546964631356679</v>
      </c>
      <c r="O7" s="3">
        <f>nonmare!$L531</f>
        <v>3.8968492423169527</v>
      </c>
      <c r="P7" s="6">
        <v>5.2</v>
      </c>
      <c r="Q7" s="3">
        <f>nonmare!$L283</f>
        <v>9.0462450796626044</v>
      </c>
      <c r="R7" s="6">
        <f>nonhighlands!$I94</f>
        <v>12.153950864968001</v>
      </c>
      <c r="S7" s="6">
        <f>nonhighlands!$I83</f>
        <v>14.155964951811384</v>
      </c>
      <c r="T7" s="6">
        <f t="shared" si="4"/>
        <v>13.421390642428189</v>
      </c>
      <c r="U7" s="6">
        <f>nonhighlands!$I105</f>
        <v>13.929485714285716</v>
      </c>
      <c r="V7" s="6">
        <f>nonhighlands!$I293</f>
        <v>16.355960817788137</v>
      </c>
      <c r="W7" s="6">
        <f>nonhighlands!$I47</f>
        <v>17.02376538315194</v>
      </c>
      <c r="X7" s="6">
        <f>nonhighlands!$I64</f>
        <v>18.474164283823139</v>
      </c>
      <c r="Y7" s="38">
        <f t="shared" si="5"/>
        <v>17.941987323734622</v>
      </c>
      <c r="Z7" s="6">
        <f>nonhighlands!$I210</f>
        <v>21.694456062094627</v>
      </c>
      <c r="AA7" s="6">
        <f>nonhighlands!$I196</f>
        <v>22.520777455542021</v>
      </c>
      <c r="AB7" s="6">
        <f>nonhighlands!$I334</f>
        <v>21.792439613077399</v>
      </c>
      <c r="AC7" s="7">
        <f>nonhighlands!$I159</f>
        <v>22.454786040775449</v>
      </c>
      <c r="AE7" s="6">
        <f>nonhighlands!$I12</f>
        <v>9.5780435016064125</v>
      </c>
      <c r="AI7" s="3">
        <f>nonmare!$L157</f>
        <v>4.3987890146887576</v>
      </c>
      <c r="AJ7" s="3">
        <f>nonmare!$L170</f>
        <v>3.5562431827199008</v>
      </c>
      <c r="AK7" s="3">
        <f>nonmare!$L490</f>
        <v>4.6944350058791064</v>
      </c>
      <c r="AL7" s="6">
        <f>nonhighlands!$I342</f>
        <v>16.253350415112351</v>
      </c>
      <c r="AM7" s="6">
        <f>nonmare!$L441</f>
        <v>5.4207197346810947</v>
      </c>
      <c r="AN7" s="6">
        <f>nonhighlands!$I303</f>
        <v>21.82</v>
      </c>
      <c r="AO7" s="6">
        <f>nonhighlands!$I308</f>
        <v>24.916166719292708</v>
      </c>
      <c r="AP7" s="6">
        <f>nonhighlands!$I119</f>
        <v>22.360538178180015</v>
      </c>
      <c r="AQ7" s="3">
        <f>nonmare!$L265</f>
        <v>3.8349425829251205</v>
      </c>
      <c r="AR7" s="3">
        <f>nonmare!$L274</f>
        <v>4.0521263731965442</v>
      </c>
      <c r="AS7" s="6">
        <f>nonhighlands!$I232</f>
        <v>19.696854825037619</v>
      </c>
      <c r="AT7" s="6">
        <f>nonhighlands!$I313</f>
        <v>9.720147239828842</v>
      </c>
      <c r="AU7" s="117">
        <f>nonmare!$L475</f>
        <v>2.6705075666264904</v>
      </c>
      <c r="AV7" s="6">
        <f>nonhighlands!$I298</f>
        <v>15.36064664725566</v>
      </c>
      <c r="AW7" s="3">
        <f>nonmare!$L463</f>
        <v>5.3419865156940558</v>
      </c>
      <c r="AX7" s="16">
        <f>nonhighlands!$I347</f>
        <v>9.2605479756911766</v>
      </c>
      <c r="AY7" s="7">
        <f>nonhighlands!$I366</f>
        <v>21.688585460456661</v>
      </c>
      <c r="AZ7" s="3">
        <f>nonmare!$L513</f>
        <v>7.0337987060191924</v>
      </c>
      <c r="BA7" s="6">
        <f>nonhighlands!$I380</f>
        <v>13.721787225684718</v>
      </c>
      <c r="BB7" s="6">
        <f>nonhighlands!$I374</f>
        <v>17.173462958776096</v>
      </c>
      <c r="BC7" s="6">
        <f>nonmare!$L507</f>
        <v>8.5516752981422535</v>
      </c>
      <c r="BD7" s="3">
        <f>nonmare!$L519</f>
        <v>5.9442912299060024</v>
      </c>
      <c r="BE7" s="3">
        <f>nonmare!$L566</f>
        <v>5.7482908011869442</v>
      </c>
      <c r="BF7" s="6">
        <f>nonhighlands!$I319</f>
        <v>12.722903330274733</v>
      </c>
      <c r="BG7" s="6">
        <f>nonhighlands!$I324</f>
        <v>7.5615139254429033</v>
      </c>
      <c r="BH7" s="3">
        <f>nonmare!$L572</f>
        <v>5.71</v>
      </c>
      <c r="BI7" s="3">
        <f>nonmare!$L622</f>
        <v>4.7411186176432381</v>
      </c>
      <c r="BJ7" s="3">
        <f>nonmare!$L627</f>
        <v>4.1834063947576539</v>
      </c>
      <c r="BK7" s="3">
        <f>nonmare!$L632</f>
        <v>4.9610958474469955</v>
      </c>
      <c r="BL7" s="3">
        <f>nonmare!$L637</f>
        <v>5.6584197870147719</v>
      </c>
      <c r="BM7" s="3">
        <f>nonmare!$L642</f>
        <v>5.3075377527514718</v>
      </c>
      <c r="BN7" s="6">
        <f>nonhighlands!$I252</f>
        <v>21.451094654715323</v>
      </c>
      <c r="BO7" s="6">
        <f>nonhighlands!$I257</f>
        <v>21.862191292131996</v>
      </c>
      <c r="BP7" s="38">
        <f t="shared" si="6"/>
        <v>21.656642973423658</v>
      </c>
      <c r="BQ7" s="6">
        <f>nonhighlands!$I219</f>
        <v>19.292982166700465</v>
      </c>
      <c r="BR7" s="6">
        <f>nonhighlands!$I227</f>
        <v>19.730447929777004</v>
      </c>
      <c r="BS7" s="6"/>
      <c r="BT7" s="6">
        <f>nonhighlands!$I237</f>
        <v>18.644909381224466</v>
      </c>
      <c r="BU7" s="6">
        <f>nonhighlands!$I267</f>
        <v>20.233548676429265</v>
      </c>
      <c r="BV7" s="38">
        <f t="shared" si="7"/>
        <v>19.536301995810245</v>
      </c>
      <c r="BW7" s="6">
        <f>nonhighlands!$I352</f>
        <v>11.48927850547563</v>
      </c>
      <c r="BX7" s="3"/>
      <c r="BY7" s="3"/>
      <c r="BZ7" s="3">
        <f>nonmare!$L194</f>
        <v>4.7524234725671652</v>
      </c>
      <c r="CA7" s="3">
        <f>nonmare!$L235</f>
        <v>4.1100051004355826</v>
      </c>
      <c r="CB7" s="3">
        <f t="shared" si="0"/>
        <v>2.9535442116495854</v>
      </c>
      <c r="CC7" s="6">
        <f>nonhighlands!$I275</f>
        <v>21.611236844794114</v>
      </c>
      <c r="CD7" s="3">
        <f>nonmare!$L322</f>
        <v>3.157199677196219</v>
      </c>
      <c r="CE7" s="38">
        <f t="shared" si="1"/>
        <v>3.1380080405609752</v>
      </c>
      <c r="CF7" s="3">
        <f>nonmare!$L436</f>
        <v>3.2046069777217316</v>
      </c>
      <c r="CG7" s="6">
        <f t="shared" si="8"/>
        <v>3.9257076679764151</v>
      </c>
      <c r="CH7" s="6">
        <f t="shared" si="9"/>
        <v>4.0677235861213417</v>
      </c>
      <c r="CI7" s="6">
        <f>nonhighlands!$I30</f>
        <v>9.2196291566634301</v>
      </c>
      <c r="CJ7" s="3">
        <f>nonmare!$L470</f>
        <v>4.2083743516578229</v>
      </c>
      <c r="CK7" s="3">
        <f>nonmare!$L485</f>
        <v>5.1719768405233051</v>
      </c>
      <c r="CL7" s="6">
        <f>nonhighlands!$I176</f>
        <v>7.8622539212053857</v>
      </c>
      <c r="CM7" s="6">
        <f>nonhighlands!$I164</f>
        <v>11.037496088249098</v>
      </c>
      <c r="CN7" s="6">
        <f t="shared" si="10"/>
        <v>8.5092844005275019</v>
      </c>
      <c r="CO7" s="6">
        <f>nonhighlands!$I386</f>
        <v>13.55915595098204</v>
      </c>
      <c r="CP7" s="117">
        <f>nonmare!$L607</f>
        <v>7.9528403281417184</v>
      </c>
      <c r="CQ7" s="117">
        <f>nonmare!$L612</f>
        <v>6.0478480504587164</v>
      </c>
      <c r="CR7" s="117">
        <f>nonmare!$L627</f>
        <v>4.1834063947576539</v>
      </c>
      <c r="CS7" s="3">
        <f>nonmare!$L480</f>
        <v>5.5118822098242379</v>
      </c>
      <c r="CT7" s="3">
        <f>nonmare!$L501</f>
        <v>7.7552386977005403</v>
      </c>
      <c r="CU7" s="116">
        <f>nonmare!$L561</f>
        <v>7.8610143399409518</v>
      </c>
      <c r="CV7" s="6">
        <f>nonmare!$L301</f>
        <v>11.142577718886963</v>
      </c>
      <c r="CW7" s="6">
        <f>nonmare!$L307</f>
        <v>11.324381480479667</v>
      </c>
      <c r="CX7" s="117">
        <f>nonmare!$L537</f>
        <v>3.8964178841753214</v>
      </c>
      <c r="CY7" s="3">
        <f>nonmare!$L543</f>
        <v>5.8874364604254641</v>
      </c>
      <c r="CZ7" s="117">
        <f>nonmare!$L555</f>
        <v>3.146349866753686</v>
      </c>
      <c r="DA7" s="117">
        <f>nonmare!$L549</f>
        <v>4.1311564201687663</v>
      </c>
      <c r="DM7" s="30">
        <v>3.7</v>
      </c>
      <c r="DN7" s="30">
        <v>3.3319999999999999</v>
      </c>
      <c r="DO7" s="30">
        <v>3.74</v>
      </c>
      <c r="DP7" s="30">
        <v>3.22</v>
      </c>
      <c r="DQ7" s="30">
        <v>2.9750000000000001</v>
      </c>
      <c r="DR7" s="30">
        <v>3.31</v>
      </c>
      <c r="DS7" s="30">
        <v>3.27</v>
      </c>
      <c r="DT7">
        <v>3.28</v>
      </c>
      <c r="DU7">
        <v>2.83</v>
      </c>
      <c r="DV7" s="3">
        <f>nonmare!$L328</f>
        <v>3.7442973977695173</v>
      </c>
      <c r="DW7" s="3">
        <f>nonmare!$L334</f>
        <v>3.1336410949306908</v>
      </c>
      <c r="DX7" s="3">
        <f>nonmare!$L340</f>
        <v>3.3924593728542001</v>
      </c>
      <c r="DY7" s="3">
        <f>nonmare!$L346</f>
        <v>2.58</v>
      </c>
      <c r="DZ7" s="3">
        <f>nonmare!$L366</f>
        <v>3.3666947171575501</v>
      </c>
      <c r="EA7" s="3">
        <f>nonmare!$L374</f>
        <v>3.0500055750682948</v>
      </c>
      <c r="EB7" s="3">
        <f>nonmare!$L381</f>
        <v>3.17</v>
      </c>
      <c r="EC7" s="3">
        <f>nonmare!$L358</f>
        <v>3.3045484577291688</v>
      </c>
      <c r="ED7" s="3">
        <f>nonmare!$L388</f>
        <v>4.13</v>
      </c>
      <c r="EE7" s="3">
        <f>nonmare!$L395</f>
        <v>3.52</v>
      </c>
      <c r="EF7" s="3">
        <f>nonmare!$L400</f>
        <v>3.2375854253835423</v>
      </c>
      <c r="EG7" s="3"/>
      <c r="EH7" s="3">
        <f>nonmare!$L405</f>
        <v>3.0465728632702169</v>
      </c>
      <c r="EI7" s="3">
        <f>nonmare!$L411</f>
        <v>1.08</v>
      </c>
      <c r="EJ7" s="3">
        <f>nonmare!$L416</f>
        <v>3.1763076636904768</v>
      </c>
      <c r="EK7" s="3"/>
      <c r="EL7" s="3">
        <f>nonmare!$L426</f>
        <v>3.7256504893964104</v>
      </c>
      <c r="EM7" s="3">
        <f>nonmare!$L431</f>
        <v>4.0013959672058501</v>
      </c>
      <c r="EQ7" s="3">
        <f>nonmare!$L179</f>
        <v>4.8138966076971279</v>
      </c>
      <c r="ER7" s="3">
        <f>nonmare!$L186</f>
        <v>4.701887399463808</v>
      </c>
      <c r="ES7" s="3">
        <f>nonmare!$L192</f>
        <v>4.5690191323093501</v>
      </c>
      <c r="ET7" s="3">
        <f>nonmare!$L243</f>
        <v>2.8459611572955055</v>
      </c>
      <c r="EU7" s="3">
        <f>nonmare!$L249</f>
        <v>3.5165402298531796</v>
      </c>
      <c r="EV7" s="3">
        <f>nonmare!$L254</f>
        <v>2.4981312478000706</v>
      </c>
      <c r="EW7" s="3">
        <v>5.2114825127523776</v>
      </c>
      <c r="EX7" s="3"/>
      <c r="EY7" s="3"/>
      <c r="FD7">
        <v>11.142577718886963</v>
      </c>
      <c r="FH7" s="3">
        <f>nonmare!$L447</f>
        <v>5.8388821633002177</v>
      </c>
      <c r="FI7" s="325">
        <f t="shared" si="11"/>
        <v>5.8388821633002177</v>
      </c>
      <c r="FJ7" s="325">
        <f t="shared" si="2"/>
        <v>6.9574395339783344</v>
      </c>
    </row>
    <row r="8" spans="1:167" ht="11.1" customHeight="1" x14ac:dyDescent="0.2">
      <c r="A8" s="1" t="s">
        <v>153</v>
      </c>
      <c r="B8" s="6">
        <f>nonmare!$M11</f>
        <v>7.2045986929713882E-2</v>
      </c>
      <c r="C8" s="6">
        <f>nonmare!$M131</f>
        <v>7.418206050468093E-2</v>
      </c>
      <c r="D8" s="6">
        <f>nonmare!$M31</f>
        <v>8.2238114599999995E-2</v>
      </c>
      <c r="E8" s="6">
        <f>nonmare!$M577</f>
        <v>8.1662191454787647E-2</v>
      </c>
      <c r="F8" s="6">
        <f>nonmare!$M583</f>
        <v>5.2714907840695782E-2</v>
      </c>
      <c r="G8" s="6">
        <f>nonmare!$M589</f>
        <v>6.5201110678009266E-2</v>
      </c>
      <c r="H8" s="6">
        <f>nonmare!$M595</f>
        <v>4.9452487094788049E-2</v>
      </c>
      <c r="I8" s="6">
        <f>nonmare!$M601</f>
        <v>5.2900385941900489E-2</v>
      </c>
      <c r="J8" s="6">
        <f t="shared" si="3"/>
        <v>5.1176436518344269E-2</v>
      </c>
      <c r="K8" s="3">
        <f>nonmare!$M294</f>
        <v>8.8590732180859416E-2</v>
      </c>
      <c r="L8" s="6">
        <f>nonmare!$M114</f>
        <v>6.3470399999999996E-2</v>
      </c>
      <c r="M8" s="6">
        <f>nonmare!$M84</f>
        <v>6.5506793652413742E-2</v>
      </c>
      <c r="N8" s="6">
        <f>nonmare!$M525</f>
        <v>4.8071556417937387E-2</v>
      </c>
      <c r="O8" s="6">
        <f>nonmare!$M531</f>
        <v>5.8455313683242277E-2</v>
      </c>
      <c r="P8" s="6">
        <v>7.0000000000000007E-2</v>
      </c>
      <c r="Q8" s="3">
        <f>nonmare!$M283</f>
        <v>0.12241432983614889</v>
      </c>
      <c r="R8" s="6">
        <f>nonhighlands!$J94</f>
        <v>0.1647350960196933</v>
      </c>
      <c r="S8" s="6">
        <f>nonhighlands!$J83</f>
        <v>0.1898787540549596</v>
      </c>
      <c r="T8" s="6">
        <f t="shared" si="4"/>
        <v>0.18065310206879159</v>
      </c>
      <c r="U8" s="6">
        <f>nonhighlands!$J105</f>
        <v>0.19456343439773183</v>
      </c>
      <c r="V8" s="6">
        <f>nonhighlands!$J293</f>
        <v>0.22285743818706627</v>
      </c>
      <c r="W8" s="6">
        <f>nonhighlands!$J47</f>
        <v>0.22506444161674324</v>
      </c>
      <c r="X8" s="6">
        <f>nonhighlands!$J64</f>
        <v>0.24490269457096936</v>
      </c>
      <c r="Y8" s="38">
        <f t="shared" si="5"/>
        <v>0.23762368936366995</v>
      </c>
      <c r="Z8" s="6">
        <f>nonhighlands!$J210</f>
        <v>0.33298118545411187</v>
      </c>
      <c r="AA8" s="6">
        <f>nonhighlands!$J196</f>
        <v>0.34069870000000002</v>
      </c>
      <c r="AB8" s="6">
        <f>nonhighlands!$J334</f>
        <v>0.32100184611548849</v>
      </c>
      <c r="AC8" s="6">
        <f>nonhighlands!$J159</f>
        <v>0.29481766409242677</v>
      </c>
      <c r="AE8" s="6">
        <f>nonhighlands!$J12</f>
        <v>0.13666586920291321</v>
      </c>
      <c r="AI8" s="6">
        <f>nonmare!$M157</f>
        <v>6.3589362090729601E-2</v>
      </c>
      <c r="AJ8" s="6">
        <f>nonmare!$M170</f>
        <v>6.2604112603657142E-2</v>
      </c>
      <c r="AK8" s="6">
        <f>nonmare!$M490</f>
        <v>6.3332767948429361E-2</v>
      </c>
      <c r="AL8" s="16">
        <f>nonhighlands!$J342</f>
        <v>0.26019430046897596</v>
      </c>
      <c r="AM8" s="6">
        <f>nonmare!$M441</f>
        <v>7.7250630473702619E-2</v>
      </c>
      <c r="AN8" s="6">
        <f>nonhighlands!$J303</f>
        <v>0.27</v>
      </c>
      <c r="AO8" s="6">
        <f>nonhighlands!$J308</f>
        <v>0.33090093694875367</v>
      </c>
      <c r="AP8" s="6">
        <f>nonhighlands!$J119</f>
        <v>0.30065660772570019</v>
      </c>
      <c r="AQ8" s="6">
        <f>nonmare!$M265</f>
        <v>5.2510115863912757E-2</v>
      </c>
      <c r="AR8" s="6">
        <f>nonmare!$M274</f>
        <v>5.6434053699888603E-2</v>
      </c>
      <c r="AS8" s="6">
        <f>nonhighlands!$J232</f>
        <v>0.26453886458398912</v>
      </c>
      <c r="AT8" s="6">
        <f>nonhighlands!$J313</f>
        <v>0.14620516868241493</v>
      </c>
      <c r="AU8" s="116">
        <f>nonmare!$M475</f>
        <v>4.2831479412599752E-2</v>
      </c>
      <c r="AV8" s="6">
        <f>nonhighlands!$J298</f>
        <v>0.25108360224240817</v>
      </c>
      <c r="AW8" s="6">
        <f>nonmare!$M463</f>
        <v>8.4296839946537402E-2</v>
      </c>
      <c r="AX8" s="16">
        <f>nonhighlands!$J347</f>
        <v>0.13923388026065128</v>
      </c>
      <c r="AY8" s="6">
        <f>nonhighlands!$J366</f>
        <v>0.29128374779565763</v>
      </c>
      <c r="AZ8" s="6">
        <f>nonmare!$M513</f>
        <v>0.10453627074943639</v>
      </c>
      <c r="BA8" s="6">
        <f>nonhighlands!$J380</f>
        <v>0.18779570935225914</v>
      </c>
      <c r="BB8" s="6">
        <f>nonhighlands!$J374</f>
        <v>0.25300099273547377</v>
      </c>
      <c r="BC8" s="3">
        <f>nonmare!$M507</f>
        <v>0.12217300314493609</v>
      </c>
      <c r="BD8" s="6">
        <f>nonmare!$M519</f>
        <v>7.6267231221050918E-2</v>
      </c>
      <c r="BE8" s="6">
        <f>nonmare!$M566</f>
        <v>7.313078522040635E-2</v>
      </c>
      <c r="BF8" s="6">
        <f>nonhighlands!$J319</f>
        <v>0.17654335659434195</v>
      </c>
      <c r="BG8" s="6">
        <f>nonhighlands!$J324</f>
        <v>0.1049827624894645</v>
      </c>
      <c r="BH8" s="6">
        <f>nonmare!$M572</f>
        <v>8.3901357711684166E-2</v>
      </c>
      <c r="BI8" s="6" t="e">
        <f>nonmare!$M622</f>
        <v>#DIV/0!</v>
      </c>
      <c r="BJ8" s="6" t="e">
        <f>nonmare!$M627</f>
        <v>#DIV/0!</v>
      </c>
      <c r="BK8" s="6" t="e">
        <f>nonmare!$M632</f>
        <v>#DIV/0!</v>
      </c>
      <c r="BL8" s="6" t="e">
        <f>nonmare!$M637</f>
        <v>#DIV/0!</v>
      </c>
      <c r="BM8" s="6" t="e">
        <f>nonmare!$M642</f>
        <v>#DIV/0!</v>
      </c>
      <c r="BN8" s="6">
        <f>nonhighlands!$J252</f>
        <v>0.2869919896936477</v>
      </c>
      <c r="BO8" s="6">
        <f>nonhighlands!$J257</f>
        <v>0.28051300786134314</v>
      </c>
      <c r="BP8" s="38">
        <f t="shared" si="6"/>
        <v>0.28375249877749542</v>
      </c>
      <c r="BQ8" s="6">
        <f>nonhighlands!$J219</f>
        <v>0.27939126584187685</v>
      </c>
      <c r="BR8" s="6">
        <f>nonhighlands!$J227</f>
        <v>0.23933333333333331</v>
      </c>
      <c r="BS8" s="6"/>
      <c r="BT8" s="6">
        <f>nonhighlands!$J237</f>
        <v>0.22871293433003223</v>
      </c>
      <c r="BU8" s="6">
        <f>nonhighlands!$J267</f>
        <v>0.25572376948526998</v>
      </c>
      <c r="BV8" s="38">
        <f t="shared" si="7"/>
        <v>0.24125667904954518</v>
      </c>
      <c r="BW8" s="6">
        <f>nonhighlands!$J352</f>
        <v>0.18655885949791376</v>
      </c>
      <c r="BX8" s="6"/>
      <c r="BY8" s="6"/>
      <c r="BZ8" s="6">
        <f>nonmare!$M194</f>
        <v>6.8679916781551636E-2</v>
      </c>
      <c r="CA8" s="6">
        <f>nonmare!$M235</f>
        <v>6.3437375406055888E-2</v>
      </c>
      <c r="CB8" s="6">
        <f t="shared" si="0"/>
        <v>4.7481265674708062E-2</v>
      </c>
      <c r="CC8" s="6">
        <f>nonhighlands!$J275</f>
        <v>0.2821859154066485</v>
      </c>
      <c r="CD8" s="6">
        <f>nonmare!$M322</f>
        <v>5.2072272260627391E-2</v>
      </c>
      <c r="CE8" s="38">
        <f t="shared" si="1"/>
        <v>5.0845388654360689E-2</v>
      </c>
      <c r="CF8" s="6">
        <f>nonmare!$M436</f>
        <v>4.8479631080520023E-2</v>
      </c>
      <c r="CG8" s="6">
        <f t="shared" si="8"/>
        <v>6.5612898668732017E-2</v>
      </c>
      <c r="CH8" s="6">
        <f t="shared" si="9"/>
        <v>6.7986502827442383E-2</v>
      </c>
      <c r="CI8" s="6">
        <f>nonhighlands!$J30</f>
        <v>0.15997045646716118</v>
      </c>
      <c r="CJ8" s="6">
        <f>nonmare!$M470</f>
        <v>5.5973629087623648E-2</v>
      </c>
      <c r="CK8" s="6">
        <f>nonmare!$M485</f>
        <v>8.9150454993307676E-2</v>
      </c>
      <c r="CL8" s="6">
        <f>nonhighlands!$J176</f>
        <v>0.11330840292210292</v>
      </c>
      <c r="CM8" s="6">
        <f>nonhighlands!$J164</f>
        <v>0.1524293015461898</v>
      </c>
      <c r="CN8" s="6">
        <f t="shared" si="10"/>
        <v>0.12128020867946404</v>
      </c>
      <c r="CO8" s="6">
        <f>nonhighlands!$J386</f>
        <v>0.19292118131077757</v>
      </c>
      <c r="CP8" s="116">
        <f>nonmare!$M607</f>
        <v>8.6429743399669801E-2</v>
      </c>
      <c r="CQ8" s="116">
        <f>nonmare!$M612</f>
        <v>8.4637458188841108E-2</v>
      </c>
      <c r="CR8" s="116" t="e">
        <f>nonmare!$M627</f>
        <v>#DIV/0!</v>
      </c>
      <c r="CS8" s="6">
        <f>nonmare!$M480</f>
        <v>7.7106652051152302E-2</v>
      </c>
      <c r="CT8" s="116">
        <f>nonmare!$M501</f>
        <v>0.11546213861446386</v>
      </c>
      <c r="CU8" s="116">
        <f>nonmare!$M561</f>
        <v>0.11297764553643874</v>
      </c>
      <c r="CV8" s="6">
        <f>nonmare!$M301</f>
        <v>0.14662142017109392</v>
      </c>
      <c r="CW8" s="6">
        <f>nonmare!$M307</f>
        <v>0.14934308366619081</v>
      </c>
      <c r="CX8" s="116">
        <f>nonmare!$M537</f>
        <v>6.4272682723991337E-2</v>
      </c>
      <c r="CY8" s="6">
        <f>nonmare!$M543</f>
        <v>8.5024541440509721E-2</v>
      </c>
      <c r="CZ8" s="116">
        <f>nonmare!$M555</f>
        <v>3.9791001093040561E-2</v>
      </c>
      <c r="DA8" s="116">
        <f>nonmare!$M549</f>
        <v>5.031510339965764E-2</v>
      </c>
      <c r="DN8" s="32"/>
      <c r="DO8" s="32"/>
      <c r="DP8" s="32"/>
      <c r="DQ8" s="32"/>
      <c r="DR8" s="32"/>
      <c r="DV8" s="6">
        <f>nonmare!$M328</f>
        <v>5.6629649410025538E-2</v>
      </c>
      <c r="DW8" s="6">
        <f>nonmare!$M334</f>
        <v>5.0188988558447084E-2</v>
      </c>
      <c r="DX8" s="6">
        <f>nonmare!$M340</f>
        <v>5.6199718429664688E-2</v>
      </c>
      <c r="DY8" s="6">
        <f>nonmare!$M346</f>
        <v>0.05</v>
      </c>
      <c r="DZ8" s="6">
        <f>nonmare!$M366</f>
        <v>5.5601366617497622E-2</v>
      </c>
      <c r="EA8" s="6">
        <f>nonmare!$M374</f>
        <v>4.9244419768179254E-2</v>
      </c>
      <c r="EB8" s="6">
        <f>nonmare!$M381</f>
        <v>0.05</v>
      </c>
      <c r="EC8" s="6">
        <f>nonmare!$M358</f>
        <v>4.979547676608162E-2</v>
      </c>
      <c r="ED8" s="6">
        <f>nonmare!$M388</f>
        <v>0.06</v>
      </c>
      <c r="EE8" s="6">
        <f>nonmare!$M395</f>
        <v>0.06</v>
      </c>
      <c r="EF8" s="6">
        <f>nonmare!$M400</f>
        <v>5.2602965256728473E-2</v>
      </c>
      <c r="EG8" s="6"/>
      <c r="EH8" s="6">
        <f>nonmare!$M405</f>
        <v>4.8166938087072064E-2</v>
      </c>
      <c r="EI8" s="116">
        <f>nonmare!$M411</f>
        <v>0.02</v>
      </c>
      <c r="EJ8" s="116">
        <f>nonmare!$M416</f>
        <v>5.3405918267353358E-2</v>
      </c>
      <c r="EK8" s="116"/>
      <c r="EL8" s="6">
        <f>nonmare!$M426</f>
        <v>6.6310319113583441E-2</v>
      </c>
      <c r="EM8" s="6">
        <f>nonmare!$M431</f>
        <v>6.5349041267096564E-2</v>
      </c>
      <c r="EQ8" s="6">
        <f>nonmare!$M179</f>
        <v>6.8539090960536578E-2</v>
      </c>
      <c r="ER8" s="6">
        <f>nonmare!$M186</f>
        <v>7.1826798024784866E-2</v>
      </c>
      <c r="ES8" s="6">
        <f>nonmare!$M192</f>
        <v>7.2210670066439997E-2</v>
      </c>
      <c r="ET8" s="6">
        <f>nonmare!$M243</f>
        <v>5.0759099326551524E-2</v>
      </c>
      <c r="EU8" s="6">
        <f>nonmare!$M249</f>
        <v>5.2546678302875738E-2</v>
      </c>
      <c r="EV8" s="6">
        <f>nonmare!$M254</f>
        <v>3.913801939469691E-2</v>
      </c>
      <c r="EW8" s="6">
        <v>8.4769462377035712E-2</v>
      </c>
      <c r="EX8" s="6"/>
      <c r="EY8" s="6"/>
      <c r="FD8">
        <v>0.14662142017109392</v>
      </c>
      <c r="FH8" s="6">
        <f>nonmare!$M447</f>
        <v>9.1148206791600489E-2</v>
      </c>
      <c r="FI8" s="325">
        <f t="shared" si="11"/>
        <v>9.1148206791600489E-2</v>
      </c>
      <c r="FJ8" s="325">
        <f t="shared" si="2"/>
        <v>0.10860951114394107</v>
      </c>
    </row>
    <row r="9" spans="1:167" ht="10.5" customHeight="1" x14ac:dyDescent="0.2">
      <c r="A9" s="1" t="s">
        <v>154</v>
      </c>
      <c r="B9" s="6">
        <f>nonmare!$N11</f>
        <v>8.1963234544395629</v>
      </c>
      <c r="C9" s="3">
        <f>nonmare!$N131</f>
        <v>4.5848337727199739</v>
      </c>
      <c r="D9" s="6">
        <f>nonmare!$N31</f>
        <v>6.1252076156935509</v>
      </c>
      <c r="E9" s="6">
        <f>nonmare!$N577</f>
        <v>5.3280698027433582</v>
      </c>
      <c r="F9" s="6">
        <f>nonmare!$N583</f>
        <v>2.8418767467431199</v>
      </c>
      <c r="G9" s="6">
        <f>nonmare!$N589</f>
        <v>5.1824261384088928</v>
      </c>
      <c r="H9" s="6">
        <f>nonmare!$N595</f>
        <v>2.7483058286362065</v>
      </c>
      <c r="I9" s="6">
        <f>nonmare!$N601</f>
        <v>3.8515261688878981</v>
      </c>
      <c r="J9" s="6">
        <f t="shared" si="3"/>
        <v>3.2999159987620521</v>
      </c>
      <c r="K9" s="3">
        <f>nonmare!$N294</f>
        <v>6.8422797248593916</v>
      </c>
      <c r="L9" s="6">
        <f>nonmare!$N114</f>
        <v>4.1056579825006061</v>
      </c>
      <c r="M9" s="6">
        <f>nonmare!$N84</f>
        <v>5.3237599325756104</v>
      </c>
      <c r="N9" s="6">
        <f>nonmare!$N525</f>
        <v>6.8090208466290809</v>
      </c>
      <c r="O9" s="6">
        <f>nonmare!$N531</f>
        <v>4.2677943242838783</v>
      </c>
      <c r="P9" s="38">
        <v>3.89</v>
      </c>
      <c r="Q9" s="6">
        <f>nonmare!$N283</f>
        <v>8.2493778177863248</v>
      </c>
      <c r="R9" s="38">
        <f>nonhighlands!$K94</f>
        <v>8.8592966290577895</v>
      </c>
      <c r="S9" s="38">
        <f>nonhighlands!$K83</f>
        <v>9.153037477151404</v>
      </c>
      <c r="T9" s="38">
        <f t="shared" si="4"/>
        <v>9.0452587746717352</v>
      </c>
      <c r="U9" s="38">
        <f>nonhighlands!$K105</f>
        <v>8.5171995171026147</v>
      </c>
      <c r="V9" s="38">
        <f>nonhighlands!$K293</f>
        <v>6.3082183114889503</v>
      </c>
      <c r="W9" s="38">
        <f>nonhighlands!$K47</f>
        <v>8.1427123713901128</v>
      </c>
      <c r="X9" s="38">
        <f>nonhighlands!$K64</f>
        <v>8.5483979525594815</v>
      </c>
      <c r="Y9" s="38">
        <f t="shared" si="5"/>
        <v>8.3995447513894135</v>
      </c>
      <c r="Z9" s="38">
        <f>nonhighlands!$K210</f>
        <v>5.8562121488188792</v>
      </c>
      <c r="AA9" s="38">
        <f>nonhighlands!$K196</f>
        <v>6.3261932804733023</v>
      </c>
      <c r="AB9" s="38">
        <f>nonhighlands!$K334</f>
        <v>7.2228042617877986</v>
      </c>
      <c r="AC9" s="38">
        <f>nonhighlands!$K159</f>
        <v>6.4499649743913636</v>
      </c>
      <c r="AE9" s="39">
        <f>nonhighlands!$K12</f>
        <v>7.6073182240734356</v>
      </c>
      <c r="AI9" s="3">
        <f>nonmare!$N157</f>
        <v>5.3249015693655792</v>
      </c>
      <c r="AJ9" s="3">
        <f>nonmare!$N170</f>
        <v>4.6859978618900948</v>
      </c>
      <c r="AK9" s="6">
        <f>nonmare!$N490</f>
        <v>4.533329168632676</v>
      </c>
      <c r="AL9" s="38">
        <f>nonhighlands!$K342</f>
        <v>8.24249533712584</v>
      </c>
      <c r="AM9" s="6">
        <f>nonmare!$N441</f>
        <v>5.6060772359171711</v>
      </c>
      <c r="AN9" s="38">
        <f>nonhighlands!$K303</f>
        <v>13.59</v>
      </c>
      <c r="AO9" s="38">
        <f>nonhighlands!$K308</f>
        <v>13.429532372879194</v>
      </c>
      <c r="AP9" s="38">
        <f>nonhighlands!$K119</f>
        <v>7.894919010872397</v>
      </c>
      <c r="AQ9" s="6">
        <f>nonmare!$N265</f>
        <v>4.2224831251933743</v>
      </c>
      <c r="AR9" s="6">
        <f>nonmare!$N274</f>
        <v>3.5393564390897589</v>
      </c>
      <c r="AS9" s="38">
        <f>nonhighlands!$K232</f>
        <v>17.242374609957967</v>
      </c>
      <c r="AT9" s="38">
        <f>nonhighlands!$K313</f>
        <v>8.0570066732808225</v>
      </c>
      <c r="AU9" s="116">
        <f>nonmare!$N475</f>
        <v>2.4748130996420956</v>
      </c>
      <c r="AV9" s="38">
        <f>nonhighlands!$K298</f>
        <v>10.33198798769587</v>
      </c>
      <c r="AW9" s="116">
        <f>nonmare!$N463</f>
        <v>4.6752920634991257</v>
      </c>
      <c r="AX9" s="38">
        <f>nonhighlands!$K347</f>
        <v>9.3833757395446753</v>
      </c>
      <c r="AY9" s="38">
        <f>nonhighlands!$K366</f>
        <v>6.7804621062693924</v>
      </c>
      <c r="AZ9" s="6">
        <f>nonmare!$N513</f>
        <v>7.407556664445087</v>
      </c>
      <c r="BA9" s="38">
        <f>nonhighlands!$K380</f>
        <v>9.0457584501056392</v>
      </c>
      <c r="BB9" s="38">
        <f>nonhighlands!$K374</f>
        <v>8.3072960693358002</v>
      </c>
      <c r="BC9" s="6">
        <f>nonmare!$N507</f>
        <v>9.1464074187684687</v>
      </c>
      <c r="BD9" s="6">
        <f>nonmare!$N519</f>
        <v>7.9299190393544876</v>
      </c>
      <c r="BE9" s="6">
        <f>nonmare!$N566</f>
        <v>6.9875237075205003</v>
      </c>
      <c r="BF9" s="38">
        <f>nonhighlands!$K319</f>
        <v>8.9539100168375665</v>
      </c>
      <c r="BG9" s="38">
        <f>nonhighlands!$K324</f>
        <v>6.8233026883563506</v>
      </c>
      <c r="BH9" s="6">
        <f>nonmare!$N572</f>
        <v>12.684456719757495</v>
      </c>
      <c r="BI9" s="6" t="e">
        <f>nonmare!$N622</f>
        <v>#DIV/0!</v>
      </c>
      <c r="BJ9" s="6" t="e">
        <f>nonmare!$N627</f>
        <v>#DIV/0!</v>
      </c>
      <c r="BK9" s="6" t="e">
        <f>nonmare!$N632</f>
        <v>#DIV/0!</v>
      </c>
      <c r="BL9" s="6" t="e">
        <f>nonmare!$N637</f>
        <v>#DIV/0!</v>
      </c>
      <c r="BM9" s="6" t="e">
        <f>nonmare!$N642</f>
        <v>#DIV/0!</v>
      </c>
      <c r="BN9" s="38">
        <f>nonhighlands!$K252</f>
        <v>10.907516273317352</v>
      </c>
      <c r="BO9" s="38">
        <f>nonhighlands!$K257</f>
        <v>13.965119483593874</v>
      </c>
      <c r="BP9" s="38">
        <f t="shared" si="6"/>
        <v>12.436317878455613</v>
      </c>
      <c r="BQ9" s="38">
        <f>nonhighlands!$K219</f>
        <v>13.901482392173904</v>
      </c>
      <c r="BR9" s="38">
        <f>nonhighlands!$K227</f>
        <v>26.51</v>
      </c>
      <c r="BS9" s="38"/>
      <c r="BT9" s="38">
        <f>nonhighlands!$K237</f>
        <v>23.856831679041687</v>
      </c>
      <c r="BU9" s="38">
        <f>nonhighlands!$K267</f>
        <v>26.711668597772075</v>
      </c>
      <c r="BV9" s="38">
        <f t="shared" si="7"/>
        <v>25.69283342560459</v>
      </c>
      <c r="BW9" s="38">
        <f>nonhighlands!$K352</f>
        <v>7.5134183470371649</v>
      </c>
      <c r="BX9" s="3"/>
      <c r="BY9" s="3"/>
      <c r="BZ9" s="6">
        <f>nonmare!$N194</f>
        <v>6.4322977621394415</v>
      </c>
      <c r="CA9" s="6">
        <f>nonmare!$N235</f>
        <v>4.0895361026556856</v>
      </c>
      <c r="CB9" s="3">
        <f t="shared" si="0"/>
        <v>2.6562981395248197</v>
      </c>
      <c r="CC9" s="38">
        <f>nonhighlands!$K275</f>
        <v>12.34790891566038</v>
      </c>
      <c r="CD9" s="6">
        <f>nonmare!$N322</f>
        <v>4.9187851181258786</v>
      </c>
      <c r="CE9" s="38">
        <f t="shared" si="1"/>
        <v>5.9927871922224076</v>
      </c>
      <c r="CF9" s="116">
        <f>nonmare!$N436</f>
        <v>5.4089858060345222</v>
      </c>
      <c r="CG9" s="6">
        <f t="shared" si="8"/>
        <v>3.8233874044274199</v>
      </c>
      <c r="CH9" s="6">
        <f t="shared" si="9"/>
        <v>3.9617017972928972</v>
      </c>
      <c r="CI9" s="38">
        <f>nonhighlands!$K30</f>
        <v>6.0749004379712037</v>
      </c>
      <c r="CJ9" s="6">
        <f>nonmare!$N470</f>
        <v>4.7247034112884707</v>
      </c>
      <c r="CK9" s="116">
        <f>nonmare!$N485</f>
        <v>5.3222365445049791</v>
      </c>
      <c r="CL9" s="38">
        <f>nonhighlands!$K176</f>
        <v>9.1910230827968427</v>
      </c>
      <c r="CM9" s="38">
        <f>nonhighlands!$K164</f>
        <v>10.278858906498519</v>
      </c>
      <c r="CN9" s="38">
        <f t="shared" si="10"/>
        <v>9.412695288381336</v>
      </c>
      <c r="CO9" s="38">
        <f>nonhighlands!$K386</f>
        <v>8.1708826509331018</v>
      </c>
      <c r="CP9" s="116">
        <f>nonmare!$N607</f>
        <v>8.2342026347789741</v>
      </c>
      <c r="CQ9" s="116">
        <f>nonmare!$N612</f>
        <v>9.0689390737588891</v>
      </c>
      <c r="CR9" s="116" t="e">
        <f>nonmare!$N627</f>
        <v>#DIV/0!</v>
      </c>
      <c r="CS9" s="116">
        <f>nonmare!$N480</f>
        <v>4.9865154894724704</v>
      </c>
      <c r="CT9" s="116">
        <f>nonmare!$N501</f>
        <v>9.1209874836859406</v>
      </c>
      <c r="CU9" s="116">
        <f>nonmare!$N561</f>
        <v>9.0644207986301364</v>
      </c>
      <c r="CV9" s="6">
        <f>nonmare!$N301</f>
        <v>10.967331179520295</v>
      </c>
      <c r="CW9" s="6">
        <f>nonmare!$N307</f>
        <v>8.0626541736595829</v>
      </c>
      <c r="CX9" s="116">
        <f>nonmare!$N537</f>
        <v>3.5215409167922376</v>
      </c>
      <c r="CY9" s="6">
        <f>nonmare!$N543</f>
        <v>8.1690143413272729</v>
      </c>
      <c r="CZ9" s="116">
        <f>nonmare!$N555</f>
        <v>3.8974503641180149</v>
      </c>
      <c r="DA9" s="116">
        <f>nonmare!$N549</f>
        <v>3.9731844053456751</v>
      </c>
      <c r="DM9" s="30">
        <v>9.1286732903148202</v>
      </c>
      <c r="DN9" s="30">
        <v>7.3288574176030679</v>
      </c>
      <c r="DO9" s="30">
        <v>7.1481937603692476</v>
      </c>
      <c r="DP9" s="30">
        <v>6.272975194779808</v>
      </c>
      <c r="DQ9" s="30">
        <v>6.1284545270687989</v>
      </c>
      <c r="DR9" s="30">
        <v>7.2034412100014871</v>
      </c>
      <c r="DS9" s="30">
        <v>8.7922139023633896</v>
      </c>
      <c r="DT9">
        <v>6.51</v>
      </c>
      <c r="DU9">
        <v>5.58</v>
      </c>
      <c r="DV9" s="6">
        <f>nonmare!$N328</f>
        <v>7.9835868213112624</v>
      </c>
      <c r="DW9" s="6">
        <f>nonmare!$N334</f>
        <v>6.1686462725767601</v>
      </c>
      <c r="DX9" s="6">
        <f>nonmare!$N340</f>
        <v>6.6141801586715321</v>
      </c>
      <c r="DY9" s="6">
        <f>nonmare!$N346</f>
        <v>4.0599999999999996</v>
      </c>
      <c r="DZ9" s="6">
        <f>nonmare!$N366</f>
        <v>6.5698284719648665</v>
      </c>
      <c r="EA9" s="6">
        <f>nonmare!$N374</f>
        <v>6.0343921678207133</v>
      </c>
      <c r="EB9" s="6">
        <f>nonmare!$N381</f>
        <v>5.08</v>
      </c>
      <c r="EC9" s="6">
        <f>nonmare!$N358</f>
        <v>6.5539612594644154</v>
      </c>
      <c r="ED9" s="6">
        <f>nonmare!$N388</f>
        <v>6.9</v>
      </c>
      <c r="EE9" s="6">
        <f>nonmare!$N395</f>
        <v>6.55</v>
      </c>
      <c r="EF9" s="6">
        <f>nonmare!$N400</f>
        <v>6.3475776906192856</v>
      </c>
      <c r="EG9" s="6"/>
      <c r="EH9" s="6">
        <f>nonmare!$N405</f>
        <v>6.0187656384951325</v>
      </c>
      <c r="EI9" s="6">
        <f>nonmare!$N411</f>
        <v>1.77</v>
      </c>
      <c r="EJ9" s="6">
        <f>nonmare!$N416</f>
        <v>7.2480822101897475</v>
      </c>
      <c r="EK9" s="6"/>
      <c r="EL9" s="116">
        <f>nonmare!$N426</f>
        <v>3.9845513631649898</v>
      </c>
      <c r="EM9" s="116">
        <f>nonmare!$N431</f>
        <v>3.7624137067050394</v>
      </c>
      <c r="EQ9" s="6">
        <f>nonmare!$N179</f>
        <v>6.4787944444584067</v>
      </c>
      <c r="ER9" s="6">
        <f>nonmare!$N186</f>
        <v>6.2641178751644322</v>
      </c>
      <c r="ES9" s="6">
        <f>nonmare!$N192</f>
        <v>6.1441447673261269</v>
      </c>
      <c r="ET9" s="6">
        <f>nonmare!$N243</f>
        <v>2.852106615565063</v>
      </c>
      <c r="EU9" s="6">
        <f>nonmare!$N249</f>
        <v>2.9385139393518118</v>
      </c>
      <c r="EV9" s="116">
        <f>nonmare!$N254</f>
        <v>2.1782738636575849</v>
      </c>
      <c r="EW9" s="3">
        <v>4.1830046404487753</v>
      </c>
      <c r="EX9" s="6"/>
      <c r="EY9" s="6"/>
      <c r="FD9">
        <v>10.967331179520295</v>
      </c>
      <c r="FH9" s="116">
        <f>nonmare!$N447</f>
        <v>5.0148355025716045</v>
      </c>
      <c r="FI9" s="325">
        <f t="shared" si="11"/>
        <v>5.0148355025716045</v>
      </c>
      <c r="FJ9" s="325">
        <f t="shared" si="2"/>
        <v>5.975529871332296</v>
      </c>
    </row>
    <row r="10" spans="1:167" s="30" customFormat="1" ht="11.1" customHeight="1" x14ac:dyDescent="0.2">
      <c r="A10" s="61" t="s">
        <v>156</v>
      </c>
      <c r="B10" s="6">
        <f>nonmare!$O11</f>
        <v>14.935746259671438</v>
      </c>
      <c r="C10" s="6">
        <f>nonmare!$O131</f>
        <v>16.431009709330272</v>
      </c>
      <c r="D10" s="6">
        <f>nonmare!$O31</f>
        <v>15.463853393371757</v>
      </c>
      <c r="E10" s="6">
        <f>nonmare!$O577</f>
        <v>15.775691061206947</v>
      </c>
      <c r="F10" s="6">
        <f>nonmare!$O583</f>
        <v>17.120122785615159</v>
      </c>
      <c r="G10" s="6">
        <f>nonmare!$O589</f>
        <v>15.479878384998116</v>
      </c>
      <c r="H10" s="6">
        <f>nonmare!$O595</f>
        <v>17.02347893404507</v>
      </c>
      <c r="I10" s="6">
        <f>nonmare!$O601</f>
        <v>16.631340313407762</v>
      </c>
      <c r="J10" s="6">
        <f t="shared" si="3"/>
        <v>16.827409623726417</v>
      </c>
      <c r="K10" s="6">
        <f>nonmare!$O294</f>
        <v>15.26832457721278</v>
      </c>
      <c r="L10" s="6">
        <f>nonmare!$O114</f>
        <v>16.850106666666665</v>
      </c>
      <c r="M10" s="6">
        <f>nonmare!$O84</f>
        <v>15.968466402280423</v>
      </c>
      <c r="N10" s="6">
        <f>nonmare!$O525</f>
        <v>15.534822281762246</v>
      </c>
      <c r="O10" s="6">
        <f>nonmare!$O531</f>
        <v>16.395926967810169</v>
      </c>
      <c r="P10" s="6">
        <v>18.05</v>
      </c>
      <c r="Q10" s="6">
        <f>nonmare!$O283</f>
        <v>13.781581680492021</v>
      </c>
      <c r="R10" s="6">
        <f>nonhighlands!$L94</f>
        <v>12.756984351937165</v>
      </c>
      <c r="S10" s="6">
        <f>nonhighlands!$L83</f>
        <v>12.135264379643473</v>
      </c>
      <c r="T10" s="6">
        <f t="shared" si="4"/>
        <v>12.363384412503711</v>
      </c>
      <c r="U10" s="6">
        <f>nonhighlands!$L105</f>
        <v>12.368354285714288</v>
      </c>
      <c r="V10" s="6">
        <f>nonhighlands!$L293</f>
        <v>13.079478996357613</v>
      </c>
      <c r="W10" s="6">
        <f>nonhighlands!$L47</f>
        <v>11.851295174700027</v>
      </c>
      <c r="X10" s="6">
        <f>nonhighlands!$L64</f>
        <v>11.044571777461515</v>
      </c>
      <c r="Y10" s="38">
        <f t="shared" si="5"/>
        <v>11.340572832740854</v>
      </c>
      <c r="Z10" s="6">
        <f>nonhighlands!$L210</f>
        <v>12.372611249999999</v>
      </c>
      <c r="AA10" s="6">
        <f>nonhighlands!$L196</f>
        <v>11.756757079273244</v>
      </c>
      <c r="AB10" s="6">
        <f>nonhighlands!$L334</f>
        <v>11.829724322975306</v>
      </c>
      <c r="AC10" s="6">
        <f>nonhighlands!$L159</f>
        <v>11.145332680909233</v>
      </c>
      <c r="AE10" s="6">
        <f>nonhighlands!$L12</f>
        <v>13.071646730134244</v>
      </c>
      <c r="AI10" s="6">
        <f>nonmare!$O157</f>
        <v>16.892745937223104</v>
      </c>
      <c r="AJ10" s="6">
        <f>nonmare!$O170</f>
        <v>18.309279953495899</v>
      </c>
      <c r="AK10" s="6">
        <f>nonmare!$O490</f>
        <v>15.237531351272219</v>
      </c>
      <c r="AL10" s="6">
        <f>nonhighlands!$L342</f>
        <v>10.828242769165257</v>
      </c>
      <c r="AM10" s="6">
        <f>nonmare!$O441</f>
        <v>17.517592566493981</v>
      </c>
      <c r="AN10" s="6">
        <f>nonhighlands!$L303</f>
        <v>9.16</v>
      </c>
      <c r="AO10" s="6">
        <f>nonhighlands!$L308</f>
        <v>9.7538487805186627</v>
      </c>
      <c r="AP10" s="6">
        <f>nonhighlands!$L119</f>
        <v>10.832741559873844</v>
      </c>
      <c r="AQ10" s="6">
        <f>nonmare!$O265</f>
        <v>16.854121732660548</v>
      </c>
      <c r="AR10" s="6">
        <f>nonmare!$O274</f>
        <v>16.873652493969566</v>
      </c>
      <c r="AS10" s="6">
        <f>nonhighlands!$L232</f>
        <v>8.1464830818243428</v>
      </c>
      <c r="AT10" s="6">
        <f>nonhighlands!$L313</f>
        <v>13.481889562140292</v>
      </c>
      <c r="AU10" s="116">
        <f>nonmare!$O475</f>
        <v>17.905560146247659</v>
      </c>
      <c r="AV10" s="6">
        <f>nonhighlands!$L298</f>
        <v>11.719839873615795</v>
      </c>
      <c r="AW10" s="6">
        <f>nonmare!$O463</f>
        <v>16.234418578826933</v>
      </c>
      <c r="AX10" s="6">
        <f>nonhighlands!$L347</f>
        <v>12.118176164535626</v>
      </c>
      <c r="AY10" s="6">
        <f>nonhighlands!$L366</f>
        <v>11.093219877310792</v>
      </c>
      <c r="AZ10" s="6">
        <f>nonmare!$O513</f>
        <v>15.490213389542927</v>
      </c>
      <c r="BA10" s="48">
        <f>nonhighlands!$L380</f>
        <v>12.403538987857461</v>
      </c>
      <c r="BB10" s="6">
        <f>nonhighlands!$L374</f>
        <v>11.424930524370055</v>
      </c>
      <c r="BC10" s="6">
        <f>nonmare!$O507</f>
        <v>13.241526616487928</v>
      </c>
      <c r="BD10" s="6">
        <f>nonmare!$O519</f>
        <v>14.492254164567658</v>
      </c>
      <c r="BE10" s="6">
        <f>nonmare!$O566</f>
        <v>15.221689522408351</v>
      </c>
      <c r="BF10" s="6">
        <f>nonhighlands!$L319</f>
        <v>12.662215214322062</v>
      </c>
      <c r="BG10" s="6">
        <f>nonhighlands!$L324</f>
        <v>14.376625012377458</v>
      </c>
      <c r="BH10" s="6">
        <f>nonmare!$O572</f>
        <v>14.061855868450895</v>
      </c>
      <c r="BI10" s="6">
        <f>nonmare!$O622</f>
        <v>15.946884067385565</v>
      </c>
      <c r="BJ10" s="6">
        <f>nonmare!$O627</f>
        <v>16.867167551689075</v>
      </c>
      <c r="BK10" s="6">
        <f>nonmare!$O632</f>
        <v>15.584766654121193</v>
      </c>
      <c r="BL10" s="6">
        <f>nonmare!$O637</f>
        <v>14.234781861903127</v>
      </c>
      <c r="BM10" s="6">
        <f>nonmare!$O642</f>
        <v>15.201510110058869</v>
      </c>
      <c r="BN10" s="6">
        <f>nonhighlands!$L252</f>
        <v>10.513222570073728</v>
      </c>
      <c r="BO10" s="6">
        <f>nonhighlands!$L257</f>
        <v>8.9205504991297673</v>
      </c>
      <c r="BP10" s="38">
        <f t="shared" si="6"/>
        <v>9.7168865346017483</v>
      </c>
      <c r="BQ10" s="6">
        <f>nonhighlands!$L219</f>
        <v>9.6332636112241232</v>
      </c>
      <c r="BR10" s="6">
        <f>nonhighlands!$L227</f>
        <v>5.1779999999999999</v>
      </c>
      <c r="BS10" s="6"/>
      <c r="BT10" s="6">
        <f>nonhighlands!$L237</f>
        <v>7.9164861812063858</v>
      </c>
      <c r="BU10" s="6">
        <f>nonhighlands!$L267</f>
        <v>5.25262180471766</v>
      </c>
      <c r="BV10" s="38">
        <f t="shared" si="7"/>
        <v>6.115702661974681</v>
      </c>
      <c r="BW10" s="6">
        <f>nonhighlands!$L352</f>
        <v>12.963866478349699</v>
      </c>
      <c r="BX10" s="6"/>
      <c r="BY10" s="6"/>
      <c r="BZ10" s="6">
        <f>nonmare!$O194</f>
        <v>15.927420735079304</v>
      </c>
      <c r="CA10" s="6">
        <f>nonmare!$O235</f>
        <v>16.929487835252626</v>
      </c>
      <c r="CB10" s="6">
        <f t="shared" si="0"/>
        <v>17.701007518308888</v>
      </c>
      <c r="CC10" s="6">
        <f>nonhighlands!$L275</f>
        <v>9.1224427028112096</v>
      </c>
      <c r="CD10" s="6">
        <f>nonmare!$O322</f>
        <v>16.733721466451463</v>
      </c>
      <c r="CE10" s="38">
        <f t="shared" si="1"/>
        <v>16.578476136104889</v>
      </c>
      <c r="CF10" s="6">
        <f>nonmare!$O436</f>
        <v>15.79823625850973</v>
      </c>
      <c r="CG10" s="556">
        <f t="shared" si="8"/>
        <v>19.771456907461165</v>
      </c>
      <c r="CH10" s="556">
        <f>CG10-CH18</f>
        <v>16.909618033236409</v>
      </c>
      <c r="CI10" s="6">
        <f>nonhighlands!$L30</f>
        <v>14.597255258338491</v>
      </c>
      <c r="CJ10" s="6">
        <f>nonmare!$O470</f>
        <v>16.543918054914251</v>
      </c>
      <c r="CK10" s="6">
        <f>nonmare!$O485</f>
        <v>15.723031365196643</v>
      </c>
      <c r="CL10" s="6">
        <f>nonhighlands!$L176</f>
        <v>14.248294057845847</v>
      </c>
      <c r="CM10" s="6">
        <f>nonhighlands!$L164</f>
        <v>13.124706437724434</v>
      </c>
      <c r="CN10" s="6">
        <f t="shared" si="10"/>
        <v>14.019336580538088</v>
      </c>
      <c r="CO10" s="6">
        <f>nonhighlands!$L386</f>
        <v>9.7749241048119888</v>
      </c>
      <c r="CP10" s="116">
        <f>nonmare!$O607</f>
        <v>14.284114218368355</v>
      </c>
      <c r="CQ10" s="116">
        <f>nonmare!$O612</f>
        <v>13.626047993657696</v>
      </c>
      <c r="CR10" s="116">
        <f>nonmare!$O627</f>
        <v>16.867167551689075</v>
      </c>
      <c r="CS10" s="6">
        <f>nonmare!$O480</f>
        <v>16.113171137007356</v>
      </c>
      <c r="CT10" s="6">
        <f>nonmare!$O501</f>
        <v>13.60841201152793</v>
      </c>
      <c r="CU10" s="116">
        <f>nonmare!$O561</f>
        <v>14.042741758247789</v>
      </c>
      <c r="CV10" s="6">
        <f>nonmare!$O301</f>
        <v>10.625406685789571</v>
      </c>
      <c r="CW10" s="6">
        <f>nonmare!$O307</f>
        <v>11.941964941338824</v>
      </c>
      <c r="CX10" s="116">
        <f>nonmare!$O537</f>
        <v>17.44684754105791</v>
      </c>
      <c r="CY10" s="6">
        <f>nonmare!$O543</f>
        <v>14.97319120963569</v>
      </c>
      <c r="CZ10" s="6">
        <f>nonmare!$O555</f>
        <v>16.078982193390878</v>
      </c>
      <c r="DA10" s="116">
        <f>nonmare!$O549</f>
        <v>16.828401240817421</v>
      </c>
      <c r="DE10"/>
      <c r="DI10"/>
      <c r="DV10" s="6">
        <f>nonmare!$O328</f>
        <v>15.631092936802975</v>
      </c>
      <c r="DW10" s="6">
        <f>nonmare!$O334</f>
        <v>16.539026922884453</v>
      </c>
      <c r="DX10" s="6">
        <f>nonmare!$O340</f>
        <v>16.453733119707024</v>
      </c>
      <c r="DY10" s="6">
        <f>nonmare!$O346</f>
        <v>17.3</v>
      </c>
      <c r="DZ10" s="6">
        <f>nonmare!$O366</f>
        <v>16.77176951846657</v>
      </c>
      <c r="EA10" s="6">
        <f>nonmare!$O374</f>
        <v>16.646812733455985</v>
      </c>
      <c r="EB10" s="6">
        <f>nonmare!$O381</f>
        <v>16.8</v>
      </c>
      <c r="EC10" s="6">
        <f>nonmare!$O358</f>
        <v>15.843582711097895</v>
      </c>
      <c r="ED10" s="6">
        <f>nonmare!$O388</f>
        <v>15.9</v>
      </c>
      <c r="EE10" s="6">
        <f>nonmare!$O395</f>
        <v>16.100000000000001</v>
      </c>
      <c r="EF10" s="6">
        <f>nonmare!$O400</f>
        <v>16.81007801603905</v>
      </c>
      <c r="EG10" s="234"/>
      <c r="EH10" s="6">
        <f>nonmare!$O405</f>
        <v>16.717562506538343</v>
      </c>
      <c r="EI10" s="6">
        <f>nonmare!$O411</f>
        <v>18.600000000000001</v>
      </c>
      <c r="EJ10" s="6">
        <f>nonmare!$O416</f>
        <v>15.985007440476192</v>
      </c>
      <c r="EK10" s="6"/>
      <c r="EL10" s="278">
        <f>nonmare!$O426</f>
        <v>20.968506515062771</v>
      </c>
      <c r="EM10" s="278">
        <f>nonmare!$O431</f>
        <v>19.318573139251889</v>
      </c>
      <c r="EQ10" s="6">
        <f>nonmare!$O179</f>
        <v>15.89576877319789</v>
      </c>
      <c r="ER10" s="6">
        <f>nonmare!$O186</f>
        <v>15.742896472412482</v>
      </c>
      <c r="ES10" s="6">
        <f>nonmare!$O192</f>
        <v>15.810131424791516</v>
      </c>
      <c r="ET10" s="6">
        <f>nonmare!$O243</f>
        <v>17.348345189715904</v>
      </c>
      <c r="EU10" s="6">
        <f>nonmare!$O249</f>
        <v>18.003909870151752</v>
      </c>
      <c r="EV10" s="6">
        <f>nonmare!$O254</f>
        <v>17.750767495059005</v>
      </c>
      <c r="EW10" s="6">
        <v>16.741317618062094</v>
      </c>
      <c r="EX10" s="6"/>
      <c r="EY10" s="6"/>
      <c r="FD10" s="30">
        <v>10.625406685789571</v>
      </c>
      <c r="FH10" s="6">
        <f>nonmare!$O447</f>
        <v>15.946288486766541</v>
      </c>
      <c r="FI10" s="326">
        <f>FH5*$A$24</f>
        <v>0</v>
      </c>
      <c r="FJ10" s="325">
        <f t="shared" si="2"/>
        <v>0</v>
      </c>
    </row>
    <row r="11" spans="1:167" s="32" customFormat="1" ht="11.1" customHeight="1" x14ac:dyDescent="0.2">
      <c r="A11" s="230" t="s">
        <v>157</v>
      </c>
      <c r="B11" s="3">
        <f>nonmare!$P11</f>
        <v>0.30293232698366818</v>
      </c>
      <c r="C11" s="3">
        <f>nonmare!$P131</f>
        <v>0.34490749146860505</v>
      </c>
      <c r="D11" s="3">
        <f>nonmare!$P31</f>
        <v>0.32567478386167148</v>
      </c>
      <c r="E11" s="3">
        <f>nonmare!$P577</f>
        <v>0.34826379604142094</v>
      </c>
      <c r="F11" s="3">
        <f>nonmare!$P583</f>
        <v>0.37238928474977673</v>
      </c>
      <c r="G11" s="3">
        <f>nonmare!$P589</f>
        <v>0.61833511346063941</v>
      </c>
      <c r="H11" s="3">
        <f>nonmare!$P595</f>
        <v>0.37382668384016093</v>
      </c>
      <c r="I11" s="3">
        <f>nonmare!$P601</f>
        <v>0.3879097352192189</v>
      </c>
      <c r="J11" s="3">
        <f t="shared" si="3"/>
        <v>0.38086820952968992</v>
      </c>
      <c r="K11" s="3">
        <f>nonmare!$P294</f>
        <v>0.34497874754350777</v>
      </c>
      <c r="L11" s="3">
        <f>nonmare!$P114</f>
        <v>0.333536</v>
      </c>
      <c r="M11" s="3">
        <f>nonmare!$P84</f>
        <v>0.44534284994448053</v>
      </c>
      <c r="N11" s="3">
        <f>nonmare!$P525</f>
        <v>0.35869364092218936</v>
      </c>
      <c r="O11" s="3">
        <f>nonmare!$P531</f>
        <v>0.33855059481659822</v>
      </c>
      <c r="P11" s="3">
        <v>0.24</v>
      </c>
      <c r="Q11" s="3">
        <f>nonmare!$P283</f>
        <v>0.36086327924237771</v>
      </c>
      <c r="R11" s="3">
        <f>nonhighlands!$M94</f>
        <v>0.39166228991049806</v>
      </c>
      <c r="S11" s="3">
        <f>nonhighlands!$M83</f>
        <v>0.39760082298255706</v>
      </c>
      <c r="T11" s="3">
        <f t="shared" si="4"/>
        <v>0.39542187036737581</v>
      </c>
      <c r="U11" s="3">
        <f>nonhighlands!$M105</f>
        <v>0.3585392</v>
      </c>
      <c r="V11" s="3">
        <f>nonhighlands!$M293</f>
        <v>0.30210980179880081</v>
      </c>
      <c r="W11" s="3">
        <f>nonhighlands!$M47</f>
        <v>0.41630973239436625</v>
      </c>
      <c r="X11" s="3">
        <f>nonhighlands!$M64</f>
        <v>0.37339461874503571</v>
      </c>
      <c r="Y11" s="38">
        <f t="shared" si="5"/>
        <v>0.38914093150987911</v>
      </c>
      <c r="Z11" s="3">
        <f>nonhighlands!$M210</f>
        <v>0.28041458639021799</v>
      </c>
      <c r="AA11" s="3">
        <f>nonhighlands!$M196</f>
        <v>0.25771384977669509</v>
      </c>
      <c r="AB11" s="6">
        <f>nonhighlands!$M334</f>
        <v>0.26322359300029813</v>
      </c>
      <c r="AC11" s="3">
        <f>nonhighlands!$M159</f>
        <v>0.35272793641416927</v>
      </c>
      <c r="AE11" s="3">
        <f>nonhighlands!$M12</f>
        <v>0.44651184121220766</v>
      </c>
      <c r="AI11" s="3">
        <f>nonmare!$P157</f>
        <v>0.34760881351976902</v>
      </c>
      <c r="AJ11" s="3">
        <f>nonmare!$P170</f>
        <v>0.33799969196185486</v>
      </c>
      <c r="AK11" s="3">
        <f>nonmare!$P490</f>
        <v>0.56142785153799535</v>
      </c>
      <c r="AL11" s="3">
        <f>nonhighlands!$M342</f>
        <v>0.50655419734547469</v>
      </c>
      <c r="AM11" s="3">
        <f>nonmare!$P441</f>
        <v>0.32152610412187044</v>
      </c>
      <c r="AN11" s="3">
        <f>nonhighlands!$M303</f>
        <v>0.35</v>
      </c>
      <c r="AO11" s="3">
        <f>nonhighlands!$M308</f>
        <v>0.20056911904010105</v>
      </c>
      <c r="AP11" s="350">
        <f>nonhighlands!$M119</f>
        <v>0.34060026853078484</v>
      </c>
      <c r="AQ11" s="3">
        <f>nonmare!$P265</f>
        <v>0.34080744964293075</v>
      </c>
      <c r="AR11" s="3">
        <f>nonmare!$P274</f>
        <v>0.32861421977850053</v>
      </c>
      <c r="AS11" s="3">
        <f>nonhighlands!$M232</f>
        <v>0.20899999999999999</v>
      </c>
      <c r="AT11" s="3">
        <f>nonhighlands!$M313</f>
        <v>0.48694222902324824</v>
      </c>
      <c r="AU11" s="117">
        <f>nonmare!$P475</f>
        <v>0.34361907950537923</v>
      </c>
      <c r="AV11" s="3">
        <f>nonhighlands!$M298</f>
        <v>0.29909837578874121</v>
      </c>
      <c r="AW11" s="3">
        <f>nonmare!$P463</f>
        <v>0.2890368818348979</v>
      </c>
      <c r="AX11" s="3">
        <f>nonhighlands!$M347</f>
        <v>0.59506626034919785</v>
      </c>
      <c r="AY11" s="3">
        <f>nonhighlands!$M366</f>
        <v>0.36695322010938214</v>
      </c>
      <c r="AZ11" s="3">
        <f>nonmare!$P513</f>
        <v>0.36283658040127953</v>
      </c>
      <c r="BA11" s="3">
        <f>nonhighlands!$M380</f>
        <v>0.36560458023696685</v>
      </c>
      <c r="BB11" s="3">
        <f>nonhighlands!$M374</f>
        <v>0.29630250284057658</v>
      </c>
      <c r="BC11" s="3">
        <f>nonmare!$P507</f>
        <v>0.30705611251009651</v>
      </c>
      <c r="BD11" s="3">
        <f>nonmare!$P519</f>
        <v>0.52012383856243349</v>
      </c>
      <c r="BE11" s="3">
        <f>nonmare!$P566</f>
        <v>0.44030346191889219</v>
      </c>
      <c r="BF11" s="3">
        <f>nonhighlands!$M319</f>
        <v>0.47580466346413336</v>
      </c>
      <c r="BG11" s="3">
        <f>nonhighlands!$M324</f>
        <v>0.48448595671131711</v>
      </c>
      <c r="BH11" s="3">
        <f>nonmare!$P572</f>
        <v>0.246</v>
      </c>
      <c r="BI11" s="3">
        <f>nonmare!$P622</f>
        <v>0.47918548352171847</v>
      </c>
      <c r="BJ11" s="3">
        <f>nonmare!$P627</f>
        <v>0.32364359959326622</v>
      </c>
      <c r="BK11" s="3">
        <f>nonmare!$P632</f>
        <v>0.45745932128967504</v>
      </c>
      <c r="BL11" s="3">
        <f>nonmare!$P637</f>
        <v>0.45996135348677436</v>
      </c>
      <c r="BM11" s="3">
        <f>nonmare!$P642</f>
        <v>0.60348675454312772</v>
      </c>
      <c r="BN11" s="3">
        <f>nonhighlands!$M252</f>
        <v>0.13800000000000001</v>
      </c>
      <c r="BO11" s="3">
        <f>nonhighlands!$M257</f>
        <v>0.16600000000000001</v>
      </c>
      <c r="BP11" s="38">
        <f t="shared" si="6"/>
        <v>0.15200000000000002</v>
      </c>
      <c r="BQ11" s="3">
        <f>nonhighlands!$M219</f>
        <v>0.20250494321638612</v>
      </c>
      <c r="BR11" s="3">
        <f>nonhighlands!$M227</f>
        <v>0.16197235937651275</v>
      </c>
      <c r="BS11" s="3"/>
      <c r="BT11" s="3">
        <f>nonhighlands!$M237</f>
        <v>0.113</v>
      </c>
      <c r="BU11" s="3">
        <f>nonhighlands!$M267</f>
        <v>0.127</v>
      </c>
      <c r="BV11" s="38">
        <f t="shared" si="7"/>
        <v>0.13399078645883758</v>
      </c>
      <c r="BW11" s="3">
        <f>nonhighlands!$M352</f>
        <v>0.32200450934077735</v>
      </c>
      <c r="BX11" s="3"/>
      <c r="BY11" s="3"/>
      <c r="BZ11" s="3">
        <f>nonmare!$P194</f>
        <v>0.33828569260769298</v>
      </c>
      <c r="CA11" s="3">
        <f>nonmare!$P235</f>
        <v>0.27175680000000002</v>
      </c>
      <c r="CB11" s="3">
        <f t="shared" si="0"/>
        <v>0.33724390236419316</v>
      </c>
      <c r="CC11" s="3">
        <f>nonhighlands!$M275</f>
        <v>0.50991629202002664</v>
      </c>
      <c r="CD11" s="3">
        <f>nonmare!$P322</f>
        <v>0.34069345169471987</v>
      </c>
      <c r="CE11" s="38">
        <f t="shared" si="1"/>
        <v>0.33971540945955375</v>
      </c>
      <c r="CF11" s="3">
        <f>nonmare!$P436</f>
        <v>0.70489785624211854</v>
      </c>
      <c r="CG11" s="6">
        <f t="shared" si="8"/>
        <v>0.33824513013707413</v>
      </c>
      <c r="CH11" s="6">
        <f>CG11*CH$1</f>
        <v>0.35048144439611012</v>
      </c>
      <c r="CI11" s="3">
        <f>nonhighlands!$M30</f>
        <v>0.38356980129744078</v>
      </c>
      <c r="CJ11" s="3">
        <f>nonmare!$P470</f>
        <v>0.35863218749535575</v>
      </c>
      <c r="CK11" s="3">
        <f>nonmare!$P485</f>
        <v>0.3624814165430339</v>
      </c>
      <c r="CL11" s="3">
        <f>nonhighlands!$M176</f>
        <v>0.33206316272340725</v>
      </c>
      <c r="CM11" s="3">
        <f>nonhighlands!$M164</f>
        <v>0.377065208887498</v>
      </c>
      <c r="CN11" s="3">
        <f t="shared" si="10"/>
        <v>0.34123339099835409</v>
      </c>
      <c r="CO11" s="3">
        <f>nonhighlands!$M386</f>
        <v>0.79096635890548928</v>
      </c>
      <c r="CP11" s="117">
        <f>nonmare!$P607</f>
        <v>0.33555088574485792</v>
      </c>
      <c r="CQ11" s="117">
        <f>nonmare!$P612</f>
        <v>0.40490068807339452</v>
      </c>
      <c r="CR11" s="117">
        <f>nonmare!$P627</f>
        <v>0.32364359959326622</v>
      </c>
      <c r="CS11" s="3">
        <f>nonmare!$P480</f>
        <v>0.34028981920382556</v>
      </c>
      <c r="CT11" s="3">
        <f>nonmare!$P501</f>
        <v>0.32263851987283221</v>
      </c>
      <c r="CU11" s="117">
        <f>nonmare!$P561</f>
        <v>0.31767313369886119</v>
      </c>
      <c r="CV11" s="3">
        <f>nonmare!$P301</f>
        <v>0.90494624412035674</v>
      </c>
      <c r="CW11" s="3">
        <f>nonmare!$P307</f>
        <v>0.75489172984791242</v>
      </c>
      <c r="CX11" s="117">
        <f>nonmare!$P537</f>
        <v>0.33927835474975065</v>
      </c>
      <c r="CY11" s="3">
        <f>nonmare!$P543</f>
        <v>0.32184497632467379</v>
      </c>
      <c r="CZ11" s="3">
        <f>nonmare!$P555</f>
        <v>0.40080269479795005</v>
      </c>
      <c r="DA11" s="117">
        <f>nonmare!$P549</f>
        <v>0.32320010807665134</v>
      </c>
      <c r="DE11"/>
      <c r="DI11"/>
      <c r="DV11" s="3">
        <f>nonmare!$P328</f>
        <v>0.31355464684014872</v>
      </c>
      <c r="DW11" s="3">
        <f>nonmare!$P334</f>
        <v>0.35666191262573188</v>
      </c>
      <c r="DX11" s="3">
        <f>nonmare!$P340</f>
        <v>0.33563653009842076</v>
      </c>
      <c r="DY11" s="3">
        <f>nonmare!$P346</f>
        <v>0.36</v>
      </c>
      <c r="DZ11" s="3">
        <f>nonmare!$P366</f>
        <v>0.33045909303412813</v>
      </c>
      <c r="EA11" s="3">
        <f>nonmare!$P374</f>
        <v>0.29762596866811619</v>
      </c>
      <c r="EB11" s="3">
        <f>nonmare!$P381</f>
        <v>0.34</v>
      </c>
      <c r="EC11" s="3">
        <f>nonmare!$P358</f>
        <v>0.35236992115897625</v>
      </c>
      <c r="ED11" s="3">
        <f>nonmare!$P388</f>
        <v>0.35</v>
      </c>
      <c r="EE11" s="3">
        <f>nonmare!$P395</f>
        <v>0.36</v>
      </c>
      <c r="EF11" s="3">
        <f>nonmare!$P400</f>
        <v>0.32841492329149236</v>
      </c>
      <c r="EG11" s="3"/>
      <c r="EH11" s="3">
        <f>nonmare!$P405</f>
        <v>0.33659723820483317</v>
      </c>
      <c r="EI11" s="3">
        <f>nonmare!$P411</f>
        <v>0.37</v>
      </c>
      <c r="EJ11" s="3">
        <f>nonmare!$P416</f>
        <v>0.32469549851190477</v>
      </c>
      <c r="EK11" s="3"/>
      <c r="EL11" s="3">
        <f>nonmare!$P426</f>
        <v>0.3231294861337683</v>
      </c>
      <c r="EM11" s="3">
        <f>nonmare!$P431</f>
        <v>0.34396388211832485</v>
      </c>
      <c r="EQ11" s="3">
        <f>nonmare!$P179</f>
        <v>0.3415549064314598</v>
      </c>
      <c r="ER11" s="3">
        <f>nonmare!$P186</f>
        <v>0.3363593468194005</v>
      </c>
      <c r="ES11" s="3">
        <f>nonmare!$P192</f>
        <v>0.33733899218539481</v>
      </c>
      <c r="ET11" s="3">
        <f>nonmare!$P243</f>
        <v>0.31958165989090098</v>
      </c>
      <c r="EU11" s="3">
        <f>nonmare!$P249</f>
        <v>0.36447867268566309</v>
      </c>
      <c r="EV11" s="3">
        <f>nonmare!$P254</f>
        <v>0.32767137451601547</v>
      </c>
      <c r="EW11" s="3">
        <v>0.38928963584899584</v>
      </c>
      <c r="EX11" s="3"/>
      <c r="EY11" s="3"/>
      <c r="FD11" s="32">
        <v>0.90494624412035674</v>
      </c>
      <c r="FH11" s="3">
        <f>nonmare!$P447</f>
        <v>0.28765879334166722</v>
      </c>
      <c r="FI11" s="324">
        <f>FH11</f>
        <v>0.28765879334166722</v>
      </c>
      <c r="FJ11" s="324">
        <f t="shared" si="2"/>
        <v>0.342765722122506</v>
      </c>
    </row>
    <row r="12" spans="1:167" s="32" customFormat="1" ht="11.1" customHeight="1" x14ac:dyDescent="0.2">
      <c r="A12" s="230" t="s">
        <v>158</v>
      </c>
      <c r="B12" s="3">
        <f>nonmare!$Q11</f>
        <v>2.4003459005058535E-2</v>
      </c>
      <c r="C12" s="3">
        <f>nonmare!$Q131</f>
        <v>3.3307520162188332E-2</v>
      </c>
      <c r="D12" s="3">
        <f>nonmare!$Q31</f>
        <v>2.6827611111111108E-2</v>
      </c>
      <c r="E12" s="3">
        <f>nonmare!$Q577</f>
        <v>2.2162466526530766E-2</v>
      </c>
      <c r="F12" s="3">
        <f>nonmare!$Q583</f>
        <v>3.1973207288891373E-2</v>
      </c>
      <c r="G12" s="3">
        <f>nonmare!$Q589</f>
        <v>9.5629822282172261E-2</v>
      </c>
      <c r="H12" s="3">
        <f>nonmare!$Q595</f>
        <v>3.8594836977117547E-2</v>
      </c>
      <c r="I12" s="3">
        <f>nonmare!$Q601</f>
        <v>6.2443358836415205E-2</v>
      </c>
      <c r="J12" s="3">
        <f t="shared" si="3"/>
        <v>5.0519097906766376E-2</v>
      </c>
      <c r="K12" s="3">
        <f>nonmare!$Q294</f>
        <v>2.604725073891289E-2</v>
      </c>
      <c r="L12" s="3">
        <f>nonmare!$Q114</f>
        <v>3.3023269766698622E-2</v>
      </c>
      <c r="M12" s="3">
        <f>nonmare!$Q84</f>
        <v>2.281459211999106E-2</v>
      </c>
      <c r="N12" s="3">
        <f>nonmare!$Q525</f>
        <v>2.6056700448515491E-2</v>
      </c>
      <c r="O12" s="3">
        <f>nonmare!$Q531</f>
        <v>3.0154999747153351E-2</v>
      </c>
      <c r="P12" s="3" t="s">
        <v>418</v>
      </c>
      <c r="Q12" s="3">
        <f>nonmare!$Q283</f>
        <v>0.13537488248454946</v>
      </c>
      <c r="R12" s="3">
        <f>nonhighlands!$N94</f>
        <v>6.3517008591738949E-2</v>
      </c>
      <c r="S12" s="3">
        <f>nonhighlands!$N83</f>
        <v>7.7415239999999996E-2</v>
      </c>
      <c r="T12" s="3">
        <f t="shared" si="4"/>
        <v>7.2315733555233477E-2</v>
      </c>
      <c r="U12" s="3">
        <f>nonhighlands!$N105</f>
        <v>7.0427066666666663E-2</v>
      </c>
      <c r="V12" s="3">
        <f>nonhighlands!$N293</f>
        <v>4.7538579948910233E-2</v>
      </c>
      <c r="W12" s="3">
        <f>nonhighlands!$N47</f>
        <v>5.9342522145248496E-2</v>
      </c>
      <c r="X12" s="3">
        <f>nonhighlands!$N64</f>
        <v>4.8337051940176595E-2</v>
      </c>
      <c r="Y12" s="38">
        <f t="shared" si="5"/>
        <v>5.2375153234496027E-2</v>
      </c>
      <c r="Z12" s="3">
        <f>nonhighlands!$N210</f>
        <v>6.0403702962962956E-2</v>
      </c>
      <c r="AA12" s="3">
        <f>nonhighlands!$N196</f>
        <v>3.7804424999999996E-2</v>
      </c>
      <c r="AB12" s="3">
        <f>nonhighlands!$N334</f>
        <v>2.7416760702445815E-2</v>
      </c>
      <c r="AC12" s="3">
        <f>nonhighlands!$N159</f>
        <v>9.0333858018819491E-2</v>
      </c>
      <c r="AE12" s="3">
        <f>nonhighlands!$N12</f>
        <v>0.24173297651537765</v>
      </c>
      <c r="AI12" s="49">
        <f>nonmare!$Q157</f>
        <v>6.3039243541089265E-2</v>
      </c>
      <c r="AJ12" s="45">
        <f>nonmare!$Q170</f>
        <v>8.1357352058983673E-2</v>
      </c>
      <c r="AK12" s="3">
        <f>nonmare!$Q490</f>
        <v>0.14359417984756373</v>
      </c>
      <c r="AL12" s="3">
        <f>nonhighlands!$N342</f>
        <v>0.17825518561615125</v>
      </c>
      <c r="AM12" s="3">
        <f>nonmare!$Q441</f>
        <v>5.1520690726481334E-2</v>
      </c>
      <c r="AN12" s="3">
        <f>nonhighlands!$N303</f>
        <v>1.1965010934083101E-2</v>
      </c>
      <c r="AO12" s="3">
        <f>nonhighlands!$N308</f>
        <v>3.9451409756742079E-2</v>
      </c>
      <c r="AP12" s="3">
        <f>nonhighlands!$N119</f>
        <v>0.10232673990159097</v>
      </c>
      <c r="AQ12" s="3">
        <f>nonmare!$Q265</f>
        <v>3.5616957162728835E-2</v>
      </c>
      <c r="AR12" s="3">
        <f>nonmare!$Q274</f>
        <v>4.5747914809514463E-2</v>
      </c>
      <c r="AS12" s="3">
        <f>nonhighlands!$N232</f>
        <v>6.4863906085645864E-2</v>
      </c>
      <c r="AT12" s="3">
        <f>nonhighlands!$N313</f>
        <v>0.19106640904645805</v>
      </c>
      <c r="AU12" s="117">
        <f>nonmare!$Q475</f>
        <v>3.0216407286430987E-2</v>
      </c>
      <c r="AV12" s="3">
        <f>nonhighlands!$N298</f>
        <v>0.10346378481299151</v>
      </c>
      <c r="AW12" s="3">
        <f>nonmare!$Q463</f>
        <v>2.7362937638181824E-2</v>
      </c>
      <c r="AX12" s="3">
        <f>nonhighlands!$N347</f>
        <v>0.45893041008148416</v>
      </c>
      <c r="AY12" s="3">
        <f>nonhighlands!$N366</f>
        <v>0.12612994483876505</v>
      </c>
      <c r="AZ12" s="3">
        <f>nonmare!$Q513</f>
        <v>0.14622750335563434</v>
      </c>
      <c r="BA12" s="3">
        <f>nonhighlands!$N380</f>
        <v>6.4545273011194282E-2</v>
      </c>
      <c r="BB12" s="3">
        <f>nonhighlands!$N374</f>
        <v>4.5420498085230188E-2</v>
      </c>
      <c r="BC12" s="3">
        <f>nonmare!$Q507</f>
        <v>0.12091035247688814</v>
      </c>
      <c r="BD12" s="3">
        <f>nonmare!$Q519</f>
        <v>0.1334123928822834</v>
      </c>
      <c r="BE12" s="3">
        <f>nonmare!$Q566</f>
        <v>6.3463829823309115E-2</v>
      </c>
      <c r="BF12" s="3">
        <f>nonhighlands!$N319</f>
        <v>0.12041290080309232</v>
      </c>
      <c r="BG12" s="3">
        <f>nonhighlands!$N324</f>
        <v>9.6279698186743978E-2</v>
      </c>
      <c r="BH12" s="3">
        <f>nonmare!$Q572</f>
        <v>3.8694106659027269E-2</v>
      </c>
      <c r="BI12" s="3">
        <f>nonmare!$Q622</f>
        <v>2.0300549997834656E-2</v>
      </c>
      <c r="BJ12" s="3">
        <f>nonmare!$Q627</f>
        <v>8.7308778669076936E-2</v>
      </c>
      <c r="BK12" s="3">
        <f>nonmare!$Q632</f>
        <v>0.13408449378998871</v>
      </c>
      <c r="BL12" s="3">
        <f>nonmare!$Q637</f>
        <v>0.15222389213328752</v>
      </c>
      <c r="BM12" s="3">
        <f>nonmare!$Q642</f>
        <v>0.10979907857691322</v>
      </c>
      <c r="BN12" s="3">
        <f>nonhighlands!$N252</f>
        <v>1.1561368295873255E-2</v>
      </c>
      <c r="BO12" s="3">
        <f>nonhighlands!$N257</f>
        <v>2.2460856746650229E-2</v>
      </c>
      <c r="BP12" s="38">
        <f t="shared" si="6"/>
        <v>1.7011112521261744E-2</v>
      </c>
      <c r="BQ12" s="3">
        <f>nonhighlands!$N219</f>
        <v>0.11398799823555276</v>
      </c>
      <c r="BR12" s="3">
        <f>nonhighlands!$N227</f>
        <v>7.2250000000000009E-2</v>
      </c>
      <c r="BS12" s="3"/>
      <c r="BT12" s="3">
        <f>nonhighlands!$N237</f>
        <v>3.283052627525445E-2</v>
      </c>
      <c r="BU12" s="3">
        <f>nonhighlands!$N267</f>
        <v>1.7149877484794771E-2</v>
      </c>
      <c r="BV12" s="38">
        <f t="shared" si="7"/>
        <v>4.0743467920016409E-2</v>
      </c>
      <c r="BW12" s="3">
        <f>nonhighlands!$N352</f>
        <v>8.5406657309933118E-2</v>
      </c>
      <c r="BX12" s="45"/>
      <c r="BY12" s="45"/>
      <c r="BZ12" s="3">
        <f>nonmare!$Q194</f>
        <v>4.8769153583285915E-2</v>
      </c>
      <c r="CA12" s="3">
        <f>nonmare!$Q235</f>
        <v>3.2524199999999996E-2</v>
      </c>
      <c r="CB12" s="3">
        <f t="shared" si="0"/>
        <v>2.3308348030008638E-2</v>
      </c>
      <c r="CC12" s="3">
        <f>nonhighlands!$N275</f>
        <v>0.12423179611154601</v>
      </c>
      <c r="CD12" s="3">
        <f>nonmare!$Q322</f>
        <v>2.8116488683603388E-2</v>
      </c>
      <c r="CE12" s="38">
        <f t="shared" si="1"/>
        <v>1.7496212973214301E-2</v>
      </c>
      <c r="CF12" s="3">
        <f>nonmare!$Q436</f>
        <v>4.0487683360358691E-2</v>
      </c>
      <c r="CG12" s="6">
        <f t="shared" si="8"/>
        <v>2.8719751747184386E-2</v>
      </c>
      <c r="CH12" s="6">
        <f>CG12*CH$1</f>
        <v>2.9758713956862411E-2</v>
      </c>
      <c r="CI12" s="3">
        <f>nonhighlands!$N30</f>
        <v>6.3152500463597605E-2</v>
      </c>
      <c r="CJ12" s="3">
        <f>nonmare!$Q470</f>
        <v>6.5434824037582662E-2</v>
      </c>
      <c r="CK12" s="3">
        <f>nonmare!$Q485</f>
        <v>4.0084295530678729E-2</v>
      </c>
      <c r="CL12" s="3">
        <f>nonhighlands!$N176</f>
        <v>7.2736716435520724E-2</v>
      </c>
      <c r="CM12" s="3">
        <f>nonhighlands!$N164</f>
        <v>0.12394724477750921</v>
      </c>
      <c r="CN12" s="3">
        <f t="shared" si="10"/>
        <v>8.3172069380680655E-2</v>
      </c>
      <c r="CO12" s="3">
        <f>nonhighlands!$N386</f>
        <v>0.69689449591728381</v>
      </c>
      <c r="CP12" s="117">
        <f>nonmare!$Q607</f>
        <v>6.2509427059884437E-2</v>
      </c>
      <c r="CQ12" s="117">
        <f>nonmare!$Q612</f>
        <v>0.16243181560509229</v>
      </c>
      <c r="CR12" s="117">
        <f>nonmare!$Q627</f>
        <v>8.7308778669076936E-2</v>
      </c>
      <c r="CS12" s="3">
        <f>nonmare!$Q480</f>
        <v>3.0180989599381335E-2</v>
      </c>
      <c r="CT12" s="3">
        <f>nonmare!$Q501</f>
        <v>5.6786375917969721E-2</v>
      </c>
      <c r="CU12" s="117">
        <f>nonmare!$Q561</f>
        <v>6.8240302091290006E-2</v>
      </c>
      <c r="CV12" s="3">
        <f>nonmare!$Q301</f>
        <v>0.47287050580476242</v>
      </c>
      <c r="CW12" s="3">
        <f>nonmare!$Q307</f>
        <v>0.49226780408164289</v>
      </c>
      <c r="CX12" s="117">
        <f>nonmare!$Q537</f>
        <v>2.4444372050134937E-2</v>
      </c>
      <c r="CY12" s="3">
        <f>nonmare!$Q543</f>
        <v>4.6103444843475609E-2</v>
      </c>
      <c r="CZ12" s="3">
        <f>nonmare!$Q555</f>
        <v>0.18332295860274589</v>
      </c>
      <c r="DA12" s="117">
        <f>nonmare!$Q549</f>
        <v>3.8918199059523213E-2</v>
      </c>
      <c r="DE12"/>
      <c r="DI12"/>
      <c r="DV12" s="3">
        <f>nonmare!$Q328</f>
        <v>1.0518822525054646E-2</v>
      </c>
      <c r="DW12" s="3">
        <f>nonmare!$Q334</f>
        <v>2.521437904617517E-2</v>
      </c>
      <c r="DX12" s="3">
        <f>nonmare!$Q340</f>
        <v>1.6899433678263208E-2</v>
      </c>
      <c r="DY12" s="3">
        <f>nonmare!$Q346</f>
        <v>0.01</v>
      </c>
      <c r="DZ12" s="3">
        <f>nonmare!$Q366</f>
        <v>1.2399809314740532E-2</v>
      </c>
      <c r="EA12" s="3">
        <f>nonmare!$Q374</f>
        <v>3.0010592629759712E-2</v>
      </c>
      <c r="EB12" s="3">
        <f>nonmare!$Q381</f>
        <v>0.01</v>
      </c>
      <c r="EC12" s="3">
        <f>nonmare!$Q358</f>
        <v>3.1687295852138767E-2</v>
      </c>
      <c r="ED12" s="3">
        <f>nonmare!$Q388</f>
        <v>0.02</v>
      </c>
      <c r="EE12" s="3">
        <f>nonmare!$Q395</f>
        <v>0.02</v>
      </c>
      <c r="EF12" s="3">
        <f>nonmare!$Q400</f>
        <v>2.1541899276127974E-2</v>
      </c>
      <c r="EG12" s="3"/>
      <c r="EH12" s="3">
        <f>nonmare!$Q405</f>
        <v>2.399233584559992E-2</v>
      </c>
      <c r="EI12" s="3">
        <f>nonmare!$Q412</f>
        <v>0</v>
      </c>
      <c r="EJ12" s="3">
        <f>nonmare!$Q416</f>
        <v>1.2682413457140284E-2</v>
      </c>
      <c r="EK12" s="3"/>
      <c r="EL12" s="3">
        <f>nonmare!$Q426</f>
        <v>3.1732078720861506E-2</v>
      </c>
      <c r="EM12" s="3">
        <f>nonmare!$Q431</f>
        <v>2.7580088042143208E-2</v>
      </c>
      <c r="EQ12" s="3">
        <f>nonmare!$Q179</f>
        <v>5.4160350324600981E-2</v>
      </c>
      <c r="ER12" s="3">
        <f>nonmare!$Q186</f>
        <v>4.3074238037197288E-2</v>
      </c>
      <c r="ES12" s="3">
        <f>nonmare!$Q192</f>
        <v>3.8290478905429332E-2</v>
      </c>
      <c r="ET12" s="3">
        <f>nonmare!$Q243</f>
        <v>1.3245287035424396E-2</v>
      </c>
      <c r="EU12" s="3">
        <f>nonmare!$Q249</f>
        <v>4.5185095788646233E-2</v>
      </c>
      <c r="EV12" s="3">
        <f>nonmare!$Q254</f>
        <v>1.1494661265955284E-2</v>
      </c>
      <c r="EW12" s="30">
        <v>3.2346004438312606E-2</v>
      </c>
      <c r="EX12" s="3"/>
      <c r="EY12" s="3"/>
      <c r="FD12" s="32">
        <v>0.47287050580476242</v>
      </c>
      <c r="FH12" s="3">
        <f>nonmare!$Q447</f>
        <v>2.3343936159212229E-2</v>
      </c>
      <c r="FI12" s="324">
        <f>FH12</f>
        <v>2.3343936159212229E-2</v>
      </c>
      <c r="FJ12" s="324">
        <f t="shared" si="2"/>
        <v>2.7815944862461625E-2</v>
      </c>
    </row>
    <row r="13" spans="1:167" ht="11.1" customHeight="1" x14ac:dyDescent="0.2">
      <c r="A13" s="1" t="s">
        <v>261</v>
      </c>
      <c r="B13" s="6">
        <f>nonmare!$R11</f>
        <v>2.0622600000000001E-2</v>
      </c>
      <c r="C13" s="6">
        <f>nonmare!$R131</f>
        <v>0.03</v>
      </c>
      <c r="D13" s="6">
        <f>nonmare!$R31</f>
        <v>0</v>
      </c>
      <c r="E13" s="6">
        <f>nonmare!$R577</f>
        <v>2.3471285808214871E-2</v>
      </c>
      <c r="F13" s="6">
        <f>nonmare!$R583</f>
        <v>1.9129560139758636E-2</v>
      </c>
      <c r="G13" s="6">
        <f>nonmare!$R589</f>
        <v>0.10204463576222068</v>
      </c>
      <c r="H13" s="6">
        <f>nonmare!$R595</f>
        <v>1.7760028332048192E-2</v>
      </c>
      <c r="I13" s="6">
        <f>nonmare!$R601</f>
        <v>6.1430272155708648E-2</v>
      </c>
      <c r="J13" s="6">
        <f t="shared" si="3"/>
        <v>3.959515024387842E-2</v>
      </c>
      <c r="K13" s="6">
        <f>nonmare!$R294</f>
        <v>2.4498791978897996E-2</v>
      </c>
      <c r="L13" s="6">
        <f>nonmare!$R114</f>
        <v>2.9467163333333334E-2</v>
      </c>
      <c r="M13" s="6">
        <f>nonmare!$R84</f>
        <v>2.589282E-2</v>
      </c>
      <c r="N13" s="6">
        <f>nonmare!$R525</f>
        <v>2.390884077308433E-2</v>
      </c>
      <c r="O13" s="6">
        <f>nonmare!$R531</f>
        <v>3.2631040078289979E-2</v>
      </c>
      <c r="P13" s="6"/>
      <c r="Q13" s="6">
        <f>nonmare!$R283</f>
        <v>0.11282863559236149</v>
      </c>
      <c r="R13" s="6">
        <f>nonhighlands!$O94</f>
        <v>9.1367170768537231E-2</v>
      </c>
      <c r="S13" s="6">
        <f>nonhighlands!$O83</f>
        <v>0</v>
      </c>
      <c r="T13" s="6">
        <f t="shared" si="4"/>
        <v>3.3524227830693115E-2</v>
      </c>
      <c r="U13" s="6">
        <f>nonhighlands!$O105</f>
        <v>0.06</v>
      </c>
      <c r="V13" s="6">
        <f>nonhighlands!$O293</f>
        <v>0.11254767759515788</v>
      </c>
      <c r="W13" s="6">
        <f>nonhighlands!$O47</f>
        <v>5.8035479253811889E-2</v>
      </c>
      <c r="X13" s="6">
        <f>nonhighlands!$O64</f>
        <v>6.6015824238583293E-2</v>
      </c>
      <c r="Y13" s="38">
        <f t="shared" si="5"/>
        <v>6.3087694789169133E-2</v>
      </c>
      <c r="Z13" s="6">
        <f>nonhighlands!$O210</f>
        <v>4.8357750000000005E-2</v>
      </c>
      <c r="AA13" s="6">
        <f>nonhighlands!$O196</f>
        <v>4.427905E-2</v>
      </c>
      <c r="AB13" s="6">
        <f>nonhighlands!$O334</f>
        <v>4.6560700287667622E-2</v>
      </c>
      <c r="AC13" s="6">
        <f>nonhighlands!$O159</f>
        <v>0.12495161377230993</v>
      </c>
      <c r="AE13" s="6">
        <f>nonhighlands!O12</f>
        <v>0.15915295494375015</v>
      </c>
      <c r="AI13" s="6">
        <f>nonmare!$R157</f>
        <v>0.1222767972312383</v>
      </c>
      <c r="AJ13" s="6">
        <f>nonmare!$R170</f>
        <v>0.25466240000000001</v>
      </c>
      <c r="AK13" s="6">
        <f>nonmare!$R490</f>
        <v>2.7843403165825016E-2</v>
      </c>
      <c r="AL13" s="6">
        <f>nonhighlands!$O342</f>
        <v>0.24833638711818329</v>
      </c>
      <c r="AM13" s="6">
        <f>nonmare!$R441</f>
        <v>6.366897116595216E-2</v>
      </c>
      <c r="AN13" s="7">
        <f>nonhighlands!O303</f>
        <v>0</v>
      </c>
      <c r="AO13" s="3">
        <f>nonhighlands!$O308</f>
        <v>6.9833741158535814E-2</v>
      </c>
      <c r="AP13" s="6">
        <f>nonhighlands!O119</f>
        <v>8.9954107339791256E-2</v>
      </c>
      <c r="AQ13" s="6">
        <f>nonmare!$R265</f>
        <v>4.0407355136106569E-2</v>
      </c>
      <c r="AR13" s="6">
        <f>nonmare!$R274</f>
        <v>3.4445967182924052E-2</v>
      </c>
      <c r="AS13" s="6">
        <f>nonhighlands!$O232</f>
        <v>6.9400487248589049E-2</v>
      </c>
      <c r="AT13" s="6">
        <f>nonhighlands!$O313</f>
        <v>0.1431348123901833</v>
      </c>
      <c r="AU13" s="116">
        <f>nonmare!$R475</f>
        <v>2.8319316887177662E-2</v>
      </c>
      <c r="AV13" s="6">
        <f>nonhighlands!$O298</f>
        <v>6.4337522096853103E-2</v>
      </c>
      <c r="AW13" s="6">
        <f>nonmare!$R463</f>
        <v>3.3470735736119236E-2</v>
      </c>
      <c r="AX13" s="6">
        <f>nonhighlands!$O347</f>
        <v>0.268031199798139</v>
      </c>
      <c r="AY13" s="3">
        <f>nonhighlands!$O366</f>
        <v>0.11311317736748699</v>
      </c>
      <c r="AZ13" s="6">
        <f>nonmare!$R513</f>
        <v>8.2883731267768823E-2</v>
      </c>
      <c r="BA13" s="6">
        <f>nonhighlands!$O380</f>
        <v>6.7223510158445451E-2</v>
      </c>
      <c r="BB13" s="6">
        <f>nonhighlands!$O374</f>
        <v>3.1546606392826256E-2</v>
      </c>
      <c r="BC13" s="6">
        <f>nonmare!$R507</f>
        <v>5.8366724032700497E-2</v>
      </c>
      <c r="BD13" s="6">
        <f>nonmare!$R519</f>
        <v>0.15051615003267638</v>
      </c>
      <c r="BE13" s="6">
        <f>nonmare!$R566</f>
        <v>6.1276104331247215E-2</v>
      </c>
      <c r="BF13" s="6">
        <f>nonhighlands!$O319</f>
        <v>0.10695677672059085</v>
      </c>
      <c r="BG13" s="6">
        <f>nonhighlands!$O324</f>
        <v>6.6980396793894253E-2</v>
      </c>
      <c r="BH13" s="6">
        <f>nonmare!$R572</f>
        <v>2.649430735614472E-2</v>
      </c>
      <c r="BI13" s="6" t="e">
        <f>nonmare!$R622</f>
        <v>#DIV/0!</v>
      </c>
      <c r="BJ13" s="6" t="e">
        <f>nonmare!$R627</f>
        <v>#DIV/0!</v>
      </c>
      <c r="BK13" s="6" t="e">
        <f>nonmare!$R632</f>
        <v>#DIV/0!</v>
      </c>
      <c r="BL13" s="6" t="e">
        <f>nonmare!$R637</f>
        <v>#DIV/0!</v>
      </c>
      <c r="BM13" s="6" t="e">
        <f>nonmare!$R642</f>
        <v>#DIV/0!</v>
      </c>
      <c r="BN13" s="6">
        <f>nonhighlands!$O252</f>
        <v>0.10131343449022186</v>
      </c>
      <c r="BO13" s="6">
        <f>nonhighlands!$O257</f>
        <v>9.4356083634118543E-2</v>
      </c>
      <c r="BP13" s="38">
        <f t="shared" si="6"/>
        <v>9.7834759062170207E-2</v>
      </c>
      <c r="BQ13" s="6">
        <f>nonhighlands!$O219</f>
        <v>0.10700257116183189</v>
      </c>
      <c r="BR13" s="6">
        <f>nonhighlands!$O227</f>
        <v>4.8000000000000001E-2</v>
      </c>
      <c r="BS13" s="6"/>
      <c r="BT13" s="6">
        <f>nonhighlands!$O237</f>
        <v>9.8240400166626218E-2</v>
      </c>
      <c r="BU13" s="6">
        <f>nonhighlands!$O267</f>
        <v>5.5598706073525198E-2</v>
      </c>
      <c r="BV13" s="38">
        <f t="shared" si="7"/>
        <v>6.7279702080050463E-2</v>
      </c>
      <c r="BW13" s="6">
        <f>nonhighlands!$O352</f>
        <v>2.7967166800736E-2</v>
      </c>
      <c r="BX13" s="6"/>
      <c r="BY13" s="6"/>
      <c r="BZ13" s="6">
        <f>nonmare!$R194</f>
        <v>5.630531080814867E-2</v>
      </c>
      <c r="CA13" s="6">
        <f>nonmare!$R235</f>
        <v>2.3153199531139389E-2</v>
      </c>
      <c r="CB13" s="6">
        <f t="shared" si="0"/>
        <v>3.4745419092331815E-2</v>
      </c>
      <c r="CC13" s="7"/>
      <c r="CD13" s="6">
        <f>nonmare!$R322</f>
        <v>3.7753479483965201E-2</v>
      </c>
      <c r="CE13" s="38">
        <f t="shared" si="1"/>
        <v>4.1318147453483015E-2</v>
      </c>
      <c r="CF13" s="6">
        <f>nonmare!$R436</f>
        <v>2.462947031262893E-2</v>
      </c>
      <c r="CG13" s="6">
        <f t="shared" si="8"/>
        <v>2.3813940385062637E-2</v>
      </c>
      <c r="CH13" s="6">
        <f>CG13*CH$1</f>
        <v>2.4675430565806664E-2</v>
      </c>
      <c r="CI13" s="6">
        <f>nonhighlands!$O30</f>
        <v>7.1087576794240701E-2</v>
      </c>
      <c r="CJ13" s="6">
        <f>nonmare!$R470</f>
        <v>0</v>
      </c>
      <c r="CK13" s="6">
        <f>nonmare!$R485</f>
        <v>0</v>
      </c>
      <c r="CL13" s="6">
        <f>nonhighlands!$O176</f>
        <v>8.125430303489467E-2</v>
      </c>
      <c r="CM13" s="6">
        <f>nonhighlands!$O164</f>
        <v>0.23496426418784622</v>
      </c>
      <c r="CN13" s="6">
        <f t="shared" si="10"/>
        <v>0.1125763328547414</v>
      </c>
      <c r="CO13" s="6">
        <f>nonhighlands!$O386</f>
        <v>0.68688085124286768</v>
      </c>
      <c r="CP13" s="116">
        <f>nonmare!$R607</f>
        <v>4.454249345034849E-2</v>
      </c>
      <c r="CQ13" s="116">
        <f>nonmare!$R612</f>
        <v>5.4092134707499996E-2</v>
      </c>
      <c r="CR13" s="116" t="e">
        <f>nonmare!$R627</f>
        <v>#DIV/0!</v>
      </c>
      <c r="CS13" s="6">
        <f>nonmare!$R480</f>
        <v>0</v>
      </c>
      <c r="CT13" s="6">
        <f>nonmare!$R501</f>
        <v>3.6229935327394394E-2</v>
      </c>
      <c r="CU13" s="116">
        <f>nonmare!$R561</f>
        <v>5.8993370900499498E-2</v>
      </c>
      <c r="CV13" s="6">
        <f>nonmare!$R301</f>
        <v>1.2304072614283954</v>
      </c>
      <c r="CW13" s="6">
        <f>nonmare!$R307</f>
        <v>0.39120414703623652</v>
      </c>
      <c r="CX13" s="116">
        <f>nonmare!$R537</f>
        <v>7.5170589937943344E-2</v>
      </c>
      <c r="CY13" s="6">
        <f>nonmare!$R543</f>
        <v>2.9648070187264529E-2</v>
      </c>
      <c r="CZ13" s="6">
        <f>nonmare!$R555</f>
        <v>2.0994386957938253E-2</v>
      </c>
      <c r="DA13" s="116">
        <f>nonmare!$R549</f>
        <v>4.4042303298789436E-2</v>
      </c>
      <c r="DN13" s="32"/>
      <c r="DO13" s="32"/>
      <c r="DQ13" s="32"/>
      <c r="DR13" s="32"/>
      <c r="DV13" s="3">
        <f>nonmare!$R328</f>
        <v>4.0951528406829509E-2</v>
      </c>
      <c r="DW13" s="3">
        <f>nonmare!$R334</f>
        <v>3.3022145009152168E-2</v>
      </c>
      <c r="DX13" s="3">
        <f>nonmare!$R340</f>
        <v>3.5253358758399439E-2</v>
      </c>
      <c r="DY13" s="3">
        <f>nonmare!$R346</f>
        <v>0.02</v>
      </c>
      <c r="DZ13" s="3"/>
      <c r="EA13" s="3"/>
      <c r="EB13" s="3">
        <f>nonmare!$R381</f>
        <v>0.05</v>
      </c>
      <c r="EC13" s="3"/>
      <c r="ED13" s="3">
        <f>nonmare!$R388</f>
        <v>0.05</v>
      </c>
      <c r="EE13" s="3">
        <f>nonmare!$R395</f>
        <v>0.06</v>
      </c>
      <c r="EF13" s="3"/>
      <c r="EG13" s="3"/>
      <c r="EH13" s="3"/>
      <c r="EI13" s="3"/>
      <c r="EJ13" s="3"/>
      <c r="EK13" s="3"/>
      <c r="EL13" s="6">
        <f>nonmare!$R426</f>
        <v>8.6758276204611462E-2</v>
      </c>
      <c r="EM13" s="6">
        <f>nonmare!$R431</f>
        <v>0</v>
      </c>
      <c r="EQ13" s="3">
        <f>nonmare!$R179</f>
        <v>6.731039113916866E-2</v>
      </c>
      <c r="ER13" s="3">
        <f>nonmare!$R186</f>
        <v>4.4910565069081504E-2</v>
      </c>
      <c r="ES13" s="3">
        <f>nonmare!$R192</f>
        <v>4.5689895885175857E-2</v>
      </c>
      <c r="ET13" s="6">
        <f>nonmare!$R243</f>
        <v>5.9474115141383961E-2</v>
      </c>
      <c r="EU13" s="6">
        <f>nonmare!$R249</f>
        <v>4.4762142135611485E-2</v>
      </c>
      <c r="EV13" s="6">
        <f>nonmare!$R254</f>
        <v>0</v>
      </c>
      <c r="EW13" s="30">
        <v>4.5909923066034246E-2</v>
      </c>
      <c r="EX13" s="6"/>
      <c r="EY13" s="6"/>
      <c r="FD13">
        <v>1.2304072614283954</v>
      </c>
      <c r="FH13" s="6">
        <f>nonmare!$R447</f>
        <v>2.2000868133890433E-2</v>
      </c>
      <c r="FI13" s="324">
        <f>FH13</f>
        <v>2.2000868133890433E-2</v>
      </c>
      <c r="FJ13" s="324">
        <f t="shared" si="2"/>
        <v>2.6215584671100179E-2</v>
      </c>
    </row>
    <row r="14" spans="1:167" ht="11.1" customHeight="1" x14ac:dyDescent="0.2">
      <c r="A14" s="1" t="s">
        <v>464</v>
      </c>
      <c r="B14" s="131">
        <f t="shared" ref="B14:M14" si="12">B63*1.3508/10000</f>
        <v>4.1870122276629566E-3</v>
      </c>
      <c r="C14" s="131">
        <f t="shared" si="12"/>
        <v>5.7985755363701048E-3</v>
      </c>
      <c r="D14" s="131">
        <f t="shared" si="12"/>
        <v>4.6368383477425551E-3</v>
      </c>
      <c r="E14" s="131">
        <f>E63*1.3508/10000</f>
        <v>3.9915352077598632E-3</v>
      </c>
      <c r="F14" s="131">
        <f>F63*1.3508/10000</f>
        <v>3.2062004221285086E-3</v>
      </c>
      <c r="G14" s="131">
        <f>G63*1.3508/10000</f>
        <v>2.0669277834358256E-2</v>
      </c>
      <c r="H14" s="131">
        <f>H63*1.3508/10000</f>
        <v>3.7046852726815792E-3</v>
      </c>
      <c r="I14" s="131">
        <f>I63*1.3508/10000</f>
        <v>1.2731570786365169E-2</v>
      </c>
      <c r="J14" s="131">
        <f t="shared" si="3"/>
        <v>8.2181280295233732E-3</v>
      </c>
      <c r="K14" s="131">
        <f t="shared" si="12"/>
        <v>5.7002347870905006E-3</v>
      </c>
      <c r="L14" s="131">
        <f t="shared" si="12"/>
        <v>4.873670227446684E-3</v>
      </c>
      <c r="M14" s="131">
        <f t="shared" si="12"/>
        <v>3.0527466593236715E-3</v>
      </c>
      <c r="N14" s="131">
        <f t="shared" ref="N14:AB14" si="13">N63*1.3508/10000</f>
        <v>2.059001407707197E-3</v>
      </c>
      <c r="O14" s="131">
        <f t="shared" si="13"/>
        <v>4.0855817391304344E-3</v>
      </c>
      <c r="P14" s="131">
        <f t="shared" si="13"/>
        <v>0</v>
      </c>
      <c r="Q14" s="131">
        <f t="shared" si="13"/>
        <v>1.6621435752577317E-2</v>
      </c>
      <c r="R14" s="131">
        <f t="shared" si="13"/>
        <v>1.2650343419373832E-2</v>
      </c>
      <c r="S14" s="131">
        <f t="shared" si="13"/>
        <v>1.1989906773049645E-2</v>
      </c>
      <c r="T14" s="131">
        <f t="shared" si="4"/>
        <v>1.2232232637064855E-2</v>
      </c>
      <c r="U14" s="131">
        <f t="shared" si="13"/>
        <v>1.5324826000000001E-2</v>
      </c>
      <c r="V14" s="131">
        <f t="shared" si="13"/>
        <v>1.2990307699866753E-2</v>
      </c>
      <c r="W14" s="131">
        <f t="shared" si="13"/>
        <v>1.4844946529797806E-2</v>
      </c>
      <c r="X14" s="131">
        <f t="shared" si="13"/>
        <v>1.4903214658061952E-2</v>
      </c>
      <c r="Y14" s="38">
        <f t="shared" si="5"/>
        <v>1.4881835053213031E-2</v>
      </c>
      <c r="Z14" s="131">
        <f t="shared" si="13"/>
        <v>1.4384236647173487E-2</v>
      </c>
      <c r="AA14" s="131">
        <f t="shared" si="13"/>
        <v>6.3149900000000004E-3</v>
      </c>
      <c r="AB14" s="131">
        <f t="shared" si="13"/>
        <v>5.6537525859758813E-3</v>
      </c>
      <c r="AC14" s="131">
        <f>DE63*1.3508/10000</f>
        <v>0</v>
      </c>
      <c r="AE14" s="131">
        <f>AE63*1.3508/10000</f>
        <v>3.4224046538554154E-2</v>
      </c>
      <c r="AI14" s="131">
        <f t="shared" ref="AI14:BU14" si="14">AI63*1.3508/10000</f>
        <v>4.488721478571189E-3</v>
      </c>
      <c r="AJ14" s="131">
        <f t="shared" si="14"/>
        <v>3.8611159177348378E-3</v>
      </c>
      <c r="AK14" s="131">
        <f t="shared" si="14"/>
        <v>2.3046401288028219E-3</v>
      </c>
      <c r="AL14" s="131">
        <f t="shared" si="14"/>
        <v>2.3931640418855269E-3</v>
      </c>
      <c r="AM14" s="131">
        <f t="shared" si="14"/>
        <v>2.4879839872670329E-3</v>
      </c>
      <c r="AN14" s="131">
        <f t="shared" si="14"/>
        <v>8.4272027491408947E-4</v>
      </c>
      <c r="AO14" s="131">
        <f t="shared" si="14"/>
        <v>8.350221635617305E-3</v>
      </c>
      <c r="AP14" s="131">
        <f t="shared" si="14"/>
        <v>2.6818689934299766E-2</v>
      </c>
      <c r="AQ14" s="131">
        <f t="shared" si="14"/>
        <v>2.8056530742324136E-3</v>
      </c>
      <c r="AR14" s="131">
        <f t="shared" si="14"/>
        <v>4.0196795453783483E-3</v>
      </c>
      <c r="AS14" s="131">
        <f t="shared" si="14"/>
        <v>2.3552128906191509E-2</v>
      </c>
      <c r="AT14" s="131">
        <f t="shared" si="14"/>
        <v>1.706163324101849E-2</v>
      </c>
      <c r="AU14" s="131">
        <f t="shared" si="14"/>
        <v>1.4343408383554305E-3</v>
      </c>
      <c r="AV14" s="131">
        <f t="shared" si="14"/>
        <v>1.3613558583286257E-2</v>
      </c>
      <c r="AW14" s="131">
        <f t="shared" si="14"/>
        <v>1.770633032420401E-3</v>
      </c>
      <c r="AX14" s="131">
        <f t="shared" si="14"/>
        <v>5.9453909788239334E-2</v>
      </c>
      <c r="AY14" s="131">
        <f t="shared" si="14"/>
        <v>2.7191742369671101E-2</v>
      </c>
      <c r="AZ14" s="131">
        <f t="shared" si="14"/>
        <v>1.390687191480082E-2</v>
      </c>
      <c r="BA14" s="131">
        <f t="shared" si="14"/>
        <v>1.3029176927747417E-2</v>
      </c>
      <c r="BB14" s="131">
        <f t="shared" si="14"/>
        <v>1.9626137598068798E-2</v>
      </c>
      <c r="BC14" s="131">
        <f t="shared" si="14"/>
        <v>4.7915501610680863E-3</v>
      </c>
      <c r="BD14" s="131">
        <f t="shared" si="14"/>
        <v>2.4020097072906709E-2</v>
      </c>
      <c r="BE14" s="131">
        <f t="shared" si="14"/>
        <v>8.5226528110781408E-3</v>
      </c>
      <c r="BF14" s="131">
        <f t="shared" si="14"/>
        <v>1.6638892945430989E-2</v>
      </c>
      <c r="BG14" s="131">
        <f t="shared" si="14"/>
        <v>1.5013857852849904E-2</v>
      </c>
      <c r="BH14" s="131">
        <f t="shared" si="14"/>
        <v>9.4556000000000002E-4</v>
      </c>
      <c r="BI14" s="131">
        <f>BI63*1.3508/10000</f>
        <v>5.8558300255510815E-3</v>
      </c>
      <c r="BJ14" s="131">
        <f>BJ63*1.3508/10000</f>
        <v>4.6664714518133543E-3</v>
      </c>
      <c r="BK14" s="131">
        <f>BK63*1.3508/10000</f>
        <v>5.5533114841299722E-3</v>
      </c>
      <c r="BL14" s="131">
        <f>BL63*1.3508/10000</f>
        <v>7.000117291308827E-3</v>
      </c>
      <c r="BM14" s="131">
        <f>BM63*1.3508/10000</f>
        <v>2.2912715948297923E-2</v>
      </c>
      <c r="BN14" s="131">
        <f t="shared" si="14"/>
        <v>1.6779615022421517E-2</v>
      </c>
      <c r="BO14" s="131">
        <f t="shared" si="14"/>
        <v>1.6684149654396397E-2</v>
      </c>
      <c r="BP14" s="131">
        <f t="shared" si="14"/>
        <v>1.6731882338408961E-2</v>
      </c>
      <c r="BQ14" s="131">
        <f t="shared" si="14"/>
        <v>2.4109246051510852E-2</v>
      </c>
      <c r="BR14" s="131">
        <f t="shared" si="14"/>
        <v>1.8430736826411078E-2</v>
      </c>
      <c r="BS14" s="131">
        <f t="shared" si="14"/>
        <v>0</v>
      </c>
      <c r="BT14" s="131">
        <f t="shared" si="14"/>
        <v>1.3275342148388006E-2</v>
      </c>
      <c r="BU14" s="131">
        <f t="shared" si="14"/>
        <v>1.512896E-2</v>
      </c>
      <c r="BV14" s="253"/>
      <c r="BW14" s="131">
        <f>BW63*1.3508/10000</f>
        <v>7.0932228043805029E-3</v>
      </c>
      <c r="BX14" s="49"/>
      <c r="BY14" s="49"/>
      <c r="BZ14" s="131">
        <f t="shared" ref="BZ14:CF14" si="15">BZ63*1.3508/10000</f>
        <v>6.4506094343373035E-3</v>
      </c>
      <c r="CA14" s="131">
        <f t="shared" si="15"/>
        <v>4.6321120550992896E-3</v>
      </c>
      <c r="CB14" s="131">
        <f t="shared" si="15"/>
        <v>2.2367171221154458E-3</v>
      </c>
      <c r="CC14" s="131">
        <f t="shared" si="15"/>
        <v>1.3980779999999998E-2</v>
      </c>
      <c r="CD14" s="131">
        <f t="shared" si="15"/>
        <v>3.7391807193912848E-3</v>
      </c>
      <c r="CE14" s="131">
        <f t="shared" si="15"/>
        <v>9.838922805744197E-4</v>
      </c>
      <c r="CF14" s="131">
        <f t="shared" si="15"/>
        <v>2.0556689029003787E-3</v>
      </c>
      <c r="CG14" s="6">
        <f t="shared" si="8"/>
        <v>5.0674030291656307E-3</v>
      </c>
      <c r="CH14" s="6">
        <f>CG14*CH$1</f>
        <v>5.250720778387721E-3</v>
      </c>
      <c r="CI14" s="131">
        <f>CI63*1.3508/10000</f>
        <v>1.0096217434744852E-2</v>
      </c>
      <c r="CJ14" s="131">
        <f>CJ63*1.3508/10000</f>
        <v>4.4654512604217749E-3</v>
      </c>
      <c r="CK14" s="131">
        <f>CK63*1.3508/10000</f>
        <v>4.366682680487852E-3</v>
      </c>
      <c r="CL14" s="131">
        <f>CL63*1.3508/10000</f>
        <v>8.2537576414545063E-3</v>
      </c>
      <c r="CM14" s="131">
        <f t="shared" ref="CM14:DA14" si="16">CM63*1.3508/10000</f>
        <v>3.1823926471600684E-2</v>
      </c>
      <c r="CN14" s="131">
        <f t="shared" si="10"/>
        <v>1.305673544080505E-2</v>
      </c>
      <c r="CO14" s="131">
        <f t="shared" si="16"/>
        <v>0.16087762692630514</v>
      </c>
      <c r="CP14" s="131">
        <f>CP63*1.3508/10000</f>
        <v>5.4592491261443339E-3</v>
      </c>
      <c r="CQ14" s="131">
        <f>CQ63*1.3508/10000</f>
        <v>8.4377520619266077E-3</v>
      </c>
      <c r="CR14" s="131">
        <f>CR63*1.3508/10000</f>
        <v>4.6664714518133543E-3</v>
      </c>
      <c r="CS14" s="131">
        <f>CS63*1.3508/10000</f>
        <v>2.9370819682033641E-3</v>
      </c>
      <c r="CT14" s="131">
        <f t="shared" si="16"/>
        <v>6.4027919999999992E-3</v>
      </c>
      <c r="CU14" s="443">
        <f t="shared" si="16"/>
        <v>7.0512215773935053E-3</v>
      </c>
      <c r="CV14" s="131">
        <f t="shared" si="16"/>
        <v>0.34431408047089995</v>
      </c>
      <c r="CW14" s="131">
        <f t="shared" si="16"/>
        <v>8.7198821397078727E-2</v>
      </c>
      <c r="CX14" s="131">
        <f t="shared" si="16"/>
        <v>3.1239518770169563E-3</v>
      </c>
      <c r="CY14" s="131">
        <f t="shared" si="16"/>
        <v>2.1179021643977251E-3</v>
      </c>
      <c r="CZ14" s="131">
        <f t="shared" si="16"/>
        <v>2.0353353662914014E-3</v>
      </c>
      <c r="DA14" s="131">
        <f t="shared" si="16"/>
        <v>5.1651465569272975E-3</v>
      </c>
      <c r="DN14" s="32"/>
      <c r="DO14" s="32"/>
      <c r="DQ14" s="32"/>
      <c r="DR14" s="32"/>
      <c r="DV14" s="131">
        <f t="shared" ref="DV14:EM14" si="17">DV63*1.3508/10000</f>
        <v>1.3655633903345724E-3</v>
      </c>
      <c r="DW14" s="131">
        <f t="shared" si="17"/>
        <v>7.1946678276535079E-4</v>
      </c>
      <c r="DX14" s="131">
        <f t="shared" si="17"/>
        <v>1.0095135317006181E-3</v>
      </c>
      <c r="DY14" s="131">
        <f t="shared" si="17"/>
        <v>0</v>
      </c>
      <c r="DZ14" s="131">
        <f t="shared" si="17"/>
        <v>1.5573669378214116E-3</v>
      </c>
      <c r="EA14" s="131">
        <f t="shared" si="17"/>
        <v>1.252093774878742E-3</v>
      </c>
      <c r="EB14" s="131">
        <f t="shared" si="17"/>
        <v>0</v>
      </c>
      <c r="EC14" s="131">
        <f t="shared" si="17"/>
        <v>0</v>
      </c>
      <c r="ED14" s="131">
        <f t="shared" si="17"/>
        <v>0</v>
      </c>
      <c r="EE14" s="131">
        <f t="shared" si="17"/>
        <v>0</v>
      </c>
      <c r="EF14" s="131">
        <f t="shared" si="17"/>
        <v>5.5361369944212E-4</v>
      </c>
      <c r="EG14" s="131">
        <f t="shared" si="17"/>
        <v>0</v>
      </c>
      <c r="EH14" s="131">
        <f t="shared" si="17"/>
        <v>7.4915065592635216E-4</v>
      </c>
      <c r="EI14" s="131">
        <f t="shared" si="17"/>
        <v>0</v>
      </c>
      <c r="EJ14" s="131">
        <f t="shared" si="17"/>
        <v>6.6436947172619049E-4</v>
      </c>
      <c r="EK14" s="131"/>
      <c r="EL14" s="131">
        <f t="shared" si="17"/>
        <v>5.2371871207177812E-3</v>
      </c>
      <c r="EM14" s="131">
        <f t="shared" si="17"/>
        <v>5.0031680478617342E-3</v>
      </c>
      <c r="EQ14" s="131">
        <f t="shared" ref="EQ14:EW14" si="18">EQ63*1.3508/10000</f>
        <v>7.0199011377655935E-3</v>
      </c>
      <c r="ER14" s="131">
        <f t="shared" si="18"/>
        <v>7.0176545630026808E-3</v>
      </c>
      <c r="ES14" s="131">
        <f t="shared" si="18"/>
        <v>4.736463174346537E-3</v>
      </c>
      <c r="ET14" s="131">
        <f t="shared" si="18"/>
        <v>0</v>
      </c>
      <c r="EU14" s="131">
        <f t="shared" si="18"/>
        <v>3.3501151928405355E-3</v>
      </c>
      <c r="EV14" s="131">
        <f t="shared" si="18"/>
        <v>1.1233190513903557E-3</v>
      </c>
      <c r="EW14" s="131">
        <f t="shared" si="18"/>
        <v>0</v>
      </c>
      <c r="EX14" s="131"/>
      <c r="EY14" s="131"/>
      <c r="FD14">
        <v>0.34431408047089995</v>
      </c>
      <c r="FH14" s="131">
        <f>FH63*1.3508/10000</f>
        <v>2.1019031015198368E-3</v>
      </c>
      <c r="FI14" s="324">
        <f>FH14</f>
        <v>2.1019031015198368E-3</v>
      </c>
      <c r="FJ14" s="324">
        <f t="shared" si="2"/>
        <v>2.5045656559097569E-3</v>
      </c>
    </row>
    <row r="15" spans="1:167" ht="11.1" customHeight="1" x14ac:dyDescent="0.2">
      <c r="A15" s="1" t="s">
        <v>465</v>
      </c>
      <c r="B15" s="133">
        <f t="shared" ref="B15:M15" si="19">B64*1.1156/10000</f>
        <v>3.3542373333333331E-3</v>
      </c>
      <c r="C15" s="133">
        <f t="shared" si="19"/>
        <v>4.7483141231421866E-3</v>
      </c>
      <c r="D15" s="133">
        <f t="shared" si="19"/>
        <v>3.5360041984355702E-3</v>
      </c>
      <c r="E15" s="133">
        <f>E64*1.1156/10000</f>
        <v>3.5102283077729714E-3</v>
      </c>
      <c r="F15" s="133">
        <f>F64*1.1156/10000</f>
        <v>2.9466463753038204E-3</v>
      </c>
      <c r="G15" s="133">
        <f>G64*1.1156/10000</f>
        <v>1.458794338475923E-2</v>
      </c>
      <c r="H15" s="133">
        <f>H64*1.1156/10000</f>
        <v>3.0603159386780603E-3</v>
      </c>
      <c r="I15" s="133">
        <f>I64*1.1156/10000</f>
        <v>8.6976883063234409E-3</v>
      </c>
      <c r="J15" s="133">
        <f t="shared" si="3"/>
        <v>5.8790021225007504E-3</v>
      </c>
      <c r="K15" s="133">
        <f t="shared" si="19"/>
        <v>5.1277756120396822E-3</v>
      </c>
      <c r="L15" s="133">
        <f t="shared" si="19"/>
        <v>3.5499034752854166E-3</v>
      </c>
      <c r="M15" s="133">
        <f t="shared" si="19"/>
        <v>2.8025668345048301E-3</v>
      </c>
      <c r="N15" s="133">
        <f t="shared" ref="N15:AB15" si="20">N64*1.1156/10000</f>
        <v>2.7160060348407535E-3</v>
      </c>
      <c r="O15" s="133">
        <f t="shared" si="20"/>
        <v>3.7919498371335502E-3</v>
      </c>
      <c r="P15" s="133">
        <f t="shared" si="20"/>
        <v>0</v>
      </c>
      <c r="Q15" s="133">
        <f t="shared" si="20"/>
        <v>1.2995453975632613E-2</v>
      </c>
      <c r="R15" s="133">
        <f t="shared" si="20"/>
        <v>1.0353866190990282E-2</v>
      </c>
      <c r="S15" s="133">
        <f t="shared" si="20"/>
        <v>9.0906564893617012E-3</v>
      </c>
      <c r="T15" s="133">
        <f t="shared" si="4"/>
        <v>9.5541504279298538E-3</v>
      </c>
      <c r="U15" s="133">
        <f t="shared" si="20"/>
        <v>8.0546319999999991E-3</v>
      </c>
      <c r="V15" s="133">
        <f t="shared" si="20"/>
        <v>8.9264049292138558E-3</v>
      </c>
      <c r="W15" s="133">
        <f t="shared" si="20"/>
        <v>8.2657585253558472E-3</v>
      </c>
      <c r="X15" s="133">
        <f t="shared" si="20"/>
        <v>7.9569719565792934E-3</v>
      </c>
      <c r="Y15" s="38">
        <f t="shared" si="5"/>
        <v>8.0702711995748744E-3</v>
      </c>
      <c r="Z15" s="133">
        <f t="shared" si="20"/>
        <v>7.4799147474279648E-3</v>
      </c>
      <c r="AA15" s="133">
        <f t="shared" si="20"/>
        <v>5.3075176602279065E-3</v>
      </c>
      <c r="AB15" s="133">
        <f t="shared" si="20"/>
        <v>3.7247795392423562E-3</v>
      </c>
      <c r="AC15" s="133">
        <f>DE64*1.1156/10000</f>
        <v>0</v>
      </c>
      <c r="AE15" s="133">
        <f>AE64*1.1156/10000</f>
        <v>1.7819830342331696E-2</v>
      </c>
      <c r="AI15" s="133">
        <f t="shared" ref="AI15:BU15" si="21">AI64*1.1156/10000</f>
        <v>2.6389085214797488E-2</v>
      </c>
      <c r="AJ15" s="133">
        <f t="shared" si="21"/>
        <v>6.6496810135259224E-2</v>
      </c>
      <c r="AK15" s="133">
        <f t="shared" si="21"/>
        <v>6.1687134525952037E-3</v>
      </c>
      <c r="AL15" s="133">
        <f t="shared" si="21"/>
        <v>5.8696769177436969E-3</v>
      </c>
      <c r="AM15" s="133">
        <f t="shared" si="21"/>
        <v>1.3913417012886996E-2</v>
      </c>
      <c r="AN15" s="133">
        <f t="shared" si="21"/>
        <v>2.8063195070290533E-2</v>
      </c>
      <c r="AO15" s="133">
        <f t="shared" si="21"/>
        <v>1.9604470150931478E-2</v>
      </c>
      <c r="AP15" s="133">
        <f t="shared" si="21"/>
        <v>3.5693155465878888E-2</v>
      </c>
      <c r="AQ15" s="133">
        <f t="shared" si="21"/>
        <v>3.3507655846213638E-3</v>
      </c>
      <c r="AR15" s="133">
        <f t="shared" si="21"/>
        <v>7.2539134381600576E-3</v>
      </c>
      <c r="AS15" s="133">
        <f t="shared" si="21"/>
        <v>1.7618098592498316E-2</v>
      </c>
      <c r="AT15" s="133">
        <f t="shared" si="21"/>
        <v>1.8477908511547878E-2</v>
      </c>
      <c r="AU15" s="133">
        <f t="shared" si="21"/>
        <v>3.225870872371769E-3</v>
      </c>
      <c r="AV15" s="133">
        <f t="shared" si="21"/>
        <v>7.1903772472295846E-2</v>
      </c>
      <c r="AW15" s="133">
        <f t="shared" si="21"/>
        <v>4.7969569201587155E-3</v>
      </c>
      <c r="AX15" s="133">
        <f t="shared" si="21"/>
        <v>5.5731241318839352E-2</v>
      </c>
      <c r="AY15" s="133">
        <f t="shared" si="21"/>
        <v>1.6943489121365802E-2</v>
      </c>
      <c r="AZ15" s="133">
        <f t="shared" si="21"/>
        <v>1.7672086110788018E-2</v>
      </c>
      <c r="BA15" s="133">
        <f t="shared" si="21"/>
        <v>9.3031384644256757E-3</v>
      </c>
      <c r="BB15" s="133">
        <f t="shared" si="21"/>
        <v>8.0927960229330107E-3</v>
      </c>
      <c r="BC15" s="133">
        <f t="shared" si="21"/>
        <v>4.9827741032926302E-2</v>
      </c>
      <c r="BD15" s="133">
        <f t="shared" si="21"/>
        <v>1.9896793527342266E-2</v>
      </c>
      <c r="BE15" s="133">
        <f t="shared" si="21"/>
        <v>1.3898753910979226E-2</v>
      </c>
      <c r="BF15" s="133">
        <f t="shared" si="21"/>
        <v>1.4129973910508988E-2</v>
      </c>
      <c r="BG15" s="133">
        <f t="shared" si="21"/>
        <v>1.37073220269474E-2</v>
      </c>
      <c r="BH15" s="133">
        <f t="shared" si="21"/>
        <v>9.2483239999999987E-3</v>
      </c>
      <c r="BI15" s="133">
        <f>BI64*1.1156/10000</f>
        <v>3.1807538273786323E-2</v>
      </c>
      <c r="BJ15" s="133">
        <f>BJ64*1.1156/10000</f>
        <v>5.5425632199751444E-3</v>
      </c>
      <c r="BK15" s="133">
        <f>BK64*1.1156/10000</f>
        <v>0.13933844349893362</v>
      </c>
      <c r="BL15" s="133">
        <f>BL64*1.1156/10000</f>
        <v>0.68459272086911704</v>
      </c>
      <c r="BM15" s="133">
        <f>BM64*1.1156/10000</f>
        <v>1.5922470243153315E-2</v>
      </c>
      <c r="BN15" s="133">
        <f t="shared" si="21"/>
        <v>1.4087781337138193E-2</v>
      </c>
      <c r="BO15" s="133">
        <f t="shared" si="21"/>
        <v>1.3458644307989071E-2</v>
      </c>
      <c r="BP15" s="133">
        <f t="shared" si="21"/>
        <v>1.377321282256363E-2</v>
      </c>
      <c r="BQ15" s="133">
        <f t="shared" si="21"/>
        <v>1.8611308271479755E-2</v>
      </c>
      <c r="BR15" s="133">
        <f t="shared" si="21"/>
        <v>1.3638048890179753E-2</v>
      </c>
      <c r="BS15" s="133">
        <f t="shared" si="21"/>
        <v>0</v>
      </c>
      <c r="BT15" s="133">
        <f t="shared" si="21"/>
        <v>9.1330228213430936E-3</v>
      </c>
      <c r="BU15" s="133">
        <f t="shared" si="21"/>
        <v>1.2048479999999999E-2</v>
      </c>
      <c r="BV15" s="274"/>
      <c r="BW15" s="133">
        <f>BW64*1.1156/10000</f>
        <v>6.6410899033712677E-3</v>
      </c>
      <c r="BX15" s="32"/>
      <c r="BY15" s="32"/>
      <c r="BZ15" s="133">
        <f t="shared" ref="BZ15:CF15" si="22">BZ64*1.1156/10000</f>
        <v>6.9312001164316073E-2</v>
      </c>
      <c r="CA15" s="133">
        <f t="shared" si="22"/>
        <v>2.6768256696860282E-2</v>
      </c>
      <c r="CB15" s="133">
        <f t="shared" si="22"/>
        <v>2.3383677246203429E-3</v>
      </c>
      <c r="CC15" s="133">
        <f t="shared" si="22"/>
        <v>2.0046660611014611E-2</v>
      </c>
      <c r="CD15" s="133">
        <f t="shared" si="22"/>
        <v>1.0899813276458382E-2</v>
      </c>
      <c r="CE15" s="133">
        <f t="shared" si="22"/>
        <v>2.6203503797798879E-2</v>
      </c>
      <c r="CF15" s="133">
        <f t="shared" si="22"/>
        <v>2.1543741286254726E-2</v>
      </c>
      <c r="CG15" s="6">
        <f t="shared" si="8"/>
        <v>5.9183295885461449E-3</v>
      </c>
      <c r="CH15" s="6">
        <f>CG15*CH$1</f>
        <v>6.132430352405344E-3</v>
      </c>
      <c r="CI15" s="133">
        <f>CI64*1.1156/10000</f>
        <v>5.9881905687286088E-2</v>
      </c>
      <c r="CJ15" s="133">
        <f>CJ64*1.1156/10000</f>
        <v>8.0313102947077424E-3</v>
      </c>
      <c r="CK15" s="133">
        <f>CK64*1.1156/10000</f>
        <v>2.2558708359376504E-2</v>
      </c>
      <c r="CL15" s="133">
        <f>CL64*1.1156/10000</f>
        <v>1.7492912689355846E-2</v>
      </c>
      <c r="CM15" s="133">
        <f t="shared" ref="CM15:DA15" si="23">CM64*1.1156/10000</f>
        <v>3.7753799699577525E-2</v>
      </c>
      <c r="CN15" s="133">
        <f t="shared" si="10"/>
        <v>2.1621546268797247E-2</v>
      </c>
      <c r="CO15" s="133">
        <f t="shared" si="23"/>
        <v>0.10044487849051535</v>
      </c>
      <c r="CP15" s="133">
        <f>CP64*1.1156/10000</f>
        <v>8.768143816430863E-3</v>
      </c>
      <c r="CQ15" s="133">
        <f>CQ64*1.1156/10000</f>
        <v>1.0099519123853214E-2</v>
      </c>
      <c r="CR15" s="133">
        <f>CR64*1.1156/10000</f>
        <v>5.5425632199751444E-3</v>
      </c>
      <c r="CS15" s="133">
        <f>CS64*1.1156/10000</f>
        <v>5.4066284156214601E-3</v>
      </c>
      <c r="CT15" s="133">
        <f t="shared" si="23"/>
        <v>5.8322839986182729E-3</v>
      </c>
      <c r="CU15" s="443">
        <f t="shared" si="23"/>
        <v>3.8376969363137912E-2</v>
      </c>
      <c r="CV15" s="133">
        <f t="shared" si="23"/>
        <v>0.15647675545408213</v>
      </c>
      <c r="CW15" s="133">
        <f t="shared" si="23"/>
        <v>6.8045491282796855E-2</v>
      </c>
      <c r="CX15" s="133">
        <f t="shared" si="23"/>
        <v>7.5953697935809417E-3</v>
      </c>
      <c r="CY15" s="133">
        <f t="shared" si="23"/>
        <v>3.7637831352748577E-2</v>
      </c>
      <c r="CZ15" s="133">
        <f t="shared" si="23"/>
        <v>5.2645899360417685E-3</v>
      </c>
      <c r="DA15" s="133">
        <f t="shared" si="23"/>
        <v>9.264265713929418E-3</v>
      </c>
      <c r="DN15" s="32"/>
      <c r="DO15" s="32"/>
      <c r="DQ15" s="32"/>
      <c r="DR15" s="32"/>
      <c r="DV15" s="133">
        <f t="shared" ref="DV15:EM15" si="24">DV64*1.1156/10000</f>
        <v>5.4906597174721183E-2</v>
      </c>
      <c r="DW15" s="133">
        <f t="shared" si="24"/>
        <v>3.4246976088074858E-2</v>
      </c>
      <c r="DX15" s="133">
        <f t="shared" si="24"/>
        <v>4.9634522444495295E-2</v>
      </c>
      <c r="DY15" s="133">
        <f t="shared" si="24"/>
        <v>0</v>
      </c>
      <c r="DZ15" s="133">
        <f t="shared" si="24"/>
        <v>8.0678898550724625E-3</v>
      </c>
      <c r="EA15" s="133">
        <f t="shared" si="24"/>
        <v>2.9835194168478563E-2</v>
      </c>
      <c r="EB15" s="133">
        <f t="shared" si="24"/>
        <v>0</v>
      </c>
      <c r="EC15" s="133">
        <f t="shared" si="24"/>
        <v>5.9244863034860241E-3</v>
      </c>
      <c r="ED15" s="133">
        <f t="shared" si="24"/>
        <v>0</v>
      </c>
      <c r="EE15" s="133">
        <f t="shared" si="24"/>
        <v>0</v>
      </c>
      <c r="EF15" s="133">
        <f t="shared" si="24"/>
        <v>3.8343537642956766E-3</v>
      </c>
      <c r="EG15" s="133">
        <f t="shared" si="24"/>
        <v>0</v>
      </c>
      <c r="EH15" s="133">
        <f t="shared" si="24"/>
        <v>3.8347194882309858E-2</v>
      </c>
      <c r="EI15" s="133">
        <f t="shared" si="24"/>
        <v>0</v>
      </c>
      <c r="EJ15" s="133">
        <f t="shared" si="24"/>
        <v>1.1034319499255953E-2</v>
      </c>
      <c r="EK15" s="133"/>
      <c r="EL15" s="133">
        <f t="shared" si="24"/>
        <v>1.00662653588907E-2</v>
      </c>
      <c r="EM15" s="133">
        <f t="shared" si="24"/>
        <v>4.3490272220991204E-3</v>
      </c>
      <c r="EQ15" s="133">
        <f t="shared" ref="EQ15:EW15" si="25">EQ64*1.1156/10000</f>
        <v>2.0815826708704587E-2</v>
      </c>
      <c r="ER15" s="133">
        <f t="shared" si="25"/>
        <v>6.6641783951255182E-2</v>
      </c>
      <c r="ES15" s="133">
        <f t="shared" si="25"/>
        <v>0.16040422070600915</v>
      </c>
      <c r="ET15" s="133">
        <f t="shared" si="25"/>
        <v>1.8611368210960098E-3</v>
      </c>
      <c r="EU15" s="133">
        <f t="shared" si="25"/>
        <v>3.7585366860983529E-3</v>
      </c>
      <c r="EV15" s="133">
        <f t="shared" si="25"/>
        <v>1.3954296666666669E-3</v>
      </c>
      <c r="EW15" s="133">
        <f t="shared" si="25"/>
        <v>0</v>
      </c>
      <c r="EX15" s="133"/>
      <c r="EY15" s="133"/>
      <c r="FD15">
        <v>0.15647675545408213</v>
      </c>
      <c r="FH15" s="133">
        <f>FH64*1.1156/10000</f>
        <v>1.854355619448648E-3</v>
      </c>
      <c r="FI15" s="327">
        <f>FI65*$A$101*1.1156/10000</f>
        <v>0</v>
      </c>
      <c r="FJ15" s="324">
        <f t="shared" si="2"/>
        <v>0</v>
      </c>
    </row>
    <row r="16" spans="1:167" ht="11.1" customHeight="1" x14ac:dyDescent="0.2">
      <c r="A16" s="1" t="s">
        <v>159</v>
      </c>
      <c r="B16" s="6"/>
      <c r="C16" s="6"/>
      <c r="D16" s="7"/>
      <c r="E16" s="7"/>
      <c r="F16" s="7"/>
      <c r="G16" s="7"/>
      <c r="H16" s="7"/>
      <c r="I16" s="7"/>
      <c r="J16" s="7"/>
      <c r="K16" s="7"/>
      <c r="L16" s="6"/>
      <c r="M16" s="6"/>
      <c r="N16" s="6"/>
      <c r="O16" s="6"/>
      <c r="P16" s="6"/>
      <c r="Q16" s="3"/>
      <c r="R16" s="6"/>
      <c r="S16" s="6"/>
      <c r="T16" s="6">
        <f t="shared" si="4"/>
        <v>0</v>
      </c>
      <c r="U16" s="6"/>
      <c r="V16" s="6">
        <f>nonhighlands!P293</f>
        <v>0</v>
      </c>
      <c r="W16" s="6" t="e">
        <f>nonhighlands!P47</f>
        <v>#DIV/0!</v>
      </c>
      <c r="X16" s="6">
        <f>nonhighlands!P64</f>
        <v>0.1</v>
      </c>
      <c r="Y16" s="173">
        <f>X16</f>
        <v>0.1</v>
      </c>
      <c r="Z16" s="6"/>
      <c r="AA16" s="6"/>
      <c r="AB16" s="6"/>
      <c r="AC16" s="7"/>
      <c r="AE16" s="6"/>
      <c r="AI16" s="3"/>
      <c r="AJ16" s="45"/>
      <c r="AK16" s="6"/>
      <c r="AL16" s="6"/>
      <c r="AM16" s="7"/>
      <c r="AN16" s="7"/>
      <c r="AO16" s="7"/>
      <c r="AP16" s="6"/>
      <c r="AQ16" s="13"/>
      <c r="AR16" s="13"/>
      <c r="AS16" s="6">
        <f>nonhighlands!P232</f>
        <v>0</v>
      </c>
      <c r="AT16" s="6">
        <f>nonhighlands!E313</f>
        <v>46.155707056264319</v>
      </c>
      <c r="AU16" s="6"/>
      <c r="AV16" s="6">
        <f>nonhighlands!P298</f>
        <v>0</v>
      </c>
      <c r="AW16" s="6"/>
      <c r="AX16" s="6">
        <f>nonhighlands!I347</f>
        <v>9.2605479756911766</v>
      </c>
      <c r="AY16" s="7"/>
      <c r="AZ16" s="13"/>
      <c r="BA16" s="6"/>
      <c r="BB16" s="6">
        <f>nonhighlands!Q374</f>
        <v>46.302836699051987</v>
      </c>
      <c r="BC16" s="13"/>
      <c r="BD16" s="13"/>
      <c r="BE16" s="13"/>
      <c r="BF16" s="6">
        <f>nonhighlands!G319</f>
        <v>17.265146277990471</v>
      </c>
      <c r="BG16" s="6">
        <f>nonhighlands!F324</f>
        <v>0.52477084627375015</v>
      </c>
      <c r="BH16" s="13"/>
      <c r="BI16" s="13"/>
      <c r="BJ16" s="13"/>
      <c r="BK16" s="13"/>
      <c r="BL16" s="13"/>
      <c r="BM16" s="13"/>
      <c r="BN16" s="6">
        <f>nonhighlands!P252</f>
        <v>0</v>
      </c>
      <c r="BO16" s="6">
        <f>nonhighlands!P257</f>
        <v>0</v>
      </c>
      <c r="BP16" s="38">
        <f>AVERAGE(BN16:BO16)</f>
        <v>0</v>
      </c>
      <c r="BQ16" s="147">
        <f>nonhighlands!$P219</f>
        <v>2.3800000000000002E-2</v>
      </c>
      <c r="BR16" s="6">
        <f>nonhighlands!P257</f>
        <v>0</v>
      </c>
      <c r="BS16" s="6"/>
      <c r="BT16" s="6">
        <f>nonhighlands!P237</f>
        <v>0</v>
      </c>
      <c r="BU16" s="6">
        <f>nonhighlands!P267</f>
        <v>0</v>
      </c>
      <c r="BV16" s="38">
        <f>AVERAGE(BR16:BU16)</f>
        <v>0</v>
      </c>
      <c r="BW16" s="6"/>
      <c r="BX16" s="45"/>
      <c r="BY16" s="45"/>
      <c r="BZ16" s="13"/>
      <c r="CA16" s="13"/>
      <c r="CB16" s="6"/>
      <c r="CC16" s="7"/>
      <c r="CD16" s="13"/>
      <c r="CE16" s="39"/>
      <c r="CF16" s="13"/>
      <c r="CG16" s="13"/>
      <c r="CH16" s="13"/>
      <c r="CI16" s="6">
        <f>nonhighlands!D30</f>
        <v>0</v>
      </c>
      <c r="CJ16" s="13"/>
      <c r="CK16" s="6"/>
      <c r="CL16" s="6"/>
      <c r="CM16" s="6"/>
      <c r="CN16" s="6"/>
      <c r="CO16" s="6"/>
      <c r="CP16" s="13"/>
      <c r="CQ16" s="13"/>
      <c r="CR16" s="13"/>
      <c r="CS16" s="6"/>
      <c r="CT16" s="6"/>
      <c r="CU16" s="6"/>
      <c r="CV16" s="3"/>
      <c r="CW16" s="3"/>
      <c r="CX16" s="13"/>
      <c r="CY16" s="13"/>
      <c r="CZ16" s="13"/>
      <c r="DA16" s="13"/>
      <c r="DN16" s="32"/>
      <c r="DO16" s="32"/>
      <c r="DQ16" s="32"/>
      <c r="DR16" s="32"/>
      <c r="DV16" s="13"/>
      <c r="DW16" s="13"/>
      <c r="DX16" s="13"/>
      <c r="DY16" s="13"/>
      <c r="DZ16" s="13"/>
      <c r="EA16" s="13"/>
      <c r="EB16" s="13"/>
      <c r="EC16" s="6"/>
      <c r="ED16" s="13"/>
      <c r="EE16" s="13"/>
      <c r="EF16" s="13"/>
      <c r="EG16" s="6"/>
      <c r="EH16" s="13"/>
      <c r="EI16" s="13"/>
      <c r="EJ16" s="13"/>
      <c r="EK16" s="13"/>
      <c r="EL16" s="13"/>
      <c r="EM16" s="13"/>
      <c r="EQ16" s="6"/>
      <c r="ER16" s="6"/>
      <c r="ES16" s="6"/>
      <c r="ET16" s="13"/>
      <c r="EU16" s="13"/>
      <c r="EV16" s="13"/>
      <c r="EW16" s="13"/>
      <c r="EX16" s="6"/>
      <c r="EY16" s="6"/>
      <c r="FH16" s="6"/>
      <c r="FI16" s="3"/>
      <c r="FJ16" s="3"/>
    </row>
    <row r="17" spans="1:166" s="5" customFormat="1" ht="11.1" customHeight="1" x14ac:dyDescent="0.2">
      <c r="A17" s="196" t="s">
        <v>159</v>
      </c>
      <c r="B17" s="9">
        <f t="shared" ref="B17:N17" si="26">SUM(B3:B16)</f>
        <v>100.15467935895779</v>
      </c>
      <c r="C17" s="9">
        <f t="shared" si="26"/>
        <v>99.78762538085374</v>
      </c>
      <c r="D17" s="9">
        <f t="shared" si="26"/>
        <v>99.561213277868916</v>
      </c>
      <c r="E17" s="9">
        <f t="shared" si="26"/>
        <v>99.857344865684922</v>
      </c>
      <c r="F17" s="9">
        <f>SUM(F3:F16)</f>
        <v>99.356779405404637</v>
      </c>
      <c r="G17" s="9">
        <f>SUM(G3:G16)</f>
        <v>99.771201540380019</v>
      </c>
      <c r="H17" s="9">
        <f>SUM(H3:H16)</f>
        <v>99.486682272624435</v>
      </c>
      <c r="I17" s="9">
        <f>SUM(I3:I16)</f>
        <v>100.04933973630358</v>
      </c>
      <c r="J17" s="9">
        <f>SUM(J3:J16)</f>
        <v>99.768011004464014</v>
      </c>
      <c r="K17" s="9">
        <f t="shared" si="26"/>
        <v>99.660568280772708</v>
      </c>
      <c r="L17" s="9">
        <f t="shared" si="26"/>
        <v>99.875272088987501</v>
      </c>
      <c r="M17" s="9">
        <f t="shared" si="26"/>
        <v>99.446058988094421</v>
      </c>
      <c r="N17" s="9">
        <f t="shared" si="26"/>
        <v>99.550055736759774</v>
      </c>
      <c r="O17" s="9">
        <f t="shared" ref="O17:AB17" si="27">SUM(O3:O16)</f>
        <v>99.167251984158554</v>
      </c>
      <c r="P17" s="9">
        <f t="shared" si="27"/>
        <v>99.041999999999987</v>
      </c>
      <c r="Q17" s="9">
        <f t="shared" si="27"/>
        <v>100.6674984440763</v>
      </c>
      <c r="R17" s="9">
        <f t="shared" si="27"/>
        <v>99.471159345838572</v>
      </c>
      <c r="S17" s="9">
        <f t="shared" si="27"/>
        <v>100.20560578904275</v>
      </c>
      <c r="T17" s="9">
        <f t="shared" si="4"/>
        <v>99.936124424080774</v>
      </c>
      <c r="U17" s="9">
        <f t="shared" si="27"/>
        <v>99.850632510452726</v>
      </c>
      <c r="V17" s="9">
        <f t="shared" si="27"/>
        <v>99.423469230947518</v>
      </c>
      <c r="W17" s="9" t="e">
        <f t="shared" si="27"/>
        <v>#DIV/0!</v>
      </c>
      <c r="X17" s="9">
        <f t="shared" si="27"/>
        <v>99.093887324807199</v>
      </c>
      <c r="Y17" s="9">
        <f t="shared" si="27"/>
        <v>99.67343919968792</v>
      </c>
      <c r="Z17" s="9">
        <f t="shared" si="27"/>
        <v>99.628819863810207</v>
      </c>
      <c r="AA17" s="9">
        <f t="shared" si="27"/>
        <v>100.41248121176689</v>
      </c>
      <c r="AB17" s="9">
        <f t="shared" si="27"/>
        <v>99.849216544681596</v>
      </c>
      <c r="AC17" s="9">
        <f>SUM(AC3:AC16)</f>
        <v>99.596318629839672</v>
      </c>
      <c r="AE17" s="9">
        <f>SUM(AE3:AE16)</f>
        <v>99.935952536221407</v>
      </c>
      <c r="AI17" s="9">
        <f t="shared" ref="AI17:BP17" si="28">SUM(AI3:AI16)</f>
        <v>100.03185539052899</v>
      </c>
      <c r="AJ17" s="9">
        <f t="shared" si="28"/>
        <v>99.459224864311082</v>
      </c>
      <c r="AK17" s="9">
        <f t="shared" si="28"/>
        <v>98.542919230315519</v>
      </c>
      <c r="AL17" s="9">
        <f t="shared" si="28"/>
        <v>98.203857782486452</v>
      </c>
      <c r="AM17" s="9">
        <f t="shared" si="28"/>
        <v>100.0604513059545</v>
      </c>
      <c r="AN17" s="9">
        <f t="shared" si="28"/>
        <v>99.810870926279279</v>
      </c>
      <c r="AO17" s="9">
        <f t="shared" si="28"/>
        <v>100.15634748014014</v>
      </c>
      <c r="AP17" s="9">
        <f t="shared" si="28"/>
        <v>99.777496600733443</v>
      </c>
      <c r="AQ17" s="9">
        <f t="shared" si="28"/>
        <v>99.852192351429949</v>
      </c>
      <c r="AR17" s="9">
        <f t="shared" si="28"/>
        <v>98.872237691185987</v>
      </c>
      <c r="AS17" s="9">
        <f t="shared" si="28"/>
        <v>100.05673489186258</v>
      </c>
      <c r="AT17" s="9">
        <f t="shared" si="28"/>
        <v>146.13028258698398</v>
      </c>
      <c r="AU17" s="9">
        <f t="shared" si="28"/>
        <v>99.562352110362028</v>
      </c>
      <c r="AV17" s="9">
        <f t="shared" si="28"/>
        <v>99.561528948493432</v>
      </c>
      <c r="AW17" s="9">
        <f t="shared" si="28"/>
        <v>99.500759844297875</v>
      </c>
      <c r="AX17" s="9">
        <f t="shared" si="28"/>
        <v>108.92870021451854</v>
      </c>
      <c r="AY17" s="9">
        <f t="shared" si="28"/>
        <v>99.951581839621525</v>
      </c>
      <c r="AZ17" s="9">
        <f t="shared" si="28"/>
        <v>99.711187859536764</v>
      </c>
      <c r="BA17" s="9">
        <f t="shared" si="28"/>
        <v>99.987980725753687</v>
      </c>
      <c r="BB17" s="9">
        <f t="shared" si="28"/>
        <v>145.75411164752762</v>
      </c>
      <c r="BC17" s="9">
        <f t="shared" si="28"/>
        <v>99.949112550291815</v>
      </c>
      <c r="BD17" s="9">
        <f t="shared" si="28"/>
        <v>100.10799098501836</v>
      </c>
      <c r="BE17" s="9">
        <f t="shared" si="28"/>
        <v>99.847713010556845</v>
      </c>
      <c r="BF17" s="9">
        <f t="shared" si="28"/>
        <v>116.78373703343364</v>
      </c>
      <c r="BG17" s="9">
        <f t="shared" si="28"/>
        <v>100.70015823412173</v>
      </c>
      <c r="BH17" s="9">
        <f t="shared" si="28"/>
        <v>99.934314530577154</v>
      </c>
      <c r="BI17" s="9" t="e">
        <f t="shared" si="28"/>
        <v>#DIV/0!</v>
      </c>
      <c r="BJ17" s="9" t="e">
        <f t="shared" si="28"/>
        <v>#DIV/0!</v>
      </c>
      <c r="BK17" s="9" t="e">
        <f t="shared" si="28"/>
        <v>#DIV/0!</v>
      </c>
      <c r="BL17" s="9" t="e">
        <f t="shared" si="28"/>
        <v>#DIV/0!</v>
      </c>
      <c r="BM17" s="9" t="e">
        <f t="shared" si="28"/>
        <v>#DIV/0!</v>
      </c>
      <c r="BN17" s="9">
        <f t="shared" si="28"/>
        <v>99.725851847924048</v>
      </c>
      <c r="BO17" s="9">
        <f t="shared" si="28"/>
        <v>99.938267195743563</v>
      </c>
      <c r="BP17" s="9">
        <f t="shared" si="28"/>
        <v>99.83205952183377</v>
      </c>
      <c r="BQ17" s="9"/>
      <c r="BR17" s="9">
        <f t="shared" ref="BR17:BW17" si="29">SUM(BR3:BR16)</f>
        <v>99.647348041376077</v>
      </c>
      <c r="BS17" s="9">
        <f t="shared" si="29"/>
        <v>0</v>
      </c>
      <c r="BT17" s="9">
        <f t="shared" si="29"/>
        <v>100.09409539326209</v>
      </c>
      <c r="BU17" s="9">
        <f t="shared" si="29"/>
        <v>100.48857684722167</v>
      </c>
      <c r="BV17" s="9">
        <f t="shared" si="29"/>
        <v>100.04945523039117</v>
      </c>
      <c r="BW17" s="9">
        <f t="shared" si="29"/>
        <v>99.662850925943715</v>
      </c>
      <c r="BX17" s="9"/>
      <c r="BY17" s="9"/>
      <c r="BZ17" s="9">
        <f t="shared" ref="BZ17:CH17" si="30">SUM(BZ3:BZ16)</f>
        <v>99.56860634795315</v>
      </c>
      <c r="CA17" s="9">
        <f t="shared" si="30"/>
        <v>99.873971842009126</v>
      </c>
      <c r="CB17" s="9">
        <f t="shared" si="30"/>
        <v>100.01883218646006</v>
      </c>
      <c r="CC17" s="9">
        <f t="shared" si="30"/>
        <v>99.997332860609632</v>
      </c>
      <c r="CD17" s="197">
        <f t="shared" si="30"/>
        <v>99.864141979691993</v>
      </c>
      <c r="CE17" s="197">
        <f t="shared" si="30"/>
        <v>98.609604083108863</v>
      </c>
      <c r="CF17" s="34">
        <f t="shared" si="30"/>
        <v>99.699896559298878</v>
      </c>
      <c r="CG17" s="9">
        <f t="shared" si="30"/>
        <v>98.754555988534904</v>
      </c>
      <c r="CH17" s="9">
        <f t="shared" si="30"/>
        <v>98.750000000000028</v>
      </c>
      <c r="CI17" s="9">
        <f>SUM(CI3:CI16)</f>
        <v>99.332272516400266</v>
      </c>
      <c r="CJ17" s="9">
        <f>SUM(CJ3:CJ16)</f>
        <v>100.42214713200866</v>
      </c>
      <c r="CK17" s="9">
        <f>SUM(CK3:CK16)</f>
        <v>99.754758250749944</v>
      </c>
      <c r="CL17" s="9">
        <f>SUM(CL3:CL16)</f>
        <v>99.846542641839065</v>
      </c>
      <c r="CM17" s="9">
        <f t="shared" ref="CM17:DA17" si="31">SUM(CM3:CM16)</f>
        <v>99.841977046459476</v>
      </c>
      <c r="CN17" s="9">
        <f t="shared" si="31"/>
        <v>99.845612294101372</v>
      </c>
      <c r="CO17" s="9">
        <f t="shared" si="31"/>
        <v>99.270069401619367</v>
      </c>
      <c r="CP17" s="9">
        <f>SUM(CP3:CP16)</f>
        <v>100.0669057081612</v>
      </c>
      <c r="CQ17" s="9">
        <f>SUM(CQ3:CQ16)</f>
        <v>99.734077825484889</v>
      </c>
      <c r="CR17" s="9" t="e">
        <f>SUM(CR3:CR16)</f>
        <v>#DIV/0!</v>
      </c>
      <c r="CS17" s="9">
        <f>SUM(CS3:CS16)</f>
        <v>100.28194895838628</v>
      </c>
      <c r="CT17" s="9">
        <f t="shared" si="31"/>
        <v>99.8237329596639</v>
      </c>
      <c r="CU17" s="9">
        <f t="shared" si="31"/>
        <v>99.812457730496945</v>
      </c>
      <c r="CV17" s="9">
        <f t="shared" si="31"/>
        <v>99.239044036723385</v>
      </c>
      <c r="CW17" s="9">
        <f t="shared" si="31"/>
        <v>100.18274866479466</v>
      </c>
      <c r="CX17" s="9">
        <f t="shared" si="31"/>
        <v>99.634653998772862</v>
      </c>
      <c r="CY17" s="9">
        <f t="shared" si="31"/>
        <v>99.352824598869489</v>
      </c>
      <c r="CZ17" s="9">
        <f t="shared" si="31"/>
        <v>99.267101947686399</v>
      </c>
      <c r="DA17" s="9">
        <f t="shared" si="31"/>
        <v>99.624893535475934</v>
      </c>
      <c r="DE17"/>
      <c r="DI17"/>
      <c r="DJ17"/>
      <c r="DK17"/>
      <c r="DL17"/>
      <c r="DM17"/>
      <c r="DN17" s="198"/>
      <c r="DO17" s="198"/>
      <c r="DP17"/>
      <c r="DQ17" s="198"/>
      <c r="DR17" s="198"/>
      <c r="DV17" s="197">
        <f t="shared" ref="DV17:EF17" si="32">SUM(DV3:DV16)</f>
        <v>98.182778095434756</v>
      </c>
      <c r="DW17" s="197">
        <f t="shared" si="32"/>
        <v>98.301200036963323</v>
      </c>
      <c r="DX17" s="197">
        <f t="shared" si="32"/>
        <v>98.509453212847461</v>
      </c>
      <c r="DY17" s="197">
        <f t="shared" si="32"/>
        <v>99.147886</v>
      </c>
      <c r="DZ17" s="197">
        <f t="shared" si="32"/>
        <v>98.708696088763929</v>
      </c>
      <c r="EA17" s="197">
        <f t="shared" si="32"/>
        <v>98.36273114423058</v>
      </c>
      <c r="EB17" s="197">
        <f t="shared" si="32"/>
        <v>99.697258839999989</v>
      </c>
      <c r="EC17" s="197">
        <f t="shared" si="32"/>
        <v>97.803383462125694</v>
      </c>
      <c r="ED17" s="197">
        <f t="shared" si="32"/>
        <v>98.963366999999991</v>
      </c>
      <c r="EE17" s="197">
        <f t="shared" si="32"/>
        <v>98.485078399999992</v>
      </c>
      <c r="EF17" s="197">
        <f t="shared" si="32"/>
        <v>98.597640251361526</v>
      </c>
      <c r="EG17" s="197"/>
      <c r="EH17" s="197">
        <f>SUM(EH3:EH16)</f>
        <v>98.343369592142309</v>
      </c>
      <c r="EI17" s="197">
        <f>SUM(EI3:EI16)</f>
        <v>98.91</v>
      </c>
      <c r="EJ17" s="197">
        <f>SUM(EJ3:EJ16)</f>
        <v>98.095467134807166</v>
      </c>
      <c r="EK17" s="197"/>
      <c r="EL17" s="9">
        <f>SUM(EL3:EL16)</f>
        <v>98.602258027824703</v>
      </c>
      <c r="EM17" s="9">
        <f>SUM(EM3:EM16)</f>
        <v>98.812175383670279</v>
      </c>
      <c r="EQ17" s="9">
        <f t="shared" ref="EQ17:EW17" si="33">SUM(EQ3:EQ16)</f>
        <v>99.599886598271482</v>
      </c>
      <c r="ER17" s="197">
        <f t="shared" si="33"/>
        <v>99.569388176815252</v>
      </c>
      <c r="ES17" s="197">
        <f t="shared" si="33"/>
        <v>99.626561028341655</v>
      </c>
      <c r="ET17" s="9">
        <f t="shared" si="33"/>
        <v>99.988242870291799</v>
      </c>
      <c r="EU17" s="9">
        <f t="shared" si="33"/>
        <v>99.883755189464608</v>
      </c>
      <c r="EV17" s="9">
        <f t="shared" si="33"/>
        <v>100.18226178250163</v>
      </c>
      <c r="EW17" s="9">
        <f t="shared" si="33"/>
        <v>97.279462198553901</v>
      </c>
      <c r="EX17" s="197"/>
      <c r="EY17" s="197"/>
      <c r="FD17" s="5">
        <v>99.239044036723385</v>
      </c>
      <c r="FH17" s="9">
        <f>SUM(FH3:FH16)</f>
        <v>99.87100174449543</v>
      </c>
      <c r="FI17" s="9">
        <f>SUM(FI3:FI16)</f>
        <v>83.922858902109439</v>
      </c>
      <c r="FJ17" s="9">
        <f>SUM(FJ3:FJ16)</f>
        <v>100.00000000000006</v>
      </c>
    </row>
    <row r="18" spans="1:166" s="5" customFormat="1" ht="11.1" customHeight="1" x14ac:dyDescent="0.2">
      <c r="A18" s="587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>
        <f t="shared" si="4"/>
        <v>0</v>
      </c>
      <c r="U18" s="9"/>
      <c r="V18" s="9"/>
      <c r="W18" s="9"/>
      <c r="X18" s="9"/>
      <c r="Y18" s="9"/>
      <c r="Z18" s="9"/>
      <c r="AA18" s="9"/>
      <c r="AB18" s="9"/>
      <c r="AC18" s="9"/>
      <c r="AE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197"/>
      <c r="CC18" s="9"/>
      <c r="CD18" s="197"/>
      <c r="CE18" s="39"/>
      <c r="CF18" s="197"/>
      <c r="CG18" s="9"/>
      <c r="CH18" s="9">
        <v>2.8618388742247558</v>
      </c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E18"/>
      <c r="DI18"/>
      <c r="DJ18"/>
      <c r="DK18"/>
      <c r="DL18"/>
      <c r="DM18"/>
      <c r="DN18" s="198"/>
      <c r="DO18" s="198"/>
      <c r="DP18"/>
      <c r="DQ18" s="198"/>
      <c r="DR18" s="198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9"/>
      <c r="EM18" s="9"/>
      <c r="EQ18" s="9"/>
      <c r="ER18" s="197"/>
      <c r="ES18" s="197"/>
      <c r="ET18" s="9"/>
      <c r="EU18" s="9"/>
      <c r="EV18" s="9"/>
      <c r="EW18" s="9"/>
      <c r="EX18" s="197"/>
      <c r="EY18" s="197"/>
      <c r="FH18" s="9"/>
      <c r="FI18" s="9"/>
      <c r="FJ18" s="9"/>
    </row>
    <row r="19" spans="1:166" ht="11.1" customHeight="1" x14ac:dyDescent="0.2">
      <c r="A19" s="1" t="s">
        <v>472</v>
      </c>
      <c r="B19" s="3">
        <f t="shared" ref="B19:M19" si="34">B9/B7</f>
        <v>1.4995669225622421</v>
      </c>
      <c r="C19" s="3">
        <f t="shared" si="34"/>
        <v>1.0481763960472712</v>
      </c>
      <c r="D19" s="3">
        <f t="shared" si="34"/>
        <v>0.97129727556951428</v>
      </c>
      <c r="E19" s="3">
        <f t="shared" ref="E19:J19" si="35">E9/E7</f>
        <v>0.96186333871427365</v>
      </c>
      <c r="F19" s="3">
        <f t="shared" si="35"/>
        <v>0.83471784988203179</v>
      </c>
      <c r="G19" s="3">
        <f t="shared" si="35"/>
        <v>1.0341401057058159</v>
      </c>
      <c r="H19" s="3">
        <f t="shared" si="35"/>
        <v>0.84329018953624391</v>
      </c>
      <c r="I19" s="3">
        <f t="shared" si="35"/>
        <v>1.0420351983289564</v>
      </c>
      <c r="J19" s="3">
        <f t="shared" si="35"/>
        <v>0.94890820861963221</v>
      </c>
      <c r="K19" s="3">
        <f t="shared" si="34"/>
        <v>1.0961187741688265</v>
      </c>
      <c r="L19" s="3">
        <f t="shared" si="34"/>
        <v>0.95694209447011214</v>
      </c>
      <c r="M19" s="3">
        <f t="shared" si="34"/>
        <v>1.1327148792714063</v>
      </c>
      <c r="N19" s="3">
        <f t="shared" ref="N19:AB19" si="36">N9/N7</f>
        <v>1.9154999357167923</v>
      </c>
      <c r="O19" s="3">
        <f t="shared" si="36"/>
        <v>1.0951910271351355</v>
      </c>
      <c r="P19" s="3">
        <f t="shared" si="36"/>
        <v>0.74807692307692308</v>
      </c>
      <c r="Q19" s="3">
        <f t="shared" si="36"/>
        <v>0.91191182033440998</v>
      </c>
      <c r="R19" s="3">
        <f t="shared" si="36"/>
        <v>0.72892318946207246</v>
      </c>
      <c r="S19" s="3">
        <f t="shared" si="36"/>
        <v>0.64658520336193614</v>
      </c>
      <c r="T19" s="3">
        <f t="shared" si="4"/>
        <v>0.67679646394845683</v>
      </c>
      <c r="U19" s="3">
        <f t="shared" si="36"/>
        <v>0.6114511111036639</v>
      </c>
      <c r="V19" s="3">
        <f t="shared" si="36"/>
        <v>0.38568313911759716</v>
      </c>
      <c r="W19" s="3">
        <f t="shared" si="36"/>
        <v>0.47831441447429623</v>
      </c>
      <c r="X19" s="3">
        <f t="shared" si="36"/>
        <v>0.46272176761169476</v>
      </c>
      <c r="Y19" s="3">
        <f t="shared" si="36"/>
        <v>0.46815018870724789</v>
      </c>
      <c r="Z19" s="3">
        <f t="shared" si="36"/>
        <v>0.2699404922647991</v>
      </c>
      <c r="AA19" s="3">
        <f t="shared" si="36"/>
        <v>0.28090474642635049</v>
      </c>
      <c r="AB19" s="3">
        <f t="shared" si="36"/>
        <v>0.33143624073430838</v>
      </c>
      <c r="AC19" s="3">
        <f>AC9/AC7</f>
        <v>0.28724232609827272</v>
      </c>
      <c r="AE19" s="3">
        <f>AE9/AE7</f>
        <v>0.79424552861944608</v>
      </c>
      <c r="AI19" s="3">
        <f t="shared" ref="AI19:BW19" si="37">AI9/AI7</f>
        <v>1.2105380711791993</v>
      </c>
      <c r="AJ19" s="3">
        <f t="shared" si="37"/>
        <v>1.3176820653491224</v>
      </c>
      <c r="AK19" s="3">
        <f t="shared" si="37"/>
        <v>0.96568152779947569</v>
      </c>
      <c r="AL19" s="3">
        <f t="shared" si="37"/>
        <v>0.50712592337035789</v>
      </c>
      <c r="AM19" s="3">
        <f t="shared" si="37"/>
        <v>1.0341942602289844</v>
      </c>
      <c r="AN19" s="3">
        <f t="shared" si="37"/>
        <v>0.62282309807516034</v>
      </c>
      <c r="AO19" s="3">
        <f t="shared" si="37"/>
        <v>0.53898870256316922</v>
      </c>
      <c r="AP19" s="3">
        <f t="shared" si="37"/>
        <v>0.3530737475082984</v>
      </c>
      <c r="AQ19" s="3">
        <f t="shared" si="37"/>
        <v>1.1010551094020957</v>
      </c>
      <c r="AR19" s="3">
        <f t="shared" si="37"/>
        <v>0.87345657887212347</v>
      </c>
      <c r="AS19" s="3">
        <f t="shared" si="37"/>
        <v>0.87538720080529586</v>
      </c>
      <c r="AT19" s="3">
        <f t="shared" si="37"/>
        <v>0.82889759532312346</v>
      </c>
      <c r="AU19" s="3">
        <f t="shared" si="37"/>
        <v>0.92672012263511194</v>
      </c>
      <c r="AV19" s="3">
        <f t="shared" si="37"/>
        <v>0.67262715072882606</v>
      </c>
      <c r="AW19" s="3">
        <f t="shared" si="37"/>
        <v>0.87519727909528244</v>
      </c>
      <c r="AX19" s="3">
        <f t="shared" si="37"/>
        <v>1.0132635524567142</v>
      </c>
      <c r="AY19" s="3">
        <f t="shared" si="37"/>
        <v>0.31262813882591617</v>
      </c>
      <c r="AZ19" s="3">
        <f t="shared" si="37"/>
        <v>1.0531374260264301</v>
      </c>
      <c r="BA19" s="3">
        <f t="shared" si="37"/>
        <v>0.6592259668021675</v>
      </c>
      <c r="BB19" s="3">
        <f t="shared" si="37"/>
        <v>0.48372865095857392</v>
      </c>
      <c r="BC19" s="3">
        <f t="shared" si="37"/>
        <v>1.0695456854816989</v>
      </c>
      <c r="BD19" s="3">
        <f t="shared" si="37"/>
        <v>1.3340394561186202</v>
      </c>
      <c r="BE19" s="3">
        <f t="shared" si="37"/>
        <v>1.2155828487448255</v>
      </c>
      <c r="BF19" s="3">
        <f t="shared" si="37"/>
        <v>0.70376311007027192</v>
      </c>
      <c r="BG19" s="3">
        <f t="shared" si="37"/>
        <v>0.90237256131968135</v>
      </c>
      <c r="BH19" s="3">
        <f t="shared" si="37"/>
        <v>2.2214460104654106</v>
      </c>
      <c r="BI19" s="3" t="e">
        <f>BI9/BI7</f>
        <v>#DIV/0!</v>
      </c>
      <c r="BJ19" s="3" t="e">
        <f>BJ9/BJ7</f>
        <v>#DIV/0!</v>
      </c>
      <c r="BK19" s="3" t="e">
        <f>BK9/BK7</f>
        <v>#DIV/0!</v>
      </c>
      <c r="BL19" s="3" t="e">
        <f>BL9/BL7</f>
        <v>#DIV/0!</v>
      </c>
      <c r="BM19" s="3" t="e">
        <f>BM9/BM7</f>
        <v>#DIV/0!</v>
      </c>
      <c r="BN19" s="3">
        <f t="shared" si="37"/>
        <v>0.50848296783398372</v>
      </c>
      <c r="BO19" s="3">
        <f t="shared" si="37"/>
        <v>0.63877949364663156</v>
      </c>
      <c r="BP19" s="3">
        <f t="shared" si="37"/>
        <v>0.57424956830645757</v>
      </c>
      <c r="BQ19" s="3">
        <f t="shared" si="37"/>
        <v>0.72054606551017042</v>
      </c>
      <c r="BR19" s="3">
        <f t="shared" si="37"/>
        <v>1.3436086243126475</v>
      </c>
      <c r="BS19" s="3" t="e">
        <f t="shared" si="37"/>
        <v>#DIV/0!</v>
      </c>
      <c r="BT19" s="3">
        <f t="shared" si="37"/>
        <v>1.2795359414868306</v>
      </c>
      <c r="BU19" s="3">
        <f t="shared" si="37"/>
        <v>1.3201672640296354</v>
      </c>
      <c r="BV19" s="3">
        <f t="shared" si="37"/>
        <v>1.3151328962418105</v>
      </c>
      <c r="BW19" s="3">
        <f t="shared" si="37"/>
        <v>0.6539504063250251</v>
      </c>
      <c r="BX19" s="3"/>
      <c r="BY19" s="3"/>
      <c r="BZ19" s="3">
        <f t="shared" ref="BZ19:CG19" si="38">BZ9/BZ7</f>
        <v>1.3534773993246105</v>
      </c>
      <c r="CA19" s="3">
        <f t="shared" si="38"/>
        <v>0.99501971474981188</v>
      </c>
      <c r="CB19" s="3">
        <f t="shared" si="38"/>
        <v>0.89935953186265305</v>
      </c>
      <c r="CC19" s="3">
        <f t="shared" si="38"/>
        <v>0.57136521173404486</v>
      </c>
      <c r="CD19" s="3">
        <f t="shared" si="38"/>
        <v>1.5579581974663232</v>
      </c>
      <c r="CE19" s="3">
        <f t="shared" si="38"/>
        <v>1.9097424591528738</v>
      </c>
      <c r="CF19" s="3">
        <f t="shared" si="38"/>
        <v>1.6878780591933809</v>
      </c>
      <c r="CG19" s="3">
        <f t="shared" si="38"/>
        <v>0.97393584234922459</v>
      </c>
      <c r="CH19" s="3">
        <f>CH9/CH7</f>
        <v>0.97393584234922448</v>
      </c>
      <c r="CI19" s="3">
        <f>CI9/CI7</f>
        <v>0.65890941324690988</v>
      </c>
      <c r="CJ19" s="3">
        <f>CJ9/CJ7</f>
        <v>1.1226908579145884</v>
      </c>
      <c r="CK19" s="3">
        <f>CK9/CK7</f>
        <v>1.0290526637328234</v>
      </c>
      <c r="CL19" s="3">
        <f>CL9/CL7</f>
        <v>1.1690061367781084</v>
      </c>
      <c r="CM19" s="3">
        <f t="shared" ref="CM19:DA19" si="39">CM9/CM7</f>
        <v>0.93126727514238938</v>
      </c>
      <c r="CN19" s="3">
        <f t="shared" si="39"/>
        <v>1.1061676687874988</v>
      </c>
      <c r="CO19" s="3">
        <f t="shared" si="39"/>
        <v>0.60260997664396021</v>
      </c>
      <c r="CP19" s="3">
        <f>CP9/CP7</f>
        <v>1.0353788451707793</v>
      </c>
      <c r="CQ19" s="3">
        <f>CQ9/CQ7</f>
        <v>1.499531568600013</v>
      </c>
      <c r="CR19" s="3" t="e">
        <f>CR9/CR7</f>
        <v>#DIV/0!</v>
      </c>
      <c r="CS19" s="3">
        <f>CS9/CS7</f>
        <v>0.90468469746770575</v>
      </c>
      <c r="CT19" s="3">
        <f t="shared" si="39"/>
        <v>1.1761066086064316</v>
      </c>
      <c r="CU19" s="3">
        <f t="shared" si="39"/>
        <v>1.1530853916109538</v>
      </c>
      <c r="CV19" s="3">
        <f t="shared" si="39"/>
        <v>0.98427235207257113</v>
      </c>
      <c r="CW19" s="3">
        <f t="shared" si="39"/>
        <v>0.71197302806846741</v>
      </c>
      <c r="CX19" s="3">
        <f t="shared" si="39"/>
        <v>0.90378933201554512</v>
      </c>
      <c r="CY19" s="3">
        <f t="shared" si="39"/>
        <v>1.387533334115495</v>
      </c>
      <c r="CZ19" s="3">
        <f t="shared" si="39"/>
        <v>1.2387212259198921</v>
      </c>
      <c r="DA19" s="3">
        <f t="shared" si="39"/>
        <v>0.96176082463209234</v>
      </c>
      <c r="DM19" s="3">
        <f t="shared" ref="DM19:DU19" si="40">DM9/DM7</f>
        <v>2.4672089973823836</v>
      </c>
      <c r="DN19" s="3">
        <f t="shared" si="40"/>
        <v>2.1995370400969594</v>
      </c>
      <c r="DO19" s="3">
        <f t="shared" si="40"/>
        <v>1.9112817541094245</v>
      </c>
      <c r="DP19" s="3">
        <f t="shared" si="40"/>
        <v>1.9481289424782011</v>
      </c>
      <c r="DQ19" s="3">
        <f t="shared" si="40"/>
        <v>2.059984714981109</v>
      </c>
      <c r="DR19" s="3">
        <f t="shared" si="40"/>
        <v>2.1762662265865518</v>
      </c>
      <c r="DS19" s="3">
        <f t="shared" si="40"/>
        <v>2.6887504288573059</v>
      </c>
      <c r="DT19" s="3">
        <f t="shared" si="40"/>
        <v>1.9847560975609757</v>
      </c>
      <c r="DU19" s="3">
        <f t="shared" si="40"/>
        <v>1.9717314487632509</v>
      </c>
      <c r="DV19" s="3">
        <f t="shared" ref="DV19:EM19" si="41">DV9/DV7</f>
        <v>2.1321989076153769</v>
      </c>
      <c r="DW19" s="3">
        <f t="shared" si="41"/>
        <v>1.9685235436042163</v>
      </c>
      <c r="DX19" s="3">
        <f t="shared" si="41"/>
        <v>1.9496711476036868</v>
      </c>
      <c r="DY19" s="3">
        <f t="shared" si="41"/>
        <v>1.5736434108527131</v>
      </c>
      <c r="DZ19" s="3">
        <f t="shared" si="41"/>
        <v>1.9514179407129835</v>
      </c>
      <c r="EA19" s="3">
        <f t="shared" si="41"/>
        <v>1.9784856188945139</v>
      </c>
      <c r="EB19" s="3">
        <f t="shared" si="41"/>
        <v>1.6025236593059937</v>
      </c>
      <c r="EC19" s="3">
        <f t="shared" si="41"/>
        <v>1.9833152224277533</v>
      </c>
      <c r="ED19" s="3">
        <f t="shared" si="41"/>
        <v>1.6707021791767556</v>
      </c>
      <c r="EE19" s="3">
        <f t="shared" si="41"/>
        <v>1.8607954545454546</v>
      </c>
      <c r="EF19" s="3">
        <f t="shared" si="41"/>
        <v>1.9605900251627542</v>
      </c>
      <c r="EG19" s="3" t="e">
        <f t="shared" si="41"/>
        <v>#DIV/0!</v>
      </c>
      <c r="EH19" s="3">
        <f t="shared" si="41"/>
        <v>1.9755856526715527</v>
      </c>
      <c r="EI19" s="3">
        <f t="shared" si="41"/>
        <v>1.6388888888888888</v>
      </c>
      <c r="EJ19" s="3">
        <f t="shared" si="41"/>
        <v>2.2819207008959492</v>
      </c>
      <c r="EK19" s="3"/>
      <c r="EL19" s="3">
        <f t="shared" si="41"/>
        <v>1.0694914551178212</v>
      </c>
      <c r="EM19" s="3">
        <f t="shared" si="41"/>
        <v>0.94027527831301072</v>
      </c>
      <c r="EN19" s="3"/>
      <c r="EO19" s="3"/>
      <c r="EP19" s="3"/>
      <c r="EQ19" s="3">
        <f t="shared" ref="EQ19:EW19" si="42">EQ9/EQ7</f>
        <v>1.3458524294226029</v>
      </c>
      <c r="ER19" s="3">
        <f t="shared" si="42"/>
        <v>1.3322560374114398</v>
      </c>
      <c r="ES19" s="3">
        <f t="shared" si="42"/>
        <v>1.3447404332099284</v>
      </c>
      <c r="ET19" s="3">
        <f t="shared" si="42"/>
        <v>1.0021593612596587</v>
      </c>
      <c r="EU19" s="3">
        <f t="shared" si="42"/>
        <v>0.83562642463342407</v>
      </c>
      <c r="EV19" s="3">
        <f t="shared" si="42"/>
        <v>0.87196133732998948</v>
      </c>
      <c r="EW19" s="3">
        <f t="shared" si="42"/>
        <v>0.80265157375335316</v>
      </c>
      <c r="EX19" s="3"/>
      <c r="EY19" s="3"/>
      <c r="EZ19" s="3"/>
      <c r="FD19">
        <v>0.98427235207257113</v>
      </c>
      <c r="FH19" s="3">
        <f>FH9/FH7</f>
        <v>0.85886910581821874</v>
      </c>
      <c r="FI19" s="3"/>
      <c r="FJ19" s="3">
        <f>FJ9/FJ7</f>
        <v>0.85886910581821863</v>
      </c>
    </row>
    <row r="20" spans="1:166" ht="11.1" customHeight="1" x14ac:dyDescent="0.2">
      <c r="A20" s="1" t="s">
        <v>960</v>
      </c>
      <c r="B20" s="6">
        <f t="shared" ref="B20:M20" si="43">B7+B9</f>
        <v>13.662117165356364</v>
      </c>
      <c r="C20" s="3">
        <f t="shared" si="43"/>
        <v>8.9589389233507504</v>
      </c>
      <c r="D20" s="6">
        <f t="shared" si="43"/>
        <v>12.43142072856579</v>
      </c>
      <c r="E20" s="6">
        <f t="shared" ref="E20:J20" si="44">E7+E9</f>
        <v>10.867390814671527</v>
      </c>
      <c r="F20" s="6">
        <f t="shared" si="44"/>
        <v>6.2464723800397532</v>
      </c>
      <c r="G20" s="6">
        <f t="shared" si="44"/>
        <v>10.193764650294389</v>
      </c>
      <c r="H20" s="6">
        <f t="shared" si="44"/>
        <v>6.0073332224537488</v>
      </c>
      <c r="I20" s="6">
        <f t="shared" si="44"/>
        <v>7.5476836260105928</v>
      </c>
      <c r="J20" s="6">
        <f t="shared" si="44"/>
        <v>6.7775084242321704</v>
      </c>
      <c r="K20" s="3">
        <f t="shared" si="43"/>
        <v>13.084559198676278</v>
      </c>
      <c r="L20" s="6">
        <f t="shared" si="43"/>
        <v>8.3960513158339403</v>
      </c>
      <c r="M20" s="6">
        <f t="shared" si="43"/>
        <v>10.023759932575611</v>
      </c>
      <c r="N20" s="6">
        <f t="shared" ref="N20:AB20" si="45">N7+N9</f>
        <v>10.363717309764748</v>
      </c>
      <c r="O20" s="6">
        <f t="shared" si="45"/>
        <v>8.1646435666008301</v>
      </c>
      <c r="P20" s="3">
        <f t="shared" si="45"/>
        <v>9.09</v>
      </c>
      <c r="Q20" s="6">
        <f t="shared" si="45"/>
        <v>17.295622897448929</v>
      </c>
      <c r="R20" s="6">
        <f t="shared" si="45"/>
        <v>21.013247494025791</v>
      </c>
      <c r="S20" s="6">
        <f t="shared" si="45"/>
        <v>23.309002428962788</v>
      </c>
      <c r="T20" s="6">
        <f t="shared" si="4"/>
        <v>22.466649417099919</v>
      </c>
      <c r="U20" s="6">
        <f t="shared" si="45"/>
        <v>22.446685231388329</v>
      </c>
      <c r="V20" s="6">
        <f t="shared" si="45"/>
        <v>22.664179129277088</v>
      </c>
      <c r="W20" s="6">
        <f t="shared" si="45"/>
        <v>25.166477754542051</v>
      </c>
      <c r="X20" s="6">
        <f t="shared" si="45"/>
        <v>27.022562236382619</v>
      </c>
      <c r="Y20" s="6">
        <f t="shared" si="45"/>
        <v>26.341532075124036</v>
      </c>
      <c r="Z20" s="6">
        <f t="shared" si="45"/>
        <v>27.550668210913507</v>
      </c>
      <c r="AA20" s="6">
        <f t="shared" si="45"/>
        <v>28.846970736015322</v>
      </c>
      <c r="AB20" s="6">
        <f t="shared" si="45"/>
        <v>29.015243874865199</v>
      </c>
      <c r="AC20" s="6">
        <f>AC7+AC9</f>
        <v>28.904751015166813</v>
      </c>
      <c r="AE20" s="6">
        <f>AE7+AE9</f>
        <v>17.185361725679847</v>
      </c>
      <c r="AI20" s="6">
        <f t="shared" ref="AI20:BW20" si="46">AI7+AI9</f>
        <v>9.7236905840543368</v>
      </c>
      <c r="AJ20" s="6">
        <f t="shared" si="46"/>
        <v>8.2422410446099956</v>
      </c>
      <c r="AK20" s="6">
        <f t="shared" si="46"/>
        <v>9.2277641745117833</v>
      </c>
      <c r="AL20" s="6">
        <f t="shared" si="46"/>
        <v>24.495845752238189</v>
      </c>
      <c r="AM20" s="6">
        <f t="shared" si="46"/>
        <v>11.026796970598266</v>
      </c>
      <c r="AN20" s="6">
        <f t="shared" si="46"/>
        <v>35.409999999999997</v>
      </c>
      <c r="AO20" s="6">
        <f t="shared" si="46"/>
        <v>38.345699092171898</v>
      </c>
      <c r="AP20" s="6">
        <f t="shared" si="46"/>
        <v>30.255457189052411</v>
      </c>
      <c r="AQ20" s="6">
        <f t="shared" si="46"/>
        <v>8.0574257081184939</v>
      </c>
      <c r="AR20" s="6">
        <f t="shared" si="46"/>
        <v>7.5914828122863032</v>
      </c>
      <c r="AS20" s="6">
        <f t="shared" si="46"/>
        <v>36.939229434995582</v>
      </c>
      <c r="AT20" s="6">
        <f t="shared" si="46"/>
        <v>17.777153913109665</v>
      </c>
      <c r="AU20" s="6">
        <f t="shared" si="46"/>
        <v>5.145320666268586</v>
      </c>
      <c r="AV20" s="6">
        <f t="shared" si="46"/>
        <v>25.692634634951531</v>
      </c>
      <c r="AW20" s="6">
        <f t="shared" si="46"/>
        <v>10.017278579193182</v>
      </c>
      <c r="AX20" s="6">
        <f t="shared" si="46"/>
        <v>18.64392371523585</v>
      </c>
      <c r="AY20" s="6">
        <f t="shared" si="46"/>
        <v>28.469047566726054</v>
      </c>
      <c r="AZ20" s="6">
        <f t="shared" si="46"/>
        <v>14.441355370464279</v>
      </c>
      <c r="BA20" s="6">
        <f t="shared" si="46"/>
        <v>22.767545675790359</v>
      </c>
      <c r="BB20" s="6">
        <f t="shared" si="46"/>
        <v>25.480759028111898</v>
      </c>
      <c r="BC20" s="6">
        <f t="shared" si="46"/>
        <v>17.698082716910722</v>
      </c>
      <c r="BD20" s="6">
        <f t="shared" si="46"/>
        <v>13.874210269260491</v>
      </c>
      <c r="BE20" s="6">
        <f t="shared" si="46"/>
        <v>12.735814508707445</v>
      </c>
      <c r="BF20" s="6">
        <f t="shared" si="46"/>
        <v>21.676813347112301</v>
      </c>
      <c r="BG20" s="6">
        <f t="shared" si="46"/>
        <v>14.384816613799254</v>
      </c>
      <c r="BH20" s="6">
        <f t="shared" si="46"/>
        <v>18.394456719757496</v>
      </c>
      <c r="BI20" s="6" t="e">
        <f>BI7+BI9</f>
        <v>#DIV/0!</v>
      </c>
      <c r="BJ20" s="6" t="e">
        <f>BJ7+BJ9</f>
        <v>#DIV/0!</v>
      </c>
      <c r="BK20" s="6" t="e">
        <f>BK7+BK9</f>
        <v>#DIV/0!</v>
      </c>
      <c r="BL20" s="6" t="e">
        <f>BL7+BL9</f>
        <v>#DIV/0!</v>
      </c>
      <c r="BM20" s="6" t="e">
        <f>BM7+BM9</f>
        <v>#DIV/0!</v>
      </c>
      <c r="BN20" s="6">
        <f t="shared" si="46"/>
        <v>32.358610928032675</v>
      </c>
      <c r="BO20" s="6">
        <f t="shared" si="46"/>
        <v>35.82731077572587</v>
      </c>
      <c r="BP20" s="6">
        <f t="shared" si="46"/>
        <v>34.092960851879269</v>
      </c>
      <c r="BQ20" s="6">
        <f t="shared" si="46"/>
        <v>33.194464558874373</v>
      </c>
      <c r="BR20" s="6">
        <f t="shared" si="46"/>
        <v>46.240447929777005</v>
      </c>
      <c r="BS20" s="6">
        <f t="shared" si="46"/>
        <v>0</v>
      </c>
      <c r="BT20" s="6">
        <f t="shared" si="46"/>
        <v>42.501741060266156</v>
      </c>
      <c r="BU20" s="6">
        <f t="shared" si="46"/>
        <v>46.94521727420134</v>
      </c>
      <c r="BV20" s="6">
        <f t="shared" si="46"/>
        <v>45.229135421414838</v>
      </c>
      <c r="BW20" s="6">
        <f t="shared" si="46"/>
        <v>19.002696852512795</v>
      </c>
      <c r="BX20" s="6"/>
      <c r="BY20" s="6"/>
      <c r="BZ20" s="6">
        <f t="shared" ref="BZ20:CG20" si="47">BZ7+BZ9</f>
        <v>11.184721234706608</v>
      </c>
      <c r="CA20" s="6">
        <f t="shared" si="47"/>
        <v>8.1995412030912682</v>
      </c>
      <c r="CB20" s="3">
        <f t="shared" si="47"/>
        <v>5.6098423511744056</v>
      </c>
      <c r="CC20" s="6">
        <f t="shared" si="47"/>
        <v>33.95914576045449</v>
      </c>
      <c r="CD20" s="6">
        <f t="shared" si="47"/>
        <v>8.075984795322098</v>
      </c>
      <c r="CE20" s="6">
        <f t="shared" si="47"/>
        <v>9.1307952327833828</v>
      </c>
      <c r="CF20" s="6">
        <f t="shared" si="47"/>
        <v>8.6135927837562534</v>
      </c>
      <c r="CG20" s="6">
        <f t="shared" si="47"/>
        <v>7.7490950724038345</v>
      </c>
      <c r="CH20" s="6">
        <f>CH7+CH9</f>
        <v>8.0294253834142388</v>
      </c>
      <c r="CI20" s="6">
        <f>CI7+CI9</f>
        <v>15.294529594634634</v>
      </c>
      <c r="CJ20" s="6">
        <f>CJ7+CJ9</f>
        <v>8.9330777629462936</v>
      </c>
      <c r="CK20" s="6">
        <f>CK7+CK9</f>
        <v>10.494213385028285</v>
      </c>
      <c r="CL20" s="6">
        <f>CL7+CL9</f>
        <v>17.053277004002229</v>
      </c>
      <c r="CM20" s="6">
        <f t="shared" ref="CM20:DA20" si="48">CM7+CM9</f>
        <v>21.316354994747616</v>
      </c>
      <c r="CN20" s="6">
        <f t="shared" si="48"/>
        <v>17.921979688908838</v>
      </c>
      <c r="CO20" s="6">
        <f t="shared" si="48"/>
        <v>21.73003860191514</v>
      </c>
      <c r="CP20" s="6">
        <f>CP7+CP9</f>
        <v>16.187042962920692</v>
      </c>
      <c r="CQ20" s="6">
        <f>CQ7+CQ9</f>
        <v>15.116787124217606</v>
      </c>
      <c r="CR20" s="6" t="e">
        <f>CR7+CR9</f>
        <v>#DIV/0!</v>
      </c>
      <c r="CS20" s="6">
        <f>CS7+CS9</f>
        <v>10.498397699296708</v>
      </c>
      <c r="CT20" s="6">
        <f t="shared" si="48"/>
        <v>16.876226181386482</v>
      </c>
      <c r="CU20" s="6">
        <f t="shared" si="48"/>
        <v>16.925435138571089</v>
      </c>
      <c r="CV20" s="6">
        <f t="shared" si="48"/>
        <v>22.109908898407259</v>
      </c>
      <c r="CW20" s="6">
        <f t="shared" si="48"/>
        <v>19.38703565413925</v>
      </c>
      <c r="CX20" s="6">
        <f t="shared" si="48"/>
        <v>7.4179588009675594</v>
      </c>
      <c r="CY20" s="6">
        <f t="shared" si="48"/>
        <v>14.056450801752737</v>
      </c>
      <c r="CZ20" s="6">
        <f t="shared" si="48"/>
        <v>7.0438002308717014</v>
      </c>
      <c r="DA20" s="6">
        <f t="shared" si="48"/>
        <v>8.1043408255144413</v>
      </c>
      <c r="DM20" s="6">
        <f t="shared" ref="DM20:DU20" si="49">DM7+DM9</f>
        <v>12.828673290314821</v>
      </c>
      <c r="DN20" s="6">
        <f t="shared" si="49"/>
        <v>10.660857417603069</v>
      </c>
      <c r="DO20" s="6">
        <f t="shared" si="49"/>
        <v>10.888193760369248</v>
      </c>
      <c r="DP20" s="6">
        <f t="shared" si="49"/>
        <v>9.4929751947798078</v>
      </c>
      <c r="DQ20" s="6">
        <f t="shared" si="49"/>
        <v>9.1034545270687985</v>
      </c>
      <c r="DR20" s="6">
        <f t="shared" si="49"/>
        <v>10.513441210001487</v>
      </c>
      <c r="DS20" s="6">
        <f t="shared" si="49"/>
        <v>12.062213902363389</v>
      </c>
      <c r="DT20" s="6">
        <f t="shared" si="49"/>
        <v>9.7899999999999991</v>
      </c>
      <c r="DU20" s="6">
        <f t="shared" si="49"/>
        <v>8.41</v>
      </c>
      <c r="DV20" s="6">
        <f t="shared" ref="DV20:EM20" si="50">DV7+DV9</f>
        <v>11.72788421908078</v>
      </c>
      <c r="DW20" s="6">
        <f t="shared" si="50"/>
        <v>9.30228736750745</v>
      </c>
      <c r="DX20" s="6">
        <f t="shared" si="50"/>
        <v>10.006639531525732</v>
      </c>
      <c r="DY20" s="6">
        <f t="shared" si="50"/>
        <v>6.64</v>
      </c>
      <c r="DZ20" s="6">
        <f t="shared" si="50"/>
        <v>9.9365231891224166</v>
      </c>
      <c r="EA20" s="6">
        <f t="shared" si="50"/>
        <v>9.0843977428890081</v>
      </c>
      <c r="EB20" s="6">
        <f t="shared" si="50"/>
        <v>8.25</v>
      </c>
      <c r="EC20" s="6">
        <f t="shared" si="50"/>
        <v>9.8585097171935843</v>
      </c>
      <c r="ED20" s="6">
        <f t="shared" si="50"/>
        <v>11.030000000000001</v>
      </c>
      <c r="EE20" s="6">
        <f t="shared" si="50"/>
        <v>10.07</v>
      </c>
      <c r="EF20" s="6">
        <f t="shared" si="50"/>
        <v>9.5851631160028283</v>
      </c>
      <c r="EG20" s="6">
        <f t="shared" si="50"/>
        <v>0</v>
      </c>
      <c r="EH20" s="6">
        <f t="shared" si="50"/>
        <v>9.0653385017653498</v>
      </c>
      <c r="EI20" s="6">
        <f t="shared" si="50"/>
        <v>2.85</v>
      </c>
      <c r="EJ20" s="6">
        <f t="shared" si="50"/>
        <v>10.424389873880225</v>
      </c>
      <c r="EK20" s="6"/>
      <c r="EL20" s="6">
        <f t="shared" si="50"/>
        <v>7.7102018525614007</v>
      </c>
      <c r="EM20" s="6">
        <f t="shared" si="50"/>
        <v>7.7638096739108899</v>
      </c>
      <c r="EN20" s="6"/>
      <c r="EO20" s="6"/>
      <c r="EP20" s="6"/>
      <c r="EQ20" s="6">
        <f t="shared" ref="EQ20:EW20" si="51">EQ7+EQ9</f>
        <v>11.292691052155535</v>
      </c>
      <c r="ER20" s="6">
        <f t="shared" si="51"/>
        <v>10.966005274628241</v>
      </c>
      <c r="ES20" s="6">
        <f t="shared" si="51"/>
        <v>10.713163899635477</v>
      </c>
      <c r="ET20" s="6">
        <f t="shared" si="51"/>
        <v>5.6980677728605684</v>
      </c>
      <c r="EU20" s="6">
        <f t="shared" si="51"/>
        <v>6.4550541692049919</v>
      </c>
      <c r="EV20" s="6">
        <f t="shared" si="51"/>
        <v>4.6764051114576555</v>
      </c>
      <c r="EW20" s="6">
        <f t="shared" si="51"/>
        <v>9.3944871532011529</v>
      </c>
      <c r="EX20" s="6"/>
      <c r="EY20" s="6"/>
      <c r="EZ20" s="6"/>
      <c r="FD20">
        <v>22.109908898407259</v>
      </c>
      <c r="FH20" s="6">
        <f>FH7+FH9</f>
        <v>10.853717665871823</v>
      </c>
      <c r="FI20" s="6"/>
      <c r="FJ20" s="6">
        <f>FJ7+FJ9</f>
        <v>12.932969405310629</v>
      </c>
    </row>
    <row r="21" spans="1:166" ht="10.5" customHeight="1" x14ac:dyDescent="0.2">
      <c r="A21" s="11" t="s">
        <v>160</v>
      </c>
      <c r="B21" s="7">
        <f t="shared" ref="B21:M21" si="52">(B9/40.304)*100/(B9/40.304+B7/71.846)</f>
        <v>72.775272371218421</v>
      </c>
      <c r="C21" s="7">
        <f t="shared" si="52"/>
        <v>65.138350229126431</v>
      </c>
      <c r="D21" s="7">
        <f t="shared" si="52"/>
        <v>63.389230058879313</v>
      </c>
      <c r="E21" s="7">
        <f t="shared" ref="E21:J21" si="53">(E9/40.5814)*100/(E9/40.5814+E7/71.846)</f>
        <v>63.002689797924859</v>
      </c>
      <c r="F21" s="7">
        <f t="shared" si="53"/>
        <v>59.641595778868329</v>
      </c>
      <c r="G21" s="7">
        <f t="shared" si="53"/>
        <v>64.675035915406212</v>
      </c>
      <c r="H21" s="7">
        <f t="shared" si="53"/>
        <v>59.887287743359302</v>
      </c>
      <c r="I21" s="7">
        <f t="shared" si="53"/>
        <v>64.848598922835137</v>
      </c>
      <c r="J21" s="7">
        <f t="shared" si="53"/>
        <v>62.686054982979137</v>
      </c>
      <c r="K21" s="7">
        <f t="shared" si="52"/>
        <v>66.146952006473597</v>
      </c>
      <c r="L21" s="7">
        <f t="shared" si="52"/>
        <v>63.042996843471379</v>
      </c>
      <c r="M21" s="7">
        <f t="shared" si="52"/>
        <v>66.878424622350067</v>
      </c>
      <c r="N21" s="7">
        <f t="shared" ref="N21:S21" si="54">(N9/40.304)*100/(N9/40.304+N7/71.846)</f>
        <v>77.347759954250066</v>
      </c>
      <c r="O21" s="7">
        <f t="shared" si="54"/>
        <v>66.127988319166363</v>
      </c>
      <c r="P21" s="7">
        <f t="shared" si="54"/>
        <v>57.146351297077537</v>
      </c>
      <c r="Q21" s="7">
        <f t="shared" si="54"/>
        <v>61.913119808775186</v>
      </c>
      <c r="R21" s="7">
        <f t="shared" si="54"/>
        <v>56.510017597066188</v>
      </c>
      <c r="S21" s="7">
        <f t="shared" si="54"/>
        <v>53.544641868090487</v>
      </c>
      <c r="T21" s="7">
        <f t="shared" si="4"/>
        <v>54.632690569889867</v>
      </c>
      <c r="U21" s="7">
        <v>51.839782498209367</v>
      </c>
      <c r="V21" s="7">
        <f t="shared" ref="V21:AB21" si="55">(V9/40.304)*100/(V9/40.304+V7/71.846)</f>
        <v>40.74142976269605</v>
      </c>
      <c r="W21" s="7">
        <f t="shared" si="55"/>
        <v>46.023099028068117</v>
      </c>
      <c r="X21" s="7">
        <f t="shared" si="55"/>
        <v>45.200940937635025</v>
      </c>
      <c r="Y21" s="7">
        <f t="shared" si="55"/>
        <v>45.489993821072233</v>
      </c>
      <c r="Z21" s="7">
        <f t="shared" si="55"/>
        <v>32.487014018354017</v>
      </c>
      <c r="AA21" s="7">
        <f t="shared" si="55"/>
        <v>33.366269296300871</v>
      </c>
      <c r="AB21" s="7">
        <f t="shared" si="55"/>
        <v>37.139296623010118</v>
      </c>
      <c r="AC21" s="7">
        <f>(AC9/40.304)*100/(AC9/40.304+AC7/71.846)</f>
        <v>33.864131396638193</v>
      </c>
      <c r="AE21" s="7">
        <f>(AE9/40.304)*100/(AE9/40.304+AE7/71.846)</f>
        <v>58.606253429177976</v>
      </c>
      <c r="AI21" s="7">
        <f t="shared" ref="AI21:AZ21" si="56">(AI9/40.304)*100/(AI9/40.304+AI7/71.846)</f>
        <v>68.333464897175574</v>
      </c>
      <c r="AJ21" s="7">
        <f t="shared" si="56"/>
        <v>70.139475336851646</v>
      </c>
      <c r="AK21" s="7">
        <f t="shared" si="56"/>
        <v>63.254558972431582</v>
      </c>
      <c r="AL21" s="7">
        <f t="shared" si="56"/>
        <v>47.479096373465673</v>
      </c>
      <c r="AM21" s="7">
        <f t="shared" si="56"/>
        <v>64.832777945757428</v>
      </c>
      <c r="AN21" s="7">
        <f t="shared" si="56"/>
        <v>52.612156299045367</v>
      </c>
      <c r="AO21" s="7">
        <f t="shared" si="56"/>
        <v>49.000471965075363</v>
      </c>
      <c r="AP21" s="7">
        <f t="shared" si="56"/>
        <v>38.627340844434961</v>
      </c>
      <c r="AQ21" s="7">
        <f t="shared" si="56"/>
        <v>66.247497554061155</v>
      </c>
      <c r="AR21" s="7">
        <f t="shared" si="56"/>
        <v>60.892062064713834</v>
      </c>
      <c r="AS21" s="7">
        <f t="shared" si="56"/>
        <v>60.944627151414231</v>
      </c>
      <c r="AT21" s="7">
        <f t="shared" si="56"/>
        <v>59.638273299730095</v>
      </c>
      <c r="AU21" s="7">
        <f t="shared" si="56"/>
        <v>62.292230436762289</v>
      </c>
      <c r="AV21" s="7">
        <f t="shared" si="56"/>
        <v>54.525335193836611</v>
      </c>
      <c r="AW21" s="7">
        <f t="shared" si="56"/>
        <v>60.939462416211207</v>
      </c>
      <c r="AX21" s="7">
        <f t="shared" si="56"/>
        <v>64.365203568714392</v>
      </c>
      <c r="AY21" s="7">
        <f t="shared" si="56"/>
        <v>35.785951058195124</v>
      </c>
      <c r="AZ21" s="7">
        <f t="shared" si="56"/>
        <v>65.245498531354514</v>
      </c>
      <c r="BA21" s="7">
        <v>51.839782498209367</v>
      </c>
      <c r="BB21" s="7">
        <f t="shared" ref="BB21:BW21" si="57">(BB9/40.304)*100/(BB9/40.304+BB7/71.846)</f>
        <v>46.302836699051987</v>
      </c>
      <c r="BC21" s="7">
        <f t="shared" si="57"/>
        <v>65.595239541559152</v>
      </c>
      <c r="BD21" s="7">
        <f t="shared" si="57"/>
        <v>70.397225132242994</v>
      </c>
      <c r="BE21" s="7">
        <f t="shared" si="57"/>
        <v>68.423386195258857</v>
      </c>
      <c r="BF21" s="7">
        <f t="shared" si="57"/>
        <v>55.644851036878812</v>
      </c>
      <c r="BG21" s="7">
        <f t="shared" si="57"/>
        <v>61.664839791297126</v>
      </c>
      <c r="BH21" s="7">
        <f t="shared" si="57"/>
        <v>79.838525121725567</v>
      </c>
      <c r="BI21" s="7" t="e">
        <f>(BI9/40.304)*100/(BI9/40.304+BI7/71.846)</f>
        <v>#DIV/0!</v>
      </c>
      <c r="BJ21" s="7" t="e">
        <f>(BJ9/40.304)*100/(BJ9/40.304+BJ7/71.846)</f>
        <v>#DIV/0!</v>
      </c>
      <c r="BK21" s="7" t="e">
        <f>(BK9/40.304)*100/(BK9/40.304+BK7/71.846)</f>
        <v>#DIV/0!</v>
      </c>
      <c r="BL21" s="7" t="e">
        <f>(BL9/40.304)*100/(BL9/40.304+BL7/71.846)</f>
        <v>#DIV/0!</v>
      </c>
      <c r="BM21" s="7" t="e">
        <f>(BM9/40.304)*100/(BM9/40.304+BM7/71.846)</f>
        <v>#DIV/0!</v>
      </c>
      <c r="BN21" s="7">
        <f t="shared" si="57"/>
        <v>47.545740437330082</v>
      </c>
      <c r="BO21" s="7">
        <f t="shared" si="57"/>
        <v>53.242399832495124</v>
      </c>
      <c r="BP21" s="7">
        <f t="shared" si="57"/>
        <v>50.584549132487453</v>
      </c>
      <c r="BQ21" s="7">
        <f t="shared" si="57"/>
        <v>56.225730252397305</v>
      </c>
      <c r="BR21" s="7">
        <f t="shared" si="57"/>
        <v>70.545957660688046</v>
      </c>
      <c r="BS21" s="7" t="e">
        <f t="shared" si="57"/>
        <v>#DIV/0!</v>
      </c>
      <c r="BT21" s="7">
        <f t="shared" si="57"/>
        <v>69.520591955742219</v>
      </c>
      <c r="BU21" s="7">
        <f t="shared" si="57"/>
        <v>70.178924363915769</v>
      </c>
      <c r="BV21" s="7">
        <f t="shared" si="57"/>
        <v>70.09890228677817</v>
      </c>
      <c r="BW21" s="7">
        <f t="shared" si="57"/>
        <v>53.826266068413645</v>
      </c>
      <c r="BX21" s="7"/>
      <c r="BY21" s="7"/>
      <c r="BZ21" s="7">
        <f t="shared" ref="BZ21:CG21" si="58">(BZ9/40.304)*100/(BZ9/40.304+BZ7/71.846)</f>
        <v>70.697789544990187</v>
      </c>
      <c r="CA21" s="7">
        <f t="shared" si="58"/>
        <v>63.947390878959517</v>
      </c>
      <c r="CB21" s="7">
        <f t="shared" si="58"/>
        <v>61.585745066702295</v>
      </c>
      <c r="CC21" s="7">
        <f t="shared" si="58"/>
        <v>50.458675789943513</v>
      </c>
      <c r="CD21" s="79">
        <f t="shared" si="58"/>
        <v>73.525501104942336</v>
      </c>
      <c r="CE21" s="79">
        <f t="shared" si="58"/>
        <v>77.294973828910244</v>
      </c>
      <c r="CF21" s="79">
        <f t="shared" si="58"/>
        <v>75.054973728209177</v>
      </c>
      <c r="CG21" s="7">
        <f t="shared" si="58"/>
        <v>63.452165176747307</v>
      </c>
      <c r="CH21" s="7">
        <f>(CH9/40.304)*100/(CH9/40.304+CH7/71.846)</f>
        <v>63.4521651767473</v>
      </c>
      <c r="CI21" s="7">
        <f>(CI9/40.304)*100/(CI9/40.304+CI7/71.846)</f>
        <v>54.013968580971273</v>
      </c>
      <c r="CJ21" s="7">
        <f>(CJ9/40.304)*100/(CJ9/40.304+CJ7/71.846)</f>
        <v>66.681229403659302</v>
      </c>
      <c r="CK21" s="7">
        <f>(CK9/40.304)*100/(CK9/40.304+CK7/71.846)</f>
        <v>64.719059569123345</v>
      </c>
      <c r="CL21" s="7">
        <f>(CL9/40.304)*100/(CL9/40.304+CL7/71.846)</f>
        <v>67.573242477051437</v>
      </c>
      <c r="CM21" s="7">
        <f t="shared" ref="CM21:DA21" si="59">(CM9/40.304)*100/(CM9/40.304+CM7/71.846)</f>
        <v>62.407133142351199</v>
      </c>
      <c r="CN21" s="7">
        <f t="shared" si="59"/>
        <v>66.351004831779946</v>
      </c>
      <c r="CO21" s="7">
        <f t="shared" si="59"/>
        <v>51.788964113146633</v>
      </c>
      <c r="CP21" s="7">
        <f>(CP9/40.304)*100/(CP9/40.304+CP7/71.846)</f>
        <v>64.85887397249337</v>
      </c>
      <c r="CQ21" s="7">
        <f>(CQ9/40.304)*100/(CQ9/40.304+CQ7/71.846)</f>
        <v>72.77480525270947</v>
      </c>
      <c r="CR21" s="7" t="e">
        <f>(CR9/40.304)*100/(CR9/40.304+CR7/71.846)</f>
        <v>#DIV/0!</v>
      </c>
      <c r="CS21" s="7">
        <f>(CS9/40.304)*100/(CS9/40.304+CS7/71.846)</f>
        <v>61.725314913698689</v>
      </c>
      <c r="CT21" s="7">
        <f t="shared" si="59"/>
        <v>67.705789460642535</v>
      </c>
      <c r="CU21" s="7">
        <f t="shared" si="59"/>
        <v>67.272052770721359</v>
      </c>
      <c r="CV21" s="7">
        <f t="shared" si="59"/>
        <v>63.696641507654441</v>
      </c>
      <c r="CW21" s="7">
        <f t="shared" si="59"/>
        <v>55.930920358355351</v>
      </c>
      <c r="CX21" s="7">
        <f t="shared" si="59"/>
        <v>61.701918816423046</v>
      </c>
      <c r="CY21" s="7">
        <f t="shared" si="59"/>
        <v>71.209931472002168</v>
      </c>
      <c r="CZ21" s="7">
        <f t="shared" si="59"/>
        <v>68.829360556452443</v>
      </c>
      <c r="DA21" s="7">
        <f t="shared" si="59"/>
        <v>63.159947868987139</v>
      </c>
      <c r="DM21" s="7">
        <f t="shared" ref="DM21:DU21" si="60">(DM9/40.304)*100/(DM9/40.304+DM7/71.846)</f>
        <v>81.474799522621097</v>
      </c>
      <c r="DN21" s="7">
        <f t="shared" si="60"/>
        <v>79.678512513274057</v>
      </c>
      <c r="DO21" s="7">
        <f t="shared" si="60"/>
        <v>77.309110586672404</v>
      </c>
      <c r="DP21" s="7">
        <f t="shared" si="60"/>
        <v>77.642334962271406</v>
      </c>
      <c r="DQ21" s="7">
        <f t="shared" si="60"/>
        <v>78.596501237523142</v>
      </c>
      <c r="DR21" s="7">
        <f t="shared" si="60"/>
        <v>79.505748387218503</v>
      </c>
      <c r="DS21" s="7">
        <f t="shared" si="60"/>
        <v>82.737705014028748</v>
      </c>
      <c r="DT21" s="7">
        <f t="shared" si="60"/>
        <v>77.964009476149087</v>
      </c>
      <c r="DU21" s="7">
        <f t="shared" si="60"/>
        <v>77.850687721982823</v>
      </c>
      <c r="DV21" s="79">
        <f t="shared" ref="DV21:EF21" si="61">(DV9/40.304)*100/(DV9/40.304+DV7/71.846)</f>
        <v>79.170409539317404</v>
      </c>
      <c r="DW21" s="79">
        <f t="shared" si="61"/>
        <v>77.822598036395831</v>
      </c>
      <c r="DX21" s="79">
        <f t="shared" si="61"/>
        <v>77.656068506243884</v>
      </c>
      <c r="DY21" s="79">
        <f t="shared" si="61"/>
        <v>73.720035944280909</v>
      </c>
      <c r="DZ21" s="79">
        <f t="shared" si="61"/>
        <v>77.671603569975275</v>
      </c>
      <c r="EA21" s="79">
        <f t="shared" si="61"/>
        <v>77.909597896210187</v>
      </c>
      <c r="EB21" s="79">
        <f t="shared" si="61"/>
        <v>74.070843170136968</v>
      </c>
      <c r="EC21" s="79">
        <f t="shared" si="61"/>
        <v>77.951530130249949</v>
      </c>
      <c r="ED21" s="79">
        <f t="shared" si="61"/>
        <v>74.862987058212582</v>
      </c>
      <c r="EE21" s="79">
        <f t="shared" si="61"/>
        <v>76.836077402953961</v>
      </c>
      <c r="EF21" s="79">
        <f t="shared" si="61"/>
        <v>77.752822067489674</v>
      </c>
      <c r="EG21" s="79"/>
      <c r="EH21" s="79">
        <f>(EH9/40.304)*100/(EH9/40.304+EH7/71.846)</f>
        <v>77.884342693641344</v>
      </c>
      <c r="EI21" s="79">
        <f>(EI9/40.304)*100/(EI9/40.304+EI7/71.846)</f>
        <v>74.499469055291001</v>
      </c>
      <c r="EJ21" s="79">
        <f>(EJ9/40.304)*100/(EJ9/40.304+EJ7/71.846)</f>
        <v>80.26740396396292</v>
      </c>
      <c r="EK21" s="79"/>
      <c r="EL21" s="7">
        <f>(EL9/40.304)*100/(EL9/40.304+EL7/71.846)</f>
        <v>65.594095218936431</v>
      </c>
      <c r="EM21" s="7">
        <f>(EM9/40.304)*100/(EM9/40.304+EM7/71.846)</f>
        <v>62.632702503928712</v>
      </c>
      <c r="EN21" s="7"/>
      <c r="EO21" s="7"/>
      <c r="EP21" s="7"/>
      <c r="EQ21" s="7">
        <f t="shared" ref="EQ21:EW21" si="62">(EQ9/40.304)*100/(EQ9/40.304+EQ7/71.846)</f>
        <v>70.580616821742652</v>
      </c>
      <c r="ER21" s="7">
        <f t="shared" si="62"/>
        <v>70.369339434387228</v>
      </c>
      <c r="ES21" s="7">
        <f t="shared" si="62"/>
        <v>70.563450461713089</v>
      </c>
      <c r="ET21" s="7">
        <f t="shared" si="62"/>
        <v>64.112061591496058</v>
      </c>
      <c r="EU21" s="7">
        <f t="shared" si="62"/>
        <v>59.83273583583658</v>
      </c>
      <c r="EV21" s="7">
        <f t="shared" si="62"/>
        <v>60.851253758091921</v>
      </c>
      <c r="EW21" s="7">
        <f t="shared" si="62"/>
        <v>58.861423747277527</v>
      </c>
      <c r="EX21" s="7"/>
      <c r="EY21" s="7"/>
      <c r="EZ21" s="7"/>
      <c r="FD21">
        <v>63.696641507654441</v>
      </c>
      <c r="FH21" s="7">
        <f>(FH9/40.304)*100/(FH9/40.304+FH7/71.846)</f>
        <v>60.490268005009966</v>
      </c>
      <c r="FI21" s="7"/>
      <c r="FJ21" s="7">
        <f>(FJ9/40.304)*100/(FJ9/40.304+FJ7/71.846)</f>
        <v>60.490268005009966</v>
      </c>
    </row>
    <row r="22" spans="1:166" ht="10.5" customHeight="1" x14ac:dyDescent="0.2">
      <c r="A22" s="11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>
        <f t="shared" si="4"/>
        <v>0</v>
      </c>
      <c r="U22" s="7"/>
      <c r="V22" s="7"/>
      <c r="W22" s="7"/>
      <c r="X22" s="7"/>
      <c r="Y22" s="7"/>
      <c r="Z22" s="7"/>
      <c r="AA22" s="7"/>
      <c r="AB22" s="7"/>
      <c r="AC22" s="7"/>
      <c r="AE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9"/>
      <c r="CE22" s="39"/>
      <c r="CF22" s="79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N22" s="32"/>
      <c r="DO22" s="32"/>
      <c r="DP22" s="32"/>
      <c r="DQ22" s="32"/>
      <c r="DR22" s="32"/>
      <c r="DS22" s="32"/>
      <c r="DT22" s="32"/>
      <c r="DU22" s="32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"/>
      <c r="EM22" s="7"/>
      <c r="EN22" s="32"/>
      <c r="EO22" s="32"/>
      <c r="EP22" s="32"/>
      <c r="EQ22" s="7"/>
      <c r="ER22" s="79"/>
      <c r="ES22" s="79"/>
      <c r="ET22" s="7"/>
      <c r="EU22" s="7"/>
      <c r="EV22" s="7"/>
      <c r="EW22" s="7"/>
      <c r="EX22" s="79"/>
      <c r="EY22" s="79"/>
      <c r="EZ22" s="32"/>
      <c r="FH22" s="7"/>
      <c r="FI22" s="7"/>
      <c r="FJ22" s="7"/>
    </row>
    <row r="23" spans="1:166" ht="10.5" customHeight="1" x14ac:dyDescent="0.2">
      <c r="A23" s="71" t="s">
        <v>782</v>
      </c>
      <c r="B23" s="3">
        <f t="shared" ref="B23:M23" si="63">B10/B5</f>
        <v>0.57867628539521365</v>
      </c>
      <c r="C23" s="3">
        <f t="shared" si="63"/>
        <v>0.56889744186427438</v>
      </c>
      <c r="D23" s="3">
        <f t="shared" si="63"/>
        <v>0.57746379593345765</v>
      </c>
      <c r="E23" s="3">
        <f t="shared" ref="E23:J23" si="64">E10/E5</f>
        <v>0.57945648798238381</v>
      </c>
      <c r="F23" s="3">
        <f t="shared" si="64"/>
        <v>0.5522832680025338</v>
      </c>
      <c r="G23" s="3">
        <f t="shared" si="64"/>
        <v>0.57139770772589749</v>
      </c>
      <c r="H23" s="3">
        <f t="shared" si="64"/>
        <v>0.54455823841988671</v>
      </c>
      <c r="I23" s="3">
        <f t="shared" si="64"/>
        <v>0.55809011770784256</v>
      </c>
      <c r="J23" s="3">
        <f t="shared" si="64"/>
        <v>0.55116233324441299</v>
      </c>
      <c r="K23" s="3">
        <f t="shared" si="63"/>
        <v>0.58251736517316111</v>
      </c>
      <c r="L23" s="3">
        <f t="shared" si="63"/>
        <v>0.58657114494365525</v>
      </c>
      <c r="M23" s="3">
        <f t="shared" si="63"/>
        <v>0.56967782577297399</v>
      </c>
      <c r="N23" s="428">
        <f t="shared" ref="N23:AC23" si="65">N10/N5</f>
        <v>0.53865296670444174</v>
      </c>
      <c r="O23" s="428">
        <f t="shared" si="65"/>
        <v>0.54939235606242942</v>
      </c>
      <c r="P23" s="3">
        <f t="shared" si="65"/>
        <v>0.65779883381924198</v>
      </c>
      <c r="Q23" s="3">
        <f t="shared" si="65"/>
        <v>0.6177420393550358</v>
      </c>
      <c r="R23" s="3">
        <f t="shared" si="65"/>
        <v>0.69402122359230267</v>
      </c>
      <c r="S23" s="3">
        <f t="shared" si="65"/>
        <v>0.78257541564774713</v>
      </c>
      <c r="T23" s="3">
        <f t="shared" si="4"/>
        <v>0.75008331936350969</v>
      </c>
      <c r="U23" s="3">
        <f t="shared" si="65"/>
        <v>0.77144928175456573</v>
      </c>
      <c r="V23" s="3">
        <f t="shared" si="65"/>
        <v>0.78723297412222992</v>
      </c>
      <c r="W23" s="3">
        <f t="shared" si="65"/>
        <v>0.8183139986357354</v>
      </c>
      <c r="X23" s="3">
        <f t="shared" si="65"/>
        <v>0.87254174818356212</v>
      </c>
      <c r="Y23" s="3">
        <f t="shared" si="65"/>
        <v>0.85092005065022558</v>
      </c>
      <c r="Z23" s="3">
        <f t="shared" si="65"/>
        <v>1.1006931634826567</v>
      </c>
      <c r="AA23" s="3">
        <f t="shared" si="65"/>
        <v>1.1502458697149507</v>
      </c>
      <c r="AB23" s="3">
        <f t="shared" si="65"/>
        <v>1.2461273981034693</v>
      </c>
      <c r="AC23" s="3">
        <f t="shared" si="65"/>
        <v>1.1302068547215394</v>
      </c>
      <c r="AE23" s="3">
        <f>AE10/AE5</f>
        <v>0.63222103333769419</v>
      </c>
      <c r="AI23" s="3">
        <f t="shared" ref="AI23:BW23" si="66">AI10/AI5</f>
        <v>0.5952117074309391</v>
      </c>
      <c r="AJ23" s="3">
        <f t="shared" si="66"/>
        <v>0.63903548958962253</v>
      </c>
      <c r="AK23" s="3">
        <f t="shared" si="66"/>
        <v>0.5408008612643036</v>
      </c>
      <c r="AL23" s="3">
        <f t="shared" si="66"/>
        <v>0.78316421746621701</v>
      </c>
      <c r="AM23" s="3">
        <f t="shared" si="66"/>
        <v>0.65476302078065096</v>
      </c>
      <c r="AN23" s="3">
        <f t="shared" si="66"/>
        <v>1.1421446384039902</v>
      </c>
      <c r="AO23" s="3">
        <f t="shared" si="66"/>
        <v>2.2188305808310118</v>
      </c>
      <c r="AP23" s="3">
        <f t="shared" si="66"/>
        <v>1.1790250588849536</v>
      </c>
      <c r="AQ23" s="3">
        <f t="shared" si="66"/>
        <v>0.56787713149093977</v>
      </c>
      <c r="AR23" s="3">
        <f t="shared" si="66"/>
        <v>0.56387866926696051</v>
      </c>
      <c r="AS23" s="3">
        <f t="shared" si="66"/>
        <v>1.2060532619659159</v>
      </c>
      <c r="AT23" s="3">
        <f t="shared" si="66"/>
        <v>0.65287565896345501</v>
      </c>
      <c r="AU23" s="3">
        <f t="shared" si="66"/>
        <v>0.56373475598661871</v>
      </c>
      <c r="AV23" s="3">
        <f t="shared" si="66"/>
        <v>0.84587784458086546</v>
      </c>
      <c r="AW23" s="3">
        <f t="shared" si="66"/>
        <v>0.59028912877417383</v>
      </c>
      <c r="AX23" s="3">
        <f t="shared" si="66"/>
        <v>0.68145818146684245</v>
      </c>
      <c r="AY23" s="3">
        <f t="shared" si="66"/>
        <v>1.1325449672917873</v>
      </c>
      <c r="AZ23" s="3">
        <f t="shared" si="66"/>
        <v>0.70114043989861974</v>
      </c>
      <c r="BA23" s="3">
        <f t="shared" si="66"/>
        <v>0.74832491127368417</v>
      </c>
      <c r="BB23" s="3">
        <f t="shared" si="66"/>
        <v>0.92129811561661301</v>
      </c>
      <c r="BC23" s="3">
        <f t="shared" si="66"/>
        <v>0.60823801711986292</v>
      </c>
      <c r="BD23" s="3">
        <f t="shared" si="66"/>
        <v>0.57522864614399083</v>
      </c>
      <c r="BE23" s="3">
        <f t="shared" si="66"/>
        <v>0.58780068450381184</v>
      </c>
      <c r="BF23" s="3">
        <f t="shared" si="66"/>
        <v>0.7333975056130162</v>
      </c>
      <c r="BG23" s="3">
        <f t="shared" si="66"/>
        <v>0.60166810955595817</v>
      </c>
      <c r="BH23" s="3">
        <f t="shared" si="66"/>
        <v>0.61597494634882888</v>
      </c>
      <c r="BI23" s="3" t="e">
        <f>BI10/BI5</f>
        <v>#DIV/0!</v>
      </c>
      <c r="BJ23" s="3" t="e">
        <f>BJ10/BJ5</f>
        <v>#DIV/0!</v>
      </c>
      <c r="BK23" s="3" t="e">
        <f>BK10/BK5</f>
        <v>#DIV/0!</v>
      </c>
      <c r="BL23" s="3" t="e">
        <f>BL10/BL5</f>
        <v>#DIV/0!</v>
      </c>
      <c r="BM23" s="3" t="e">
        <f>BM10/BM5</f>
        <v>#DIV/0!</v>
      </c>
      <c r="BN23" s="3">
        <f t="shared" si="66"/>
        <v>1.2321441667689137</v>
      </c>
      <c r="BO23" s="3">
        <f t="shared" si="66"/>
        <v>1.1608673316766822</v>
      </c>
      <c r="BP23" s="3">
        <f t="shared" si="66"/>
        <v>1.1983694984096915</v>
      </c>
      <c r="BQ23" s="3">
        <f t="shared" si="66"/>
        <v>1.137812287338128</v>
      </c>
      <c r="BR23" s="3">
        <f t="shared" si="66"/>
        <v>1.1024840312278212</v>
      </c>
      <c r="BS23" s="3" t="e">
        <f t="shared" si="66"/>
        <v>#DIV/0!</v>
      </c>
      <c r="BT23" s="3">
        <f t="shared" si="66"/>
        <v>1.4607733541609971</v>
      </c>
      <c r="BU23" s="3">
        <f t="shared" si="66"/>
        <v>1.3015405892838623</v>
      </c>
      <c r="BV23" s="3">
        <f t="shared" si="66"/>
        <v>1.2964557448867073</v>
      </c>
      <c r="BW23" s="3">
        <f t="shared" si="66"/>
        <v>0.68090272173425592</v>
      </c>
      <c r="BX23" s="3"/>
      <c r="BY23" s="3"/>
      <c r="BZ23" s="3">
        <f t="shared" ref="BZ23:CH23" si="67">BZ10/BZ5</f>
        <v>0.58644992422431885</v>
      </c>
      <c r="CA23" s="3">
        <f t="shared" si="67"/>
        <v>0.5777281439113171</v>
      </c>
      <c r="CB23" s="3">
        <f t="shared" si="67"/>
        <v>0.55831229804038751</v>
      </c>
      <c r="CC23" s="3">
        <f t="shared" si="67"/>
        <v>1.0612307429487533</v>
      </c>
      <c r="CD23" s="3">
        <f t="shared" si="67"/>
        <v>0.55370259785566123</v>
      </c>
      <c r="CE23" s="3">
        <f t="shared" si="67"/>
        <v>0.57906658115090459</v>
      </c>
      <c r="CF23" s="328">
        <f t="shared" si="67"/>
        <v>0.54205162151644737</v>
      </c>
      <c r="CG23" s="568">
        <f t="shared" si="67"/>
        <v>0.69422203579968267</v>
      </c>
      <c r="CH23" s="3">
        <f t="shared" si="67"/>
        <v>0.57300715170918126</v>
      </c>
      <c r="CI23" s="3">
        <f>CI10/CI5</f>
        <v>0.63271077139147525</v>
      </c>
      <c r="CJ23" s="3">
        <f>CJ10/CJ5</f>
        <v>0.5700314606475464</v>
      </c>
      <c r="CK23" s="3">
        <f t="shared" ref="CK23:CQ23" si="68">CK10/CK5</f>
        <v>0.56344869525356034</v>
      </c>
      <c r="CL23" s="3">
        <f t="shared" si="68"/>
        <v>0.63120655404383019</v>
      </c>
      <c r="CM23" s="3">
        <f t="shared" si="68"/>
        <v>0.73522119119103757</v>
      </c>
      <c r="CN23" s="3">
        <f t="shared" si="68"/>
        <v>0.64871470184814217</v>
      </c>
      <c r="CO23" s="3">
        <f t="shared" si="68"/>
        <v>0.71797947506599114</v>
      </c>
      <c r="CP23" s="3">
        <f t="shared" si="68"/>
        <v>0.58210380621329616</v>
      </c>
      <c r="CQ23" s="3">
        <f t="shared" si="68"/>
        <v>0.55863877600887812</v>
      </c>
      <c r="CR23" s="3" t="e">
        <f>CR10/CR5</f>
        <v>#DIV/0!</v>
      </c>
      <c r="CS23" s="3">
        <f t="shared" ref="CS23:DA23" si="69">CS10/CS5</f>
        <v>0.58262432530697716</v>
      </c>
      <c r="CT23" s="3">
        <f t="shared" si="69"/>
        <v>0.58450547659855601</v>
      </c>
      <c r="CU23" s="3">
        <f t="shared" si="69"/>
        <v>0.6105609120650286</v>
      </c>
      <c r="CV23" s="3">
        <f t="shared" si="69"/>
        <v>0.68411746266215212</v>
      </c>
      <c r="CW23" s="3">
        <f t="shared" si="69"/>
        <v>0.6953366045020295</v>
      </c>
      <c r="CX23" s="3">
        <f t="shared" si="69"/>
        <v>0.58142466522272096</v>
      </c>
      <c r="CY23" s="3">
        <f t="shared" si="69"/>
        <v>0.59453554649950879</v>
      </c>
      <c r="CZ23" s="3">
        <f t="shared" si="69"/>
        <v>0.52276590912591814</v>
      </c>
      <c r="DA23" s="3">
        <f t="shared" si="69"/>
        <v>0.57401888227485021</v>
      </c>
      <c r="DN23" s="32"/>
      <c r="DO23" s="32"/>
      <c r="DP23" s="32"/>
      <c r="DQ23" s="32"/>
      <c r="DR23" s="32"/>
      <c r="DS23" s="32"/>
      <c r="DT23" s="32"/>
      <c r="DU23" s="32"/>
      <c r="DV23" s="3">
        <f t="shared" ref="DV23:EM23" si="70">DV10/DV5</f>
        <v>0.58703137516655024</v>
      </c>
      <c r="DW23" s="3">
        <f t="shared" si="70"/>
        <v>0.58403346667443101</v>
      </c>
      <c r="DX23" s="3">
        <f t="shared" si="70"/>
        <v>0.59118220686265277</v>
      </c>
      <c r="DY23" s="3">
        <f t="shared" si="70"/>
        <v>0.56168831168831168</v>
      </c>
      <c r="DZ23" s="3">
        <f t="shared" si="70"/>
        <v>0.60156202135483761</v>
      </c>
      <c r="EA23" s="3">
        <f t="shared" si="70"/>
        <v>0.58546225152698983</v>
      </c>
      <c r="EB23" s="3">
        <f t="shared" si="70"/>
        <v>0.56187290969899673</v>
      </c>
      <c r="EC23" s="3">
        <f t="shared" si="70"/>
        <v>0.56852766484009687</v>
      </c>
      <c r="ED23" s="3">
        <f t="shared" si="70"/>
        <v>0.57608695652173914</v>
      </c>
      <c r="EE23" s="3">
        <f t="shared" si="70"/>
        <v>0.57092198581560294</v>
      </c>
      <c r="EF23" s="3">
        <f t="shared" si="70"/>
        <v>0.59773078538333291</v>
      </c>
      <c r="EG23" s="3" t="e">
        <f t="shared" si="70"/>
        <v>#DIV/0!</v>
      </c>
      <c r="EH23" s="3">
        <f t="shared" si="70"/>
        <v>0.58694437740570515</v>
      </c>
      <c r="EI23" s="3">
        <f t="shared" si="70"/>
        <v>0.5619335347432024</v>
      </c>
      <c r="EJ23" s="3">
        <f t="shared" si="70"/>
        <v>0.57811940852136257</v>
      </c>
      <c r="EK23" s="3"/>
      <c r="EL23" s="3">
        <f t="shared" si="70"/>
        <v>0.7480588632178603</v>
      </c>
      <c r="EM23" s="3">
        <f t="shared" si="70"/>
        <v>0.67429419850957439</v>
      </c>
      <c r="EN23" s="32"/>
      <c r="EO23" s="32"/>
      <c r="EP23" s="32"/>
      <c r="EQ23" s="3">
        <f t="shared" ref="EQ23:EW23" si="71">EQ10/EQ5</f>
        <v>0.58455391648980259</v>
      </c>
      <c r="ER23" s="3">
        <f t="shared" si="71"/>
        <v>0.57302263642796136</v>
      </c>
      <c r="ES23" s="3">
        <f t="shared" si="71"/>
        <v>0.57081887044536372</v>
      </c>
      <c r="ET23" s="3">
        <f t="shared" si="71"/>
        <v>0.54814303717596313</v>
      </c>
      <c r="EU23" s="3">
        <f t="shared" si="71"/>
        <v>0.59133241401046155</v>
      </c>
      <c r="EV23" s="3">
        <f t="shared" si="71"/>
        <v>0.53761160923847107</v>
      </c>
      <c r="EW23" s="3">
        <f t="shared" si="71"/>
        <v>0.62621332940730157</v>
      </c>
      <c r="EX23" s="3"/>
      <c r="EY23" s="3"/>
      <c r="EZ23" s="32"/>
      <c r="FD23">
        <v>0.68411746266215212</v>
      </c>
      <c r="FH23" s="3">
        <f>FH10/FH5</f>
        <v>0.58694456233657555</v>
      </c>
      <c r="FI23" s="3">
        <f>FI10/FI5</f>
        <v>0</v>
      </c>
      <c r="FJ23" s="3">
        <f>FJ10/FJ5</f>
        <v>0</v>
      </c>
    </row>
    <row r="24" spans="1:166" ht="10.5" customHeight="1" x14ac:dyDescent="0.2">
      <c r="A24" s="119"/>
      <c r="B24" s="3">
        <f t="shared" ref="B24:N24" si="72">B23</f>
        <v>0.57867628539521365</v>
      </c>
      <c r="C24" s="3">
        <f t="shared" si="72"/>
        <v>0.56889744186427438</v>
      </c>
      <c r="D24" s="3">
        <f t="shared" si="72"/>
        <v>0.57746379593345765</v>
      </c>
      <c r="E24" s="3">
        <f t="shared" si="72"/>
        <v>0.57945648798238381</v>
      </c>
      <c r="F24" s="3">
        <f>F23</f>
        <v>0.5522832680025338</v>
      </c>
      <c r="G24" s="3">
        <f>G23</f>
        <v>0.57139770772589749</v>
      </c>
      <c r="H24" s="3">
        <f>H23</f>
        <v>0.54455823841988671</v>
      </c>
      <c r="I24" s="3">
        <f>I23</f>
        <v>0.55809011770784256</v>
      </c>
      <c r="J24" s="3">
        <f>J23</f>
        <v>0.55116233324441299</v>
      </c>
      <c r="K24" s="3">
        <f t="shared" si="72"/>
        <v>0.58251736517316111</v>
      </c>
      <c r="L24" s="3">
        <f t="shared" si="72"/>
        <v>0.58657114494365525</v>
      </c>
      <c r="M24" s="3">
        <f t="shared" si="72"/>
        <v>0.56967782577297399</v>
      </c>
      <c r="N24" s="3">
        <f t="shared" si="72"/>
        <v>0.53865296670444174</v>
      </c>
      <c r="O24" s="3">
        <f>O23</f>
        <v>0.54939235606242942</v>
      </c>
      <c r="P24" s="3"/>
      <c r="Q24" s="3"/>
      <c r="R24" s="3"/>
      <c r="S24" s="3"/>
      <c r="T24" s="3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E24" s="3"/>
      <c r="AI24" s="3"/>
      <c r="AJ24" s="3"/>
      <c r="AK24" s="3">
        <f>AK23</f>
        <v>0.5408008612643036</v>
      </c>
      <c r="AL24" s="3"/>
      <c r="AM24" s="3"/>
      <c r="AN24" s="3"/>
      <c r="AO24" s="3"/>
      <c r="AP24" s="3"/>
      <c r="AQ24" s="3"/>
      <c r="AR24" s="3"/>
      <c r="AS24" s="3"/>
      <c r="AT24" s="3"/>
      <c r="AU24" s="3">
        <f>AU23</f>
        <v>0.56373475598661871</v>
      </c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>
        <v>0.57347907692307687</v>
      </c>
      <c r="CI24" s="3"/>
      <c r="CJ24" s="3"/>
      <c r="CK24" s="3">
        <f>CK23</f>
        <v>0.56344869525356034</v>
      </c>
      <c r="CL24" s="3"/>
      <c r="CM24" s="3"/>
      <c r="CN24" s="3"/>
      <c r="CO24" s="3"/>
      <c r="CP24" s="3"/>
      <c r="CQ24" s="3"/>
      <c r="CR24" s="3"/>
      <c r="CS24" s="3">
        <f>CS23</f>
        <v>0.58262432530697716</v>
      </c>
      <c r="CT24" s="3">
        <f>CT23</f>
        <v>0.58450547659855601</v>
      </c>
      <c r="CU24" s="3">
        <f>CU23</f>
        <v>0.6105609120650286</v>
      </c>
      <c r="CV24" s="3"/>
      <c r="CW24" s="3"/>
      <c r="CX24" s="3"/>
      <c r="CY24" s="3"/>
      <c r="CZ24" s="3"/>
      <c r="DA24" s="3"/>
      <c r="DN24" s="32"/>
      <c r="DO24" s="32"/>
      <c r="DP24" s="32"/>
      <c r="DQ24" s="32"/>
      <c r="DR24" s="32"/>
      <c r="DS24" s="32"/>
      <c r="DT24" s="32"/>
      <c r="DU24" s="32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2"/>
      <c r="EO24" s="32"/>
      <c r="EP24" s="32"/>
      <c r="EQ24" s="3"/>
      <c r="ER24" s="3"/>
      <c r="ES24" s="3"/>
      <c r="ET24" s="3"/>
      <c r="EU24" s="3"/>
      <c r="EV24" s="3"/>
      <c r="EW24" s="3"/>
      <c r="EX24" s="3"/>
      <c r="EY24" s="3"/>
      <c r="EZ24" s="32"/>
      <c r="FH24" s="3"/>
      <c r="FI24" s="3"/>
      <c r="FJ24" s="3"/>
    </row>
    <row r="25" spans="1:166" ht="10.5" customHeight="1" x14ac:dyDescent="0.2">
      <c r="A25" s="11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>
        <f t="shared" si="4"/>
        <v>0</v>
      </c>
      <c r="U25" s="7"/>
      <c r="V25" s="7"/>
      <c r="W25" s="7"/>
      <c r="X25" s="7"/>
      <c r="Y25" s="7"/>
      <c r="Z25" s="7"/>
      <c r="AA25" s="7"/>
      <c r="AB25" s="7"/>
      <c r="AC25" s="7"/>
      <c r="AE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9"/>
      <c r="CE25" s="39"/>
      <c r="CF25" s="79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N25" s="32"/>
      <c r="DO25" s="32"/>
      <c r="DP25" s="32"/>
      <c r="DQ25" s="32"/>
      <c r="DR25" s="32"/>
      <c r="DS25" s="32"/>
      <c r="DT25" s="32"/>
      <c r="DU25" s="32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"/>
      <c r="EM25" s="7"/>
      <c r="EN25" s="32"/>
      <c r="EO25" s="32"/>
      <c r="EP25" s="32"/>
      <c r="EQ25" s="7"/>
      <c r="ER25" s="79"/>
      <c r="ES25" s="79"/>
      <c r="ET25" s="7"/>
      <c r="EU25" s="7"/>
      <c r="EV25" s="7"/>
      <c r="EW25" s="7"/>
      <c r="EX25" s="79"/>
      <c r="EY25" s="79"/>
      <c r="EZ25" s="32"/>
      <c r="FH25" s="7"/>
      <c r="FI25" s="7"/>
      <c r="FJ25" s="7"/>
    </row>
    <row r="26" spans="1:166" s="236" customFormat="1" ht="11.1" customHeight="1" x14ac:dyDescent="0.2">
      <c r="A26" s="235" t="s">
        <v>962</v>
      </c>
      <c r="B26" s="6">
        <f t="shared" ref="B26:M26" si="73">(B5-B$119*B113)/(1-B$119)</f>
        <v>26.079661790748496</v>
      </c>
      <c r="C26" s="6">
        <f t="shared" si="73"/>
        <v>29.591210217451966</v>
      </c>
      <c r="D26" s="6">
        <f t="shared" si="73"/>
        <v>27.050146985804354</v>
      </c>
      <c r="E26" s="6">
        <f>(E5-E$119*E113)/(1-E$119)</f>
        <v>27.504565366558712</v>
      </c>
      <c r="F26" s="6">
        <f>(F5-F$119*F113)/(1-F$119)</f>
        <v>31.092610954747119</v>
      </c>
      <c r="G26" s="6">
        <f>(G5-G$119*G113)/(1-G$119)</f>
        <v>27.458678045900847</v>
      </c>
      <c r="H26" s="6">
        <f>(H5-H$119*H113)/(1-H$119)</f>
        <v>31.381039621630617</v>
      </c>
      <c r="I26" s="6">
        <f>(I5-I$119*I113)/(1-I$119)</f>
        <v>29.941766374777291</v>
      </c>
      <c r="J26" s="6">
        <f>AVERAGE(H26:I26)</f>
        <v>30.661402998203954</v>
      </c>
      <c r="K26" s="6">
        <f t="shared" si="73"/>
        <v>26.909206170791606</v>
      </c>
      <c r="L26" s="6">
        <f t="shared" si="73"/>
        <v>29.031453306638355</v>
      </c>
      <c r="M26" s="6">
        <f t="shared" si="73"/>
        <v>28.265158981541703</v>
      </c>
      <c r="N26" s="6">
        <f t="shared" ref="N26:AB26" si="74">(N5-N$119*N113)/(1-N$119)</f>
        <v>28.984497076900059</v>
      </c>
      <c r="O26" s="6">
        <f t="shared" si="74"/>
        <v>30.427191466973948</v>
      </c>
      <c r="P26" s="6">
        <f t="shared" si="74"/>
        <v>27.44</v>
      </c>
      <c r="Q26" s="6">
        <f t="shared" si="74"/>
        <v>23.105057792418332</v>
      </c>
      <c r="R26" s="6">
        <f t="shared" si="74"/>
        <v>18.492589438750311</v>
      </c>
      <c r="S26" s="6">
        <f t="shared" si="74"/>
        <v>15.6135183639002</v>
      </c>
      <c r="T26" s="6">
        <f t="shared" si="4"/>
        <v>16.669900364592184</v>
      </c>
      <c r="U26" s="6">
        <f t="shared" si="74"/>
        <v>16.18839679719899</v>
      </c>
      <c r="V26" s="6">
        <f t="shared" si="74"/>
        <v>16.78877162713831</v>
      </c>
      <c r="W26" s="6">
        <f t="shared" si="74"/>
        <v>14.49568604750665</v>
      </c>
      <c r="X26" s="6">
        <f t="shared" si="74"/>
        <v>12.667281779571978</v>
      </c>
      <c r="Y26" s="6">
        <f t="shared" si="74"/>
        <v>13.338082151153152</v>
      </c>
      <c r="Z26" s="6">
        <f t="shared" si="74"/>
        <v>11.240745069091139</v>
      </c>
      <c r="AA26" s="6">
        <f t="shared" si="74"/>
        <v>10.221081760708044</v>
      </c>
      <c r="AB26" s="6">
        <f t="shared" si="74"/>
        <v>9.4982837575206815</v>
      </c>
      <c r="AC26" s="6">
        <f>(AC5-AC$119*AC113)/(1-AC$119)</f>
        <v>9.8671104254304627</v>
      </c>
      <c r="AE26" s="6">
        <f>(AE5-AE$119*AE113)/(1-AE$119)</f>
        <v>20.793567500866192</v>
      </c>
      <c r="AI26" s="6">
        <f t="shared" ref="AI26:BW26" si="75">(AI5-AI$119*AI113)/(1-AI$119)</f>
        <v>28.861425690237542</v>
      </c>
      <c r="AJ26" s="6">
        <f t="shared" si="75"/>
        <v>28.804706430815845</v>
      </c>
      <c r="AK26" s="6">
        <f t="shared" si="75"/>
        <v>28.29271089530021</v>
      </c>
      <c r="AL26" s="6">
        <f t="shared" si="75"/>
        <v>13.838370758249251</v>
      </c>
      <c r="AM26" s="6">
        <f t="shared" si="75"/>
        <v>26.861258651684832</v>
      </c>
      <c r="AN26" s="6">
        <f t="shared" si="75"/>
        <v>8.02</v>
      </c>
      <c r="AO26" s="6">
        <f t="shared" si="75"/>
        <v>4.3959412065005807</v>
      </c>
      <c r="AP26" s="6">
        <f t="shared" si="75"/>
        <v>9.1878806800923787</v>
      </c>
      <c r="AQ26" s="6">
        <f t="shared" si="75"/>
        <v>29.94035961316203</v>
      </c>
      <c r="AR26" s="6">
        <f t="shared" si="75"/>
        <v>30.460718215422443</v>
      </c>
      <c r="AS26" s="6">
        <f t="shared" si="75"/>
        <v>6.7600009765006259</v>
      </c>
      <c r="AT26" s="6">
        <f t="shared" si="75"/>
        <v>20.839936090716403</v>
      </c>
      <c r="AU26" s="6">
        <f t="shared" si="75"/>
        <v>31.913866458699914</v>
      </c>
      <c r="AV26" s="6">
        <f t="shared" si="75"/>
        <v>13.973386706991038</v>
      </c>
      <c r="AW26" s="6">
        <f t="shared" si="75"/>
        <v>27.57447911027597</v>
      </c>
      <c r="AX26" s="6">
        <f t="shared" si="75"/>
        <v>17.881085661303231</v>
      </c>
      <c r="AY26" s="6">
        <f t="shared" si="75"/>
        <v>9.7949487196412139</v>
      </c>
      <c r="AZ26" s="6">
        <f t="shared" si="75"/>
        <v>22.496775430325958</v>
      </c>
      <c r="BA26" s="6">
        <f t="shared" si="75"/>
        <v>16.658162960350733</v>
      </c>
      <c r="BB26" s="6">
        <f t="shared" si="75"/>
        <v>12.409239383444095</v>
      </c>
      <c r="BC26" s="6">
        <f t="shared" si="75"/>
        <v>22.714846973395439</v>
      </c>
      <c r="BD26" s="6">
        <f t="shared" si="75"/>
        <v>25.920210245659451</v>
      </c>
      <c r="BE26" s="6">
        <f t="shared" si="75"/>
        <v>26.624196554461555</v>
      </c>
      <c r="BF26" s="6">
        <f t="shared" si="75"/>
        <v>17.355620238627715</v>
      </c>
      <c r="BG26" s="6">
        <f t="shared" si="75"/>
        <v>24.158125601669312</v>
      </c>
      <c r="BH26" s="6">
        <f t="shared" si="75"/>
        <v>22.866769303965579</v>
      </c>
      <c r="BI26" s="6" t="e">
        <f>(BI5-BI$119*BI113)/(1-BI$119)</f>
        <v>#DIV/0!</v>
      </c>
      <c r="BJ26" s="6" t="e">
        <f>(BJ5-BJ$119*BJ113)/(1-BJ$119)</f>
        <v>#DIV/0!</v>
      </c>
      <c r="BK26" s="6" t="e">
        <f>(BK5-BK$119*BK113)/(1-BK$119)</f>
        <v>#DIV/0!</v>
      </c>
      <c r="BL26" s="6" t="e">
        <f>(BL5-BL$119*BL113)/(1-BL$119)</f>
        <v>#DIV/0!</v>
      </c>
      <c r="BM26" s="6" t="e">
        <f>(BM5-BM$119*BM113)/(1-BM$119)</f>
        <v>#DIV/0!</v>
      </c>
      <c r="BN26" s="6">
        <f t="shared" si="75"/>
        <v>8.5349958828826082</v>
      </c>
      <c r="BO26" s="6">
        <f t="shared" si="75"/>
        <v>7.6865402198633461</v>
      </c>
      <c r="BP26" s="6">
        <f t="shared" si="75"/>
        <v>8.1107665997178966</v>
      </c>
      <c r="BQ26" s="6">
        <f t="shared" si="75"/>
        <v>8.4689201318712577</v>
      </c>
      <c r="BR26" s="6">
        <f t="shared" si="75"/>
        <v>4.6966666666666663</v>
      </c>
      <c r="BS26" s="6">
        <f t="shared" si="75"/>
        <v>0</v>
      </c>
      <c r="BT26" s="6">
        <f t="shared" si="75"/>
        <v>5.4217244936476634</v>
      </c>
      <c r="BU26" s="6">
        <f t="shared" si="75"/>
        <v>4.0359386024157455</v>
      </c>
      <c r="BV26" s="6">
        <f t="shared" si="75"/>
        <v>4.7179682076198501</v>
      </c>
      <c r="BW26" s="6">
        <f t="shared" si="75"/>
        <v>19.12299786952142</v>
      </c>
      <c r="BX26" s="6"/>
      <c r="BY26" s="6"/>
      <c r="BZ26" s="6">
        <f t="shared" ref="BZ26:CF26" si="76">(BZ5-BZ$119*BZ113)/(1-BZ$119)</f>
        <v>27.36424889620158</v>
      </c>
      <c r="CA26" s="6">
        <f t="shared" si="76"/>
        <v>29.600821599258715</v>
      </c>
      <c r="CB26" s="6">
        <f t="shared" si="76"/>
        <v>31.98093346210246</v>
      </c>
      <c r="CC26" s="6">
        <f t="shared" si="76"/>
        <v>8.5960972799029918</v>
      </c>
      <c r="CD26" s="6">
        <f t="shared" si="76"/>
        <v>30.338068390051934</v>
      </c>
      <c r="CE26" s="6">
        <f t="shared" si="76"/>
        <v>28.677439401314697</v>
      </c>
      <c r="CF26" s="6">
        <f t="shared" si="76"/>
        <v>29.204486920501196</v>
      </c>
      <c r="CG26" s="6">
        <f t="shared" ref="CG26:CH28" si="77">(34.05*EL26+90*EM26)/(34.05+90)</f>
        <v>28.972954464251721</v>
      </c>
      <c r="CH26" s="6">
        <f t="shared" si="77"/>
        <v>7.9993575203235068</v>
      </c>
      <c r="CI26" s="6">
        <f>(CI5-CI$119*CI113)/(1-CI$119)</f>
        <v>23.259557071748443</v>
      </c>
      <c r="CJ26" s="6">
        <f>(CJ5-CJ$119*CJ113)/(1-CJ$119)</f>
        <v>29.314649380481715</v>
      </c>
      <c r="CK26" s="6">
        <f>(CK5-CK$119*CK113)/(1-CK$119)</f>
        <v>28.07239430451131</v>
      </c>
      <c r="CL26" s="6">
        <f>(CL5-CL$119*CL113)/(1-CL$119)</f>
        <v>23.193747694930458</v>
      </c>
      <c r="CM26" s="6">
        <f t="shared" ref="CM26:DA26" si="78">(CM5-CM$119*CM113)/(1-CM$119)</f>
        <v>18.332274500878899</v>
      </c>
      <c r="CN26" s="6" t="e">
        <f t="shared" si="78"/>
        <v>#REF!</v>
      </c>
      <c r="CO26" s="6">
        <f t="shared" si="78"/>
        <v>14.06138262545508</v>
      </c>
      <c r="CP26" s="6">
        <f>(CP5-CP$119*CP113)/(1-CP$119)</f>
        <v>27.662523704476122</v>
      </c>
      <c r="CQ26" s="6">
        <f>(CQ5-CQ$119*CQ113)/(1-CQ$119)</f>
        <v>24.819010544851096</v>
      </c>
      <c r="CR26" s="6" t="e">
        <f>(CR5-CR$119*CR113)/(1-CR$119)</f>
        <v>#DIV/0!</v>
      </c>
      <c r="CS26" s="6">
        <f>(CS5-CS$119*CS113)/(1-CS$119)</f>
        <v>27.757162393595397</v>
      </c>
      <c r="CT26" s="6">
        <f t="shared" si="78"/>
        <v>24.007504822267748</v>
      </c>
      <c r="CU26" s="6">
        <f t="shared" si="78"/>
        <v>23.664424112470655</v>
      </c>
      <c r="CV26" s="6">
        <f t="shared" si="78"/>
        <v>15.649426554679367</v>
      </c>
      <c r="CW26" s="6">
        <f t="shared" si="78"/>
        <v>17.203295784623986</v>
      </c>
      <c r="CX26" s="6">
        <f t="shared" si="78"/>
        <v>30.466035791249087</v>
      </c>
      <c r="CY26" s="6">
        <f t="shared" si="78"/>
        <v>25.283591865102409</v>
      </c>
      <c r="CZ26" s="6">
        <f t="shared" si="78"/>
        <v>31.085854522991529</v>
      </c>
      <c r="DA26" s="6">
        <f t="shared" si="78"/>
        <v>29.555725828762512</v>
      </c>
      <c r="DE26"/>
      <c r="DI26"/>
      <c r="DJ26" s="237"/>
      <c r="DK26" s="237"/>
      <c r="DL26" s="237"/>
      <c r="DM26" s="6">
        <f t="shared" ref="DM26:DR26" si="79">(DM5-DM$119*DM113)/(1-DM$119)</f>
        <v>25.820842552333467</v>
      </c>
      <c r="DN26" s="6">
        <f t="shared" si="79"/>
        <v>27.54869572104602</v>
      </c>
      <c r="DO26" s="6">
        <f t="shared" si="79"/>
        <v>27.565339008047818</v>
      </c>
      <c r="DP26" s="6">
        <f t="shared" si="79"/>
        <v>28.335918154023357</v>
      </c>
      <c r="DQ26" s="6">
        <f t="shared" si="79"/>
        <v>28.713176807425736</v>
      </c>
      <c r="DR26" s="6">
        <f t="shared" si="79"/>
        <v>26.912059417176923</v>
      </c>
      <c r="DS26" s="6">
        <f t="shared" ref="DS26:EM26" si="80">(DS5-DS$119*DS113)/(1-DS$119)</f>
        <v>26.919535787826408</v>
      </c>
      <c r="DT26" s="6">
        <f t="shared" si="80"/>
        <v>27.761095488339215</v>
      </c>
      <c r="DU26" s="6">
        <f t="shared" si="80"/>
        <v>29.866018778781093</v>
      </c>
      <c r="DV26" s="6">
        <f t="shared" si="80"/>
        <v>26.6744411425896</v>
      </c>
      <c r="DW26" s="6">
        <f t="shared" si="80"/>
        <v>28.357981605070385</v>
      </c>
      <c r="DX26" s="6">
        <f t="shared" si="80"/>
        <v>27.879624619859705</v>
      </c>
      <c r="DY26" s="6">
        <f t="shared" si="80"/>
        <v>30.8</v>
      </c>
      <c r="DZ26" s="6">
        <f t="shared" si="80"/>
        <v>27.9498330797554</v>
      </c>
      <c r="EA26" s="6">
        <f t="shared" si="80"/>
        <v>28.479183873361169</v>
      </c>
      <c r="EB26" s="6">
        <f t="shared" si="80"/>
        <v>29.9</v>
      </c>
      <c r="EC26" s="6">
        <f t="shared" si="80"/>
        <v>27.916311356998474</v>
      </c>
      <c r="ED26" s="6">
        <f t="shared" si="80"/>
        <v>27.6</v>
      </c>
      <c r="EE26" s="6">
        <f t="shared" si="80"/>
        <v>28.2</v>
      </c>
      <c r="EF26" s="6">
        <f t="shared" si="80"/>
        <v>28.157811466414962</v>
      </c>
      <c r="EG26" s="6">
        <f t="shared" si="80"/>
        <v>0</v>
      </c>
      <c r="EH26" s="6">
        <f t="shared" si="80"/>
        <v>28.513246037897087</v>
      </c>
      <c r="EI26" s="6">
        <f t="shared" si="80"/>
        <v>33.1</v>
      </c>
      <c r="EJ26" s="6">
        <f t="shared" si="80"/>
        <v>27.704262164022385</v>
      </c>
      <c r="EK26" s="6"/>
      <c r="EL26" s="6">
        <f t="shared" si="80"/>
        <v>28.523405597527365</v>
      </c>
      <c r="EM26" s="6">
        <f t="shared" si="80"/>
        <v>29.143033785495771</v>
      </c>
      <c r="EN26" s="6"/>
      <c r="EO26" s="6"/>
      <c r="EP26" s="6"/>
      <c r="EQ26" s="6">
        <f t="shared" ref="EQ26:EW26" si="81">(EQ5-EQ$119*EQ113)/(1-EQ$119)</f>
        <v>27.410256590263941</v>
      </c>
      <c r="ER26" s="6">
        <f t="shared" si="81"/>
        <v>27.637915918130101</v>
      </c>
      <c r="ES26" s="6">
        <f t="shared" si="81"/>
        <v>27.864392648458281</v>
      </c>
      <c r="ET26" s="6">
        <f t="shared" si="81"/>
        <v>31.867183275578025</v>
      </c>
      <c r="EU26" s="6">
        <f t="shared" si="81"/>
        <v>30.913656881523348</v>
      </c>
      <c r="EV26" s="6">
        <f t="shared" si="81"/>
        <v>33.148678125494484</v>
      </c>
      <c r="EW26" s="6">
        <f t="shared" si="81"/>
        <v>27.04607945005267</v>
      </c>
      <c r="EX26" s="6"/>
      <c r="EY26" s="6"/>
      <c r="EZ26" s="6"/>
      <c r="FD26" s="236">
        <v>15.684145888717078</v>
      </c>
      <c r="FH26" s="6">
        <f>(FH5-FH$119*FH113)/(1-FH$119)</f>
        <v>27.245176229323025</v>
      </c>
      <c r="FI26" s="6"/>
      <c r="FJ26" s="6">
        <f>(FJ5-FJ$119*FJ113)/(1-FJ$119)</f>
        <v>32.483729064521796</v>
      </c>
    </row>
    <row r="27" spans="1:166" ht="11.1" customHeight="1" x14ac:dyDescent="0.2">
      <c r="A27" s="78" t="s">
        <v>751</v>
      </c>
      <c r="B27" s="6">
        <f t="shared" ref="B27:M27" si="82">(B7-B$119*B114)/(1-B$119)</f>
        <v>5.2195209202520205</v>
      </c>
      <c r="C27" s="6">
        <f t="shared" si="82"/>
        <v>3.7717738677382568</v>
      </c>
      <c r="D27" s="6">
        <f t="shared" si="82"/>
        <v>6.0773956021932776</v>
      </c>
      <c r="E27" s="6">
        <f>(E7-E$119*E114)/(1-E$119)</f>
        <v>5.2990879700901941</v>
      </c>
      <c r="F27" s="6">
        <f>(F7-F$119*F114)/(1-F$119)</f>
        <v>3.3276079115677515</v>
      </c>
      <c r="G27" s="6">
        <f>(G7-G$119*G114)/(1-G$119)</f>
        <v>4.6861264872879307</v>
      </c>
      <c r="H27" s="6">
        <f>(H7-H$119*H114)/(1-H$119)</f>
        <v>3.1608606375325818</v>
      </c>
      <c r="I27" s="6">
        <f>(I7-I$119*I114)/(1-I$119)</f>
        <v>3.5766329040289522</v>
      </c>
      <c r="J27" s="6">
        <f>AVERAGE(H27:I27)</f>
        <v>3.368746770780767</v>
      </c>
      <c r="K27" s="3">
        <f t="shared" si="82"/>
        <v>5.6373901576757213</v>
      </c>
      <c r="L27" s="3">
        <f t="shared" si="82"/>
        <v>4.0287946792919715</v>
      </c>
      <c r="M27" s="6">
        <f t="shared" si="82"/>
        <v>4.4972032907728918</v>
      </c>
      <c r="N27" s="6">
        <f t="shared" ref="N27:AB27" si="83">(N7-N$119*N114)/(1-N$119)</f>
        <v>3.4274129126222688</v>
      </c>
      <c r="O27" s="6">
        <f t="shared" si="83"/>
        <v>3.4083671554873516</v>
      </c>
      <c r="P27" s="6">
        <f t="shared" si="83"/>
        <v>5.2</v>
      </c>
      <c r="Q27" s="6">
        <f t="shared" si="83"/>
        <v>8.3343691281274186</v>
      </c>
      <c r="R27" s="6">
        <f t="shared" si="83"/>
        <v>12.051506615513942</v>
      </c>
      <c r="S27" s="6">
        <f t="shared" si="83"/>
        <v>14.052625394427837</v>
      </c>
      <c r="T27" s="6">
        <f t="shared" si="4"/>
        <v>13.318379589328558</v>
      </c>
      <c r="U27" s="6">
        <f t="shared" si="83"/>
        <v>13.781790808348632</v>
      </c>
      <c r="V27" s="6">
        <f t="shared" si="83"/>
        <v>16.226806261614609</v>
      </c>
      <c r="W27" s="6">
        <f t="shared" si="83"/>
        <v>17.0130741641653</v>
      </c>
      <c r="X27" s="6">
        <f t="shared" si="83"/>
        <v>18.466503236536614</v>
      </c>
      <c r="Y27" s="6">
        <f t="shared" si="83"/>
        <v>17.933272824142716</v>
      </c>
      <c r="Z27" s="6">
        <f t="shared" si="83"/>
        <v>21.694456062094627</v>
      </c>
      <c r="AA27" s="6">
        <f t="shared" si="83"/>
        <v>22.520777455542021</v>
      </c>
      <c r="AB27" s="6">
        <f t="shared" si="83"/>
        <v>21.788776214355401</v>
      </c>
      <c r="AC27" s="6">
        <f>(AC7-AC$119*AC114)/(1-AC$119)</f>
        <v>22.45132556659507</v>
      </c>
      <c r="AE27" s="6">
        <f>(AE7-AE$119*AE114)/(1-AE$119)</f>
        <v>9.4666662480770256</v>
      </c>
      <c r="AI27" s="6">
        <f t="shared" ref="AI27:BW27" si="84">(AI7-AI$119*AI114)/(1-AI$119)</f>
        <v>3.9833431823443721</v>
      </c>
      <c r="AJ27" s="6">
        <f t="shared" si="84"/>
        <v>3.4201462669688572</v>
      </c>
      <c r="AK27" s="6">
        <f t="shared" si="84"/>
        <v>4.5939090915477934</v>
      </c>
      <c r="AL27" s="6">
        <f t="shared" si="84"/>
        <v>16.242122773454629</v>
      </c>
      <c r="AM27" s="6">
        <f t="shared" si="84"/>
        <v>5.3263542093408116</v>
      </c>
      <c r="AN27" s="6">
        <f t="shared" si="84"/>
        <v>21.82</v>
      </c>
      <c r="AO27" s="6">
        <f t="shared" si="84"/>
        <v>24.916166719292708</v>
      </c>
      <c r="AP27" s="6">
        <f t="shared" si="84"/>
        <v>22.360538178180015</v>
      </c>
      <c r="AQ27" s="6">
        <f t="shared" si="84"/>
        <v>3.6143638222683485</v>
      </c>
      <c r="AR27" s="6">
        <f t="shared" si="84"/>
        <v>3.6072966840268212</v>
      </c>
      <c r="AS27" s="6">
        <f t="shared" si="84"/>
        <v>19.688219856383675</v>
      </c>
      <c r="AT27" s="6">
        <f t="shared" si="84"/>
        <v>9.5418117761348906</v>
      </c>
      <c r="AU27" s="6">
        <f t="shared" si="84"/>
        <v>2.5456301848476017</v>
      </c>
      <c r="AV27" s="6">
        <f t="shared" si="84"/>
        <v>15.24219198553519</v>
      </c>
      <c r="AW27" s="6">
        <f t="shared" si="84"/>
        <v>5.2802439289319612</v>
      </c>
      <c r="AX27" s="6">
        <f t="shared" si="84"/>
        <v>9.1482439162779219</v>
      </c>
      <c r="AY27" s="6">
        <f t="shared" si="84"/>
        <v>21.688585460456661</v>
      </c>
      <c r="AZ27" s="6">
        <f t="shared" si="84"/>
        <v>6.6274774028399577</v>
      </c>
      <c r="BA27" s="6">
        <f t="shared" si="84"/>
        <v>13.644781986023746</v>
      </c>
      <c r="BB27" s="6">
        <f t="shared" si="84"/>
        <v>17.165397672559809</v>
      </c>
      <c r="BC27" s="6">
        <f t="shared" si="84"/>
        <v>7.6591369932492777</v>
      </c>
      <c r="BD27" s="6">
        <f t="shared" si="84"/>
        <v>5.2778253096624512</v>
      </c>
      <c r="BE27" s="6">
        <f t="shared" si="84"/>
        <v>5.0938891412470459</v>
      </c>
      <c r="BF27" s="6">
        <f t="shared" si="84"/>
        <v>12.636893873840883</v>
      </c>
      <c r="BG27" s="6">
        <f t="shared" si="84"/>
        <v>7.3248794318881352</v>
      </c>
      <c r="BH27" s="6">
        <f t="shared" si="84"/>
        <v>5.6705368748947631</v>
      </c>
      <c r="BI27" s="6">
        <f>(BI7-BI$119*BI114)/(1-BI$119)</f>
        <v>4.4627926532322162</v>
      </c>
      <c r="BJ27" s="6">
        <f>(BJ7-BJ$119*BJ114)/(1-BJ$119)</f>
        <v>3.9941326151691317</v>
      </c>
      <c r="BK27" s="6">
        <f>(BK7-BK$119*BK114)/(1-BK$119)</f>
        <v>4.6931630402654001</v>
      </c>
      <c r="BL27" s="6">
        <f>(BL7-BL$119*BL114)/(1-BL$119)</f>
        <v>5.4882334421002907</v>
      </c>
      <c r="BM27" s="6">
        <f>(BM7-BM$119*BM114)/(1-BM$119)</f>
        <v>4.9607669207476635</v>
      </c>
      <c r="BN27" s="6">
        <f t="shared" si="84"/>
        <v>21.448856731322522</v>
      </c>
      <c r="BO27" s="6">
        <f t="shared" si="84"/>
        <v>21.860153965031419</v>
      </c>
      <c r="BP27" s="6">
        <f t="shared" si="84"/>
        <v>21.654506051881057</v>
      </c>
      <c r="BQ27" s="6">
        <f t="shared" si="84"/>
        <v>19.289958909900683</v>
      </c>
      <c r="BR27" s="6">
        <f t="shared" si="84"/>
        <v>19.730447929777004</v>
      </c>
      <c r="BS27" s="6">
        <f t="shared" si="84"/>
        <v>0</v>
      </c>
      <c r="BT27" s="6">
        <f t="shared" si="84"/>
        <v>18.638756734266632</v>
      </c>
      <c r="BU27" s="6">
        <f t="shared" si="84"/>
        <v>20.232636560336534</v>
      </c>
      <c r="BV27" s="6">
        <f t="shared" si="84"/>
        <v>19.534134959139767</v>
      </c>
      <c r="BW27" s="6">
        <f t="shared" si="84"/>
        <v>11.411905273940096</v>
      </c>
      <c r="BX27" s="6"/>
      <c r="BY27" s="6"/>
      <c r="BZ27" s="6">
        <f t="shared" ref="BZ27:CF27" si="85">(BZ7-BZ$119*BZ114)/(1-BZ$119)</f>
        <v>4.5691604902534717</v>
      </c>
      <c r="CA27" s="6">
        <f t="shared" si="85"/>
        <v>3.8584953892748572</v>
      </c>
      <c r="CB27" s="3">
        <f t="shared" si="85"/>
        <v>2.7278601747247291</v>
      </c>
      <c r="CC27" s="6">
        <f t="shared" si="85"/>
        <v>21.611236844794114</v>
      </c>
      <c r="CD27" s="6">
        <f t="shared" si="85"/>
        <v>3.0578384255454227</v>
      </c>
      <c r="CE27" s="3">
        <f t="shared" si="85"/>
        <v>3.0947872046711651</v>
      </c>
      <c r="CF27" s="6">
        <f t="shared" si="85"/>
        <v>3.1522110976186828</v>
      </c>
      <c r="CG27" s="6">
        <f t="shared" si="77"/>
        <v>3.4920318341293881</v>
      </c>
      <c r="CH27" s="6">
        <f t="shared" si="77"/>
        <v>0.98045526045812215</v>
      </c>
      <c r="CI27" s="6">
        <f>(CI7-CI$119*CI114)/(1-CI$119)</f>
        <v>9.0585962252605636</v>
      </c>
      <c r="CJ27" s="6">
        <f>(CJ7-CJ$119*CJ114)/(1-CJ$119)</f>
        <v>3.9599465173521633</v>
      </c>
      <c r="CK27" s="6">
        <f>(CK7-CK$119*CK114)/(1-CK$119)</f>
        <v>5.0295516069101414</v>
      </c>
      <c r="CL27" s="6">
        <f>(CL7-CL$119*CL114)/(1-CL$119)</f>
        <v>7.2778964663762986</v>
      </c>
      <c r="CM27" s="6">
        <f t="shared" ref="CM27:DA27" si="86">(CM7-CM$119*CM114)/(1-CM$119)</f>
        <v>10.545595415918331</v>
      </c>
      <c r="CN27" s="6" t="e">
        <f t="shared" si="86"/>
        <v>#REF!</v>
      </c>
      <c r="CO27" s="6">
        <f t="shared" si="86"/>
        <v>13.030912065922601</v>
      </c>
      <c r="CP27" s="6">
        <f>(CP7-CP$119*CP114)/(1-CP$119)</f>
        <v>5.2835299227561645</v>
      </c>
      <c r="CQ27" s="6">
        <f>(CQ7-CQ$119*CQ114)/(1-CQ$119)</f>
        <v>5.6433732433137109</v>
      </c>
      <c r="CR27" s="6">
        <f>(CR7-CR$119*CR114)/(1-CR$119)</f>
        <v>3.9941326151691317</v>
      </c>
      <c r="CS27" s="6">
        <f>(CS7-CS$119*CS114)/(1-CS$119)</f>
        <v>5.4264875166179429</v>
      </c>
      <c r="CT27" s="6">
        <f t="shared" si="86"/>
        <v>7.0913874804115933</v>
      </c>
      <c r="CU27" s="6">
        <f t="shared" si="86"/>
        <v>7.2480012142260257</v>
      </c>
      <c r="CV27" s="6">
        <f t="shared" si="86"/>
        <v>11.001912980678556</v>
      </c>
      <c r="CW27" s="6">
        <f t="shared" si="86"/>
        <v>11.294004363663708</v>
      </c>
      <c r="CX27" s="6">
        <f t="shared" si="86"/>
        <v>3.5144012561566651</v>
      </c>
      <c r="CY27" s="6">
        <f t="shared" si="86"/>
        <v>5.7963985231715274</v>
      </c>
      <c r="CZ27" s="6">
        <f t="shared" si="86"/>
        <v>2.8716214609006059</v>
      </c>
      <c r="DA27" s="6">
        <f t="shared" si="86"/>
        <v>3.9293001265353227</v>
      </c>
      <c r="DM27" s="6">
        <f t="shared" ref="DM27:DR27" si="87">(DM7-DM$119*DM114)/(1-DM$119)</f>
        <v>3.6503327285333906</v>
      </c>
      <c r="DN27" s="6">
        <f t="shared" si="87"/>
        <v>3.2924977309978587</v>
      </c>
      <c r="DO27" s="6">
        <f t="shared" si="87"/>
        <v>3.6921359307902915</v>
      </c>
      <c r="DP27" s="6">
        <f t="shared" si="87"/>
        <v>3.1486824585087736</v>
      </c>
      <c r="DQ27" s="6">
        <f t="shared" si="87"/>
        <v>2.9393637824647789</v>
      </c>
      <c r="DR27" s="6">
        <f t="shared" si="87"/>
        <v>3.2791629179673443</v>
      </c>
      <c r="DS27" s="6">
        <f t="shared" ref="DS27:EM27" si="88">(DS7-DS$119*DS114)/(1-DS$119)</f>
        <v>3.2139374308915976</v>
      </c>
      <c r="DT27" s="6">
        <f t="shared" si="88"/>
        <v>3.2302631381938971</v>
      </c>
      <c r="DU27" s="6">
        <f t="shared" si="88"/>
        <v>2.7792081473849235</v>
      </c>
      <c r="DV27" s="6">
        <f t="shared" si="88"/>
        <v>3.6993836683324295</v>
      </c>
      <c r="DW27" s="6">
        <f t="shared" si="88"/>
        <v>3.0976160305350415</v>
      </c>
      <c r="DX27" s="6">
        <f t="shared" si="88"/>
        <v>3.3484365225871398</v>
      </c>
      <c r="DY27" s="6">
        <f t="shared" si="88"/>
        <v>2.58</v>
      </c>
      <c r="DZ27" s="6">
        <f t="shared" si="88"/>
        <v>3.3026468830528724</v>
      </c>
      <c r="EA27" s="6">
        <f t="shared" si="88"/>
        <v>3.0083347472513959</v>
      </c>
      <c r="EB27" s="6">
        <f t="shared" si="88"/>
        <v>3.17</v>
      </c>
      <c r="EC27" s="6">
        <f t="shared" si="88"/>
        <v>3.2596287897526861</v>
      </c>
      <c r="ED27" s="6">
        <f t="shared" si="88"/>
        <v>4.13</v>
      </c>
      <c r="EE27" s="6">
        <f t="shared" si="88"/>
        <v>3.52</v>
      </c>
      <c r="EF27" s="6">
        <f t="shared" si="88"/>
        <v>3.205763056239388</v>
      </c>
      <c r="EG27" s="6">
        <f t="shared" si="88"/>
        <v>0</v>
      </c>
      <c r="EH27" s="6">
        <f t="shared" si="88"/>
        <v>3.0183747955877589</v>
      </c>
      <c r="EI27" s="6">
        <f t="shared" si="88"/>
        <v>1.08</v>
      </c>
      <c r="EJ27" s="6">
        <f t="shared" si="88"/>
        <v>3.1254279977457</v>
      </c>
      <c r="EK27" s="6"/>
      <c r="EL27" s="6">
        <f t="shared" si="88"/>
        <v>3.2807495575298504</v>
      </c>
      <c r="EM27" s="6">
        <f t="shared" si="88"/>
        <v>3.5719669621095465</v>
      </c>
      <c r="EN27" s="6"/>
      <c r="EO27" s="6"/>
      <c r="EP27" s="6"/>
      <c r="EQ27" s="6">
        <f t="shared" ref="EQ27:EW27" si="89">(EQ7-EQ$119*EQ114)/(1-EQ$119)</f>
        <v>4.6206581450283624</v>
      </c>
      <c r="ER27" s="6">
        <f t="shared" si="89"/>
        <v>4.5564866003881219</v>
      </c>
      <c r="ES27" s="6">
        <f t="shared" si="89"/>
        <v>4.4217263133470182</v>
      </c>
      <c r="ET27" s="6">
        <f t="shared" si="89"/>
        <v>2.6669559451444584</v>
      </c>
      <c r="EU27" s="6">
        <f t="shared" si="89"/>
        <v>3.1273441233113926</v>
      </c>
      <c r="EV27" s="6">
        <f t="shared" si="89"/>
        <v>2.3939277996206276</v>
      </c>
      <c r="EW27" s="6">
        <f t="shared" si="89"/>
        <v>4.933969094296291</v>
      </c>
      <c r="EX27" s="6"/>
      <c r="EY27" s="6"/>
      <c r="EZ27" s="6"/>
      <c r="FD27">
        <v>10.995906566440794</v>
      </c>
      <c r="FH27" s="6">
        <f>(FH7-FH$119*FH114)/(1-FH$119)</f>
        <v>5.7736035259774496</v>
      </c>
      <c r="FI27" s="6"/>
      <c r="FJ27" s="6">
        <f>(FJ7-FJ$119*FJ114)/(1-FJ$119)</f>
        <v>6.8837202991540112</v>
      </c>
    </row>
    <row r="28" spans="1:166" ht="11.1" customHeight="1" x14ac:dyDescent="0.2">
      <c r="A28" s="78" t="s">
        <v>752</v>
      </c>
      <c r="B28" s="6">
        <f t="shared" ref="B28:M28" si="90">(B9-B$119*B115)/(1-B$119)</f>
        <v>8.0682949801599744</v>
      </c>
      <c r="C28" s="6">
        <f t="shared" si="90"/>
        <v>4.190727954712961</v>
      </c>
      <c r="D28" s="6">
        <f t="shared" si="90"/>
        <v>5.9785436734370352</v>
      </c>
      <c r="E28" s="6">
        <f>(E9-E$119*E115)/(1-E$119)</f>
        <v>5.170670763321259</v>
      </c>
      <c r="F28" s="6">
        <f>(F9-F$119*F115)/(1-F$119)</f>
        <v>2.7878889591254521</v>
      </c>
      <c r="G28" s="6">
        <f>(G9-G$119*G115)/(1-G$119)</f>
        <v>4.9723094717293437</v>
      </c>
      <c r="H28" s="6">
        <f>(H9-H$119*H115)/(1-H$119)</f>
        <v>2.6795013622607451</v>
      </c>
      <c r="I28" s="6">
        <f>(I9-I$119*I115)/(1-I$119)</f>
        <v>3.7718362204281224</v>
      </c>
      <c r="J28" s="6">
        <f>AVERAGE(H28:I28)</f>
        <v>3.2256687913444337</v>
      </c>
      <c r="K28" s="3">
        <f t="shared" si="90"/>
        <v>6.4766394499135513</v>
      </c>
      <c r="L28" s="6">
        <f t="shared" si="90"/>
        <v>3.9296085087733723</v>
      </c>
      <c r="M28" s="6">
        <f t="shared" si="90"/>
        <v>5.1958470196761271</v>
      </c>
      <c r="N28" s="6">
        <f t="shared" ref="N28:AB28" si="91">(N9-N$119*N115)/(1-N$119)</f>
        <v>6.740714279602102</v>
      </c>
      <c r="O28" s="6">
        <f t="shared" si="91"/>
        <v>3.9480793280064286</v>
      </c>
      <c r="P28" s="6">
        <f t="shared" si="91"/>
        <v>3.89</v>
      </c>
      <c r="Q28" s="6">
        <f t="shared" si="91"/>
        <v>7.8076647714276683</v>
      </c>
      <c r="R28" s="6">
        <f t="shared" si="91"/>
        <v>8.7866434876911121</v>
      </c>
      <c r="S28" s="6">
        <f t="shared" si="91"/>
        <v>9.0707008714370172</v>
      </c>
      <c r="T28" s="6">
        <f t="shared" si="4"/>
        <v>8.9664752029656505</v>
      </c>
      <c r="U28" s="6">
        <f t="shared" si="91"/>
        <v>8.394383098572396</v>
      </c>
      <c r="V28" s="6">
        <f t="shared" si="91"/>
        <v>6.1496115544523331</v>
      </c>
      <c r="W28" s="6">
        <f t="shared" si="91"/>
        <v>8.1306684541975365</v>
      </c>
      <c r="X28" s="6">
        <f t="shared" si="91"/>
        <v>8.5386660856390932</v>
      </c>
      <c r="Y28" s="6">
        <f t="shared" si="91"/>
        <v>8.3889809380079381</v>
      </c>
      <c r="Z28" s="6">
        <f t="shared" si="91"/>
        <v>5.8562121488188792</v>
      </c>
      <c r="AA28" s="6">
        <f t="shared" si="91"/>
        <v>6.3261932804733023</v>
      </c>
      <c r="AB28" s="6">
        <f t="shared" si="91"/>
        <v>7.2142651030837994</v>
      </c>
      <c r="AC28" s="6">
        <f>(AC9-AC$119*AC115)/(1-AC$119)</f>
        <v>6.4401413716112144</v>
      </c>
      <c r="AE28" s="6">
        <f>(AE9-AE$119*AE115)/(1-AE$119)</f>
        <v>7.5320013007378508</v>
      </c>
      <c r="AI28" s="6">
        <f t="shared" ref="AI28:BW28" si="92">(AI9-AI$119*AI115)/(1-AI$119)</f>
        <v>5.0663720729855024</v>
      </c>
      <c r="AJ28" s="6">
        <f t="shared" si="92"/>
        <v>4.6006407823552529</v>
      </c>
      <c r="AK28" s="6">
        <f t="shared" si="92"/>
        <v>4.4663791549211682</v>
      </c>
      <c r="AL28" s="6">
        <f t="shared" si="92"/>
        <v>8.2308565616165374</v>
      </c>
      <c r="AM28" s="6">
        <f t="shared" si="92"/>
        <v>5.545803930295726</v>
      </c>
      <c r="AN28" s="6">
        <f t="shared" si="92"/>
        <v>13.59</v>
      </c>
      <c r="AO28" s="6">
        <f t="shared" si="92"/>
        <v>13.429532372879194</v>
      </c>
      <c r="AP28" s="6">
        <f t="shared" si="92"/>
        <v>7.894919010872397</v>
      </c>
      <c r="AQ28" s="6">
        <f t="shared" si="92"/>
        <v>4.0780671539648301</v>
      </c>
      <c r="AR28" s="6">
        <f t="shared" si="92"/>
        <v>3.2321334793409973</v>
      </c>
      <c r="AS28" s="6">
        <f t="shared" si="92"/>
        <v>17.239829535555877</v>
      </c>
      <c r="AT28" s="6">
        <f t="shared" si="92"/>
        <v>7.9400561817240574</v>
      </c>
      <c r="AU28" s="6">
        <f t="shared" si="92"/>
        <v>2.388000277769204</v>
      </c>
      <c r="AV28" s="6">
        <f t="shared" si="92"/>
        <v>10.23983505660485</v>
      </c>
      <c r="AW28" s="6">
        <f t="shared" si="92"/>
        <v>4.6333475300183986</v>
      </c>
      <c r="AX28" s="6">
        <f t="shared" si="92"/>
        <v>9.3200233642627008</v>
      </c>
      <c r="AY28" s="6">
        <f t="shared" si="92"/>
        <v>6.7804621062693924</v>
      </c>
      <c r="AZ28" s="6">
        <f t="shared" si="92"/>
        <v>7.1637111663404927</v>
      </c>
      <c r="BA28" s="6">
        <f t="shared" si="92"/>
        <v>8.9857862525571175</v>
      </c>
      <c r="BB28" s="6">
        <f t="shared" si="92"/>
        <v>8.2982070070146072</v>
      </c>
      <c r="BC28" s="6">
        <f t="shared" si="92"/>
        <v>8.6507883698215959</v>
      </c>
      <c r="BD28" s="6">
        <f t="shared" si="92"/>
        <v>7.5671538039230768</v>
      </c>
      <c r="BE28" s="6">
        <f t="shared" si="92"/>
        <v>6.6056112248355578</v>
      </c>
      <c r="BF28" s="6">
        <f t="shared" si="92"/>
        <v>8.8910537071279983</v>
      </c>
      <c r="BG28" s="6">
        <f t="shared" si="92"/>
        <v>6.6703328552455012</v>
      </c>
      <c r="BH28" s="6">
        <f t="shared" si="92"/>
        <v>12.672018860508015</v>
      </c>
      <c r="BI28" s="6" t="e">
        <f>(BI9-BI$119*BI115)/(1-BI$119)</f>
        <v>#DIV/0!</v>
      </c>
      <c r="BJ28" s="6" t="e">
        <f>(BJ9-BJ$119*BJ115)/(1-BJ$119)</f>
        <v>#DIV/0!</v>
      </c>
      <c r="BK28" s="6" t="e">
        <f>(BK9-BK$119*BK115)/(1-BK$119)</f>
        <v>#DIV/0!</v>
      </c>
      <c r="BL28" s="6" t="e">
        <f>(BL9-BL$119*BL115)/(1-BL$119)</f>
        <v>#DIV/0!</v>
      </c>
      <c r="BM28" s="6" t="e">
        <f>(BM9-BM$119*BM115)/(1-BM$119)</f>
        <v>#DIV/0!</v>
      </c>
      <c r="BN28" s="6">
        <f t="shared" si="92"/>
        <v>10.904101425324539</v>
      </c>
      <c r="BO28" s="6">
        <f t="shared" si="92"/>
        <v>13.962971346684199</v>
      </c>
      <c r="BP28" s="6">
        <f t="shared" si="92"/>
        <v>12.433541619541316</v>
      </c>
      <c r="BQ28" s="6">
        <f t="shared" si="92"/>
        <v>13.89933016882746</v>
      </c>
      <c r="BR28" s="6">
        <f t="shared" si="92"/>
        <v>26.51</v>
      </c>
      <c r="BS28" s="6">
        <f t="shared" si="92"/>
        <v>0</v>
      </c>
      <c r="BT28" s="6">
        <f t="shared" si="92"/>
        <v>23.860107368003224</v>
      </c>
      <c r="BU28" s="6">
        <f t="shared" si="92"/>
        <v>26.712651842389537</v>
      </c>
      <c r="BV28" s="6">
        <f t="shared" si="92"/>
        <v>25.694656545688478</v>
      </c>
      <c r="BW28" s="6">
        <f t="shared" si="92"/>
        <v>7.4541878247649231</v>
      </c>
      <c r="BX28" s="6"/>
      <c r="BY28" s="6"/>
      <c r="BZ28" s="6">
        <f t="shared" ref="BZ28:CF28" si="93">(BZ9-BZ$119*BZ115)/(1-BZ$119)</f>
        <v>6.3255582064946259</v>
      </c>
      <c r="CA28" s="6">
        <f t="shared" si="93"/>
        <v>3.9214321425252581</v>
      </c>
      <c r="CB28" s="3">
        <f t="shared" si="93"/>
        <v>2.4992628045956349</v>
      </c>
      <c r="CC28" s="6">
        <f t="shared" si="93"/>
        <v>12.34790891566038</v>
      </c>
      <c r="CD28" s="6">
        <f t="shared" si="93"/>
        <v>4.858479544888926</v>
      </c>
      <c r="CE28" s="3">
        <f t="shared" si="93"/>
        <v>5.9685201235692968</v>
      </c>
      <c r="CF28" s="6">
        <f t="shared" si="93"/>
        <v>5.3782003724493475</v>
      </c>
      <c r="CG28" s="6">
        <f t="shared" si="77"/>
        <v>3.5308782322603776</v>
      </c>
      <c r="CH28" s="6">
        <f t="shared" si="77"/>
        <v>0.95264322768345044</v>
      </c>
      <c r="CI28" s="6">
        <f>(CI9-CI$119*CI115)/(1-CI$119)</f>
        <v>5.9543318939264092</v>
      </c>
      <c r="CJ28" s="6">
        <f>(CJ9-CJ$119*CJ115)/(1-CJ$119)</f>
        <v>4.5648614730628312</v>
      </c>
      <c r="CK28" s="6">
        <f>(CK9-CK$119*CK115)/(1-CK$119)</f>
        <v>5.2304517077997579</v>
      </c>
      <c r="CL28" s="6">
        <f>(CL9-CL$119*CL115)/(1-CL$119)</f>
        <v>8.8795747835011838</v>
      </c>
      <c r="CM28" s="6">
        <f t="shared" ref="CM28:DA28" si="94">(CM9-CM$119*CM115)/(1-CM$119)</f>
        <v>9.9980790578958718</v>
      </c>
      <c r="CN28" s="6" t="e">
        <f t="shared" si="94"/>
        <v>#REF!</v>
      </c>
      <c r="CO28" s="6">
        <f t="shared" si="94"/>
        <v>7.7301128336080591</v>
      </c>
      <c r="CP28" s="6">
        <f>(CP9-CP$119*CP115)/(1-CP$119)</f>
        <v>6.6707900653647725</v>
      </c>
      <c r="CQ28" s="6">
        <f>(CQ9-CQ$119*CQ115)/(1-CQ$119)</f>
        <v>8.8696625128910629</v>
      </c>
      <c r="CR28" s="6" t="e">
        <f>(CR9-CR$119*CR115)/(1-CR$119)</f>
        <v>#DIV/0!</v>
      </c>
      <c r="CS28" s="6">
        <f>(CS9-CS$119*CS115)/(1-CS$119)</f>
        <v>4.9292805523515222</v>
      </c>
      <c r="CT28" s="6">
        <f t="shared" si="94"/>
        <v>8.7667229223672685</v>
      </c>
      <c r="CU28" s="6">
        <f t="shared" si="94"/>
        <v>8.7336693454055627</v>
      </c>
      <c r="CV28" s="6">
        <f t="shared" si="94"/>
        <v>10.892608198133869</v>
      </c>
      <c r="CW28" s="6">
        <f t="shared" si="94"/>
        <v>8.040707558141456</v>
      </c>
      <c r="CX28" s="6">
        <f t="shared" si="94"/>
        <v>3.2591825262429648</v>
      </c>
      <c r="CY28" s="6">
        <f t="shared" si="94"/>
        <v>8.120624840909823</v>
      </c>
      <c r="CZ28" s="6">
        <f t="shared" si="94"/>
        <v>3.7190297200576774</v>
      </c>
      <c r="DA28" s="6">
        <f t="shared" si="94"/>
        <v>3.837116822148003</v>
      </c>
      <c r="DM28" s="6">
        <f t="shared" ref="DM28:DR28" si="95">(DM9-DM$119*DM115)/(1-DM$119)</f>
        <v>9.1113095699499951</v>
      </c>
      <c r="DN28" s="6">
        <f t="shared" si="95"/>
        <v>7.3119280387831651</v>
      </c>
      <c r="DO28" s="6">
        <f t="shared" si="95"/>
        <v>7.1268609071501512</v>
      </c>
      <c r="DP28" s="6">
        <f t="shared" si="95"/>
        <v>6.2390322257199946</v>
      </c>
      <c r="DQ28" s="6">
        <f t="shared" si="95"/>
        <v>6.1114475503403245</v>
      </c>
      <c r="DR28" s="6">
        <f t="shared" si="95"/>
        <v>7.1900566134082329</v>
      </c>
      <c r="DS28" s="6">
        <f t="shared" ref="DS28:EM28" si="96">(DS9-DS$119*DS115)/(1-DS$119)</f>
        <v>8.7721227431420257</v>
      </c>
      <c r="DT28" s="6">
        <f t="shared" si="96"/>
        <v>6.4868169075365874</v>
      </c>
      <c r="DU28" s="6">
        <f t="shared" si="96"/>
        <v>5.5546365931980421</v>
      </c>
      <c r="DV28" s="6">
        <f t="shared" si="96"/>
        <v>7.9615543832453133</v>
      </c>
      <c r="DW28" s="6">
        <f t="shared" si="96"/>
        <v>6.1486883568933051</v>
      </c>
      <c r="DX28" s="6">
        <f t="shared" si="96"/>
        <v>6.5903545093660494</v>
      </c>
      <c r="DY28" s="6">
        <f t="shared" si="96"/>
        <v>4.0599999999999996</v>
      </c>
      <c r="DZ28" s="6">
        <f t="shared" si="96"/>
        <v>6.5350827327618264</v>
      </c>
      <c r="EA28" s="6">
        <f t="shared" si="96"/>
        <v>6.0111536270279817</v>
      </c>
      <c r="EB28" s="6">
        <f t="shared" si="96"/>
        <v>5.08</v>
      </c>
      <c r="EC28" s="6">
        <f t="shared" si="96"/>
        <v>6.529626296461239</v>
      </c>
      <c r="ED28" s="6">
        <f t="shared" si="96"/>
        <v>6.9</v>
      </c>
      <c r="EE28" s="6">
        <f t="shared" si="96"/>
        <v>6.55</v>
      </c>
      <c r="EF28" s="6">
        <f t="shared" si="96"/>
        <v>6.3301104643291088</v>
      </c>
      <c r="EG28" s="6">
        <f t="shared" si="96"/>
        <v>0</v>
      </c>
      <c r="EH28" s="6">
        <f t="shared" si="96"/>
        <v>6.0030243112690354</v>
      </c>
      <c r="EI28" s="6">
        <f t="shared" si="96"/>
        <v>1.77</v>
      </c>
      <c r="EJ28" s="6">
        <f t="shared" si="96"/>
        <v>7.222148115083094</v>
      </c>
      <c r="EK28" s="6"/>
      <c r="EL28" s="6">
        <f t="shared" si="96"/>
        <v>3.6900904362102938</v>
      </c>
      <c r="EM28" s="6">
        <f t="shared" si="96"/>
        <v>3.4706429484326589</v>
      </c>
      <c r="EN28" s="6"/>
      <c r="EO28" s="6"/>
      <c r="EP28" s="6"/>
      <c r="EQ28" s="6">
        <f t="shared" ref="EQ28:EW28" si="97">(EQ9-EQ$119*EQ115)/(1-EQ$119)</f>
        <v>6.3663378370769879</v>
      </c>
      <c r="ER28" s="6">
        <f t="shared" si="97"/>
        <v>6.1785266820963773</v>
      </c>
      <c r="ES28" s="6">
        <f t="shared" si="97"/>
        <v>6.0571658132449597</v>
      </c>
      <c r="ET28" s="6">
        <f t="shared" si="97"/>
        <v>2.7295558518435108</v>
      </c>
      <c r="EU28" s="6">
        <f t="shared" si="97"/>
        <v>2.6658897804062134</v>
      </c>
      <c r="EV28" s="6">
        <f t="shared" si="97"/>
        <v>2.1050822374791585</v>
      </c>
      <c r="EW28" s="6">
        <f t="shared" si="97"/>
        <v>3.9893401971506717</v>
      </c>
      <c r="EX28" s="6"/>
      <c r="EY28" s="6"/>
      <c r="EZ28" s="6"/>
      <c r="FD28">
        <v>10.907670531673814</v>
      </c>
      <c r="FH28" s="6">
        <f>(FH9-FH$119*FH115)/(1-FH$119)</f>
        <v>4.9704948723264915</v>
      </c>
      <c r="FI28" s="6"/>
      <c r="FJ28" s="6">
        <f>(FJ9-FJ$119*FJ115)/(1-FJ$119)</f>
        <v>5.9261943248315161</v>
      </c>
    </row>
    <row r="29" spans="1:166" ht="11.1" customHeight="1" x14ac:dyDescent="0.2">
      <c r="A29" s="78"/>
      <c r="B29" s="6"/>
      <c r="C29" s="6"/>
      <c r="D29" s="6"/>
      <c r="E29" s="6"/>
      <c r="F29" s="6"/>
      <c r="G29" s="6"/>
      <c r="H29" s="6"/>
      <c r="I29" s="6"/>
      <c r="J29" s="6"/>
      <c r="K29" s="3"/>
      <c r="L29" s="6"/>
      <c r="M29" s="6"/>
      <c r="N29" s="6"/>
      <c r="O29" s="6"/>
      <c r="P29" s="6"/>
      <c r="Q29" s="6"/>
      <c r="R29" s="6"/>
      <c r="S29" s="6"/>
      <c r="T29" s="6">
        <f t="shared" si="4"/>
        <v>0</v>
      </c>
      <c r="U29" s="6"/>
      <c r="V29" s="6"/>
      <c r="W29" s="6"/>
      <c r="X29" s="6"/>
      <c r="Y29" s="6"/>
      <c r="Z29" s="6"/>
      <c r="AA29" s="6"/>
      <c r="AB29" s="6"/>
      <c r="AC29" s="6"/>
      <c r="AE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3"/>
      <c r="CC29" s="6"/>
      <c r="CD29" s="6"/>
      <c r="CE29" s="3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H29" s="6"/>
      <c r="FI29" s="6"/>
      <c r="FJ29" s="6"/>
    </row>
    <row r="30" spans="1:166" ht="11.1" customHeight="1" x14ac:dyDescent="0.2">
      <c r="A30" s="78" t="s">
        <v>99</v>
      </c>
      <c r="B30" s="437">
        <f>(B7-B27)/B7</f>
        <v>4.5057095765048717E-2</v>
      </c>
      <c r="C30" s="437">
        <f>(C7-C27)/C7</f>
        <v>0.1377038873438283</v>
      </c>
      <c r="D30" s="437">
        <f>(D7-D27)/D7</f>
        <v>3.6284455755530777E-2</v>
      </c>
      <c r="E30" s="437">
        <f t="shared" ref="E30:J30" si="98">(E7-E579)/E7</f>
        <v>1</v>
      </c>
      <c r="F30" s="437">
        <f t="shared" si="98"/>
        <v>1</v>
      </c>
      <c r="G30" s="437">
        <f t="shared" si="98"/>
        <v>1</v>
      </c>
      <c r="H30" s="437">
        <f t="shared" si="98"/>
        <v>1</v>
      </c>
      <c r="I30" s="437">
        <f t="shared" si="98"/>
        <v>1</v>
      </c>
      <c r="J30" s="437">
        <f t="shared" si="98"/>
        <v>1</v>
      </c>
      <c r="K30" s="437">
        <f t="shared" ref="K30:AC30" si="99">(K7-K27)/K7</f>
        <v>9.6901992081315794E-2</v>
      </c>
      <c r="L30" s="437">
        <f t="shared" si="99"/>
        <v>6.0973116848966856E-2</v>
      </c>
      <c r="M30" s="437">
        <f t="shared" si="99"/>
        <v>4.3148236005767733E-2</v>
      </c>
      <c r="N30" s="437">
        <f t="shared" si="99"/>
        <v>3.5807150296349018E-2</v>
      </c>
      <c r="O30" s="437">
        <f t="shared" si="99"/>
        <v>0.12535308821420146</v>
      </c>
      <c r="P30" s="437">
        <f t="shared" si="99"/>
        <v>0</v>
      </c>
      <c r="Q30" s="437">
        <f t="shared" si="99"/>
        <v>7.8692976507523105E-2</v>
      </c>
      <c r="R30" s="437">
        <f t="shared" si="99"/>
        <v>8.4288846147420309E-3</v>
      </c>
      <c r="S30" s="437">
        <f t="shared" si="99"/>
        <v>7.3000715765635001E-3</v>
      </c>
      <c r="T30" s="437">
        <f t="shared" si="4"/>
        <v>7.7142530068501124E-3</v>
      </c>
      <c r="U30" s="437">
        <f t="shared" si="99"/>
        <v>1.0603040842032873E-2</v>
      </c>
      <c r="V30" s="437">
        <f t="shared" si="99"/>
        <v>7.8964823658090825E-3</v>
      </c>
      <c r="W30" s="437">
        <f t="shared" si="99"/>
        <v>6.2801728912575429E-4</v>
      </c>
      <c r="X30" s="437">
        <f t="shared" si="99"/>
        <v>4.1468978887634341E-4</v>
      </c>
      <c r="Y30" s="437">
        <f t="shared" si="99"/>
        <v>4.8570425531283462E-4</v>
      </c>
      <c r="Z30" s="437">
        <f t="shared" si="99"/>
        <v>0</v>
      </c>
      <c r="AA30" s="437">
        <f t="shared" si="99"/>
        <v>0</v>
      </c>
      <c r="AB30" s="437">
        <f t="shared" si="99"/>
        <v>1.6810411257484013E-4</v>
      </c>
      <c r="AC30" s="437">
        <f t="shared" si="99"/>
        <v>1.5410853499539634E-4</v>
      </c>
      <c r="AE30" s="437">
        <f>(AE7-AE27)/AE7</f>
        <v>1.1628392950053619E-2</v>
      </c>
      <c r="AI30" s="437">
        <f t="shared" ref="AI30:AQ30" si="100">(AI7-AI27)/AI7</f>
        <v>9.4445501013369459E-2</v>
      </c>
      <c r="AJ30" s="437">
        <f t="shared" si="100"/>
        <v>3.826985635075536E-2</v>
      </c>
      <c r="AK30" s="437">
        <f t="shared" si="100"/>
        <v>2.1413847290551215E-2</v>
      </c>
      <c r="AL30" s="437">
        <f t="shared" si="100"/>
        <v>6.9078936778985188E-4</v>
      </c>
      <c r="AM30" s="437">
        <f t="shared" si="100"/>
        <v>1.7408301841643669E-2</v>
      </c>
      <c r="AN30" s="437">
        <f t="shared" si="100"/>
        <v>0</v>
      </c>
      <c r="AO30" s="437">
        <f t="shared" si="100"/>
        <v>0</v>
      </c>
      <c r="AP30" s="437">
        <f t="shared" si="100"/>
        <v>0</v>
      </c>
      <c r="AQ30" s="437">
        <f t="shared" si="100"/>
        <v>5.7518139030004585E-2</v>
      </c>
      <c r="AR30" s="437">
        <f t="shared" ref="AR30:BD30" si="101">(AR7-AR27)/AR7</f>
        <v>0.10977685496487032</v>
      </c>
      <c r="AS30" s="437">
        <f>(AS7-AS27)/AS7</f>
        <v>4.3839327296900252E-4</v>
      </c>
      <c r="AT30" s="437">
        <f>(AT7-AT27)/AT7</f>
        <v>1.8346992004731361E-2</v>
      </c>
      <c r="AU30" s="437">
        <f t="shared" si="101"/>
        <v>4.6761665587279934E-2</v>
      </c>
      <c r="AV30" s="437">
        <f>(AV7-AV27)/AV7</f>
        <v>7.7115673864962854E-3</v>
      </c>
      <c r="AW30" s="437">
        <f t="shared" si="101"/>
        <v>1.1557982518432616E-2</v>
      </c>
      <c r="AX30" s="437">
        <f>(AX7-AX27)/AX7</f>
        <v>1.2127150543148363E-2</v>
      </c>
      <c r="AY30" s="437">
        <f>(AY7-AY27)/AY7</f>
        <v>0</v>
      </c>
      <c r="AZ30" s="437">
        <f t="shared" si="101"/>
        <v>5.7766979147629599E-2</v>
      </c>
      <c r="BA30" s="437">
        <f>(BA7-BA27)/BA7</f>
        <v>5.6118957679821592E-3</v>
      </c>
      <c r="BB30" s="437">
        <f>(BB7-BB27)/BB7</f>
        <v>4.6963656867847161E-4</v>
      </c>
      <c r="BC30" s="437">
        <f t="shared" si="101"/>
        <v>0.10436999462396201</v>
      </c>
      <c r="BD30" s="437">
        <f t="shared" si="101"/>
        <v>0.11211865207588258</v>
      </c>
      <c r="BE30" s="437">
        <f t="shared" ref="BE30:BW30" si="102">(BE7-BE27)/BE7</f>
        <v>0.11384282434089334</v>
      </c>
      <c r="BF30" s="437">
        <f t="shared" si="102"/>
        <v>6.7602067076298657E-3</v>
      </c>
      <c r="BG30" s="437">
        <f t="shared" si="102"/>
        <v>3.1294592047042706E-2</v>
      </c>
      <c r="BH30" s="437">
        <f t="shared" si="102"/>
        <v>6.911230316153566E-3</v>
      </c>
      <c r="BI30" s="437">
        <f>(BI7-BI27)/BI7</f>
        <v>5.8704703859397397E-2</v>
      </c>
      <c r="BJ30" s="437">
        <f>(BJ7-BJ27)/BJ7</f>
        <v>4.5243938008438907E-2</v>
      </c>
      <c r="BK30" s="437">
        <f>(BK7-BK27)/BK7</f>
        <v>5.4006779030377927E-2</v>
      </c>
      <c r="BL30" s="437">
        <f>(BL7-BL27)/BL7</f>
        <v>3.0076655907543902E-2</v>
      </c>
      <c r="BM30" s="437">
        <f>(BM7-BM27)/BM7</f>
        <v>6.5335537523786694E-2</v>
      </c>
      <c r="BN30" s="437">
        <f t="shared" si="102"/>
        <v>1.0432676881174654E-4</v>
      </c>
      <c r="BO30" s="437">
        <f t="shared" si="102"/>
        <v>9.3189519447237345E-5</v>
      </c>
      <c r="BP30" s="437">
        <f t="shared" si="102"/>
        <v>9.8672797313182443E-5</v>
      </c>
      <c r="BQ30" s="437">
        <f t="shared" si="102"/>
        <v>1.5670240990530853E-4</v>
      </c>
      <c r="BR30" s="437">
        <f t="shared" si="102"/>
        <v>0</v>
      </c>
      <c r="BS30" s="437" t="e">
        <f t="shared" si="102"/>
        <v>#DIV/0!</v>
      </c>
      <c r="BT30" s="437">
        <f t="shared" si="102"/>
        <v>3.2999071392800618E-4</v>
      </c>
      <c r="BU30" s="437">
        <f t="shared" si="102"/>
        <v>4.507939300800983E-5</v>
      </c>
      <c r="BV30" s="437">
        <f t="shared" si="102"/>
        <v>1.1092358579136329E-4</v>
      </c>
      <c r="BW30" s="437">
        <f t="shared" si="102"/>
        <v>6.7343855837995875E-3</v>
      </c>
      <c r="BX30" s="437"/>
      <c r="BY30" s="437"/>
      <c r="BZ30" s="437">
        <f t="shared" ref="BZ30:CF30" si="103">(BZ7-BZ27)/BZ7</f>
        <v>3.8562005968440873E-2</v>
      </c>
      <c r="CA30" s="437">
        <f t="shared" si="103"/>
        <v>6.1194500983482995E-2</v>
      </c>
      <c r="CB30" s="437">
        <f t="shared" si="103"/>
        <v>7.6411260760782515E-2</v>
      </c>
      <c r="CC30" s="437">
        <f t="shared" si="103"/>
        <v>0</v>
      </c>
      <c r="CD30" s="437">
        <f t="shared" si="103"/>
        <v>3.1471323264239952E-2</v>
      </c>
      <c r="CE30" s="437">
        <f t="shared" si="103"/>
        <v>1.3773334972743911E-2</v>
      </c>
      <c r="CF30" s="437">
        <f t="shared" si="103"/>
        <v>1.6350173505613141E-2</v>
      </c>
      <c r="CG30" s="6">
        <f>(34.05*EL30+90*EM30)/(34.05+90)</f>
        <v>0.11063993767468469</v>
      </c>
      <c r="CH30" s="6">
        <f>(34.05*EM30+90*EN30)/(34.05+90)</f>
        <v>2.94577920708873E-2</v>
      </c>
      <c r="CI30" s="437">
        <f>(CI7-CI27)/CI7</f>
        <v>1.7466313304638818E-2</v>
      </c>
      <c r="CJ30" s="437">
        <f t="shared" ref="CJ30:DA30" si="104">(CJ7-CJ27)/CJ7</f>
        <v>5.9031781288134549E-2</v>
      </c>
      <c r="CK30" s="437">
        <f t="shared" si="104"/>
        <v>2.7537871495718649E-2</v>
      </c>
      <c r="CL30" s="437">
        <f t="shared" si="104"/>
        <v>7.4324419013358123E-2</v>
      </c>
      <c r="CM30" s="437">
        <f t="shared" si="104"/>
        <v>4.4566328123500851E-2</v>
      </c>
      <c r="CN30" s="437" t="e">
        <f t="shared" si="104"/>
        <v>#REF!</v>
      </c>
      <c r="CO30" s="437">
        <f t="shared" si="104"/>
        <v>3.8958463710359499E-2</v>
      </c>
      <c r="CP30" s="437">
        <f>(CP7-CP27)/CP7</f>
        <v>0.33564239884711378</v>
      </c>
      <c r="CQ30" s="437">
        <f>(CQ7-CQ27)/CQ7</f>
        <v>6.6879128538013935E-2</v>
      </c>
      <c r="CR30" s="437">
        <f>(CR7-CR27)/CR7</f>
        <v>4.5243938008438907E-2</v>
      </c>
      <c r="CS30" s="437">
        <f>(CS7-CS27)/CS7</f>
        <v>1.5492837102739548E-2</v>
      </c>
      <c r="CT30" s="437">
        <f t="shared" si="104"/>
        <v>8.5600359081891522E-2</v>
      </c>
      <c r="CU30" s="437">
        <f t="shared" si="104"/>
        <v>7.7981428249058599E-2</v>
      </c>
      <c r="CV30" s="437">
        <f t="shared" si="104"/>
        <v>1.26240751249127E-2</v>
      </c>
      <c r="CW30" s="437">
        <f t="shared" si="104"/>
        <v>2.6824526238648527E-3</v>
      </c>
      <c r="CX30" s="437">
        <f t="shared" si="104"/>
        <v>9.8043033210107114E-2</v>
      </c>
      <c r="CY30" s="437">
        <f t="shared" si="104"/>
        <v>1.5463086160824185E-2</v>
      </c>
      <c r="CZ30" s="437">
        <f t="shared" si="104"/>
        <v>8.7316546947316137E-2</v>
      </c>
      <c r="DA30" s="437">
        <f t="shared" si="104"/>
        <v>4.8861934311651492E-2</v>
      </c>
      <c r="DM30" s="6"/>
      <c r="DN30" s="6"/>
      <c r="DO30" s="6"/>
      <c r="DP30" s="6"/>
      <c r="DQ30" s="6"/>
      <c r="DR30" s="6"/>
      <c r="DS30" s="6"/>
      <c r="DT30" s="6"/>
      <c r="DU30" s="6"/>
      <c r="DV30" s="437">
        <f t="shared" ref="DV30:EM30" si="105">(DV7-DV27)/DV7</f>
        <v>1.1995235598497862E-2</v>
      </c>
      <c r="DW30" s="437">
        <f t="shared" si="105"/>
        <v>1.1496231796911007E-2</v>
      </c>
      <c r="DX30" s="437">
        <f t="shared" si="105"/>
        <v>1.2976677221051667E-2</v>
      </c>
      <c r="DY30" s="437">
        <f t="shared" si="105"/>
        <v>0</v>
      </c>
      <c r="DZ30" s="437">
        <f t="shared" si="105"/>
        <v>1.9023950635700157E-2</v>
      </c>
      <c r="EA30" s="437">
        <f t="shared" si="105"/>
        <v>1.3662541523703877E-2</v>
      </c>
      <c r="EB30" s="437">
        <f t="shared" si="105"/>
        <v>0</v>
      </c>
      <c r="EC30" s="437">
        <f t="shared" si="105"/>
        <v>1.3593284695649698E-2</v>
      </c>
      <c r="ED30" s="437">
        <f t="shared" si="105"/>
        <v>0</v>
      </c>
      <c r="EE30" s="437">
        <f t="shared" si="105"/>
        <v>0</v>
      </c>
      <c r="EF30" s="437">
        <f t="shared" si="105"/>
        <v>9.829043859247209E-3</v>
      </c>
      <c r="EG30" s="437" t="e">
        <f t="shared" si="105"/>
        <v>#DIV/0!</v>
      </c>
      <c r="EH30" s="437">
        <f t="shared" si="105"/>
        <v>9.255668237059653E-3</v>
      </c>
      <c r="EI30" s="437">
        <f t="shared" si="105"/>
        <v>0</v>
      </c>
      <c r="EJ30" s="437">
        <f t="shared" si="105"/>
        <v>1.6018494217799072E-2</v>
      </c>
      <c r="EK30" s="437"/>
      <c r="EL30" s="437">
        <f t="shared" si="105"/>
        <v>0.11941563845905417</v>
      </c>
      <c r="EM30" s="437">
        <f t="shared" si="105"/>
        <v>0.10731979754459824</v>
      </c>
      <c r="EN30" s="6"/>
      <c r="EO30" s="6"/>
      <c r="EP30" s="6"/>
      <c r="EQ30" s="437">
        <f t="shared" ref="EQ30:EW30" si="106">(EQ7-EQ27)/EQ7</f>
        <v>4.014179747022173E-2</v>
      </c>
      <c r="ER30" s="437">
        <f t="shared" si="106"/>
        <v>3.0923921974879108E-2</v>
      </c>
      <c r="ES30" s="437">
        <f t="shared" si="106"/>
        <v>3.2237295291841932E-2</v>
      </c>
      <c r="ET30" s="437">
        <f t="shared" si="106"/>
        <v>6.2897981475317916E-2</v>
      </c>
      <c r="EU30" s="437">
        <f t="shared" si="106"/>
        <v>0.11067585783258237</v>
      </c>
      <c r="EV30" s="437">
        <f t="shared" si="106"/>
        <v>4.1712559446669434E-2</v>
      </c>
      <c r="EW30" s="437">
        <f t="shared" si="106"/>
        <v>5.325037890408682E-2</v>
      </c>
      <c r="EX30" s="437"/>
      <c r="EY30" s="437"/>
      <c r="EZ30" s="6"/>
      <c r="FH30" s="437">
        <f>(FH7-FH27)/FH7</f>
        <v>1.1179988822701581E-2</v>
      </c>
      <c r="FI30" s="437">
        <f>(FI7-FI27)/FI7</f>
        <v>1</v>
      </c>
      <c r="FJ30" s="437">
        <f>(FJ7-FJ27)/FJ7</f>
        <v>1.0595742077857453E-2</v>
      </c>
    </row>
    <row r="31" spans="1:166" ht="11.1" customHeight="1" x14ac:dyDescent="0.2">
      <c r="A31" s="78"/>
      <c r="B31" s="6"/>
      <c r="C31" s="6"/>
      <c r="D31" s="6"/>
      <c r="E31" s="6"/>
      <c r="F31" s="6"/>
      <c r="G31" s="6"/>
      <c r="H31" s="6"/>
      <c r="I31" s="6"/>
      <c r="J31" s="6"/>
      <c r="K31" s="3"/>
      <c r="L31" s="6"/>
      <c r="M31" s="6"/>
      <c r="N31" s="6"/>
      <c r="O31" s="6"/>
      <c r="P31" s="6"/>
      <c r="Q31" s="6"/>
      <c r="R31" s="6"/>
      <c r="S31" s="6"/>
      <c r="T31" s="6">
        <f t="shared" si="4"/>
        <v>0</v>
      </c>
      <c r="U31" s="6"/>
      <c r="V31" s="6"/>
      <c r="W31" s="6"/>
      <c r="X31" s="6"/>
      <c r="Y31" s="6"/>
      <c r="Z31" s="6"/>
      <c r="AA31" s="6"/>
      <c r="AB31" s="6"/>
      <c r="AC31" s="6"/>
      <c r="AE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3"/>
      <c r="CC31" s="6"/>
      <c r="CD31" s="6"/>
      <c r="CE31" s="3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H31" s="6"/>
      <c r="FI31" s="6"/>
      <c r="FJ31" s="6"/>
    </row>
    <row r="32" spans="1:166" ht="11.1" customHeight="1" x14ac:dyDescent="0.2">
      <c r="A32" s="78"/>
      <c r="B32" s="6"/>
      <c r="C32" s="6"/>
      <c r="D32" s="6"/>
      <c r="E32" s="6"/>
      <c r="F32" s="6"/>
      <c r="G32" s="6"/>
      <c r="H32" s="6"/>
      <c r="I32" s="6"/>
      <c r="J32" s="6"/>
      <c r="K32" s="3"/>
      <c r="L32" s="6"/>
      <c r="M32" s="6"/>
      <c r="N32" s="6"/>
      <c r="O32" s="6"/>
      <c r="P32" s="6"/>
      <c r="Q32" s="6"/>
      <c r="R32" s="6"/>
      <c r="S32" s="6"/>
      <c r="T32" s="6">
        <f t="shared" si="4"/>
        <v>0</v>
      </c>
      <c r="U32" s="6"/>
      <c r="V32" s="6"/>
      <c r="W32" s="6"/>
      <c r="X32" s="6"/>
      <c r="Y32" s="6"/>
      <c r="Z32" s="6"/>
      <c r="AA32" s="6"/>
      <c r="AB32" s="6"/>
      <c r="AC32" s="6"/>
      <c r="AE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3"/>
      <c r="CC32" s="6"/>
      <c r="CD32" s="6"/>
      <c r="CE32" s="3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H32" s="6"/>
      <c r="FI32" s="6"/>
      <c r="FJ32" s="6"/>
    </row>
    <row r="33" spans="1:166" ht="11.1" customHeight="1" x14ac:dyDescent="0.2">
      <c r="A33" s="78"/>
      <c r="B33" s="6"/>
      <c r="C33" s="6"/>
      <c r="D33" s="6"/>
      <c r="E33" s="6"/>
      <c r="F33" s="6"/>
      <c r="G33" s="6"/>
      <c r="H33" s="6"/>
      <c r="I33" s="6"/>
      <c r="J33" s="6"/>
      <c r="K33" s="3"/>
      <c r="L33" s="6"/>
      <c r="M33" s="6"/>
      <c r="N33" s="6"/>
      <c r="O33" s="6"/>
      <c r="P33" s="6"/>
      <c r="Q33" s="6"/>
      <c r="R33" s="6"/>
      <c r="S33" s="6"/>
      <c r="T33" s="6">
        <f t="shared" si="4"/>
        <v>0</v>
      </c>
      <c r="U33" s="6"/>
      <c r="V33" s="6"/>
      <c r="W33" s="6"/>
      <c r="X33" s="6"/>
      <c r="Y33" s="6"/>
      <c r="Z33" s="6"/>
      <c r="AA33" s="6"/>
      <c r="AB33" s="6"/>
      <c r="AC33" s="6"/>
      <c r="AE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3"/>
      <c r="CC33" s="6"/>
      <c r="CD33" s="6"/>
      <c r="CE33" s="3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H33" s="6"/>
      <c r="FI33" s="6"/>
      <c r="FJ33" s="6"/>
    </row>
    <row r="34" spans="1:166" ht="11.1" customHeight="1" x14ac:dyDescent="0.2">
      <c r="A34" s="78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>
        <f t="shared" si="4"/>
        <v>0</v>
      </c>
      <c r="U34" s="6"/>
      <c r="V34" s="6"/>
      <c r="W34" s="6"/>
      <c r="X34" s="6"/>
      <c r="Y34" s="6"/>
      <c r="Z34" s="6"/>
      <c r="AA34" s="6"/>
      <c r="AB34" s="6"/>
      <c r="AC34" s="6"/>
      <c r="AE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39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H34" s="6"/>
      <c r="FI34" s="6"/>
      <c r="FJ34" s="6"/>
    </row>
    <row r="35" spans="1:166" ht="11.1" customHeight="1" x14ac:dyDescent="0.2">
      <c r="A35" s="13" t="s">
        <v>958</v>
      </c>
      <c r="B35" s="3">
        <f t="shared" ref="B35:M35" si="107">B28/B27</f>
        <v>1.5457922486438473</v>
      </c>
      <c r="C35" s="3">
        <f t="shared" si="107"/>
        <v>1.1110761412708789</v>
      </c>
      <c r="D35" s="3">
        <f t="shared" si="107"/>
        <v>0.98373449167591331</v>
      </c>
      <c r="E35" s="3">
        <f t="shared" ref="E35:J35" si="108">E28/E27</f>
        <v>0.97576616816067896</v>
      </c>
      <c r="F35" s="3">
        <f t="shared" si="108"/>
        <v>0.83780572507774242</v>
      </c>
      <c r="G35" s="3">
        <f t="shared" si="108"/>
        <v>1.0610702645815777</v>
      </c>
      <c r="H35" s="3">
        <f t="shared" si="108"/>
        <v>0.84771259145180367</v>
      </c>
      <c r="I35" s="3">
        <f t="shared" si="108"/>
        <v>1.0545773976913539</v>
      </c>
      <c r="J35" s="3">
        <f t="shared" si="108"/>
        <v>0.95752783181053047</v>
      </c>
      <c r="K35" s="3">
        <f t="shared" si="107"/>
        <v>1.148871954710307</v>
      </c>
      <c r="L35" s="3">
        <f t="shared" si="107"/>
        <v>0.97538068369966413</v>
      </c>
      <c r="M35" s="3">
        <f t="shared" si="107"/>
        <v>1.1553507110378294</v>
      </c>
      <c r="N35" s="3">
        <f t="shared" ref="N35:AB35" si="109">N28/N27</f>
        <v>1.9667062158684785</v>
      </c>
      <c r="O35" s="3">
        <f t="shared" si="109"/>
        <v>1.1583491883056551</v>
      </c>
      <c r="P35" s="3">
        <f t="shared" si="109"/>
        <v>0.74807692307692308</v>
      </c>
      <c r="Q35" s="3">
        <f t="shared" si="109"/>
        <v>0.93680333224956513</v>
      </c>
      <c r="R35" s="3">
        <f t="shared" si="109"/>
        <v>0.72909087369873227</v>
      </c>
      <c r="S35" s="3">
        <f t="shared" si="109"/>
        <v>0.6454808704310685</v>
      </c>
      <c r="T35" s="3">
        <f t="shared" si="4"/>
        <v>0.67615885657087105</v>
      </c>
      <c r="U35" s="3">
        <f t="shared" si="109"/>
        <v>0.60909233170825006</v>
      </c>
      <c r="V35" s="3">
        <f t="shared" si="109"/>
        <v>0.37897855285297716</v>
      </c>
      <c r="W35" s="3">
        <f t="shared" si="109"/>
        <v>0.47790707168744334</v>
      </c>
      <c r="X35" s="3">
        <f t="shared" si="109"/>
        <v>0.46238673214239323</v>
      </c>
      <c r="Y35" s="3">
        <f t="shared" si="109"/>
        <v>0.46778861952706424</v>
      </c>
      <c r="Z35" s="3">
        <f t="shared" si="109"/>
        <v>0.2699404922647991</v>
      </c>
      <c r="AA35" s="3">
        <f t="shared" si="109"/>
        <v>0.28090474642635049</v>
      </c>
      <c r="AB35" s="3">
        <f t="shared" si="109"/>
        <v>0.33110005959539507</v>
      </c>
      <c r="AC35" s="3">
        <f>AC28/AC27</f>
        <v>0.28684904828930846</v>
      </c>
      <c r="AE35" s="3">
        <f>AE28/AE27</f>
        <v>0.79563397539950609</v>
      </c>
      <c r="AI35" s="3">
        <f t="shared" ref="AI35:BW35" si="110">AI28/AI27</f>
        <v>1.2718894258073241</v>
      </c>
      <c r="AJ35" s="3">
        <f t="shared" si="110"/>
        <v>1.345159073103801</v>
      </c>
      <c r="AK35" s="3">
        <f t="shared" si="110"/>
        <v>0.97223934255441324</v>
      </c>
      <c r="AL35" s="3">
        <f t="shared" si="110"/>
        <v>0.50675990302626372</v>
      </c>
      <c r="AM35" s="3">
        <f t="shared" si="110"/>
        <v>1.0412007373768095</v>
      </c>
      <c r="AN35" s="3">
        <f t="shared" si="110"/>
        <v>0.62282309807516034</v>
      </c>
      <c r="AO35" s="3">
        <f t="shared" si="110"/>
        <v>0.53898870256316922</v>
      </c>
      <c r="AP35" s="3">
        <f t="shared" si="110"/>
        <v>0.3530737475082984</v>
      </c>
      <c r="AQ35" s="3">
        <f t="shared" si="110"/>
        <v>1.1282945919388561</v>
      </c>
      <c r="AR35" s="3">
        <f t="shared" si="110"/>
        <v>0.89599879423640039</v>
      </c>
      <c r="AS35" s="3">
        <f t="shared" si="110"/>
        <v>0.87564186408483569</v>
      </c>
      <c r="AT35" s="3">
        <f t="shared" si="110"/>
        <v>0.83213297097129935</v>
      </c>
      <c r="AU35" s="3">
        <f t="shared" si="110"/>
        <v>0.93807823775163379</v>
      </c>
      <c r="AV35" s="3">
        <f t="shared" si="110"/>
        <v>0.67180856049592041</v>
      </c>
      <c r="AW35" s="3">
        <f t="shared" si="110"/>
        <v>0.87748740254800861</v>
      </c>
      <c r="AX35" s="3">
        <f t="shared" si="110"/>
        <v>1.0187773139366259</v>
      </c>
      <c r="AY35" s="3">
        <f t="shared" si="110"/>
        <v>0.31262813882591617</v>
      </c>
      <c r="AZ35" s="3">
        <f t="shared" si="110"/>
        <v>1.0809106890761713</v>
      </c>
      <c r="BA35" s="3">
        <f t="shared" si="110"/>
        <v>0.658551104866402</v>
      </c>
      <c r="BB35" s="3">
        <f t="shared" si="110"/>
        <v>0.48342643528031515</v>
      </c>
      <c r="BC35" s="3">
        <f t="shared" si="110"/>
        <v>1.1294729912059747</v>
      </c>
      <c r="BD35" s="3">
        <f t="shared" si="110"/>
        <v>1.4337635976828194</v>
      </c>
      <c r="BE35" s="3">
        <f t="shared" si="110"/>
        <v>1.2967716889139884</v>
      </c>
      <c r="BF35" s="3">
        <f t="shared" si="110"/>
        <v>0.70357904370258306</v>
      </c>
      <c r="BG35" s="3">
        <f t="shared" si="110"/>
        <v>0.91064063473957946</v>
      </c>
      <c r="BH35" s="3">
        <f t="shared" si="110"/>
        <v>2.2347123632351282</v>
      </c>
      <c r="BI35" s="3" t="e">
        <f>BI28/BI27</f>
        <v>#DIV/0!</v>
      </c>
      <c r="BJ35" s="3" t="e">
        <f>BJ28/BJ27</f>
        <v>#DIV/0!</v>
      </c>
      <c r="BK35" s="3" t="e">
        <f>BK28/BK27</f>
        <v>#DIV/0!</v>
      </c>
      <c r="BL35" s="3" t="e">
        <f>BL28/BL27</f>
        <v>#DIV/0!</v>
      </c>
      <c r="BM35" s="3" t="e">
        <f>BM28/BM27</f>
        <v>#DIV/0!</v>
      </c>
      <c r="BN35" s="3">
        <f t="shared" si="110"/>
        <v>0.50837681289562142</v>
      </c>
      <c r="BO35" s="3">
        <f t="shared" si="110"/>
        <v>0.63874075951249276</v>
      </c>
      <c r="BP35" s="3">
        <f t="shared" si="110"/>
        <v>0.57417802972519216</v>
      </c>
      <c r="BQ35" s="3">
        <f t="shared" si="110"/>
        <v>0.72054742230132729</v>
      </c>
      <c r="BR35" s="3">
        <f t="shared" si="110"/>
        <v>1.3436086243126475</v>
      </c>
      <c r="BS35" s="3" t="e">
        <f t="shared" si="110"/>
        <v>#DIV/0!</v>
      </c>
      <c r="BT35" s="3">
        <f t="shared" si="110"/>
        <v>1.2801340619536785</v>
      </c>
      <c r="BU35" s="3">
        <f t="shared" si="110"/>
        <v>1.3202753760108672</v>
      </c>
      <c r="BV35" s="3">
        <f t="shared" si="110"/>
        <v>1.315372121644234</v>
      </c>
      <c r="BW35" s="3">
        <f t="shared" si="110"/>
        <v>0.65319397995592332</v>
      </c>
      <c r="BX35" s="3"/>
      <c r="BY35" s="3"/>
      <c r="BZ35" s="3">
        <f t="shared" ref="BZ35:CG35" si="111">BZ28/BZ27</f>
        <v>1.3844027190526018</v>
      </c>
      <c r="CA35" s="3">
        <f t="shared" si="111"/>
        <v>1.0163112163941781</v>
      </c>
      <c r="CB35" s="3">
        <f t="shared" si="111"/>
        <v>0.91619901480025012</v>
      </c>
      <c r="CC35" s="3">
        <f t="shared" si="111"/>
        <v>0.57136521173404486</v>
      </c>
      <c r="CD35" s="3">
        <f t="shared" si="111"/>
        <v>1.5888607796608236</v>
      </c>
      <c r="CE35" s="3">
        <f t="shared" si="111"/>
        <v>1.9285720564440161</v>
      </c>
      <c r="CF35" s="3">
        <f t="shared" si="111"/>
        <v>1.7061675775814233</v>
      </c>
      <c r="CG35" s="3">
        <f t="shared" si="111"/>
        <v>1.0111242966777463</v>
      </c>
      <c r="CH35" s="3">
        <f>CH28/CH27</f>
        <v>0.97163355239516347</v>
      </c>
      <c r="CI35" s="3">
        <f>CI28/CI27</f>
        <v>0.65731287120650284</v>
      </c>
      <c r="CJ35" s="3">
        <f>CJ28/CJ27</f>
        <v>1.1527583650587148</v>
      </c>
      <c r="CK35" s="3">
        <f>CK28/CK27</f>
        <v>1.0399439386631599</v>
      </c>
      <c r="CL35" s="3">
        <f>CL28/CL27</f>
        <v>1.2200743476531439</v>
      </c>
      <c r="CM35" s="3">
        <f t="shared" ref="CM35:DA35" si="112">CM28/CM27</f>
        <v>0.94808103891450302</v>
      </c>
      <c r="CN35" s="3" t="e">
        <f t="shared" si="112"/>
        <v>#REF!</v>
      </c>
      <c r="CO35" s="3">
        <f t="shared" si="112"/>
        <v>0.5932134906982629</v>
      </c>
      <c r="CP35" s="3">
        <f>CP28/CP27</f>
        <v>1.2625631278501288</v>
      </c>
      <c r="CQ35" s="3">
        <f>CQ28/CQ27</f>
        <v>1.5716951777733064</v>
      </c>
      <c r="CR35" s="3" t="e">
        <f>CR28/CR27</f>
        <v>#DIV/0!</v>
      </c>
      <c r="CS35" s="3">
        <f>CS28/CS27</f>
        <v>0.90837407019848726</v>
      </c>
      <c r="CT35" s="3">
        <f t="shared" si="112"/>
        <v>1.2362493160306671</v>
      </c>
      <c r="CU35" s="3">
        <f t="shared" si="112"/>
        <v>1.2049762530756121</v>
      </c>
      <c r="CV35" s="3">
        <f t="shared" si="112"/>
        <v>0.99006492936849744</v>
      </c>
      <c r="CW35" s="3">
        <f t="shared" si="112"/>
        <v>0.71194478939736283</v>
      </c>
      <c r="CX35" s="3">
        <f t="shared" si="112"/>
        <v>0.92737917178165175</v>
      </c>
      <c r="CY35" s="3">
        <f t="shared" si="112"/>
        <v>1.4009776602569735</v>
      </c>
      <c r="CZ35" s="3">
        <f t="shared" si="112"/>
        <v>1.2950974808815174</v>
      </c>
      <c r="DA35" s="3">
        <f t="shared" si="112"/>
        <v>0.97653951049328402</v>
      </c>
      <c r="DM35" s="3">
        <f t="shared" ref="DM35:DR35" si="113">DM28/DM27</f>
        <v>2.4960216636500103</v>
      </c>
      <c r="DN35" s="3">
        <f t="shared" si="113"/>
        <v>2.2207845338642453</v>
      </c>
      <c r="DO35" s="3">
        <f t="shared" si="113"/>
        <v>1.9302812899482458</v>
      </c>
      <c r="DP35" s="3">
        <f t="shared" si="113"/>
        <v>1.9814739364587501</v>
      </c>
      <c r="DQ35" s="3">
        <f t="shared" si="113"/>
        <v>2.0791735908291082</v>
      </c>
      <c r="DR35" s="3">
        <f t="shared" si="113"/>
        <v>2.1926500126029529</v>
      </c>
      <c r="DS35" s="3">
        <f t="shared" ref="DS35:EM35" si="114">DS28/DS27</f>
        <v>2.7294005971698394</v>
      </c>
      <c r="DT35" s="3">
        <f t="shared" si="114"/>
        <v>2.0081388512403024</v>
      </c>
      <c r="DU35" s="3">
        <f t="shared" si="114"/>
        <v>1.9986400077391249</v>
      </c>
      <c r="DV35" s="3">
        <f t="shared" si="114"/>
        <v>2.152129948401416</v>
      </c>
      <c r="DW35" s="3">
        <f t="shared" si="114"/>
        <v>1.9849743468144634</v>
      </c>
      <c r="DX35" s="3">
        <f t="shared" si="114"/>
        <v>1.9681885754471673</v>
      </c>
      <c r="DY35" s="3">
        <f t="shared" si="114"/>
        <v>1.5736434108527131</v>
      </c>
      <c r="DZ35" s="3">
        <f t="shared" si="114"/>
        <v>1.9787409808465453</v>
      </c>
      <c r="EA35" s="3">
        <f t="shared" si="114"/>
        <v>1.9981664715072518</v>
      </c>
      <c r="EB35" s="3">
        <f t="shared" si="114"/>
        <v>1.6025236593059937</v>
      </c>
      <c r="EC35" s="3">
        <f t="shared" si="114"/>
        <v>2.0031809502322666</v>
      </c>
      <c r="ED35" s="3">
        <f t="shared" si="114"/>
        <v>1.6707021791767556</v>
      </c>
      <c r="EE35" s="3">
        <f t="shared" si="114"/>
        <v>1.8607954545454546</v>
      </c>
      <c r="EF35" s="3">
        <f t="shared" si="114"/>
        <v>1.9746033481822034</v>
      </c>
      <c r="EG35" s="3" t="e">
        <f t="shared" si="114"/>
        <v>#DIV/0!</v>
      </c>
      <c r="EH35" s="3">
        <f t="shared" si="114"/>
        <v>1.9888266758800857</v>
      </c>
      <c r="EI35" s="3">
        <f t="shared" si="114"/>
        <v>1.6388888888888888</v>
      </c>
      <c r="EJ35" s="3">
        <f t="shared" si="114"/>
        <v>2.3107709153089639</v>
      </c>
      <c r="EK35" s="3"/>
      <c r="EL35" s="3">
        <f t="shared" si="114"/>
        <v>1.124770535361634</v>
      </c>
      <c r="EM35" s="3">
        <f t="shared" si="114"/>
        <v>0.97163355239516347</v>
      </c>
      <c r="EN35" s="3"/>
      <c r="EO35" s="3"/>
      <c r="EP35" s="3"/>
      <c r="EQ35" s="3">
        <f t="shared" ref="EQ35:EW35" si="115">EQ28/EQ27</f>
        <v>1.3777989276109734</v>
      </c>
      <c r="ER35" s="3">
        <f t="shared" si="115"/>
        <v>1.355984824265716</v>
      </c>
      <c r="ES35" s="3">
        <f t="shared" si="115"/>
        <v>1.369864479165378</v>
      </c>
      <c r="ET35" s="3">
        <f t="shared" si="115"/>
        <v>1.0234724187375588</v>
      </c>
      <c r="EU35" s="3">
        <f t="shared" si="115"/>
        <v>0.85244529392673052</v>
      </c>
      <c r="EV35" s="3">
        <f t="shared" si="115"/>
        <v>0.87934240866109525</v>
      </c>
      <c r="EW35" s="16">
        <f t="shared" si="115"/>
        <v>0.80854584228392956</v>
      </c>
      <c r="EX35" s="3"/>
      <c r="EY35" s="3"/>
      <c r="EZ35" s="3"/>
      <c r="FD35">
        <v>0.99197555615502642</v>
      </c>
      <c r="FH35" s="3">
        <f>FH28/FH27</f>
        <v>0.86089993016709698</v>
      </c>
      <c r="FI35" s="3"/>
      <c r="FJ35" s="3">
        <f>FJ28/FJ27</f>
        <v>0.86089993016709698</v>
      </c>
    </row>
    <row r="36" spans="1:166" ht="11.1" customHeight="1" x14ac:dyDescent="0.2">
      <c r="A36" s="13" t="s">
        <v>961</v>
      </c>
      <c r="B36" s="3">
        <f t="shared" ref="B36:M36" si="116">B27+B28</f>
        <v>13.287815900411996</v>
      </c>
      <c r="C36" s="3">
        <f t="shared" si="116"/>
        <v>7.9625018224512178</v>
      </c>
      <c r="D36" s="3">
        <f t="shared" si="116"/>
        <v>12.055939275630312</v>
      </c>
      <c r="E36" s="3">
        <f t="shared" ref="E36:J36" si="117">E27+E28</f>
        <v>10.469758733411453</v>
      </c>
      <c r="F36" s="3">
        <f t="shared" si="117"/>
        <v>6.1154968706932031</v>
      </c>
      <c r="G36" s="3">
        <f t="shared" si="117"/>
        <v>9.6584359590172753</v>
      </c>
      <c r="H36" s="3">
        <f t="shared" si="117"/>
        <v>5.8403619997933269</v>
      </c>
      <c r="I36" s="3">
        <f t="shared" si="117"/>
        <v>7.3484691244570746</v>
      </c>
      <c r="J36" s="3">
        <f t="shared" si="117"/>
        <v>6.5944155621252012</v>
      </c>
      <c r="K36" s="3">
        <f t="shared" si="116"/>
        <v>12.114029607589273</v>
      </c>
      <c r="L36" s="3">
        <f t="shared" si="116"/>
        <v>7.9584031880653434</v>
      </c>
      <c r="M36" s="3">
        <f t="shared" si="116"/>
        <v>9.6930503104490189</v>
      </c>
      <c r="N36" s="3">
        <f t="shared" ref="N36:AB36" si="118">N27+N28</f>
        <v>10.168127192224372</v>
      </c>
      <c r="O36" s="3">
        <f t="shared" si="118"/>
        <v>7.3564464834937802</v>
      </c>
      <c r="P36" s="3">
        <f t="shared" si="118"/>
        <v>9.09</v>
      </c>
      <c r="Q36" s="3">
        <f t="shared" si="118"/>
        <v>16.142033899555088</v>
      </c>
      <c r="R36" s="3">
        <f t="shared" si="118"/>
        <v>20.838150103205052</v>
      </c>
      <c r="S36" s="3">
        <f t="shared" si="118"/>
        <v>23.123326265864854</v>
      </c>
      <c r="T36" s="3">
        <f t="shared" si="4"/>
        <v>22.284854792294208</v>
      </c>
      <c r="U36" s="3">
        <f t="shared" si="118"/>
        <v>22.176173906921029</v>
      </c>
      <c r="V36" s="3">
        <f t="shared" si="118"/>
        <v>22.37641781606694</v>
      </c>
      <c r="W36" s="3">
        <f t="shared" si="118"/>
        <v>25.143742618362836</v>
      </c>
      <c r="X36" s="3">
        <f t="shared" si="118"/>
        <v>27.005169322175707</v>
      </c>
      <c r="Y36" s="3">
        <f t="shared" si="118"/>
        <v>26.322253762150652</v>
      </c>
      <c r="Z36" s="3">
        <f t="shared" si="118"/>
        <v>27.550668210913507</v>
      </c>
      <c r="AA36" s="3">
        <f t="shared" si="118"/>
        <v>28.846970736015322</v>
      </c>
      <c r="AB36" s="3">
        <f t="shared" si="118"/>
        <v>29.003041317439202</v>
      </c>
      <c r="AC36" s="3">
        <f>AC27+AC28</f>
        <v>28.891466938206285</v>
      </c>
      <c r="AE36" s="3">
        <f>AE27+AE28</f>
        <v>16.998667548814876</v>
      </c>
      <c r="AI36" s="3">
        <f t="shared" ref="AI36:BW36" si="119">AI27+AI28</f>
        <v>9.0497152553298754</v>
      </c>
      <c r="AJ36" s="3">
        <f t="shared" si="119"/>
        <v>8.0207870493241096</v>
      </c>
      <c r="AK36" s="3">
        <f t="shared" si="119"/>
        <v>9.0602882464689607</v>
      </c>
      <c r="AL36" s="3">
        <f t="shared" si="119"/>
        <v>24.472979335071166</v>
      </c>
      <c r="AM36" s="3">
        <f t="shared" si="119"/>
        <v>10.872158139636538</v>
      </c>
      <c r="AN36" s="3">
        <f t="shared" si="119"/>
        <v>35.409999999999997</v>
      </c>
      <c r="AO36" s="3">
        <f t="shared" si="119"/>
        <v>38.345699092171898</v>
      </c>
      <c r="AP36" s="3">
        <f t="shared" si="119"/>
        <v>30.255457189052411</v>
      </c>
      <c r="AQ36" s="3">
        <f t="shared" si="119"/>
        <v>7.6924309762331786</v>
      </c>
      <c r="AR36" s="3">
        <f t="shared" si="119"/>
        <v>6.8394301633678189</v>
      </c>
      <c r="AS36" s="3">
        <f t="shared" si="119"/>
        <v>36.928049391939552</v>
      </c>
      <c r="AT36" s="3">
        <f t="shared" si="119"/>
        <v>17.481867957858949</v>
      </c>
      <c r="AU36" s="3">
        <f t="shared" si="119"/>
        <v>4.9336304626168062</v>
      </c>
      <c r="AV36" s="3">
        <f t="shared" si="119"/>
        <v>25.482027042140039</v>
      </c>
      <c r="AW36" s="3">
        <f t="shared" si="119"/>
        <v>9.9135914589503606</v>
      </c>
      <c r="AX36" s="3">
        <f t="shared" si="119"/>
        <v>18.468267280540623</v>
      </c>
      <c r="AY36" s="3">
        <f t="shared" si="119"/>
        <v>28.469047566726054</v>
      </c>
      <c r="AZ36" s="3">
        <f t="shared" si="119"/>
        <v>13.79118856918045</v>
      </c>
      <c r="BA36" s="3">
        <f t="shared" si="119"/>
        <v>22.630568238580864</v>
      </c>
      <c r="BB36" s="3">
        <f t="shared" si="119"/>
        <v>25.463604679574416</v>
      </c>
      <c r="BC36" s="3">
        <f t="shared" si="119"/>
        <v>16.309925363070874</v>
      </c>
      <c r="BD36" s="3">
        <f t="shared" si="119"/>
        <v>12.844979113585527</v>
      </c>
      <c r="BE36" s="3">
        <f t="shared" si="119"/>
        <v>11.699500366082603</v>
      </c>
      <c r="BF36" s="3">
        <f t="shared" si="119"/>
        <v>21.527947580968881</v>
      </c>
      <c r="BG36" s="3">
        <f t="shared" si="119"/>
        <v>13.995212287133636</v>
      </c>
      <c r="BH36" s="3">
        <f t="shared" si="119"/>
        <v>18.342555735402776</v>
      </c>
      <c r="BI36" s="3" t="e">
        <f>BI27+BI28</f>
        <v>#DIV/0!</v>
      </c>
      <c r="BJ36" s="3" t="e">
        <f>BJ27+BJ28</f>
        <v>#DIV/0!</v>
      </c>
      <c r="BK36" s="3" t="e">
        <f>BK27+BK28</f>
        <v>#DIV/0!</v>
      </c>
      <c r="BL36" s="3" t="e">
        <f>BL27+BL28</f>
        <v>#DIV/0!</v>
      </c>
      <c r="BM36" s="3" t="e">
        <f>BM27+BM28</f>
        <v>#DIV/0!</v>
      </c>
      <c r="BN36" s="3">
        <f t="shared" si="119"/>
        <v>32.352958156647063</v>
      </c>
      <c r="BO36" s="3">
        <f t="shared" si="119"/>
        <v>35.823125311715614</v>
      </c>
      <c r="BP36" s="3">
        <f t="shared" si="119"/>
        <v>34.088047671422373</v>
      </c>
      <c r="BQ36" s="3">
        <f t="shared" si="119"/>
        <v>33.189289078728144</v>
      </c>
      <c r="BR36" s="3">
        <f t="shared" si="119"/>
        <v>46.240447929777005</v>
      </c>
      <c r="BS36" s="3">
        <f t="shared" si="119"/>
        <v>0</v>
      </c>
      <c r="BT36" s="3">
        <f t="shared" si="119"/>
        <v>42.498864102269856</v>
      </c>
      <c r="BU36" s="3">
        <f t="shared" si="119"/>
        <v>46.945288402726071</v>
      </c>
      <c r="BV36" s="3">
        <f t="shared" si="119"/>
        <v>45.228791504828244</v>
      </c>
      <c r="BW36" s="3">
        <f t="shared" si="119"/>
        <v>18.866093098705019</v>
      </c>
      <c r="BX36" s="3"/>
      <c r="BY36" s="3"/>
      <c r="BZ36" s="3">
        <f t="shared" ref="BZ36:CG36" si="120">BZ27+BZ28</f>
        <v>10.894718696748097</v>
      </c>
      <c r="CA36" s="3">
        <f t="shared" si="120"/>
        <v>7.7799275318001158</v>
      </c>
      <c r="CB36" s="3">
        <f t="shared" si="120"/>
        <v>5.227122979320364</v>
      </c>
      <c r="CC36" s="3">
        <f t="shared" si="120"/>
        <v>33.95914576045449</v>
      </c>
      <c r="CD36" s="3">
        <f t="shared" si="120"/>
        <v>7.9163179704343491</v>
      </c>
      <c r="CE36" s="3">
        <f t="shared" si="120"/>
        <v>9.0633073282404624</v>
      </c>
      <c r="CF36" s="3">
        <f t="shared" si="120"/>
        <v>8.5304114700680298</v>
      </c>
      <c r="CG36" s="3">
        <f t="shared" si="120"/>
        <v>7.0229100663897661</v>
      </c>
      <c r="CH36" s="3">
        <f>CH27+CH28</f>
        <v>1.9330984881415727</v>
      </c>
      <c r="CI36" s="3">
        <f>CI27+CI28</f>
        <v>15.012928119186974</v>
      </c>
      <c r="CJ36" s="3">
        <f>CJ27+CJ28</f>
        <v>8.5248079904149954</v>
      </c>
      <c r="CK36" s="3">
        <f>CK27+CK28</f>
        <v>10.260003314709898</v>
      </c>
      <c r="CL36" s="3">
        <f>CL27+CL28</f>
        <v>16.157471249877482</v>
      </c>
      <c r="CM36" s="3">
        <f t="shared" ref="CM36:DA36" si="121">CM27+CM28</f>
        <v>20.543674473814203</v>
      </c>
      <c r="CN36" s="3" t="e">
        <f t="shared" si="121"/>
        <v>#REF!</v>
      </c>
      <c r="CO36" s="3">
        <f t="shared" si="121"/>
        <v>20.761024899530661</v>
      </c>
      <c r="CP36" s="3">
        <f>CP27+CP28</f>
        <v>11.954319988120936</v>
      </c>
      <c r="CQ36" s="3">
        <f>CQ27+CQ28</f>
        <v>14.513035756204774</v>
      </c>
      <c r="CR36" s="3" t="e">
        <f>CR27+CR28</f>
        <v>#DIV/0!</v>
      </c>
      <c r="CS36" s="3">
        <f>CS27+CS28</f>
        <v>10.355768068969464</v>
      </c>
      <c r="CT36" s="3">
        <f t="shared" si="121"/>
        <v>15.858110402778863</v>
      </c>
      <c r="CU36" s="3">
        <f t="shared" si="121"/>
        <v>15.981670559631588</v>
      </c>
      <c r="CV36" s="3">
        <f t="shared" si="121"/>
        <v>21.894521178812425</v>
      </c>
      <c r="CW36" s="3">
        <f t="shared" si="121"/>
        <v>19.334711921805166</v>
      </c>
      <c r="CX36" s="3">
        <f t="shared" si="121"/>
        <v>6.7735837823996299</v>
      </c>
      <c r="CY36" s="3">
        <f t="shared" si="121"/>
        <v>13.91702336408135</v>
      </c>
      <c r="CZ36" s="3">
        <f t="shared" si="121"/>
        <v>6.5906511809582833</v>
      </c>
      <c r="DA36" s="3">
        <f t="shared" si="121"/>
        <v>7.7664169486833252</v>
      </c>
      <c r="DM36" s="3">
        <f t="shared" ref="DM36:DR36" si="122">DM27+DM28</f>
        <v>12.761642298483386</v>
      </c>
      <c r="DN36" s="3">
        <f t="shared" si="122"/>
        <v>10.604425769781024</v>
      </c>
      <c r="DO36" s="3">
        <f t="shared" si="122"/>
        <v>10.818996837940443</v>
      </c>
      <c r="DP36" s="3">
        <f t="shared" si="122"/>
        <v>9.3877146842287686</v>
      </c>
      <c r="DQ36" s="3">
        <f t="shared" si="122"/>
        <v>9.0508113328051039</v>
      </c>
      <c r="DR36" s="3">
        <f t="shared" si="122"/>
        <v>10.469219531375577</v>
      </c>
      <c r="DS36" s="3">
        <f t="shared" ref="DS36:EM36" si="123">DS27+DS28</f>
        <v>11.986060174033623</v>
      </c>
      <c r="DT36" s="3">
        <f t="shared" si="123"/>
        <v>9.7170800457304836</v>
      </c>
      <c r="DU36" s="3">
        <f t="shared" si="123"/>
        <v>8.3338447405829648</v>
      </c>
      <c r="DV36" s="3">
        <f t="shared" si="123"/>
        <v>11.660938051577743</v>
      </c>
      <c r="DW36" s="3">
        <f t="shared" si="123"/>
        <v>9.2463043874283457</v>
      </c>
      <c r="DX36" s="3">
        <f t="shared" si="123"/>
        <v>9.9387910319531887</v>
      </c>
      <c r="DY36" s="3">
        <f t="shared" si="123"/>
        <v>6.64</v>
      </c>
      <c r="DZ36" s="3">
        <f t="shared" si="123"/>
        <v>9.8377296158146983</v>
      </c>
      <c r="EA36" s="3">
        <f t="shared" si="123"/>
        <v>9.0194883742793781</v>
      </c>
      <c r="EB36" s="3">
        <f t="shared" si="123"/>
        <v>8.25</v>
      </c>
      <c r="EC36" s="3">
        <f t="shared" si="123"/>
        <v>9.7892550862139256</v>
      </c>
      <c r="ED36" s="3">
        <f t="shared" si="123"/>
        <v>11.030000000000001</v>
      </c>
      <c r="EE36" s="3">
        <f t="shared" si="123"/>
        <v>10.07</v>
      </c>
      <c r="EF36" s="3">
        <f t="shared" si="123"/>
        <v>9.5358735205684972</v>
      </c>
      <c r="EG36" s="3">
        <f t="shared" si="123"/>
        <v>0</v>
      </c>
      <c r="EH36" s="3">
        <f t="shared" si="123"/>
        <v>9.0213991068567942</v>
      </c>
      <c r="EI36" s="3">
        <f t="shared" si="123"/>
        <v>2.85</v>
      </c>
      <c r="EJ36" s="3">
        <f t="shared" si="123"/>
        <v>10.347576112828794</v>
      </c>
      <c r="EK36" s="3"/>
      <c r="EL36" s="3">
        <f t="shared" si="123"/>
        <v>6.9708399937401442</v>
      </c>
      <c r="EM36" s="3">
        <f t="shared" si="123"/>
        <v>7.0426099105422058</v>
      </c>
      <c r="EN36" s="3"/>
      <c r="EO36" s="3"/>
      <c r="EP36" s="3"/>
      <c r="EQ36" s="3">
        <f t="shared" ref="EQ36:EW36" si="124">EQ27+EQ28</f>
        <v>10.98699598210535</v>
      </c>
      <c r="ER36" s="3">
        <f t="shared" si="124"/>
        <v>10.735013282484498</v>
      </c>
      <c r="ES36" s="3">
        <f t="shared" si="124"/>
        <v>10.478892126591978</v>
      </c>
      <c r="ET36" s="3">
        <f t="shared" si="124"/>
        <v>5.3965117969879692</v>
      </c>
      <c r="EU36" s="3">
        <f t="shared" si="124"/>
        <v>5.7932339037176064</v>
      </c>
      <c r="EV36" s="3">
        <f t="shared" si="124"/>
        <v>4.4990100370997865</v>
      </c>
      <c r="EW36" s="3">
        <f t="shared" si="124"/>
        <v>8.9233092914469623</v>
      </c>
      <c r="EX36" s="3"/>
      <c r="EY36" s="3"/>
      <c r="EZ36" s="3"/>
      <c r="FD36">
        <v>21.90357709811461</v>
      </c>
      <c r="FH36" s="3">
        <f>FH27+FH28</f>
        <v>10.74409839830394</v>
      </c>
      <c r="FI36" s="3"/>
      <c r="FJ36" s="3">
        <f>FJ27+FJ28</f>
        <v>12.809914623985527</v>
      </c>
    </row>
    <row r="37" spans="1:166" s="33" customFormat="1" ht="11.1" customHeight="1" x14ac:dyDescent="0.2">
      <c r="A37" s="187" t="s">
        <v>959</v>
      </c>
      <c r="B37" s="7">
        <f>(B28/40.304)*100/(B28/40.304+B27/71.846)</f>
        <v>73.372619008335576</v>
      </c>
      <c r="C37" s="7">
        <f>(C28/40.304)*100/(C28/40.304+C27/71.846)</f>
        <v>66.44978464859652</v>
      </c>
      <c r="D37" s="7">
        <f>(D28/40.304)*100/(D28/40.304+D27/71.846)</f>
        <v>63.684000874934299</v>
      </c>
      <c r="E37" s="7">
        <f t="shared" ref="E37:J37" si="125">(E28/40.304)*100/(E28/40.304+E27/71.846)</f>
        <v>63.495695168399649</v>
      </c>
      <c r="F37" s="7">
        <f t="shared" si="125"/>
        <v>59.895316317139383</v>
      </c>
      <c r="G37" s="7">
        <f t="shared" si="125"/>
        <v>65.415469989847949</v>
      </c>
      <c r="H37" s="7">
        <f t="shared" si="125"/>
        <v>60.177359687270375</v>
      </c>
      <c r="I37" s="7">
        <f t="shared" si="125"/>
        <v>65.276475809113762</v>
      </c>
      <c r="J37" s="7">
        <f t="shared" si="125"/>
        <v>63.05725237105824</v>
      </c>
      <c r="K37" s="6">
        <v>67.12</v>
      </c>
      <c r="L37" s="7">
        <f t="shared" ref="L37:AB37" si="126">(L28/40.304)*100/(L28/40.304+L27/71.846)</f>
        <v>63.486535949488989</v>
      </c>
      <c r="M37" s="7">
        <f t="shared" si="126"/>
        <v>67.315249198915808</v>
      </c>
      <c r="N37" s="7">
        <f t="shared" si="126"/>
        <v>77.806653159628212</v>
      </c>
      <c r="O37" s="7">
        <f t="shared" si="126"/>
        <v>67.372250858105943</v>
      </c>
      <c r="P37" s="7">
        <f t="shared" si="126"/>
        <v>57.146351297077537</v>
      </c>
      <c r="Q37" s="7">
        <f t="shared" si="126"/>
        <v>62.546082869100729</v>
      </c>
      <c r="R37" s="7">
        <f t="shared" si="126"/>
        <v>56.515670463085826</v>
      </c>
      <c r="S37" s="7">
        <f t="shared" si="126"/>
        <v>53.502118912618165</v>
      </c>
      <c r="T37" s="7">
        <f t="shared" si="4"/>
        <v>54.60784417375546</v>
      </c>
      <c r="U37" s="7">
        <f t="shared" si="126"/>
        <v>52.056060148786159</v>
      </c>
      <c r="V37" s="7">
        <f t="shared" si="126"/>
        <v>40.318746028824954</v>
      </c>
      <c r="W37" s="7">
        <f t="shared" si="126"/>
        <v>46.001934888409643</v>
      </c>
      <c r="X37" s="7">
        <f t="shared" si="126"/>
        <v>45.183000476885162</v>
      </c>
      <c r="Y37" s="7">
        <f t="shared" si="126"/>
        <v>45.470835787907433</v>
      </c>
      <c r="Z37" s="7">
        <f t="shared" si="126"/>
        <v>32.487014018354017</v>
      </c>
      <c r="AA37" s="7">
        <f t="shared" si="126"/>
        <v>33.366269296300871</v>
      </c>
      <c r="AB37" s="7">
        <f t="shared" si="126"/>
        <v>37.115607450299464</v>
      </c>
      <c r="AC37" s="7">
        <f>(AC28/40.304)*100/(AC28/40.304+AC27/71.846)</f>
        <v>33.833453228972509</v>
      </c>
      <c r="AE37" s="7">
        <f>(AE28/40.304)*100/(AE28/40.304+AE27/71.846)</f>
        <v>58.648618549163288</v>
      </c>
      <c r="AI37" s="7">
        <f t="shared" ref="AI37:BW37" si="127">(AI28/40.304)*100/(AI28/40.304+AI27/71.846)</f>
        <v>69.393435286817962</v>
      </c>
      <c r="AJ37" s="7">
        <f t="shared" si="127"/>
        <v>70.569915535202867</v>
      </c>
      <c r="AK37" s="7">
        <f t="shared" si="127"/>
        <v>63.411725112023461</v>
      </c>
      <c r="AL37" s="7">
        <f t="shared" si="127"/>
        <v>47.46109221202763</v>
      </c>
      <c r="AM37" s="7">
        <f t="shared" si="127"/>
        <v>64.986567523831042</v>
      </c>
      <c r="AN37" s="7">
        <f t="shared" si="127"/>
        <v>52.612156299045367</v>
      </c>
      <c r="AO37" s="7">
        <f t="shared" si="127"/>
        <v>49.000471965075363</v>
      </c>
      <c r="AP37" s="7">
        <f t="shared" si="127"/>
        <v>38.627340844434961</v>
      </c>
      <c r="AQ37" s="7">
        <f t="shared" si="127"/>
        <v>66.791756010427747</v>
      </c>
      <c r="AR37" s="7">
        <f t="shared" si="127"/>
        <v>61.497136748600894</v>
      </c>
      <c r="AS37" s="7">
        <f t="shared" si="127"/>
        <v>60.95155032714662</v>
      </c>
      <c r="AT37" s="7">
        <f t="shared" si="127"/>
        <v>59.73200982433498</v>
      </c>
      <c r="AU37" s="7">
        <f t="shared" si="127"/>
        <v>62.577936388053296</v>
      </c>
      <c r="AV37" s="7">
        <f t="shared" si="127"/>
        <v>54.495139271591754</v>
      </c>
      <c r="AW37" s="7">
        <f t="shared" si="127"/>
        <v>61.001649157034464</v>
      </c>
      <c r="AX37" s="7">
        <f t="shared" si="127"/>
        <v>64.489578407098477</v>
      </c>
      <c r="AY37" s="7">
        <f t="shared" si="127"/>
        <v>35.785951058195124</v>
      </c>
      <c r="AZ37" s="7">
        <f t="shared" si="127"/>
        <v>65.833386203407656</v>
      </c>
      <c r="BA37" s="7">
        <f t="shared" si="127"/>
        <v>54.000457476437262</v>
      </c>
      <c r="BB37" s="7">
        <f t="shared" si="127"/>
        <v>46.287298532447124</v>
      </c>
      <c r="BC37" s="7">
        <f t="shared" si="127"/>
        <v>66.814905204792638</v>
      </c>
      <c r="BD37" s="7">
        <f t="shared" si="127"/>
        <v>71.877172127883398</v>
      </c>
      <c r="BE37" s="7">
        <f t="shared" si="127"/>
        <v>69.803372505694853</v>
      </c>
      <c r="BF37" s="7">
        <f t="shared" si="127"/>
        <v>55.638394789230652</v>
      </c>
      <c r="BG37" s="7">
        <f t="shared" si="127"/>
        <v>61.880220317063269</v>
      </c>
      <c r="BH37" s="7">
        <f t="shared" si="127"/>
        <v>79.934197115812495</v>
      </c>
      <c r="BI37" s="7" t="e">
        <f>(BI28/40.304)*100/(BI28/40.304+BI27/71.846)</f>
        <v>#DIV/0!</v>
      </c>
      <c r="BJ37" s="7" t="e">
        <f>(BJ28/40.304)*100/(BJ28/40.304+BJ27/71.846)</f>
        <v>#DIV/0!</v>
      </c>
      <c r="BK37" s="7" t="e">
        <f>(BK28/40.304)*100/(BK28/40.304+BK27/71.846)</f>
        <v>#DIV/0!</v>
      </c>
      <c r="BL37" s="7" t="e">
        <f>(BL28/40.304)*100/(BL28/40.304+BL27/71.846)</f>
        <v>#DIV/0!</v>
      </c>
      <c r="BM37" s="7" t="e">
        <f>(BM28/40.304)*100/(BM28/40.304+BM27/71.846)</f>
        <v>#DIV/0!</v>
      </c>
      <c r="BN37" s="7">
        <f t="shared" si="127"/>
        <v>47.540533297039879</v>
      </c>
      <c r="BO37" s="7">
        <f t="shared" si="127"/>
        <v>53.240890215615359</v>
      </c>
      <c r="BP37" s="7">
        <f t="shared" si="127"/>
        <v>50.58143492417112</v>
      </c>
      <c r="BQ37" s="7">
        <f t="shared" si="127"/>
        <v>56.225776597602355</v>
      </c>
      <c r="BR37" s="7">
        <f t="shared" si="127"/>
        <v>70.545957660688046</v>
      </c>
      <c r="BS37" s="7" t="e">
        <f t="shared" si="127"/>
        <v>#DIV/0!</v>
      </c>
      <c r="BT37" s="7">
        <f t="shared" si="127"/>
        <v>69.530493776301867</v>
      </c>
      <c r="BU37" s="7">
        <f t="shared" si="127"/>
        <v>70.180638123591194</v>
      </c>
      <c r="BV37" s="7">
        <f t="shared" si="127"/>
        <v>70.102714530238472</v>
      </c>
      <c r="BW37" s="7">
        <f t="shared" si="127"/>
        <v>53.797499929310348</v>
      </c>
      <c r="BX37" s="7"/>
      <c r="BY37" s="7"/>
      <c r="BZ37" s="7">
        <f t="shared" ref="BZ37:CG37" si="128">(BZ28/40.304)*100/(BZ28/40.304+BZ27/71.846)</f>
        <v>71.163600880933572</v>
      </c>
      <c r="CA37" s="7">
        <f t="shared" si="128"/>
        <v>64.434057718736128</v>
      </c>
      <c r="CB37" s="6">
        <f t="shared" si="128"/>
        <v>62.023658965153736</v>
      </c>
      <c r="CC37" s="7">
        <f t="shared" si="128"/>
        <v>50.458675789943513</v>
      </c>
      <c r="CD37" s="7">
        <f t="shared" si="128"/>
        <v>73.906055461100678</v>
      </c>
      <c r="CE37" s="6">
        <f t="shared" si="128"/>
        <v>77.466702273921015</v>
      </c>
      <c r="CF37" s="7">
        <f t="shared" si="128"/>
        <v>75.256210292949419</v>
      </c>
      <c r="CG37" s="7">
        <f t="shared" si="128"/>
        <v>64.316713110113838</v>
      </c>
      <c r="CH37" s="7">
        <f>(CH28/40.304)*100/(CH28/40.304+CH27/71.846)</f>
        <v>63.397262985630867</v>
      </c>
      <c r="CI37" s="7">
        <f>(CI28/40.304)*100/(CI28/40.304+CI27/71.846)</f>
        <v>53.953704931737462</v>
      </c>
      <c r="CJ37" s="7">
        <f>(CJ28/40.304)*100/(CJ28/40.304+CJ27/71.846)</f>
        <v>67.265807405232607</v>
      </c>
      <c r="CK37" s="7">
        <f>(CK28/40.304)*100/(CK28/40.304+CK27/71.846)</f>
        <v>64.959080333139966</v>
      </c>
      <c r="CL37" s="7">
        <f>(CL28/40.304)*100/(CL28/40.304+CL27/71.846)</f>
        <v>68.503016844384959</v>
      </c>
      <c r="CM37" s="7">
        <f t="shared" ref="CM37:DA37" si="129">(CM28/40.304)*100/(CM28/40.304+CM27/71.846)</f>
        <v>62.825988677205146</v>
      </c>
      <c r="CN37" s="7" t="e">
        <f t="shared" si="129"/>
        <v>#REF!</v>
      </c>
      <c r="CO37" s="7">
        <f t="shared" si="129"/>
        <v>51.396469051899011</v>
      </c>
      <c r="CP37" s="7">
        <f>(CP28/40.304)*100/(CP28/40.304+CP27/71.846)</f>
        <v>69.236901390808853</v>
      </c>
      <c r="CQ37" s="7">
        <f>(CQ28/40.304)*100/(CQ28/40.304+CQ27/71.846)</f>
        <v>73.696028747905984</v>
      </c>
      <c r="CR37" s="7" t="e">
        <f>(CR28/40.304)*100/(CR28/40.304+CR27/71.846)</f>
        <v>#DIV/0!</v>
      </c>
      <c r="CS37" s="7">
        <f>(CS28/40.304)*100/(CS28/40.304+CS27/71.846)</f>
        <v>61.821418234516351</v>
      </c>
      <c r="CT37" s="7">
        <f t="shared" si="129"/>
        <v>68.786488390891478</v>
      </c>
      <c r="CU37" s="7">
        <f t="shared" si="129"/>
        <v>68.233732107864469</v>
      </c>
      <c r="CV37" s="7">
        <f t="shared" si="129"/>
        <v>63.832221286973422</v>
      </c>
      <c r="CW37" s="7">
        <f t="shared" si="129"/>
        <v>55.929942724360806</v>
      </c>
      <c r="CX37" s="7">
        <f t="shared" si="129"/>
        <v>62.308927557399684</v>
      </c>
      <c r="CY37" s="7">
        <f t="shared" si="129"/>
        <v>71.407215818677457</v>
      </c>
      <c r="CZ37" s="7">
        <f t="shared" si="129"/>
        <v>69.776134687809645</v>
      </c>
      <c r="DA37" s="7">
        <f t="shared" si="129"/>
        <v>63.514056150010653</v>
      </c>
      <c r="DE37"/>
      <c r="DI37"/>
      <c r="DJ37"/>
      <c r="DK37"/>
      <c r="DL37"/>
      <c r="DM37" s="7">
        <f t="shared" ref="DM37:DR37" si="130">(DM28/40.304)*100/(DM28/40.304+DM27/71.846)</f>
        <v>81.649402250564194</v>
      </c>
      <c r="DN37" s="7">
        <f t="shared" si="130"/>
        <v>79.833730914668436</v>
      </c>
      <c r="DO37" s="7">
        <f t="shared" si="130"/>
        <v>77.482162195356196</v>
      </c>
      <c r="DP37" s="7">
        <f t="shared" si="130"/>
        <v>77.935562259522669</v>
      </c>
      <c r="DQ37" s="7">
        <f t="shared" si="130"/>
        <v>78.752063947203652</v>
      </c>
      <c r="DR37" s="7">
        <f t="shared" si="130"/>
        <v>79.627686962270175</v>
      </c>
      <c r="DS37" s="7">
        <f t="shared" ref="DS37:EM37" si="131">(DS28/40.304)*100/(DS28/40.304+DS27/71.846)</f>
        <v>82.950967789505086</v>
      </c>
      <c r="DT37" s="7">
        <f t="shared" si="131"/>
        <v>78.164569528184742</v>
      </c>
      <c r="DU37" s="7">
        <f t="shared" si="131"/>
        <v>78.083537372277277</v>
      </c>
      <c r="DV37" s="7">
        <f t="shared" si="131"/>
        <v>79.323427951778498</v>
      </c>
      <c r="DW37" s="7">
        <f t="shared" si="131"/>
        <v>77.965898489961631</v>
      </c>
      <c r="DX37" s="7">
        <f t="shared" si="131"/>
        <v>77.819660814081587</v>
      </c>
      <c r="DY37" s="7">
        <f t="shared" si="131"/>
        <v>73.720035944280909</v>
      </c>
      <c r="DZ37" s="7">
        <f t="shared" si="131"/>
        <v>77.911819027378556</v>
      </c>
      <c r="EA37" s="7">
        <f t="shared" si="131"/>
        <v>78.079482016795296</v>
      </c>
      <c r="EB37" s="7">
        <f t="shared" si="131"/>
        <v>74.070843170136968</v>
      </c>
      <c r="EC37" s="7">
        <f t="shared" si="131"/>
        <v>78.122349868730197</v>
      </c>
      <c r="ED37" s="7">
        <f t="shared" si="131"/>
        <v>74.862987058212582</v>
      </c>
      <c r="EE37" s="7">
        <f t="shared" si="131"/>
        <v>76.836077402953961</v>
      </c>
      <c r="EF37" s="7">
        <f t="shared" si="131"/>
        <v>77.875774909965187</v>
      </c>
      <c r="EG37" s="7" t="e">
        <f t="shared" si="131"/>
        <v>#DIV/0!</v>
      </c>
      <c r="EH37" s="7">
        <f t="shared" si="131"/>
        <v>77.999188342415223</v>
      </c>
      <c r="EI37" s="7">
        <f t="shared" si="131"/>
        <v>74.499469055291001</v>
      </c>
      <c r="EJ37" s="7">
        <f t="shared" si="131"/>
        <v>80.465641941378351</v>
      </c>
      <c r="EK37" s="7"/>
      <c r="EL37" s="7">
        <f t="shared" si="131"/>
        <v>66.72233417631314</v>
      </c>
      <c r="EM37" s="7">
        <f t="shared" si="131"/>
        <v>63.39726298563086</v>
      </c>
      <c r="EN37" s="7"/>
      <c r="EO37" s="7"/>
      <c r="EP37" s="7"/>
      <c r="EQ37" s="7">
        <f t="shared" ref="EQ37:EW37" si="132">(EQ28/40.304)*100/(EQ28/40.304+EQ27/71.846)</f>
        <v>71.065379369368145</v>
      </c>
      <c r="ER37" s="7">
        <f t="shared" si="132"/>
        <v>70.736117417569744</v>
      </c>
      <c r="ES37" s="7">
        <f t="shared" si="132"/>
        <v>70.946477749904219</v>
      </c>
      <c r="ET37" s="6">
        <f t="shared" si="132"/>
        <v>64.594804286126106</v>
      </c>
      <c r="EU37" s="6">
        <f t="shared" si="132"/>
        <v>60.310701734408461</v>
      </c>
      <c r="EV37" s="6">
        <f t="shared" si="132"/>
        <v>61.051875618124207</v>
      </c>
      <c r="EW37" s="6">
        <f t="shared" si="132"/>
        <v>59.038479356298787</v>
      </c>
      <c r="EX37" s="7"/>
      <c r="EY37" s="7"/>
      <c r="EZ37" s="7"/>
      <c r="FD37" s="33">
        <v>63.876719167974784</v>
      </c>
      <c r="FH37" s="7">
        <f>(FH28/40.304)*100/(FH28/40.304+FH27/71.846)</f>
        <v>60.546698549426907</v>
      </c>
      <c r="FI37" s="7"/>
      <c r="FJ37" s="7">
        <f>(FJ28/40.304)*100/(FJ28/40.304+FJ27/71.846)</f>
        <v>60.546698549426907</v>
      </c>
    </row>
    <row r="38" spans="1:166" ht="11.1" customHeight="1" x14ac:dyDescent="0.2">
      <c r="T38">
        <f t="shared" si="4"/>
        <v>0</v>
      </c>
      <c r="AR38" s="41"/>
      <c r="AZ38" s="41"/>
      <c r="BC38" s="41"/>
      <c r="BD38" s="41"/>
      <c r="BZ38" s="41"/>
      <c r="CG38" s="41"/>
      <c r="CH38" s="41"/>
      <c r="CP38" s="41"/>
      <c r="CQ38" s="41"/>
      <c r="CR38" s="41"/>
      <c r="CX38" s="41"/>
      <c r="CY38" s="41"/>
      <c r="CZ38" s="41"/>
      <c r="DA38" s="41"/>
      <c r="EL38" s="41"/>
      <c r="EM38" s="41"/>
    </row>
    <row r="39" spans="1:166" ht="11.1" customHeight="1" x14ac:dyDescent="0.2">
      <c r="T39">
        <f t="shared" si="4"/>
        <v>0</v>
      </c>
      <c r="AR39" s="41"/>
      <c r="AZ39" s="41"/>
      <c r="BC39" s="41"/>
      <c r="BD39" s="41"/>
      <c r="BZ39" s="41"/>
      <c r="CG39" s="41"/>
      <c r="CH39" s="41"/>
      <c r="CP39" s="41"/>
      <c r="CQ39" s="41"/>
      <c r="CR39" s="41"/>
      <c r="CX39" s="41"/>
      <c r="CY39" s="41"/>
      <c r="CZ39" s="41"/>
      <c r="DA39" s="41"/>
      <c r="EL39" s="41"/>
      <c r="EM39" s="41"/>
    </row>
    <row r="40" spans="1:166" s="33" customFormat="1" ht="11.1" customHeight="1" x14ac:dyDescent="0.2">
      <c r="A40" s="78" t="s">
        <v>784</v>
      </c>
      <c r="B40" s="8">
        <f>(B56-B$119*B117)/(1-B$119)</f>
        <v>857.97909622489306</v>
      </c>
      <c r="C40" s="8">
        <f t="shared" ref="C40:I40" si="133">(C56-C$119*C117)/(1-C$119)</f>
        <v>506.06280641442692</v>
      </c>
      <c r="D40" s="8">
        <f t="shared" si="133"/>
        <v>869.48489426018841</v>
      </c>
      <c r="E40" s="8">
        <f t="shared" si="133"/>
        <v>818.20384849081847</v>
      </c>
      <c r="F40" s="8">
        <f t="shared" si="133"/>
        <v>465.26394471093806</v>
      </c>
      <c r="G40" s="8">
        <f t="shared" si="133"/>
        <v>622.3510161806829</v>
      </c>
      <c r="H40" s="8">
        <f t="shared" si="133"/>
        <v>422.57231433246858</v>
      </c>
      <c r="I40" s="8">
        <f t="shared" si="133"/>
        <v>506.64060510973502</v>
      </c>
      <c r="J40" s="8">
        <f>AVERAGE(H40:I40)</f>
        <v>464.60645972110183</v>
      </c>
      <c r="K40" s="8">
        <f t="shared" ref="K40:AB40" si="134">(K56-K$119*K117)/(1-K$119)</f>
        <v>1064.7298985753393</v>
      </c>
      <c r="L40" s="8">
        <f t="shared" si="134"/>
        <v>606.01573998793469</v>
      </c>
      <c r="M40" s="8">
        <f t="shared" si="134"/>
        <v>716.20924268287854</v>
      </c>
      <c r="N40" s="8">
        <f t="shared" si="134"/>
        <v>534.07281945931777</v>
      </c>
      <c r="O40" s="8">
        <f t="shared" si="134"/>
        <v>504.54716382837097</v>
      </c>
      <c r="P40" s="8">
        <f t="shared" si="134"/>
        <v>424.20400000000001</v>
      </c>
      <c r="Q40" s="8">
        <f t="shared" si="134"/>
        <v>1431.1246716628264</v>
      </c>
      <c r="R40" s="8">
        <f t="shared" si="134"/>
        <v>1830.8957506936536</v>
      </c>
      <c r="S40" s="8">
        <f t="shared" si="134"/>
        <v>2047.2036030816546</v>
      </c>
      <c r="T40" s="8">
        <f t="shared" si="4"/>
        <v>1967.836433626514</v>
      </c>
      <c r="U40" s="8">
        <f t="shared" si="134"/>
        <v>1790.2091576585763</v>
      </c>
      <c r="V40" s="8">
        <f t="shared" si="134"/>
        <v>1735.2387137590999</v>
      </c>
      <c r="W40" s="8">
        <f t="shared" si="134"/>
        <v>1622.3958924068036</v>
      </c>
      <c r="X40" s="8">
        <f t="shared" si="134"/>
        <v>1884.8438202286022</v>
      </c>
      <c r="Y40" s="8">
        <f t="shared" si="134"/>
        <v>1788.5575827749813</v>
      </c>
      <c r="Z40" s="8">
        <f t="shared" si="134"/>
        <v>1652.4963671805779</v>
      </c>
      <c r="AA40" s="8">
        <f t="shared" si="134"/>
        <v>1988.9466774935718</v>
      </c>
      <c r="AB40" s="8">
        <f t="shared" si="134"/>
        <v>1632.7949565313738</v>
      </c>
      <c r="AC40" s="8">
        <f>(AC56-AC$119*AC117)/(1-AC$119)</f>
        <v>1925.4613947470398</v>
      </c>
      <c r="AE40" s="8">
        <f>(AE56-AE$119*AE117)/(1-AE$119)</f>
        <v>1227.2530814920085</v>
      </c>
      <c r="AI40" s="8">
        <f t="shared" ref="AI40:AZ40" si="135">(AI56-AI$119*AI117)/(1-AI$119)</f>
        <v>592.86719821670602</v>
      </c>
      <c r="AJ40" s="8" t="e">
        <f t="shared" si="135"/>
        <v>#VALUE!</v>
      </c>
      <c r="AK40" s="8">
        <f t="shared" si="135"/>
        <v>692.39658309658694</v>
      </c>
      <c r="AL40" s="8">
        <f t="shared" si="135"/>
        <v>2782.3676477487043</v>
      </c>
      <c r="AM40" s="8">
        <f t="shared" si="135"/>
        <v>851.75096506017792</v>
      </c>
      <c r="AN40" s="8">
        <f t="shared" si="135"/>
        <v>4043.4239300218683</v>
      </c>
      <c r="AO40" s="8">
        <f t="shared" si="135"/>
        <v>3477.7170824123777</v>
      </c>
      <c r="AP40" s="8">
        <f t="shared" si="135"/>
        <v>2673.2112524515951</v>
      </c>
      <c r="AQ40" s="8">
        <f t="shared" si="135"/>
        <v>490.1428503958515</v>
      </c>
      <c r="AR40" s="8">
        <f t="shared" si="135"/>
        <v>454.22370657145785</v>
      </c>
      <c r="AS40" s="8">
        <f t="shared" si="135"/>
        <v>3450.5220992232289</v>
      </c>
      <c r="AT40" s="8">
        <f t="shared" si="135"/>
        <v>1563.1918434643253</v>
      </c>
      <c r="AU40" s="8">
        <f t="shared" si="135"/>
        <v>341.90420307326275</v>
      </c>
      <c r="AV40" s="8">
        <f t="shared" si="135"/>
        <v>2861.9620656110956</v>
      </c>
      <c r="AW40" s="8">
        <f t="shared" si="135"/>
        <v>965.3360224103759</v>
      </c>
      <c r="AX40" s="8">
        <f t="shared" si="135"/>
        <v>1555.0344743520038</v>
      </c>
      <c r="AY40" s="8">
        <f t="shared" si="135"/>
        <v>2234.0652941668754</v>
      </c>
      <c r="AZ40" s="8">
        <f t="shared" si="135"/>
        <v>1387.4907397386573</v>
      </c>
      <c r="BA40" s="8">
        <f>(BA56-BA$119*BA390)/(1-BA$119)</f>
        <v>2100.7094517012733</v>
      </c>
      <c r="BB40" s="8">
        <f t="shared" ref="BB40:BW40" si="136">(BB56-BB$119*BB117)/(1-BB$119)</f>
        <v>3023.5641579618291</v>
      </c>
      <c r="BC40" s="8">
        <f t="shared" si="136"/>
        <v>1426.2036965346001</v>
      </c>
      <c r="BD40" s="8">
        <f t="shared" si="136"/>
        <v>734.14559800441134</v>
      </c>
      <c r="BE40" s="8">
        <f t="shared" si="136"/>
        <v>712.15421100783749</v>
      </c>
      <c r="BF40" s="8">
        <f t="shared" si="136"/>
        <v>1956.6541953253902</v>
      </c>
      <c r="BG40" s="8">
        <f t="shared" si="136"/>
        <v>1040.8223321029404</v>
      </c>
      <c r="BH40" s="8">
        <f t="shared" si="136"/>
        <v>1043.2901161811753</v>
      </c>
      <c r="BI40" s="8">
        <f>(BI56-BI$119*BI117)/(1-BI$119)</f>
        <v>708.12663072744886</v>
      </c>
      <c r="BJ40" s="8">
        <f>(BJ56-BJ$119*BJ117)/(1-BJ$119)</f>
        <v>580.31050609751151</v>
      </c>
      <c r="BK40" s="8">
        <f>(BK56-BK$119*BK117)/(1-BK$119)</f>
        <v>701.04738799393067</v>
      </c>
      <c r="BL40" s="8">
        <f>(BL56-BL$119*BL117)/(1-BL$119)</f>
        <v>884.14750150980353</v>
      </c>
      <c r="BM40" s="8">
        <f>(BM56-BM$119*BM117)/(1-BM$119)</f>
        <v>638.2579752857755</v>
      </c>
      <c r="BN40" s="8">
        <f t="shared" si="136"/>
        <v>3524.5196169429119</v>
      </c>
      <c r="BO40" s="8">
        <f t="shared" si="136"/>
        <v>4077.5591903584627</v>
      </c>
      <c r="BP40" s="8">
        <f t="shared" si="136"/>
        <v>3801.0403498671385</v>
      </c>
      <c r="BQ40" s="8">
        <f t="shared" si="136"/>
        <v>2902.9941661356033</v>
      </c>
      <c r="BR40" s="8">
        <f t="shared" si="136"/>
        <v>2510.5887571562266</v>
      </c>
      <c r="BS40" s="8">
        <f t="shared" si="136"/>
        <v>0</v>
      </c>
      <c r="BT40" s="8">
        <f t="shared" si="136"/>
        <v>3560.2698588921544</v>
      </c>
      <c r="BU40" s="8">
        <f t="shared" si="136"/>
        <v>2676.9498419955621</v>
      </c>
      <c r="BV40" s="8">
        <f t="shared" si="136"/>
        <v>2915.789087239968</v>
      </c>
      <c r="BW40" s="8">
        <f t="shared" si="136"/>
        <v>1992.5674742974315</v>
      </c>
      <c r="BX40" s="8"/>
      <c r="BY40" s="8"/>
      <c r="BZ40" s="8">
        <f t="shared" ref="BZ40:CF40" si="137">(BZ56-BZ$119*BZ117)/(1-BZ$119)</f>
        <v>745.0089040544317</v>
      </c>
      <c r="CA40" s="8">
        <f t="shared" si="137"/>
        <v>574.77763976903816</v>
      </c>
      <c r="CB40" s="8">
        <f t="shared" si="137"/>
        <v>332.17146495373282</v>
      </c>
      <c r="CC40" s="8">
        <f t="shared" si="137"/>
        <v>4353.0538009604579</v>
      </c>
      <c r="CD40" s="8">
        <f t="shared" si="137"/>
        <v>474.25204093636228</v>
      </c>
      <c r="CE40" s="8">
        <f t="shared" si="137"/>
        <v>528.77836480374742</v>
      </c>
      <c r="CF40" s="8">
        <f t="shared" si="137"/>
        <v>323.59530568296606</v>
      </c>
      <c r="CG40" s="8">
        <f t="shared" ref="CG40:CL40" si="138">(CG56-CG$119*CG117)/(1-CG$119)</f>
        <v>467.3710595779653</v>
      </c>
      <c r="CH40" s="8">
        <f t="shared" si="138"/>
        <v>484.6078561070866</v>
      </c>
      <c r="CI40" s="8">
        <f t="shared" si="138"/>
        <v>1018.3117197254711</v>
      </c>
      <c r="CJ40" s="8">
        <f t="shared" si="138"/>
        <v>543.58341242737447</v>
      </c>
      <c r="CK40" s="8">
        <f t="shared" si="138"/>
        <v>826.63512706342317</v>
      </c>
      <c r="CL40" s="8">
        <f t="shared" si="138"/>
        <v>1340.3633076386268</v>
      </c>
      <c r="CM40" s="8">
        <f t="shared" ref="CM40:DA40" si="139">(CM56-CM$119*CM117)/(1-CM$119)</f>
        <v>1930.6261923578538</v>
      </c>
      <c r="CN40" s="8" t="e">
        <f t="shared" si="139"/>
        <v>#REF!</v>
      </c>
      <c r="CO40" s="8">
        <f t="shared" si="139"/>
        <v>1583.0003990921839</v>
      </c>
      <c r="CP40" s="8">
        <f>(CP56-CP$119*CP117)/(1-CP$119)</f>
        <v>913.2514504098167</v>
      </c>
      <c r="CQ40" s="8">
        <f>(CQ56-CQ$119*CQ117)/(1-CQ$119)</f>
        <v>1242.7068469943106</v>
      </c>
      <c r="CR40" s="8">
        <f>(CR56-CR$119*CR117)/(1-CR$119)</f>
        <v>580.31050609751151</v>
      </c>
      <c r="CS40" s="8">
        <f>(CS56-CS$119*CS117)/(1-CS$119)</f>
        <v>844.63976669648139</v>
      </c>
      <c r="CT40" s="8">
        <f t="shared" si="139"/>
        <v>1459.9383064222161</v>
      </c>
      <c r="CU40" s="8">
        <f t="shared" si="139"/>
        <v>1318.5849760742581</v>
      </c>
      <c r="CV40" s="8">
        <f t="shared" si="139"/>
        <v>919.12321952030345</v>
      </c>
      <c r="CW40" s="8">
        <f t="shared" si="139"/>
        <v>1441.7707900805844</v>
      </c>
      <c r="CX40" s="8">
        <f t="shared" si="139"/>
        <v>518.81130620491126</v>
      </c>
      <c r="CY40" s="8">
        <f t="shared" si="139"/>
        <v>1077.8532944400552</v>
      </c>
      <c r="CZ40" s="8">
        <f t="shared" si="139"/>
        <v>397.94098102772136</v>
      </c>
      <c r="DA40" s="8">
        <f t="shared" si="139"/>
        <v>583.63704568686444</v>
      </c>
      <c r="DE40"/>
      <c r="DI40"/>
      <c r="DJ40"/>
      <c r="DK40"/>
      <c r="DL40"/>
      <c r="DM40"/>
      <c r="DV40" s="8">
        <f t="shared" ref="DV40:EM40" si="140">(DV56-DV$119*DV117)/(1-DV$119)</f>
        <v>621.32184890204303</v>
      </c>
      <c r="DW40" s="8">
        <f t="shared" si="140"/>
        <v>494.40299057076277</v>
      </c>
      <c r="DX40" s="8">
        <f t="shared" si="140"/>
        <v>520.58491537313591</v>
      </c>
      <c r="DY40" s="8">
        <f t="shared" si="140"/>
        <v>0</v>
      </c>
      <c r="DZ40" s="8">
        <f t="shared" si="140"/>
        <v>498.70866080564883</v>
      </c>
      <c r="EA40" s="8">
        <f t="shared" si="140"/>
        <v>498.16029491626796</v>
      </c>
      <c r="EB40" s="8">
        <f t="shared" si="140"/>
        <v>0</v>
      </c>
      <c r="EC40" s="8">
        <f t="shared" si="140"/>
        <v>479.18407170222724</v>
      </c>
      <c r="ED40" s="8">
        <f t="shared" si="140"/>
        <v>0</v>
      </c>
      <c r="EE40" s="8">
        <f t="shared" si="140"/>
        <v>0</v>
      </c>
      <c r="EF40" s="8">
        <f t="shared" si="140"/>
        <v>494.92971254818593</v>
      </c>
      <c r="EG40" s="8">
        <f t="shared" si="140"/>
        <v>0</v>
      </c>
      <c r="EH40" s="8">
        <f t="shared" si="140"/>
        <v>598.5486414001108</v>
      </c>
      <c r="EI40" s="8">
        <f t="shared" si="140"/>
        <v>0</v>
      </c>
      <c r="EJ40" s="8">
        <f t="shared" si="140"/>
        <v>562.77282648611811</v>
      </c>
      <c r="EK40" s="8"/>
      <c r="EL40" s="8">
        <f t="shared" si="140"/>
        <v>438.57324921961981</v>
      </c>
      <c r="EM40" s="8">
        <f t="shared" si="140"/>
        <v>478.26149091098449</v>
      </c>
      <c r="EQ40" s="8">
        <f t="shared" ref="EQ40:EW40" si="141">(EQ56-EQ$119*EQ117)/(1-EQ$119)</f>
        <v>738.6016394803795</v>
      </c>
      <c r="ER40" s="8">
        <f t="shared" si="141"/>
        <v>789.25690565173329</v>
      </c>
      <c r="ES40" s="8">
        <f t="shared" si="141"/>
        <v>732.01190161971988</v>
      </c>
      <c r="ET40" s="8">
        <f t="shared" si="141"/>
        <v>356.41145253415596</v>
      </c>
      <c r="EU40" s="8">
        <f t="shared" si="141"/>
        <v>329.02957098993608</v>
      </c>
      <c r="EV40" s="8">
        <f t="shared" si="141"/>
        <v>311.11125678327568</v>
      </c>
      <c r="EW40" s="8">
        <f t="shared" si="141"/>
        <v>679.4706770336237</v>
      </c>
      <c r="EX40" s="8"/>
      <c r="EY40" s="8"/>
      <c r="FD40" s="33">
        <v>918.92254296103783</v>
      </c>
      <c r="FH40" s="8">
        <f>(FH56-FH$119*FH117)/(1-FH$119)</f>
        <v>1018.256923228515</v>
      </c>
      <c r="FI40" s="8"/>
      <c r="FJ40" s="8">
        <f>(FJ56-FJ$119*FJ117)/(1-FJ$119)</f>
        <v>1214.0417714248174</v>
      </c>
    </row>
    <row r="41" spans="1:166" ht="11.1" customHeight="1" x14ac:dyDescent="0.2">
      <c r="A41" s="78" t="s">
        <v>971</v>
      </c>
      <c r="B41" s="6">
        <f>(B55-B$119*B116)/(1-B$119)</f>
        <v>9.0795291938991074</v>
      </c>
      <c r="C41" s="6">
        <f t="shared" ref="C41:I41" si="142">(C55-C$119*C116)/(1-C$119)</f>
        <v>7.4847009694352087</v>
      </c>
      <c r="D41" s="6">
        <f t="shared" si="142"/>
        <v>12.982357720382275</v>
      </c>
      <c r="E41" s="6">
        <f t="shared" si="142"/>
        <v>12.041909120358579</v>
      </c>
      <c r="F41" s="6">
        <f t="shared" si="142"/>
        <v>6.6139283799181765</v>
      </c>
      <c r="G41" s="6">
        <f t="shared" si="142"/>
        <v>9.7899372347877716</v>
      </c>
      <c r="H41" s="6">
        <f t="shared" si="142"/>
        <v>6.2807807222494434</v>
      </c>
      <c r="I41" s="6">
        <f t="shared" si="142"/>
        <v>6.8908986503195582</v>
      </c>
      <c r="J41" s="6">
        <f>AVERAGE(H41:I41)</f>
        <v>6.5858396862845012</v>
      </c>
      <c r="K41" s="6">
        <f t="shared" ref="K41:AB41" si="143">(K55-K$119*K116)/(1-K$119)</f>
        <v>12.834925712615499</v>
      </c>
      <c r="L41" s="6">
        <f t="shared" si="143"/>
        <v>8.6001854113997087</v>
      </c>
      <c r="M41" s="6">
        <f t="shared" si="143"/>
        <v>9.1396875956872385</v>
      </c>
      <c r="N41" s="6">
        <f t="shared" si="143"/>
        <v>5.4363352159492644</v>
      </c>
      <c r="O41" s="6">
        <f t="shared" si="143"/>
        <v>6.658450367394491</v>
      </c>
      <c r="P41" s="6">
        <f t="shared" si="143"/>
        <v>0</v>
      </c>
      <c r="Q41" s="6">
        <f t="shared" si="143"/>
        <v>19.876072865722506</v>
      </c>
      <c r="R41" s="6">
        <f t="shared" si="143"/>
        <v>25.730962819602084</v>
      </c>
      <c r="S41" s="6">
        <f t="shared" si="143"/>
        <v>32.656982809717981</v>
      </c>
      <c r="T41" s="6">
        <f t="shared" si="4"/>
        <v>30.115703812508016</v>
      </c>
      <c r="U41" s="6">
        <f t="shared" si="143"/>
        <v>34.452974369433683</v>
      </c>
      <c r="V41" s="6">
        <f t="shared" si="143"/>
        <v>55.43292693949406</v>
      </c>
      <c r="W41" s="6">
        <f t="shared" si="143"/>
        <v>42.300529644535466</v>
      </c>
      <c r="X41" s="6">
        <f t="shared" si="143"/>
        <v>40.78886698032256</v>
      </c>
      <c r="Y41" s="6">
        <f t="shared" si="143"/>
        <v>41.343461986822312</v>
      </c>
      <c r="Z41" s="6">
        <f t="shared" si="143"/>
        <v>87.117508417508418</v>
      </c>
      <c r="AA41" s="6">
        <f t="shared" si="143"/>
        <v>96.639262417106508</v>
      </c>
      <c r="AB41" s="6">
        <f t="shared" si="143"/>
        <v>94.438503374305782</v>
      </c>
      <c r="AC41" s="6">
        <f>(AC55-AC$119*AC116)/(1-AC$119)</f>
        <v>58.282018156489876</v>
      </c>
      <c r="AE41" s="6">
        <f>(AE55-AE$119*AE116)/(1-AE$119)</f>
        <v>21.724555935208166</v>
      </c>
      <c r="AI41" s="6">
        <f t="shared" ref="AI41:BW41" si="144">(AI55-AI$119*AI116)/(1-AI$119)</f>
        <v>7.8895304365492418</v>
      </c>
      <c r="AJ41" s="6">
        <f t="shared" si="144"/>
        <v>5.9307797307344083</v>
      </c>
      <c r="AK41" s="6">
        <f t="shared" si="144"/>
        <v>10.457268033645255</v>
      </c>
      <c r="AL41" s="6">
        <f t="shared" si="144"/>
        <v>54.143467645054436</v>
      </c>
      <c r="AM41" s="6">
        <f t="shared" si="144"/>
        <v>11.91304498636357</v>
      </c>
      <c r="AN41" s="6">
        <f t="shared" si="144"/>
        <v>50.838425492033736</v>
      </c>
      <c r="AO41" s="6">
        <f t="shared" si="144"/>
        <v>53.192478686454052</v>
      </c>
      <c r="AP41" s="6">
        <f t="shared" si="144"/>
        <v>58.707414639504719</v>
      </c>
      <c r="AQ41" s="6">
        <f t="shared" si="144"/>
        <v>7.003819475231043</v>
      </c>
      <c r="AR41" s="6">
        <f t="shared" si="144"/>
        <v>7.0952896404635606</v>
      </c>
      <c r="AS41" s="6">
        <f t="shared" si="144"/>
        <v>34.812509929232625</v>
      </c>
      <c r="AT41" s="6">
        <f t="shared" si="144"/>
        <v>18.840995351070564</v>
      </c>
      <c r="AU41" s="6">
        <f t="shared" si="144"/>
        <v>4.8680231384789279</v>
      </c>
      <c r="AV41" s="6">
        <f t="shared" si="144"/>
        <v>47.033487394655118</v>
      </c>
      <c r="AW41" s="6">
        <f t="shared" si="144"/>
        <v>11.527224540629854</v>
      </c>
      <c r="AX41" s="6">
        <f t="shared" si="144"/>
        <v>21.298187875337408</v>
      </c>
      <c r="AY41" s="6">
        <f t="shared" si="144"/>
        <v>57.334143442965939</v>
      </c>
      <c r="AZ41" s="6">
        <f t="shared" si="144"/>
        <v>13.103760546372829</v>
      </c>
      <c r="BA41" s="6">
        <f t="shared" si="144"/>
        <v>30.189730205928278</v>
      </c>
      <c r="BB41" s="6">
        <f t="shared" si="144"/>
        <v>65.465494798316811</v>
      </c>
      <c r="BC41" s="6">
        <f t="shared" si="144"/>
        <v>20.272800760798773</v>
      </c>
      <c r="BD41" s="6">
        <f t="shared" si="144"/>
        <v>9.4160449249197171</v>
      </c>
      <c r="BE41" s="6">
        <f t="shared" si="144"/>
        <v>10.398511002340415</v>
      </c>
      <c r="BF41" s="6">
        <f t="shared" si="144"/>
        <v>25.688531187019908</v>
      </c>
      <c r="BG41" s="6">
        <f t="shared" si="144"/>
        <v>15.605330460636802</v>
      </c>
      <c r="BH41" s="6">
        <f t="shared" si="144"/>
        <v>8.2801481730931119</v>
      </c>
      <c r="BI41" s="6">
        <f>(BI55-BI$119*BI116)/(1-BI$119)</f>
        <v>9.1592733597910616</v>
      </c>
      <c r="BJ41" s="6">
        <f>(BJ55-BJ$119*BJ116)/(1-BJ$119)</f>
        <v>8.1154852717439656</v>
      </c>
      <c r="BK41" s="6">
        <f>(BK55-BK$119*BK116)/(1-BK$119)</f>
        <v>10.450932264621258</v>
      </c>
      <c r="BL41" s="6">
        <f>(BL55-BL$119*BL116)/(1-BL$119)</f>
        <v>13.006073774724079</v>
      </c>
      <c r="BM41" s="6">
        <f>(BM55-BM$119*BM116)/(1-BM$119)</f>
        <v>10.364378125798282</v>
      </c>
      <c r="BN41" s="6">
        <f t="shared" si="144"/>
        <v>39.97115815795636</v>
      </c>
      <c r="BO41" s="6">
        <f t="shared" si="144"/>
        <v>37.745816286748827</v>
      </c>
      <c r="BP41" s="6">
        <f t="shared" si="144"/>
        <v>38.858483414930497</v>
      </c>
      <c r="BQ41" s="6">
        <f t="shared" si="144"/>
        <v>37.908475944635789</v>
      </c>
      <c r="BR41" s="6">
        <f t="shared" si="144"/>
        <v>22.502736631490624</v>
      </c>
      <c r="BS41" s="6">
        <f t="shared" si="144"/>
        <v>0</v>
      </c>
      <c r="BT41" s="6">
        <f t="shared" si="144"/>
        <v>25.710149398751824</v>
      </c>
      <c r="BU41" s="6">
        <f t="shared" si="144"/>
        <v>23.202017077926442</v>
      </c>
      <c r="BV41" s="6">
        <f t="shared" si="144"/>
        <v>23.804528207505992</v>
      </c>
      <c r="BW41" s="6">
        <f t="shared" si="144"/>
        <v>35.783839594123805</v>
      </c>
      <c r="BX41" s="6"/>
      <c r="BY41" s="6"/>
      <c r="BZ41" s="6">
        <f t="shared" ref="BZ41:CF41" si="145">(BZ55-BZ$119*BZ116)/(1-BZ$119)</f>
        <v>9.5302805991864137</v>
      </c>
      <c r="CA41" s="6">
        <f t="shared" si="145"/>
        <v>7.6287812855109554</v>
      </c>
      <c r="CB41" s="6">
        <f t="shared" si="145"/>
        <v>5.3114219012090436</v>
      </c>
      <c r="CC41" s="6">
        <f t="shared" si="145"/>
        <v>37.338441299683254</v>
      </c>
      <c r="CD41" s="6">
        <f t="shared" si="145"/>
        <v>5.2046030974003523</v>
      </c>
      <c r="CE41" s="6">
        <f t="shared" si="145"/>
        <v>4.8155604968635668</v>
      </c>
      <c r="CF41" s="6">
        <f t="shared" si="145"/>
        <v>4.9376481006068298</v>
      </c>
      <c r="CG41" s="6">
        <f t="shared" ref="CG41:CL41" si="146">(CG55-CG$119*CG116)/(1-CG$119)</f>
        <v>6.8145834226585134</v>
      </c>
      <c r="CH41" s="6">
        <f t="shared" si="146"/>
        <v>7.0659074733884744</v>
      </c>
      <c r="CI41" s="6">
        <f t="shared" si="146"/>
        <v>26.966097024533827</v>
      </c>
      <c r="CJ41" s="6">
        <f t="shared" si="146"/>
        <v>7.9176509564060602</v>
      </c>
      <c r="CK41" s="6">
        <f t="shared" si="146"/>
        <v>12.489952642112451</v>
      </c>
      <c r="CL41" s="6">
        <f t="shared" si="146"/>
        <v>17.022934683040688</v>
      </c>
      <c r="CM41" s="6">
        <f t="shared" ref="CM41:DA41" si="147">(CM55-CM$119*CM116)/(1-CM$119)</f>
        <v>28.033551473783223</v>
      </c>
      <c r="CN41" s="6" t="e">
        <f t="shared" si="147"/>
        <v>#REF!</v>
      </c>
      <c r="CO41" s="6">
        <f t="shared" si="147"/>
        <v>32.019596229613306</v>
      </c>
      <c r="CP41" s="6">
        <f>(CP55-CP$119*CP116)/(1-CP$119)</f>
        <v>14.811929994258259</v>
      </c>
      <c r="CQ41" s="6">
        <f>(CQ55-CQ$119*CQ116)/(1-CQ$119)</f>
        <v>11.726870249332528</v>
      </c>
      <c r="CR41" s="6">
        <f>(CR55-CR$119*CR116)/(1-CR$119)</f>
        <v>8.1154852717439656</v>
      </c>
      <c r="CS41" s="6">
        <f>(CS55-CS$119*CS116)/(1-CS$119)</f>
        <v>12.323086377828066</v>
      </c>
      <c r="CT41" s="6">
        <f t="shared" si="147"/>
        <v>18.822235508599626</v>
      </c>
      <c r="CU41" s="6">
        <f t="shared" si="147"/>
        <v>16.730560427807969</v>
      </c>
      <c r="CV41" s="6">
        <f t="shared" si="147"/>
        <v>25.558055811319019</v>
      </c>
      <c r="CW41" s="6">
        <f t="shared" si="147"/>
        <v>28.289671964022112</v>
      </c>
      <c r="CX41" s="6">
        <f t="shared" si="147"/>
        <v>7.1530205190202114</v>
      </c>
      <c r="CY41" s="6">
        <f t="shared" si="147"/>
        <v>12.706752469286437</v>
      </c>
      <c r="CZ41" s="6">
        <f t="shared" si="147"/>
        <v>5.2875466825307669</v>
      </c>
      <c r="DA41" s="6">
        <f t="shared" si="147"/>
        <v>7.87881042701573</v>
      </c>
      <c r="DN41" s="32"/>
      <c r="DO41" s="32"/>
      <c r="DP41" s="32"/>
      <c r="DQ41" s="32"/>
      <c r="DR41" s="32"/>
      <c r="DV41" s="6">
        <f t="shared" ref="DV41:EM41" si="148">(DV55-DV$119*DV116)/(1-DV$119)</f>
        <v>4.8605191218347548</v>
      </c>
      <c r="DW41" s="6">
        <f t="shared" si="148"/>
        <v>4.6808423954499121</v>
      </c>
      <c r="DX41" s="6">
        <f t="shared" si="148"/>
        <v>4.8449325761494562</v>
      </c>
      <c r="DY41" s="6">
        <f t="shared" si="148"/>
        <v>0</v>
      </c>
      <c r="DZ41" s="6">
        <f t="shared" si="148"/>
        <v>4.7960987265411958</v>
      </c>
      <c r="EA41" s="6">
        <f t="shared" si="148"/>
        <v>4.6121971579179455</v>
      </c>
      <c r="EB41" s="6">
        <f t="shared" si="148"/>
        <v>0</v>
      </c>
      <c r="EC41" s="6">
        <f t="shared" si="148"/>
        <v>4.7399155583101988</v>
      </c>
      <c r="ED41" s="6">
        <f t="shared" si="148"/>
        <v>0</v>
      </c>
      <c r="EE41" s="6">
        <f t="shared" si="148"/>
        <v>0</v>
      </c>
      <c r="EF41" s="6">
        <f t="shared" si="148"/>
        <v>4.8648819709185949</v>
      </c>
      <c r="EG41" s="6">
        <f t="shared" si="148"/>
        <v>0</v>
      </c>
      <c r="EH41" s="6">
        <f t="shared" si="148"/>
        <v>4.7666436627716413</v>
      </c>
      <c r="EI41" s="6">
        <f t="shared" si="148"/>
        <v>0</v>
      </c>
      <c r="EJ41" s="6">
        <f t="shared" si="148"/>
        <v>4.3398745146727045</v>
      </c>
      <c r="EK41" s="6"/>
      <c r="EL41" s="6">
        <f t="shared" si="148"/>
        <v>6.5774334024579248</v>
      </c>
      <c r="EM41" s="6">
        <f t="shared" si="148"/>
        <v>6.9042661443127384</v>
      </c>
      <c r="EQ41" s="6">
        <f t="shared" ref="EQ41:EW41" si="149">(EQ55-EQ$119*EQ116)/(1-EQ$119)</f>
        <v>9.9541635840186711</v>
      </c>
      <c r="ER41" s="6">
        <f t="shared" si="149"/>
        <v>8.8255426687171745</v>
      </c>
      <c r="ES41" s="6">
        <f t="shared" si="149"/>
        <v>9.2631173554954742</v>
      </c>
      <c r="ET41" s="6">
        <f t="shared" si="149"/>
        <v>5.2808987242034497</v>
      </c>
      <c r="EU41" s="6">
        <f t="shared" si="149"/>
        <v>6.2256563243221077</v>
      </c>
      <c r="EV41" s="6">
        <f t="shared" si="149"/>
        <v>4.438687302909031</v>
      </c>
      <c r="EW41" s="6">
        <f t="shared" si="149"/>
        <v>11.794653622177465</v>
      </c>
      <c r="EX41" s="6"/>
      <c r="EY41" s="6"/>
      <c r="FD41">
        <v>25.620731384760674</v>
      </c>
      <c r="FH41" s="6">
        <f>(FH55-FH$119*FH116)/(1-FH$119)</f>
        <v>12.643499436497123</v>
      </c>
      <c r="FI41" s="6"/>
      <c r="FJ41" s="6">
        <f>(FJ55-FJ$119*FJ116)/(1-FJ$119)</f>
        <v>15.074522060920859</v>
      </c>
    </row>
    <row r="42" spans="1:166" ht="11.1" customHeight="1" x14ac:dyDescent="0.2">
      <c r="A42" s="13" t="s">
        <v>1113</v>
      </c>
      <c r="B42" s="33">
        <f>B40/B41</f>
        <v>94.495989593976191</v>
      </c>
      <c r="C42" s="33">
        <f t="shared" ref="C42:I42" si="150">C40/C41</f>
        <v>67.612962559359815</v>
      </c>
      <c r="D42" s="33">
        <f t="shared" si="150"/>
        <v>66.974344182112532</v>
      </c>
      <c r="E42" s="33">
        <f t="shared" si="150"/>
        <v>67.946356371974872</v>
      </c>
      <c r="F42" s="33">
        <f t="shared" si="150"/>
        <v>70.346081479142654</v>
      </c>
      <c r="G42" s="33">
        <f t="shared" si="150"/>
        <v>63.570480714545091</v>
      </c>
      <c r="H42" s="33">
        <f t="shared" si="150"/>
        <v>67.280220886476911</v>
      </c>
      <c r="I42" s="33">
        <f t="shared" si="150"/>
        <v>73.523154354655915</v>
      </c>
      <c r="J42" s="33">
        <f>AVERAGE(H42:I42)</f>
        <v>70.401687620566406</v>
      </c>
      <c r="K42" s="31">
        <f t="shared" ref="K42:AB42" si="151">K40/K41</f>
        <v>82.955672858224034</v>
      </c>
      <c r="L42" s="31">
        <f t="shared" si="151"/>
        <v>70.465427313305284</v>
      </c>
      <c r="M42" s="31">
        <f t="shared" si="151"/>
        <v>78.36255180328456</v>
      </c>
      <c r="N42" s="31">
        <f t="shared" si="151"/>
        <v>98.24133322250637</v>
      </c>
      <c r="O42" s="31">
        <f t="shared" si="151"/>
        <v>75.775463657290075</v>
      </c>
      <c r="P42" s="31" t="e">
        <f t="shared" si="151"/>
        <v>#DIV/0!</v>
      </c>
      <c r="Q42" s="31">
        <f t="shared" si="151"/>
        <v>72.00238605136569</v>
      </c>
      <c r="R42" s="31">
        <f t="shared" si="151"/>
        <v>71.155353320042124</v>
      </c>
      <c r="S42" s="31">
        <f t="shared" si="151"/>
        <v>62.688081596823238</v>
      </c>
      <c r="T42" s="31">
        <f t="shared" si="4"/>
        <v>65.794873062137199</v>
      </c>
      <c r="U42" s="31">
        <f t="shared" si="151"/>
        <v>51.96094649078632</v>
      </c>
      <c r="V42" s="31">
        <f t="shared" si="151"/>
        <v>31.303393300035214</v>
      </c>
      <c r="W42" s="31">
        <f t="shared" si="151"/>
        <v>38.354032586360077</v>
      </c>
      <c r="X42" s="31">
        <f t="shared" si="151"/>
        <v>46.209761627796432</v>
      </c>
      <c r="Y42" s="31">
        <f t="shared" si="151"/>
        <v>43.260953408910474</v>
      </c>
      <c r="Z42" s="31">
        <f t="shared" si="151"/>
        <v>18.968590782705029</v>
      </c>
      <c r="AA42" s="31">
        <f t="shared" si="151"/>
        <v>20.581145051677261</v>
      </c>
      <c r="AB42" s="31">
        <f t="shared" si="151"/>
        <v>17.289504790856462</v>
      </c>
      <c r="AC42" s="31">
        <f>AC40/AC41</f>
        <v>33.036971876593022</v>
      </c>
      <c r="AE42" s="31">
        <f>AE40/AE41</f>
        <v>56.491515184577189</v>
      </c>
      <c r="AI42" s="31">
        <f t="shared" ref="AI42:BP42" si="152">AI40/AI41</f>
        <v>75.146068956166786</v>
      </c>
      <c r="AJ42" s="31" t="e">
        <f t="shared" si="152"/>
        <v>#VALUE!</v>
      </c>
      <c r="AK42" s="31">
        <f t="shared" si="152"/>
        <v>66.211995414946571</v>
      </c>
      <c r="AL42" s="31">
        <f t="shared" si="152"/>
        <v>51.38879663173644</v>
      </c>
      <c r="AM42" s="31">
        <f t="shared" si="152"/>
        <v>71.497334731392883</v>
      </c>
      <c r="AN42" s="31">
        <f t="shared" si="152"/>
        <v>79.534798548304053</v>
      </c>
      <c r="AO42" s="31">
        <f t="shared" si="152"/>
        <v>65.379865129278329</v>
      </c>
      <c r="AP42" s="31">
        <f t="shared" si="152"/>
        <v>45.53447411824483</v>
      </c>
      <c r="AQ42" s="31">
        <f t="shared" si="152"/>
        <v>69.982222147392307</v>
      </c>
      <c r="AR42" s="31">
        <f t="shared" si="152"/>
        <v>64.017641222294316</v>
      </c>
      <c r="AS42" s="31">
        <f t="shared" si="152"/>
        <v>99.117303125729805</v>
      </c>
      <c r="AT42" s="31">
        <f t="shared" si="152"/>
        <v>82.967582887042283</v>
      </c>
      <c r="AU42" s="31">
        <f t="shared" si="152"/>
        <v>70.23471198620777</v>
      </c>
      <c r="AV42" s="31">
        <f t="shared" si="152"/>
        <v>60.849454806456237</v>
      </c>
      <c r="AW42" s="31">
        <f t="shared" si="152"/>
        <v>83.744011319278883</v>
      </c>
      <c r="AX42" s="31">
        <f t="shared" si="152"/>
        <v>73.012524983530724</v>
      </c>
      <c r="AY42" s="31">
        <f t="shared" si="152"/>
        <v>38.965704552458305</v>
      </c>
      <c r="AZ42" s="31">
        <f t="shared" si="152"/>
        <v>105.88492782880714</v>
      </c>
      <c r="BA42" s="31">
        <f t="shared" si="152"/>
        <v>69.583578169531393</v>
      </c>
      <c r="BB42" s="31">
        <f t="shared" si="152"/>
        <v>46.185615296679437</v>
      </c>
      <c r="BC42" s="31">
        <f t="shared" si="152"/>
        <v>70.350599967046975</v>
      </c>
      <c r="BD42" s="31">
        <f t="shared" si="152"/>
        <v>77.967512247258185</v>
      </c>
      <c r="BE42" s="31">
        <f t="shared" si="152"/>
        <v>68.486171803592981</v>
      </c>
      <c r="BF42" s="31">
        <f t="shared" si="152"/>
        <v>76.168395190849324</v>
      </c>
      <c r="BG42" s="31">
        <f t="shared" si="152"/>
        <v>66.696590291909004</v>
      </c>
      <c r="BH42" s="31">
        <f t="shared" si="152"/>
        <v>125.99896697155921</v>
      </c>
      <c r="BI42" s="31">
        <f>BI40/BI41</f>
        <v>77.312533747065984</v>
      </c>
      <c r="BJ42" s="31">
        <f>BJ40/BJ41</f>
        <v>71.506568820721483</v>
      </c>
      <c r="BK42" s="31">
        <f>BK40/BK41</f>
        <v>67.079890123021158</v>
      </c>
      <c r="BL42" s="31">
        <f>BL40/BL41</f>
        <v>67.979585294068542</v>
      </c>
      <c r="BM42" s="31">
        <f>BM40/BM41</f>
        <v>61.581888227048431</v>
      </c>
      <c r="BN42" s="31">
        <f t="shared" si="152"/>
        <v>88.176569791019361</v>
      </c>
      <c r="BO42" s="31">
        <f t="shared" si="152"/>
        <v>108.02678525699136</v>
      </c>
      <c r="BP42" s="31">
        <f t="shared" si="152"/>
        <v>97.817516686888368</v>
      </c>
      <c r="BQ42" s="31">
        <f t="shared" ref="BQ42:BV42" si="153">BQ40/BQ41</f>
        <v>76.579026030361675</v>
      </c>
      <c r="BR42" s="31">
        <f t="shared" si="153"/>
        <v>111.56815272160613</v>
      </c>
      <c r="BS42" s="31" t="e">
        <f t="shared" si="153"/>
        <v>#DIV/0!</v>
      </c>
      <c r="BT42" s="31">
        <f t="shared" si="153"/>
        <v>138.47721394668358</v>
      </c>
      <c r="BU42" s="31">
        <f t="shared" si="153"/>
        <v>115.37573793712596</v>
      </c>
      <c r="BV42" s="31">
        <f t="shared" si="153"/>
        <v>122.48884169527744</v>
      </c>
      <c r="BW42" s="31">
        <f>BW40/BW41</f>
        <v>55.683445289773722</v>
      </c>
      <c r="BX42" s="31"/>
      <c r="BY42" s="31"/>
      <c r="BZ42" s="31">
        <f t="shared" ref="BZ42:CF42" si="154">BZ40/BZ41</f>
        <v>78.172819394009451</v>
      </c>
      <c r="CA42" s="31">
        <f t="shared" si="154"/>
        <v>75.343310845821563</v>
      </c>
      <c r="CB42" s="31">
        <f t="shared" si="154"/>
        <v>62.539084849975929</v>
      </c>
      <c r="CC42" s="31">
        <f t="shared" si="154"/>
        <v>116.58370433897532</v>
      </c>
      <c r="CD42" s="31">
        <f t="shared" si="154"/>
        <v>91.121653671006442</v>
      </c>
      <c r="CE42" s="31">
        <f t="shared" si="154"/>
        <v>109.80619289242597</v>
      </c>
      <c r="CF42" s="31">
        <f t="shared" si="154"/>
        <v>65.536323992630557</v>
      </c>
      <c r="CG42" s="31">
        <f t="shared" ref="CG42:CL42" si="155">CG40/CG41</f>
        <v>68.583951591810433</v>
      </c>
      <c r="CH42" s="31">
        <f t="shared" si="155"/>
        <v>68.583951591810418</v>
      </c>
      <c r="CI42" s="31">
        <f t="shared" si="155"/>
        <v>37.762666165556269</v>
      </c>
      <c r="CJ42" s="31">
        <f t="shared" si="155"/>
        <v>68.654631963482643</v>
      </c>
      <c r="CK42" s="31">
        <f t="shared" si="155"/>
        <v>66.18400811835366</v>
      </c>
      <c r="CL42" s="31">
        <f t="shared" si="155"/>
        <v>78.738674182541544</v>
      </c>
      <c r="CM42" s="31">
        <f t="shared" ref="CM42:DA42" si="156">CM40/CM41</f>
        <v>68.868412700522853</v>
      </c>
      <c r="CN42" s="31" t="e">
        <f t="shared" si="156"/>
        <v>#REF!</v>
      </c>
      <c r="CO42" s="31">
        <f t="shared" si="156"/>
        <v>49.438487223275693</v>
      </c>
      <c r="CP42" s="31">
        <f>CP40/CP41</f>
        <v>61.656478984428915</v>
      </c>
      <c r="CQ42" s="31">
        <f>CQ40/CQ41</f>
        <v>105.97088742113806</v>
      </c>
      <c r="CR42" s="31">
        <f>CR40/CR41</f>
        <v>71.506568820721483</v>
      </c>
      <c r="CS42" s="31">
        <f>CS40/CS41</f>
        <v>68.541251826017671</v>
      </c>
      <c r="CT42" s="31">
        <f t="shared" si="156"/>
        <v>77.56455420798396</v>
      </c>
      <c r="CU42" s="31">
        <f t="shared" si="156"/>
        <v>78.812959181129983</v>
      </c>
      <c r="CV42" s="31">
        <f t="shared" si="156"/>
        <v>35.962172800062788</v>
      </c>
      <c r="CW42" s="31">
        <f t="shared" si="156"/>
        <v>50.964563743057248</v>
      </c>
      <c r="CX42" s="31">
        <f t="shared" si="156"/>
        <v>72.530381371809028</v>
      </c>
      <c r="CY42" s="31">
        <f t="shared" si="156"/>
        <v>84.825237372439602</v>
      </c>
      <c r="CZ42" s="31">
        <f t="shared" si="156"/>
        <v>75.260041172299537</v>
      </c>
      <c r="DA42" s="31">
        <f t="shared" si="156"/>
        <v>74.076797645190908</v>
      </c>
      <c r="DN42" s="32"/>
      <c r="DO42" s="32"/>
      <c r="DP42" s="32"/>
      <c r="DQ42" s="32"/>
      <c r="DR42" s="32"/>
      <c r="DV42" s="31">
        <f t="shared" ref="DV42:EM42" si="157">DV40/DV41</f>
        <v>127.83034760852986</v>
      </c>
      <c r="DW42" s="31">
        <f t="shared" si="157"/>
        <v>105.62265267708119</v>
      </c>
      <c r="DX42" s="31">
        <f t="shared" si="157"/>
        <v>107.44936223382378</v>
      </c>
      <c r="DY42" s="31" t="e">
        <f t="shared" si="157"/>
        <v>#DIV/0!</v>
      </c>
      <c r="DZ42" s="31">
        <f t="shared" si="157"/>
        <v>103.98215075220162</v>
      </c>
      <c r="EA42" s="31">
        <f t="shared" si="157"/>
        <v>108.00932350887386</v>
      </c>
      <c r="EB42" s="31" t="e">
        <f t="shared" si="157"/>
        <v>#DIV/0!</v>
      </c>
      <c r="EC42" s="31">
        <f t="shared" si="157"/>
        <v>101.09548699915206</v>
      </c>
      <c r="ED42" s="31" t="e">
        <f t="shared" si="157"/>
        <v>#DIV/0!</v>
      </c>
      <c r="EE42" s="31" t="e">
        <f t="shared" si="157"/>
        <v>#DIV/0!</v>
      </c>
      <c r="EF42" s="31">
        <f t="shared" si="157"/>
        <v>101.7351942979888</v>
      </c>
      <c r="EG42" s="31" t="e">
        <f t="shared" si="157"/>
        <v>#DIV/0!</v>
      </c>
      <c r="EH42" s="31">
        <f t="shared" si="157"/>
        <v>125.5702510499967</v>
      </c>
      <c r="EI42" s="31" t="e">
        <f t="shared" si="157"/>
        <v>#DIV/0!</v>
      </c>
      <c r="EJ42" s="31">
        <f t="shared" si="157"/>
        <v>129.67490755399413</v>
      </c>
      <c r="EK42" s="31"/>
      <c r="EL42" s="31">
        <f t="shared" si="157"/>
        <v>66.678478121227215</v>
      </c>
      <c r="EM42" s="31">
        <f t="shared" si="157"/>
        <v>69.270430906685647</v>
      </c>
      <c r="EQ42" s="31">
        <f t="shared" ref="EQ42:EW42" si="158">EQ40/EQ41</f>
        <v>74.200271398613381</v>
      </c>
      <c r="ER42" s="31">
        <f t="shared" si="158"/>
        <v>89.428711103433457</v>
      </c>
      <c r="ES42" s="31">
        <f t="shared" si="158"/>
        <v>79.024357948508936</v>
      </c>
      <c r="ET42" s="31">
        <f t="shared" si="158"/>
        <v>67.490681254811548</v>
      </c>
      <c r="EU42" s="31">
        <f t="shared" si="158"/>
        <v>52.850583753635497</v>
      </c>
      <c r="EV42" s="31">
        <f t="shared" si="158"/>
        <v>70.090825406732137</v>
      </c>
      <c r="EW42" s="33">
        <f t="shared" si="158"/>
        <v>57.608362127397811</v>
      </c>
      <c r="EX42" s="31"/>
      <c r="EY42" s="31"/>
      <c r="FD42">
        <v>35.866366543603711</v>
      </c>
      <c r="FH42" s="31">
        <f>FH40/FH41</f>
        <v>80.536004161093445</v>
      </c>
      <c r="FI42" s="30"/>
      <c r="FJ42" s="31">
        <f>FJ40/FJ41</f>
        <v>80.536004161093459</v>
      </c>
    </row>
    <row r="43" spans="1:166" ht="11.1" customHeight="1" x14ac:dyDescent="0.2">
      <c r="A43" s="10"/>
      <c r="B43" s="6"/>
      <c r="C43" s="6"/>
      <c r="D43" s="6"/>
      <c r="E43" s="6"/>
      <c r="F43" s="6"/>
      <c r="G43" s="6"/>
      <c r="H43" s="6"/>
      <c r="I43" s="6"/>
      <c r="J43" s="6"/>
      <c r="K43" s="3"/>
      <c r="L43" s="6"/>
      <c r="M43" s="6"/>
      <c r="N43" s="6"/>
      <c r="O43" s="6"/>
      <c r="P43" s="6"/>
      <c r="Q43" s="16"/>
      <c r="R43" s="6"/>
      <c r="S43" s="6"/>
      <c r="T43" s="6">
        <f t="shared" si="4"/>
        <v>0</v>
      </c>
      <c r="U43" s="6"/>
      <c r="V43" s="16"/>
      <c r="W43" s="6"/>
      <c r="X43" s="6"/>
      <c r="Y43" s="6"/>
      <c r="Z43" s="6"/>
      <c r="AA43" s="6"/>
      <c r="AB43" s="6"/>
      <c r="AC43" s="6"/>
      <c r="AE43" s="6"/>
      <c r="AI43" s="6"/>
      <c r="AJ43" s="3"/>
      <c r="AK43" s="6"/>
      <c r="AL43" s="16"/>
      <c r="AM43" s="6"/>
      <c r="AN43" s="7"/>
      <c r="AO43" s="7"/>
      <c r="AP43" s="7"/>
      <c r="AQ43"/>
      <c r="AS43" s="16"/>
      <c r="AT43" s="6"/>
      <c r="AU43" s="6"/>
      <c r="AV43" s="16"/>
      <c r="AW43" s="6"/>
      <c r="AX43" s="16"/>
      <c r="AY43" s="7"/>
      <c r="BA43" s="6"/>
      <c r="BB43" s="16"/>
      <c r="BE43"/>
      <c r="BF43" s="6"/>
      <c r="BG43" s="6"/>
      <c r="BH43"/>
      <c r="BI43"/>
      <c r="BJ43"/>
      <c r="BK43"/>
      <c r="BL43"/>
      <c r="BM43"/>
      <c r="BN43" s="16"/>
      <c r="BO43" s="16"/>
      <c r="BP43" s="16"/>
      <c r="BQ43" s="6"/>
      <c r="BR43" s="6"/>
      <c r="BS43" s="16"/>
      <c r="BT43" s="16"/>
      <c r="BU43" s="16"/>
      <c r="BV43" s="16"/>
      <c r="BW43" s="6"/>
      <c r="BX43" s="3"/>
      <c r="BY43" s="3"/>
      <c r="CA43"/>
      <c r="CB43" s="121"/>
      <c r="CC43" s="7"/>
      <c r="CD43" s="222"/>
      <c r="CE43" s="39"/>
      <c r="CF43" s="121"/>
      <c r="CI43" s="6"/>
      <c r="CJ43"/>
      <c r="CK43" s="6"/>
      <c r="CL43" s="6"/>
      <c r="CM43" s="6"/>
      <c r="CN43" s="6"/>
      <c r="CO43" s="6"/>
      <c r="CS43" s="6"/>
      <c r="CT43" s="6"/>
      <c r="CU43" s="6"/>
      <c r="CV43" s="16"/>
      <c r="CW43" s="16"/>
      <c r="DN43" s="32"/>
      <c r="DO43" s="32"/>
      <c r="DP43" s="32"/>
      <c r="DQ43" s="32"/>
      <c r="DR43" s="32"/>
      <c r="DV43" s="222"/>
      <c r="DW43" s="222"/>
      <c r="DX43" s="222"/>
      <c r="DY43" s="222"/>
      <c r="DZ43" s="222"/>
      <c r="EA43" s="222"/>
      <c r="EB43" s="222"/>
      <c r="EC43" s="6"/>
      <c r="ED43" s="222"/>
      <c r="EE43" s="222"/>
      <c r="EF43" s="222"/>
      <c r="EG43" s="6"/>
      <c r="EH43" s="222"/>
      <c r="EI43" s="121"/>
      <c r="EJ43" s="121"/>
      <c r="EK43" s="121"/>
      <c r="ER43" s="6"/>
      <c r="ES43" s="6"/>
      <c r="ET43" s="121"/>
      <c r="EU43" s="121"/>
      <c r="EV43" s="121"/>
      <c r="EW43" s="121"/>
      <c r="EX43" s="6"/>
      <c r="EY43" s="6"/>
      <c r="FH43" s="6"/>
      <c r="FI43" s="6"/>
      <c r="FJ43" s="6"/>
    </row>
    <row r="44" spans="1:166" s="341" customFormat="1" ht="11.1" customHeight="1" x14ac:dyDescent="0.2">
      <c r="A44" s="339" t="s">
        <v>895</v>
      </c>
      <c r="B44" s="598">
        <f>100*B5/$A45</f>
        <v>71.59554062028414</v>
      </c>
      <c r="C44" s="598">
        <f t="shared" ref="C44:BN44" si="159">100*C5/$A45</f>
        <v>80.117059707253091</v>
      </c>
      <c r="D44" s="598">
        <f t="shared" si="159"/>
        <v>74.282702110273291</v>
      </c>
      <c r="E44" s="598">
        <f t="shared" si="159"/>
        <v>75.520054353608018</v>
      </c>
      <c r="F44" s="598">
        <f t="shared" si="159"/>
        <v>85.988370697376155</v>
      </c>
      <c r="G44" s="598">
        <f t="shared" si="159"/>
        <v>75.149099617941289</v>
      </c>
      <c r="H44" s="598">
        <f t="shared" si="159"/>
        <v>86.715896007673109</v>
      </c>
      <c r="I44" s="598">
        <f t="shared" si="159"/>
        <v>82.664234583435245</v>
      </c>
      <c r="J44" s="598">
        <f t="shared" si="159"/>
        <v>84.690065295554177</v>
      </c>
      <c r="K44" s="598">
        <f t="shared" si="159"/>
        <v>72.707169559656819</v>
      </c>
      <c r="L44" s="598">
        <f t="shared" si="159"/>
        <v>79.685020804438281</v>
      </c>
      <c r="M44" s="598">
        <f t="shared" si="159"/>
        <v>77.755053509267199</v>
      </c>
      <c r="N44" s="598">
        <f t="shared" si="159"/>
        <v>80.000364200255788</v>
      </c>
      <c r="O44" s="598">
        <f t="shared" si="159"/>
        <v>82.784321474168621</v>
      </c>
      <c r="P44" s="598">
        <f t="shared" si="159"/>
        <v>76.116504854368941</v>
      </c>
      <c r="Q44" s="598">
        <f t="shared" si="159"/>
        <v>61.885176920390414</v>
      </c>
      <c r="R44" s="598">
        <f t="shared" si="159"/>
        <v>50.988237740470794</v>
      </c>
      <c r="S44" s="598">
        <f t="shared" si="159"/>
        <v>43.014786605296841</v>
      </c>
      <c r="T44" s="598">
        <f t="shared" si="159"/>
        <v>45.940386579598737</v>
      </c>
      <c r="U44" s="598">
        <f t="shared" si="159"/>
        <v>44.473291063998417</v>
      </c>
      <c r="V44" s="598">
        <f t="shared" si="159"/>
        <v>46.087367181210205</v>
      </c>
      <c r="W44" s="598">
        <f t="shared" si="159"/>
        <v>40.173582824056375</v>
      </c>
      <c r="X44" s="598">
        <f t="shared" si="159"/>
        <v>35.112147906337462</v>
      </c>
      <c r="Y44" s="598">
        <f t="shared" si="159"/>
        <v>36.969277725555472</v>
      </c>
      <c r="Z44" s="598">
        <f t="shared" si="159"/>
        <v>31.18098493506557</v>
      </c>
      <c r="AA44" s="598">
        <f t="shared" si="159"/>
        <v>28.352515286291386</v>
      </c>
      <c r="AB44" s="598">
        <f t="shared" si="159"/>
        <v>26.333398433503049</v>
      </c>
      <c r="AC44" s="598">
        <f t="shared" si="159"/>
        <v>27.354566101857735</v>
      </c>
      <c r="AD44" s="598">
        <f t="shared" si="159"/>
        <v>0</v>
      </c>
      <c r="AE44" s="598">
        <f t="shared" si="159"/>
        <v>57.352993816422433</v>
      </c>
      <c r="AF44" s="598">
        <f t="shared" si="159"/>
        <v>0</v>
      </c>
      <c r="AG44" s="598">
        <f t="shared" si="159"/>
        <v>0</v>
      </c>
      <c r="AH44" s="598">
        <f t="shared" si="159"/>
        <v>0</v>
      </c>
      <c r="AI44" s="598">
        <f t="shared" si="159"/>
        <v>78.726966298069684</v>
      </c>
      <c r="AJ44" s="598">
        <f t="shared" si="159"/>
        <v>79.476918147672947</v>
      </c>
      <c r="AK44" s="598">
        <f t="shared" si="159"/>
        <v>78.157735621581836</v>
      </c>
      <c r="AL44" s="598">
        <f t="shared" si="159"/>
        <v>38.353047521773377</v>
      </c>
      <c r="AM44" s="598">
        <f t="shared" si="159"/>
        <v>74.213857899755951</v>
      </c>
      <c r="AN44" s="598">
        <f t="shared" si="159"/>
        <v>22.246879334257976</v>
      </c>
      <c r="AO44" s="598">
        <f t="shared" si="159"/>
        <v>12.194011668517563</v>
      </c>
      <c r="AP44" s="598">
        <f t="shared" si="159"/>
        <v>25.486492871268737</v>
      </c>
      <c r="AQ44" s="598">
        <f t="shared" si="159"/>
        <v>82.327793791814273</v>
      </c>
      <c r="AR44" s="598">
        <f t="shared" si="159"/>
        <v>83.007658917860354</v>
      </c>
      <c r="AS44" s="598">
        <f t="shared" si="159"/>
        <v>18.736928660455167</v>
      </c>
      <c r="AT44" s="598">
        <f t="shared" si="159"/>
        <v>57.281584008585412</v>
      </c>
      <c r="AU44" s="598">
        <f t="shared" si="159"/>
        <v>88.106476075487208</v>
      </c>
      <c r="AV44" s="598">
        <f t="shared" si="159"/>
        <v>38.433395848843737</v>
      </c>
      <c r="AW44" s="598">
        <f t="shared" si="159"/>
        <v>76.28983670854717</v>
      </c>
      <c r="AX44" s="598">
        <f t="shared" si="159"/>
        <v>49.327917680014416</v>
      </c>
      <c r="AY44" s="598">
        <f t="shared" si="159"/>
        <v>27.170454146022788</v>
      </c>
      <c r="AZ44" s="598">
        <f t="shared" si="159"/>
        <v>61.28400152489678</v>
      </c>
      <c r="BA44" s="598">
        <f t="shared" si="159"/>
        <v>45.978007224929023</v>
      </c>
      <c r="BB44" s="598">
        <f t="shared" si="159"/>
        <v>34.399182041144769</v>
      </c>
      <c r="BC44" s="598">
        <f t="shared" si="159"/>
        <v>60.389193150048484</v>
      </c>
      <c r="BD44" s="598">
        <f t="shared" si="159"/>
        <v>69.885997351566942</v>
      </c>
      <c r="BE44" s="598">
        <f t="shared" si="159"/>
        <v>71.833578634708559</v>
      </c>
      <c r="BF44" s="598">
        <f t="shared" si="159"/>
        <v>47.892222685133071</v>
      </c>
      <c r="BG44" s="598">
        <f t="shared" si="159"/>
        <v>66.281859383205642</v>
      </c>
      <c r="BH44" s="598">
        <f t="shared" si="159"/>
        <v>63.324872600497244</v>
      </c>
      <c r="BI44" s="598" t="e">
        <f t="shared" si="159"/>
        <v>#DIV/0!</v>
      </c>
      <c r="BJ44" s="598" t="e">
        <f t="shared" si="159"/>
        <v>#DIV/0!</v>
      </c>
      <c r="BK44" s="598" t="e">
        <f t="shared" si="159"/>
        <v>#DIV/0!</v>
      </c>
      <c r="BL44" s="598" t="e">
        <f t="shared" si="159"/>
        <v>#DIV/0!</v>
      </c>
      <c r="BM44" s="598" t="e">
        <f t="shared" si="159"/>
        <v>#DIV/0!</v>
      </c>
      <c r="BN44" s="598">
        <f t="shared" si="159"/>
        <v>23.668408939332878</v>
      </c>
      <c r="BO44" s="598">
        <f t="shared" ref="BO44:DA44" si="160">100*BO5/$A45</f>
        <v>21.315906043711088</v>
      </c>
      <c r="BP44" s="598">
        <f t="shared" si="160"/>
        <v>22.492157491521986</v>
      </c>
      <c r="BQ44" s="598">
        <f t="shared" si="160"/>
        <v>23.485378091102483</v>
      </c>
      <c r="BR44" s="598">
        <f t="shared" si="160"/>
        <v>13.028201571890893</v>
      </c>
      <c r="BS44" s="598">
        <f t="shared" si="160"/>
        <v>0</v>
      </c>
      <c r="BT44" s="598">
        <f t="shared" si="160"/>
        <v>15.032954764091969</v>
      </c>
      <c r="BU44" s="598">
        <f t="shared" si="160"/>
        <v>11.194717710692085</v>
      </c>
      <c r="BV44" s="598">
        <f t="shared" si="160"/>
        <v>13.08529134889165</v>
      </c>
      <c r="BW44" s="598">
        <f t="shared" si="160"/>
        <v>52.813410082858859</v>
      </c>
      <c r="BX44" s="598">
        <f t="shared" si="160"/>
        <v>0</v>
      </c>
      <c r="BY44" s="598">
        <f t="shared" si="160"/>
        <v>0</v>
      </c>
      <c r="BZ44" s="598">
        <f t="shared" si="160"/>
        <v>75.337160760652651</v>
      </c>
      <c r="CA44" s="598">
        <f t="shared" si="160"/>
        <v>81.285863947203225</v>
      </c>
      <c r="CB44" s="598">
        <f t="shared" si="160"/>
        <v>87.945884935478631</v>
      </c>
      <c r="CC44" s="598">
        <f t="shared" si="160"/>
        <v>23.844930041339786</v>
      </c>
      <c r="CD44" s="598">
        <f t="shared" si="160"/>
        <v>83.832169542402951</v>
      </c>
      <c r="CE44" s="598">
        <f t="shared" si="160"/>
        <v>79.416517266414061</v>
      </c>
      <c r="CF44" s="598">
        <f t="shared" si="160"/>
        <v>80.846772553052958</v>
      </c>
      <c r="CG44" s="598">
        <f t="shared" si="160"/>
        <v>79.001440217211496</v>
      </c>
      <c r="CH44" s="598">
        <f t="shared" si="160"/>
        <v>81.859386609588199</v>
      </c>
      <c r="CI44" s="598">
        <f t="shared" si="160"/>
        <v>63.9971605380996</v>
      </c>
      <c r="CJ44" s="598">
        <f t="shared" si="160"/>
        <v>80.507117202409376</v>
      </c>
      <c r="CK44" s="598">
        <f t="shared" si="160"/>
        <v>77.406357992576588</v>
      </c>
      <c r="CL44" s="598">
        <f t="shared" si="160"/>
        <v>62.616112464834046</v>
      </c>
      <c r="CM44" s="598">
        <f t="shared" si="160"/>
        <v>49.51836686255907</v>
      </c>
      <c r="CN44" s="598">
        <f t="shared" si="160"/>
        <v>59.947137889276128</v>
      </c>
      <c r="CO44" s="598">
        <f t="shared" si="160"/>
        <v>37.76557451277759</v>
      </c>
      <c r="CP44" s="598">
        <f t="shared" si="160"/>
        <v>68.068723475299706</v>
      </c>
      <c r="CQ44" s="598">
        <f t="shared" si="160"/>
        <v>67.660245263063516</v>
      </c>
      <c r="CR44" s="598" t="e">
        <f t="shared" si="160"/>
        <v>#DIV/0!</v>
      </c>
      <c r="CS44" s="598">
        <f t="shared" si="160"/>
        <v>76.716209709919639</v>
      </c>
      <c r="CT44" s="598">
        <f t="shared" si="160"/>
        <v>64.582313110781399</v>
      </c>
      <c r="CU44" s="598">
        <f t="shared" si="160"/>
        <v>63.799554021164532</v>
      </c>
      <c r="CV44" s="598">
        <f t="shared" si="160"/>
        <v>43.083364999136926</v>
      </c>
      <c r="CW44" s="598">
        <f t="shared" si="160"/>
        <v>47.640403407003404</v>
      </c>
      <c r="CX44" s="598">
        <f t="shared" si="160"/>
        <v>83.237350038546566</v>
      </c>
      <c r="CY44" s="598">
        <f t="shared" si="160"/>
        <v>69.860433456466438</v>
      </c>
      <c r="CZ44" s="598">
        <f t="shared" si="160"/>
        <v>85.319053088118537</v>
      </c>
      <c r="DA44" s="598">
        <f t="shared" si="160"/>
        <v>81.322629104925682</v>
      </c>
      <c r="DE44"/>
      <c r="DI44" s="342"/>
      <c r="ET44" s="340">
        <f>ET5/$A45</f>
        <v>0.87792796717670019</v>
      </c>
      <c r="EU44" s="340">
        <f>EU5/$A45</f>
        <v>0.84455876891070136</v>
      </c>
      <c r="EV44" s="340">
        <f>EV5/$A45</f>
        <v>0.91588981197695774</v>
      </c>
      <c r="EW44" s="340">
        <f>EW5/$A45</f>
        <v>0.74158691669985988</v>
      </c>
      <c r="FH44" s="340">
        <f>FH5/$A45</f>
        <v>0.75362841378631706</v>
      </c>
      <c r="FI44" s="340"/>
    </row>
    <row r="45" spans="1:166" ht="11.1" customHeight="1" x14ac:dyDescent="0.2">
      <c r="A45" s="233">
        <v>36.049999999999997</v>
      </c>
      <c r="B45" s="7">
        <v>71.569473980244709</v>
      </c>
      <c r="C45" s="7">
        <v>80.090969511831432</v>
      </c>
      <c r="D45" s="7">
        <v>74.294719059324294</v>
      </c>
      <c r="E45" s="7"/>
      <c r="F45" s="7">
        <v>85.979421547382373</v>
      </c>
      <c r="G45" s="7">
        <v>76.106457693768107</v>
      </c>
      <c r="H45" s="7">
        <v>86.681207052572702</v>
      </c>
      <c r="I45" s="7">
        <v>82.681294789975567</v>
      </c>
      <c r="J45" s="6"/>
      <c r="K45" s="7">
        <v>72.823940588282753</v>
      </c>
      <c r="L45" s="7">
        <v>79.62165508797689</v>
      </c>
      <c r="M45" s="7">
        <v>78.197588373470367</v>
      </c>
      <c r="N45" s="217"/>
      <c r="O45" s="217"/>
      <c r="P45" s="6"/>
      <c r="Q45" s="6"/>
      <c r="R45" s="6"/>
      <c r="S45" s="6"/>
      <c r="T45" s="6">
        <f t="shared" si="4"/>
        <v>0</v>
      </c>
      <c r="U45" s="6"/>
      <c r="V45" s="6"/>
      <c r="W45" s="6"/>
      <c r="X45" s="6"/>
      <c r="Y45" s="6"/>
      <c r="Z45" s="6"/>
      <c r="AA45" s="6"/>
      <c r="AB45" s="6"/>
      <c r="AC45" s="6"/>
      <c r="AE45" s="6"/>
      <c r="AI45" s="6"/>
      <c r="AJ45" s="6"/>
      <c r="AK45" s="217">
        <f>AK5/$A45</f>
        <v>0.78157735621581825</v>
      </c>
      <c r="AL45" s="6"/>
      <c r="AM45" s="6"/>
      <c r="AN45" s="7"/>
      <c r="AO45" s="7"/>
      <c r="AP45" s="7"/>
      <c r="AQ45"/>
      <c r="AS45" s="6"/>
      <c r="AT45" s="6"/>
      <c r="AU45" s="217">
        <f>AU5/$A45</f>
        <v>0.88106476075487217</v>
      </c>
      <c r="AV45" s="6"/>
      <c r="AW45" s="6"/>
      <c r="AX45" s="6"/>
      <c r="AY45" s="7"/>
      <c r="BA45" s="6"/>
      <c r="BB45" s="6"/>
      <c r="BE45"/>
      <c r="BF45" s="6"/>
      <c r="BG45" s="6"/>
      <c r="BH45"/>
      <c r="BI45"/>
      <c r="BJ45"/>
      <c r="BK45"/>
      <c r="BL45"/>
      <c r="BM45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CA45"/>
      <c r="CB45" s="6"/>
      <c r="CC45" s="7"/>
      <c r="CD45" s="121"/>
      <c r="CE45" s="39"/>
      <c r="CF45" s="121"/>
      <c r="CI45" s="6"/>
      <c r="CJ45"/>
      <c r="CK45" s="6"/>
      <c r="CL45" s="6"/>
      <c r="CM45" s="6"/>
      <c r="CN45" s="6"/>
      <c r="CO45" s="6"/>
      <c r="CS45" s="6"/>
      <c r="CT45" s="217">
        <f>CT5/$A45</f>
        <v>0.64582313110781397</v>
      </c>
      <c r="CU45" s="217">
        <f>CU5/$A45</f>
        <v>0.63799554021164528</v>
      </c>
      <c r="CV45" s="6"/>
      <c r="CW45" s="6"/>
      <c r="DN45" s="32"/>
      <c r="DO45" s="32"/>
      <c r="DP45" s="32"/>
      <c r="DQ45" s="32"/>
      <c r="DR45" s="32"/>
      <c r="DV45" s="217">
        <f t="shared" ref="DV45:EM45" si="161">DV5/$A45</f>
        <v>0.73862289027396455</v>
      </c>
      <c r="DW45" s="217">
        <f t="shared" si="161"/>
        <v>0.78553755213248333</v>
      </c>
      <c r="DX45" s="217">
        <f t="shared" si="161"/>
        <v>0.77203648597361108</v>
      </c>
      <c r="DY45" s="217">
        <f t="shared" si="161"/>
        <v>0.85436893203883502</v>
      </c>
      <c r="DZ45" s="217">
        <f t="shared" si="161"/>
        <v>0.77338048039282981</v>
      </c>
      <c r="EA45" s="217">
        <f t="shared" si="161"/>
        <v>0.78872739656317659</v>
      </c>
      <c r="EB45" s="217">
        <f t="shared" si="161"/>
        <v>0.8294036061026353</v>
      </c>
      <c r="EC45" s="217">
        <f t="shared" si="161"/>
        <v>0.77303031211906681</v>
      </c>
      <c r="ED45" s="217">
        <f t="shared" si="161"/>
        <v>0.76560332871012493</v>
      </c>
      <c r="EE45" s="217">
        <f t="shared" si="161"/>
        <v>0.78224687933425807</v>
      </c>
      <c r="EF45" s="217">
        <f t="shared" si="161"/>
        <v>0.78011537216303628</v>
      </c>
      <c r="EG45" s="217">
        <f t="shared" si="161"/>
        <v>0</v>
      </c>
      <c r="EH45" s="217">
        <f t="shared" si="161"/>
        <v>0.79007940275221233</v>
      </c>
      <c r="EI45" s="217">
        <f t="shared" si="161"/>
        <v>0.9181692094313455</v>
      </c>
      <c r="EJ45" s="217">
        <f t="shared" si="161"/>
        <v>0.76699056931038734</v>
      </c>
      <c r="EK45" s="217"/>
      <c r="EL45" s="217">
        <f t="shared" si="161"/>
        <v>0.77754665409326007</v>
      </c>
      <c r="EM45" s="217">
        <f t="shared" si="161"/>
        <v>0.79473136686194856</v>
      </c>
      <c r="EQ45" s="217">
        <f>EQ5/$A45</f>
        <v>0.75431317460816061</v>
      </c>
      <c r="ER45" s="217">
        <f>ER5/$A45</f>
        <v>0.76209233211221317</v>
      </c>
      <c r="ES45" s="217">
        <f>ES5/$A45</f>
        <v>0.76830186820736923</v>
      </c>
      <c r="ET45" s="121"/>
      <c r="EU45" s="121"/>
      <c r="EV45" s="121"/>
      <c r="EW45" s="121"/>
      <c r="EX45" s="217"/>
      <c r="EY45" s="217"/>
      <c r="FH45" s="6"/>
      <c r="FI45" s="6"/>
      <c r="FJ45" s="217">
        <f>FJ5/$A45</f>
        <v>0.89800135939765302</v>
      </c>
    </row>
    <row r="46" spans="1:166" ht="11.1" customHeight="1" x14ac:dyDescent="0.2">
      <c r="A46" s="329"/>
      <c r="B46" s="7"/>
      <c r="C46" s="7"/>
      <c r="D46" s="7"/>
      <c r="E46" s="7"/>
      <c r="F46" s="7"/>
      <c r="G46" s="7"/>
      <c r="H46" s="7"/>
      <c r="I46" s="7"/>
      <c r="J46" s="6"/>
      <c r="K46" s="7"/>
      <c r="L46" s="7"/>
      <c r="M46" s="7"/>
      <c r="N46" s="217"/>
      <c r="O46" s="217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E46" s="6"/>
      <c r="AI46" s="6"/>
      <c r="AJ46" s="6"/>
      <c r="AK46" s="217"/>
      <c r="AL46" s="6"/>
      <c r="AM46" s="6"/>
      <c r="AN46" s="7"/>
      <c r="AO46" s="7"/>
      <c r="AP46" s="7"/>
      <c r="AQ46"/>
      <c r="AS46" s="6"/>
      <c r="AT46" s="6"/>
      <c r="AU46" s="217"/>
      <c r="AV46" s="6"/>
      <c r="AW46" s="6"/>
      <c r="AX46" s="6"/>
      <c r="AY46" s="7"/>
      <c r="BA46" s="6"/>
      <c r="BB46" s="6"/>
      <c r="BE46"/>
      <c r="BF46" s="6"/>
      <c r="BG46" s="6"/>
      <c r="BH46"/>
      <c r="BI46"/>
      <c r="BJ46"/>
      <c r="BK46"/>
      <c r="BL46"/>
      <c r="BM4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CA46"/>
      <c r="CB46" s="6"/>
      <c r="CC46" s="7"/>
      <c r="CD46" s="121"/>
      <c r="CE46" s="39"/>
      <c r="CF46" s="121"/>
      <c r="CI46" s="6"/>
      <c r="CJ46"/>
      <c r="CK46" s="6"/>
      <c r="CL46" s="6"/>
      <c r="CM46" s="6"/>
      <c r="CN46" s="6"/>
      <c r="CO46" s="6"/>
      <c r="CS46" s="6"/>
      <c r="CT46" s="217"/>
      <c r="CU46" s="217"/>
      <c r="CV46" s="6"/>
      <c r="CW46" s="6"/>
      <c r="DN46" s="32"/>
      <c r="DO46" s="32"/>
      <c r="DP46" s="32"/>
      <c r="DQ46" s="32"/>
      <c r="DR46" s="32"/>
      <c r="DV46" s="217"/>
      <c r="DW46" s="217"/>
      <c r="DX46" s="217"/>
      <c r="DY46" s="217"/>
      <c r="DZ46" s="217"/>
      <c r="EA46" s="217"/>
      <c r="EB46" s="217"/>
      <c r="EC46" s="217"/>
      <c r="ED46" s="217"/>
      <c r="EE46" s="217"/>
      <c r="EF46" s="217"/>
      <c r="EG46" s="217"/>
      <c r="EH46" s="217"/>
      <c r="EI46" s="217"/>
      <c r="EJ46" s="217"/>
      <c r="EK46" s="217"/>
      <c r="EL46" s="217"/>
      <c r="EM46" s="217"/>
      <c r="EQ46" s="217"/>
      <c r="ER46" s="217"/>
      <c r="ES46" s="217"/>
      <c r="ET46" s="121"/>
      <c r="EU46" s="121"/>
      <c r="EV46" s="121"/>
      <c r="EW46" s="121"/>
      <c r="EX46" s="217"/>
      <c r="EY46" s="217"/>
      <c r="FH46" s="6"/>
      <c r="FI46" s="6"/>
      <c r="FJ46" s="217"/>
    </row>
    <row r="47" spans="1:166" ht="11.1" customHeight="1" x14ac:dyDescent="0.2">
      <c r="A47" s="13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>
        <f t="shared" si="4"/>
        <v>0</v>
      </c>
      <c r="U47" s="7"/>
      <c r="V47" s="7"/>
      <c r="W47" s="7"/>
      <c r="X47" s="7"/>
      <c r="Y47" s="7"/>
      <c r="Z47" s="7"/>
      <c r="AA47" s="7"/>
      <c r="AB47" s="7"/>
      <c r="AC47" s="7"/>
      <c r="AE47" s="7"/>
      <c r="AI47" s="7"/>
      <c r="AJ47" s="7"/>
      <c r="AK47" s="7"/>
      <c r="AL47" s="7"/>
      <c r="AM47" s="7"/>
      <c r="AN47" s="7"/>
      <c r="AO47" s="7"/>
      <c r="AP47" s="7"/>
      <c r="AQ47" s="13"/>
      <c r="AR47" s="13"/>
      <c r="AS47" s="7"/>
      <c r="AT47" s="7"/>
      <c r="AU47" s="7"/>
      <c r="AV47" s="7"/>
      <c r="AW47" s="7"/>
      <c r="AX47" s="7"/>
      <c r="AY47" s="7"/>
      <c r="AZ47" s="13"/>
      <c r="BA47" s="7"/>
      <c r="BB47" s="7"/>
      <c r="BC47" s="13"/>
      <c r="BD47" s="13"/>
      <c r="BE47" s="13"/>
      <c r="BF47" s="7"/>
      <c r="BG47" s="7"/>
      <c r="BH47" s="13"/>
      <c r="BI47" s="13"/>
      <c r="BJ47" s="13"/>
      <c r="BK47" s="13"/>
      <c r="BL47" s="13"/>
      <c r="BM47" s="13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13"/>
      <c r="CA47" s="13"/>
      <c r="CB47" s="7"/>
      <c r="CC47" s="7"/>
      <c r="CD47" s="13"/>
      <c r="CE47" s="39"/>
      <c r="CF47" s="13"/>
      <c r="CG47" s="13"/>
      <c r="CH47" s="13"/>
      <c r="CI47" s="7"/>
      <c r="CJ47" s="13"/>
      <c r="CK47" s="7"/>
      <c r="CL47" s="7"/>
      <c r="CM47" s="7"/>
      <c r="CN47" s="7"/>
      <c r="CO47" s="7"/>
      <c r="CP47" s="13"/>
      <c r="CQ47" s="13"/>
      <c r="CR47" s="13"/>
      <c r="CS47" s="7"/>
      <c r="CT47" s="7"/>
      <c r="CU47" s="7"/>
      <c r="CV47" s="7"/>
      <c r="CW47" s="7"/>
      <c r="CX47" s="13"/>
      <c r="CY47" s="13"/>
      <c r="CZ47" s="13"/>
      <c r="DA47" s="13"/>
      <c r="DN47" s="32"/>
      <c r="DO47" s="32"/>
      <c r="DP47" s="32"/>
      <c r="DQ47" s="32"/>
      <c r="DR47" s="32"/>
      <c r="DV47" s="13"/>
      <c r="DW47" s="13"/>
      <c r="DX47" s="13"/>
      <c r="DY47" s="13"/>
      <c r="DZ47" s="13"/>
      <c r="EA47" s="13"/>
      <c r="EB47" s="13"/>
      <c r="EC47" s="7"/>
      <c r="ED47" s="13"/>
      <c r="EE47" s="13"/>
      <c r="EF47" s="13"/>
      <c r="EG47" s="7"/>
      <c r="EH47" s="13"/>
      <c r="EI47" s="13"/>
      <c r="EJ47" s="13"/>
      <c r="EK47" s="13"/>
      <c r="EL47" s="13"/>
      <c r="EM47" s="13"/>
      <c r="EQ47" s="7"/>
      <c r="ER47" s="7"/>
      <c r="ES47" s="7"/>
      <c r="ET47" s="13"/>
      <c r="EU47" s="13"/>
      <c r="EV47" s="13"/>
      <c r="EW47" s="13"/>
      <c r="EX47" s="7"/>
      <c r="EY47" s="7"/>
      <c r="FH47" s="7"/>
      <c r="FI47" s="7"/>
      <c r="FJ47" s="7"/>
    </row>
    <row r="48" spans="1:166" ht="11.1" customHeight="1" x14ac:dyDescent="0.2">
      <c r="A48" s="1" t="s">
        <v>918</v>
      </c>
      <c r="B48" s="3">
        <f>B11/1.348</f>
        <v>0.22472724553684581</v>
      </c>
      <c r="C48" s="3">
        <f>C11/1.348</f>
        <v>0.25586609159392065</v>
      </c>
      <c r="D48" s="3">
        <f t="shared" ref="D48:J48" si="162">D11/1.348</f>
        <v>0.24159850434842095</v>
      </c>
      <c r="E48" s="3">
        <f t="shared" si="162"/>
        <v>0.25835593178146954</v>
      </c>
      <c r="F48" s="3">
        <f t="shared" si="162"/>
        <v>0.27625317859775722</v>
      </c>
      <c r="G48" s="3">
        <f t="shared" si="162"/>
        <v>0.45870557378385712</v>
      </c>
      <c r="H48" s="3">
        <f t="shared" si="162"/>
        <v>0.2773194983977455</v>
      </c>
      <c r="I48" s="3">
        <f t="shared" si="162"/>
        <v>0.28776686588962824</v>
      </c>
      <c r="J48" s="3">
        <f t="shared" si="162"/>
        <v>0.28254318214368684</v>
      </c>
      <c r="K48" s="3">
        <f t="shared" ref="K48:AB48" si="163">K11/1.348</f>
        <v>0.2559189521836111</v>
      </c>
      <c r="L48" s="3">
        <f t="shared" si="163"/>
        <v>0.24743026706231452</v>
      </c>
      <c r="M48" s="3">
        <f t="shared" si="163"/>
        <v>0.33037303408344249</v>
      </c>
      <c r="N48" s="3">
        <f t="shared" si="163"/>
        <v>0.26609320543189119</v>
      </c>
      <c r="O48" s="3">
        <f t="shared" si="163"/>
        <v>0.25115029289065149</v>
      </c>
      <c r="P48" s="3">
        <f t="shared" si="163"/>
        <v>0.17804154302670622</v>
      </c>
      <c r="Q48" s="3">
        <f t="shared" si="163"/>
        <v>0.26770272940829204</v>
      </c>
      <c r="R48" s="3">
        <f t="shared" si="163"/>
        <v>0.29055066017099263</v>
      </c>
      <c r="S48" s="3">
        <f t="shared" si="163"/>
        <v>0.29495610013542806</v>
      </c>
      <c r="T48" s="3">
        <f t="shared" si="4"/>
        <v>0.29333966644464082</v>
      </c>
      <c r="U48" s="3">
        <f t="shared" si="163"/>
        <v>0.26597863501483676</v>
      </c>
      <c r="V48" s="3">
        <f t="shared" si="163"/>
        <v>0.224117063648962</v>
      </c>
      <c r="W48" s="3">
        <f t="shared" si="163"/>
        <v>0.30883511305220046</v>
      </c>
      <c r="X48" s="3">
        <f t="shared" si="163"/>
        <v>0.27699897533014517</v>
      </c>
      <c r="Y48" s="3">
        <f t="shared" si="163"/>
        <v>0.2886802162536195</v>
      </c>
      <c r="Z48" s="3">
        <f t="shared" si="163"/>
        <v>0.20802269020045844</v>
      </c>
      <c r="AA48" s="3">
        <f t="shared" si="163"/>
        <v>0.19118238113998151</v>
      </c>
      <c r="AB48" s="3">
        <f t="shared" si="163"/>
        <v>0.19526972774502827</v>
      </c>
      <c r="AC48" s="3">
        <f>AC11/1.348</f>
        <v>0.26166760861585259</v>
      </c>
      <c r="AE48" s="3">
        <f>AE11/1.348</f>
        <v>0.33124023828798788</v>
      </c>
      <c r="AI48" s="3">
        <f t="shared" ref="AI48:BP48" si="164">AI11/1.348</f>
        <v>0.25787003970309275</v>
      </c>
      <c r="AJ48" s="3">
        <f t="shared" si="164"/>
        <v>0.25074161124766681</v>
      </c>
      <c r="AK48" s="3">
        <f t="shared" si="164"/>
        <v>0.41648950410830515</v>
      </c>
      <c r="AL48" s="3">
        <f t="shared" si="164"/>
        <v>0.37578204550851235</v>
      </c>
      <c r="AM48" s="3">
        <f t="shared" si="164"/>
        <v>0.23852084875509674</v>
      </c>
      <c r="AN48" s="3">
        <f t="shared" si="164"/>
        <v>0.25964391691394656</v>
      </c>
      <c r="AO48" s="3">
        <f t="shared" si="164"/>
        <v>0.14879014765586129</v>
      </c>
      <c r="AP48" s="3">
        <f t="shared" si="164"/>
        <v>0.25267082235221427</v>
      </c>
      <c r="AQ48" s="3">
        <f t="shared" si="164"/>
        <v>0.2528245175392661</v>
      </c>
      <c r="AR48" s="3">
        <f t="shared" si="164"/>
        <v>0.24377909479117249</v>
      </c>
      <c r="AS48" s="3">
        <f t="shared" si="164"/>
        <v>0.15504451038575667</v>
      </c>
      <c r="AT48" s="3">
        <f t="shared" si="164"/>
        <v>0.361233107584012</v>
      </c>
      <c r="AU48" s="3">
        <f t="shared" si="164"/>
        <v>0.25491029636897566</v>
      </c>
      <c r="AV48" s="3">
        <f t="shared" si="164"/>
        <v>0.22188306809253797</v>
      </c>
      <c r="AW48" s="3">
        <f t="shared" si="164"/>
        <v>0.21441905180630405</v>
      </c>
      <c r="AX48" s="3">
        <f t="shared" si="164"/>
        <v>0.44144381331542865</v>
      </c>
      <c r="AY48" s="3">
        <f t="shared" si="164"/>
        <v>0.27222048969538731</v>
      </c>
      <c r="AZ48" s="3">
        <f t="shared" si="164"/>
        <v>0.26916660267157233</v>
      </c>
      <c r="BA48" s="3">
        <f t="shared" si="164"/>
        <v>0.27122001501258669</v>
      </c>
      <c r="BB48" s="3">
        <f t="shared" si="164"/>
        <v>0.21980897836838023</v>
      </c>
      <c r="BC48" s="3">
        <f t="shared" si="164"/>
        <v>0.22778643361283121</v>
      </c>
      <c r="BD48" s="3">
        <f t="shared" si="164"/>
        <v>0.38584854492762127</v>
      </c>
      <c r="BE48" s="3">
        <f t="shared" si="164"/>
        <v>0.32663461566683394</v>
      </c>
      <c r="BF48" s="3">
        <f t="shared" si="164"/>
        <v>0.35297081859357071</v>
      </c>
      <c r="BG48" s="3">
        <f t="shared" si="164"/>
        <v>0.35941094711522037</v>
      </c>
      <c r="BH48" s="3">
        <f t="shared" si="164"/>
        <v>0.18249258160237386</v>
      </c>
      <c r="BI48" s="3">
        <f>BI11/1.348</f>
        <v>0.35547884534252111</v>
      </c>
      <c r="BJ48" s="3">
        <f>BJ11/1.348</f>
        <v>0.24009169109292744</v>
      </c>
      <c r="BK48" s="3">
        <f>BK11/1.348</f>
        <v>0.3393615143098479</v>
      </c>
      <c r="BL48" s="3">
        <f>BL11/1.348</f>
        <v>0.34121762128098987</v>
      </c>
      <c r="BM48" s="3">
        <f>BM11/1.348</f>
        <v>0.44769047072932322</v>
      </c>
      <c r="BN48" s="3">
        <f t="shared" si="164"/>
        <v>0.10237388724035608</v>
      </c>
      <c r="BO48" s="3">
        <f t="shared" si="164"/>
        <v>0.12314540059347182</v>
      </c>
      <c r="BP48" s="3">
        <f t="shared" si="164"/>
        <v>0.11275964391691395</v>
      </c>
      <c r="BQ48" s="3">
        <f t="shared" ref="BQ48:BV48" si="165">BQ11/1.348</f>
        <v>0.15022621900325378</v>
      </c>
      <c r="BR48" s="3">
        <f t="shared" si="165"/>
        <v>0.12015753662946049</v>
      </c>
      <c r="BS48" s="3">
        <f t="shared" si="165"/>
        <v>0</v>
      </c>
      <c r="BT48" s="3">
        <f t="shared" si="165"/>
        <v>8.3827893175074178E-2</v>
      </c>
      <c r="BU48" s="3">
        <f t="shared" si="165"/>
        <v>9.4213649851632039E-2</v>
      </c>
      <c r="BV48" s="3">
        <f t="shared" si="165"/>
        <v>9.9399693218722232E-2</v>
      </c>
      <c r="BW48" s="3">
        <f>BW11/1.348</f>
        <v>0.23887574876912265</v>
      </c>
      <c r="BX48" s="3"/>
      <c r="BY48" s="3"/>
      <c r="BZ48" s="3">
        <f>BZ11/1.348</f>
        <v>0.25095377789888201</v>
      </c>
      <c r="CA48" s="3">
        <f>CA11/1.348</f>
        <v>0.2016</v>
      </c>
      <c r="CB48" s="3"/>
      <c r="CC48" s="3">
        <f>CC11/1.348</f>
        <v>0.3782761810237586</v>
      </c>
      <c r="CD48" s="3">
        <f t="shared" ref="CD48:CL48" si="166">CD11/1.348</f>
        <v>0.25273994932842719</v>
      </c>
      <c r="CE48" s="3">
        <f t="shared" si="166"/>
        <v>0.25201439870886777</v>
      </c>
      <c r="CF48" s="3">
        <f t="shared" si="166"/>
        <v>0.52292125833985048</v>
      </c>
      <c r="CG48" s="3">
        <f t="shared" si="166"/>
        <v>0.25092368704530721</v>
      </c>
      <c r="CH48" s="3">
        <f>CH11/1.348</f>
        <v>0.26000107151046742</v>
      </c>
      <c r="CI48" s="3">
        <f>CI11/1.348</f>
        <v>0.28454733033934776</v>
      </c>
      <c r="CJ48" s="3">
        <f t="shared" si="166"/>
        <v>0.26604761683631728</v>
      </c>
      <c r="CK48" s="3">
        <f t="shared" si="166"/>
        <v>0.26890312799928329</v>
      </c>
      <c r="CL48" s="3">
        <f t="shared" si="166"/>
        <v>0.2463376578066819</v>
      </c>
      <c r="CM48" s="3">
        <f t="shared" ref="CM48:DA48" si="167">CM11/1.348</f>
        <v>0.27972196505007269</v>
      </c>
      <c r="CN48" s="3">
        <f t="shared" si="167"/>
        <v>0.2531404977732597</v>
      </c>
      <c r="CO48" s="3">
        <f t="shared" si="167"/>
        <v>0.58677029592395347</v>
      </c>
      <c r="CP48" s="3">
        <f>CP11/1.348</f>
        <v>0.24892498942496877</v>
      </c>
      <c r="CQ48" s="3">
        <f>CQ11/1.348</f>
        <v>0.30037143032150926</v>
      </c>
      <c r="CR48" s="3">
        <f>CR11/1.348</f>
        <v>0.24009169109292744</v>
      </c>
      <c r="CS48" s="3">
        <f>CS11/1.348</f>
        <v>0.25244051869719997</v>
      </c>
      <c r="CT48" s="3">
        <f t="shared" si="167"/>
        <v>0.23934608299171528</v>
      </c>
      <c r="CU48" s="3">
        <f t="shared" si="167"/>
        <v>0.23566256209114331</v>
      </c>
      <c r="CV48" s="3">
        <f t="shared" si="167"/>
        <v>0.67132510691421121</v>
      </c>
      <c r="CW48" s="3">
        <f t="shared" si="167"/>
        <v>0.56000870166759076</v>
      </c>
      <c r="CX48" s="3">
        <f t="shared" si="167"/>
        <v>0.25169017414669931</v>
      </c>
      <c r="CY48" s="3">
        <f t="shared" si="167"/>
        <v>0.23875740083432773</v>
      </c>
      <c r="CZ48" s="3">
        <f t="shared" si="167"/>
        <v>0.29733137596287096</v>
      </c>
      <c r="DA48" s="3">
        <f t="shared" si="167"/>
        <v>0.23976269145152174</v>
      </c>
      <c r="DN48" s="32"/>
      <c r="DO48" s="32"/>
      <c r="DP48" s="32"/>
      <c r="DQ48" s="32"/>
      <c r="DR48" s="32"/>
      <c r="DV48" s="3">
        <f>DV11/1.348</f>
        <v>0.23260730477755839</v>
      </c>
      <c r="DW48" s="3">
        <f>DW11/1.348</f>
        <v>0.26458598859475657</v>
      </c>
      <c r="DX48" s="3">
        <f>DX11/1.348</f>
        <v>0.24898852381188483</v>
      </c>
      <c r="DY48" s="3">
        <f t="shared" ref="DY48:EF48" si="168">DY11/1.348</f>
        <v>0.2670623145400593</v>
      </c>
      <c r="DZ48" s="3">
        <f t="shared" si="168"/>
        <v>0.24514769512917514</v>
      </c>
      <c r="EA48" s="3">
        <f t="shared" si="168"/>
        <v>0.22079077794370636</v>
      </c>
      <c r="EB48" s="3">
        <f t="shared" si="168"/>
        <v>0.25222551928783382</v>
      </c>
      <c r="EC48" s="3">
        <f t="shared" si="168"/>
        <v>0.26140201866392893</v>
      </c>
      <c r="ED48" s="3">
        <f t="shared" si="168"/>
        <v>0.25964391691394656</v>
      </c>
      <c r="EE48" s="3">
        <f t="shared" si="168"/>
        <v>0.2670623145400593</v>
      </c>
      <c r="EF48" s="3">
        <f t="shared" si="168"/>
        <v>0.24363124873256109</v>
      </c>
      <c r="EG48" s="3">
        <f t="shared" ref="EG48:EM48" si="169">EG11/1.348</f>
        <v>0</v>
      </c>
      <c r="EH48" s="3">
        <f t="shared" si="169"/>
        <v>0.24970121528548453</v>
      </c>
      <c r="EI48" s="3">
        <f t="shared" si="169"/>
        <v>0.27448071216617209</v>
      </c>
      <c r="EJ48" s="3">
        <f t="shared" si="169"/>
        <v>0.24087203153702133</v>
      </c>
      <c r="EK48" s="3"/>
      <c r="EL48" s="3">
        <f t="shared" si="169"/>
        <v>0.23971030128617823</v>
      </c>
      <c r="EM48" s="3">
        <f t="shared" si="169"/>
        <v>0.25516608465751101</v>
      </c>
      <c r="EQ48" s="3">
        <f t="shared" ref="EQ48:EW48" si="170">EQ11/1.348</f>
        <v>0.25337901070583069</v>
      </c>
      <c r="ER48" s="3">
        <f t="shared" si="170"/>
        <v>0.24952473799658789</v>
      </c>
      <c r="ES48" s="3">
        <f t="shared" si="170"/>
        <v>0.25025147788234037</v>
      </c>
      <c r="ET48" s="3">
        <f t="shared" si="170"/>
        <v>0.23707838270838349</v>
      </c>
      <c r="EU48" s="3">
        <f t="shared" si="170"/>
        <v>0.27038477202200523</v>
      </c>
      <c r="EV48" s="3">
        <f t="shared" si="170"/>
        <v>0.24307965468547141</v>
      </c>
      <c r="EW48" s="3">
        <f t="shared" si="170"/>
        <v>0.2887905310452491</v>
      </c>
      <c r="EX48" s="3"/>
      <c r="EY48" s="3"/>
      <c r="FD48">
        <v>0.67132510691421121</v>
      </c>
      <c r="FH48" s="3">
        <f>FH11/1.348</f>
        <v>0.21339673096562847</v>
      </c>
      <c r="FI48" s="3"/>
      <c r="FJ48" s="3">
        <f>FJ11/1.348</f>
        <v>0.25427724193064244</v>
      </c>
    </row>
    <row r="49" spans="1:166" ht="11.1" customHeight="1" x14ac:dyDescent="0.2">
      <c r="A49" s="1" t="s">
        <v>919</v>
      </c>
      <c r="B49" s="3">
        <f>B10/1.3992</f>
        <v>10.674489893990451</v>
      </c>
      <c r="C49" s="3">
        <f>C10/1.3992</f>
        <v>11.74314587573633</v>
      </c>
      <c r="D49" s="3">
        <f t="shared" ref="D49:J49" si="171">D10/1.3992</f>
        <v>11.051924952381187</v>
      </c>
      <c r="E49" s="3">
        <f t="shared" si="171"/>
        <v>11.274793497146188</v>
      </c>
      <c r="F49" s="3">
        <f t="shared" si="171"/>
        <v>12.235650933115465</v>
      </c>
      <c r="G49" s="3">
        <f t="shared" si="171"/>
        <v>11.063377919524097</v>
      </c>
      <c r="H49" s="3">
        <f t="shared" si="171"/>
        <v>12.166580141541646</v>
      </c>
      <c r="I49" s="3">
        <f t="shared" si="171"/>
        <v>11.886320978707662</v>
      </c>
      <c r="J49" s="3">
        <f t="shared" si="171"/>
        <v>12.026450560124655</v>
      </c>
      <c r="K49" s="3">
        <f t="shared" ref="K49:AB49" si="172">K10/1.3992</f>
        <v>10.912181658957104</v>
      </c>
      <c r="L49" s="3">
        <f t="shared" si="172"/>
        <v>12.042672003049361</v>
      </c>
      <c r="M49" s="3">
        <f t="shared" si="172"/>
        <v>11.412568898142098</v>
      </c>
      <c r="N49" s="3">
        <f t="shared" si="172"/>
        <v>11.102645998972445</v>
      </c>
      <c r="O49" s="3">
        <f t="shared" si="172"/>
        <v>11.718072446976965</v>
      </c>
      <c r="P49" s="3">
        <f t="shared" si="172"/>
        <v>12.900228702115495</v>
      </c>
      <c r="Q49" s="3">
        <f t="shared" si="172"/>
        <v>9.8496152662178531</v>
      </c>
      <c r="R49" s="3">
        <f t="shared" si="172"/>
        <v>9.117341589434794</v>
      </c>
      <c r="S49" s="3">
        <f t="shared" si="172"/>
        <v>8.6730019865948211</v>
      </c>
      <c r="T49" s="3">
        <f t="shared" si="4"/>
        <v>8.8360380306630315</v>
      </c>
      <c r="U49" s="3">
        <f t="shared" si="172"/>
        <v>8.8395899697786504</v>
      </c>
      <c r="V49" s="3">
        <f t="shared" si="172"/>
        <v>9.3478266126054983</v>
      </c>
      <c r="W49" s="3">
        <f t="shared" si="172"/>
        <v>8.4700508681389568</v>
      </c>
      <c r="X49" s="3">
        <f t="shared" si="172"/>
        <v>7.8934904069907912</v>
      </c>
      <c r="Y49" s="3">
        <f t="shared" si="172"/>
        <v>8.1050406180251962</v>
      </c>
      <c r="Z49" s="3">
        <f t="shared" si="172"/>
        <v>8.8426323970840475</v>
      </c>
      <c r="AA49" s="3">
        <f t="shared" si="172"/>
        <v>8.4024850480797912</v>
      </c>
      <c r="AB49" s="3">
        <f t="shared" si="172"/>
        <v>8.454634307443758</v>
      </c>
      <c r="AC49" s="3">
        <f>AC10/1.3992</f>
        <v>7.9655036312959071</v>
      </c>
      <c r="AE49" s="3">
        <f>AE10/1.3992</f>
        <v>9.3422289380604955</v>
      </c>
      <c r="AI49" s="3">
        <f t="shared" ref="AI49:BP49" si="173">AI10/1.3992</f>
        <v>12.073146038609995</v>
      </c>
      <c r="AJ49" s="3">
        <f t="shared" si="173"/>
        <v>13.085534557958761</v>
      </c>
      <c r="AK49" s="3">
        <f t="shared" si="173"/>
        <v>10.890173921721139</v>
      </c>
      <c r="AL49" s="3">
        <f t="shared" si="173"/>
        <v>7.7388813387401783</v>
      </c>
      <c r="AM49" s="3">
        <f t="shared" si="173"/>
        <v>12.519720244778432</v>
      </c>
      <c r="AN49" s="3">
        <f t="shared" si="173"/>
        <v>6.5465980560320185</v>
      </c>
      <c r="AO49" s="3">
        <f t="shared" si="173"/>
        <v>6.9710182822460425</v>
      </c>
      <c r="AP49" s="3">
        <f t="shared" si="173"/>
        <v>7.7420965979658689</v>
      </c>
      <c r="AQ49" s="3">
        <f t="shared" si="173"/>
        <v>12.045541547070146</v>
      </c>
      <c r="AR49" s="3">
        <f t="shared" si="173"/>
        <v>12.059500067159496</v>
      </c>
      <c r="AS49" s="3">
        <f t="shared" si="173"/>
        <v>5.8222434832935557</v>
      </c>
      <c r="AT49" s="3">
        <f t="shared" si="173"/>
        <v>9.6354270741425765</v>
      </c>
      <c r="AU49" s="3">
        <f t="shared" si="173"/>
        <v>12.796998389256474</v>
      </c>
      <c r="AV49" s="3">
        <f t="shared" si="173"/>
        <v>8.3761005386047707</v>
      </c>
      <c r="AW49" s="3">
        <f t="shared" si="173"/>
        <v>11.602643352506384</v>
      </c>
      <c r="AX49" s="3">
        <f t="shared" si="173"/>
        <v>8.660789139891099</v>
      </c>
      <c r="AY49" s="3">
        <f t="shared" si="173"/>
        <v>7.9282589174605436</v>
      </c>
      <c r="AZ49" s="3">
        <f t="shared" si="173"/>
        <v>11.070764286408609</v>
      </c>
      <c r="BA49" s="3">
        <f t="shared" si="173"/>
        <v>8.8647362691948697</v>
      </c>
      <c r="BB49" s="3">
        <f t="shared" si="173"/>
        <v>8.165330563443435</v>
      </c>
      <c r="BC49" s="3">
        <f t="shared" si="173"/>
        <v>9.4636410924013212</v>
      </c>
      <c r="BD49" s="3">
        <f t="shared" si="173"/>
        <v>10.357528705379973</v>
      </c>
      <c r="BE49" s="3">
        <f t="shared" si="173"/>
        <v>10.878851859925923</v>
      </c>
      <c r="BF49" s="3">
        <f t="shared" si="173"/>
        <v>9.0496106448842646</v>
      </c>
      <c r="BG49" s="3">
        <f t="shared" si="173"/>
        <v>10.274889231258904</v>
      </c>
      <c r="BH49" s="3">
        <f t="shared" si="173"/>
        <v>10.049925577795094</v>
      </c>
      <c r="BI49" s="3">
        <f>BI10/1.3992</f>
        <v>11.397144130492828</v>
      </c>
      <c r="BJ49" s="3">
        <f>BJ10/1.3992</f>
        <v>12.054865317101969</v>
      </c>
      <c r="BK49" s="3">
        <f>BK10/1.3992</f>
        <v>11.138340947771008</v>
      </c>
      <c r="BL49" s="3">
        <f>BL10/1.3992</f>
        <v>10.173514766940485</v>
      </c>
      <c r="BM49" s="3">
        <f>BM10/1.3992</f>
        <v>10.864429752757911</v>
      </c>
      <c r="BN49" s="3">
        <f t="shared" si="173"/>
        <v>7.5137382576284502</v>
      </c>
      <c r="BO49" s="3">
        <f t="shared" si="173"/>
        <v>6.3754649078972037</v>
      </c>
      <c r="BP49" s="3">
        <f t="shared" si="173"/>
        <v>6.9446015827628278</v>
      </c>
      <c r="BQ49" s="3">
        <f t="shared" ref="BQ49:BV49" si="174">BQ10/1.3992</f>
        <v>6.8848367718868806</v>
      </c>
      <c r="BR49" s="3">
        <f t="shared" si="174"/>
        <v>3.7006861063464838</v>
      </c>
      <c r="BS49" s="3">
        <f t="shared" si="174"/>
        <v>0</v>
      </c>
      <c r="BT49" s="3">
        <f t="shared" si="174"/>
        <v>5.6578660528919285</v>
      </c>
      <c r="BU49" s="3">
        <f t="shared" si="174"/>
        <v>3.7540178707244567</v>
      </c>
      <c r="BV49" s="3">
        <f t="shared" si="174"/>
        <v>4.3708566766542889</v>
      </c>
      <c r="BW49" s="3">
        <f>BW10/1.39345</f>
        <v>9.3034313957082766</v>
      </c>
      <c r="BX49" s="3"/>
      <c r="BY49" s="3"/>
      <c r="BZ49" s="3">
        <f>BZ10/1.3992</f>
        <v>11.383233801514654</v>
      </c>
      <c r="CA49" s="3">
        <f>CA10/1.3992</f>
        <v>12.099405256755736</v>
      </c>
      <c r="CB49" s="3"/>
      <c r="CC49" s="3">
        <f>CC10/1.3992</f>
        <v>6.5197560769090979</v>
      </c>
      <c r="CD49" s="3">
        <f t="shared" ref="CD49:CL49" si="175">CD10/1.3992</f>
        <v>11.959492185857249</v>
      </c>
      <c r="CE49" s="3">
        <f t="shared" si="175"/>
        <v>11.848539262510641</v>
      </c>
      <c r="CF49" s="3">
        <f t="shared" si="175"/>
        <v>11.29090641688803</v>
      </c>
      <c r="CG49" s="3">
        <f t="shared" si="175"/>
        <v>14.130543816081449</v>
      </c>
      <c r="CH49" s="3">
        <f>CH10/1.3992</f>
        <v>12.085204426269589</v>
      </c>
      <c r="CI49" s="3">
        <f>CI10/1.3992</f>
        <v>10.432572368738201</v>
      </c>
      <c r="CJ49" s="3">
        <f t="shared" si="175"/>
        <v>11.823840805398978</v>
      </c>
      <c r="CK49" s="3">
        <f t="shared" si="175"/>
        <v>11.237157922524759</v>
      </c>
      <c r="CL49" s="3">
        <f t="shared" si="175"/>
        <v>10.183171853806352</v>
      </c>
      <c r="CM49" s="3">
        <f>CM10/1.3992</f>
        <v>9.3801503986023693</v>
      </c>
      <c r="CN49" s="3">
        <f>CN10/1.3992</f>
        <v>10.019537293123276</v>
      </c>
      <c r="CO49" s="3">
        <f>CO10/1.39345</f>
        <v>7.0149083962912115</v>
      </c>
      <c r="CP49" s="3">
        <f>CP10/1.3992</f>
        <v>10.208772311584015</v>
      </c>
      <c r="CQ49" s="3">
        <f>CQ10/1.3992</f>
        <v>9.7384562561876038</v>
      </c>
      <c r="CR49" s="3">
        <f>CR10/1.3992</f>
        <v>12.054865317101969</v>
      </c>
      <c r="CS49" s="3">
        <f>CS10/1.3992</f>
        <v>11.515988519873753</v>
      </c>
      <c r="CT49" s="3">
        <f t="shared" ref="CT49:DA49" si="176">CT10/1.3992</f>
        <v>9.7258519236191603</v>
      </c>
      <c r="CU49" s="3">
        <f t="shared" si="176"/>
        <v>10.036264835797448</v>
      </c>
      <c r="CV49" s="3">
        <f t="shared" si="176"/>
        <v>7.5939155844693902</v>
      </c>
      <c r="CW49" s="3">
        <f t="shared" si="176"/>
        <v>8.5348520163942432</v>
      </c>
      <c r="CX49" s="3">
        <f t="shared" si="176"/>
        <v>12.469159191722348</v>
      </c>
      <c r="CY49" s="3">
        <f t="shared" si="176"/>
        <v>10.701251579213615</v>
      </c>
      <c r="CZ49" s="3">
        <f t="shared" si="176"/>
        <v>11.491553883212463</v>
      </c>
      <c r="DA49" s="3">
        <f t="shared" si="176"/>
        <v>12.027159263019882</v>
      </c>
      <c r="DN49" s="32"/>
      <c r="DO49" s="32"/>
      <c r="DP49" s="32"/>
      <c r="DQ49" s="32"/>
      <c r="DR49" s="32"/>
      <c r="DV49" s="3">
        <f>DV10/1.3992</f>
        <v>11.171450069184516</v>
      </c>
      <c r="DW49" s="3">
        <f>DW10/1.3992</f>
        <v>11.820345142141548</v>
      </c>
      <c r="DX49" s="3">
        <f>DX10/1.3992</f>
        <v>11.759386163312625</v>
      </c>
      <c r="DY49" s="3">
        <f t="shared" ref="DY49:EF49" si="177">DY10/1.3992</f>
        <v>12.364208118925101</v>
      </c>
      <c r="DZ49" s="3">
        <f t="shared" si="177"/>
        <v>11.986684904564443</v>
      </c>
      <c r="EA49" s="3">
        <f t="shared" si="177"/>
        <v>11.897379026197816</v>
      </c>
      <c r="EB49" s="3">
        <f t="shared" si="177"/>
        <v>12.006861063464838</v>
      </c>
      <c r="EC49" s="3">
        <f t="shared" si="177"/>
        <v>11.323315259503927</v>
      </c>
      <c r="ED49" s="3">
        <f t="shared" si="177"/>
        <v>11.363636363636363</v>
      </c>
      <c r="EE49" s="3">
        <f t="shared" si="177"/>
        <v>11.50657518582047</v>
      </c>
      <c r="EF49" s="3">
        <f t="shared" si="177"/>
        <v>12.014063762177708</v>
      </c>
      <c r="EG49" s="3">
        <f t="shared" ref="EG49:EM49" si="178">EG10/1.3992</f>
        <v>0</v>
      </c>
      <c r="EH49" s="3">
        <f t="shared" si="178"/>
        <v>11.947943472368742</v>
      </c>
      <c r="EI49" s="3">
        <f t="shared" si="178"/>
        <v>13.293310463121784</v>
      </c>
      <c r="EJ49" s="3">
        <f t="shared" si="178"/>
        <v>11.424390680729125</v>
      </c>
      <c r="EK49" s="3"/>
      <c r="EL49" s="3">
        <f t="shared" si="178"/>
        <v>14.986068121114045</v>
      </c>
      <c r="EM49" s="3">
        <f t="shared" si="178"/>
        <v>13.806870454010784</v>
      </c>
      <c r="EQ49" s="3">
        <f t="shared" ref="EQ49:EW49" si="179">EQ10/1.3992</f>
        <v>11.360612330758926</v>
      </c>
      <c r="ER49" s="3">
        <f t="shared" si="179"/>
        <v>11.251355397664724</v>
      </c>
      <c r="ES49" s="3">
        <f t="shared" si="179"/>
        <v>11.299407822178042</v>
      </c>
      <c r="ET49" s="3">
        <f t="shared" si="179"/>
        <v>12.398760141306392</v>
      </c>
      <c r="EU49" s="3">
        <f t="shared" si="179"/>
        <v>12.867288357741389</v>
      </c>
      <c r="EV49" s="3">
        <f t="shared" si="179"/>
        <v>12.686368993038169</v>
      </c>
      <c r="EW49" s="3">
        <f t="shared" si="179"/>
        <v>11.964921110679027</v>
      </c>
      <c r="EX49" s="3"/>
      <c r="EY49" s="3"/>
      <c r="FD49">
        <v>7.5939155844693902</v>
      </c>
      <c r="FH49" s="3">
        <f>FH10/1.3992</f>
        <v>11.396718472531832</v>
      </c>
      <c r="FI49" s="3"/>
      <c r="FJ49" s="3">
        <f>FJ10/1.3992</f>
        <v>0</v>
      </c>
    </row>
    <row r="50" spans="1:166" ht="11.1" customHeight="1" x14ac:dyDescent="0.2">
      <c r="A50" s="1" t="s">
        <v>920</v>
      </c>
      <c r="B50" s="3">
        <f>B7/1.2865</f>
        <v>4.248576533942324</v>
      </c>
      <c r="C50" s="3">
        <f>C7/1.2865</f>
        <v>3.4000040035995154</v>
      </c>
      <c r="D50" s="3">
        <f t="shared" ref="D50:J50" si="180">D7/1.2865</f>
        <v>4.9018368541564232</v>
      </c>
      <c r="E50" s="3">
        <f t="shared" si="180"/>
        <v>4.3057295079115194</v>
      </c>
      <c r="F50" s="3">
        <f t="shared" si="180"/>
        <v>2.6464015804870837</v>
      </c>
      <c r="G50" s="3">
        <f t="shared" si="180"/>
        <v>3.8953272537003469</v>
      </c>
      <c r="H50" s="3">
        <f t="shared" si="180"/>
        <v>2.5332509862553771</v>
      </c>
      <c r="I50" s="3">
        <f t="shared" si="180"/>
        <v>2.8730333906900074</v>
      </c>
      <c r="J50" s="3">
        <f t="shared" si="180"/>
        <v>2.7031421884726923</v>
      </c>
      <c r="K50" s="3">
        <f t="shared" ref="K50:AB50" si="181">K7/1.2865</f>
        <v>4.8521410600986279</v>
      </c>
      <c r="L50" s="3">
        <f t="shared" si="181"/>
        <v>3.3349345770177483</v>
      </c>
      <c r="M50" s="3">
        <f t="shared" si="181"/>
        <v>3.653322969296541</v>
      </c>
      <c r="N50" s="3">
        <f t="shared" si="181"/>
        <v>2.7630753697129173</v>
      </c>
      <c r="O50" s="3">
        <f t="shared" si="181"/>
        <v>3.0290316691153927</v>
      </c>
      <c r="P50" s="3">
        <f t="shared" si="181"/>
        <v>4.0419743490089388</v>
      </c>
      <c r="Q50" s="3">
        <f t="shared" si="181"/>
        <v>7.0316712628547258</v>
      </c>
      <c r="R50" s="3">
        <f t="shared" si="181"/>
        <v>9.4472995452530135</v>
      </c>
      <c r="S50" s="3">
        <f t="shared" si="181"/>
        <v>11.003470619363688</v>
      </c>
      <c r="T50" s="3">
        <f t="shared" si="4"/>
        <v>10.432483981677567</v>
      </c>
      <c r="U50" s="3">
        <f t="shared" si="181"/>
        <v>10.827427683082563</v>
      </c>
      <c r="V50" s="3">
        <f t="shared" si="181"/>
        <v>12.713533476710561</v>
      </c>
      <c r="W50" s="3">
        <f t="shared" si="181"/>
        <v>13.232619808124321</v>
      </c>
      <c r="X50" s="3">
        <f t="shared" si="181"/>
        <v>14.360018875882735</v>
      </c>
      <c r="Y50" s="3">
        <f t="shared" si="181"/>
        <v>13.946356256303632</v>
      </c>
      <c r="Z50" s="3">
        <f t="shared" si="181"/>
        <v>16.863160561286147</v>
      </c>
      <c r="AA50" s="3">
        <f t="shared" si="181"/>
        <v>17.50546246058455</v>
      </c>
      <c r="AB50" s="3">
        <f t="shared" si="181"/>
        <v>16.939323445843296</v>
      </c>
      <c r="AC50" s="3">
        <f>AC7/1.2865</f>
        <v>17.454167151788145</v>
      </c>
      <c r="AE50" s="3">
        <f>AE7/1.2865</f>
        <v>7.4450396436894</v>
      </c>
      <c r="AI50" s="3">
        <f t="shared" ref="AI50:AT50" si="182">AI7/1.2865</f>
        <v>3.4191908392450507</v>
      </c>
      <c r="AJ50" s="3">
        <f t="shared" si="182"/>
        <v>2.7642776391137978</v>
      </c>
      <c r="AK50" s="3">
        <f t="shared" si="182"/>
        <v>3.6489972840101879</v>
      </c>
      <c r="AL50" s="3">
        <f t="shared" si="182"/>
        <v>12.633774127564983</v>
      </c>
      <c r="AM50" s="3">
        <f t="shared" si="182"/>
        <v>4.2135404078360628</v>
      </c>
      <c r="AN50" s="3">
        <f t="shared" si="182"/>
        <v>16.960746210649049</v>
      </c>
      <c r="AO50" s="3">
        <f t="shared" si="182"/>
        <v>19.367405145194489</v>
      </c>
      <c r="AP50" s="3">
        <f t="shared" si="182"/>
        <v>17.380908028122825</v>
      </c>
      <c r="AQ50" s="3">
        <f t="shared" si="182"/>
        <v>2.9809114519433506</v>
      </c>
      <c r="AR50" s="3">
        <f t="shared" si="182"/>
        <v>3.1497290114236645</v>
      </c>
      <c r="AS50" s="3">
        <f t="shared" si="182"/>
        <v>15.310419607491347</v>
      </c>
      <c r="AT50" s="3">
        <f t="shared" si="182"/>
        <v>7.5554972715342732</v>
      </c>
      <c r="AU50" s="3">
        <f>AU7/1.24025</f>
        <v>2.1532010212670754</v>
      </c>
      <c r="AV50" s="3">
        <f>AV7/1.2865</f>
        <v>11.939873025461065</v>
      </c>
      <c r="AW50" s="3">
        <f t="shared" ref="AW50:BH50" si="183">AW7/1.2865</f>
        <v>4.1523408594590405</v>
      </c>
      <c r="AX50" s="3">
        <f>AX7/1.2865</f>
        <v>7.1982494952904599</v>
      </c>
      <c r="AY50" s="3">
        <f>AY7/1.2865</f>
        <v>16.858597326433472</v>
      </c>
      <c r="AZ50" s="3">
        <f t="shared" si="183"/>
        <v>5.4673911434272773</v>
      </c>
      <c r="BA50" s="3">
        <f>BA7/1.2865</f>
        <v>10.665983074764647</v>
      </c>
      <c r="BB50" s="3">
        <f>BB7/1.2865</f>
        <v>13.34898014673618</v>
      </c>
      <c r="BC50" s="3">
        <f t="shared" si="183"/>
        <v>6.6472408069508386</v>
      </c>
      <c r="BD50" s="3">
        <f t="shared" si="183"/>
        <v>4.6205139758305496</v>
      </c>
      <c r="BE50" s="3">
        <f t="shared" si="183"/>
        <v>4.4681623017387828</v>
      </c>
      <c r="BF50" s="3">
        <f>BF7/1.2865</f>
        <v>9.8895478665174767</v>
      </c>
      <c r="BG50" s="3">
        <f>BG7/1.2865</f>
        <v>5.8775856396757895</v>
      </c>
      <c r="BH50" s="3">
        <f t="shared" si="183"/>
        <v>4.4383987563155847</v>
      </c>
      <c r="BI50" s="3">
        <f t="shared" ref="BI50:BP50" si="184">BI7/1.2865</f>
        <v>3.6852845842543629</v>
      </c>
      <c r="BJ50" s="3">
        <f t="shared" si="184"/>
        <v>3.2517733344404616</v>
      </c>
      <c r="BK50" s="3">
        <f t="shared" si="184"/>
        <v>3.8562734919914461</v>
      </c>
      <c r="BL50" s="3">
        <f t="shared" si="184"/>
        <v>4.3983053144304485</v>
      </c>
      <c r="BM50" s="3">
        <f t="shared" si="184"/>
        <v>4.1255637409649992</v>
      </c>
      <c r="BN50" s="3">
        <f t="shared" si="184"/>
        <v>16.673995067792713</v>
      </c>
      <c r="BO50" s="3">
        <f t="shared" si="184"/>
        <v>16.993541618446947</v>
      </c>
      <c r="BP50" s="3">
        <f t="shared" si="184"/>
        <v>16.833768343119829</v>
      </c>
      <c r="BQ50" s="3">
        <f t="shared" ref="BQ50:BV50" si="185">BQ7/1.2865</f>
        <v>14.99648827570965</v>
      </c>
      <c r="BR50" s="3">
        <f t="shared" si="185"/>
        <v>15.336531620502917</v>
      </c>
      <c r="BS50" s="3">
        <f t="shared" si="185"/>
        <v>0</v>
      </c>
      <c r="BT50" s="3">
        <f t="shared" si="185"/>
        <v>14.492739511251042</v>
      </c>
      <c r="BU50" s="3">
        <f t="shared" si="185"/>
        <v>15.727593219144396</v>
      </c>
      <c r="BV50" s="3">
        <f t="shared" si="185"/>
        <v>15.185621450299452</v>
      </c>
      <c r="BW50" s="3">
        <f>BW7/1.2865</f>
        <v>8.9306478861062022</v>
      </c>
      <c r="BX50" s="3"/>
      <c r="BY50" s="3"/>
      <c r="BZ50" s="3">
        <f>BZ7/1.2865</f>
        <v>3.6940718791816285</v>
      </c>
      <c r="CA50" s="3">
        <f>CA7/1.2865</f>
        <v>3.1947183058185642</v>
      </c>
      <c r="CB50" s="3"/>
      <c r="CC50" s="3">
        <f t="shared" ref="CC50:CJ50" si="186">CC7/1.2865</f>
        <v>16.798474034041284</v>
      </c>
      <c r="CD50" s="3">
        <f t="shared" si="186"/>
        <v>2.4541000211396962</v>
      </c>
      <c r="CE50" s="3">
        <f t="shared" si="186"/>
        <v>2.4391823090252429</v>
      </c>
      <c r="CF50" s="3">
        <f t="shared" si="186"/>
        <v>2.4909498466550577</v>
      </c>
      <c r="CG50" s="3">
        <f t="shared" si="186"/>
        <v>3.0514634030131482</v>
      </c>
      <c r="CH50" s="3">
        <f t="shared" si="186"/>
        <v>3.1618527680694455</v>
      </c>
      <c r="CI50" s="3">
        <f t="shared" si="186"/>
        <v>7.1664431843477887</v>
      </c>
      <c r="CJ50" s="3">
        <f t="shared" si="186"/>
        <v>3.2711809962361627</v>
      </c>
      <c r="CK50" s="3">
        <f>CK7/1.24075</f>
        <v>4.168427838422974</v>
      </c>
      <c r="CL50" s="3">
        <f>CL7/1.2865</f>
        <v>6.1113516682513689</v>
      </c>
      <c r="CM50" s="3">
        <f t="shared" ref="CM50:DA50" si="187">CM7/1.2865</f>
        <v>8.5794761665364145</v>
      </c>
      <c r="CN50" s="3">
        <f t="shared" si="187"/>
        <v>6.6142902452603982</v>
      </c>
      <c r="CO50" s="3">
        <f t="shared" si="187"/>
        <v>10.539569336169484</v>
      </c>
      <c r="CP50" s="3">
        <f>CP7/1.2865</f>
        <v>6.1817647323293574</v>
      </c>
      <c r="CQ50" s="3">
        <f>CQ7/1.2865</f>
        <v>4.7010089782034328</v>
      </c>
      <c r="CR50" s="3">
        <f>CR7/1.2865</f>
        <v>3.2517733344404616</v>
      </c>
      <c r="CS50" s="3">
        <f>CS7/1.24075</f>
        <v>4.442379375236138</v>
      </c>
      <c r="CT50" s="3">
        <f t="shared" si="187"/>
        <v>6.0281684397205915</v>
      </c>
      <c r="CU50" s="3">
        <f t="shared" si="187"/>
        <v>6.1103881383139926</v>
      </c>
      <c r="CV50" s="3">
        <f t="shared" si="187"/>
        <v>8.661156407996085</v>
      </c>
      <c r="CW50" s="3">
        <f t="shared" si="187"/>
        <v>8.8024729735559024</v>
      </c>
      <c r="CX50" s="3">
        <f t="shared" si="187"/>
        <v>3.0286963732416026</v>
      </c>
      <c r="CY50" s="3">
        <f t="shared" si="187"/>
        <v>4.5763206066268669</v>
      </c>
      <c r="CZ50" s="3">
        <f t="shared" si="187"/>
        <v>2.4456664335434795</v>
      </c>
      <c r="DA50" s="3">
        <f t="shared" si="187"/>
        <v>3.211159285012644</v>
      </c>
      <c r="DN50" s="32"/>
      <c r="DO50" s="32"/>
      <c r="DP50" s="32"/>
      <c r="DQ50" s="32"/>
      <c r="DR50" s="32"/>
      <c r="DV50" s="3">
        <f>DV7/1.2865</f>
        <v>2.9104526993933288</v>
      </c>
      <c r="DW50" s="3">
        <f>DW7/1.2865</f>
        <v>2.4357878701365649</v>
      </c>
      <c r="DX50" s="3">
        <f>DX7/1.2865</f>
        <v>2.6369680317560826</v>
      </c>
      <c r="DY50" s="3">
        <f t="shared" ref="DY50:EF50" si="188">DY7/1.2865</f>
        <v>2.0054411193159738</v>
      </c>
      <c r="DZ50" s="3">
        <f t="shared" si="188"/>
        <v>2.6169410937874469</v>
      </c>
      <c r="EA50" s="3">
        <f t="shared" si="188"/>
        <v>2.3707777497615972</v>
      </c>
      <c r="EB50" s="3">
        <f t="shared" si="188"/>
        <v>2.464049747376603</v>
      </c>
      <c r="EC50" s="3">
        <f t="shared" si="188"/>
        <v>2.5686346348458367</v>
      </c>
      <c r="ED50" s="3">
        <f t="shared" si="188"/>
        <v>3.2102603964244074</v>
      </c>
      <c r="EE50" s="3">
        <f t="shared" si="188"/>
        <v>2.7361057131752817</v>
      </c>
      <c r="EF50" s="3">
        <f t="shared" si="188"/>
        <v>2.5165840850241294</v>
      </c>
      <c r="EG50" s="3">
        <f t="shared" ref="EG50:EM50" si="189">EG7/1.2865</f>
        <v>0</v>
      </c>
      <c r="EH50" s="3">
        <f t="shared" si="189"/>
        <v>2.3681094934086411</v>
      </c>
      <c r="EI50" s="3">
        <f t="shared" si="189"/>
        <v>0.83948698017877965</v>
      </c>
      <c r="EJ50" s="3">
        <f t="shared" si="189"/>
        <v>2.4689527117687344</v>
      </c>
      <c r="EK50" s="3"/>
      <c r="EL50" s="3">
        <f t="shared" si="189"/>
        <v>2.8959584060601715</v>
      </c>
      <c r="EM50" s="3">
        <f t="shared" si="189"/>
        <v>3.1102961268603577</v>
      </c>
      <c r="EQ50" s="3">
        <f t="shared" ref="EQ50:EW50" si="190">EQ7/1.2865</f>
        <v>3.741855116748642</v>
      </c>
      <c r="ER50" s="3">
        <f t="shared" si="190"/>
        <v>3.6547900501078958</v>
      </c>
      <c r="ES50" s="3">
        <f t="shared" si="190"/>
        <v>3.5515111794087448</v>
      </c>
      <c r="ET50" s="3">
        <f t="shared" si="190"/>
        <v>2.2121734607815822</v>
      </c>
      <c r="EU50" s="3">
        <f t="shared" si="190"/>
        <v>2.7334164242931829</v>
      </c>
      <c r="EV50" s="3">
        <f t="shared" si="190"/>
        <v>1.9418043123203037</v>
      </c>
      <c r="EW50" s="3">
        <f t="shared" si="190"/>
        <v>4.0508997378564926</v>
      </c>
      <c r="EX50" s="3"/>
      <c r="EY50" s="3"/>
      <c r="FD50">
        <v>8.661156407996085</v>
      </c>
      <c r="FH50" s="3">
        <f>FH7/1.2865</f>
        <v>4.538579217489481</v>
      </c>
      <c r="FI50" s="3"/>
      <c r="FJ50" s="3">
        <f>FJ7/1.2865</f>
        <v>5.4080369482925255</v>
      </c>
    </row>
    <row r="51" spans="1:166" ht="11.1" customHeight="1" x14ac:dyDescent="0.2">
      <c r="A51" s="1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>
        <f t="shared" si="4"/>
        <v>0</v>
      </c>
      <c r="U51" s="3"/>
      <c r="V51" s="3"/>
      <c r="W51" s="3"/>
      <c r="X51" s="3"/>
      <c r="Y51" s="3"/>
      <c r="Z51" s="3"/>
      <c r="AA51" s="3"/>
      <c r="AB51" s="3"/>
      <c r="AC51" s="3"/>
      <c r="AE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N51" s="32"/>
      <c r="DO51" s="32"/>
      <c r="DP51" s="32"/>
      <c r="DQ51" s="32"/>
      <c r="DR51" s="32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Q51" s="3"/>
      <c r="ER51" s="3"/>
      <c r="ES51" s="3"/>
      <c r="ET51" s="3"/>
      <c r="EU51" s="3"/>
      <c r="EV51" s="3"/>
      <c r="EW51" s="3"/>
      <c r="EX51" s="3"/>
      <c r="EY51" s="3"/>
      <c r="FH51" s="3"/>
      <c r="FI51" s="3"/>
      <c r="FJ51" s="3"/>
    </row>
    <row r="52" spans="1:166" ht="11.1" customHeight="1" x14ac:dyDescent="0.2">
      <c r="A52" s="1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>
        <f t="shared" si="4"/>
        <v>0</v>
      </c>
      <c r="U52" s="3"/>
      <c r="V52" s="3"/>
      <c r="W52" s="3"/>
      <c r="X52" s="3"/>
      <c r="Y52" s="3"/>
      <c r="Z52" s="3"/>
      <c r="AA52" s="3"/>
      <c r="AB52" s="3"/>
      <c r="AC52" s="3"/>
      <c r="AE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N52" s="32"/>
      <c r="DO52" s="32"/>
      <c r="DP52" s="32"/>
      <c r="DQ52" s="32"/>
      <c r="DR52" s="32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Q52" s="3"/>
      <c r="ER52" s="3"/>
      <c r="ES52" s="3"/>
      <c r="ET52" s="3"/>
      <c r="EU52" s="3"/>
      <c r="EV52" s="3"/>
      <c r="EW52" s="3"/>
      <c r="EX52" s="3"/>
      <c r="EY52" s="3"/>
      <c r="FH52" s="3"/>
      <c r="FI52" s="3"/>
      <c r="FJ52" s="3"/>
    </row>
    <row r="53" spans="1:166" ht="11.1" customHeight="1" x14ac:dyDescent="0.2">
      <c r="A53" s="1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>
        <f t="shared" si="4"/>
        <v>0</v>
      </c>
      <c r="U53" s="3"/>
      <c r="V53" s="3"/>
      <c r="W53" s="3"/>
      <c r="X53" s="3"/>
      <c r="Y53" s="3"/>
      <c r="Z53" s="3"/>
      <c r="AA53" s="3"/>
      <c r="AB53" s="3"/>
      <c r="AC53" s="3"/>
      <c r="AE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N53" s="32"/>
      <c r="DO53" s="32"/>
      <c r="DP53" s="32"/>
      <c r="DQ53" s="32"/>
      <c r="DR53" s="32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Q53" s="3"/>
      <c r="ER53" s="3"/>
      <c r="ES53" s="3"/>
      <c r="ET53" s="3"/>
      <c r="EU53" s="3"/>
      <c r="EV53" s="3"/>
      <c r="EW53" s="3"/>
      <c r="EX53" s="3"/>
      <c r="EY53" s="3"/>
      <c r="FH53" s="3"/>
      <c r="FI53" s="3"/>
      <c r="FJ53" s="3"/>
    </row>
    <row r="54" spans="1:166" ht="11.1" customHeight="1" x14ac:dyDescent="0.2">
      <c r="A54" s="1" t="s">
        <v>474</v>
      </c>
      <c r="B54" s="8">
        <f>nonmare!$AD11</f>
        <v>199.26242159271573</v>
      </c>
      <c r="C54" s="8">
        <f>nonmare!$AD131</f>
        <v>282.83462500000002</v>
      </c>
      <c r="D54" s="8">
        <f>nonmare!$AD31</f>
        <v>240.04733333333331</v>
      </c>
      <c r="E54" s="8">
        <f>nonmare!$AD577</f>
        <v>0</v>
      </c>
      <c r="F54" s="8">
        <f>nonmare!$AD583</f>
        <v>0</v>
      </c>
      <c r="G54" s="8">
        <f>nonmare!$AD589</f>
        <v>0</v>
      </c>
      <c r="H54" s="8">
        <f>nonmare!$AD595</f>
        <v>0</v>
      </c>
      <c r="I54" s="8">
        <f>nonmare!$AD601</f>
        <v>0</v>
      </c>
      <c r="J54" s="8">
        <f t="shared" ref="J54:J84" si="191">AVERAGE(H54:I54)</f>
        <v>0</v>
      </c>
      <c r="K54" s="8">
        <f>nonmare!$AD294</f>
        <v>216.21822838371591</v>
      </c>
      <c r="L54" s="8">
        <f>nonmare!$AD114</f>
        <v>235.98817871524449</v>
      </c>
      <c r="M54" s="8">
        <f>nonmare!$AD84</f>
        <v>178.35123751730737</v>
      </c>
      <c r="N54" s="8">
        <f>nonmare!$AD525</f>
        <v>0</v>
      </c>
      <c r="O54" s="8">
        <f>nonmare!$AD531</f>
        <v>0</v>
      </c>
      <c r="P54" s="8"/>
      <c r="Q54" s="8">
        <f>nonmare!$AD283</f>
        <v>1123.746899504245</v>
      </c>
      <c r="R54" s="8">
        <f>R12*8301</f>
        <v>527.25468832002502</v>
      </c>
      <c r="S54" s="8">
        <f>S12*8301</f>
        <v>642.62390723999999</v>
      </c>
      <c r="T54" s="8">
        <f t="shared" si="4"/>
        <v>600.29290424199314</v>
      </c>
      <c r="U54" s="8">
        <f>U12*8301</f>
        <v>584.61508040000001</v>
      </c>
      <c r="V54" s="8">
        <f>V12*8301</f>
        <v>394.61775215590382</v>
      </c>
      <c r="W54" s="8">
        <f>W12*8301</f>
        <v>492.60227632770778</v>
      </c>
      <c r="X54" s="8">
        <f>X12*8301</f>
        <v>401.2458681554059</v>
      </c>
      <c r="Y54" s="38">
        <f t="shared" ref="Y54:Y84" si="192">(W54*W$85+X54*X$85)/Y$85</f>
        <v>434.76614699955155</v>
      </c>
      <c r="Z54" s="8">
        <f>Z12*8301</f>
        <v>501.41113829555547</v>
      </c>
      <c r="AA54" s="8">
        <f>AA12*8301</f>
        <v>313.81453192499998</v>
      </c>
      <c r="AB54" s="8">
        <f>AB12*8301</f>
        <v>227.58653059100271</v>
      </c>
      <c r="AC54" s="8">
        <f>AC12*8301</f>
        <v>749.86135541422061</v>
      </c>
      <c r="AE54" s="8">
        <f>AE12*8301</f>
        <v>2006.6254380541498</v>
      </c>
      <c r="AI54" s="46">
        <f>nonmare!$AD157</f>
        <v>543.01</v>
      </c>
      <c r="AJ54" s="46">
        <f>nonmare!$AD170</f>
        <v>675.6966666666666</v>
      </c>
      <c r="AK54" s="8">
        <f>nonmare!$AD490</f>
        <v>0</v>
      </c>
      <c r="AL54" s="8">
        <f>AL12*8301</f>
        <v>1479.6962957996716</v>
      </c>
      <c r="AM54" s="8">
        <f>nonmare!$AD441</f>
        <v>427.67325372052153</v>
      </c>
      <c r="AN54" s="8">
        <f>AN12*8301</f>
        <v>99.321555763823824</v>
      </c>
      <c r="AO54" s="8">
        <f>AO12*8301</f>
        <v>327.48615239071597</v>
      </c>
      <c r="AP54" s="8">
        <f>AP12*8301</f>
        <v>849.41426792310665</v>
      </c>
      <c r="AQ54" s="8">
        <f>nonmare!$AD265</f>
        <v>295.26750000000004</v>
      </c>
      <c r="AR54" s="8">
        <f>nonmare!$AD274</f>
        <v>0</v>
      </c>
      <c r="AS54" s="8">
        <f>AS12*8301</f>
        <v>538.43528441694627</v>
      </c>
      <c r="AT54" s="8">
        <f>AT12*8301</f>
        <v>1586.0422614946483</v>
      </c>
      <c r="AU54" s="8">
        <f>nonmare!$AD475</f>
        <v>250.82639688466364</v>
      </c>
      <c r="AV54" s="8">
        <f>AV12*8301</f>
        <v>858.85287773264258</v>
      </c>
      <c r="AW54" s="8">
        <f>nonmare!$AD463</f>
        <v>0</v>
      </c>
      <c r="AX54" s="8">
        <f>AX12*8301</f>
        <v>3809.5813340864001</v>
      </c>
      <c r="AY54" s="8">
        <f>AY12*8301</f>
        <v>1047.0046721065887</v>
      </c>
      <c r="AZ54" s="8">
        <f>nonmare!$AD513</f>
        <v>0</v>
      </c>
      <c r="BA54" s="8">
        <f>BA12*8301</f>
        <v>535.79031126592372</v>
      </c>
      <c r="BB54" s="8">
        <f>BB12*8301</f>
        <v>377.0355546054958</v>
      </c>
      <c r="BC54" s="8">
        <f>nonmare!$AD507</f>
        <v>0</v>
      </c>
      <c r="BD54" s="8">
        <f>nonmare!$AD519</f>
        <v>0</v>
      </c>
      <c r="BE54" s="8">
        <f>nonmare!$AD566</f>
        <v>0</v>
      </c>
      <c r="BF54" s="8">
        <f>BF12*8301</f>
        <v>999.54748956646938</v>
      </c>
      <c r="BG54" s="8">
        <f>BG12*8301</f>
        <v>799.21777464816171</v>
      </c>
      <c r="BH54" s="8">
        <f>nonmare!$AD572</f>
        <v>0</v>
      </c>
      <c r="BI54" s="8">
        <f>nonmare!$AD622</f>
        <v>0</v>
      </c>
      <c r="BJ54" s="8">
        <f>nonmare!$AD627</f>
        <v>0</v>
      </c>
      <c r="BK54" s="8">
        <f>nonmare!$AD632</f>
        <v>0</v>
      </c>
      <c r="BL54" s="8">
        <f>nonmare!$AD637</f>
        <v>0</v>
      </c>
      <c r="BM54" s="8">
        <f>nonmare!$AD642</f>
        <v>0</v>
      </c>
      <c r="BN54" s="8">
        <f>BN12*8301</f>
        <v>95.970918224043899</v>
      </c>
      <c r="BO54" s="8">
        <f>BO12*8301</f>
        <v>186.44757185394354</v>
      </c>
      <c r="BP54" s="38">
        <f t="shared" ref="BP54:BP84" si="193">AVERAGE(BN54:BO54)</f>
        <v>141.20924503899371</v>
      </c>
      <c r="BQ54" s="8">
        <f>BQ12*8301</f>
        <v>946.21437335332348</v>
      </c>
      <c r="BR54" s="8">
        <f>BR12*8301</f>
        <v>599.74725000000012</v>
      </c>
      <c r="BS54" s="8"/>
      <c r="BT54" s="8">
        <f>BT12*8301</f>
        <v>272.52619861088721</v>
      </c>
      <c r="BU54" s="8">
        <f>BU12*8301</f>
        <v>142.36113300128139</v>
      </c>
      <c r="BV54" s="39">
        <f t="shared" ref="BV54:BV84" si="194">AVERAGE(BR54:BU54)</f>
        <v>338.21152720405621</v>
      </c>
      <c r="BW54" s="8">
        <f>BW12*8301</f>
        <v>708.96066232975477</v>
      </c>
      <c r="BX54" s="46"/>
      <c r="BY54" s="46"/>
      <c r="BZ54" s="8">
        <f>nonmare!$AD194</f>
        <v>0</v>
      </c>
      <c r="CA54" s="8">
        <f>nonmare!$AD235</f>
        <v>0</v>
      </c>
      <c r="CB54" s="8">
        <f t="shared" ref="CB54:CB84" si="195">AVERAGE(ET54,EU54,EV54)</f>
        <v>213.49955443674909</v>
      </c>
      <c r="CC54" s="8">
        <f>CC12*8301</f>
        <v>1031.2481395219434</v>
      </c>
      <c r="CD54" s="8">
        <f>nonmare!$AD322</f>
        <v>0</v>
      </c>
      <c r="CE54" s="8">
        <f>AVERAGE(DV54:EJ54)</f>
        <v>147.52238763337689</v>
      </c>
      <c r="CF54" s="8">
        <f>nonmare!$AD436</f>
        <v>336.08825957433748</v>
      </c>
      <c r="CG54" s="8">
        <f t="shared" ref="CG54:CG84" si="196">(34.05*EL54+90*EM54)/(34.05+90)</f>
        <v>238.40265925337758</v>
      </c>
      <c r="CH54" s="8">
        <f t="shared" ref="CH54:CH84" si="197">CG54*CH$1</f>
        <v>247.02708455591485</v>
      </c>
      <c r="CI54" s="8">
        <f>CI12*8301</f>
        <v>524.22890634832368</v>
      </c>
      <c r="CJ54" s="8">
        <f>nonmare!$AD470</f>
        <v>543.17447433597363</v>
      </c>
      <c r="CK54" s="8">
        <f>nonmare!$AD485</f>
        <v>332.73973720016414</v>
      </c>
      <c r="CL54" s="8">
        <f>CL12*8301</f>
        <v>603.78748313125755</v>
      </c>
      <c r="CM54" s="8">
        <f>CM12*8301</f>
        <v>1028.886078898104</v>
      </c>
      <c r="CN54" s="514" t="e">
        <f>(CL54*#REF!+#REF!*#REF!+CM54*#REF!)/#REF!</f>
        <v>#REF!</v>
      </c>
      <c r="CO54" s="8">
        <f>CO12*8301</f>
        <v>5784.9212106093728</v>
      </c>
      <c r="CP54" s="8">
        <f>nonmare!$AD607</f>
        <v>0</v>
      </c>
      <c r="CQ54" s="8">
        <f>nonmare!$AD612</f>
        <v>0</v>
      </c>
      <c r="CR54" s="8">
        <f>nonmare!$AD627</f>
        <v>0</v>
      </c>
      <c r="CS54" s="8">
        <f>nonmare!$AD480</f>
        <v>250.53239466446445</v>
      </c>
      <c r="CT54" s="8">
        <f>nonmare!$AD501</f>
        <v>0</v>
      </c>
      <c r="CU54" s="8">
        <f>nonmare!$AD561</f>
        <v>0</v>
      </c>
      <c r="CV54" s="8">
        <f>nonmare!$AD301</f>
        <v>4482.54</v>
      </c>
      <c r="CW54" s="8">
        <f>nonmare!$AD307</f>
        <v>3818.46</v>
      </c>
      <c r="CX54" s="8">
        <f>nonmare!$AD537</f>
        <v>0</v>
      </c>
      <c r="CY54" s="8">
        <f>nonmare!$AD543</f>
        <v>0</v>
      </c>
      <c r="CZ54" s="8">
        <f>nonmare!$AD555</f>
        <v>0</v>
      </c>
      <c r="DA54" s="8">
        <f>nonmare!$AD549</f>
        <v>0</v>
      </c>
      <c r="DN54" s="32"/>
      <c r="DO54" s="32"/>
      <c r="DP54" s="32"/>
      <c r="DQ54" s="32"/>
      <c r="DR54" s="32"/>
      <c r="DV54" s="8">
        <f>nonmare!$AD328</f>
        <v>87.316745780478612</v>
      </c>
      <c r="DW54" s="8">
        <f>nonmare!$AD334</f>
        <v>209.30456046230009</v>
      </c>
      <c r="DX54" s="8">
        <f>nonmare!$AD340</f>
        <v>140.28219896326289</v>
      </c>
      <c r="DY54" s="8">
        <f>nonmare!$AD346</f>
        <v>83.01</v>
      </c>
      <c r="DZ54" s="8">
        <f>nonmare!$AD366</f>
        <v>102.93081712166115</v>
      </c>
      <c r="EA54" s="8">
        <f>nonmare!$AD374</f>
        <v>249.11792941963537</v>
      </c>
      <c r="EB54" s="8">
        <f>nonmare!$AD381</f>
        <v>83.01</v>
      </c>
      <c r="EC54" s="8"/>
      <c r="ED54" s="8">
        <f>nonmare!$AD388</f>
        <v>166.02</v>
      </c>
      <c r="EE54" s="8">
        <f>nonmare!$AD395</f>
        <v>166.02</v>
      </c>
      <c r="EF54" s="8">
        <f>nonmare!$AD400</f>
        <v>178.81930589113833</v>
      </c>
      <c r="EG54" s="8"/>
      <c r="EH54" s="8">
        <f>nonmare!$AD405</f>
        <v>199.16037985432493</v>
      </c>
      <c r="EI54" s="8"/>
      <c r="EJ54" s="8">
        <f>nonmare!$AD416</f>
        <v>105.2767141077215</v>
      </c>
      <c r="EK54" s="8"/>
      <c r="EL54" s="8">
        <f>nonmare!$AD426</f>
        <v>263.40798546187136</v>
      </c>
      <c r="EM54" s="8">
        <f>nonmare!$AD431</f>
        <v>228.94231083783077</v>
      </c>
      <c r="EQ54" s="8">
        <f>nonmare!$AD179</f>
        <v>383.85644856676913</v>
      </c>
      <c r="ER54" s="8">
        <f>nonmare!$AD186</f>
        <v>357.55924994677468</v>
      </c>
      <c r="ES54" s="8">
        <f>nonmare!$AD192</f>
        <v>317.84926539396889</v>
      </c>
      <c r="ET54" s="8">
        <f>nonmare!$AD243</f>
        <v>170</v>
      </c>
      <c r="EU54" s="8">
        <f>nonmare!$AD249</f>
        <v>375.08148014155239</v>
      </c>
      <c r="EV54" s="8">
        <f>nonmare!$AD254</f>
        <v>95.417183168694805</v>
      </c>
      <c r="EW54" s="8"/>
      <c r="EX54" s="8"/>
      <c r="EY54" s="8"/>
      <c r="FD54">
        <v>4482.54</v>
      </c>
      <c r="FH54" s="8">
        <f>nonmare!$AD447</f>
        <v>193.77801405762071</v>
      </c>
      <c r="FI54" s="323">
        <f t="shared" ref="FI54:FI84" si="198">FH54</f>
        <v>193.77801405762071</v>
      </c>
      <c r="FJ54" s="323">
        <f t="shared" ref="FJ54:FJ84" si="199">FI54*100/FI$17</f>
        <v>230.90015830329395</v>
      </c>
    </row>
    <row r="55" spans="1:166" s="2" customFormat="1" ht="11.1" customHeight="1" x14ac:dyDescent="0.2">
      <c r="A55" s="1" t="s">
        <v>162</v>
      </c>
      <c r="B55" s="6">
        <f>nonmare!$AI11</f>
        <v>9.069591848533026</v>
      </c>
      <c r="C55" s="6">
        <f>nonmare!$AI131</f>
        <v>7.503236226864372</v>
      </c>
      <c r="D55" s="6">
        <f>nonmare!$AI31</f>
        <v>12.930097262247839</v>
      </c>
      <c r="E55" s="6">
        <f>nonmare!$AI577</f>
        <v>11.999410800891338</v>
      </c>
      <c r="F55" s="6">
        <f>nonmare!$AI583</f>
        <v>6.6190830338409139</v>
      </c>
      <c r="G55" s="6">
        <f>nonmare!$AI589</f>
        <v>9.7667819254144632</v>
      </c>
      <c r="H55" s="6">
        <f>nonmare!$AI595</f>
        <v>6.2886783739633083</v>
      </c>
      <c r="I55" s="6">
        <f>nonmare!$AI601</f>
        <v>6.8975740189611265</v>
      </c>
      <c r="J55" s="6">
        <f t="shared" si="191"/>
        <v>6.593126196462217</v>
      </c>
      <c r="K55" s="6">
        <f>nonmare!$AI294</f>
        <v>12.703787556473994</v>
      </c>
      <c r="L55" s="6">
        <f>nonmare!$AI114</f>
        <v>8.5956313263560453</v>
      </c>
      <c r="M55" s="6">
        <f>nonmare!$AI84</f>
        <v>9.13122527314815</v>
      </c>
      <c r="N55" s="6">
        <f>nonmare!$AI525</f>
        <v>5.4512475805032556</v>
      </c>
      <c r="O55" s="6">
        <f>nonmare!$AI531</f>
        <v>6.6903469763489589</v>
      </c>
      <c r="P55" s="7"/>
      <c r="Q55" s="6">
        <f>nonmare!$AI283</f>
        <v>19.431160262417997</v>
      </c>
      <c r="R55" s="7">
        <f>nonhighlands!$T94</f>
        <v>25.610952988517028</v>
      </c>
      <c r="S55" s="7">
        <f>nonhighlands!$T83</f>
        <v>32.462027685930607</v>
      </c>
      <c r="T55" s="7">
        <f t="shared" si="4"/>
        <v>29.948247439598628</v>
      </c>
      <c r="U55" s="7">
        <f>nonhighlands!$T105</f>
        <v>34.160000000000004</v>
      </c>
      <c r="V55" s="7">
        <f>nonhighlands!$T293</f>
        <v>54.867540389740171</v>
      </c>
      <c r="W55" s="7">
        <f>nonhighlands!$T47</f>
        <v>42.264084507042256</v>
      </c>
      <c r="X55" s="7">
        <f>nonhighlands!$T64</f>
        <v>40.759666401906273</v>
      </c>
      <c r="Y55" s="38">
        <f t="shared" si="192"/>
        <v>41.311663961696816</v>
      </c>
      <c r="Z55" s="7">
        <f>nonhighlands!$T210</f>
        <v>87.117508417508418</v>
      </c>
      <c r="AA55" s="7">
        <f>nonhighlands!$T196</f>
        <v>96.639262417106508</v>
      </c>
      <c r="AB55" s="7">
        <f>nonhighlands!$T334</f>
        <v>94.378070567217506</v>
      </c>
      <c r="AC55" s="7">
        <f>nonhighlands!$T159</f>
        <v>58.244055197295211</v>
      </c>
      <c r="AE55" s="7">
        <f>nonhighlands!$T12</f>
        <v>21.638724472838732</v>
      </c>
      <c r="AI55" s="6">
        <f>nonmare!$AI157</f>
        <v>7.8951303327001039</v>
      </c>
      <c r="AJ55" s="6">
        <f>nonmare!$AI170</f>
        <v>5.9438679342467369</v>
      </c>
      <c r="AK55" s="6">
        <f>nonmare!$AI490</f>
        <v>10.44714815348067</v>
      </c>
      <c r="AL55" s="7">
        <f>nonhighlands!$T342</f>
        <v>54.095591393797804</v>
      </c>
      <c r="AM55" s="6">
        <f>nonmare!$AI441</f>
        <v>11.89689094829799</v>
      </c>
      <c r="AN55" s="7">
        <f>nonhighlands!$T303</f>
        <v>50.838425492033736</v>
      </c>
      <c r="AO55" s="7">
        <f>nonhighlands!$T308</f>
        <v>53.192478686454052</v>
      </c>
      <c r="AP55" s="7">
        <f>nonhighlands!$T119</f>
        <v>58.707414639504719</v>
      </c>
      <c r="AQ55" s="6">
        <f>nonmare!$AI265</f>
        <v>7.0150941732189294</v>
      </c>
      <c r="AR55" s="6">
        <f>nonmare!$AI274</f>
        <v>7.1162817246119294</v>
      </c>
      <c r="AS55" s="7">
        <f>nonhighlands!$T232</f>
        <v>34.781152204836417</v>
      </c>
      <c r="AT55" s="7">
        <f>nonhighlands!$T313</f>
        <v>18.732400175248959</v>
      </c>
      <c r="AU55" s="6">
        <f>nonmare!$AI475</f>
        <v>4.885026561314227</v>
      </c>
      <c r="AV55" s="7">
        <f>nonhighlands!$T298</f>
        <v>46.642805614706013</v>
      </c>
      <c r="AW55" s="6">
        <f>nonmare!$AI463</f>
        <v>11.517773444304657</v>
      </c>
      <c r="AX55" s="7">
        <f>nonhighlands!$T347</f>
        <v>21.21586424719678</v>
      </c>
      <c r="AY55" s="7">
        <f>nonhighlands!$T366</f>
        <v>57.334143442965939</v>
      </c>
      <c r="AZ55" s="6">
        <f>nonmare!$AI513</f>
        <v>13.006036275079968</v>
      </c>
      <c r="BA55" s="7">
        <f>nonhighlands!$T380</f>
        <v>30.063095435226579</v>
      </c>
      <c r="BB55" s="7">
        <f>nonhighlands!$T374</f>
        <v>65.418610440555213</v>
      </c>
      <c r="BC55" s="6">
        <f>nonmare!$AI507</f>
        <v>19.716142443103532</v>
      </c>
      <c r="BD55" s="6">
        <f>nonmare!$AI519</f>
        <v>9.3787633283417833</v>
      </c>
      <c r="BE55" s="6">
        <f>nonmare!$AI566</f>
        <v>10.332884272997031</v>
      </c>
      <c r="BF55" s="7">
        <f>nonhighlands!$T319</f>
        <v>25.583926161817889</v>
      </c>
      <c r="BG55" s="7">
        <f>nonhighlands!$T324</f>
        <v>15.516340495737914</v>
      </c>
      <c r="BH55" s="6">
        <f>nonmare!$AI572</f>
        <v>8.2799999999999994</v>
      </c>
      <c r="BI55" s="6">
        <f>nonmare!$AI622</f>
        <v>9.1474353644277002</v>
      </c>
      <c r="BJ55" s="6">
        <f>nonmare!$AI627</f>
        <v>8.1161800926448979</v>
      </c>
      <c r="BK55" s="6">
        <f>nonmare!$AI632</f>
        <v>10.423915757119561</v>
      </c>
      <c r="BL55" s="6">
        <f>nonmare!$AI637</f>
        <v>12.96808055650979</v>
      </c>
      <c r="BM55" s="6">
        <f>nonmare!$AI642</f>
        <v>10.330348733043255</v>
      </c>
      <c r="BN55" s="7">
        <f>nonhighlands!$T252</f>
        <v>39.958387688544633</v>
      </c>
      <c r="BO55" s="7">
        <f>nonhighlands!$T257</f>
        <v>37.734142420832661</v>
      </c>
      <c r="BP55" s="6">
        <f t="shared" si="193"/>
        <v>38.846265054688644</v>
      </c>
      <c r="BQ55" s="7">
        <f>nonhighlands!$T219</f>
        <v>37.896851551409455</v>
      </c>
      <c r="BR55" s="7">
        <f>nonhighlands!$T227</f>
        <v>22.502736631490624</v>
      </c>
      <c r="BS55" s="7"/>
      <c r="BT55" s="7">
        <f>nonhighlands!$T237</f>
        <v>25.697289877516543</v>
      </c>
      <c r="BU55" s="7">
        <f>nonhighlands!$T267</f>
        <v>23.2</v>
      </c>
      <c r="BV55" s="7">
        <f t="shared" si="194"/>
        <v>23.800008836335721</v>
      </c>
      <c r="BW55" s="7">
        <f>nonhighlands!$T352</f>
        <v>35.647068928494733</v>
      </c>
      <c r="BX55" s="6"/>
      <c r="BY55" s="6"/>
      <c r="BZ55" s="6">
        <f>nonmare!$AI194</f>
        <v>9.5194200163625506</v>
      </c>
      <c r="CA55" s="6">
        <f>nonmare!$AI235</f>
        <v>7.6349850606766365</v>
      </c>
      <c r="CB55" s="6">
        <f t="shared" si="195"/>
        <v>5.3382618548251157</v>
      </c>
      <c r="CC55" s="7">
        <f>nonhighlands!$T275</f>
        <v>37.338441299683254</v>
      </c>
      <c r="CD55" s="6">
        <f>nonmare!$AI322</f>
        <v>5.2170255937283843</v>
      </c>
      <c r="CE55" s="6">
        <v>4.8216753727336856</v>
      </c>
      <c r="CF55" s="6">
        <f>nonmare!$AI436</f>
        <v>4.9448108448928121</v>
      </c>
      <c r="CG55" s="6">
        <f t="shared" si="196"/>
        <v>6.8401222517917315</v>
      </c>
      <c r="CH55" s="6">
        <f t="shared" si="197"/>
        <v>7.0875696737523368</v>
      </c>
      <c r="CI55" s="7">
        <f>nonhighlands!$T30</f>
        <v>26.797816825867088</v>
      </c>
      <c r="CJ55" s="6">
        <f>nonmare!$AI470</f>
        <v>7.9206931873913238</v>
      </c>
      <c r="CK55" s="6">
        <f>nonmare!$AI485</f>
        <v>12.462163542128284</v>
      </c>
      <c r="CL55" s="7">
        <f>nonhighlands!$T176</f>
        <v>16.761733446249931</v>
      </c>
      <c r="CM55" s="7">
        <f>nonhighlands!$T164</f>
        <v>27.441225942731965</v>
      </c>
      <c r="CN55" s="520" t="e">
        <f>(CL55*#REF!+#REF!*#REF!+CM55*#REF!)/#REF!</f>
        <v>#REF!</v>
      </c>
      <c r="CO55" s="7">
        <f>nonhighlands!$T386</f>
        <v>31.119916065133456</v>
      </c>
      <c r="CP55" s="6">
        <f>nonmare!$AI607</f>
        <v>13.999832362382593</v>
      </c>
      <c r="CQ55" s="6">
        <f>nonmare!$AI612</f>
        <v>11.660126146788993</v>
      </c>
      <c r="CR55" s="6">
        <f>nonmare!$AI627</f>
        <v>8.1161800926448979</v>
      </c>
      <c r="CS55" s="6">
        <f>nonmare!$AI480</f>
        <v>12.306778388355218</v>
      </c>
      <c r="CT55" s="6">
        <f>nonmare!$AI501</f>
        <v>18.468331159714204</v>
      </c>
      <c r="CU55" s="6">
        <f>nonmare!$AI561</f>
        <v>16.466031210459718</v>
      </c>
      <c r="CV55" s="6">
        <f>nonmare!$AI301</f>
        <v>25.40559066354092</v>
      </c>
      <c r="CW55" s="6">
        <f>nonmare!$AI307</f>
        <v>28.250857113876116</v>
      </c>
      <c r="CX55" s="6">
        <f>nonmare!$AI537</f>
        <v>7.1700387255764833</v>
      </c>
      <c r="CY55" s="6">
        <f>nonmare!$AI543</f>
        <v>12.687417714975014</v>
      </c>
      <c r="CZ55" s="6">
        <f>nonmare!$AI555</f>
        <v>5.3206855386958178</v>
      </c>
      <c r="DA55" s="6">
        <f>nonmare!$AI549</f>
        <v>7.8816186556927308</v>
      </c>
      <c r="DE55"/>
      <c r="DN55" s="3"/>
      <c r="DO55" s="3"/>
      <c r="DP55" s="3"/>
      <c r="DQ55" s="3"/>
      <c r="DR55" s="3"/>
      <c r="DV55" s="6">
        <f>nonmare!$AI328</f>
        <v>4.866951672862454</v>
      </c>
      <c r="DW55" s="6">
        <f>nonmare!$AI334</f>
        <v>4.686142721313117</v>
      </c>
      <c r="DX55" s="6">
        <f>nonmare!$AI340</f>
        <v>4.8511730373083086</v>
      </c>
      <c r="DY55" s="6"/>
      <c r="DZ55" s="6">
        <f>nonmare!$AI366</f>
        <v>4.8052921926133703</v>
      </c>
      <c r="EA55" s="6">
        <f>nonmare!$AI374</f>
        <v>4.6184244856999497</v>
      </c>
      <c r="EB55" s="6"/>
      <c r="EC55" s="6">
        <f>nonmare!$AI358</f>
        <v>4.7464579115904684</v>
      </c>
      <c r="ED55" s="6"/>
      <c r="EE55" s="6"/>
      <c r="EF55" s="6">
        <f>nonmare!$AI400</f>
        <v>4.8693392608089257</v>
      </c>
      <c r="EG55" s="6"/>
      <c r="EH55" s="6">
        <f>nonmare!$AI405</f>
        <v>4.7706778951773199</v>
      </c>
      <c r="EI55" s="6"/>
      <c r="EJ55" s="6">
        <f>nonmare!$AI416</f>
        <v>4.3480952380952385</v>
      </c>
      <c r="EK55" s="6"/>
      <c r="EL55" s="6">
        <f>nonmare!$AI426</f>
        <v>6.6078466557911906</v>
      </c>
      <c r="EM55" s="6">
        <f>nonmare!$AI431</f>
        <v>6.9279998522786039</v>
      </c>
      <c r="EQ55" s="6">
        <f>nonmare!$AI179</f>
        <v>9.9390281014393427</v>
      </c>
      <c r="ER55" s="6">
        <f>nonmare!$AI186</f>
        <v>8.8214930538630281</v>
      </c>
      <c r="ES55" s="6">
        <f>nonmare!$AI192</f>
        <v>9.2561870115871745</v>
      </c>
      <c r="ET55" s="6">
        <f>nonmare!$AI243</f>
        <v>5.3023584419701226</v>
      </c>
      <c r="EU55" s="6">
        <f>nonmare!$AI249</f>
        <v>6.2578218338744591</v>
      </c>
      <c r="EV55" s="6">
        <f>nonmare!$AI254</f>
        <v>4.4546052886307645</v>
      </c>
      <c r="EW55" s="6">
        <v>11.749479243429132</v>
      </c>
      <c r="EX55" s="6"/>
      <c r="EY55" s="6"/>
      <c r="FD55" s="2">
        <v>25.40559066354092</v>
      </c>
      <c r="FH55" s="6">
        <f>nonmare!$AI447</f>
        <v>12.629844726626756</v>
      </c>
      <c r="FI55" s="521">
        <f t="shared" si="198"/>
        <v>12.629844726626756</v>
      </c>
      <c r="FJ55" s="521">
        <f t="shared" si="199"/>
        <v>15.049349952864031</v>
      </c>
    </row>
    <row r="56" spans="1:166" s="2" customFormat="1" ht="11.1" customHeight="1" x14ac:dyDescent="0.2">
      <c r="A56" s="1" t="s">
        <v>163</v>
      </c>
      <c r="B56" s="8">
        <f>nonmare!$AJ11</f>
        <v>882.7456064460182</v>
      </c>
      <c r="C56" s="8">
        <f>nonmare!$AJ131</f>
        <v>571.9828325180556</v>
      </c>
      <c r="D56" s="8">
        <f>nonmare!$AJ31</f>
        <v>893.31304034582126</v>
      </c>
      <c r="E56" s="8">
        <f>nonmare!$AJ577</f>
        <v>842.89146677152962</v>
      </c>
      <c r="F56" s="8">
        <f>nonmare!$AJ583</f>
        <v>473.66420840517696</v>
      </c>
      <c r="G56" s="8">
        <f>nonmare!$AJ589</f>
        <v>657.70647678642069</v>
      </c>
      <c r="H56" s="8">
        <f>nonmare!$AJ595</f>
        <v>433.38426740387041</v>
      </c>
      <c r="I56" s="8">
        <f>nonmare!$AJ601</f>
        <v>519.60970146964064</v>
      </c>
      <c r="J56" s="8">
        <f t="shared" si="191"/>
        <v>476.4969844367555</v>
      </c>
      <c r="K56" s="8">
        <f>nonmare!$AJ294</f>
        <v>1120.9000891428109</v>
      </c>
      <c r="L56" s="8">
        <f>nonmare!$AJ114</f>
        <v>633.82812856686303</v>
      </c>
      <c r="M56" s="8">
        <f>nonmare!$AJ84</f>
        <v>737.22611064814805</v>
      </c>
      <c r="N56" s="8">
        <f>nonmare!$AJ525</f>
        <v>547.64842512757355</v>
      </c>
      <c r="O56" s="8">
        <f>nonmare!$AJ531</f>
        <v>557.21579804560247</v>
      </c>
      <c r="P56" s="8">
        <f>P6*6842</f>
        <v>424.20400000000001</v>
      </c>
      <c r="Q56" s="8">
        <f>nonmare!$AJ283</f>
        <v>1492.8113402061856</v>
      </c>
      <c r="R56" s="8">
        <f>nonhighlands!$V94</f>
        <v>1839.241241842077</v>
      </c>
      <c r="S56" s="8">
        <f>nonhighlands!$V83</f>
        <v>2055.1972422486683</v>
      </c>
      <c r="T56" s="8">
        <f t="shared" si="4"/>
        <v>1975.9591734966382</v>
      </c>
      <c r="U56" s="8">
        <f>nonhighlands!$V105</f>
        <v>1804.268</v>
      </c>
      <c r="V56" s="8">
        <f>nonhighlands!$V293</f>
        <v>1750.9766405729513</v>
      </c>
      <c r="W56" s="8">
        <f>nonhighlands!$V47</f>
        <v>1623.921652520487</v>
      </c>
      <c r="X56" s="8">
        <f>nonhighlands!$V64</f>
        <v>1885.8878342599946</v>
      </c>
      <c r="Y56" s="38">
        <f t="shared" si="192"/>
        <v>1789.7678177737644</v>
      </c>
      <c r="Z56" s="8">
        <f>nonhighlands!$V210</f>
        <v>1652.4963671805779</v>
      </c>
      <c r="AA56" s="8">
        <f>nonhighlands!$V196</f>
        <v>1988.9466774935718</v>
      </c>
      <c r="AB56" s="8">
        <f>nonhighlands!$V334</f>
        <v>1633.7880822889572</v>
      </c>
      <c r="AC56" s="8">
        <f>nonhighlands!$V159</f>
        <v>1926.313812735681</v>
      </c>
      <c r="AE56" s="8">
        <f>nonhighlands!$V12</f>
        <v>1238.820857491045</v>
      </c>
      <c r="AI56" s="8">
        <f>nonmare!$AJ157</f>
        <v>637.18615936036804</v>
      </c>
      <c r="AJ56" s="8" t="e">
        <f>nonmare!$AJ170</f>
        <v>#VALUE!</v>
      </c>
      <c r="AK56" s="8">
        <f>nonmare!$AJ490</f>
        <v>702.96629112374922</v>
      </c>
      <c r="AL56" s="8">
        <f>nonhighlands!$V342</f>
        <v>2782.6465390557291</v>
      </c>
      <c r="AM56" s="8">
        <f>nonmare!$AJ441</f>
        <v>861.31470552614564</v>
      </c>
      <c r="AN56" s="8">
        <f>nonhighlands!$V303</f>
        <v>4043.4239300218683</v>
      </c>
      <c r="AO56" s="8">
        <f>nonhighlands!$V308</f>
        <v>3477.7170824123777</v>
      </c>
      <c r="AP56" s="8">
        <f>nonhighlands!$V119</f>
        <v>2673.2112524515951</v>
      </c>
      <c r="AQ56" s="8">
        <f>nonmare!$AJ265</f>
        <v>514.27099464856951</v>
      </c>
      <c r="AR56" s="8">
        <f>nonmare!$AJ274</f>
        <v>503.54953565561397</v>
      </c>
      <c r="AS56" s="8">
        <f>nonhighlands!$V232</f>
        <v>3450.0501609642884</v>
      </c>
      <c r="AT56" s="8">
        <f>nonhighlands!$V313</f>
        <v>1578.3652542069344</v>
      </c>
      <c r="AU56" s="8">
        <f>nonmare!$AJ475</f>
        <v>355.72389625463148</v>
      </c>
      <c r="AV56" s="8">
        <f>nonhighlands!$V298</f>
        <v>2863.8538090478469</v>
      </c>
      <c r="AW56" s="8">
        <f>nonmare!$AJ463</f>
        <v>971.25758250266165</v>
      </c>
      <c r="AX56" s="8">
        <f>nonhighlands!$V347</f>
        <v>1564.4305058632203</v>
      </c>
      <c r="AY56" s="8">
        <f>nonhighlands!$V366</f>
        <v>2234.0652941668754</v>
      </c>
      <c r="AZ56" s="8">
        <f>nonmare!$AJ513</f>
        <v>1420.6219467868571</v>
      </c>
      <c r="BA56" s="8">
        <f>nonhighlands!$V380</f>
        <v>2088.6118562675938</v>
      </c>
      <c r="BB56" s="8">
        <f>nonhighlands!$V374</f>
        <v>3023.5858014921996</v>
      </c>
      <c r="BC56" s="8">
        <f>nonmare!$AJ507</f>
        <v>1501.0744524160214</v>
      </c>
      <c r="BD56" s="8">
        <f>nonmare!$AJ519</f>
        <v>805.14523607628064</v>
      </c>
      <c r="BE56" s="8">
        <f>nonmare!$AJ566</f>
        <v>781.94015825914937</v>
      </c>
      <c r="BF56" s="8">
        <f>nonhighlands!$V319</f>
        <v>1963.193879203325</v>
      </c>
      <c r="BG56" s="8">
        <f>nonhighlands!$V324</f>
        <v>1064.9666496444986</v>
      </c>
      <c r="BH56" s="8">
        <f>nonmare!$AJ572</f>
        <v>1047</v>
      </c>
      <c r="BI56" s="8">
        <f>nonmare!$AJ622</f>
        <v>737.02672036724289</v>
      </c>
      <c r="BJ56" s="8">
        <f>nonmare!$AJ627</f>
        <v>600.61456332617786</v>
      </c>
      <c r="BK56" s="8">
        <f>nonmare!$AJ632</f>
        <v>729.24037134612979</v>
      </c>
      <c r="BL56" s="8">
        <f>nonmare!$AJ637</f>
        <v>901.26910855376161</v>
      </c>
      <c r="BM56" s="8">
        <f>nonmare!$AJ642</f>
        <v>676.17654210391606</v>
      </c>
      <c r="BN56" s="8">
        <f>nonhighlands!$V252</f>
        <v>3524.3288830004067</v>
      </c>
      <c r="BO56" s="8">
        <f>nonhighlands!$V257</f>
        <v>4077.1531908053366</v>
      </c>
      <c r="BP56" s="6">
        <f t="shared" si="193"/>
        <v>3800.7410369028717</v>
      </c>
      <c r="BQ56" s="8">
        <f>nonhighlands!$V219</f>
        <v>2903.0516868789291</v>
      </c>
      <c r="BR56" s="8">
        <f>nonhighlands!$V227</f>
        <v>2510.5887571562266</v>
      </c>
      <c r="BS56" s="8"/>
      <c r="BT56" s="8">
        <f>nonhighlands!$V237</f>
        <v>3559.8951147402504</v>
      </c>
      <c r="BU56" s="8">
        <f>nonhighlands!$V267</f>
        <v>2677</v>
      </c>
      <c r="BV56" s="7">
        <f t="shared" si="194"/>
        <v>2915.8279572988254</v>
      </c>
      <c r="BW56" s="8">
        <f>nonhighlands!$V352</f>
        <v>1997.8106076873526</v>
      </c>
      <c r="BX56" s="8"/>
      <c r="BY56" s="8"/>
      <c r="BZ56" s="8">
        <f>nonmare!$AJ194</f>
        <v>763.82714940890151</v>
      </c>
      <c r="CA56" s="8">
        <f>nonmare!$AJ235</f>
        <v>601.66002758028935</v>
      </c>
      <c r="CB56" s="8">
        <f t="shared" si="195"/>
        <v>357.42485583404567</v>
      </c>
      <c r="CC56" s="8">
        <f>nonhighlands!$V275</f>
        <v>4353.0538009604579</v>
      </c>
      <c r="CD56" s="8">
        <f>nonmare!AJ322</f>
        <v>484.9341710860042</v>
      </c>
      <c r="CE56" s="8">
        <v>533.33361164033397</v>
      </c>
      <c r="CF56" s="8">
        <f>nonmare!AJ436</f>
        <v>329.58133669609083</v>
      </c>
      <c r="CG56" s="8">
        <f t="shared" si="196"/>
        <v>514.97935321518332</v>
      </c>
      <c r="CH56" s="8">
        <f t="shared" si="197"/>
        <v>533.6091830084531</v>
      </c>
      <c r="CI56" s="8">
        <f>nonhighlands!$V30</f>
        <v>1036.5303672677121</v>
      </c>
      <c r="CJ56" s="8">
        <f>nonmare!$AJ470</f>
        <v>570.58934135717141</v>
      </c>
      <c r="CK56" s="8">
        <f>nonmare!$AJ485</f>
        <v>841.03745592570476</v>
      </c>
      <c r="CL56" s="8">
        <f>nonhighlands!$V176</f>
        <v>1390.9767638808023</v>
      </c>
      <c r="CM56" s="8">
        <f>nonhighlands!$V164</f>
        <v>1964.0560945079017</v>
      </c>
      <c r="CN56" s="8">
        <f>nonhighlands!$V176</f>
        <v>1390.9767638808023</v>
      </c>
      <c r="CO56" s="8">
        <f>nonhighlands!$V386</f>
        <v>1638.409837166359</v>
      </c>
      <c r="CP56" s="8">
        <f>nonmare!$AJ607</f>
        <v>1175.69349661158</v>
      </c>
      <c r="CQ56" s="8">
        <f>nonmare!$AJ612</f>
        <v>1276.9088876146791</v>
      </c>
      <c r="CR56" s="8">
        <f>nonmare!$AJ627</f>
        <v>600.61456332617786</v>
      </c>
      <c r="CS56" s="8">
        <f>nonmare!$AJ480</f>
        <v>853.36259910231126</v>
      </c>
      <c r="CT56" s="8">
        <f>nonmare!$AJ501</f>
        <v>1512.9148901081758</v>
      </c>
      <c r="CU56" s="8">
        <f>nonmare!$AJ561</f>
        <v>1372.2754533951918</v>
      </c>
      <c r="CV56" s="8">
        <f>nonmare!$AJ301</f>
        <v>937.8398573030272</v>
      </c>
      <c r="CW56" s="8">
        <f>nonmare!$AJ307</f>
        <v>1444.8780173113337</v>
      </c>
      <c r="CX56" s="8">
        <f>nonmare!$AJ537</f>
        <v>559.95470281053792</v>
      </c>
      <c r="CY56" s="8">
        <f>nonmare!$AJ543</f>
        <v>1086.3141478545581</v>
      </c>
      <c r="CZ56" s="8">
        <f>nonmare!$AJ555</f>
        <v>428.11698482623598</v>
      </c>
      <c r="DA56" s="8">
        <f>nonmare!$AJ549</f>
        <v>605.20098100345024</v>
      </c>
      <c r="DE56"/>
      <c r="DN56" s="3"/>
      <c r="DO56" s="3"/>
      <c r="DP56" s="3"/>
      <c r="DQ56" s="3"/>
      <c r="DR56" s="3"/>
      <c r="DV56" s="8">
        <f>nonmare!AJ328</f>
        <v>626</v>
      </c>
      <c r="DW56" s="8">
        <f>nonmare!AJ334</f>
        <v>498.25206425461641</v>
      </c>
      <c r="DX56" s="8">
        <f>nonmare!AJ340</f>
        <v>525.28965438315402</v>
      </c>
      <c r="DY56" s="8"/>
      <c r="DZ56" s="8">
        <f>nonmare!AJ366</f>
        <v>505.59934548854602</v>
      </c>
      <c r="EA56" s="8">
        <f>nonmare!AJ374</f>
        <v>502.58950772146954</v>
      </c>
      <c r="EB56" s="8"/>
      <c r="EC56" s="8">
        <f>nonmare!AJ358</f>
        <v>484.04498949337051</v>
      </c>
      <c r="ED56" s="8"/>
      <c r="EE56" s="8"/>
      <c r="EF56" s="8">
        <f>nonmare!AJ400</f>
        <v>498.34449093444914</v>
      </c>
      <c r="EG56" s="8"/>
      <c r="EH56" s="8">
        <f>nonmare!AJ405</f>
        <v>601.42912438539599</v>
      </c>
      <c r="EI56" s="8"/>
      <c r="EJ56" s="8">
        <f>nonmare!AJ416</f>
        <v>568.06975446428578</v>
      </c>
      <c r="EK56" s="8"/>
      <c r="EL56" s="8">
        <f>nonmare!$AJ426</f>
        <v>487.52161500815663</v>
      </c>
      <c r="EM56" s="8">
        <f>nonmare!$AJ431</f>
        <v>525.36753083684175</v>
      </c>
      <c r="EQ56" s="8">
        <f>nonmare!$AJ179</f>
        <v>758.5451213416236</v>
      </c>
      <c r="ER56" s="8">
        <f>nonmare!$AJ186</f>
        <v>803.89242018035588</v>
      </c>
      <c r="ES56" s="8">
        <f>nonmare!$AJ192</f>
        <v>747.1226084613312</v>
      </c>
      <c r="ET56" s="8">
        <f>nonmare!$AJ243</f>
        <v>376.21331774775138</v>
      </c>
      <c r="EU56" s="8">
        <f>nonmare!$AJ249</f>
        <v>373.35893542844406</v>
      </c>
      <c r="EV56" s="8">
        <f>nonmare!$AJ254</f>
        <v>322.70231432594159</v>
      </c>
      <c r="EW56" s="8">
        <v>709.26136084500115</v>
      </c>
      <c r="EX56" s="8"/>
      <c r="EY56" s="8"/>
      <c r="FD56" s="2">
        <v>937.8398573030272</v>
      </c>
      <c r="FH56" s="8">
        <f>nonmare!$AJ447</f>
        <v>1024.5003947628136</v>
      </c>
      <c r="FI56" s="521">
        <f t="shared" si="198"/>
        <v>1024.5003947628136</v>
      </c>
      <c r="FJ56" s="521">
        <f t="shared" si="199"/>
        <v>1220.7644117055481</v>
      </c>
    </row>
    <row r="57" spans="1:166" s="2" customFormat="1" ht="11.1" customHeight="1" x14ac:dyDescent="0.2">
      <c r="A57" s="1" t="s">
        <v>164</v>
      </c>
      <c r="B57" s="8">
        <f>nonmare!$Z11</f>
        <v>582.31937500000004</v>
      </c>
      <c r="C57" s="8">
        <f>nonmare!$Z131</f>
        <v>487.43071428571432</v>
      </c>
      <c r="D57" s="8">
        <f>nonmare!$Z31</f>
        <v>669.08124999999995</v>
      </c>
      <c r="E57" s="8">
        <f>nonmare!$Z577</f>
        <v>0</v>
      </c>
      <c r="F57" s="8">
        <f>nonmare!$Z583</f>
        <v>0</v>
      </c>
      <c r="G57" s="8">
        <f>nonmare!$Z589</f>
        <v>0</v>
      </c>
      <c r="H57" s="8">
        <f>nonmare!$Z595</f>
        <v>0</v>
      </c>
      <c r="I57" s="8">
        <f>nonmare!$Z601</f>
        <v>0</v>
      </c>
      <c r="J57" s="8">
        <f t="shared" si="191"/>
        <v>0</v>
      </c>
      <c r="K57" s="8">
        <f>nonmare!$Z294</f>
        <v>686.11161850107976</v>
      </c>
      <c r="L57" s="8">
        <f>nonmare!$Z114</f>
        <v>505</v>
      </c>
      <c r="M57" s="8">
        <f>nonmare!$Z84</f>
        <v>534.31562121322611</v>
      </c>
      <c r="N57" s="8">
        <f>nonmare!$Z525</f>
        <v>0</v>
      </c>
      <c r="O57" s="8">
        <f>nonmare!$Z531</f>
        <v>0</v>
      </c>
      <c r="P57" s="8"/>
      <c r="Q57" s="8">
        <f>nonmare!$Z283</f>
        <v>0</v>
      </c>
      <c r="R57" s="8">
        <f>R8*7745</f>
        <v>1275.8733186725246</v>
      </c>
      <c r="S57" s="8">
        <f>S8*7745</f>
        <v>1470.6109501556621</v>
      </c>
      <c r="T57" s="8">
        <f t="shared" si="4"/>
        <v>1399.158275522791</v>
      </c>
      <c r="U57" s="8">
        <f>U8*7745</f>
        <v>1506.8937994104331</v>
      </c>
      <c r="V57" s="8">
        <f>V8*7745</f>
        <v>1726.0308587588283</v>
      </c>
      <c r="W57" s="8">
        <f>W8*7745</f>
        <v>1743.1241003216765</v>
      </c>
      <c r="X57" s="8">
        <f>X8*7745</f>
        <v>1896.7713694521576</v>
      </c>
      <c r="Y57" s="38">
        <f t="shared" si="192"/>
        <v>1840.3954741216235</v>
      </c>
      <c r="Z57" s="8">
        <f>Z8*7745</f>
        <v>2578.9392813420964</v>
      </c>
      <c r="AA57" s="8">
        <f>AA8*7745</f>
        <v>2638.7114315000003</v>
      </c>
      <c r="AB57" s="8">
        <f>AB8*7745</f>
        <v>2486.1592981644585</v>
      </c>
      <c r="AC57" s="8">
        <f>AC8*7745</f>
        <v>2283.3628083958451</v>
      </c>
      <c r="AE57" s="8">
        <f>AE8*7745</f>
        <v>1058.4771569765628</v>
      </c>
      <c r="AI57" s="8">
        <f>nonmare!$Z157</f>
        <v>507.2</v>
      </c>
      <c r="AJ57" s="8">
        <f>nonmare!$Z170</f>
        <v>494.04378356051228</v>
      </c>
      <c r="AK57" s="8">
        <f>nonmare!$Z490</f>
        <v>0</v>
      </c>
      <c r="AL57" s="8">
        <f>AL8*7745</f>
        <v>2015.2048571322189</v>
      </c>
      <c r="AM57" s="8">
        <f>nonmare!$Z441</f>
        <v>0</v>
      </c>
      <c r="AN57" s="8">
        <f>AN8*7745</f>
        <v>2091.15</v>
      </c>
      <c r="AO57" s="8">
        <f>AO8*7745</f>
        <v>2562.8277566680972</v>
      </c>
      <c r="AP57" s="8">
        <f>AP8*7745</f>
        <v>2328.5854268355479</v>
      </c>
      <c r="AQ57" s="8">
        <f>nonmare!$Z265</f>
        <v>440</v>
      </c>
      <c r="AR57" s="8">
        <f>nonmare!$Z274</f>
        <v>0</v>
      </c>
      <c r="AS57" s="8">
        <f>AS8*7745</f>
        <v>2048.8535062029955</v>
      </c>
      <c r="AT57" s="8">
        <f>AT8*7745</f>
        <v>1132.3590314453036</v>
      </c>
      <c r="AU57" s="8">
        <f>nonmare!$Z475</f>
        <v>331.72980805058506</v>
      </c>
      <c r="AV57" s="8">
        <f>AV8*7745</f>
        <v>1944.6424993674511</v>
      </c>
      <c r="AW57" s="8">
        <f>nonmare!$Z463</f>
        <v>612.29532553888896</v>
      </c>
      <c r="AX57" s="8">
        <f>AX8*7745</f>
        <v>1078.3664026187441</v>
      </c>
      <c r="AY57" s="8">
        <f>AY8*7745</f>
        <v>2255.9926266773682</v>
      </c>
      <c r="AZ57" s="8">
        <f>nonmare!$Z513</f>
        <v>0</v>
      </c>
      <c r="BA57" s="8">
        <f>BA8*7745</f>
        <v>1454.477768933247</v>
      </c>
      <c r="BB57" s="8">
        <f>BB8*7745</f>
        <v>1959.4926887362444</v>
      </c>
      <c r="BC57" s="8">
        <f>nonmare!$Z507</f>
        <v>0</v>
      </c>
      <c r="BD57" s="8">
        <f>nonmare!$Z519</f>
        <v>0</v>
      </c>
      <c r="BE57" s="8">
        <f>nonmare!$Z566</f>
        <v>0</v>
      </c>
      <c r="BF57" s="8">
        <f>BF8*7745</f>
        <v>1367.3282968231783</v>
      </c>
      <c r="BG57" s="8">
        <f>BG8*7745</f>
        <v>813.09149548090261</v>
      </c>
      <c r="BH57" s="8">
        <f>nonmare!$Z572</f>
        <v>0</v>
      </c>
      <c r="BI57" s="8">
        <f>nonmare!$Z622</f>
        <v>0</v>
      </c>
      <c r="BJ57" s="8">
        <f>nonmare!$Z627</f>
        <v>0</v>
      </c>
      <c r="BK57" s="8">
        <f>nonmare!$Z632</f>
        <v>0</v>
      </c>
      <c r="BL57" s="8">
        <f>nonmare!$Z637</f>
        <v>0</v>
      </c>
      <c r="BM57" s="8">
        <f>nonmare!$Z642</f>
        <v>0</v>
      </c>
      <c r="BN57" s="8">
        <f>BN8*7745</f>
        <v>2222.7529601773012</v>
      </c>
      <c r="BO57" s="8">
        <f>BO8*7745</f>
        <v>2172.5732458861025</v>
      </c>
      <c r="BP57" s="6">
        <f t="shared" si="193"/>
        <v>2197.6631030317021</v>
      </c>
      <c r="BQ57" s="8">
        <f>BQ8*7745</f>
        <v>2163.8853539453362</v>
      </c>
      <c r="BR57" s="8">
        <f>BR8*7745</f>
        <v>1853.6366666666665</v>
      </c>
      <c r="BS57" s="8"/>
      <c r="BT57" s="8">
        <f>BT8*7745</f>
        <v>1771.3816763860996</v>
      </c>
      <c r="BU57" s="8">
        <f>BU8*7745</f>
        <v>1980.5805946634159</v>
      </c>
      <c r="BV57" s="7">
        <f t="shared" si="194"/>
        <v>1868.5329792387274</v>
      </c>
      <c r="BW57" s="8">
        <f>BW8*7745</f>
        <v>1444.8983668113422</v>
      </c>
      <c r="BX57" s="8"/>
      <c r="BY57" s="8"/>
      <c r="BZ57" s="8">
        <f>nonmare!$Z194</f>
        <v>0</v>
      </c>
      <c r="CA57" s="8">
        <f>nonmare!$Z235</f>
        <v>0</v>
      </c>
      <c r="CB57" s="8">
        <f t="shared" si="195"/>
        <v>360.03266122256673</v>
      </c>
      <c r="CC57" s="8">
        <f>CC8*7745</f>
        <v>2185.5299148244926</v>
      </c>
      <c r="CD57" s="8">
        <f>nonmare!$Z322</f>
        <v>0</v>
      </c>
      <c r="CE57" s="8">
        <f t="shared" ref="CE57:CE84" si="200">AVERAGE(DV57:EJ57)</f>
        <v>366.24996601707335</v>
      </c>
      <c r="CF57" s="8">
        <f>nonmare!$Z436</f>
        <v>375.47474271862757</v>
      </c>
      <c r="CG57" s="8">
        <f t="shared" si="196"/>
        <v>508.17190018932945</v>
      </c>
      <c r="CH57" s="8">
        <f t="shared" si="197"/>
        <v>526.55546439854129</v>
      </c>
      <c r="CI57" s="8">
        <f>CI8*7745</f>
        <v>1238.9711853381634</v>
      </c>
      <c r="CJ57" s="8">
        <f>nonmare!$Z470</f>
        <v>433.51575728364514</v>
      </c>
      <c r="CK57" s="8">
        <f>nonmare!$Z485</f>
        <v>690.47027392316795</v>
      </c>
      <c r="CL57" s="8">
        <f>CL8*7745</f>
        <v>877.57358063168715</v>
      </c>
      <c r="CM57" s="8">
        <f>CM8*7745</f>
        <v>1180.5649404752401</v>
      </c>
      <c r="CN57" s="8">
        <f>CN8*7745</f>
        <v>939.31521622244895</v>
      </c>
      <c r="CO57" s="8">
        <f>CO8*7745</f>
        <v>1494.1745492519722</v>
      </c>
      <c r="CP57" s="8">
        <f>nonmare!$Z607</f>
        <v>0</v>
      </c>
      <c r="CQ57" s="8">
        <f>nonmare!$Z612</f>
        <v>0</v>
      </c>
      <c r="CR57" s="8">
        <f>nonmare!$Z627</f>
        <v>0</v>
      </c>
      <c r="CS57" s="8">
        <f>nonmare!$Z480</f>
        <v>597.19102013617453</v>
      </c>
      <c r="CT57" s="8">
        <f>nonmare!$Z501</f>
        <v>0</v>
      </c>
      <c r="CU57" s="8">
        <f>nonmare!$Z561</f>
        <v>0</v>
      </c>
      <c r="CV57" s="8" t="e">
        <f>nonmare!$Z301</f>
        <v>#DIV/0!</v>
      </c>
      <c r="CW57" s="8" t="e">
        <f>nonmare!$Z307</f>
        <v>#DIV/0!</v>
      </c>
      <c r="CX57" s="8">
        <f>nonmare!$Z537</f>
        <v>0</v>
      </c>
      <c r="CY57" s="8">
        <f>nonmare!$Z543</f>
        <v>0</v>
      </c>
      <c r="CZ57" s="8">
        <f>nonmare!$Z555</f>
        <v>0</v>
      </c>
      <c r="DA57" s="8">
        <f>nonmare!$Z549</f>
        <v>0</v>
      </c>
      <c r="DE57"/>
      <c r="DN57" s="3"/>
      <c r="DO57" s="3"/>
      <c r="DP57" s="3"/>
      <c r="DQ57" s="3"/>
      <c r="DR57" s="3"/>
      <c r="DV57" s="8">
        <f>nonmare!$Z328</f>
        <v>438.59663468064781</v>
      </c>
      <c r="DW57" s="8">
        <f>nonmare!$Z334</f>
        <v>388.71371638517269</v>
      </c>
      <c r="DX57" s="8">
        <f>nonmare!$Z340</f>
        <v>435.266819237753</v>
      </c>
      <c r="DY57" s="8">
        <f>nonmare!$Z346</f>
        <v>387.25</v>
      </c>
      <c r="DZ57" s="8">
        <f>nonmare!$Z366</f>
        <v>430.6325844525191</v>
      </c>
      <c r="EA57" s="8">
        <f>nonmare!$Z374</f>
        <v>381.39803110454829</v>
      </c>
      <c r="EB57" s="8">
        <f>nonmare!$Z381</f>
        <v>387.25</v>
      </c>
      <c r="EC57" s="8">
        <f>nonmare!Z358</f>
        <v>0</v>
      </c>
      <c r="ED57" s="8">
        <f>nonmare!$Z388</f>
        <v>464.7</v>
      </c>
      <c r="EE57" s="8">
        <f>nonmare!$Z395</f>
        <v>464.7</v>
      </c>
      <c r="EF57" s="8">
        <f>nonmare!$Z400</f>
        <v>407.40996591336204</v>
      </c>
      <c r="EG57" s="8"/>
      <c r="EH57" s="8">
        <f>nonmare!$Z405</f>
        <v>373.05293548437317</v>
      </c>
      <c r="EI57" s="8">
        <f>nonmare!$Z411</f>
        <v>154.9</v>
      </c>
      <c r="EJ57" s="8">
        <f>nonmare!$Z416</f>
        <v>413.62883698065178</v>
      </c>
      <c r="EK57" s="8"/>
      <c r="EL57" s="8">
        <f>nonmare!$Z426</f>
        <v>513.5734215347037</v>
      </c>
      <c r="EM57" s="8">
        <f>nonmare!$Z431</f>
        <v>506.12832461366287</v>
      </c>
      <c r="EQ57" s="8">
        <f>nonmare!$Z179</f>
        <v>570</v>
      </c>
      <c r="ER57" s="8">
        <f>nonmare!$Z186</f>
        <v>0</v>
      </c>
      <c r="ES57" s="8">
        <f>nonmare!$Z192</f>
        <v>559.27163966457783</v>
      </c>
      <c r="ET57" s="8">
        <f>nonmare!$Z243</f>
        <v>370</v>
      </c>
      <c r="EU57" s="8">
        <f>nonmare!$Z249</f>
        <v>406.97402345577257</v>
      </c>
      <c r="EV57" s="8">
        <f>nonmare!$Z254</f>
        <v>303.12396021192757</v>
      </c>
      <c r="EW57" s="8"/>
      <c r="EX57" s="8"/>
      <c r="EY57" s="8"/>
      <c r="FD57" s="2" t="e">
        <v>#DIV/0!</v>
      </c>
      <c r="FH57" s="8">
        <f>nonmare!$Z447</f>
        <v>705.94286160094578</v>
      </c>
      <c r="FI57" s="521">
        <f t="shared" si="198"/>
        <v>705.94286160094578</v>
      </c>
      <c r="FJ57" s="521">
        <f t="shared" si="199"/>
        <v>841.1806638098235</v>
      </c>
    </row>
    <row r="58" spans="1:166" s="2" customFormat="1" ht="11.1" customHeight="1" x14ac:dyDescent="0.2">
      <c r="A58" s="1" t="s">
        <v>165</v>
      </c>
      <c r="B58" s="7">
        <f>nonmare!$AL11</f>
        <v>21.016666666666669</v>
      </c>
      <c r="C58" s="7">
        <f>nonmare!$AL131</f>
        <v>22.653990162281385</v>
      </c>
      <c r="D58" s="7">
        <f>nonmare!$AL31</f>
        <v>19.680060038424593</v>
      </c>
      <c r="E58" s="7">
        <f>nonmare!$AL577</f>
        <v>17.573375278542404</v>
      </c>
      <c r="F58" s="7">
        <f>nonmare!$AL583</f>
        <v>8.0607439183995684</v>
      </c>
      <c r="G58" s="7">
        <f>nonmare!$AL589</f>
        <v>17.777750206782464</v>
      </c>
      <c r="H58" s="7">
        <f>nonmare!$AL595</f>
        <v>8.0574704699673294</v>
      </c>
      <c r="I58" s="7">
        <f>nonmare!$AL601</f>
        <v>11.066410272144324</v>
      </c>
      <c r="J58" s="7">
        <f t="shared" si="191"/>
        <v>9.5619403710558259</v>
      </c>
      <c r="K58" s="7">
        <f>nonmare!$AL294</f>
        <v>28.137029721023524</v>
      </c>
      <c r="L58" s="7">
        <f>nonmare!$AL114</f>
        <v>15.184271460261957</v>
      </c>
      <c r="M58" s="7">
        <f>nonmare!$AL84</f>
        <v>15.30457363425926</v>
      </c>
      <c r="N58" s="7">
        <f>nonmare!$AL525</f>
        <v>13.387043814886505</v>
      </c>
      <c r="O58" s="7">
        <f>nonmare!$AL531</f>
        <v>21.071282042203659</v>
      </c>
      <c r="P58" s="7"/>
      <c r="Q58" s="7">
        <f>nonmare!$AL283</f>
        <v>40.294067478912837</v>
      </c>
      <c r="R58" s="7">
        <f>nonhighlands!$X94</f>
        <v>39.650122681322998</v>
      </c>
      <c r="S58" s="7">
        <f>nonhighlands!$X83</f>
        <v>43.073270078589232</v>
      </c>
      <c r="T58" s="7">
        <f t="shared" si="4"/>
        <v>41.817256870795838</v>
      </c>
      <c r="U58" s="7">
        <f>nonhighlands!$X105</f>
        <v>44.2</v>
      </c>
      <c r="V58" s="7">
        <f>nonhighlands!$X293</f>
        <v>29.301902898067954</v>
      </c>
      <c r="W58" s="7">
        <f>nonhighlands!$X47</f>
        <v>46.848694625075531</v>
      </c>
      <c r="X58" s="7">
        <f>nonhighlands!$X64</f>
        <v>48.890347498014286</v>
      </c>
      <c r="Y58" s="38">
        <f t="shared" si="192"/>
        <v>48.14122901828177</v>
      </c>
      <c r="Z58" s="7">
        <f>nonhighlands!$X210</f>
        <v>23.638415736310474</v>
      </c>
      <c r="AA58" s="7">
        <f>nonhighlands!$X196</f>
        <v>25.548386791176075</v>
      </c>
      <c r="AB58" s="7">
        <f>nonhighlands!$X334</f>
        <v>23.76347050225344</v>
      </c>
      <c r="AC58" s="7">
        <f>nonhighlands!$X159</f>
        <v>37.015238000550468</v>
      </c>
      <c r="AE58" s="7">
        <f>nonhighlands!$X12</f>
        <v>25.928693821780715</v>
      </c>
      <c r="AI58" s="7">
        <f>nonmare!$AL157</f>
        <v>20.437961514437006</v>
      </c>
      <c r="AJ58" s="7">
        <f>nonmare!$AL170</f>
        <v>13.882872547865375</v>
      </c>
      <c r="AK58" s="7">
        <f>nonmare!$AL490</f>
        <v>10.805538118206034</v>
      </c>
      <c r="AL58" s="7">
        <f>nonhighlands!$X342</f>
        <v>26.395574437620105</v>
      </c>
      <c r="AM58" s="7">
        <f>nonmare!$AL441</f>
        <v>13.32011552087077</v>
      </c>
      <c r="AN58" s="7">
        <f>nonhighlands!$X303</f>
        <v>50.533583255232742</v>
      </c>
      <c r="AO58" s="7">
        <f>nonhighlands!$X308</f>
        <v>56.880656772971264</v>
      </c>
      <c r="AP58" s="7">
        <f>nonhighlands!$X119</f>
        <v>41.523637506036621</v>
      </c>
      <c r="AQ58" s="7">
        <f>nonmare!$AL265</f>
        <v>13.853951687643876</v>
      </c>
      <c r="AR58" s="7">
        <f>nonmare!$AL274</f>
        <v>18.884999497099944</v>
      </c>
      <c r="AS58" s="7">
        <f>nonhighlands!$X232</f>
        <v>66.40401287714306</v>
      </c>
      <c r="AT58" s="7">
        <f>nonhighlands!$X313</f>
        <v>34.850622485593121</v>
      </c>
      <c r="AU58" s="7">
        <f>nonmare!$AL475</f>
        <v>7.7351055756439449</v>
      </c>
      <c r="AV58" s="7">
        <f>nonhighlands!$X298</f>
        <v>35.626943635652516</v>
      </c>
      <c r="AW58" s="7">
        <f>nonmare!$AL463</f>
        <v>12.060298558018005</v>
      </c>
      <c r="AX58" s="7">
        <f>nonhighlands!$X347</f>
        <v>23.115453222631174</v>
      </c>
      <c r="AY58" s="7">
        <f>nonhighlands!$X366</f>
        <v>35.681559126286714</v>
      </c>
      <c r="AZ58" s="7">
        <f>nonmare!$AL513</f>
        <v>27.81757778423961</v>
      </c>
      <c r="BA58" s="7">
        <f>nonhighlands!$X380</f>
        <v>44.306899597063534</v>
      </c>
      <c r="BB58" s="7">
        <f>nonhighlands!$X374</f>
        <v>24.838216656608328</v>
      </c>
      <c r="BC58" s="7">
        <f>nonmare!$AL507</f>
        <v>44.344552667838649</v>
      </c>
      <c r="BD58" s="7">
        <f>nonmare!$AL519</f>
        <v>42.579760766413486</v>
      </c>
      <c r="BE58" s="7">
        <f>nonmare!$AL566</f>
        <v>30.425331355093967</v>
      </c>
      <c r="BF58" s="7">
        <f>nonhighlands!$X319</f>
        <v>42.365358665731094</v>
      </c>
      <c r="BG58" s="7">
        <f>nonhighlands!$X324</f>
        <v>26.703818203244687</v>
      </c>
      <c r="BH58" s="7">
        <f>nonmare!$AL572</f>
        <v>22.2</v>
      </c>
      <c r="BI58" s="7">
        <f>nonmare!$AL622</f>
        <v>17.600015590489804</v>
      </c>
      <c r="BJ58" s="7">
        <f>nonmare!$AL627</f>
        <v>12.717709298384362</v>
      </c>
      <c r="BK58" s="7">
        <f>nonmare!$AL632</f>
        <v>17.672983314515118</v>
      </c>
      <c r="BL58" s="7">
        <f>nonmare!$AL637</f>
        <v>17.995562950875986</v>
      </c>
      <c r="BM58" s="7">
        <f>nonmare!$AL642</f>
        <v>18.834303173790634</v>
      </c>
      <c r="BN58" s="7">
        <f>nonhighlands!$X252</f>
        <v>66.232236037505075</v>
      </c>
      <c r="BO58" s="7">
        <f>nonhighlands!$X257</f>
        <v>72.712216685420344</v>
      </c>
      <c r="BP58" s="6">
        <f t="shared" si="193"/>
        <v>69.472226361462702</v>
      </c>
      <c r="BQ58" s="7">
        <f>nonhighlands!$X219</f>
        <v>60.826429730277837</v>
      </c>
      <c r="BR58" s="7">
        <f>nonhighlands!$X227</f>
        <v>86.794565462936063</v>
      </c>
      <c r="BS58" s="7"/>
      <c r="BT58" s="7">
        <f>nonhighlands!$X237</f>
        <v>81.43922990285796</v>
      </c>
      <c r="BU58" s="7">
        <f>nonhighlands!$X267</f>
        <v>91.4</v>
      </c>
      <c r="BV58" s="7">
        <f t="shared" si="194"/>
        <v>86.544598455264691</v>
      </c>
      <c r="BW58" s="7">
        <f>nonhighlands!$X352</f>
        <v>20.995490659222675</v>
      </c>
      <c r="BX58" s="7"/>
      <c r="BY58" s="7"/>
      <c r="BZ58" s="7">
        <f>nonmare!$AL194</f>
        <v>16.349875949028235</v>
      </c>
      <c r="CA58" s="7">
        <f>nonmare!$AL235</f>
        <v>15.757356873620985</v>
      </c>
      <c r="CB58" s="7">
        <f t="shared" si="195"/>
        <v>8.7888898050132642</v>
      </c>
      <c r="CC58" s="7">
        <f>nonhighlands!$X275</f>
        <v>53.256053949116179</v>
      </c>
      <c r="CD58" s="7">
        <f>nonmare!$AL322</f>
        <v>11.376122896011069</v>
      </c>
      <c r="CE58" s="7">
        <f t="shared" si="200"/>
        <v>10.808002257848271</v>
      </c>
      <c r="CF58" s="7">
        <f>nonmare!$AL436</f>
        <v>11.037831021437579</v>
      </c>
      <c r="CG58" s="7">
        <f t="shared" si="196"/>
        <v>18.601288035098239</v>
      </c>
      <c r="CH58" s="7">
        <f t="shared" si="197"/>
        <v>19.274205945041444</v>
      </c>
      <c r="CI58" s="7">
        <f>nonhighlands!$X30</f>
        <v>18.613593502579555</v>
      </c>
      <c r="CJ58" s="7">
        <f>nonmare!$AL470</f>
        <v>15.935429577778766</v>
      </c>
      <c r="CK58" s="7">
        <f>nonmare!$AL485</f>
        <v>13.699860310976666</v>
      </c>
      <c r="CL58" s="7">
        <f>nonhighlands!$X176</f>
        <v>37.012883078388818</v>
      </c>
      <c r="CM58" s="7">
        <f>nonhighlands!$X164</f>
        <v>53.605589892035674</v>
      </c>
      <c r="CN58" s="7">
        <f>nonhighlands!$X176</f>
        <v>37.012883078388818</v>
      </c>
      <c r="CO58" s="7">
        <f>nonhighlands!$X386</f>
        <v>43.400876280006706</v>
      </c>
      <c r="CP58" s="7">
        <f>nonmare!$AL607</f>
        <v>80.407525858994163</v>
      </c>
      <c r="CQ58" s="7">
        <f>nonmare!$AL612</f>
        <v>27.135871559633031</v>
      </c>
      <c r="CR58" s="7">
        <f>nonmare!$AL627</f>
        <v>12.717709298384362</v>
      </c>
      <c r="CS58" s="7">
        <f>nonmare!$AL480</f>
        <v>12.85648852720332</v>
      </c>
      <c r="CT58" s="7">
        <f>nonmare!$AL501</f>
        <v>36.818969142928452</v>
      </c>
      <c r="CU58" s="7">
        <f>nonmare!$AL561</f>
        <v>48.413935048502729</v>
      </c>
      <c r="CV58" s="7">
        <f>nonmare!$AL301</f>
        <v>30.622466109468959</v>
      </c>
      <c r="CW58" s="7">
        <f>nonmare!$AL307</f>
        <v>21.669870841222611</v>
      </c>
      <c r="CX58" s="7">
        <f>nonmare!$AL537</f>
        <v>16.26735961978525</v>
      </c>
      <c r="CY58" s="7">
        <f>nonmare!$AL543</f>
        <v>16.234331380320523</v>
      </c>
      <c r="CZ58" s="7">
        <f>nonmare!$AL555</f>
        <v>14.741892913471474</v>
      </c>
      <c r="DA58" s="7">
        <f>nonmare!$AL549</f>
        <v>14.277224508459078</v>
      </c>
      <c r="DE58"/>
      <c r="DN58" s="3"/>
      <c r="DO58" s="3"/>
      <c r="DP58" s="3"/>
      <c r="DQ58" s="3"/>
      <c r="DR58" s="3"/>
      <c r="DV58" s="7">
        <f>nonmare!$AL328</f>
        <v>13.971018587360595</v>
      </c>
      <c r="DW58" s="7">
        <f>nonmare!$AL334</f>
        <v>9.8006020117099535</v>
      </c>
      <c r="DX58" s="7">
        <f>nonmare!$AL340</f>
        <v>11.130767910276949</v>
      </c>
      <c r="DY58" s="7"/>
      <c r="DZ58" s="7">
        <f>nonmare!$AL366</f>
        <v>10.246194483403459</v>
      </c>
      <c r="EA58" s="7">
        <f>nonmare!$AL374</f>
        <v>10.144929475386073</v>
      </c>
      <c r="EB58" s="7"/>
      <c r="EC58" s="7">
        <f>nonmare!$AL358</f>
        <v>10.277082791938195</v>
      </c>
      <c r="ED58" s="7"/>
      <c r="EE58" s="7"/>
      <c r="EF58" s="7">
        <f>nonmare!$AL400</f>
        <v>9.8339008019525807</v>
      </c>
      <c r="EG58" s="7"/>
      <c r="EH58" s="7">
        <f>nonmare!$AL405</f>
        <v>9.5855581127733025</v>
      </c>
      <c r="EI58" s="7"/>
      <c r="EJ58" s="7">
        <f>nonmare!$AL416</f>
        <v>12.281966145833334</v>
      </c>
      <c r="EK58" s="7"/>
      <c r="EL58" s="7">
        <f>nonmare!$AL426</f>
        <v>18.495793230016311</v>
      </c>
      <c r="EM58" s="7">
        <f>nonmare!$AL431</f>
        <v>18.641200236354237</v>
      </c>
      <c r="EQ58" s="7">
        <f>nonmare!$AL179</f>
        <v>15.729349326022392</v>
      </c>
      <c r="ER58" s="7">
        <f>nonmare!$AL186</f>
        <v>16.560217889349261</v>
      </c>
      <c r="ES58" s="7">
        <f>nonmare!$AL192</f>
        <v>17.039285906763677</v>
      </c>
      <c r="ET58" s="7">
        <f>nonmare!$AL243</f>
        <v>9.4412281570709666</v>
      </c>
      <c r="EU58" s="7">
        <f>nonmare!$AL249</f>
        <v>10.028762139700609</v>
      </c>
      <c r="EV58" s="7">
        <f>nonmare!$AL254</f>
        <v>6.8966791182682172</v>
      </c>
      <c r="EW58" s="7"/>
      <c r="EX58" s="7"/>
      <c r="EY58" s="7"/>
      <c r="FD58" s="2">
        <v>30.622466109468959</v>
      </c>
      <c r="FH58" s="7">
        <f>nonmare!$AL447</f>
        <v>13.148565366142511</v>
      </c>
      <c r="FI58" s="521">
        <f t="shared" si="198"/>
        <v>13.148565366142511</v>
      </c>
      <c r="FJ58" s="521">
        <f t="shared" si="199"/>
        <v>15.667442146459116</v>
      </c>
    </row>
    <row r="59" spans="1:166" s="2" customFormat="1" ht="11.1" customHeight="1" x14ac:dyDescent="0.2">
      <c r="A59" s="1" t="s">
        <v>166</v>
      </c>
      <c r="B59" s="8">
        <f>nonmare!$AM11</f>
        <v>201.16060124295419</v>
      </c>
      <c r="C59" s="8">
        <f>nonmare!$AM131</f>
        <v>307.72019223086733</v>
      </c>
      <c r="D59" s="8">
        <f>nonmare!$AM31</f>
        <v>173.66906820365034</v>
      </c>
      <c r="E59" s="8">
        <f>nonmare!$AM577</f>
        <v>173.69989513697732</v>
      </c>
      <c r="F59" s="8">
        <f>nonmare!$AM583</f>
        <v>45.12144504227517</v>
      </c>
      <c r="G59" s="8">
        <f>nonmare!$AM589</f>
        <v>217.58949185456899</v>
      </c>
      <c r="H59" s="8">
        <f>nonmare!$AM595</f>
        <v>43.252481779341551</v>
      </c>
      <c r="I59" s="8">
        <f>nonmare!$AM601</f>
        <v>83.101218052956156</v>
      </c>
      <c r="J59" s="8">
        <f t="shared" si="191"/>
        <v>63.176849916148853</v>
      </c>
      <c r="K59" s="8">
        <f>nonmare!$AM294</f>
        <v>338.91432160294977</v>
      </c>
      <c r="L59" s="8">
        <f>nonmare!$AM114</f>
        <v>151.53160928801051</v>
      </c>
      <c r="M59" s="8">
        <f>nonmare!$AM84</f>
        <v>132.20166686799337</v>
      </c>
      <c r="N59" s="8">
        <f>nonmare!$AM525</f>
        <v>95.693119831075137</v>
      </c>
      <c r="O59" s="8">
        <f>nonmare!$AM531</f>
        <v>280.48888259453332</v>
      </c>
      <c r="P59" s="8"/>
      <c r="Q59" s="8">
        <f>nonmare!$AM283</f>
        <v>533.14301780693529</v>
      </c>
      <c r="R59" s="8">
        <f>nonhighlands!$Y94</f>
        <v>155.47826086956519</v>
      </c>
      <c r="S59" s="8">
        <f>nonhighlands!$Y83</f>
        <v>103.03087861797968</v>
      </c>
      <c r="T59" s="8">
        <f t="shared" si="4"/>
        <v>122.27474900310787</v>
      </c>
      <c r="U59" s="8">
        <f>nonhighlands!$Y105</f>
        <v>213.25</v>
      </c>
      <c r="V59" s="8">
        <f>nonhighlands!$Y293</f>
        <v>195.96327448367754</v>
      </c>
      <c r="W59" s="8">
        <f>nonhighlands!$Y47</f>
        <v>59.432968614538481</v>
      </c>
      <c r="X59" s="8">
        <f>nonhighlands!$Y64</f>
        <v>61.633280381254963</v>
      </c>
      <c r="Y59" s="38">
        <f t="shared" si="192"/>
        <v>60.825947152640218</v>
      </c>
      <c r="Z59" s="8">
        <f>nonhighlands!$Y210</f>
        <v>13.65</v>
      </c>
      <c r="AA59" s="8">
        <f>nonhighlands!$Y196</f>
        <v>9</v>
      </c>
      <c r="AB59" s="8">
        <f>nonhighlands!$Y334</f>
        <v>12.47667383978237</v>
      </c>
      <c r="AC59" s="8"/>
      <c r="AE59" s="8">
        <f>nonhighlands!$Y12</f>
        <v>137.36999150633335</v>
      </c>
      <c r="AI59" s="8">
        <f>nonmare!$AM157</f>
        <v>239.88957698616056</v>
      </c>
      <c r="AJ59" s="8">
        <f>nonmare!$AM170</f>
        <v>129.25024650115523</v>
      </c>
      <c r="AK59" s="8">
        <f>nonmare!$AM490</f>
        <v>62.360431214455403</v>
      </c>
      <c r="AL59" s="8">
        <f>nonhighlands!$Y342</f>
        <v>24.621877237273445</v>
      </c>
      <c r="AM59" s="8">
        <f>nonmare!$AM441</f>
        <v>75.877701904810777</v>
      </c>
      <c r="AN59" s="8">
        <f>nonhighlands!$Y303</f>
        <v>83.731177756950942</v>
      </c>
      <c r="AO59" s="8">
        <f>nonhighlands!$Y308</f>
        <v>42.082096621408276</v>
      </c>
      <c r="AP59" s="8">
        <f>nonhighlands!$Y119</f>
        <v>55.889047140421759</v>
      </c>
      <c r="AQ59" s="8">
        <f>nonmare!$AM265</f>
        <v>157.06613052707107</v>
      </c>
      <c r="AR59" s="8">
        <f>nonmare!$AM274</f>
        <v>232.11377275622758</v>
      </c>
      <c r="AS59" s="8">
        <f>nonhighlands!$Y232</f>
        <v>119.48412817249384</v>
      </c>
      <c r="AT59" s="8">
        <f>nonhighlands!$Y313</f>
        <v>199.58450645670905</v>
      </c>
      <c r="AU59" s="8">
        <f>nonmare!$AM475</f>
        <v>59.622829337975986</v>
      </c>
      <c r="AV59" s="8">
        <f>nonhighlands!$Y298</f>
        <v>155.91464951544916</v>
      </c>
      <c r="AW59" s="8">
        <f>nonmare!$AM463</f>
        <v>44.627426691183594</v>
      </c>
      <c r="AX59" s="8">
        <f>nonhighlands!$Y347</f>
        <v>131.20253359582298</v>
      </c>
      <c r="AY59" s="8">
        <f>nonhighlands!$Y366</f>
        <v>25.719359779061008</v>
      </c>
      <c r="AZ59" s="8">
        <f>nonmare!$AM513</f>
        <v>287.58069206164595</v>
      </c>
      <c r="BA59" s="8">
        <f>nonhighlands!$Y380</f>
        <v>161.27890931169617</v>
      </c>
      <c r="BB59" s="8">
        <f>nonhighlands!$Y374</f>
        <v>18.512371756185878</v>
      </c>
      <c r="BC59" s="8">
        <f>nonmare!$AM507</f>
        <v>601.61258136551544</v>
      </c>
      <c r="BD59" s="8">
        <f>nonmare!$AM519</f>
        <v>611.39703574070393</v>
      </c>
      <c r="BE59" s="8">
        <f>nonmare!$AM566</f>
        <v>748.92522255192875</v>
      </c>
      <c r="BF59" s="8">
        <f>nonhighlands!$Y319</f>
        <v>149.68640362713876</v>
      </c>
      <c r="BG59" s="8">
        <f>nonhighlands!$Y324</f>
        <v>233.3243508661665</v>
      </c>
      <c r="BH59" s="8">
        <f>nonmare!$AM572</f>
        <v>105</v>
      </c>
      <c r="BI59" s="8">
        <f>nonmare!$AM622</f>
        <v>205.94842146290765</v>
      </c>
      <c r="BJ59" s="8">
        <f>nonmare!$AM627</f>
        <v>122.52672014461642</v>
      </c>
      <c r="BK59" s="8">
        <f>nonmare!$AM632</f>
        <v>175.64816208756744</v>
      </c>
      <c r="BL59" s="8">
        <f>nonmare!$AM637</f>
        <v>129.9939024390244</v>
      </c>
      <c r="BM59" s="8">
        <f>nonmare!$AM642</f>
        <v>212.13533401586898</v>
      </c>
      <c r="BN59" s="8">
        <f>nonhighlands!$Y252</f>
        <v>119.41092539747244</v>
      </c>
      <c r="BO59" s="8">
        <f>nonhighlands!$Y257</f>
        <v>145.79167336441088</v>
      </c>
      <c r="BP59" s="6">
        <f t="shared" si="193"/>
        <v>132.60129938094167</v>
      </c>
      <c r="BQ59" s="8">
        <f>nonhighlands!$Y219</f>
        <v>119.12762793213005</v>
      </c>
      <c r="BR59" s="8">
        <f>nonhighlands!$Y227</f>
        <v>209.11659728273148</v>
      </c>
      <c r="BS59" s="8"/>
      <c r="BT59" s="8">
        <f>nonhighlands!$Y237</f>
        <v>185.2463747712234</v>
      </c>
      <c r="BU59" s="8">
        <f>nonhighlands!$Y267</f>
        <v>215</v>
      </c>
      <c r="BV59" s="7">
        <f t="shared" si="194"/>
        <v>203.12099068465162</v>
      </c>
      <c r="BW59" s="8">
        <f>nonhighlands!$Y352</f>
        <v>102.50676401116598</v>
      </c>
      <c r="BX59" s="8"/>
      <c r="BY59" s="8"/>
      <c r="BZ59" s="8">
        <f>nonmare!$AM194</f>
        <v>138.48188758834834</v>
      </c>
      <c r="CA59" s="8">
        <f>nonmare!$AM235</f>
        <v>148.37790634959549</v>
      </c>
      <c r="CB59" s="8">
        <f t="shared" si="195"/>
        <v>90.960207374041545</v>
      </c>
      <c r="CC59" s="8">
        <f>nonhighlands!$Y275</f>
        <v>67.309441095330556</v>
      </c>
      <c r="CD59" s="8">
        <f>nonmare!$AM322</f>
        <v>92.348973945123362</v>
      </c>
      <c r="CE59" s="8">
        <f t="shared" si="200"/>
        <v>52.359525099475086</v>
      </c>
      <c r="CF59" s="8">
        <f>nonmare!$AM436</f>
        <v>40.754728877679696</v>
      </c>
      <c r="CG59" s="8">
        <f t="shared" si="196"/>
        <v>250.00519112344065</v>
      </c>
      <c r="CH59" s="8">
        <f t="shared" si="197"/>
        <v>259.04934819301042</v>
      </c>
      <c r="CI59" s="8">
        <f>nonhighlands!$Y30</f>
        <v>128.46043826939771</v>
      </c>
      <c r="CJ59" s="8">
        <f>nonmare!$AM470</f>
        <v>173.08164652904725</v>
      </c>
      <c r="CK59" s="8">
        <f>nonmare!$AM485</f>
        <v>89.912660642376849</v>
      </c>
      <c r="CL59" s="8">
        <f>nonhighlands!$Y176</f>
        <v>409.93637855290319</v>
      </c>
      <c r="CM59" s="8">
        <f>nonhighlands!$Y164</f>
        <v>631.76627288374277</v>
      </c>
      <c r="CN59" s="8">
        <f>nonhighlands!$Y176</f>
        <v>409.93637855290319</v>
      </c>
      <c r="CO59" s="8">
        <f>nonhighlands!$Y386</f>
        <v>540.32398858485806</v>
      </c>
      <c r="CP59" s="8">
        <f>nonmare!$AM607</f>
        <v>1192.1519438830103</v>
      </c>
      <c r="CQ59" s="8">
        <f>nonmare!$AM612</f>
        <v>264.1204701834863</v>
      </c>
      <c r="CR59" s="8">
        <f>nonmare!$AM627</f>
        <v>122.52672014461642</v>
      </c>
      <c r="CS59" s="8">
        <f>nonmare!$AM480</f>
        <v>74.451696799362395</v>
      </c>
      <c r="CT59" s="8">
        <f>nonmare!$AM501</f>
        <v>469.6053254411496</v>
      </c>
      <c r="CU59" s="8">
        <f>nonmare!$AM561</f>
        <v>560.03049346267392</v>
      </c>
      <c r="CV59" s="8">
        <f>nonmare!$AM301</f>
        <v>228.03455305269594</v>
      </c>
      <c r="CW59" s="8">
        <f>nonmare!$AM307</f>
        <v>65.639454287259952</v>
      </c>
      <c r="CX59" s="8">
        <f>nonmare!$AM537</f>
        <v>212.32699642081792</v>
      </c>
      <c r="CY59" s="8">
        <f>nonmare!$AM543</f>
        <v>75.371876615543684</v>
      </c>
      <c r="CZ59" s="8">
        <f>nonmare!$AM555</f>
        <v>150.64289987491162</v>
      </c>
      <c r="DA59" s="8">
        <f>nonmare!$AM549</f>
        <v>140.55738454503887</v>
      </c>
      <c r="DE59"/>
      <c r="DN59" s="3"/>
      <c r="DO59" s="3"/>
      <c r="DP59" s="3"/>
      <c r="DQ59" s="3"/>
      <c r="DR59" s="3"/>
      <c r="DV59" s="8">
        <f>nonmare!$AM328</f>
        <v>69.460966542750924</v>
      </c>
      <c r="DW59" s="8">
        <f>nonmare!$AM334</f>
        <v>46.28934594405245</v>
      </c>
      <c r="DX59" s="8">
        <f>nonmare!$AM340</f>
        <v>51.773517967498286</v>
      </c>
      <c r="DY59" s="8"/>
      <c r="DZ59" s="8">
        <f>nonmare!$AM366</f>
        <v>47.505843852267411</v>
      </c>
      <c r="EA59" s="8">
        <f>nonmare!$AM374</f>
        <v>53.05547192953113</v>
      </c>
      <c r="EB59" s="8"/>
      <c r="EC59" s="8">
        <f>nonmare!$AM358</f>
        <v>46.131779675911282</v>
      </c>
      <c r="ED59" s="8"/>
      <c r="EE59" s="8"/>
      <c r="EF59" s="8">
        <f>nonmare!$AM400</f>
        <v>39.845275453277544</v>
      </c>
      <c r="EG59" s="8"/>
      <c r="EH59" s="8">
        <f>nonmare!$AM405</f>
        <v>45.340935244272416</v>
      </c>
      <c r="EI59" s="8"/>
      <c r="EJ59" s="8">
        <f>nonmare!$AM416</f>
        <v>71.832589285714292</v>
      </c>
      <c r="EK59" s="8"/>
      <c r="EL59" s="8">
        <f>nonmare!$AM426</f>
        <v>246.38438009787927</v>
      </c>
      <c r="EM59" s="8">
        <f>nonmare!$AM431</f>
        <v>251.3750646281114</v>
      </c>
      <c r="EQ59" s="8">
        <f>nonmare!$AM179</f>
        <v>146.61402787297234</v>
      </c>
      <c r="ER59" s="8">
        <f>nonmare!$AM186</f>
        <v>125.27974652693156</v>
      </c>
      <c r="ES59" s="8">
        <f>nonmare!$AM192</f>
        <v>115.64780382646187</v>
      </c>
      <c r="ET59" s="8">
        <f>nonmare!$AM243</f>
        <v>87.166290235236616</v>
      </c>
      <c r="EU59" s="8">
        <f>nonmare!$AM249</f>
        <v>136.25503058452969</v>
      </c>
      <c r="EV59" s="8">
        <f>nonmare!$AM254</f>
        <v>49.459301302358334</v>
      </c>
      <c r="EW59" s="8"/>
      <c r="EX59" s="8"/>
      <c r="EY59" s="8"/>
      <c r="FD59" s="2">
        <v>228.03455305269594</v>
      </c>
      <c r="FH59" s="8">
        <f>nonmare!$AM447</f>
        <v>37.820317126126724</v>
      </c>
      <c r="FI59" s="521">
        <f t="shared" si="198"/>
        <v>37.820317126126724</v>
      </c>
      <c r="FJ59" s="521">
        <f t="shared" si="199"/>
        <v>45.065572861670105</v>
      </c>
    </row>
    <row r="60" spans="1:166" s="7" customFormat="1" ht="11.1" customHeight="1" x14ac:dyDescent="0.2">
      <c r="A60" s="60" t="s">
        <v>263</v>
      </c>
      <c r="B60" s="7">
        <f>nonmare!$AT11</f>
        <v>0.5575</v>
      </c>
      <c r="C60" s="7">
        <f>nonmare!$AT131</f>
        <v>1.4386986201888163</v>
      </c>
      <c r="D60" s="7">
        <f>nonmare!$AT31</f>
        <v>0.21938040345821325</v>
      </c>
      <c r="E60" s="7">
        <f>nonmare!$AT577</f>
        <v>0</v>
      </c>
      <c r="F60" s="7">
        <f>nonmare!$AT583</f>
        <v>0</v>
      </c>
      <c r="G60" s="7">
        <f>nonmare!$AT589</f>
        <v>0</v>
      </c>
      <c r="H60" s="7">
        <f>nonmare!$AT595</f>
        <v>0</v>
      </c>
      <c r="I60" s="7">
        <f>nonmare!$AT601</f>
        <v>0</v>
      </c>
      <c r="J60" s="7">
        <f t="shared" si="191"/>
        <v>0</v>
      </c>
      <c r="K60" s="7">
        <f>nonmare!$AT294</f>
        <v>0.5441678991335589</v>
      </c>
      <c r="L60" s="7">
        <f>nonmare!$AT114</f>
        <v>0.98666666666666658</v>
      </c>
      <c r="M60" s="7">
        <f>nonmare!$AT84</f>
        <v>0.36333333333333329</v>
      </c>
      <c r="N60" s="7">
        <f>nonmare!$AT525</f>
        <v>0</v>
      </c>
      <c r="O60" s="7">
        <f>nonmare!$AT531</f>
        <v>0</v>
      </c>
      <c r="Q60" s="7" t="e">
        <f>nonmare!$AT283</f>
        <v>#DIV/0!</v>
      </c>
      <c r="R60" s="7">
        <f>nonhighlands!$AD94</f>
        <v>1.1189027382471293</v>
      </c>
      <c r="S60" s="7">
        <f>nonhighlands!$AD83</f>
        <v>0</v>
      </c>
      <c r="T60" s="7">
        <f t="shared" si="4"/>
        <v>0.41054516629839688</v>
      </c>
      <c r="U60" s="7">
        <f>nonhighlands!$AD105</f>
        <v>5.0999999999999996</v>
      </c>
      <c r="V60" s="7">
        <f>nonhighlands!$AD293</f>
        <v>0.76455779480346442</v>
      </c>
      <c r="W60" s="7">
        <f>nonhighlands!$AD47</f>
        <v>6.5193879465123121</v>
      </c>
      <c r="X60" s="7">
        <f>nonhighlands!$AD64</f>
        <v>4.7330632777336508</v>
      </c>
      <c r="Y60" s="38">
        <f t="shared" si="192"/>
        <v>5.3884973321319407</v>
      </c>
      <c r="Z60" s="7">
        <f>nonhighlands!$AD210</f>
        <v>0</v>
      </c>
      <c r="AA60" s="7">
        <f>nonhighlands!$AD196</f>
        <v>0</v>
      </c>
      <c r="AB60" s="7">
        <f>nonhighlands!$AD334</f>
        <v>0.56999999999999995</v>
      </c>
      <c r="AE60" s="7">
        <f>nonhighlands!AD12</f>
        <v>5.9127679044454062</v>
      </c>
      <c r="AI60" s="522">
        <f>nonmare!$AT157</f>
        <v>0.52296456046271622</v>
      </c>
      <c r="AJ60" s="522">
        <f>nonmare!$AT170</f>
        <v>0.75630365999028704</v>
      </c>
      <c r="AK60" s="7">
        <f>nonmare!$AT490</f>
        <v>0</v>
      </c>
      <c r="AL60" s="7">
        <f>nonhighlands!$AD342</f>
        <v>4.698085835939561</v>
      </c>
      <c r="AM60" s="7">
        <f>nonmare!$AT441</f>
        <v>0.26911228628638906</v>
      </c>
      <c r="AT60" s="7">
        <f>nonhighlands!$AD313</f>
        <v>1.5</v>
      </c>
      <c r="AU60" s="7" t="e">
        <f>nonmare!$AT475</f>
        <v>#DIV/0!</v>
      </c>
      <c r="AV60" s="7">
        <f>nonhighlands!$AD298</f>
        <v>0.56755768980053012</v>
      </c>
      <c r="AW60" s="7">
        <f>nonmare!$AT463</f>
        <v>0.39306880867124744</v>
      </c>
      <c r="AX60" s="7">
        <f>nonhighlands!$AD347</f>
        <v>11.132837456132844</v>
      </c>
      <c r="BA60" s="7">
        <f>nonhighlands!$AD380</f>
        <v>0</v>
      </c>
      <c r="BB60" s="7">
        <f>nonhighlands!$AD374</f>
        <v>0</v>
      </c>
      <c r="BF60" s="7">
        <f>nonhighlands!$AD319</f>
        <v>1</v>
      </c>
      <c r="BG60" s="7">
        <f>nonhighlands!$AD324</f>
        <v>1</v>
      </c>
      <c r="BP60" s="6" t="e">
        <f t="shared" si="193"/>
        <v>#DIV/0!</v>
      </c>
      <c r="BW60" s="7">
        <f>nonhighlands!$AD352</f>
        <v>4.6502254670388661</v>
      </c>
      <c r="BX60" s="522"/>
      <c r="BY60" s="522"/>
      <c r="BZ60" s="7">
        <f>nonmare!$AT194</f>
        <v>0.568198286470462</v>
      </c>
      <c r="CA60" s="7">
        <f>nonmare!$AT235</f>
        <v>0.15146022309389556</v>
      </c>
      <c r="CB60" s="7">
        <f t="shared" si="195"/>
        <v>0.05</v>
      </c>
      <c r="CD60" s="7">
        <f>nonmare!$AT322</f>
        <v>0.13294904311736225</v>
      </c>
      <c r="CE60" s="7">
        <f t="shared" si="200"/>
        <v>0.24266785520578762</v>
      </c>
      <c r="CF60" s="7">
        <f>nonmare!$AT436</f>
        <v>0.1745271122320303</v>
      </c>
      <c r="CG60" s="7">
        <f t="shared" si="196"/>
        <v>0.38404772045157187</v>
      </c>
      <c r="CH60" s="7">
        <f t="shared" si="197"/>
        <v>0.39794098358889307</v>
      </c>
      <c r="CI60" s="7">
        <f>nonhighlands!$AD30</f>
        <v>0.96291566634315751</v>
      </c>
      <c r="CK60" s="7">
        <f>nonmare!$AT485</f>
        <v>1.0753106876553438</v>
      </c>
      <c r="CL60" s="7">
        <f>nonhighlands!$AD176</f>
        <v>0.67198433282167991</v>
      </c>
      <c r="CM60" s="7">
        <f>nonhighlands!$AD164</f>
        <v>3.8785010170552341</v>
      </c>
      <c r="CN60" s="7">
        <f>nonhighlands!$AD176</f>
        <v>0.67198433282167991</v>
      </c>
      <c r="CO60" s="7">
        <f>nonhighlands!$AD386</f>
        <v>16.394762464327677</v>
      </c>
      <c r="CS60" s="7">
        <f>nonmare!$AT480</f>
        <v>0</v>
      </c>
      <c r="CT60" s="7">
        <f>nonmare!$AT501</f>
        <v>1.0033333333333332</v>
      </c>
      <c r="CU60" s="7">
        <f>nonmare!$AT561</f>
        <v>0</v>
      </c>
      <c r="CV60" s="7">
        <f>nonmare!$AT301</f>
        <v>11.440627866680256</v>
      </c>
      <c r="CW60" s="7">
        <f>nonmare!$AT307</f>
        <v>10.29163341898837</v>
      </c>
      <c r="DE60"/>
      <c r="DI60" s="2"/>
      <c r="DJ60" s="2"/>
      <c r="DK60" s="2"/>
      <c r="DL60" s="2"/>
      <c r="DM60" s="2"/>
      <c r="DN60" s="3"/>
      <c r="DO60" s="3"/>
      <c r="DP60" s="3"/>
      <c r="DQ60" s="3"/>
      <c r="DR60" s="3"/>
      <c r="DV60" s="7">
        <f>nonmare!$AT328</f>
        <v>0.15234200743494422</v>
      </c>
      <c r="DW60" s="7">
        <f>nonmare!$AT334</f>
        <v>0.47339738777961266</v>
      </c>
      <c r="DX60" s="7">
        <f>nonmare!$AT340</f>
        <v>9.3522545204852356E-2</v>
      </c>
      <c r="DZ60" s="7">
        <f>nonmare!$AT366</f>
        <v>5.0584385226741475E-2</v>
      </c>
      <c r="EA60" s="7">
        <f>nonmare!$AT374</f>
        <v>0.98052071137871422</v>
      </c>
      <c r="EC60" s="7">
        <f>nonmare!$AT358</f>
        <v>0.35685612851066828</v>
      </c>
      <c r="EF60" s="7">
        <f>nonmare!$AT400</f>
        <v>2.1321478382147839E-2</v>
      </c>
      <c r="EH60" s="7">
        <f>nonmare!$AT405</f>
        <v>5.5466052934407366E-2</v>
      </c>
      <c r="EJ60" s="7">
        <f>nonmare!$AT416</f>
        <v>0</v>
      </c>
      <c r="EL60" s="7">
        <f>nonmare!$AT426</f>
        <v>0.47198205546492655</v>
      </c>
      <c r="EM60" s="7">
        <f>nonmare!$AT431</f>
        <v>0.35077923037151937</v>
      </c>
      <c r="EQ60" s="7">
        <f>nonmare!$AT179</f>
        <v>0</v>
      </c>
      <c r="ER60" s="7">
        <f>nonmare!$AT186</f>
        <v>0.42610285157202055</v>
      </c>
      <c r="ES60" s="7">
        <f>nonmare!$AT192</f>
        <v>0.71029372136890334</v>
      </c>
      <c r="EU60" s="7">
        <f>nonmare!$AT249</f>
        <v>0.1</v>
      </c>
      <c r="EV60" s="7">
        <f>nonmare!$AT254</f>
        <v>0</v>
      </c>
      <c r="FD60" s="7">
        <v>11.440627866680256</v>
      </c>
      <c r="FH60" s="7">
        <f>nonmare!$AT447</f>
        <v>9.0861240871109965E-3</v>
      </c>
      <c r="FI60" s="521">
        <f t="shared" si="198"/>
        <v>9.0861240871109965E-3</v>
      </c>
      <c r="FJ60" s="521">
        <f t="shared" si="199"/>
        <v>1.0826757102864393E-2</v>
      </c>
    </row>
    <row r="61" spans="1:166" s="2" customFormat="1" ht="11.1" customHeight="1" x14ac:dyDescent="0.2">
      <c r="A61" s="1" t="s">
        <v>167</v>
      </c>
      <c r="B61" s="8">
        <f>nonmare!$AU11</f>
        <v>135.12073035602447</v>
      </c>
      <c r="C61" s="8">
        <f>nonmare!$AU131</f>
        <v>152.37044624505791</v>
      </c>
      <c r="D61" s="8">
        <f>nonmare!$AU31</f>
        <v>141.55475504322766</v>
      </c>
      <c r="E61" s="8">
        <f>nonmare!$AU577</f>
        <v>147.35555118626297</v>
      </c>
      <c r="F61" s="8">
        <f>nonmare!$AU583</f>
        <v>159.34590855267263</v>
      </c>
      <c r="G61" s="8">
        <f>nonmare!$AU589</f>
        <v>198.00053943251697</v>
      </c>
      <c r="H61" s="8">
        <f>nonmare!$AU595</f>
        <v>160.59766901231467</v>
      </c>
      <c r="I61" s="8">
        <f>nonmare!$AU601</f>
        <v>162.30343938882584</v>
      </c>
      <c r="J61" s="8">
        <f t="shared" si="191"/>
        <v>161.45055420057025</v>
      </c>
      <c r="K61" s="8">
        <f>nonmare!$AU294</f>
        <v>141.07724359623708</v>
      </c>
      <c r="L61" s="8">
        <f>nonmare!$AU114</f>
        <v>154.71718284629287</v>
      </c>
      <c r="M61" s="8">
        <f>nonmare!$AU84</f>
        <v>160.86198452983271</v>
      </c>
      <c r="N61" s="8">
        <f>nonmare!$AU525</f>
        <v>159.46964631356678</v>
      </c>
      <c r="O61" s="8">
        <f>nonmare!$AU531</f>
        <v>153.15100552329696</v>
      </c>
      <c r="P61" s="8"/>
      <c r="Q61" s="8">
        <f>nonmare!$AU283</f>
        <v>129.72380506091847</v>
      </c>
      <c r="R61" s="8">
        <f>nonhighlands!$AE94</f>
        <v>109.26464814996564</v>
      </c>
      <c r="S61" s="8">
        <f>nonhighlands!$AE83</f>
        <v>112.28723404255318</v>
      </c>
      <c r="T61" s="8">
        <f t="shared" si="4"/>
        <v>111.17819392181171</v>
      </c>
      <c r="U61" s="8">
        <f>nonhighlands!$AE105</f>
        <v>105.8</v>
      </c>
      <c r="V61" s="8">
        <f>nonhighlands!$AE293</f>
        <v>155.14565289806794</v>
      </c>
      <c r="W61" s="8">
        <f>nonhighlands!$AE47</f>
        <v>109.03940912403704</v>
      </c>
      <c r="X61" s="8">
        <f>nonhighlands!$AE64</f>
        <v>104.88655679110406</v>
      </c>
      <c r="Y61" s="38">
        <f t="shared" si="192"/>
        <v>106.4103116210436</v>
      </c>
      <c r="Z61" s="8">
        <f>nonhighlands!$AE210</f>
        <v>156.10313662945242</v>
      </c>
      <c r="AA61" s="8">
        <f>nonhighlands!$AE196</f>
        <v>126.42373798890242</v>
      </c>
      <c r="AB61" s="8">
        <f>nonhighlands!$AE334</f>
        <v>117.73961589995534</v>
      </c>
      <c r="AC61" s="8">
        <f>nonhighlands!$AE159</f>
        <v>129.09953552438645</v>
      </c>
      <c r="AE61" s="8">
        <f>nonhighlands!AE12</f>
        <v>121.36112315176032</v>
      </c>
      <c r="AI61" s="523">
        <f>nonmare!$AU157</f>
        <v>222.8820887411969</v>
      </c>
      <c r="AJ61" s="523">
        <f>nonmare!$AU170</f>
        <v>302.5104192727112</v>
      </c>
      <c r="AK61" s="8">
        <f>nonmare!$AU490</f>
        <v>200.03480670938018</v>
      </c>
      <c r="AL61" s="8">
        <f>nonhighlands!$AE342</f>
        <v>113.63992614642601</v>
      </c>
      <c r="AM61" s="8">
        <f>nonmare!$AU441</f>
        <v>218.51250192534786</v>
      </c>
      <c r="AN61" s="523">
        <f>nonhighlands!$AE303</f>
        <v>117.04935957513275</v>
      </c>
      <c r="AO61" s="523">
        <f>nonhighlands!$AE308</f>
        <v>118.01136722450268</v>
      </c>
      <c r="AP61" s="8">
        <f>nonhighlands!$AE119</f>
        <v>133.16483429303554</v>
      </c>
      <c r="AQ61" s="8">
        <f>nonmare!$AU265</f>
        <v>149.22890071452062</v>
      </c>
      <c r="AR61" s="8">
        <f>nonmare!$AU274</f>
        <v>169.25773627921012</v>
      </c>
      <c r="AS61" s="8">
        <f>nonhighlands!$AE232</f>
        <v>59.163884105712363</v>
      </c>
      <c r="AT61" s="8">
        <f>nonhighlands!$AE313</f>
        <v>158.11576665025038</v>
      </c>
      <c r="AU61" s="8">
        <f>nonmare!$AU475</f>
        <v>192.16896567117539</v>
      </c>
      <c r="AV61" s="8">
        <f>nonhighlands!$AE298</f>
        <v>152.33801225500846</v>
      </c>
      <c r="AW61" s="8">
        <f>nonmare!$AU463</f>
        <v>125.16956353430758</v>
      </c>
      <c r="AX61" s="8">
        <f>nonhighlands!$AE347</f>
        <v>206.00066763673715</v>
      </c>
      <c r="AY61" s="523">
        <f>nonhighlands!$AE366</f>
        <v>145.141920662817</v>
      </c>
      <c r="AZ61" s="8">
        <f>nonmare!$AU513</f>
        <v>202.67970340215183</v>
      </c>
      <c r="BA61" s="8">
        <f>nonhighlands!$AE380</f>
        <v>118.94574156869237</v>
      </c>
      <c r="BB61" s="8">
        <f>nonhighlands!$AE374</f>
        <v>103.06125528062763</v>
      </c>
      <c r="BC61" s="8">
        <f>nonmare!$AU507</f>
        <v>253.59082054449567</v>
      </c>
      <c r="BD61" s="8">
        <f>nonmare!$AU519</f>
        <v>197.90699478593467</v>
      </c>
      <c r="BE61" s="8">
        <f>nonmare!$AU566</f>
        <v>187.8459940652819</v>
      </c>
      <c r="BF61" s="8">
        <f>nonhighlands!$AE319</f>
        <v>132.30096615749986</v>
      </c>
      <c r="BG61" s="8">
        <f>nonhighlands!$AE324</f>
        <v>164.89236752170328</v>
      </c>
      <c r="BH61" s="8">
        <f>nonmare!$AU572</f>
        <v>130</v>
      </c>
      <c r="BI61" s="8">
        <f>nonmare!$AU622</f>
        <v>206.482222510935</v>
      </c>
      <c r="BJ61" s="8">
        <f>nonmare!$AU627</f>
        <v>199.09027228561743</v>
      </c>
      <c r="BK61" s="8">
        <f>nonmare!$AU632</f>
        <v>241.42883577970144</v>
      </c>
      <c r="BL61" s="8">
        <f>nonmare!$AU637</f>
        <v>303.0886293369976</v>
      </c>
      <c r="BM61" s="8">
        <f>nonmare!$AU642</f>
        <v>199.97472485282827</v>
      </c>
      <c r="BN61" s="8">
        <f>nonhighlands!$AE252</f>
        <v>60.367152466367706</v>
      </c>
      <c r="BO61" s="8">
        <f>nonhighlands!$AE257</f>
        <v>60.930155923484968</v>
      </c>
      <c r="BP61" s="6">
        <f t="shared" si="193"/>
        <v>60.648654194926337</v>
      </c>
      <c r="BQ61" s="8">
        <f>nonhighlands!$AE219</f>
        <v>75.692624890150753</v>
      </c>
      <c r="BR61" s="8">
        <f>nonhighlands!$AE227</f>
        <v>47.021008810146192</v>
      </c>
      <c r="BS61" s="8"/>
      <c r="BT61" s="8">
        <f>nonhighlands!$AE237</f>
        <v>44.126918203575954</v>
      </c>
      <c r="BU61" s="8">
        <f>nonhighlands!$AE267</f>
        <v>40</v>
      </c>
      <c r="BV61" s="7">
        <f t="shared" si="194"/>
        <v>43.71597567124072</v>
      </c>
      <c r="BW61" s="8">
        <f>nonhighlands!$AE352</f>
        <v>101.0180373631093</v>
      </c>
      <c r="BX61" s="523"/>
      <c r="BY61" s="523"/>
      <c r="BZ61" s="8">
        <f>nonmare!$AU194</f>
        <v>2441.2485403754604</v>
      </c>
      <c r="CA61" s="8">
        <f>nonmare!$AU235</f>
        <v>431.39426299338072</v>
      </c>
      <c r="CB61" s="8">
        <f t="shared" si="195"/>
        <v>215.97673849999521</v>
      </c>
      <c r="CC61" s="523">
        <f>nonhighlands!$AE275</f>
        <v>665.17293348319197</v>
      </c>
      <c r="CD61" s="8">
        <f>nonmare!$AU322</f>
        <v>413.06179386672824</v>
      </c>
      <c r="CE61" s="8">
        <f t="shared" si="200"/>
        <v>699.6937381485335</v>
      </c>
      <c r="CF61" s="8">
        <f>nonmare!$AU436</f>
        <v>312.40920554854983</v>
      </c>
      <c r="CG61" s="8">
        <f t="shared" si="196"/>
        <v>680.55895402566659</v>
      </c>
      <c r="CH61" s="8">
        <f t="shared" si="197"/>
        <v>705.17877110886934</v>
      </c>
      <c r="CI61" s="8">
        <f>nonhighlands!$AE30</f>
        <v>1581.0650252847724</v>
      </c>
      <c r="CJ61" s="8">
        <f>nonmare!$AU470</f>
        <v>569.98132997458652</v>
      </c>
      <c r="CK61" s="8">
        <f>nonmare!$AU485</f>
        <v>1364.4699524093946</v>
      </c>
      <c r="CL61" s="8">
        <f>nonhighlands!$AE176</f>
        <v>434.55475572963525</v>
      </c>
      <c r="CM61" s="8">
        <f>nonhighlands!$AE164</f>
        <v>1223.590909090909</v>
      </c>
      <c r="CN61" s="8">
        <f>nonhighlands!$AE176</f>
        <v>434.55475572963525</v>
      </c>
      <c r="CO61" s="8">
        <f>nonhighlands!$AE386</f>
        <v>1199.3741816350512</v>
      </c>
      <c r="CP61" s="8">
        <f>nonmare!$AU607</f>
        <v>514.08346213292111</v>
      </c>
      <c r="CQ61" s="8">
        <f>nonmare!$AU612</f>
        <v>603.24443807339446</v>
      </c>
      <c r="CR61" s="8">
        <f>nonmare!$AU627</f>
        <v>199.09027228561743</v>
      </c>
      <c r="CS61" s="8">
        <f>nonmare!$AU480</f>
        <v>329.95058517555265</v>
      </c>
      <c r="CT61" s="8">
        <f>nonmare!$AU501</f>
        <v>585.20087950107302</v>
      </c>
      <c r="CU61" s="8">
        <f>nonmare!$AU561</f>
        <v>581.57507380851962</v>
      </c>
      <c r="CV61" s="8">
        <f>nonmare!$AU301</f>
        <v>335.07027825909688</v>
      </c>
      <c r="CW61" s="8">
        <f>nonmare!$AU307</f>
        <v>223.37207533134978</v>
      </c>
      <c r="CX61" s="8">
        <f>nonmare!$AU537</f>
        <v>248.31666960042244</v>
      </c>
      <c r="CY61" s="8">
        <f>nonmare!$AU543</f>
        <v>1234.6452696880922</v>
      </c>
      <c r="CZ61" s="8">
        <f>nonmare!$AU555</f>
        <v>960.77818567466159</v>
      </c>
      <c r="DA61" s="8">
        <f>nonmare!$AU549</f>
        <v>209.96100926965127</v>
      </c>
      <c r="DE61"/>
      <c r="DN61" s="3"/>
      <c r="DO61" s="3"/>
      <c r="DP61" s="3"/>
      <c r="DQ61" s="3"/>
      <c r="DR61" s="3"/>
      <c r="DV61" s="8">
        <f>nonmare!$AU328</f>
        <v>649.56208178438669</v>
      </c>
      <c r="DW61" s="8">
        <f>nonmare!$AU334</f>
        <v>1172.0507431316619</v>
      </c>
      <c r="DX61" s="8">
        <f>nonmare!$AU340</f>
        <v>841.46623941405346</v>
      </c>
      <c r="DY61" s="8"/>
      <c r="DZ61" s="8">
        <f>nonmare!$AU366</f>
        <v>396.77793361383823</v>
      </c>
      <c r="EA61" s="8">
        <f>nonmare!$AU374</f>
        <v>724.50922673802756</v>
      </c>
      <c r="EB61" s="8"/>
      <c r="EC61" s="8">
        <f>nonmare!$AU358</f>
        <v>673.0406341171921</v>
      </c>
      <c r="ED61" s="8"/>
      <c r="EE61" s="8"/>
      <c r="EF61" s="8">
        <f>nonmare!$AU400</f>
        <v>389.21548117154816</v>
      </c>
      <c r="EG61" s="8"/>
      <c r="EH61" s="8">
        <f>nonmare!$AU405</f>
        <v>1058.3313108065697</v>
      </c>
      <c r="EI61" s="8"/>
      <c r="EJ61" s="8">
        <f>nonmare!$AU416</f>
        <v>392.28999255952385</v>
      </c>
      <c r="EK61" s="8"/>
      <c r="EL61" s="8">
        <f>nonmare!$AU426</f>
        <v>431.63356443719402</v>
      </c>
      <c r="EM61" s="8">
        <f>nonmare!$AU431</f>
        <v>774.73572641997202</v>
      </c>
      <c r="EQ61" s="8">
        <f>nonmare!$AU179</f>
        <v>1837.1914553347042</v>
      </c>
      <c r="ER61" s="8">
        <f>nonmare!$AU186</f>
        <v>0</v>
      </c>
      <c r="ES61" s="8">
        <f>nonmare!$AU192</f>
        <v>3903.7456211263811</v>
      </c>
      <c r="ET61" s="8">
        <f>nonmare!$AU243</f>
        <v>229.19808218092484</v>
      </c>
      <c r="EU61" s="8">
        <f>nonmare!$AU249</f>
        <v>249.53853951406245</v>
      </c>
      <c r="EV61" s="8">
        <f>nonmare!$AU254</f>
        <v>169.19359380499827</v>
      </c>
      <c r="EW61" s="8"/>
      <c r="EX61" s="8"/>
      <c r="EY61" s="8"/>
      <c r="FD61" s="2">
        <v>335.07027825909688</v>
      </c>
      <c r="FH61" s="8">
        <f>nonmare!$AU447</f>
        <v>137.18063688400554</v>
      </c>
      <c r="FI61" s="521">
        <f t="shared" si="198"/>
        <v>137.18063688400554</v>
      </c>
      <c r="FJ61" s="521">
        <f t="shared" si="199"/>
        <v>163.46039527087351</v>
      </c>
    </row>
    <row r="62" spans="1:166" s="2" customFormat="1" ht="11.1" customHeight="1" x14ac:dyDescent="0.2">
      <c r="A62" s="524" t="s">
        <v>316</v>
      </c>
      <c r="B62" s="8">
        <f>nonmare!$AV11</f>
        <v>9.132600386805743</v>
      </c>
      <c r="C62" s="8">
        <f>nonmare!$AV131</f>
        <v>12.188117913772475</v>
      </c>
      <c r="D62" s="8">
        <f>nonmare!$AV31</f>
        <v>10.56634350935748</v>
      </c>
      <c r="E62" s="8">
        <f>nonmare!$AV577</f>
        <v>10.13273134327188</v>
      </c>
      <c r="F62" s="8">
        <f>nonmare!$AV583</f>
        <v>7.3421300234391591</v>
      </c>
      <c r="G62" s="8">
        <f>nonmare!$AV589</f>
        <v>36.540001070655464</v>
      </c>
      <c r="H62" s="8">
        <f>nonmare!$AV595</f>
        <v>8.2112926254255036</v>
      </c>
      <c r="I62" s="8">
        <f>nonmare!$AV601</f>
        <v>23.93254452089835</v>
      </c>
      <c r="J62" s="8">
        <f t="shared" si="191"/>
        <v>16.071918573161927</v>
      </c>
      <c r="K62" s="8">
        <f>nonmare!$AV294</f>
        <v>11.112466319297317</v>
      </c>
      <c r="L62" s="8">
        <f>nonmare!$AV114</f>
        <v>10.226099390973742</v>
      </c>
      <c r="M62" s="8">
        <f>nonmare!$AV84</f>
        <v>5.9672356228668217</v>
      </c>
      <c r="N62" s="8">
        <f>nonmare!$AV525</f>
        <v>5.9203686700614151</v>
      </c>
      <c r="O62" s="8">
        <f>nonmare!$AV531</f>
        <v>9.9761976737008791</v>
      </c>
      <c r="P62" s="8"/>
      <c r="Q62" s="8">
        <f>nonmare!$AV283</f>
        <v>36.739636656832694</v>
      </c>
      <c r="R62" s="8">
        <f>nonhighlands!$AF94</f>
        <v>27.13434708889319</v>
      </c>
      <c r="S62" s="8">
        <f>nonhighlands!$AF83</f>
        <v>24.632836716948475</v>
      </c>
      <c r="T62" s="8">
        <f t="shared" si="4"/>
        <v>25.550685030785008</v>
      </c>
      <c r="U62" s="8">
        <f>nonhighlands!$AF105</f>
        <v>25.573221916943879</v>
      </c>
      <c r="V62" s="8">
        <f>nonhighlands!$AF293</f>
        <v>35.58968025422574</v>
      </c>
      <c r="W62" s="8">
        <f>nonhighlands!$AF47</f>
        <v>29.7678514638481</v>
      </c>
      <c r="X62" s="8">
        <f>nonhighlands!$AF64</f>
        <v>28.540462662369773</v>
      </c>
      <c r="Y62" s="38">
        <f t="shared" si="192"/>
        <v>28.990813280337797</v>
      </c>
      <c r="Z62" s="8">
        <f>nonhighlands!$AF210</f>
        <v>45.601520196472968</v>
      </c>
      <c r="AA62" s="8">
        <f>nonhighlands!$AF196</f>
        <v>33.636658003758974</v>
      </c>
      <c r="AB62" s="8">
        <f>nonhighlands!$AF334</f>
        <v>25.569769061144385</v>
      </c>
      <c r="AC62" s="8">
        <f>nonhighlands!$AF159</f>
        <v>69.289121377713386</v>
      </c>
      <c r="AE62" s="8">
        <f>nonhighlands!$AF6</f>
        <v>0</v>
      </c>
      <c r="AI62" s="8">
        <f>nonmare!$AV157</f>
        <v>9.0303144286318737</v>
      </c>
      <c r="AJ62" s="8">
        <f>nonmare!$AV170</f>
        <v>7.5671009573708439</v>
      </c>
      <c r="AK62" s="8">
        <f>nonmare!$AV490</f>
        <v>7.3593245183942573</v>
      </c>
      <c r="AL62" s="8">
        <f>nonhighlands!$AF342</f>
        <v>10.022636170857281</v>
      </c>
      <c r="AM62" s="8">
        <f>nonmare!$AV441</f>
        <v>7.4643422700480961</v>
      </c>
      <c r="AN62" s="523">
        <f>nonhighlands!$AF303</f>
        <v>18.818728818503264</v>
      </c>
      <c r="AO62" s="523">
        <f>nonhighlands!$AF308</f>
        <v>36.795149983826519</v>
      </c>
      <c r="AP62" s="8">
        <f>nonhighlands!$AF119</f>
        <v>59.866139044842356</v>
      </c>
      <c r="AQ62" s="8">
        <f>nonmare!$AV265</f>
        <v>6.469145874252729</v>
      </c>
      <c r="AR62" s="8">
        <f>nonmare!$AV274</f>
        <v>0</v>
      </c>
      <c r="AS62" s="8">
        <f>nonhighlands!$AF232</f>
        <v>41.518363130811693</v>
      </c>
      <c r="AT62" s="8">
        <f>nonhighlands!$AF313</f>
        <v>126.30761949228967</v>
      </c>
      <c r="AU62" s="8">
        <f>nonmare!$AV475</f>
        <v>3.7097883139499013</v>
      </c>
      <c r="AV62" s="8">
        <f>nonhighlands!$AF298</f>
        <v>34.313424550375615</v>
      </c>
      <c r="AW62" s="8">
        <f>nonmare!$AV463</f>
        <v>4.8985578987802052</v>
      </c>
      <c r="AX62" s="8">
        <f>nonhighlands!$AF347</f>
        <v>134.86314826348607</v>
      </c>
      <c r="AY62" s="523">
        <f>nonhighlands!$AF366</f>
        <v>66.92877384993055</v>
      </c>
      <c r="AZ62" s="8">
        <f>nonmare!$AV513</f>
        <v>28.05859254854677</v>
      </c>
      <c r="BA62" s="8">
        <f>nonhighlands!$AF380</f>
        <v>24.960688301052294</v>
      </c>
      <c r="BB62" s="8">
        <f>nonhighlands!$AF374</f>
        <v>41.561995354518864</v>
      </c>
      <c r="BC62" s="8">
        <f>nonmare!$AV507</f>
        <v>12.096317843191525</v>
      </c>
      <c r="BD62" s="8">
        <f>nonmare!$AV519</f>
        <v>43.256928750302407</v>
      </c>
      <c r="BE62" s="8">
        <f>nonmare!$AV566</f>
        <v>17.283752722329535</v>
      </c>
      <c r="BF62" s="8">
        <f>nonhighlands!$AF319</f>
        <v>123.17806444648349</v>
      </c>
      <c r="BG62" s="8">
        <f>nonhighlands!$AF324</f>
        <v>111.14789645284205</v>
      </c>
      <c r="BH62" s="8">
        <f>nonmare!$AV572</f>
        <v>4.2326446102159219</v>
      </c>
      <c r="BI62" s="8">
        <f>nonmare!$AV622</f>
        <v>13.793435791327887</v>
      </c>
      <c r="BJ62" s="8">
        <f>nonmare!$AV627</f>
        <v>9.4764178875053187</v>
      </c>
      <c r="BK62" s="8">
        <f>nonmare!$AV632</f>
        <v>12.614575289772162</v>
      </c>
      <c r="BL62" s="8">
        <f>nonmare!$AV637</f>
        <v>17.796147662240124</v>
      </c>
      <c r="BM62" s="8">
        <f>nonmare!$AV642</f>
        <v>39.883139983315509</v>
      </c>
      <c r="BN62" s="8">
        <f>nonhighlands!$AF252</f>
        <v>36.703146102935825</v>
      </c>
      <c r="BO62" s="8">
        <f>nonhighlands!$AF257</f>
        <v>33.951866444275041</v>
      </c>
      <c r="BP62" s="6">
        <f t="shared" si="193"/>
        <v>35.327506273605437</v>
      </c>
      <c r="BQ62" s="8">
        <f>nonhighlands!$AF219</f>
        <v>53.170568633541279</v>
      </c>
      <c r="BR62" s="8">
        <f>nonhighlands!$AF227</f>
        <v>31.203843830009063</v>
      </c>
      <c r="BS62" s="8"/>
      <c r="BT62" s="8">
        <f>nonhighlands!$AF237</f>
        <v>26.202119791510867</v>
      </c>
      <c r="BU62" s="8">
        <f>nonhighlands!$AF267</f>
        <v>29.4605434876974</v>
      </c>
      <c r="BV62" s="7">
        <f t="shared" si="194"/>
        <v>28.955502369739111</v>
      </c>
      <c r="BW62" s="8">
        <f>nonhighlands!$AF352</f>
        <v>0</v>
      </c>
      <c r="BX62" s="8"/>
      <c r="BY62" s="8"/>
      <c r="BZ62" s="8">
        <f>nonmare!$AV194</f>
        <v>11.884654855175558</v>
      </c>
      <c r="CA62" s="8">
        <f>nonmare!$AV235</f>
        <v>9.4799608152515482</v>
      </c>
      <c r="CB62" s="8">
        <f t="shared" si="195"/>
        <v>1.3732193442888487</v>
      </c>
      <c r="CC62" s="523">
        <f>nonhighlands!$AF275</f>
        <v>45.753772107852186</v>
      </c>
      <c r="CD62" s="8">
        <f>nonmare!$AV322</f>
        <v>8.0111324466838436</v>
      </c>
      <c r="CE62" s="8">
        <f t="shared" si="200"/>
        <v>0</v>
      </c>
      <c r="CF62" s="8">
        <f>nonmare!$AV436</f>
        <v>0</v>
      </c>
      <c r="CG62" s="8">
        <f t="shared" si="196"/>
        <v>0</v>
      </c>
      <c r="CH62" s="8">
        <f t="shared" si="197"/>
        <v>0</v>
      </c>
      <c r="CI62" s="8">
        <f>nonhighlands!$AF30</f>
        <v>25.372796784828413</v>
      </c>
      <c r="CJ62" s="8">
        <f>nonmare!$AV470</f>
        <v>10.749082619622955</v>
      </c>
      <c r="CK62" s="8">
        <f>nonmare!$AV485</f>
        <v>10.243484756304602</v>
      </c>
      <c r="CL62" s="8" t="e">
        <f>nonhighlands!$AF176</f>
        <v>#DIV/0!</v>
      </c>
      <c r="CM62" s="8" t="e">
        <f>nonhighlands!$AF164</f>
        <v>#DIV/0!</v>
      </c>
      <c r="CN62" s="8" t="e">
        <f>nonhighlands!$AF176</f>
        <v>#DIV/0!</v>
      </c>
      <c r="CO62" s="8" t="e">
        <f>nonhighlands!$AF386</f>
        <v>#DIV/0!</v>
      </c>
      <c r="CP62" s="8">
        <f>nonmare!$AV607</f>
        <v>10.766865909477978</v>
      </c>
      <c r="CQ62" s="8">
        <f>nonmare!$AV612</f>
        <v>21.464025816183092</v>
      </c>
      <c r="CR62" s="8">
        <f>nonmare!$AV627</f>
        <v>9.4764178875053187</v>
      </c>
      <c r="CS62" s="8" t="e">
        <f>nonmare!$AV480</f>
        <v>#DIV/0!</v>
      </c>
      <c r="CT62" s="8">
        <f>nonmare!$AV501</f>
        <v>13.289992040376163</v>
      </c>
      <c r="CU62" s="8">
        <f>nonmare!$AV561</f>
        <v>17.426973079423828</v>
      </c>
      <c r="CV62" s="8">
        <f>nonmare!$AV301</f>
        <v>532</v>
      </c>
      <c r="CW62" s="8">
        <f>nonmare!$AV307</f>
        <v>162.5</v>
      </c>
      <c r="CX62" s="8">
        <f>nonmare!$AV537</f>
        <v>7.2054668952674517</v>
      </c>
      <c r="CY62" s="8">
        <f>nonmare!$AV543</f>
        <v>6.5809047066158159</v>
      </c>
      <c r="CZ62" s="8">
        <f>nonmare!$AV555</f>
        <v>4.8826793585283106</v>
      </c>
      <c r="DA62" s="8">
        <f>nonmare!$AV549</f>
        <v>10.169595694921869</v>
      </c>
      <c r="DE62"/>
      <c r="DN62" s="3"/>
      <c r="DO62" s="3"/>
      <c r="DP62" s="3"/>
      <c r="DQ62" s="3"/>
      <c r="DR62" s="3"/>
      <c r="DV62" s="8">
        <f>nonmare!$AV328</f>
        <v>0</v>
      </c>
      <c r="DW62" s="8">
        <f>nonmare!$AV334</f>
        <v>0</v>
      </c>
      <c r="DX62" s="8">
        <f>nonmare!$AV340</f>
        <v>0</v>
      </c>
      <c r="DY62" s="8"/>
      <c r="DZ62" s="8">
        <f>nonmare!$AV366</f>
        <v>0</v>
      </c>
      <c r="EA62" s="8">
        <f>nonmare!$AV374</f>
        <v>0</v>
      </c>
      <c r="EB62" s="8"/>
      <c r="EC62" s="8">
        <f>nonmare!$AV358</f>
        <v>0</v>
      </c>
      <c r="ED62" s="8"/>
      <c r="EE62" s="8"/>
      <c r="EF62" s="8">
        <f>nonmare!$AV400</f>
        <v>0</v>
      </c>
      <c r="EG62" s="8"/>
      <c r="EH62" s="8">
        <f>nonmare!$AV405</f>
        <v>0</v>
      </c>
      <c r="EI62" s="8"/>
      <c r="EJ62" s="8">
        <f>nonmare!$AV416</f>
        <v>0</v>
      </c>
      <c r="EK62" s="8"/>
      <c r="EL62" s="8">
        <f>nonmare!$AV426</f>
        <v>0</v>
      </c>
      <c r="EM62" s="8">
        <f>nonmare!$AV431</f>
        <v>0</v>
      </c>
      <c r="EQ62" s="8">
        <f>nonmare!$AV179</f>
        <v>12.43024274582366</v>
      </c>
      <c r="ER62" s="8">
        <f>nonmare!$AV186</f>
        <v>0</v>
      </c>
      <c r="ES62" s="8">
        <f>nonmare!$AV192</f>
        <v>0</v>
      </c>
      <c r="ET62" s="8">
        <f>nonmare!$AV243</f>
        <v>4.1196580328665462</v>
      </c>
      <c r="EU62" s="8">
        <f>nonmare!$AV249</f>
        <v>0</v>
      </c>
      <c r="EV62" s="8">
        <f>nonmare!$AV254</f>
        <v>0</v>
      </c>
      <c r="EW62" s="8"/>
      <c r="EX62" s="8"/>
      <c r="EY62" s="8"/>
      <c r="FD62" s="2">
        <v>532</v>
      </c>
      <c r="FH62" s="8">
        <f>nonmare!$AV447</f>
        <v>5.253992663755346</v>
      </c>
      <c r="FI62" s="521">
        <f t="shared" si="198"/>
        <v>5.253992663755346</v>
      </c>
      <c r="FJ62" s="521">
        <f t="shared" si="199"/>
        <v>6.2605024810746581</v>
      </c>
    </row>
    <row r="63" spans="1:166" s="2" customFormat="1" ht="11.1" customHeight="1" x14ac:dyDescent="0.2">
      <c r="A63" s="1" t="s">
        <v>168</v>
      </c>
      <c r="B63" s="8">
        <f>nonmare!$AW11</f>
        <v>30.996537071831188</v>
      </c>
      <c r="C63" s="8">
        <f>nonmare!$AW131</f>
        <v>42.926973174193847</v>
      </c>
      <c r="D63" s="8">
        <f>nonmare!$AW31</f>
        <v>34.326609029779057</v>
      </c>
      <c r="E63" s="8">
        <f>nonmare!$AW577</f>
        <v>29.54941669943636</v>
      </c>
      <c r="F63" s="8">
        <f>nonmare!$AW583</f>
        <v>23.73556723518292</v>
      </c>
      <c r="G63" s="8">
        <f>nonmare!$AW589</f>
        <v>153.01508612939188</v>
      </c>
      <c r="H63" s="8">
        <f>nonmare!$AW595</f>
        <v>27.425860769037456</v>
      </c>
      <c r="I63" s="8">
        <f>nonmare!$AW601</f>
        <v>94.252078667198461</v>
      </c>
      <c r="J63" s="8">
        <f t="shared" si="191"/>
        <v>60.838969718117959</v>
      </c>
      <c r="K63" s="8">
        <f>nonmare!$AW294</f>
        <v>42.198954597945665</v>
      </c>
      <c r="L63" s="8">
        <f>nonmare!$AW114</f>
        <v>36.079880274257356</v>
      </c>
      <c r="M63" s="8">
        <f>nonmare!$AW84</f>
        <v>22.599545893719807</v>
      </c>
      <c r="N63" s="8">
        <f>nonmare!$AW525</f>
        <v>15.242829491465775</v>
      </c>
      <c r="O63" s="8">
        <f>nonmare!$AW531</f>
        <v>30.245645092763059</v>
      </c>
      <c r="P63" s="8"/>
      <c r="Q63" s="8">
        <f>nonmare!$AW283</f>
        <v>123.04882849109653</v>
      </c>
      <c r="R63" s="8">
        <f>nonhighlands!$AG94</f>
        <v>93.650750809696717</v>
      </c>
      <c r="S63" s="8">
        <f>nonhighlands!$AG83</f>
        <v>88.761524822695037</v>
      </c>
      <c r="T63" s="8">
        <f t="shared" si="4"/>
        <v>90.5554681452832</v>
      </c>
      <c r="U63" s="8">
        <f>nonhighlands!$AG105</f>
        <v>113.45</v>
      </c>
      <c r="V63" s="8">
        <f>nonhighlands!$AG293</f>
        <v>96.167513324450354</v>
      </c>
      <c r="W63" s="8">
        <f>nonhighlands!$AG47</f>
        <v>109.8974424770344</v>
      </c>
      <c r="X63" s="8">
        <f>nonhighlands!$AG64</f>
        <v>110.32880262112788</v>
      </c>
      <c r="Y63" s="38">
        <f t="shared" si="192"/>
        <v>110.17052896959601</v>
      </c>
      <c r="Z63" s="8">
        <f>nonhighlands!$AG210</f>
        <v>106.48679780258726</v>
      </c>
      <c r="AA63" s="8">
        <f>nonhighlands!$AG196</f>
        <v>46.75</v>
      </c>
      <c r="AB63" s="8">
        <f>nonhighlands!$AG334</f>
        <v>41.854845913354168</v>
      </c>
      <c r="AC63" s="8">
        <f>nonhighlands!$AG159</f>
        <v>192.70270909598008</v>
      </c>
      <c r="AE63" s="8">
        <f>nonhighlands!AG12</f>
        <v>253.361315802148</v>
      </c>
      <c r="AI63" s="8">
        <f>nonmare!$AW157</f>
        <v>33.230096820929738</v>
      </c>
      <c r="AJ63" s="8">
        <f>nonmare!$AW170</f>
        <v>28.58392003061029</v>
      </c>
      <c r="AK63" s="8">
        <f>nonmare!$AW490</f>
        <v>17.061297962709666</v>
      </c>
      <c r="AL63" s="8">
        <f>nonhighlands!$AG342</f>
        <v>17.716642300011305</v>
      </c>
      <c r="AM63" s="8">
        <f>nonmare!$AW441</f>
        <v>18.418596293063612</v>
      </c>
      <c r="AN63" s="8">
        <f>nonhighlands!$AG303</f>
        <v>6.2386754139331462</v>
      </c>
      <c r="AO63" s="8">
        <f>nonhighlands!$AG308</f>
        <v>61.816861383012323</v>
      </c>
      <c r="AP63" s="8">
        <f>nonhighlands!$AG119</f>
        <v>198.53930955211553</v>
      </c>
      <c r="AQ63" s="8">
        <f>nonmare!$AW265</f>
        <v>20.770307034589973</v>
      </c>
      <c r="AR63" s="8">
        <f>nonmare!$AW274</f>
        <v>29.757769805880582</v>
      </c>
      <c r="AS63" s="8">
        <f>nonhighlands!$AG232</f>
        <v>174.35689151755633</v>
      </c>
      <c r="AT63" s="8">
        <f>nonhighlands!$AG313</f>
        <v>126.30761949228967</v>
      </c>
      <c r="AU63" s="8">
        <f>nonmare!$AW475</f>
        <v>10.618454533279763</v>
      </c>
      <c r="AV63" s="8">
        <f>nonhighlands!$AG298</f>
        <v>100.78145234887664</v>
      </c>
      <c r="AW63" s="8">
        <f>nonmare!$AW463</f>
        <v>13.108032517177977</v>
      </c>
      <c r="AX63" s="8">
        <f>nonhighlands!$AG347</f>
        <v>440.13850894462047</v>
      </c>
      <c r="AY63" s="8">
        <f>nonhighlands!$AG366</f>
        <v>201.30102435350238</v>
      </c>
      <c r="AZ63" s="8">
        <f>nonmare!$AW513</f>
        <v>102.95285693515561</v>
      </c>
      <c r="BA63" s="8">
        <f>nonhighlands!$AG380</f>
        <v>96.455263012640046</v>
      </c>
      <c r="BB63" s="8">
        <f>nonhighlands!$AG374</f>
        <v>145.29269764634881</v>
      </c>
      <c r="BC63" s="8">
        <f>nonmare!$AW507</f>
        <v>35.47194374495178</v>
      </c>
      <c r="BD63" s="8">
        <f>nonmare!$AW519</f>
        <v>177.82126941743195</v>
      </c>
      <c r="BE63" s="8">
        <f>nonmare!$AW566</f>
        <v>63.093372898120677</v>
      </c>
      <c r="BF63" s="8">
        <f>nonhighlands!$AG319</f>
        <v>123.17806444648349</v>
      </c>
      <c r="BG63" s="8">
        <f>nonhighlands!$AG324</f>
        <v>111.14789645284205</v>
      </c>
      <c r="BH63" s="8">
        <f>nonmare!$AW572</f>
        <v>7</v>
      </c>
      <c r="BI63" s="8">
        <f>nonmare!$AW622</f>
        <v>43.350829327443599</v>
      </c>
      <c r="BJ63" s="8">
        <f>nonmare!$AW627</f>
        <v>34.545983504688735</v>
      </c>
      <c r="BK63" s="8">
        <f>nonmare!$AW632</f>
        <v>41.111278384142523</v>
      </c>
      <c r="BL63" s="8">
        <f>nonmare!$AW637</f>
        <v>51.822011336310538</v>
      </c>
      <c r="BM63" s="8">
        <f>nonmare!$AW642</f>
        <v>169.62330432556948</v>
      </c>
      <c r="BN63" s="8">
        <f>nonhighlands!$AG252</f>
        <v>124.21983285772519</v>
      </c>
      <c r="BO63" s="8">
        <f>nonhighlands!$AG257</f>
        <v>123.51310078765472</v>
      </c>
      <c r="BP63" s="6">
        <f t="shared" si="193"/>
        <v>123.86646682268996</v>
      </c>
      <c r="BQ63" s="8">
        <f>nonhighlands!$AG219</f>
        <v>178.48124112756034</v>
      </c>
      <c r="BR63" s="8">
        <f>nonhighlands!$AG227</f>
        <v>136.44312130893601</v>
      </c>
      <c r="BS63" s="8"/>
      <c r="BT63" s="8">
        <f>nonhighlands!$AG237</f>
        <v>98.277629170772911</v>
      </c>
      <c r="BU63" s="8">
        <f>nonhighlands!$AG267</f>
        <v>112</v>
      </c>
      <c r="BV63" s="7">
        <f t="shared" si="194"/>
        <v>115.57358349323631</v>
      </c>
      <c r="BW63" s="8">
        <f>nonhighlands!$AG352</f>
        <v>52.511273351943309</v>
      </c>
      <c r="BX63" s="8"/>
      <c r="BY63" s="8"/>
      <c r="BZ63" s="8">
        <f>nonmare!$AW194</f>
        <v>47.753993443420967</v>
      </c>
      <c r="CA63" s="8">
        <f>nonmare!$AW235</f>
        <v>34.291620188771759</v>
      </c>
      <c r="CB63" s="8">
        <f t="shared" si="195"/>
        <v>16.5584625563773</v>
      </c>
      <c r="CC63" s="8">
        <f>nonhighlands!$AG275</f>
        <v>103.5</v>
      </c>
      <c r="CD63" s="8">
        <f>nonmare!$AW322</f>
        <v>27.681231265851974</v>
      </c>
      <c r="CE63" s="8">
        <f t="shared" si="200"/>
        <v>7.2837746563104799</v>
      </c>
      <c r="CF63" s="8">
        <f>nonmare!$AW436</f>
        <v>15.218158890290038</v>
      </c>
      <c r="CG63" s="8">
        <f t="shared" si="196"/>
        <v>37.514088163796501</v>
      </c>
      <c r="CH63" s="8">
        <f t="shared" si="197"/>
        <v>38.871193206897559</v>
      </c>
      <c r="CI63" s="8">
        <f>nonhighlands!$AG30</f>
        <v>74.74250395872707</v>
      </c>
      <c r="CJ63" s="8">
        <f>nonmare!$AW470</f>
        <v>33.057826920504702</v>
      </c>
      <c r="CK63" s="8">
        <f>nonmare!$AW485</f>
        <v>32.326641105181018</v>
      </c>
      <c r="CL63" s="8">
        <f>nonhighlands!$AG176</f>
        <v>61.102736463240348</v>
      </c>
      <c r="CM63" s="8">
        <f>nonhighlands!$AG164</f>
        <v>235.5931779064309</v>
      </c>
      <c r="CN63" s="8">
        <f>nonhighlands!$AG176</f>
        <v>61.102736463240348</v>
      </c>
      <c r="CO63" s="8">
        <f>nonhighlands!$AG386</f>
        <v>1190.9803592412286</v>
      </c>
      <c r="CP63" s="8">
        <f>nonmare!$AW607</f>
        <v>40.414932826061104</v>
      </c>
      <c r="CQ63" s="8">
        <f>nonmare!$AW612</f>
        <v>62.464850917431207</v>
      </c>
      <c r="CR63" s="8">
        <f>nonmare!$AW627</f>
        <v>34.545983504688735</v>
      </c>
      <c r="CS63" s="8">
        <f>nonmare!$AW480</f>
        <v>21.743277822056292</v>
      </c>
      <c r="CT63" s="8">
        <f>nonmare!$AW501</f>
        <v>47.4</v>
      </c>
      <c r="CU63" s="8">
        <f>nonmare!$AW561</f>
        <v>52.200337410375369</v>
      </c>
      <c r="CV63" s="8">
        <f>nonmare!$AW301</f>
        <v>2548.9641728671895</v>
      </c>
      <c r="CW63" s="8">
        <f>nonmare!$AW307</f>
        <v>645.53465647822566</v>
      </c>
      <c r="CX63" s="8">
        <f>nonmare!$AW537</f>
        <v>23.126679575192156</v>
      </c>
      <c r="CY63" s="8">
        <f>nonmare!$AW543</f>
        <v>15.678872996725831</v>
      </c>
      <c r="CZ63" s="8">
        <f>nonmare!$AW555</f>
        <v>15.067629303312122</v>
      </c>
      <c r="DA63" s="8">
        <f>nonmare!$AW549</f>
        <v>38.237685496944756</v>
      </c>
      <c r="DE63"/>
      <c r="DN63" s="3"/>
      <c r="DO63" s="3"/>
      <c r="DP63" s="3"/>
      <c r="DQ63" s="3"/>
      <c r="DR63" s="3"/>
      <c r="DV63" s="8">
        <f>nonmare!$AW328</f>
        <v>10.109293680297396</v>
      </c>
      <c r="DW63" s="8">
        <f>nonmare!$AW334</f>
        <v>5.3262272931992207</v>
      </c>
      <c r="DX63" s="8">
        <f>nonmare!$AW340</f>
        <v>7.4734493018997483</v>
      </c>
      <c r="DY63" s="8"/>
      <c r="DZ63" s="8">
        <f>nonmare!$AW366</f>
        <v>11.529219261337072</v>
      </c>
      <c r="EA63" s="8">
        <f>nonmare!$AW374</f>
        <v>9.2692757986285326</v>
      </c>
      <c r="EB63" s="8"/>
      <c r="EC63" s="8"/>
      <c r="ED63" s="8"/>
      <c r="EE63" s="8"/>
      <c r="EF63" s="8">
        <f>nonmare!$AW400</f>
        <v>4.0984135285913528</v>
      </c>
      <c r="EG63" s="8"/>
      <c r="EH63" s="8">
        <f>nonmare!$AW405</f>
        <v>5.5459776127209954</v>
      </c>
      <c r="EI63" s="8"/>
      <c r="EJ63" s="8">
        <f>nonmare!$AW416</f>
        <v>4.9183407738095237</v>
      </c>
      <c r="EK63" s="8"/>
      <c r="EL63" s="8">
        <f>nonmare!$AW426</f>
        <v>38.771003262642736</v>
      </c>
      <c r="EM63" s="8">
        <f>nonmare!$AW431</f>
        <v>37.038555284733</v>
      </c>
      <c r="EQ63" s="8">
        <f>nonmare!$AW179</f>
        <v>51.968471555860184</v>
      </c>
      <c r="ER63" s="8">
        <f>nonmare!$AW186</f>
        <v>51.951840116987569</v>
      </c>
      <c r="ES63" s="8">
        <f>nonmare!$AW192</f>
        <v>35.064133656696306</v>
      </c>
      <c r="ET63" s="8"/>
      <c r="EU63" s="8">
        <f>nonmare!$AW249</f>
        <v>24.800971223279063</v>
      </c>
      <c r="EV63" s="8">
        <f>nonmare!$AW254</f>
        <v>8.3159538894755389</v>
      </c>
      <c r="EW63" s="8"/>
      <c r="EX63" s="8"/>
      <c r="EY63" s="8"/>
      <c r="FC63" s="2">
        <v>3.94</v>
      </c>
      <c r="FD63" s="2">
        <v>2548.9641728671895</v>
      </c>
      <c r="FE63" s="7">
        <f>FD63/FC63</f>
        <v>646.94522153989578</v>
      </c>
      <c r="FH63" s="8">
        <f>nonmare!$AW447</f>
        <v>15.560431607342588</v>
      </c>
      <c r="FI63" s="521">
        <f t="shared" si="198"/>
        <v>15.560431607342588</v>
      </c>
      <c r="FJ63" s="521">
        <f t="shared" si="199"/>
        <v>18.541350724827929</v>
      </c>
    </row>
    <row r="64" spans="1:166" s="2" customFormat="1" ht="11.1" customHeight="1" x14ac:dyDescent="0.2">
      <c r="A64" s="1" t="s">
        <v>169</v>
      </c>
      <c r="B64" s="8">
        <f>nonmare!$BH11</f>
        <v>30.066666666666666</v>
      </c>
      <c r="C64" s="8">
        <f>nonmare!$BH131</f>
        <v>42.56287310095184</v>
      </c>
      <c r="D64" s="8">
        <f>nonmare!$BH31</f>
        <v>31.695986002470157</v>
      </c>
      <c r="E64" s="8">
        <f>nonmare!$BH577</f>
        <v>31.464936426792505</v>
      </c>
      <c r="F64" s="8">
        <f>nonmare!$BH583</f>
        <v>26.413108419718721</v>
      </c>
      <c r="G64" s="8">
        <f>nonmare!$BH589</f>
        <v>130.76320710612436</v>
      </c>
      <c r="H64" s="8">
        <f>nonmare!$BH595</f>
        <v>27.43201809499875</v>
      </c>
      <c r="I64" s="8">
        <f>nonmare!$BH601</f>
        <v>77.964219310894961</v>
      </c>
      <c r="J64" s="8">
        <f t="shared" si="191"/>
        <v>52.698118702946857</v>
      </c>
      <c r="K64" s="8">
        <f>nonmare!$BH294</f>
        <v>45.964284797774134</v>
      </c>
      <c r="L64" s="8">
        <f>nonmare!$BH114</f>
        <v>31.820576149923063</v>
      </c>
      <c r="M64" s="8">
        <f>nonmare!$BH84</f>
        <v>25.121610205314006</v>
      </c>
      <c r="N64" s="8">
        <f>nonmare!$BH525</f>
        <v>24.345697694879469</v>
      </c>
      <c r="O64" s="8">
        <f>nonmare!$BH531</f>
        <v>33.990228013029316</v>
      </c>
      <c r="P64" s="8"/>
      <c r="Q64" s="8">
        <f>nonmare!$BH283</f>
        <v>116.48847235238988</v>
      </c>
      <c r="R64" s="8">
        <f>nonhighlands!$AK94</f>
        <v>92.809843949357145</v>
      </c>
      <c r="S64" s="8">
        <f>nonhighlands!$AK83</f>
        <v>81.486702127659569</v>
      </c>
      <c r="T64" s="8">
        <f t="shared" si="4"/>
        <v>85.641362745875369</v>
      </c>
      <c r="U64" s="8">
        <f>nonhighlands!$AK105</f>
        <v>72.2</v>
      </c>
      <c r="V64" s="8">
        <f>nonhighlands!$AK293</f>
        <v>80.014386242504997</v>
      </c>
      <c r="W64" s="8">
        <f>nonhighlands!$AK47</f>
        <v>74.092493056255364</v>
      </c>
      <c r="X64" s="8">
        <f>nonhighlands!$AK64</f>
        <v>71.324596240402428</v>
      </c>
      <c r="Y64" s="38">
        <f t="shared" si="192"/>
        <v>72.340186442944372</v>
      </c>
      <c r="Z64" s="8">
        <f>nonhighlands!$AK210</f>
        <v>67.048357363104742</v>
      </c>
      <c r="AA64" s="8">
        <f>nonhighlands!$AK196</f>
        <v>47.575454107457034</v>
      </c>
      <c r="AB64" s="8">
        <f>nonhighlands!$AK334</f>
        <v>33.38812781680133</v>
      </c>
      <c r="AC64" s="8">
        <f>nonhighlands!$AK159</f>
        <v>149.4919991282182</v>
      </c>
      <c r="AE64" s="8">
        <f>nonhighlands!AK12</f>
        <v>159.7331511503379</v>
      </c>
      <c r="AI64" s="523">
        <f>nonmare!$BH157</f>
        <v>236.54612060592947</v>
      </c>
      <c r="AJ64" s="523">
        <f>nonmare!$BH170</f>
        <v>596.06319590587339</v>
      </c>
      <c r="AK64" s="8">
        <f>nonmare!$BH490</f>
        <v>55.295029155568344</v>
      </c>
      <c r="AL64" s="8">
        <f>nonhighlands!$AK342</f>
        <v>52.614529560269787</v>
      </c>
      <c r="AM64" s="8">
        <f>nonmare!$BH441</f>
        <v>124.71689685269806</v>
      </c>
      <c r="AN64" s="8">
        <f>nonhighlands!$AK303</f>
        <v>251.55248359887537</v>
      </c>
      <c r="AO64" s="8">
        <f>nonhighlands!$AK308</f>
        <v>175.7302810230502</v>
      </c>
      <c r="AP64" s="8">
        <f>nonhighlands!$AK119</f>
        <v>319.94581808783516</v>
      </c>
      <c r="AQ64" s="8">
        <f>nonmare!$BH265</f>
        <v>30.035546653113695</v>
      </c>
      <c r="AR64" s="8">
        <f>nonmare!$BH274</f>
        <v>65.022529922553403</v>
      </c>
      <c r="AS64" s="8">
        <f>nonhighlands!$AK232</f>
        <v>157.92487085423375</v>
      </c>
      <c r="AT64" s="8">
        <f>nonhighlands!$AK313</f>
        <v>165.63202323008139</v>
      </c>
      <c r="AU64" s="8">
        <f>nonmare!$BH475</f>
        <v>28.916017142091871</v>
      </c>
      <c r="AV64" s="8">
        <f>nonhighlands!$AK298</f>
        <v>644.53005084524784</v>
      </c>
      <c r="AW64" s="8">
        <f>nonmare!$BH463</f>
        <v>42.998896738604479</v>
      </c>
      <c r="AX64" s="8">
        <f>nonhighlands!$AK347</f>
        <v>499.56293760164351</v>
      </c>
      <c r="AY64" s="8">
        <f>nonhighlands!$AK366</f>
        <v>151.87781571679639</v>
      </c>
      <c r="AZ64" s="8">
        <f>nonmare!$BH513</f>
        <v>158.40880343123001</v>
      </c>
      <c r="BA64" s="8">
        <f>nonhighlands!$AK380</f>
        <v>83.391345145443495</v>
      </c>
      <c r="BB64" s="8">
        <f>nonhighlands!$AK374</f>
        <v>72.542094146047077</v>
      </c>
      <c r="BC64" s="8">
        <f>nonmare!$BH507</f>
        <v>446.64522259704472</v>
      </c>
      <c r="BD64" s="8">
        <f>nonmare!$BH519</f>
        <v>178.35060530066571</v>
      </c>
      <c r="BE64" s="8">
        <f>nonmare!$BH566</f>
        <v>124.58545994065281</v>
      </c>
      <c r="BF64" s="8">
        <f>nonhighlands!$AK319</f>
        <v>126.6580666054947</v>
      </c>
      <c r="BG64" s="8">
        <f>nonhighlands!$AK324</f>
        <v>122.86950544054682</v>
      </c>
      <c r="BH64" s="8">
        <f>nonmare!$BH572</f>
        <v>82.9</v>
      </c>
      <c r="BI64" s="8">
        <f>nonmare!$BH622</f>
        <v>285.11597592135467</v>
      </c>
      <c r="BJ64" s="8">
        <f>nonmare!$BH627</f>
        <v>49.682352276578918</v>
      </c>
      <c r="BK64" s="8">
        <f>nonmare!$BH632</f>
        <v>1249.0000313636933</v>
      </c>
      <c r="BL64" s="8">
        <f>nonmare!$BH637</f>
        <v>6136.5428546891098</v>
      </c>
      <c r="BM64" s="8">
        <f>nonmare!$BH642</f>
        <v>142.72562068082928</v>
      </c>
      <c r="BN64" s="8">
        <f>nonhighlands!$AK252</f>
        <v>126.27986139421114</v>
      </c>
      <c r="BO64" s="8">
        <f>nonhighlands!$AK257</f>
        <v>120.64041150940363</v>
      </c>
      <c r="BP64" s="6">
        <f t="shared" si="193"/>
        <v>123.46013645180739</v>
      </c>
      <c r="BQ64" s="8">
        <f>nonhighlands!$AK219</f>
        <v>166.82779017102686</v>
      </c>
      <c r="BR64" s="8">
        <f>nonhighlands!$AK227</f>
        <v>122.24855584599993</v>
      </c>
      <c r="BS64" s="8"/>
      <c r="BT64" s="8">
        <f>nonhighlands!$AK237</f>
        <v>81.86646487399689</v>
      </c>
      <c r="BU64" s="8">
        <f>nonhighlands!$AK267</f>
        <v>108</v>
      </c>
      <c r="BV64" s="7">
        <f t="shared" si="194"/>
        <v>104.03834023999894</v>
      </c>
      <c r="BW64" s="8">
        <f>nonhighlands!$AK352</f>
        <v>59.529310715052603</v>
      </c>
      <c r="BX64" s="523"/>
      <c r="BY64" s="523"/>
      <c r="BZ64" s="8">
        <f>nonmare!$BH194</f>
        <v>621.2979666934034</v>
      </c>
      <c r="CA64" s="8">
        <f>nonmare!$BH235</f>
        <v>239.94493274345896</v>
      </c>
      <c r="CB64" s="8">
        <f t="shared" si="195"/>
        <v>20.960628582111358</v>
      </c>
      <c r="CC64" s="8">
        <f>nonhighlands!$AK275</f>
        <v>179.69398181260857</v>
      </c>
      <c r="CD64" s="8">
        <f>nonmare!$BH322</f>
        <v>97.703596956421492</v>
      </c>
      <c r="CE64" s="8">
        <f t="shared" si="200"/>
        <v>234.88260844208389</v>
      </c>
      <c r="CF64" s="8">
        <f>nonmare!$BH436</f>
        <v>193.11349306431273</v>
      </c>
      <c r="CG64" s="8">
        <f t="shared" si="196"/>
        <v>53.05064170442941</v>
      </c>
      <c r="CH64" s="8">
        <f t="shared" si="197"/>
        <v>54.969795199043958</v>
      </c>
      <c r="CI64" s="8">
        <f>nonhighlands!$AK30</f>
        <v>536.76860601726503</v>
      </c>
      <c r="CJ64" s="8">
        <f>nonmare!$BH470</f>
        <v>71.990949217530869</v>
      </c>
      <c r="CK64" s="8">
        <f>nonmare!$BH485</f>
        <v>202.21144101269726</v>
      </c>
      <c r="CL64" s="8">
        <f>nonhighlands!$AK176</f>
        <v>156.80273117027474</v>
      </c>
      <c r="CM64" s="8">
        <f>nonhighlands!$AK164</f>
        <v>338.41699264590829</v>
      </c>
      <c r="CN64" s="8">
        <f>nonhighlands!$AK176</f>
        <v>156.80273117027474</v>
      </c>
      <c r="CO64" s="8">
        <f>nonhighlands!$AK386</f>
        <v>900.3664260533825</v>
      </c>
      <c r="CP64" s="8">
        <f>nonmare!$BH607</f>
        <v>78.595767447390315</v>
      </c>
      <c r="CQ64" s="8">
        <f>nonmare!$BH612</f>
        <v>90.52993119266057</v>
      </c>
      <c r="CR64" s="8">
        <f>nonmare!$BH627</f>
        <v>49.682352276578918</v>
      </c>
      <c r="CS64" s="8">
        <f>nonmare!$BH480</f>
        <v>48.463861739166909</v>
      </c>
      <c r="CT64" s="8">
        <f>nonmare!$BH501</f>
        <v>52.279347423971615</v>
      </c>
      <c r="CU64" s="8">
        <f>nonmare!$BH561</f>
        <v>344.00295234078447</v>
      </c>
      <c r="CV64" s="8">
        <f>nonmare!$BH301</f>
        <v>1402.624197329528</v>
      </c>
      <c r="CW64" s="8">
        <f>nonmare!$BH307</f>
        <v>609.94524276440359</v>
      </c>
      <c r="CX64" s="8">
        <f>nonmare!$BH537</f>
        <v>68.083271724461653</v>
      </c>
      <c r="CY64" s="8">
        <f>nonmare!$BH543</f>
        <v>337.3774771669826</v>
      </c>
      <c r="CZ64" s="8">
        <f>nonmare!$BH555</f>
        <v>47.19065916136401</v>
      </c>
      <c r="DA64" s="8">
        <f>nonmare!$BH549</f>
        <v>83.042898116972196</v>
      </c>
      <c r="DE64"/>
      <c r="DN64" s="3"/>
      <c r="DO64" s="3"/>
      <c r="DP64" s="3"/>
      <c r="DQ64" s="3"/>
      <c r="DR64" s="3"/>
      <c r="DV64" s="8">
        <f>nonmare!$BH328</f>
        <v>492.1710037174721</v>
      </c>
      <c r="DW64" s="8">
        <f>nonmare!$BH334</f>
        <v>306.98257518891057</v>
      </c>
      <c r="DX64" s="8">
        <f>nonmare!$BH340</f>
        <v>444.91325246051724</v>
      </c>
      <c r="DY64" s="8"/>
      <c r="DZ64" s="8">
        <f>nonmare!$BH366</f>
        <v>72.318840579710141</v>
      </c>
      <c r="EA64" s="8">
        <f>nonmare!$BH374</f>
        <v>267.43630484473437</v>
      </c>
      <c r="EB64" s="8"/>
      <c r="EC64" s="8">
        <f>nonmare!$BH358</f>
        <v>53.105829181481042</v>
      </c>
      <c r="ED64" s="8"/>
      <c r="EE64" s="8"/>
      <c r="EF64" s="8">
        <f>nonmare!$BH400</f>
        <v>34.370327754532781</v>
      </c>
      <c r="EG64" s="8"/>
      <c r="EH64" s="8">
        <f>nonmare!$BH405</f>
        <v>343.7360602573491</v>
      </c>
      <c r="EI64" s="8"/>
      <c r="EJ64" s="8">
        <f>nonmare!$BH416</f>
        <v>98.909281994047632</v>
      </c>
      <c r="EK64" s="8"/>
      <c r="EL64" s="8">
        <f>nonmare!$BH426</f>
        <v>90.231851549755291</v>
      </c>
      <c r="EM64" s="8">
        <f>nonmare!$BH431</f>
        <v>38.983750646281116</v>
      </c>
      <c r="EQ64" s="8">
        <f>nonmare!$BH179</f>
        <v>186.58862234407127</v>
      </c>
      <c r="ER64" s="8">
        <f>nonmare!$BH186</f>
        <v>597.36271021204004</v>
      </c>
      <c r="ES64" s="8">
        <f>nonmare!$BH192</f>
        <v>1437.8291565615737</v>
      </c>
      <c r="ET64" s="8">
        <f>nonmare!$BH243</f>
        <v>16.682832745571979</v>
      </c>
      <c r="EU64" s="8">
        <f>nonmare!$BH249</f>
        <v>33.690719667428766</v>
      </c>
      <c r="EV64" s="8">
        <f>nonmare!$BH254</f>
        <v>12.508333333333336</v>
      </c>
      <c r="EW64" s="8"/>
      <c r="EX64" s="8"/>
      <c r="EY64" s="8"/>
      <c r="FC64" s="2">
        <v>2.34</v>
      </c>
      <c r="FD64" s="2">
        <v>1402.624197329528</v>
      </c>
      <c r="FE64" s="7">
        <f>FD64/FC64</f>
        <v>599.41205014082391</v>
      </c>
      <c r="FH64" s="8">
        <f>nonmare!$BH447</f>
        <v>16.622047503125209</v>
      </c>
      <c r="FI64" s="521">
        <f t="shared" si="198"/>
        <v>16.622047503125209</v>
      </c>
      <c r="FJ64" s="521">
        <f t="shared" si="199"/>
        <v>19.80634087133965</v>
      </c>
    </row>
    <row r="65" spans="1:166" s="525" customFormat="1" ht="11.1" customHeight="1" x14ac:dyDescent="0.2">
      <c r="A65" s="390" t="s">
        <v>170</v>
      </c>
      <c r="B65" s="51">
        <f>nonmare!$BI11</f>
        <v>2.1761771209712388</v>
      </c>
      <c r="C65" s="51">
        <f>nonmare!$BI131</f>
        <v>3.3764442638661256</v>
      </c>
      <c r="D65" s="51">
        <f>nonmare!$BI31</f>
        <v>2.3760608789625364</v>
      </c>
      <c r="E65" s="51">
        <f>nonmare!$BI577</f>
        <v>2.2128789487481981</v>
      </c>
      <c r="F65" s="51">
        <f>nonmare!$BI583</f>
        <v>1.7964710929222842</v>
      </c>
      <c r="G65" s="51">
        <f>nonmare!$BI589</f>
        <v>11.114467939727406</v>
      </c>
      <c r="H65" s="51">
        <f>nonmare!$BI595</f>
        <v>2.1457071500376985</v>
      </c>
      <c r="I65" s="51">
        <f>nonmare!$BI601</f>
        <v>6.7789497744914549</v>
      </c>
      <c r="J65" s="51">
        <f t="shared" si="191"/>
        <v>4.4623284622645762</v>
      </c>
      <c r="K65" s="51">
        <f>nonmare!$BI294</f>
        <v>2.5213161395760313</v>
      </c>
      <c r="L65" s="51">
        <f>nonmare!$BI114</f>
        <v>2.5726423455288159</v>
      </c>
      <c r="M65" s="51">
        <f>nonmare!$BI84</f>
        <v>1.3179879638888889</v>
      </c>
      <c r="N65" s="51">
        <f>nonmare!$BI525</f>
        <v>1.373061411226465</v>
      </c>
      <c r="O65" s="51">
        <f>nonmare!$BI531</f>
        <v>2.6280310862484071</v>
      </c>
      <c r="P65" s="54"/>
      <c r="Q65" s="51">
        <f>nonmare!$BI283</f>
        <v>9.3228041237113395</v>
      </c>
      <c r="R65" s="54">
        <f>nonhighlands!$AL94</f>
        <v>7.3690715477475708</v>
      </c>
      <c r="S65" s="54">
        <f>nonhighlands!$AL83</f>
        <v>6.0743344774295576</v>
      </c>
      <c r="T65" s="54">
        <f t="shared" si="4"/>
        <v>6.5493963641125141</v>
      </c>
      <c r="U65" s="54">
        <f>nonhighlands!$AL105</f>
        <v>6.2060000000000004</v>
      </c>
      <c r="V65" s="54">
        <f>nonhighlands!$AL293</f>
        <v>6.0379165972684872</v>
      </c>
      <c r="W65" s="54">
        <f>nonhighlands!$AL47</f>
        <v>7.5806584300400024</v>
      </c>
      <c r="X65" s="54">
        <f>nonhighlands!$AL64</f>
        <v>7.0403274093195654</v>
      </c>
      <c r="Y65" s="38">
        <f t="shared" si="192"/>
        <v>7.2385843991142034</v>
      </c>
      <c r="Z65" s="54">
        <f>nonhighlands!$AL210</f>
        <v>4.922445507708666</v>
      </c>
      <c r="AA65" s="54">
        <f>nonhighlands!$AL196</f>
        <v>3.5026067126810125</v>
      </c>
      <c r="AB65" s="54">
        <f>nonhighlands!$AL334</f>
        <v>2.0677245929595194</v>
      </c>
      <c r="AC65" s="54">
        <f>nonhighlands!$AL159</f>
        <v>12.704658058628745</v>
      </c>
      <c r="AE65" s="54">
        <f>nonhighlands!$AL12</f>
        <v>19.377475903836924</v>
      </c>
      <c r="AI65" s="51">
        <f>nonmare!$BI157</f>
        <v>2.5359933076773706</v>
      </c>
      <c r="AJ65" s="51">
        <f>nonmare!$BI170</f>
        <v>2.4820785811344446</v>
      </c>
      <c r="AK65" s="51">
        <f>nonmare!$BI490</f>
        <v>1.3878463393564178</v>
      </c>
      <c r="AL65" s="51">
        <f>nonhighlands!$AL342</f>
        <v>0.8743017822826783</v>
      </c>
      <c r="AM65" s="51">
        <f>nonmare!$BI441</f>
        <v>1.465457924731735</v>
      </c>
      <c r="AN65" s="54">
        <f>nonhighlands!$AL303</f>
        <v>2.9989331458919088</v>
      </c>
      <c r="AO65" s="54">
        <f>nonhighlands!$AL308</f>
        <v>5.8436223555415214</v>
      </c>
      <c r="AP65" s="54">
        <f>nonhighlands!$AL119</f>
        <v>11.475193298787133</v>
      </c>
      <c r="AQ65" s="51">
        <f>nonmare!$BI265</f>
        <v>1.5362867948219678</v>
      </c>
      <c r="AR65" s="51">
        <f>nonmare!$BI274</f>
        <v>2.5040022462869214</v>
      </c>
      <c r="AS65" s="54">
        <f>nonhighlands!$AL232</f>
        <v>10.702813506026803</v>
      </c>
      <c r="AT65" s="54">
        <f>nonhighlands!$AL313</f>
        <v>9.9412383257967747</v>
      </c>
      <c r="AU65" s="51">
        <f>nonmare!$BI475</f>
        <v>0.85187487165751541</v>
      </c>
      <c r="AV65" s="54">
        <f>nonhighlands!$AL298</f>
        <v>7.672912520099084</v>
      </c>
      <c r="AW65" s="51">
        <f>nonmare!$BI463</f>
        <v>0.78742501693603018</v>
      </c>
      <c r="AX65" s="54">
        <f>nonhighlands!$AL347</f>
        <v>38.809595138235046</v>
      </c>
      <c r="AY65" s="54">
        <f>nonhighlands!$AL366</f>
        <v>12.230113482299773</v>
      </c>
      <c r="AZ65" s="51">
        <f>nonmare!$BI513</f>
        <v>7.5216930793835424</v>
      </c>
      <c r="BA65" s="54">
        <f>nonhighlands!$AL380</f>
        <v>6.2472236021416334</v>
      </c>
      <c r="BB65" s="54">
        <f>nonhighlands!$AL374</f>
        <v>4.7137070006035007</v>
      </c>
      <c r="BC65" s="51">
        <f>nonmare!$BI507</f>
        <v>2.3426873188577946</v>
      </c>
      <c r="BD65" s="51">
        <f>nonmare!$BI519</f>
        <v>12.848625128547461</v>
      </c>
      <c r="BE65" s="51">
        <f>nonmare!$BI566</f>
        <v>4.8724362017804159</v>
      </c>
      <c r="BF65" s="54">
        <f>nonhighlands!$AL319</f>
        <v>9.9392313920224531</v>
      </c>
      <c r="BG65" s="54">
        <f>nonhighlands!$AL324</f>
        <v>8.3948819578112115</v>
      </c>
      <c r="BH65" s="51">
        <f>nonmare!$BI572</f>
        <v>1.046</v>
      </c>
      <c r="BI65" s="51">
        <f>nonmare!$BI622</f>
        <v>3.5209510198778746</v>
      </c>
      <c r="BJ65" s="51">
        <f>nonmare!$BI627</f>
        <v>2.1925341769291604</v>
      </c>
      <c r="BK65" s="51">
        <f>nonmare!$BI632</f>
        <v>3.2978155187554887</v>
      </c>
      <c r="BL65" s="51">
        <f>nonmare!$BI637</f>
        <v>4.7829482995534187</v>
      </c>
      <c r="BM65" s="51">
        <f>nonmare!$BI642</f>
        <v>12.586964422830814</v>
      </c>
      <c r="BN65" s="54">
        <f>nonhighlands!$AL252</f>
        <v>9.940033632286994</v>
      </c>
      <c r="BO65" s="54">
        <f>nonhighlands!$AL257</f>
        <v>9.8075462144349768</v>
      </c>
      <c r="BP65" s="6">
        <f t="shared" si="193"/>
        <v>9.8737899233609845</v>
      </c>
      <c r="BQ65" s="54">
        <f>nonhighlands!$AL219</f>
        <v>13.585423849117825</v>
      </c>
      <c r="BR65" s="54">
        <f>nonhighlands!$AL227</f>
        <v>8.790966211637139</v>
      </c>
      <c r="BS65" s="2"/>
      <c r="BT65" s="54">
        <f>nonhighlands!$AL237</f>
        <v>6.2827917781219202</v>
      </c>
      <c r="BU65" s="54">
        <f>nonhighlands!$AL267</f>
        <v>7.99</v>
      </c>
      <c r="BV65" s="7">
        <f t="shared" si="194"/>
        <v>7.6879193299196871</v>
      </c>
      <c r="BW65" s="54">
        <f>nonhighlands!$AL352</f>
        <v>3.7555185741893919</v>
      </c>
      <c r="BX65" s="6"/>
      <c r="BY65" s="6"/>
      <c r="BZ65" s="51">
        <f>nonmare!$BI194</f>
        <v>3.4358385991794558</v>
      </c>
      <c r="CA65" s="51">
        <f>nonmare!$BI235</f>
        <v>2.7219561810492765</v>
      </c>
      <c r="CB65" s="51">
        <f t="shared" si="195"/>
        <v>1.1609509607370649</v>
      </c>
      <c r="CC65" s="54">
        <f>nonhighlands!$AL275</f>
        <v>12.497460406661897</v>
      </c>
      <c r="CD65" s="51">
        <f>nonmare!$BI322</f>
        <v>2.1351454922757669</v>
      </c>
      <c r="CE65" s="51">
        <f t="shared" si="200"/>
        <v>0.63875045723814117</v>
      </c>
      <c r="CF65" s="51">
        <f>nonmare!$BI436</f>
        <v>1.3887187894073141</v>
      </c>
      <c r="CG65" s="51">
        <f t="shared" si="196"/>
        <v>2.8349802259518859</v>
      </c>
      <c r="CH65" s="51">
        <f t="shared" si="197"/>
        <v>2.937538122199622</v>
      </c>
      <c r="CI65" s="54">
        <f>nonhighlands!$AL12</f>
        <v>19.377475903836924</v>
      </c>
      <c r="CJ65" s="51">
        <f>nonmare!$BI470</f>
        <v>2.5110930045922686</v>
      </c>
      <c r="CK65" s="51">
        <f>nonmare!$BI485</f>
        <v>2.3403202250438331</v>
      </c>
      <c r="CL65" s="54">
        <f>nonhighlands!$AL176</f>
        <v>4.8581051182977815</v>
      </c>
      <c r="CM65" s="54">
        <f>nonhighlands!$AL164</f>
        <v>16.733329682365824</v>
      </c>
      <c r="CN65" s="54">
        <f>nonhighlands!$AL176</f>
        <v>4.8581051182977815</v>
      </c>
      <c r="CO65" s="54">
        <f>nonhighlands!$AL386</f>
        <v>82.700936713110622</v>
      </c>
      <c r="CP65" s="51">
        <f>nonmare!$BI607</f>
        <v>2.2776352395672332</v>
      </c>
      <c r="CQ65" s="51">
        <f>nonmare!$BI612</f>
        <v>4.993247706422018</v>
      </c>
      <c r="CR65" s="51">
        <f>nonmare!$BI627</f>
        <v>2.1925341769291604</v>
      </c>
      <c r="CS65" s="51">
        <f>nonmare!$BI480</f>
        <v>1.67712177524225</v>
      </c>
      <c r="CT65" s="51">
        <f>nonmare!$BI501</f>
        <v>2.4653904714361485</v>
      </c>
      <c r="CU65" s="51">
        <f>nonmare!$BI561</f>
        <v>4.1470683256010119</v>
      </c>
      <c r="CV65" s="51">
        <f>nonmare!$BI301</f>
        <v>170.77221486087043</v>
      </c>
      <c r="CW65" s="51">
        <f>nonmare!$BI307</f>
        <v>49.748796321341636</v>
      </c>
      <c r="CX65" s="51">
        <f>nonmare!$BI537</f>
        <v>1.8121417004048581</v>
      </c>
      <c r="CY65" s="51">
        <f>nonmare!$BI543</f>
        <v>1.2074427882129932</v>
      </c>
      <c r="CZ65" s="51">
        <f>nonmare!$BI555</f>
        <v>1.2223153586773268</v>
      </c>
      <c r="DA65" s="51">
        <f>nonmare!$BI549</f>
        <v>2.5713688323564865</v>
      </c>
      <c r="DE65"/>
      <c r="DN65" s="394"/>
      <c r="DO65" s="394"/>
      <c r="DP65" s="394"/>
      <c r="DQ65" s="394"/>
      <c r="DR65" s="394"/>
      <c r="DV65" s="51">
        <f>nonmare!$BI328</f>
        <v>0.74699925650557619</v>
      </c>
      <c r="DW65" s="51">
        <f>nonmare!$BI334</f>
        <v>0.58728624330681078</v>
      </c>
      <c r="DX65" s="51">
        <f>nonmare!$BI340</f>
        <v>0.70612336919203489</v>
      </c>
      <c r="DY65" s="51"/>
      <c r="DZ65" s="51">
        <f>nonmare!$BI366</f>
        <v>0.63634221598877982</v>
      </c>
      <c r="EA65" s="51">
        <f>nonmare!$BI374</f>
        <v>0.60356821096058422</v>
      </c>
      <c r="EB65" s="51"/>
      <c r="EC65" s="51">
        <f>nonmare!$BI358</f>
        <v>0.65529492181838056</v>
      </c>
      <c r="ED65" s="51"/>
      <c r="EE65" s="51"/>
      <c r="EF65" s="51">
        <f>nonmare!$BI400</f>
        <v>0.60895484658298471</v>
      </c>
      <c r="EG65" s="51"/>
      <c r="EH65" s="51">
        <f>nonmare!$BI405</f>
        <v>0.63457809394288101</v>
      </c>
      <c r="EI65" s="51"/>
      <c r="EJ65" s="51">
        <f>nonmare!$BI416</f>
        <v>0.5696069568452381</v>
      </c>
      <c r="EK65" s="51"/>
      <c r="EL65" s="51">
        <f>nonmare!$BI426</f>
        <v>2.7793128058727561</v>
      </c>
      <c r="EM65" s="51">
        <f>nonmare!$BI431</f>
        <v>2.8560410665484897</v>
      </c>
      <c r="EQ65" s="51">
        <f>nonmare!$BI179</f>
        <v>3.2912099611606123</v>
      </c>
      <c r="ER65" s="51">
        <f>nonmare!$BI186</f>
        <v>4.0300965147453089</v>
      </c>
      <c r="ES65" s="51">
        <f>nonmare!$BI192</f>
        <v>3.1132578819725145</v>
      </c>
      <c r="ET65" s="51">
        <f>nonmare!$BI243</f>
        <v>1.0382214803661292</v>
      </c>
      <c r="EU65" s="51">
        <f>nonmare!$BI249</f>
        <v>1.8132167151150409</v>
      </c>
      <c r="EV65" s="51">
        <f>nonmare!$BI254</f>
        <v>0.63141468673002465</v>
      </c>
      <c r="EW65" s="51"/>
      <c r="EX65" s="51"/>
      <c r="EY65" s="51"/>
      <c r="FC65" s="2">
        <v>0.23469999999999999</v>
      </c>
      <c r="FD65" s="525">
        <v>170.77221486087043</v>
      </c>
      <c r="FE65" s="7">
        <f>FD65/FC65</f>
        <v>727.61915151627795</v>
      </c>
      <c r="FH65" s="51">
        <f>nonmare!$BI447</f>
        <v>0.79071093492992961</v>
      </c>
      <c r="FI65" s="54">
        <f t="shared" si="198"/>
        <v>0.79071093492992961</v>
      </c>
      <c r="FJ65" s="54">
        <f t="shared" si="199"/>
        <v>0.94218779635741734</v>
      </c>
    </row>
    <row r="66" spans="1:166" s="525" customFormat="1" ht="11.1" customHeight="1" x14ac:dyDescent="0.2">
      <c r="A66" s="390" t="s">
        <v>171</v>
      </c>
      <c r="B66" s="54">
        <f>nonmare!$BJ11</f>
        <v>5.6925588957941899</v>
      </c>
      <c r="C66" s="54">
        <f>nonmare!$BJ131</f>
        <v>8.5406438680501893</v>
      </c>
      <c r="D66" s="54">
        <f>nonmare!$BJ31</f>
        <v>5.8930185518731992</v>
      </c>
      <c r="E66" s="54">
        <f>nonmare!$BJ577</f>
        <v>5.7242489186000789</v>
      </c>
      <c r="F66" s="54">
        <f>nonmare!$BJ583</f>
        <v>4.7233090969524483</v>
      </c>
      <c r="G66" s="54">
        <f>nonmare!$BJ589</f>
        <v>28.985115258747793</v>
      </c>
      <c r="H66" s="54">
        <f>nonmare!$BJ595</f>
        <v>5.3760401482784621</v>
      </c>
      <c r="I66" s="54">
        <f>nonmare!$BJ601</f>
        <v>17.170391495106312</v>
      </c>
      <c r="J66" s="54">
        <f t="shared" si="191"/>
        <v>11.273215821692387</v>
      </c>
      <c r="K66" s="54">
        <f>nonmare!$BJ294</f>
        <v>6.7226642895250448</v>
      </c>
      <c r="L66" s="54">
        <f>nonmare!$BJ114</f>
        <v>6.5401751774535315</v>
      </c>
      <c r="M66" s="54">
        <f>nonmare!$BJ84</f>
        <v>3.4302247731481477</v>
      </c>
      <c r="N66" s="54">
        <f>nonmare!$BJ525</f>
        <v>3.5689794122822454</v>
      </c>
      <c r="O66" s="54">
        <f>nonmare!$BJ531</f>
        <v>6.506363121370911</v>
      </c>
      <c r="P66" s="54"/>
      <c r="Q66" s="54">
        <f>nonmare!$BJ283</f>
        <v>24.431996251171505</v>
      </c>
      <c r="R66" s="54">
        <f>nonhighlands!$AM94</f>
        <v>19.267379036215527</v>
      </c>
      <c r="S66" s="54">
        <f>nonhighlands!$AM83</f>
        <v>15.927751221966647</v>
      </c>
      <c r="T66" s="54">
        <f t="shared" si="4"/>
        <v>17.153119620406237</v>
      </c>
      <c r="U66" s="54">
        <f>nonhighlands!$AM105</f>
        <v>15.64</v>
      </c>
      <c r="V66" s="54">
        <f>nonhighlands!$AM293</f>
        <v>14.19548717521652</v>
      </c>
      <c r="W66" s="54">
        <f>nonhighlands!$AM47</f>
        <v>19.224572514811246</v>
      </c>
      <c r="X66" s="54">
        <f>nonhighlands!$AM64</f>
        <v>19.833216507810427</v>
      </c>
      <c r="Y66" s="38">
        <f t="shared" si="192"/>
        <v>19.609894282579461</v>
      </c>
      <c r="Z66" s="54">
        <f>nonhighlands!$AM210</f>
        <v>14.517986886407938</v>
      </c>
      <c r="AA66" s="54">
        <f>nonhighlands!$AM196</f>
        <v>9.7885302476654488</v>
      </c>
      <c r="AB66" s="54">
        <f>nonhighlands!$AM334</f>
        <v>5.7444674976653536</v>
      </c>
      <c r="AC66" s="54">
        <f>nonhighlands!$AM159</f>
        <v>33.652502280081983</v>
      </c>
      <c r="AE66" s="54">
        <f>nonhighlands!$AM12</f>
        <v>50.087178256213313</v>
      </c>
      <c r="AI66" s="54">
        <f>nonmare!$BJ157</f>
        <v>6.5968952530752505</v>
      </c>
      <c r="AJ66" s="54">
        <f>nonmare!$BJ170</f>
        <v>5.5612868586677662</v>
      </c>
      <c r="AK66" s="54">
        <f>nonmare!$BJ490</f>
        <v>4.0465218486790011</v>
      </c>
      <c r="AL66" s="54">
        <f>nonhighlands!$AM342</f>
        <v>2.3150909981536607</v>
      </c>
      <c r="AM66" s="54">
        <f>nonmare!$BJ441</f>
        <v>3.9173075935719055</v>
      </c>
      <c r="AN66" s="54">
        <f>nonhighlands!$AM303</f>
        <v>8.4850515463917517</v>
      </c>
      <c r="AO66" s="54">
        <f>nonhighlands!$AM308</f>
        <v>15.017353962740765</v>
      </c>
      <c r="AP66" s="54">
        <f>nonhighlands!$AM119</f>
        <v>30.792415075483081</v>
      </c>
      <c r="AQ66" s="54">
        <f>nonmare!$BJ265</f>
        <v>3.7468070794343626</v>
      </c>
      <c r="AR66" s="54">
        <f>nonmare!$BJ274</f>
        <v>6.5925279109531632</v>
      </c>
      <c r="AS66" s="54">
        <f>nonhighlands!$AM232</f>
        <v>28.297488208430039</v>
      </c>
      <c r="AT66" s="54">
        <f>nonhighlands!$AM313</f>
        <v>26.591311744878443</v>
      </c>
      <c r="AU66" s="54">
        <f>nonmare!$BJ475</f>
        <v>2.2022284719432168</v>
      </c>
      <c r="AV66" s="54">
        <f>nonhighlands!$AM298</f>
        <v>20.592412324540437</v>
      </c>
      <c r="AW66" s="54">
        <f>nonmare!$BJ463</f>
        <v>2.1363174295945031</v>
      </c>
      <c r="AX66" s="54">
        <f>nonhighlands!$AM347</f>
        <v>100.78676538560303</v>
      </c>
      <c r="AY66" s="54">
        <f>nonhighlands!$AM366</f>
        <v>32.158152983513261</v>
      </c>
      <c r="AZ66" s="54">
        <f>nonmare!$BJ513</f>
        <v>19.510997382960163</v>
      </c>
      <c r="BA66" s="54">
        <f>nonhighlands!$AM380</f>
        <v>16.136341557653029</v>
      </c>
      <c r="BB66" s="54">
        <f>nonhighlands!$AM374</f>
        <v>14.850256487628245</v>
      </c>
      <c r="BC66" s="54">
        <f>nonmare!$BJ507</f>
        <v>6.3120069368556093</v>
      </c>
      <c r="BD66" s="54">
        <f>nonmare!$BJ519</f>
        <v>33.68807169790896</v>
      </c>
      <c r="BE66" s="54">
        <f>nonmare!$BJ566</f>
        <v>12.664899109792286</v>
      </c>
      <c r="BF66" s="54">
        <f>nonhighlands!$AM319</f>
        <v>26.231375829869915</v>
      </c>
      <c r="BG66" s="54">
        <f>nonhighlands!$AM324</f>
        <v>21.908422045017087</v>
      </c>
      <c r="BH66" s="54">
        <f>nonmare!$BJ572</f>
        <v>2.57</v>
      </c>
      <c r="BI66" s="54">
        <f>nonmare!$BJ622</f>
        <v>9.0849530119960153</v>
      </c>
      <c r="BJ66" s="54">
        <f>nonmare!$BJ627</f>
        <v>5.8994480849621498</v>
      </c>
      <c r="BK66" s="54">
        <f>nonmare!$BJ632</f>
        <v>9.7950577091958362</v>
      </c>
      <c r="BL66" s="54">
        <f>nonmare!$BJ637</f>
        <v>12.09771083819993</v>
      </c>
      <c r="BM66" s="54">
        <f>nonmare!$BJ642</f>
        <v>32.93432940875352</v>
      </c>
      <c r="BN66" s="54">
        <f>nonhighlands!$AM252</f>
        <v>26.291158785161024</v>
      </c>
      <c r="BO66" s="54">
        <f>nonhighlands!$AM257</f>
        <v>24.780035364089375</v>
      </c>
      <c r="BP66" s="6">
        <f t="shared" si="193"/>
        <v>25.535597074625201</v>
      </c>
      <c r="BQ66" s="54">
        <f>nonhighlands!$AM219</f>
        <v>36.049994930034472</v>
      </c>
      <c r="BR66" s="54">
        <f>nonhighlands!$AM227</f>
        <v>23.731029141252787</v>
      </c>
      <c r="BS66" s="2"/>
      <c r="BT66" s="54">
        <f>nonhighlands!$AM237</f>
        <v>16.151978037448966</v>
      </c>
      <c r="BU66" s="54">
        <f>nonhighlands!$AM267</f>
        <v>21.1</v>
      </c>
      <c r="BV66" s="7">
        <f t="shared" si="194"/>
        <v>20.327669059567253</v>
      </c>
      <c r="BW66" s="54">
        <f>nonhighlands!$AM352</f>
        <v>9.4511273351943306</v>
      </c>
      <c r="BX66" s="7"/>
      <c r="BY66" s="7"/>
      <c r="BZ66" s="54">
        <f>nonmare!$BJ194</f>
        <v>8.5725627629631056</v>
      </c>
      <c r="CA66" s="54">
        <f>nonmare!$BJ235</f>
        <v>6.3124788673694532</v>
      </c>
      <c r="CB66" s="54">
        <f t="shared" si="195"/>
        <v>2.8585928997862031</v>
      </c>
      <c r="CC66" s="54">
        <f>nonhighlands!$AM275</f>
        <v>31.319679166240931</v>
      </c>
      <c r="CD66" s="54">
        <f>nonmare!$BJ322</f>
        <v>5.5644812082084396</v>
      </c>
      <c r="CE66" s="54">
        <f t="shared" si="200"/>
        <v>1.5910966036598646</v>
      </c>
      <c r="CF66" s="54">
        <f>nonmare!$BJ436</f>
        <v>3.3291992433795712</v>
      </c>
      <c r="CG66" s="54">
        <f t="shared" si="196"/>
        <v>7.4030167406117018</v>
      </c>
      <c r="CH66" s="54">
        <f t="shared" si="197"/>
        <v>7.670827364422661</v>
      </c>
      <c r="CI66" s="54">
        <f>nonhighlands!$AM30</f>
        <v>14.104800531235631</v>
      </c>
      <c r="CJ66" s="54">
        <f>nonmare!$BJ470</f>
        <v>6.7616025383803704</v>
      </c>
      <c r="CK66" s="54">
        <f>nonmare!$BJ485</f>
        <v>6.2257522976435915</v>
      </c>
      <c r="CL66" s="54">
        <f>nonhighlands!$AM176</f>
        <v>13.042421531784257</v>
      </c>
      <c r="CM66" s="54">
        <f>nonhighlands!$AM164</f>
        <v>43.475418557346259</v>
      </c>
      <c r="CN66" s="54">
        <f>nonhighlands!$AM176</f>
        <v>13.042421531784257</v>
      </c>
      <c r="CO66" s="54">
        <f>nonhighlands!$AM386</f>
        <v>217.21694141346313</v>
      </c>
      <c r="CP66" s="54">
        <f>nonmare!$BJ607</f>
        <v>6.2746653192248241</v>
      </c>
      <c r="CQ66" s="54">
        <f>nonmare!$BJ612</f>
        <v>12.994788417431193</v>
      </c>
      <c r="CR66" s="54">
        <f>nonmare!$BJ627</f>
        <v>5.8994480849621498</v>
      </c>
      <c r="CS66" s="54">
        <f>nonmare!$BJ480</f>
        <v>4.4319610721926264</v>
      </c>
      <c r="CT66" s="54">
        <f>nonmare!$BJ501</f>
        <v>5.5493234913800578</v>
      </c>
      <c r="CU66" s="54">
        <f>nonmare!$BJ561</f>
        <v>10.831919021509911</v>
      </c>
      <c r="CV66" s="54">
        <f>nonmare!$BJ301</f>
        <v>431.72872286209349</v>
      </c>
      <c r="CW66" s="54">
        <f>nonmare!$BJ307</f>
        <v>131.67746652691372</v>
      </c>
      <c r="CX66" s="54">
        <f>nonmare!$BJ537</f>
        <v>4.5966203133251184</v>
      </c>
      <c r="CY66" s="54">
        <f>nonmare!$BJ543</f>
        <v>3.2434671721523349</v>
      </c>
      <c r="CZ66" s="54">
        <f>nonmare!$BJ555</f>
        <v>3.3259063468755103</v>
      </c>
      <c r="DA66" s="54">
        <f>nonmare!$BJ549</f>
        <v>6.7384848484848492</v>
      </c>
      <c r="DE66"/>
      <c r="DN66" s="394"/>
      <c r="DO66" s="394"/>
      <c r="DP66" s="394"/>
      <c r="DQ66" s="394"/>
      <c r="DR66" s="394"/>
      <c r="DV66" s="54">
        <f>nonmare!$BJ328</f>
        <v>1.776639405204461</v>
      </c>
      <c r="DW66" s="54">
        <f>nonmare!$BJ334</f>
        <v>1.5460221188009808</v>
      </c>
      <c r="DX66" s="54">
        <f>nonmare!$BJ340</f>
        <v>1.7399668116273748</v>
      </c>
      <c r="DY66" s="54"/>
      <c r="DZ66" s="54">
        <f>nonmare!$BJ366</f>
        <v>1.5847078073866296</v>
      </c>
      <c r="EA66" s="54">
        <f>nonmare!$BJ374</f>
        <v>1.5624201371466802</v>
      </c>
      <c r="EB66" s="54"/>
      <c r="EC66" s="54">
        <f>nonmare!$BJ358</f>
        <v>1.5615231771004083</v>
      </c>
      <c r="ED66" s="54"/>
      <c r="EE66" s="54"/>
      <c r="EF66" s="54">
        <f>nonmare!$BJ400</f>
        <v>1.5556677126917715</v>
      </c>
      <c r="EG66" s="54"/>
      <c r="EH66" s="54">
        <f>nonmare!$BJ405</f>
        <v>1.5585751647661887</v>
      </c>
      <c r="EI66" s="54"/>
      <c r="EJ66" s="54">
        <f>nonmare!$BJ416</f>
        <v>1.4343470982142859</v>
      </c>
      <c r="EK66" s="54"/>
      <c r="EL66" s="54">
        <f>nonmare!$BJ426</f>
        <v>7.2179934747145182</v>
      </c>
      <c r="EM66" s="54">
        <f>nonmare!$BJ431</f>
        <v>7.4730172095428031</v>
      </c>
      <c r="EQ66" s="54">
        <f>nonmare!$BJ179</f>
        <v>8.2355211331962526</v>
      </c>
      <c r="ER66" s="54">
        <f>nonmare!$BJ186</f>
        <v>10.341587618815502</v>
      </c>
      <c r="ES66" s="54">
        <f>nonmare!$BJ192</f>
        <v>7.948663433036919</v>
      </c>
      <c r="ET66" s="54">
        <f>nonmare!$BJ243</f>
        <v>2.6515843800768715</v>
      </c>
      <c r="EU66" s="54">
        <f>nonmare!$BJ249</f>
        <v>4.2196923833436895</v>
      </c>
      <c r="EV66" s="54">
        <f>nonmare!$BJ254</f>
        <v>1.70450193593805</v>
      </c>
      <c r="EW66" s="54"/>
      <c r="EX66" s="54"/>
      <c r="EY66" s="54"/>
      <c r="FC66" s="2">
        <v>0.60319999999999996</v>
      </c>
      <c r="FD66" s="525">
        <v>431.72872286209349</v>
      </c>
      <c r="FE66" s="7">
        <f t="shared" ref="FE66:FE84" si="201">FD66/FC66</f>
        <v>715.73064134962453</v>
      </c>
      <c r="FH66" s="54">
        <f>nonmare!$BJ447</f>
        <v>2.1686489242713338</v>
      </c>
      <c r="FI66" s="54">
        <f t="shared" si="198"/>
        <v>2.1686489242713338</v>
      </c>
      <c r="FJ66" s="54">
        <f t="shared" si="199"/>
        <v>2.5840980069577015</v>
      </c>
    </row>
    <row r="67" spans="1:166" s="525" customFormat="1" ht="11.1" customHeight="1" x14ac:dyDescent="0.2">
      <c r="A67" s="526" t="s">
        <v>320</v>
      </c>
      <c r="B67" s="51">
        <f>nonmare!$BK11</f>
        <v>0.7612720364325174</v>
      </c>
      <c r="C67" s="51">
        <f>nonmare!$BK131</f>
        <v>1.1578672299694488</v>
      </c>
      <c r="D67" s="51">
        <f>nonmare!$BK31</f>
        <v>0.83250135801560377</v>
      </c>
      <c r="E67" s="51">
        <f>nonmare!$BK577</f>
        <v>0.74186575433917468</v>
      </c>
      <c r="F67" s="51">
        <f>nonmare!$BK583</f>
        <v>0.61880976426571399</v>
      </c>
      <c r="G67" s="51">
        <f>nonmare!$BK589</f>
        <v>3.6395084042778829</v>
      </c>
      <c r="H67" s="51">
        <f>nonmare!$BK595</f>
        <v>0.70227698124160032</v>
      </c>
      <c r="I67" s="51">
        <f>nonmare!$BK601</f>
        <v>2.2120466040653897</v>
      </c>
      <c r="J67" s="51">
        <f t="shared" si="191"/>
        <v>1.457161792653495</v>
      </c>
      <c r="K67" s="51">
        <f>nonmare!$BK294</f>
        <v>0.90939325382793823</v>
      </c>
      <c r="L67" s="51">
        <f>nonmare!$BK114</f>
        <v>0.90567737026717865</v>
      </c>
      <c r="M67" s="51">
        <f>nonmare!$BK84</f>
        <v>0.45176154425390963</v>
      </c>
      <c r="N67" s="51">
        <f>nonmare!$BK525</f>
        <v>0.44006742096767787</v>
      </c>
      <c r="O67" s="51">
        <f>nonmare!$BK531</f>
        <v>0.84877419321255154</v>
      </c>
      <c r="P67" s="54"/>
      <c r="Q67" s="51">
        <f>nonmare!$BK283</f>
        <v>3.0967023462460617</v>
      </c>
      <c r="R67" s="54">
        <f>nonhighlands!$AN94</f>
        <v>2.5202400624820731</v>
      </c>
      <c r="S67" s="54">
        <f>nonhighlands!$AN83</f>
        <v>1.9595836536817899</v>
      </c>
      <c r="T67" s="54">
        <f t="shared" si="4"/>
        <v>2.16529838716056</v>
      </c>
      <c r="U67" s="54">
        <f>nonhighlands!$AN105</f>
        <v>2.0526378662863407</v>
      </c>
      <c r="V67" s="54">
        <f>nonhighlands!$AN293</f>
        <v>2.0464280057171278</v>
      </c>
      <c r="W67" s="54">
        <f>nonhighlands!$AN47</f>
        <v>2.5691906895094245</v>
      </c>
      <c r="X67" s="54">
        <f>nonhighlands!$AN64</f>
        <v>2.3969948599858903</v>
      </c>
      <c r="Y67" s="38">
        <f t="shared" si="192"/>
        <v>2.4601765495564951</v>
      </c>
      <c r="Z67" s="54">
        <f>nonhighlands!$AN210</f>
        <v>2.1032129292202426</v>
      </c>
      <c r="AA67" s="54">
        <f>nonhighlands!$AN196</f>
        <v>0</v>
      </c>
      <c r="AB67" s="54">
        <f>nonhighlands!$AN334</f>
        <v>0.88261935588245588</v>
      </c>
      <c r="AC67" s="54">
        <f>nonhighlands!$AN159</f>
        <v>4.8109846685754478</v>
      </c>
      <c r="AE67" s="54">
        <f>nonhighlands!$AN12</f>
        <v>1.5129538331546</v>
      </c>
      <c r="AI67" s="51">
        <f>nonmare!$BK157</f>
        <v>0.86908198190020114</v>
      </c>
      <c r="AJ67" s="51">
        <f>nonmare!$BK170</f>
        <v>0.77269658326703594</v>
      </c>
      <c r="AK67" s="51">
        <f>nonmare!$BK490</f>
        <v>0.56471228889831027</v>
      </c>
      <c r="AL67" s="54">
        <f>nonhighlands!$AN342</f>
        <v>0.31106159596091798</v>
      </c>
      <c r="AM67" s="51">
        <f>nonmare!$BK441</f>
        <v>0.49428056534116155</v>
      </c>
      <c r="AN67" s="54">
        <f>nonhighlands!$AN303</f>
        <v>0.96781717222327601</v>
      </c>
      <c r="AO67" s="54">
        <f>nonhighlands!$AN308</f>
        <v>2.3293427754665528</v>
      </c>
      <c r="AP67" s="54">
        <f>nonhighlands!$AN119</f>
        <v>4.275491481171688</v>
      </c>
      <c r="AQ67" s="51">
        <f>nonmare!$BK265</f>
        <v>0.54827468890619779</v>
      </c>
      <c r="AR67" s="51">
        <f>nonmare!$BK274</f>
        <v>0.8527683050671645</v>
      </c>
      <c r="AS67" s="54">
        <f>nonhighlands!$AN232</f>
        <v>3.6251296633854455</v>
      </c>
      <c r="AT67" s="54" t="e">
        <f>nonhighlands!$AN313</f>
        <v>#DIV/0!</v>
      </c>
      <c r="AU67" s="51">
        <f>nonmare!$BK475</f>
        <v>0.31034174409677218</v>
      </c>
      <c r="AV67" s="54">
        <f>nonhighlands!$AN298</f>
        <v>2.5886785668961241</v>
      </c>
      <c r="AW67" s="51">
        <f>nonmare!$BK463</f>
        <v>0.25296949261409973</v>
      </c>
      <c r="AX67" s="54">
        <f>nonhighlands!$AN347</f>
        <v>12.738751238402383</v>
      </c>
      <c r="AY67" s="54">
        <f>nonhighlands!$AN366</f>
        <v>4.5070369993899204</v>
      </c>
      <c r="AZ67" s="51">
        <f>nonmare!$BK513</f>
        <v>2.4370043399515438</v>
      </c>
      <c r="BA67" s="54">
        <f>nonhighlands!$AN380</f>
        <v>2.0445015886951876</v>
      </c>
      <c r="BB67" s="54">
        <f>nonhighlands!$AN374</f>
        <v>2.1739284733145978</v>
      </c>
      <c r="BC67" s="51">
        <f>nonmare!$BK507</f>
        <v>0.75459040449029191</v>
      </c>
      <c r="BD67" s="51">
        <f>nonmare!$BK519</f>
        <v>4.2348712300090465</v>
      </c>
      <c r="BE67" s="51">
        <f>nonmare!$BK566</f>
        <v>1.5421802817376342</v>
      </c>
      <c r="BF67" s="54" t="e">
        <f>nonhighlands!$AN319</f>
        <v>#DIV/0!</v>
      </c>
      <c r="BG67" s="54" t="e">
        <f>nonhighlands!$AN324</f>
        <v>#DIV/0!</v>
      </c>
      <c r="BH67" s="51">
        <f>nonmare!$BK572</f>
        <v>0.46682874195618645</v>
      </c>
      <c r="BI67" s="51">
        <f>nonmare!$BK622</f>
        <v>1.1430465199892961</v>
      </c>
      <c r="BJ67" s="51">
        <f>nonmare!$BK627</f>
        <v>0.75141090812411604</v>
      </c>
      <c r="BK67" s="51">
        <f>nonmare!$BK632</f>
        <v>1.0487223706455508</v>
      </c>
      <c r="BL67" s="51">
        <f>nonmare!$BK637</f>
        <v>1.4942268696076735</v>
      </c>
      <c r="BM67" s="51">
        <f>nonmare!$BK642</f>
        <v>4.0371615062597304</v>
      </c>
      <c r="BN67" s="54">
        <f>nonhighlands!$AN252</f>
        <v>3.4353628552990711</v>
      </c>
      <c r="BO67" s="54">
        <f>nonhighlands!$AN257</f>
        <v>3.2702360028142832</v>
      </c>
      <c r="BP67" s="6">
        <f t="shared" si="193"/>
        <v>3.3527994290566774</v>
      </c>
      <c r="BQ67" s="54">
        <f>nonhighlands!$AN219</f>
        <v>4.681692104263889</v>
      </c>
      <c r="BR67" s="54">
        <f>nonhighlands!$AN227</f>
        <v>2.9358892519098756</v>
      </c>
      <c r="BS67" s="2"/>
      <c r="BT67" s="54">
        <f>nonhighlands!$AN237</f>
        <v>2.136567320099235</v>
      </c>
      <c r="BU67" s="54">
        <f>nonhighlands!$AN267</f>
        <v>2.510995084777436</v>
      </c>
      <c r="BV67" s="7">
        <f t="shared" si="194"/>
        <v>2.527817218928849</v>
      </c>
      <c r="BW67" s="54">
        <f>nonhighlands!$AN352</f>
        <v>1.2653300730237762</v>
      </c>
      <c r="BX67" s="6"/>
      <c r="BY67" s="6"/>
      <c r="BZ67" s="51">
        <f>nonmare!$BK194</f>
        <v>1.0461835382998477</v>
      </c>
      <c r="CA67" s="51">
        <f>nonmare!$BK235</f>
        <v>0.88676712672117941</v>
      </c>
      <c r="CB67" s="51">
        <f t="shared" si="195"/>
        <v>0.19681228012264099</v>
      </c>
      <c r="CC67" s="54">
        <f>nonhighlands!$AN275</f>
        <v>4.4065162772498905</v>
      </c>
      <c r="CD67" s="51">
        <f>nonmare!$BK322</f>
        <v>0.71837617471414084</v>
      </c>
      <c r="CE67" s="51">
        <f t="shared" si="200"/>
        <v>0.10446398929896672</v>
      </c>
      <c r="CF67" s="51">
        <f>nonmare!$BK436</f>
        <v>0.50082176132307532</v>
      </c>
      <c r="CG67" s="51">
        <f t="shared" si="196"/>
        <v>0.95233456166080577</v>
      </c>
      <c r="CH67" s="51">
        <f t="shared" si="197"/>
        <v>0.98678609972581943</v>
      </c>
      <c r="CI67" s="54">
        <f>nonhighlands!$AN30</f>
        <v>1.8378631459737758</v>
      </c>
      <c r="CJ67" s="51">
        <f>nonmare!$BK470</f>
        <v>0.84972010111020091</v>
      </c>
      <c r="CK67" s="51">
        <f>nonmare!$BK485</f>
        <v>0.79316956255969817</v>
      </c>
      <c r="CL67" s="54"/>
      <c r="CM67" s="54"/>
      <c r="CN67" s="54" t="e">
        <f>nonhighlands!$AN176</f>
        <v>#DIV/0!</v>
      </c>
      <c r="CO67" s="54" t="e">
        <f>nonhighlands!$AN386</f>
        <v>#DIV/0!</v>
      </c>
      <c r="CP67" s="51">
        <f>nonmare!$BK607</f>
        <v>0.78741187391102407</v>
      </c>
      <c r="CQ67" s="51">
        <f>nonmare!$BK612</f>
        <v>1.5241370952937832</v>
      </c>
      <c r="CR67" s="51">
        <f>nonmare!$BK627</f>
        <v>0.75141090812411604</v>
      </c>
      <c r="CS67" s="51">
        <f>nonmare!$BK480</f>
        <v>0.58079505283785038</v>
      </c>
      <c r="CT67" s="51">
        <f>nonmare!$BK501</f>
        <v>0.81822637001734688</v>
      </c>
      <c r="CU67" s="51">
        <f>nonmare!$BK561</f>
        <v>1.3341064826644193</v>
      </c>
      <c r="CV67" s="51">
        <f>nonmare!$BK301</f>
        <v>57.45</v>
      </c>
      <c r="CW67" s="51">
        <f>nonmare!$BK307</f>
        <v>17.100000000000001</v>
      </c>
      <c r="CX67" s="51">
        <f>nonmare!$BK537</f>
        <v>0.65301210570888846</v>
      </c>
      <c r="CY67" s="51">
        <f>nonmare!$BK543</f>
        <v>0.42777946426964442</v>
      </c>
      <c r="CZ67" s="51">
        <f>nonmare!$BK555</f>
        <v>0.4090144261161282</v>
      </c>
      <c r="DA67" s="51">
        <f>nonmare!$BK549</f>
        <v>0.87873822187087658</v>
      </c>
      <c r="DE67"/>
      <c r="DN67" s="394"/>
      <c r="DO67" s="394"/>
      <c r="DP67" s="394"/>
      <c r="DQ67" s="394"/>
      <c r="DR67" s="394"/>
      <c r="DV67" s="51">
        <f>nonmare!$BK328</f>
        <v>0.25796302668323928</v>
      </c>
      <c r="DW67" s="51">
        <f>nonmare!$BK334</f>
        <v>0.20876333767344235</v>
      </c>
      <c r="DX67" s="51">
        <f>nonmare!$BK340</f>
        <v>0.2272461009386034</v>
      </c>
      <c r="DY67" s="51"/>
      <c r="DZ67" s="51">
        <f>nonmare!$BK366</f>
        <v>0</v>
      </c>
      <c r="EA67" s="51">
        <f>nonmare!$BK374</f>
        <v>0</v>
      </c>
      <c r="EB67" s="51"/>
      <c r="EC67" s="51">
        <f>nonmare!$BK358</f>
        <v>0.2462034383954155</v>
      </c>
      <c r="ED67" s="51"/>
      <c r="EE67" s="51"/>
      <c r="EF67" s="51">
        <f>nonmare!$BK400</f>
        <v>0</v>
      </c>
      <c r="EG67" s="51"/>
      <c r="EH67" s="51">
        <f>nonmare!$BK405</f>
        <v>0</v>
      </c>
      <c r="EI67" s="51"/>
      <c r="EJ67" s="51">
        <f>nonmare!$BK416</f>
        <v>0</v>
      </c>
      <c r="EK67" s="51"/>
      <c r="EL67" s="51">
        <f>nonmare!$BK426</f>
        <v>0.93261439078696928</v>
      </c>
      <c r="EM67" s="51">
        <f>nonmare!$BK431</f>
        <v>0.95979535964140728</v>
      </c>
      <c r="EQ67" s="51">
        <f>nonmare!$BK179</f>
        <v>1.0678694067822889</v>
      </c>
      <c r="ER67" s="51">
        <f>nonmare!$BK186</f>
        <v>0</v>
      </c>
      <c r="ES67" s="51">
        <f>nonmare!$BK192</f>
        <v>1.0191299111048078</v>
      </c>
      <c r="ET67" s="51">
        <f>nonmare!$BK243</f>
        <v>0.35093758266201769</v>
      </c>
      <c r="EU67" s="51">
        <f>nonmare!$BK249</f>
        <v>0</v>
      </c>
      <c r="EV67" s="51">
        <f>nonmare!$BK254</f>
        <v>0.23949925770590524</v>
      </c>
      <c r="EW67" s="51"/>
      <c r="EX67" s="51"/>
      <c r="EY67" s="51"/>
      <c r="FC67" s="2"/>
      <c r="FD67" s="525">
        <v>57.45</v>
      </c>
      <c r="FE67" s="7"/>
      <c r="FH67" s="51">
        <f>nonmare!$BK447</f>
        <v>0.30383402516151065</v>
      </c>
      <c r="FI67" s="54">
        <f t="shared" si="198"/>
        <v>0.30383402516151065</v>
      </c>
      <c r="FJ67" s="54">
        <f t="shared" si="199"/>
        <v>0.36203965062238086</v>
      </c>
    </row>
    <row r="68" spans="1:166" s="525" customFormat="1" ht="11.1" customHeight="1" x14ac:dyDescent="0.2">
      <c r="A68" s="390" t="s">
        <v>172</v>
      </c>
      <c r="B68" s="54">
        <f>nonmare!$BL11</f>
        <v>3.3783200847906727</v>
      </c>
      <c r="C68" s="54">
        <f>nonmare!$BL131</f>
        <v>5.014985901108937</v>
      </c>
      <c r="D68" s="54">
        <f>nonmare!$BL31</f>
        <v>3.7329926152737749</v>
      </c>
      <c r="E68" s="54">
        <f>nonmare!$BL577</f>
        <v>3.5397430855944423</v>
      </c>
      <c r="F68" s="54">
        <f>nonmare!$BL583</f>
        <v>2.9928724266157016</v>
      </c>
      <c r="G68" s="54">
        <f>nonmare!$BL589</f>
        <v>17.162570575754309</v>
      </c>
      <c r="H68" s="54">
        <f>nonmare!$BL595</f>
        <v>3.3108538577532052</v>
      </c>
      <c r="I68" s="54">
        <f>nonmare!$BL601</f>
        <v>10.412926088423895</v>
      </c>
      <c r="J68" s="54">
        <f t="shared" si="191"/>
        <v>6.8618899730885499</v>
      </c>
      <c r="K68" s="54">
        <f>nonmare!$BL294</f>
        <v>4.3804320049703875</v>
      </c>
      <c r="L68" s="54">
        <f>nonmare!$BL114</f>
        <v>4.1351291791884535</v>
      </c>
      <c r="M68" s="54">
        <f>nonmare!$BL84</f>
        <v>1.8230119798888891</v>
      </c>
      <c r="N68" s="54">
        <f>nonmare!$BL525</f>
        <v>2.0530353686433225</v>
      </c>
      <c r="O68" s="54">
        <f>nonmare!$BL531</f>
        <v>3.9749858377000429</v>
      </c>
      <c r="P68" s="54"/>
      <c r="Q68" s="54">
        <f>nonmare!$BL283</f>
        <v>13.554554826616682</v>
      </c>
      <c r="R68" s="54">
        <f>nonhighlands!$AO94</f>
        <v>12.14677593483168</v>
      </c>
      <c r="S68" s="54">
        <f>nonhighlands!$AO83</f>
        <v>9.1885804765860293</v>
      </c>
      <c r="T68" s="54">
        <f t="shared" si="4"/>
        <v>10.273994610303509</v>
      </c>
      <c r="U68" s="54">
        <f>nonhighlands!$AO105</f>
        <v>9.74</v>
      </c>
      <c r="V68" s="54">
        <f>nonhighlands!$AO293</f>
        <v>10.269820119920052</v>
      </c>
      <c r="W68" s="54">
        <f>nonhighlands!$AO47</f>
        <v>12.331053994195901</v>
      </c>
      <c r="X68" s="54">
        <f>nonhighlands!$AO64</f>
        <v>11.525686722266348</v>
      </c>
      <c r="Y68" s="38">
        <f t="shared" si="192"/>
        <v>11.821190191230581</v>
      </c>
      <c r="Z68" s="54">
        <f>nonhighlands!$AO210</f>
        <v>11.359471912103492</v>
      </c>
      <c r="AA68" s="54">
        <f>nonhighlands!$AO196</f>
        <v>8.9471782379212357</v>
      </c>
      <c r="AB68" s="54">
        <f>nonhighlands!$AO334</f>
        <v>4.9033212879126236</v>
      </c>
      <c r="AC68" s="54">
        <f>nonhighlands!$AO159</f>
        <v>23.419323264196315</v>
      </c>
      <c r="AE68" s="54">
        <f>nonhighlands!$AO12</f>
        <v>29.198478525794901</v>
      </c>
      <c r="AI68" s="54">
        <f>nonmare!$BL157</f>
        <v>3.7652962784593629</v>
      </c>
      <c r="AJ68" s="54">
        <f>nonmare!$BL170</f>
        <v>3.2477106051909956</v>
      </c>
      <c r="AK68" s="54">
        <f>nonmare!$BL490</f>
        <v>2.9684705924699446</v>
      </c>
      <c r="AL68" s="54">
        <f>nonhighlands!$AO342</f>
        <v>1.683938731677908</v>
      </c>
      <c r="AM68" s="54">
        <f>nonmare!$BL441</f>
        <v>2.3655722133798842</v>
      </c>
      <c r="AN68" s="54">
        <f>nonhighlands!$AO303</f>
        <v>4.5307403936269921</v>
      </c>
      <c r="AO68" s="54">
        <f>nonhighlands!$AO308</f>
        <v>12.119134827912852</v>
      </c>
      <c r="AP68" s="54">
        <f>nonhighlands!$AO119</f>
        <v>20.688250409478794</v>
      </c>
      <c r="AQ68" s="54">
        <f>nonmare!$BL265</f>
        <v>2.4716351759394901</v>
      </c>
      <c r="AR68" s="54">
        <f>nonmare!$BL274</f>
        <v>4.1010192107821775</v>
      </c>
      <c r="AS68" s="54">
        <f>nonhighlands!$AO232</f>
        <v>17.385969903421429</v>
      </c>
      <c r="AT68" s="54">
        <f>nonhighlands!$AO313</f>
        <v>15.001220986383025</v>
      </c>
      <c r="AU68" s="54">
        <f>nonmare!$BL475</f>
        <v>1.5436007321101739</v>
      </c>
      <c r="AV68" s="54">
        <f>nonhighlands!$AO298</f>
        <v>12.390808743644346</v>
      </c>
      <c r="AW68" s="54">
        <f>nonmare!$BL463</f>
        <v>1.1986335043065908</v>
      </c>
      <c r="AX68" s="54">
        <f>nonhighlands!$AO347</f>
        <v>60.142754429512969</v>
      </c>
      <c r="AY68" s="54">
        <f>nonhighlands!$AO366</f>
        <v>22.269545568666828</v>
      </c>
      <c r="AZ68" s="54">
        <f>nonmare!$BL513</f>
        <v>11.431131869729573</v>
      </c>
      <c r="BA68" s="54">
        <f>nonhighlands!$AO380</f>
        <v>9.6382955235414247</v>
      </c>
      <c r="BB68" s="54">
        <f>nonhighlands!$AO374</f>
        <v>12.166038020519011</v>
      </c>
      <c r="BC68" s="54">
        <f>nonmare!$BL507</f>
        <v>3.5291680524540321</v>
      </c>
      <c r="BD68" s="54">
        <f>nonmare!$BL519</f>
        <v>20.035240947552641</v>
      </c>
      <c r="BE68" s="54">
        <f>nonmare!$BL566</f>
        <v>7.1497725024727998</v>
      </c>
      <c r="BF68" s="54">
        <f>nonhighlands!$AO319</f>
        <v>14.808161062233498</v>
      </c>
      <c r="BG68" s="54">
        <f>nonhighlands!$AO324</f>
        <v>12.433291432611856</v>
      </c>
      <c r="BH68" s="54">
        <f>nonmare!$BL572</f>
        <v>2.57</v>
      </c>
      <c r="BI68" s="54">
        <f>nonmare!$BL622</f>
        <v>5.3669611536962467</v>
      </c>
      <c r="BJ68" s="54">
        <f>nonmare!$BL627</f>
        <v>3.6249802282227992</v>
      </c>
      <c r="BK68" s="54">
        <f>nonmare!$BL632</f>
        <v>4.8734914063480117</v>
      </c>
      <c r="BL68" s="54">
        <f>nonmare!$BL637</f>
        <v>6.8823943661971843</v>
      </c>
      <c r="BM68" s="54">
        <f>nonmare!$BL642</f>
        <v>18.841534425390325</v>
      </c>
      <c r="BN68" s="54">
        <f>nonhighlands!$AO252</f>
        <v>16.64284549531186</v>
      </c>
      <c r="BO68" s="54">
        <f>nonhighlands!$AO257</f>
        <v>15.561485291753737</v>
      </c>
      <c r="BP68" s="6">
        <f t="shared" si="193"/>
        <v>16.1021653935328</v>
      </c>
      <c r="BQ68" s="54">
        <f>nonhighlands!$AO219</f>
        <v>22.676536199553844</v>
      </c>
      <c r="BR68" s="54">
        <f>nonhighlands!$AO227</f>
        <v>13.995591699745054</v>
      </c>
      <c r="BS68" s="2"/>
      <c r="BT68" s="54">
        <f>nonhighlands!$AO237</f>
        <v>10.267415176685908</v>
      </c>
      <c r="BU68" s="54">
        <f>nonhighlands!$AO267</f>
        <v>11.6</v>
      </c>
      <c r="BV68" s="7">
        <f t="shared" si="194"/>
        <v>11.954335625476988</v>
      </c>
      <c r="BW68" s="54">
        <f>nonhighlands!$AO352</f>
        <v>6.0524801374275281</v>
      </c>
      <c r="BX68" s="7"/>
      <c r="BY68" s="7"/>
      <c r="BZ68" s="54">
        <f>nonmare!$BL194</f>
        <v>5.2179701364743334</v>
      </c>
      <c r="CA68" s="54">
        <f>nonmare!$BL235</f>
        <v>3.8601938587889189</v>
      </c>
      <c r="CB68" s="54">
        <f t="shared" si="195"/>
        <v>1.7447391544129671</v>
      </c>
      <c r="CC68" s="54">
        <f>nonhighlands!$AO275</f>
        <v>21.589726167364873</v>
      </c>
      <c r="CD68" s="54">
        <f>nonmare!$BL322</f>
        <v>3.4338136961032975</v>
      </c>
      <c r="CE68" s="54">
        <f t="shared" si="200"/>
        <v>1.0791295853704201</v>
      </c>
      <c r="CF68" s="54">
        <f>nonmare!$BL436</f>
        <v>2.4627364438839852</v>
      </c>
      <c r="CG68" s="54">
        <f t="shared" si="196"/>
        <v>4.5485393721780056</v>
      </c>
      <c r="CH68" s="54">
        <f t="shared" si="197"/>
        <v>4.7130867735109181</v>
      </c>
      <c r="CI68" s="54">
        <f>nonhighlands!$AO30</f>
        <v>8.9186085712826255</v>
      </c>
      <c r="CJ68" s="54">
        <f>nonmare!$BL470</f>
        <v>3.853013063444648</v>
      </c>
      <c r="CK68" s="54">
        <f>nonmare!$BL485</f>
        <v>3.8051694572358921</v>
      </c>
      <c r="CL68" s="54">
        <f>nonhighlands!$AO176</f>
        <v>7.1642724818715928</v>
      </c>
      <c r="CM68" s="54">
        <f>nonhighlands!$AO164</f>
        <v>25.102882960413073</v>
      </c>
      <c r="CN68" s="54">
        <f>nonhighlands!$AO176</f>
        <v>7.1642724818715928</v>
      </c>
      <c r="CO68" s="54">
        <f>nonhighlands!$AO386</f>
        <v>122.86479771697162</v>
      </c>
      <c r="CP68" s="54">
        <f>nonmare!$BL607</f>
        <v>3.8152538342646527</v>
      </c>
      <c r="CQ68" s="54">
        <f>nonmare!$BL612</f>
        <v>6.9391628440366988</v>
      </c>
      <c r="CR68" s="54">
        <f>nonmare!$BL627</f>
        <v>3.6249802282227992</v>
      </c>
      <c r="CS68" s="54">
        <f>nonmare!$BL480</f>
        <v>2.8165317337136622</v>
      </c>
      <c r="CT68" s="54">
        <f>nonmare!$BL501</f>
        <v>3.7599999999999993</v>
      </c>
      <c r="CU68" s="54">
        <f>nonmare!$BL561</f>
        <v>6.2355925769717429</v>
      </c>
      <c r="CV68" s="54">
        <f>nonmare!$BL301</f>
        <v>257.25157985934152</v>
      </c>
      <c r="CW68" s="54">
        <f>nonmare!$BL307</f>
        <v>74.306321003516373</v>
      </c>
      <c r="CX68" s="54">
        <f>nonmare!$BL537</f>
        <v>3.2303409024232823</v>
      </c>
      <c r="CY68" s="54">
        <f>nonmare!$BL543</f>
        <v>2.0982595209374462</v>
      </c>
      <c r="CZ68" s="54">
        <f>nonmare!$BL555</f>
        <v>1.9497498232446839</v>
      </c>
      <c r="DA68" s="54">
        <f>nonmare!$BL549</f>
        <v>4.2332086295049258</v>
      </c>
      <c r="DE68"/>
      <c r="DN68" s="394"/>
      <c r="DO68" s="394"/>
      <c r="DP68" s="394"/>
      <c r="DQ68" s="394"/>
      <c r="DR68" s="394"/>
      <c r="DV68" s="54">
        <f>nonmare!$BL328</f>
        <v>1.2492193308550184</v>
      </c>
      <c r="DW68" s="54">
        <f>nonmare!$BL334</f>
        <v>1.0256968423159685</v>
      </c>
      <c r="DX68" s="54">
        <f>nonmare!$BL340</f>
        <v>1.0623483634699016</v>
      </c>
      <c r="DY68" s="54"/>
      <c r="DZ68" s="54">
        <f>nonmare!$BL366</f>
        <v>0.9976624590930343</v>
      </c>
      <c r="EA68" s="54">
        <f>nonmare!$BL374</f>
        <v>1.0372693315493116</v>
      </c>
      <c r="EB68" s="54"/>
      <c r="EC68" s="54">
        <f>nonmare!$BL358</f>
        <v>1.0259121155929662</v>
      </c>
      <c r="ED68" s="54"/>
      <c r="EE68" s="54"/>
      <c r="EF68" s="54">
        <f>nonmare!$BL400</f>
        <v>0.98396966527196661</v>
      </c>
      <c r="EG68" s="54"/>
      <c r="EH68" s="54">
        <f>nonmare!$BL405</f>
        <v>1.3624542316141859</v>
      </c>
      <c r="EI68" s="54"/>
      <c r="EJ68" s="54">
        <f>nonmare!$BL416</f>
        <v>0.96763392857142871</v>
      </c>
      <c r="EK68" s="54"/>
      <c r="EL68" s="54">
        <f>nonmare!$BL426</f>
        <v>4.4519168026101132</v>
      </c>
      <c r="EM68" s="54">
        <f>nonmare!$BL431</f>
        <v>4.5850949109978583</v>
      </c>
      <c r="EQ68" s="54">
        <f>nonmare!$BL179</f>
        <v>5.0138907927804439</v>
      </c>
      <c r="ER68" s="54">
        <f>nonmare!$BL186</f>
        <v>6.1668145259566174</v>
      </c>
      <c r="ES68" s="54">
        <f>nonmare!$BL192</f>
        <v>4.8050660199407167</v>
      </c>
      <c r="ET68" s="54">
        <f>nonmare!$BL243</f>
        <v>1.4800416055791099</v>
      </c>
      <c r="EU68" s="54">
        <f>nonmare!$BL249</f>
        <v>2.5386575542454999</v>
      </c>
      <c r="EV68" s="54">
        <f>nonmare!$BL254</f>
        <v>1.2155183034142911</v>
      </c>
      <c r="EW68" s="54"/>
      <c r="EX68" s="54"/>
      <c r="EY68" s="54"/>
      <c r="FC68" s="2">
        <v>0.45240000000000002</v>
      </c>
      <c r="FD68" s="525">
        <v>257.25157985934152</v>
      </c>
      <c r="FE68" s="7">
        <f t="shared" si="201"/>
        <v>568.63744442825271</v>
      </c>
      <c r="FH68" s="54">
        <f>nonmare!$BL447</f>
        <v>1.5520593460096062</v>
      </c>
      <c r="FI68" s="54">
        <f t="shared" si="198"/>
        <v>1.5520593460096062</v>
      </c>
      <c r="FJ68" s="54">
        <f t="shared" si="199"/>
        <v>1.8493880765191548</v>
      </c>
    </row>
    <row r="69" spans="1:166" s="525" customFormat="1" ht="11.1" customHeight="1" x14ac:dyDescent="0.2">
      <c r="A69" s="390" t="s">
        <v>173</v>
      </c>
      <c r="B69" s="394">
        <f>nonmare!$BM11</f>
        <v>0.9949225562460855</v>
      </c>
      <c r="C69" s="394">
        <f>nonmare!$BM131</f>
        <v>1.5409409199956108</v>
      </c>
      <c r="D69" s="394">
        <f>nonmare!$BM31</f>
        <v>1.134660932997118</v>
      </c>
      <c r="E69" s="394">
        <f>nonmare!$BM577</f>
        <v>1.1196878358893696</v>
      </c>
      <c r="F69" s="394">
        <f>nonmare!$BM583</f>
        <v>0.86349151380435019</v>
      </c>
      <c r="G69" s="394">
        <f>nonmare!$BM589</f>
        <v>5.0432463048872593</v>
      </c>
      <c r="H69" s="394">
        <f>nonmare!$BM595</f>
        <v>0.98415993340035202</v>
      </c>
      <c r="I69" s="394">
        <f>nonmare!$BM601</f>
        <v>3.0202595342558216</v>
      </c>
      <c r="J69" s="394">
        <f t="shared" si="191"/>
        <v>2.0022097338280869</v>
      </c>
      <c r="K69" s="394">
        <f>nonmare!$BM294</f>
        <v>1.3497468074042558</v>
      </c>
      <c r="L69" s="394">
        <f>nonmare!$BM114</f>
        <v>1.1955146065137465</v>
      </c>
      <c r="M69" s="394">
        <f>nonmare!$BM84</f>
        <v>0.624541826388889</v>
      </c>
      <c r="N69" s="394">
        <f>nonmare!$BM525</f>
        <v>0.65985658982931561</v>
      </c>
      <c r="O69" s="394">
        <f>nonmare!$BM531</f>
        <v>1.2019425010621725</v>
      </c>
      <c r="P69" s="51"/>
      <c r="Q69" s="394">
        <f>nonmare!$BM283</f>
        <v>3.6777357075913777</v>
      </c>
      <c r="R69" s="51">
        <f>nonhighlands!$AP94</f>
        <v>3.4823584257532634</v>
      </c>
      <c r="S69" s="51">
        <f>nonhighlands!$AP83</f>
        <v>2.803284544517922</v>
      </c>
      <c r="T69" s="51">
        <f t="shared" ref="T69:T106" si="202">(R69*30.7+S69*52.97)/83.67</f>
        <v>3.0524487390192365</v>
      </c>
      <c r="U69" s="51">
        <f>nonhighlands!$AP105</f>
        <v>3.09</v>
      </c>
      <c r="V69" s="51">
        <f>nonhighlands!$AP293</f>
        <v>3.5912025316455694</v>
      </c>
      <c r="W69" s="51">
        <f>nonhighlands!$AP47</f>
        <v>3.5903288734470222</v>
      </c>
      <c r="X69" s="51">
        <f>nonhighlands!$AP64</f>
        <v>3.4578135987556253</v>
      </c>
      <c r="Y69" s="38">
        <f t="shared" si="192"/>
        <v>3.5064357922900564</v>
      </c>
      <c r="Z69" s="51">
        <f>nonhighlands!$AP210</f>
        <v>4.295778841041999</v>
      </c>
      <c r="AA69" s="51">
        <f>nonhighlands!$AP196</f>
        <v>2.9686312085532549</v>
      </c>
      <c r="AB69" s="51">
        <f>nonhighlands!$AP334</f>
        <v>2.0227926225181694</v>
      </c>
      <c r="AC69" s="51">
        <f>nonhighlands!$AP159</f>
        <v>7.4491797373989233</v>
      </c>
      <c r="AE69" s="51">
        <f>nonhighlands!$AP12</f>
        <v>8.6878326378374382</v>
      </c>
      <c r="AI69" s="394">
        <f>nonmare!$BM157</f>
        <v>1.1237692757050615</v>
      </c>
      <c r="AJ69" s="394">
        <f>nonmare!$BM170</f>
        <v>0.98033427518849381</v>
      </c>
      <c r="AK69" s="394">
        <f>nonmare!$BM490</f>
        <v>0.82344433446116194</v>
      </c>
      <c r="AL69" s="51">
        <f>nonhighlands!$AP342</f>
        <v>0.58150697087305481</v>
      </c>
      <c r="AM69" s="394">
        <f>nonmare!$BM441</f>
        <v>0.75352008385892844</v>
      </c>
      <c r="AN69" s="51">
        <f>nonhighlands!$AP303</f>
        <v>1.6937856919712588</v>
      </c>
      <c r="AO69" s="51">
        <f>nonhighlands!$AP308</f>
        <v>3.7416361225134196</v>
      </c>
      <c r="AP69" s="51">
        <f>nonhighlands!$AP119</f>
        <v>6.6755567569059409</v>
      </c>
      <c r="AQ69" s="394">
        <f>nonmare!$BM265</f>
        <v>0.77885489850219747</v>
      </c>
      <c r="AR69" s="394">
        <f>nonmare!$BM274</f>
        <v>1.1389923726824689</v>
      </c>
      <c r="AS69" s="51">
        <f>nonhighlands!$AP232</f>
        <v>5.2148603728382117</v>
      </c>
      <c r="AT69" s="51">
        <f>nonhighlands!$AP313</f>
        <v>4.4372656876602976</v>
      </c>
      <c r="AU69" s="394">
        <f>nonmare!$BM475</f>
        <v>0.41590567385384586</v>
      </c>
      <c r="AV69" s="51">
        <f>nonhighlands!$AP298</f>
        <v>3.8574707748468127</v>
      </c>
      <c r="AW69" s="394">
        <f>nonmare!$BM463</f>
        <v>0.46353403658182524</v>
      </c>
      <c r="AX69" s="51">
        <f>nonhighlands!$AP347</f>
        <v>17.094983993837197</v>
      </c>
      <c r="AY69" s="51">
        <f>nonhighlands!$AP366</f>
        <v>7.2471309733032045</v>
      </c>
      <c r="AZ69" s="394">
        <f>nonmare!$BM513</f>
        <v>3.356639284675778</v>
      </c>
      <c r="BA69" s="51">
        <f>nonhighlands!$AP380</f>
        <v>3.0552470055748748</v>
      </c>
      <c r="BB69" s="51">
        <f>nonhighlands!$AP374</f>
        <v>4.559337658418829</v>
      </c>
      <c r="BC69" s="394">
        <f>nonmare!$BM507</f>
        <v>1.1630244690454699</v>
      </c>
      <c r="BD69" s="394">
        <f>nonmare!$BM519</f>
        <v>5.9573916141952479</v>
      </c>
      <c r="BE69" s="394">
        <f>nonmare!$BM566</f>
        <v>2.2069841740850644</v>
      </c>
      <c r="BF69" s="51">
        <f>nonhighlands!$AP319</f>
        <v>4.6053629837534409</v>
      </c>
      <c r="BG69" s="51">
        <f>nonhighlands!$AP324</f>
        <v>3.921663982401697</v>
      </c>
      <c r="BH69" s="394">
        <f>nonmare!$BM572</f>
        <v>0.46600000000000003</v>
      </c>
      <c r="BI69" s="394">
        <f>nonmare!$BM622</f>
        <v>1.6257520679052446</v>
      </c>
      <c r="BJ69" s="394">
        <f>nonmare!$BM627</f>
        <v>1.0894203479832785</v>
      </c>
      <c r="BK69" s="394">
        <f>nonmare!$BM632</f>
        <v>1.5055824865136118</v>
      </c>
      <c r="BL69" s="394">
        <f>nonmare!$BM637</f>
        <v>2.1497936705599452</v>
      </c>
      <c r="BM69" s="394">
        <f>nonmare!$BM642</f>
        <v>5.6087515996928587</v>
      </c>
      <c r="BN69" s="51">
        <f>nonhighlands!$AP252</f>
        <v>4.8137576437015897</v>
      </c>
      <c r="BO69" s="51">
        <f>nonhighlands!$AP257</f>
        <v>4.6054147243208483</v>
      </c>
      <c r="BP69" s="6">
        <f t="shared" si="193"/>
        <v>4.7095861840112185</v>
      </c>
      <c r="BQ69" s="51">
        <f>nonhighlands!$AP219</f>
        <v>6.4898255931859659</v>
      </c>
      <c r="BR69" s="51">
        <f>nonhighlands!$AP227</f>
        <v>4.05136186142576</v>
      </c>
      <c r="BS69" s="2"/>
      <c r="BT69" s="51">
        <f>nonhighlands!$AP237</f>
        <v>3.1463036745037307</v>
      </c>
      <c r="BU69" s="51">
        <f>nonhighlands!$AP267</f>
        <v>3.74</v>
      </c>
      <c r="BV69" s="7">
        <f t="shared" si="194"/>
        <v>3.6458885119764965</v>
      </c>
      <c r="BW69" s="51">
        <f>nonhighlands!$AP352</f>
        <v>1.6934824994631739</v>
      </c>
      <c r="BX69" s="3"/>
      <c r="BY69" s="3"/>
      <c r="BZ69" s="394">
        <f>nonmare!$BM194</f>
        <v>1.4992805263741689</v>
      </c>
      <c r="CA69" s="394">
        <f>nonmare!$BM235</f>
        <v>1.1529446285854377</v>
      </c>
      <c r="CB69" s="394">
        <f t="shared" si="195"/>
        <v>0.51129518502801796</v>
      </c>
      <c r="CC69" s="51">
        <f>nonhighlands!$AP275</f>
        <v>6.7456110146112191</v>
      </c>
      <c r="CD69" s="394">
        <f>nonmare!$BM322</f>
        <v>0.96872543695144642</v>
      </c>
      <c r="CE69" s="394">
        <f t="shared" si="200"/>
        <v>0.30004428500282104</v>
      </c>
      <c r="CF69" s="394">
        <f>nonmare!$BM436</f>
        <v>0.77485917429897189</v>
      </c>
      <c r="CG69" s="394">
        <f t="shared" si="196"/>
        <v>1.3142410208907558</v>
      </c>
      <c r="CH69" s="394">
        <f t="shared" si="197"/>
        <v>1.3617848425481984</v>
      </c>
      <c r="CI69" s="51">
        <f>nonhighlands!$AP30</f>
        <v>2.8432185728150374</v>
      </c>
      <c r="CJ69" s="394">
        <f>nonmare!$BM470</f>
        <v>1.1806981437721997</v>
      </c>
      <c r="CK69" s="394">
        <f>nonmare!$BM485</f>
        <v>1.1459925242288203</v>
      </c>
      <c r="CL69" s="51">
        <f>nonhighlands!$AP176</f>
        <v>2.1836253638913883</v>
      </c>
      <c r="CM69" s="51">
        <f>nonhighlands!$AP164</f>
        <v>7.4694773900797999</v>
      </c>
      <c r="CN69" s="520" t="e">
        <f>(CL69*#REF!+#REF!*#REF!+CM69*#REF!)/#REF!</f>
        <v>#REF!</v>
      </c>
      <c r="CO69" s="51">
        <f>nonhighlands!$AP386</f>
        <v>38.043820715125065</v>
      </c>
      <c r="CP69" s="394">
        <f>nonmare!$BM607</f>
        <v>1.0915505885150396</v>
      </c>
      <c r="CQ69" s="394">
        <f>nonmare!$BM612</f>
        <v>2.1936129587155966</v>
      </c>
      <c r="CR69" s="394">
        <f>nonmare!$BM627</f>
        <v>1.0894203479832785</v>
      </c>
      <c r="CS69" s="394">
        <f>nonmare!$BM480</f>
        <v>0.85471349469356939</v>
      </c>
      <c r="CT69" s="394">
        <f>nonmare!$BM501</f>
        <v>1.118613047954822</v>
      </c>
      <c r="CU69" s="394">
        <f>nonmare!$BM561</f>
        <v>1.9059046815689578</v>
      </c>
      <c r="CV69" s="394">
        <f>nonmare!$BM301</f>
        <v>72.491761797981866</v>
      </c>
      <c r="CW69" s="394">
        <f>nonmare!$BM307</f>
        <v>21.780287226129296</v>
      </c>
      <c r="CX69" s="394">
        <f>nonmare!$BM537</f>
        <v>0.86383324532065942</v>
      </c>
      <c r="CY69" s="394">
        <f>nonmare!$BM543</f>
        <v>0.64644649319317593</v>
      </c>
      <c r="CZ69" s="394">
        <f>nonmare!$BM555</f>
        <v>0.55036960896285425</v>
      </c>
      <c r="DA69" s="394">
        <f>nonmare!$BM549</f>
        <v>1.2217107286860374</v>
      </c>
      <c r="DE69"/>
      <c r="DN69" s="394"/>
      <c r="DO69" s="394"/>
      <c r="DP69" s="394"/>
      <c r="DQ69" s="394"/>
      <c r="DR69" s="394"/>
      <c r="DV69" s="394">
        <f>nonmare!$BM328</f>
        <v>0.32418736059479553</v>
      </c>
      <c r="DW69" s="394">
        <f>nonmare!$BM334</f>
        <v>0.28864813328914785</v>
      </c>
      <c r="DX69" s="394">
        <f>nonmare!$BM340</f>
        <v>0.31661833371480885</v>
      </c>
      <c r="DY69" s="394"/>
      <c r="DZ69" s="394">
        <f>nonmare!$BM366</f>
        <v>0.30692987377279102</v>
      </c>
      <c r="EA69" s="394">
        <f>nonmare!$BM374</f>
        <v>0.28348554572617274</v>
      </c>
      <c r="EB69" s="394"/>
      <c r="EC69" s="394">
        <f>nonmare!$BM358</f>
        <v>0.29363050729948487</v>
      </c>
      <c r="ED69" s="394"/>
      <c r="EE69" s="394"/>
      <c r="EF69" s="394">
        <f>nonmare!$BM400</f>
        <v>0.3072312587168759</v>
      </c>
      <c r="EG69" s="394"/>
      <c r="EH69" s="394">
        <f>nonmare!$BM405</f>
        <v>0.2951236531017889</v>
      </c>
      <c r="EI69" s="394"/>
      <c r="EJ69" s="394">
        <f>nonmare!$BM416</f>
        <v>0.28454389880952385</v>
      </c>
      <c r="EK69" s="394"/>
      <c r="EL69" s="394">
        <f>nonmare!$BM426</f>
        <v>1.2847021130932998</v>
      </c>
      <c r="EM69" s="394">
        <f>nonmare!$BM431</f>
        <v>1.3254165743407933</v>
      </c>
      <c r="EQ69" s="394">
        <f>nonmare!$BM179</f>
        <v>1.4986153986748916</v>
      </c>
      <c r="ER69" s="394">
        <f>nonmare!$BM186</f>
        <v>1.7647683636145308</v>
      </c>
      <c r="ES69" s="394">
        <f>nonmare!$BM192</f>
        <v>1.3823537418821439</v>
      </c>
      <c r="ET69" s="394">
        <f>nonmare!$BM243</f>
        <v>0.461759559377105</v>
      </c>
      <c r="EU69" s="394">
        <f>nonmare!$BM249</f>
        <v>0.7499826966925176</v>
      </c>
      <c r="EV69" s="394">
        <f>nonmare!$BM254</f>
        <v>0.32214329901443162</v>
      </c>
      <c r="EW69" s="394"/>
      <c r="EX69" s="394"/>
      <c r="EY69" s="394"/>
      <c r="FC69" s="2">
        <v>0.14710000000000001</v>
      </c>
      <c r="FD69" s="525">
        <v>72.491761797981866</v>
      </c>
      <c r="FE69" s="7">
        <f t="shared" si="201"/>
        <v>492.80599454780327</v>
      </c>
      <c r="FH69" s="394">
        <f>nonmare!$BM447</f>
        <v>0.48937634054872031</v>
      </c>
      <c r="FI69" s="54">
        <f t="shared" si="198"/>
        <v>0.48937634054872031</v>
      </c>
      <c r="FJ69" s="54">
        <f t="shared" si="199"/>
        <v>0.58312639363197338</v>
      </c>
    </row>
    <row r="70" spans="1:166" s="391" customFormat="1" ht="11.1" customHeight="1" x14ac:dyDescent="0.2">
      <c r="A70" s="390" t="s">
        <v>174</v>
      </c>
      <c r="B70" s="51">
        <f>nonmare!$BN11</f>
        <v>0.68731492990316523</v>
      </c>
      <c r="C70" s="51">
        <f>nonmare!$BN131</f>
        <v>0.81670153504236531</v>
      </c>
      <c r="D70" s="51">
        <f>nonmare!$BN31</f>
        <v>0.74525477305475507</v>
      </c>
      <c r="E70" s="51">
        <f>nonmare!$BN577</f>
        <v>0.80145327041551984</v>
      </c>
      <c r="F70" s="51">
        <f>nonmare!$BN583</f>
        <v>0.83941529384880675</v>
      </c>
      <c r="G70" s="51">
        <f>nonmare!$BN589</f>
        <v>1.3766375193296652</v>
      </c>
      <c r="H70" s="51">
        <f>nonmare!$BN595</f>
        <v>0.86011127167630075</v>
      </c>
      <c r="I70" s="51">
        <f>nonmare!$BN601</f>
        <v>0.9408740833921394</v>
      </c>
      <c r="J70" s="51">
        <f t="shared" si="191"/>
        <v>0.90049267753422013</v>
      </c>
      <c r="K70" s="51">
        <f>nonmare!$BN294</f>
        <v>0.80442275978038447</v>
      </c>
      <c r="L70" s="51">
        <f>nonmare!$BN114</f>
        <v>0.80395902119236962</v>
      </c>
      <c r="M70" s="51">
        <f>nonmare!$BN84</f>
        <v>0.93954622499999985</v>
      </c>
      <c r="N70" s="51">
        <f>nonmare!$BN525</f>
        <v>0.84465176843216605</v>
      </c>
      <c r="O70" s="51">
        <f>nonmare!$BN531</f>
        <v>0.8250397252513807</v>
      </c>
      <c r="P70" s="51"/>
      <c r="Q70" s="51">
        <f>nonmare!$BN283</f>
        <v>0.83127319587628856</v>
      </c>
      <c r="R70" s="51">
        <f>nonhighlands!$AQ94</f>
        <v>0.94868068505250758</v>
      </c>
      <c r="S70" s="51">
        <f>nonhighlands!$AQ83</f>
        <v>0.86290145198389889</v>
      </c>
      <c r="T70" s="51">
        <f t="shared" si="202"/>
        <v>0.89437536683039442</v>
      </c>
      <c r="U70" s="51">
        <f>nonhighlands!$AQ105</f>
        <v>0.81279999999999997</v>
      </c>
      <c r="V70" s="51">
        <f>nonhighlands!$AQ293</f>
        <v>1.0697356762158561</v>
      </c>
      <c r="W70" s="51">
        <f>nonhighlands!$AQ47</f>
        <v>0.9070644620867202</v>
      </c>
      <c r="X70" s="51">
        <f>nonhighlands!$AQ64</f>
        <v>0.8326523861530315</v>
      </c>
      <c r="Y70" s="38">
        <f t="shared" si="192"/>
        <v>0.85995549038590169</v>
      </c>
      <c r="Z70" s="51">
        <f>nonhighlands!$AQ210</f>
        <v>1.2996881091617933</v>
      </c>
      <c r="AA70" s="51">
        <f>nonhighlands!$AQ196</f>
        <v>1.0578361077277034</v>
      </c>
      <c r="AB70" s="51">
        <f>nonhighlands!$AQ334</f>
        <v>0.84394530837630433</v>
      </c>
      <c r="AC70" s="51">
        <f>nonhighlands!$AQ159</f>
        <v>1.2475140901704562</v>
      </c>
      <c r="AE70" s="51">
        <f>nonhighlands!$AQ12</f>
        <v>1.1051362679567194</v>
      </c>
      <c r="AI70" s="51">
        <f>nonmare!$BN157</f>
        <v>0.76114589972936564</v>
      </c>
      <c r="AJ70" s="51">
        <f>nonmare!$BN170</f>
        <v>0.83626206629286781</v>
      </c>
      <c r="AK70" s="51">
        <f>nonmare!$BN490</f>
        <v>0.9170238643726154</v>
      </c>
      <c r="AL70" s="51">
        <f>nonhighlands!$AQ342</f>
        <v>0.4394681412261201</v>
      </c>
      <c r="AM70" s="394">
        <f>nonmare!$BN441</f>
        <v>0.70738047440570917</v>
      </c>
      <c r="AN70" s="51">
        <f>nonhighlands!$AQ303</f>
        <v>0.60387535145267113</v>
      </c>
      <c r="AO70" s="51">
        <f>nonhighlands!$AQ308</f>
        <v>0.66560277865487849</v>
      </c>
      <c r="AP70" s="51">
        <f>nonhighlands!$AQ119</f>
        <v>1.1277008257859045</v>
      </c>
      <c r="AQ70" s="51">
        <f>nonmare!$BN265</f>
        <v>0.76981861939071428</v>
      </c>
      <c r="AR70" s="51">
        <f>nonmare!$BN274</f>
        <v>0.79015444060750328</v>
      </c>
      <c r="AS70" s="51">
        <f>nonhighlands!$AQ232</f>
        <v>0.51016972374036096</v>
      </c>
      <c r="AT70" s="51">
        <f>nonhighlands!$AQ313</f>
        <v>1.0652565414553337</v>
      </c>
      <c r="AU70" s="51">
        <f>nonmare!$BN475</f>
        <v>0.76125280121423144</v>
      </c>
      <c r="AV70" s="51">
        <f>nonhighlands!$AQ298</f>
        <v>0.9351621398461607</v>
      </c>
      <c r="AW70" s="51">
        <f>nonmare!$BN463</f>
        <v>0.59297165392432016</v>
      </c>
      <c r="AX70" s="51">
        <f>nonhighlands!$AQ347</f>
        <v>1.482960575194727</v>
      </c>
      <c r="AY70" s="51">
        <f>nonhighlands!$AQ366</f>
        <v>1.2130169888693614</v>
      </c>
      <c r="AZ70" s="51">
        <f>nonmare!$BN513</f>
        <v>0.82415095231171864</v>
      </c>
      <c r="BA70" s="51">
        <f>nonhighlands!$AQ380</f>
        <v>0.78634983716950924</v>
      </c>
      <c r="BB70" s="51">
        <f>nonhighlands!$AQ374</f>
        <v>0.99812160531080274</v>
      </c>
      <c r="BC70" s="51">
        <f>nonmare!$BN507</f>
        <v>0.63744557419109615</v>
      </c>
      <c r="BD70" s="51">
        <f>nonmare!$BN519</f>
        <v>1.3874657657820195</v>
      </c>
      <c r="BE70" s="51">
        <f>nonmare!$BN566</f>
        <v>0.98671048466864486</v>
      </c>
      <c r="BF70" s="51">
        <f>nonhighlands!$AQ319</f>
        <v>0.99335413180763199</v>
      </c>
      <c r="BG70" s="51">
        <f>nonhighlands!$AQ324</f>
        <v>1.121375024551204</v>
      </c>
      <c r="BH70" s="51">
        <f>nonmare!$BN572</f>
        <v>0.58299999999999996</v>
      </c>
      <c r="BI70" s="51">
        <f>nonmare!$BN622</f>
        <v>1.0172077865835174</v>
      </c>
      <c r="BJ70" s="51">
        <f>nonmare!$BN627</f>
        <v>0.76224155462659593</v>
      </c>
      <c r="BK70" s="51">
        <f>nonmare!$BN632</f>
        <v>0.85695712583113792</v>
      </c>
      <c r="BL70" s="51">
        <f>nonmare!$BN637</f>
        <v>0.92526524390243914</v>
      </c>
      <c r="BM70" s="51">
        <f>nonmare!$BN642</f>
        <v>1.3898902610698745</v>
      </c>
      <c r="BN70" s="51">
        <f>nonhighlands!$AQ252</f>
        <v>0.54314808397880143</v>
      </c>
      <c r="BO70" s="51">
        <f>nonhighlands!$AQ257</f>
        <v>0.50244735573058996</v>
      </c>
      <c r="BP70" s="38">
        <f t="shared" si="193"/>
        <v>0.5227977198546957</v>
      </c>
      <c r="BQ70" s="51">
        <f>nonhighlands!$AQ219</f>
        <v>0.58235003041979316</v>
      </c>
      <c r="BR70" s="51">
        <f>nonhighlands!$AQ227</f>
        <v>0.34472620776454638</v>
      </c>
      <c r="BS70"/>
      <c r="BT70" s="51">
        <f>nonhighlands!$AQ237</f>
        <v>0.23429304519217231</v>
      </c>
      <c r="BU70" s="51">
        <f>nonhighlands!$AQ267</f>
        <v>0.27700000000000002</v>
      </c>
      <c r="BV70" s="39">
        <f t="shared" si="194"/>
        <v>0.2853397509855729</v>
      </c>
      <c r="BW70" s="51">
        <f>nonhighlands!$AQ352</f>
        <v>0.6635789134636032</v>
      </c>
      <c r="BX70" s="6"/>
      <c r="BY70" s="6"/>
      <c r="BZ70" s="394">
        <f>nonmare!$BN194</f>
        <v>0.81762271877559112</v>
      </c>
      <c r="CA70" s="394">
        <f>nonmare!$BN235</f>
        <v>0.75760587766609466</v>
      </c>
      <c r="CB70" s="51">
        <f t="shared" si="195"/>
        <v>0.78313867480179111</v>
      </c>
      <c r="CC70" s="51">
        <f>nonhighlands!$AQ275</f>
        <v>1.2925865944620416</v>
      </c>
      <c r="CD70" s="51">
        <f>nonmare!$BN322</f>
        <v>0.78774936592114353</v>
      </c>
      <c r="CE70" s="51">
        <f t="shared" si="200"/>
        <v>0.70526357638238624</v>
      </c>
      <c r="CF70" s="51">
        <f>nonmare!$BN436</f>
        <v>2.0650107187894076</v>
      </c>
      <c r="CG70" s="51">
        <f t="shared" si="196"/>
        <v>0.77830117380161934</v>
      </c>
      <c r="CH70" s="51">
        <f t="shared" si="197"/>
        <v>0.80645690141535842</v>
      </c>
      <c r="CI70" s="51">
        <f>nonhighlands!$AQ30</f>
        <v>0.89945834397507263</v>
      </c>
      <c r="CJ70" s="51">
        <f>nonmare!$BN470</f>
        <v>0.74546170136876366</v>
      </c>
      <c r="CK70" s="51">
        <f>nonmare!$BN485</f>
        <v>0.82608581722895513</v>
      </c>
      <c r="CL70" s="51">
        <f>nonhighlands!$AQ176</f>
        <v>0.71792642777748361</v>
      </c>
      <c r="CM70" s="51">
        <f>nonhighlands!$AQ164</f>
        <v>0.84387267250821474</v>
      </c>
      <c r="CN70" s="514" t="e">
        <f>(CL70*#REF!+#REF!*#REF!+CM70*#REF!)/#REF!</f>
        <v>#REF!</v>
      </c>
      <c r="CO70" s="51">
        <f>nonhighlands!$AQ386</f>
        <v>2.6200933355715965</v>
      </c>
      <c r="CP70" s="51">
        <f>nonmare!$BN607</f>
        <v>0.69307062180477941</v>
      </c>
      <c r="CQ70" s="51">
        <f>nonmare!$BN612</f>
        <v>0.76565401376146791</v>
      </c>
      <c r="CR70" s="51">
        <f>nonmare!$BN627</f>
        <v>0.76224155462659593</v>
      </c>
      <c r="CS70" s="51">
        <f>nonmare!$BN480</f>
        <v>0.77708817483954851</v>
      </c>
      <c r="CT70" s="51">
        <f>nonmare!$BN501</f>
        <v>0.62373513462918473</v>
      </c>
      <c r="CU70" s="51">
        <f>nonmare!$BN561</f>
        <v>0.70193677773091523</v>
      </c>
      <c r="CV70" s="51">
        <f>nonmare!$BN301</f>
        <v>4.0772484965854652</v>
      </c>
      <c r="CW70" s="51">
        <f>nonmare!$BN307</f>
        <v>2.3291474506356509</v>
      </c>
      <c r="CX70" s="51">
        <f>nonmare!$BN537</f>
        <v>0.77047573783958212</v>
      </c>
      <c r="CY70" s="51">
        <f>nonmare!$BN543</f>
        <v>0.64918275030156825</v>
      </c>
      <c r="CZ70" s="51">
        <f>nonmare!$BN555</f>
        <v>0.88838562571381963</v>
      </c>
      <c r="DA70" s="51">
        <f>nonmare!$BN549</f>
        <v>0.74411156835848191</v>
      </c>
      <c r="DE70"/>
      <c r="DN70" s="111"/>
      <c r="DO70" s="111"/>
      <c r="DP70" s="111"/>
      <c r="DQ70" s="111"/>
      <c r="DR70" s="111"/>
      <c r="DV70" s="51">
        <f>nonmare!$BN328</f>
        <v>0.67406245353159866</v>
      </c>
      <c r="DW70" s="51">
        <f>nonmare!$BN334</f>
        <v>0.72142491117449836</v>
      </c>
      <c r="DX70" s="51">
        <f>nonmare!$BN340</f>
        <v>0.7253658731975281</v>
      </c>
      <c r="DY70" s="51"/>
      <c r="DZ70" s="51">
        <f>nonmare!$BN366</f>
        <v>0.72992987377279106</v>
      </c>
      <c r="EA70" s="51">
        <f>nonmare!$BN374</f>
        <v>0.67325394436081842</v>
      </c>
      <c r="EB70" s="51"/>
      <c r="EC70" s="51">
        <f>nonmare!$BN358</f>
        <v>0.71522213518760225</v>
      </c>
      <c r="ED70" s="51"/>
      <c r="EE70" s="51"/>
      <c r="EF70" s="51">
        <f>nonmare!$BN400</f>
        <v>0.71082880055788</v>
      </c>
      <c r="EG70" s="51"/>
      <c r="EH70" s="51">
        <f>nonmare!$BN405</f>
        <v>0.7097750810754262</v>
      </c>
      <c r="EI70" s="51"/>
      <c r="EJ70" s="51">
        <f>nonmare!$BN416</f>
        <v>0.68750911458333341</v>
      </c>
      <c r="EK70" s="51"/>
      <c r="EL70" s="51">
        <f>nonmare!$BN426</f>
        <v>0.75422634584013049</v>
      </c>
      <c r="EM70" s="51">
        <f>nonmare!$BN431</f>
        <v>0.787409483713716</v>
      </c>
      <c r="EQ70" s="51">
        <f>nonmare!$BN179</f>
        <v>0.82006327949978519</v>
      </c>
      <c r="ER70" s="51">
        <f>nonmare!$BN186</f>
        <v>0.8218341213746041</v>
      </c>
      <c r="ES70" s="51">
        <f>nonmare!$BN192</f>
        <v>0.80772325518728105</v>
      </c>
      <c r="ET70" s="51">
        <f>nonmare!$BN243</f>
        <v>0.80028856440939888</v>
      </c>
      <c r="EU70" s="51">
        <f>nonmare!$BN249</f>
        <v>0.78813159586362702</v>
      </c>
      <c r="EV70" s="51">
        <f>nonmare!$BN254</f>
        <v>0.76099586413234777</v>
      </c>
      <c r="EW70" s="51"/>
      <c r="EX70" s="51"/>
      <c r="EY70" s="51"/>
      <c r="FC70"/>
      <c r="FD70" s="391">
        <v>4.0772484965854652</v>
      </c>
      <c r="FE70" s="33"/>
      <c r="FH70" s="51">
        <f>nonmare!$BN447</f>
        <v>0.6584296335285218</v>
      </c>
      <c r="FI70" s="392">
        <f t="shared" si="198"/>
        <v>0.6584296335285218</v>
      </c>
      <c r="FJ70" s="392">
        <f t="shared" si="199"/>
        <v>0.78456530454537687</v>
      </c>
    </row>
    <row r="71" spans="1:166" s="391" customFormat="1" ht="11.1" customHeight="1" x14ac:dyDescent="0.2">
      <c r="A71" s="393" t="s">
        <v>313</v>
      </c>
      <c r="B71" s="51">
        <f>nonmare!$BO11</f>
        <v>1.1598478442463169</v>
      </c>
      <c r="C71" s="51">
        <f>nonmare!$BO131</f>
        <v>1.8255255266566601</v>
      </c>
      <c r="D71" s="51">
        <f>nonmare!$BO31</f>
        <v>1.3803369410118054</v>
      </c>
      <c r="E71" s="51">
        <f>nonmare!$BO577</f>
        <v>1.3843937460830638</v>
      </c>
      <c r="F71" s="51">
        <f>nonmare!$BO583</f>
        <v>1.0335768589951988</v>
      </c>
      <c r="G71" s="51">
        <f>nonmare!$BO589</f>
        <v>5.7564073034536696</v>
      </c>
      <c r="H71" s="51">
        <f>nonmare!$BO595</f>
        <v>1.150649198226408</v>
      </c>
      <c r="I71" s="51">
        <f>nonmare!$BO601</f>
        <v>3.508896550160356</v>
      </c>
      <c r="J71" s="51">
        <f t="shared" si="191"/>
        <v>2.3297728741933819</v>
      </c>
      <c r="K71" s="51">
        <f>nonmare!$BO294</f>
        <v>1.5980818860451416</v>
      </c>
      <c r="L71" s="51">
        <f>nonmare!$BO114</f>
        <v>1.4156695648337079</v>
      </c>
      <c r="M71" s="51">
        <f>nonmare!$BO84</f>
        <v>0.77020867890710476</v>
      </c>
      <c r="N71" s="51">
        <f>nonmare!$BO525</f>
        <v>0.79387035079438029</v>
      </c>
      <c r="O71" s="51">
        <f>nonmare!$BO531</f>
        <v>1.4037157325563967</v>
      </c>
      <c r="P71" s="51"/>
      <c r="Q71" s="51">
        <f>nonmare!$BO283</f>
        <v>4.683223742560032</v>
      </c>
      <c r="R71" s="51">
        <f>nonhighlands!$AR94</f>
        <v>4.1527974257958817</v>
      </c>
      <c r="S71" s="51">
        <f>nonhighlands!$AR83</f>
        <v>3.3454892978512425</v>
      </c>
      <c r="T71" s="51">
        <f t="shared" si="202"/>
        <v>3.6417049011487257</v>
      </c>
      <c r="U71" s="51">
        <f>nonhighlands!$AR105</f>
        <v>4.0023077790157231</v>
      </c>
      <c r="V71" s="51">
        <f>nonhighlands!$AR293</f>
        <v>4.6620395621953055</v>
      </c>
      <c r="W71" s="51">
        <f>nonhighlands!$AR47</f>
        <v>4.3256115820207466</v>
      </c>
      <c r="X71" s="51">
        <f>nonhighlands!$AR64</f>
        <v>4.1786271911925654</v>
      </c>
      <c r="Y71" s="38">
        <f t="shared" si="192"/>
        <v>4.2325583588563056</v>
      </c>
      <c r="Z71" s="51">
        <f>nonhighlands!$AR210</f>
        <v>6.134389771551561</v>
      </c>
      <c r="AA71" s="51">
        <f>nonhighlands!$AR196</f>
        <v>0</v>
      </c>
      <c r="AB71" s="51">
        <f>nonhighlands!$AR334</f>
        <v>2.8214742029917543</v>
      </c>
      <c r="AC71" s="51">
        <f>nonhighlands!$AR159</f>
        <v>9.6309502015101707</v>
      </c>
      <c r="AE71" s="51">
        <f>nonhighlands!$AR12</f>
        <v>2.4762337420920577</v>
      </c>
      <c r="AI71" s="51">
        <f>nonmare!$BO157</f>
        <v>1.2801725426889696</v>
      </c>
      <c r="AJ71" s="51">
        <f>nonmare!$BO170</f>
        <v>1.1380754741343351</v>
      </c>
      <c r="AK71" s="51">
        <f>nonmare!$BO490</f>
        <v>1.0164066980202831</v>
      </c>
      <c r="AL71" s="51">
        <f>nonhighlands!$AR342</f>
        <v>0.94051032937292423</v>
      </c>
      <c r="AM71" s="51">
        <f>nonmare!$BO441</f>
        <v>0.96346988222487751</v>
      </c>
      <c r="AN71" s="51">
        <f>nonhighlands!$AR303</f>
        <v>2.3826374899817826</v>
      </c>
      <c r="AO71" s="51">
        <f>nonhighlands!$AR308</f>
        <v>5.1353972381963748</v>
      </c>
      <c r="AP71" s="51">
        <f>nonhighlands!$AR119</f>
        <v>8.7346972475855029</v>
      </c>
      <c r="AQ71" s="51">
        <f>nonmare!$BO265</f>
        <v>0.94226194359499038</v>
      </c>
      <c r="AR71" s="51">
        <f>nonmare!$BO274</f>
        <v>1.4115727752870662</v>
      </c>
      <c r="AS71" s="51">
        <f>nonhighlands!$AR232</f>
        <v>6.1995366648092736</v>
      </c>
      <c r="AT71" s="51" t="e">
        <f>nonhighlands!$AR313</f>
        <v>#DIV/0!</v>
      </c>
      <c r="AU71" s="51">
        <f>nonmare!$BO475</f>
        <v>0.50411755180383822</v>
      </c>
      <c r="AV71" s="51">
        <f>nonhighlands!$AR298</f>
        <v>4.6404189597798728</v>
      </c>
      <c r="AW71" s="51">
        <f>nonmare!$BO463</f>
        <v>0.61091136434856697</v>
      </c>
      <c r="AX71" s="51">
        <f>nonhighlands!$AR347</f>
        <v>20.103679253502847</v>
      </c>
      <c r="AY71" s="51">
        <f>nonhighlands!$AR366</f>
        <v>9.5535633672759506</v>
      </c>
      <c r="AZ71" s="51">
        <f>nonmare!$BO513</f>
        <v>3.9735147294744699</v>
      </c>
      <c r="BA71" s="51">
        <f>nonhighlands!$AR380</f>
        <v>3.65115220346296</v>
      </c>
      <c r="BB71" s="51">
        <f>nonhighlands!$AR374</f>
        <v>6.3532723074308182</v>
      </c>
      <c r="BC71" s="51">
        <f>nonmare!$BO507</f>
        <v>1.4782249116264896</v>
      </c>
      <c r="BD71" s="51">
        <f>nonmare!$BO519</f>
        <v>6.8109254273534212</v>
      </c>
      <c r="BE71" s="51" t="e">
        <f>nonmare!$BO566</f>
        <v>#DIV/0!</v>
      </c>
      <c r="BF71" s="51" t="e">
        <f>nonhighlands!$AR319</f>
        <v>#DIV/0!</v>
      </c>
      <c r="BG71" s="51" t="e">
        <f>nonhighlands!$AR324</f>
        <v>#DIV/0!</v>
      </c>
      <c r="BH71" s="51" t="e">
        <f>nonmare!$BO572</f>
        <v>#DIV/0!</v>
      </c>
      <c r="BI71" s="51">
        <f>nonmare!$BO622</f>
        <v>1.9342154555904589</v>
      </c>
      <c r="BJ71" s="51">
        <f>nonmare!$BO627</f>
        <v>1.3518960956151869</v>
      </c>
      <c r="BK71" s="51">
        <f>nonmare!$BO632</f>
        <v>1.7564873678635184</v>
      </c>
      <c r="BL71" s="51">
        <f>nonmare!$BO637</f>
        <v>2.5202993079035019</v>
      </c>
      <c r="BM71" s="51">
        <f>nonmare!$BO642</f>
        <v>6.3682247156929312</v>
      </c>
      <c r="BN71" s="51">
        <f>nonhighlands!$AR252</f>
        <v>5.7065645457832899</v>
      </c>
      <c r="BO71" s="51">
        <f>nonhighlands!$AR257</f>
        <v>5.4151133506573332</v>
      </c>
      <c r="BP71" s="38">
        <f t="shared" si="193"/>
        <v>5.5608389482203116</v>
      </c>
      <c r="BQ71" s="51">
        <f>nonhighlands!$AR219</f>
        <v>7.7974870128218923</v>
      </c>
      <c r="BR71" s="51">
        <f>nonhighlands!$AR227</f>
        <v>4.7561283021168377</v>
      </c>
      <c r="BS71"/>
      <c r="BT71" s="51">
        <f>nonhighlands!$AR237</f>
        <v>3.8327855228356795</v>
      </c>
      <c r="BU71" s="51">
        <f>nonhighlands!$AR267</f>
        <v>4.3741461621550384</v>
      </c>
      <c r="BV71" s="39">
        <f t="shared" si="194"/>
        <v>4.3210199957025184</v>
      </c>
      <c r="BW71" s="51">
        <f>nonhighlands!$AR352</f>
        <v>2.0347688999039275</v>
      </c>
      <c r="BX71" s="6"/>
      <c r="BY71" s="6"/>
      <c r="BZ71" s="51">
        <f>nonmare!$BO194</f>
        <v>1.7816727963557539</v>
      </c>
      <c r="CA71" s="51">
        <f>nonmare!$BO235</f>
        <v>1.3842499425028327</v>
      </c>
      <c r="CB71" s="51">
        <f t="shared" si="195"/>
        <v>0.32299374572985401</v>
      </c>
      <c r="CC71" s="51">
        <f>nonhighlands!$AR275</f>
        <v>8.0920896076064306</v>
      </c>
      <c r="CD71" s="51">
        <f>nonmare!$BO322</f>
        <v>1.1432241829761602</v>
      </c>
      <c r="CE71" s="51">
        <f t="shared" si="200"/>
        <v>0.16950208427442684</v>
      </c>
      <c r="CF71" s="51">
        <f>nonmare!$BO436</f>
        <v>0.63309387193651945</v>
      </c>
      <c r="CG71" s="51">
        <f t="shared" si="196"/>
        <v>1.5621877409483682</v>
      </c>
      <c r="CH71" s="51">
        <f t="shared" si="197"/>
        <v>1.61870125267908</v>
      </c>
      <c r="CI71" s="51">
        <f>nonhighlands!$AR30</f>
        <v>3.5875190188420079</v>
      </c>
      <c r="CJ71" s="51">
        <f>nonmare!$BO470</f>
        <v>1.4313010759193558</v>
      </c>
      <c r="CK71" s="51">
        <f>nonmare!$BO485</f>
        <v>1.3941811189749151</v>
      </c>
      <c r="CL71" s="51"/>
      <c r="CM71" s="51"/>
      <c r="CN71" s="51" t="e">
        <f>nonhighlands!$AR176</f>
        <v>#DIV/0!</v>
      </c>
      <c r="CO71" s="51" t="e">
        <f>nonhighlands!$AR386</f>
        <v>#DIV/0!</v>
      </c>
      <c r="CP71" s="51">
        <f>nonmare!$BO607</f>
        <v>1.3295188638670343</v>
      </c>
      <c r="CQ71" s="51">
        <f>nonmare!$BO612</f>
        <v>2.6310578892519949</v>
      </c>
      <c r="CR71" s="51">
        <f>nonmare!$BO627</f>
        <v>1.3518960956151869</v>
      </c>
      <c r="CS71" s="51">
        <f>nonmare!$BO480</f>
        <v>1.0706670285769397</v>
      </c>
      <c r="CT71" s="51">
        <f>nonmare!$BO501</f>
        <v>1.3977689988624</v>
      </c>
      <c r="CU71" s="51" t="e">
        <f>nonmare!$BO561</f>
        <v>#DIV/0!</v>
      </c>
      <c r="CV71" s="51">
        <f>nonmare!$BO301</f>
        <v>86.676283155614627</v>
      </c>
      <c r="CW71" s="51">
        <f>nonmare!$BO307</f>
        <v>25.3</v>
      </c>
      <c r="CX71" s="51" t="e">
        <f>nonmare!$BO537</f>
        <v>#DIV/0!</v>
      </c>
      <c r="CY71" s="51" t="e">
        <f>nonmare!$BO543</f>
        <v>#DIV/0!</v>
      </c>
      <c r="CZ71" s="51">
        <f>nonmare!$BO555</f>
        <v>0.65929017188822148</v>
      </c>
      <c r="DA71" s="51">
        <f>nonmare!$BO549</f>
        <v>1.4476088771332243</v>
      </c>
      <c r="DE71"/>
      <c r="DN71" s="111"/>
      <c r="DO71" s="111"/>
      <c r="DP71" s="111"/>
      <c r="DQ71" s="111"/>
      <c r="DR71" s="111"/>
      <c r="DV71" s="51">
        <f>nonmare!$BO328</f>
        <v>0.39895369142463649</v>
      </c>
      <c r="DW71" s="51">
        <f>nonmare!$BO334</f>
        <v>0.35676274197662766</v>
      </c>
      <c r="DX71" s="51">
        <f>nonmare!$BO340</f>
        <v>0.37932056132334052</v>
      </c>
      <c r="DY71" s="51"/>
      <c r="DZ71" s="51">
        <f>nonmare!$BO366</f>
        <v>0</v>
      </c>
      <c r="EA71" s="51">
        <f>nonmare!$BO374</f>
        <v>0</v>
      </c>
      <c r="EB71" s="51"/>
      <c r="EC71" s="51">
        <f>nonmare!$BO358</f>
        <v>0.3904817637452368</v>
      </c>
      <c r="ED71" s="51"/>
      <c r="EE71" s="51"/>
      <c r="EF71" s="51">
        <f>nonmare!$BO400</f>
        <v>0</v>
      </c>
      <c r="EG71" s="51"/>
      <c r="EH71" s="51">
        <f>nonmare!$BO405</f>
        <v>0</v>
      </c>
      <c r="EI71" s="51"/>
      <c r="EJ71" s="51">
        <f>nonmare!$BO416</f>
        <v>0</v>
      </c>
      <c r="EK71" s="51"/>
      <c r="EL71" s="51">
        <f>nonmare!$BO426</f>
        <v>1.5134239783037453</v>
      </c>
      <c r="EM71" s="51">
        <f>nonmare!$BO431</f>
        <v>1.5806366978155839</v>
      </c>
      <c r="EQ71" s="51">
        <f>nonmare!$BO179</f>
        <v>1.7908929193309102</v>
      </c>
      <c r="ER71" s="51">
        <f>nonmare!$BO186</f>
        <v>2.069168329567288</v>
      </c>
      <c r="ES71" s="51">
        <f>nonmare!$BO192</f>
        <v>1.6306439991837725</v>
      </c>
      <c r="ET71" s="51">
        <f>nonmare!$BO243</f>
        <v>0.5734226077214547</v>
      </c>
      <c r="EU71" s="51">
        <f>nonmare!$BO249</f>
        <v>0</v>
      </c>
      <c r="EV71" s="51">
        <f>nonmare!$BO254</f>
        <v>0.39555862946810744</v>
      </c>
      <c r="EW71" s="51"/>
      <c r="EX71" s="51"/>
      <c r="EY71" s="51"/>
      <c r="FC71"/>
      <c r="FD71" s="391">
        <v>86.676283155614627</v>
      </c>
      <c r="FE71" s="33"/>
      <c r="FH71" s="51">
        <f>nonmare!$BO447</f>
        <v>0.6593250218903498</v>
      </c>
      <c r="FI71" s="392">
        <f t="shared" si="198"/>
        <v>0.6593250218903498</v>
      </c>
      <c r="FJ71" s="392">
        <f t="shared" si="199"/>
        <v>0.78563222287197054</v>
      </c>
    </row>
    <row r="72" spans="1:166" s="391" customFormat="1" ht="11.1" customHeight="1" x14ac:dyDescent="0.2">
      <c r="A72" s="390" t="s">
        <v>175</v>
      </c>
      <c r="B72" s="51">
        <f>nonmare!$BP11</f>
        <v>0.21142388110035171</v>
      </c>
      <c r="C72" s="51">
        <f>nonmare!$BP131</f>
        <v>0.31764563707017401</v>
      </c>
      <c r="D72" s="51">
        <f>nonmare!$BP31</f>
        <v>0.49015579971181555</v>
      </c>
      <c r="E72" s="51">
        <f>nonmare!$BP577</f>
        <v>0.2492012059247608</v>
      </c>
      <c r="F72" s="51">
        <f>nonmare!$BP583</f>
        <v>0.18278852026507675</v>
      </c>
      <c r="G72" s="51">
        <f>nonmare!$BP589</f>
        <v>0.97643569964397448</v>
      </c>
      <c r="H72" s="51">
        <f>nonmare!$BP595</f>
        <v>0.20219021739130436</v>
      </c>
      <c r="I72" s="51">
        <f>nonmare!$BP601</f>
        <v>0.61273337833277097</v>
      </c>
      <c r="J72" s="51">
        <f t="shared" si="191"/>
        <v>0.40746179786203768</v>
      </c>
      <c r="K72" s="51">
        <f>nonmare!$BP294</f>
        <v>0.31066485679747696</v>
      </c>
      <c r="L72" s="51">
        <f>nonmare!$BP114</f>
        <v>0.25133997357332194</v>
      </c>
      <c r="M72" s="51">
        <f>nonmare!$BP84</f>
        <v>0.14212174120370369</v>
      </c>
      <c r="N72" s="51">
        <f>nonmare!$BP525</f>
        <v>0.14209273271159598</v>
      </c>
      <c r="O72" s="51">
        <f>nonmare!$BP531</f>
        <v>0.24643541991219378</v>
      </c>
      <c r="P72" s="51"/>
      <c r="Q72" s="51">
        <f>nonmare!$BP283</f>
        <v>0.91079034676663539</v>
      </c>
      <c r="R72" s="51">
        <f>nonhighlands!$AS94</f>
        <v>0.73106438315830813</v>
      </c>
      <c r="S72" s="51">
        <f>nonhighlands!$AS83</f>
        <v>0.59790423734905118</v>
      </c>
      <c r="T72" s="51">
        <f t="shared" si="202"/>
        <v>0.64676304548033103</v>
      </c>
      <c r="U72" s="51">
        <f>nonhighlands!$AS105</f>
        <v>0.65080000000000005</v>
      </c>
      <c r="V72" s="51">
        <f>nonhighlands!$AS293</f>
        <v>0.87837320952698206</v>
      </c>
      <c r="W72" s="51">
        <f>nonhighlands!$AS47</f>
        <v>0.76656946981079876</v>
      </c>
      <c r="X72" s="51">
        <f>nonhighlands!$AS64</f>
        <v>0.73577492057188243</v>
      </c>
      <c r="Y72" s="38">
        <f t="shared" si="192"/>
        <v>0.74707398429406158</v>
      </c>
      <c r="Z72" s="51">
        <f>nonhighlands!$AS210</f>
        <v>1.0722541201488569</v>
      </c>
      <c r="AA72" s="51">
        <f>nonhighlands!$AS196</f>
        <v>0.81719123020706463</v>
      </c>
      <c r="AB72" s="51">
        <f>nonhighlands!$AS334</f>
        <v>0.56343927889885903</v>
      </c>
      <c r="AC72" s="51">
        <f>nonhighlands!$AS159</f>
        <v>1.8151770198640218</v>
      </c>
      <c r="AE72" s="51">
        <f>nonhighlands!$AS12</f>
        <v>1.7946992872705787</v>
      </c>
      <c r="AI72" s="51">
        <f>nonmare!$BP157</f>
        <v>0.22968727920904281</v>
      </c>
      <c r="AJ72" s="51">
        <f>nonmare!$BP170</f>
        <v>0.20747613329212719</v>
      </c>
      <c r="AK72" s="51">
        <f>nonmare!$BP490</f>
        <v>0.17629182564250234</v>
      </c>
      <c r="AL72" s="51">
        <f>nonhighlands!$AS342</f>
        <v>0.18585854779758093</v>
      </c>
      <c r="AM72" s="51">
        <f>nonmare!$BP441</f>
        <v>0.17870503670996563</v>
      </c>
      <c r="AN72" s="51">
        <f>nonhighlands!$AS303</f>
        <v>0.46407466416744769</v>
      </c>
      <c r="AO72" s="51">
        <f>nonhighlands!$AS308</f>
        <v>0.9449005367856016</v>
      </c>
      <c r="AP72" s="51">
        <f>nonhighlands!$AS119</f>
        <v>1.624524785727355</v>
      </c>
      <c r="AQ72" s="51">
        <f>nonmare!$BP265</f>
        <v>0.16635168465424974</v>
      </c>
      <c r="AR72" s="51">
        <f>nonmare!$BP274</f>
        <v>0.25549243973580987</v>
      </c>
      <c r="AS72" s="51">
        <f>nonhighlands!$AS232</f>
        <v>1.0769555663696939</v>
      </c>
      <c r="AT72" s="51">
        <f>nonhighlands!$AS313</f>
        <v>0.86384418832227894</v>
      </c>
      <c r="AU72" s="51">
        <f>nonmare!$BP475</f>
        <v>9.0212936922458811E-2</v>
      </c>
      <c r="AV72" s="51">
        <f>nonhighlands!$AS298</f>
        <v>0.82154308808830556</v>
      </c>
      <c r="AW72" s="51">
        <f>nonmare!$BP463</f>
        <v>0.11330853575921807</v>
      </c>
      <c r="AX72" s="51">
        <f>nonhighlands!$AS347</f>
        <v>3.5391779508687833</v>
      </c>
      <c r="AY72" s="51">
        <f>nonhighlands!$AS366</f>
        <v>1.7168534605406309</v>
      </c>
      <c r="AZ72" s="51">
        <f>nonmare!$BP513</f>
        <v>0.70713190607734822</v>
      </c>
      <c r="BA72" s="51">
        <f>nonhighlands!$AS380</f>
        <v>0.63842302809515927</v>
      </c>
      <c r="BB72" s="51">
        <f>nonhighlands!$AS374</f>
        <v>1.0614182257091129</v>
      </c>
      <c r="BC72" s="51">
        <f>nonmare!$BP507</f>
        <v>0.27753180975911051</v>
      </c>
      <c r="BD72" s="51">
        <f>nonmare!$BP519</f>
        <v>1.1514265610622982</v>
      </c>
      <c r="BE72" s="51">
        <f>nonmare!$BP566</f>
        <v>0.44398981206726013</v>
      </c>
      <c r="BF72" s="51">
        <f>nonhighlands!$AS319</f>
        <v>0.90305089868840061</v>
      </c>
      <c r="BG72" s="51">
        <f>nonhighlands!$AS324</f>
        <v>0.77312444514278977</v>
      </c>
      <c r="BH72" s="51">
        <f>nonmare!$BP572</f>
        <v>9.8000000000000004E-2</v>
      </c>
      <c r="BI72" s="51">
        <f>nonmare!$BP622</f>
        <v>0.34364037936858516</v>
      </c>
      <c r="BJ72" s="51">
        <f>nonmare!$BP627</f>
        <v>0.24304999435092081</v>
      </c>
      <c r="BK72" s="51">
        <f>nonmare!$BP632</f>
        <v>0.30879851963367205</v>
      </c>
      <c r="BL72" s="51">
        <f>nonmare!$BP637</f>
        <v>0.44478963414634148</v>
      </c>
      <c r="BM72" s="51">
        <f>nonmare!$BP642</f>
        <v>1.0777369465062707</v>
      </c>
      <c r="BN72" s="51">
        <f>nonhighlands!$AS252</f>
        <v>0.9836985324092945</v>
      </c>
      <c r="BO72" s="51">
        <f>nonhighlands!$AS257</f>
        <v>0.92988024433370831</v>
      </c>
      <c r="BP72" s="38">
        <f t="shared" si="193"/>
        <v>0.9567893883715014</v>
      </c>
      <c r="BQ72" s="51">
        <f>nonhighlands!$AS219</f>
        <v>1.3745913607787466</v>
      </c>
      <c r="BR72" s="51">
        <f>nonhighlands!$AS227</f>
        <v>0.82527540581534187</v>
      </c>
      <c r="BS72"/>
      <c r="BT72" s="51">
        <f>nonhighlands!$AS237</f>
        <v>0.6761450091510629</v>
      </c>
      <c r="BU72" s="51">
        <f>nonhighlands!$AS267</f>
        <v>0.75800000000000001</v>
      </c>
      <c r="BV72" s="39">
        <f t="shared" si="194"/>
        <v>0.75314013832213489</v>
      </c>
      <c r="BW72" s="51">
        <f>nonhighlands!$AS352</f>
        <v>0.37861949753059909</v>
      </c>
      <c r="BX72" s="6"/>
      <c r="BY72" s="6"/>
      <c r="BZ72" s="51">
        <f>nonmare!$BP194</f>
        <v>0.3196462597281941</v>
      </c>
      <c r="CA72" s="51">
        <f>nonmare!$BP235</f>
        <v>0.25084074190978184</v>
      </c>
      <c r="CB72" s="51">
        <f t="shared" si="195"/>
        <v>0.11687700377636991</v>
      </c>
      <c r="CC72" s="51">
        <f>nonhighlands!$AS275</f>
        <v>1.342410595688158</v>
      </c>
      <c r="CD72" s="51">
        <f>nonmare!$BP322</f>
        <v>0.20206098685727461</v>
      </c>
      <c r="CE72" s="51">
        <f t="shared" si="200"/>
        <v>6.6795198016050897E-2</v>
      </c>
      <c r="CF72" s="51">
        <f>nonmare!$BP436</f>
        <v>0.13948234552332914</v>
      </c>
      <c r="CG72" s="51">
        <f t="shared" si="196"/>
        <v>0.27536335300537373</v>
      </c>
      <c r="CH72" s="51">
        <f t="shared" si="197"/>
        <v>0.28532486382278044</v>
      </c>
      <c r="CI72" s="51">
        <f>nonhighlands!$AS30</f>
        <v>0.64355289370179281</v>
      </c>
      <c r="CJ72" s="51">
        <f>nonmare!$BP470</f>
        <v>0.27584506665477732</v>
      </c>
      <c r="CK72" s="51">
        <f>nonmare!$BP485</f>
        <v>0.24992765071963935</v>
      </c>
      <c r="CL72" s="51">
        <f>nonhighlands!$AS176</f>
        <v>0.46530588048483562</v>
      </c>
      <c r="CM72" s="51">
        <f>nonhighlands!$AS164</f>
        <v>1.551682052886872</v>
      </c>
      <c r="CN72" s="514" t="e">
        <f>(CL72*#REF!+#REF!*#REF!+CM72*#REF!)/#REF!</f>
        <v>#REF!</v>
      </c>
      <c r="CO72" s="51">
        <f>nonhighlands!$AS386</f>
        <v>7.6882366963236537</v>
      </c>
      <c r="CP72" s="51">
        <f>nonmare!$BP607</f>
        <v>0.24359547021757225</v>
      </c>
      <c r="CQ72" s="51">
        <f>nonmare!$BP612</f>
        <v>0.48584002293577983</v>
      </c>
      <c r="CR72" s="51">
        <f>nonmare!$BP627</f>
        <v>0.24304999435092081</v>
      </c>
      <c r="CS72" s="51">
        <f>nonmare!$BP480</f>
        <v>0.19551466084986788</v>
      </c>
      <c r="CT72" s="51">
        <f>nonmare!$BP501</f>
        <v>0.25577236279679261</v>
      </c>
      <c r="CU72" s="51">
        <f>nonmare!$BP561</f>
        <v>0.41834129059468578</v>
      </c>
      <c r="CV72" s="51">
        <f>nonmare!$BP301</f>
        <v>15.148285597798388</v>
      </c>
      <c r="CW72" s="51">
        <f>nonmare!$BP307</f>
        <v>4.8027813091695979</v>
      </c>
      <c r="CX72" s="51">
        <f>nonmare!$BP537</f>
        <v>0.17643049932523616</v>
      </c>
      <c r="CY72" s="51">
        <f>nonmare!$BP543</f>
        <v>0.15409202136825778</v>
      </c>
      <c r="CZ72" s="51">
        <f>nonmare!$BP555</f>
        <v>0.1190637406863545</v>
      </c>
      <c r="DA72" s="51">
        <f>nonmare!$BP549</f>
        <v>0.25427675936317912</v>
      </c>
      <c r="DE72"/>
      <c r="DN72" s="111"/>
      <c r="DO72" s="111"/>
      <c r="DP72" s="111"/>
      <c r="DQ72" s="111"/>
      <c r="DR72" s="111"/>
      <c r="DV72" s="51">
        <f>nonmare!$BP328</f>
        <v>7.4062453531598516E-2</v>
      </c>
      <c r="DW72" s="51">
        <f>nonmare!$BP334</f>
        <v>6.4932852924986253E-2</v>
      </c>
      <c r="DX72" s="51">
        <f>nonmare!$BP340</f>
        <v>6.877214465552757E-2</v>
      </c>
      <c r="DY72" s="51"/>
      <c r="DZ72" s="51">
        <f>nonmare!$BP366</f>
        <v>6.9459093034128089E-2</v>
      </c>
      <c r="EA72" s="51">
        <f>nonmare!$BP374</f>
        <v>6.2119417962870044E-2</v>
      </c>
      <c r="EB72" s="51"/>
      <c r="EC72" s="51">
        <f>nonmare!$BP358</f>
        <v>6.4030944878892007E-2</v>
      </c>
      <c r="ED72" s="51"/>
      <c r="EE72" s="51"/>
      <c r="EF72" s="51">
        <f>nonmare!$BP400</f>
        <v>6.9462255927475597E-2</v>
      </c>
      <c r="EG72" s="51"/>
      <c r="EH72" s="51">
        <f>nonmare!$BP405</f>
        <v>6.5444293336123019E-2</v>
      </c>
      <c r="EI72" s="51"/>
      <c r="EJ72" s="51">
        <f>nonmare!$BP416</f>
        <v>6.2873325892857143E-2</v>
      </c>
      <c r="EK72" s="51"/>
      <c r="EL72" s="51">
        <f>nonmare!$BP426</f>
        <v>0.265206973898858</v>
      </c>
      <c r="EM72" s="51">
        <f>nonmare!$BP431</f>
        <v>0.27920584976733887</v>
      </c>
      <c r="EQ72" s="51">
        <f>nonmare!$BP179</f>
        <v>0.31883724011880282</v>
      </c>
      <c r="ER72" s="51">
        <f>nonmare!$BP186</f>
        <v>0.3678666341701195</v>
      </c>
      <c r="ES72" s="51">
        <f>nonmare!$BP192</f>
        <v>0.29071840474265692</v>
      </c>
      <c r="ET72" s="51">
        <f>nonmare!$BP243</f>
        <v>0.10629052581527124</v>
      </c>
      <c r="EU72" s="51">
        <f>nonmare!$BP249</f>
        <v>0.1732908067035604</v>
      </c>
      <c r="EV72" s="51">
        <f>nonmare!$BP254</f>
        <v>7.1049678810278086E-2</v>
      </c>
      <c r="EW72" s="51"/>
      <c r="EX72" s="51"/>
      <c r="EY72" s="51"/>
      <c r="FC72">
        <v>3.6299999999999999E-2</v>
      </c>
      <c r="FD72" s="391">
        <v>15.148285597798388</v>
      </c>
      <c r="FE72" s="33">
        <f t="shared" si="201"/>
        <v>417.30814319003827</v>
      </c>
      <c r="FH72" s="51">
        <f>nonmare!$BP447</f>
        <v>0.12283160076320809</v>
      </c>
      <c r="FI72" s="392">
        <f t="shared" si="198"/>
        <v>0.12283160076320809</v>
      </c>
      <c r="FJ72" s="392">
        <f t="shared" si="199"/>
        <v>0.14636250762915878</v>
      </c>
    </row>
    <row r="73" spans="1:166" s="391" customFormat="1" ht="11.1" customHeight="1" x14ac:dyDescent="0.2">
      <c r="A73" s="393" t="s">
        <v>314</v>
      </c>
      <c r="B73" s="51">
        <f>nonmare!$BQ11</f>
        <v>1.3496290167791856</v>
      </c>
      <c r="C73" s="51">
        <f>nonmare!$BQ131</f>
        <v>2.0725807365832778</v>
      </c>
      <c r="D73" s="51">
        <f>nonmare!$BQ31</f>
        <v>1.6845259015909846</v>
      </c>
      <c r="E73" s="51">
        <f>nonmare!$BQ577</f>
        <v>1.6391981174431995</v>
      </c>
      <c r="F73" s="51">
        <f>nonmare!$BQ583</f>
        <v>1.203285061741219</v>
      </c>
      <c r="G73" s="51">
        <f>nonmare!$BQ589</f>
        <v>6.2526225479162711</v>
      </c>
      <c r="H73" s="51">
        <f>nonmare!$BQ595</f>
        <v>1.3461935536336618</v>
      </c>
      <c r="I73" s="51">
        <f>nonmare!$BQ601</f>
        <v>3.994394125625413</v>
      </c>
      <c r="J73" s="51">
        <f t="shared" si="191"/>
        <v>2.6702938396295375</v>
      </c>
      <c r="K73" s="51">
        <f>nonmare!$BQ294</f>
        <v>1.8415238006871635</v>
      </c>
      <c r="L73" s="51">
        <f>nonmare!$BQ114</f>
        <v>1.6531145768436357</v>
      </c>
      <c r="M73" s="51">
        <f>nonmare!$BQ84</f>
        <v>0.95881087671737419</v>
      </c>
      <c r="N73" s="51">
        <f>nonmare!$BQ525</f>
        <v>0.95329316154503629</v>
      </c>
      <c r="O73" s="51">
        <f>nonmare!$BQ531</f>
        <v>1.6381986129847907</v>
      </c>
      <c r="P73" s="51"/>
      <c r="Q73" s="51">
        <f>nonmare!$BQ283</f>
        <v>5.863713566747859</v>
      </c>
      <c r="R73" s="51">
        <f>nonhighlands!$AT94</f>
        <v>4.9054199275795174</v>
      </c>
      <c r="S73" s="51">
        <f>nonhighlands!$AT83</f>
        <v>3.9886725156467859</v>
      </c>
      <c r="T73" s="51">
        <f t="shared" si="202"/>
        <v>4.3250433241365052</v>
      </c>
      <c r="U73" s="51">
        <f>nonhighlands!$AT105</f>
        <v>4.2114487833129859</v>
      </c>
      <c r="V73" s="51">
        <f>nonhighlands!$AT293</f>
        <v>5.6782310566070402</v>
      </c>
      <c r="W73" s="51">
        <f>nonhighlands!$AT47</f>
        <v>4.9394715856487785</v>
      </c>
      <c r="X73" s="51">
        <f>nonhighlands!$AT64</f>
        <v>4.7406803007242058</v>
      </c>
      <c r="Y73" s="38">
        <f t="shared" si="192"/>
        <v>4.813620332362599</v>
      </c>
      <c r="Z73" s="51">
        <f>nonhighlands!$AT210</f>
        <v>7.1022634349338674</v>
      </c>
      <c r="AA73" s="51">
        <f>nonhighlands!$AT196</f>
        <v>0</v>
      </c>
      <c r="AB73" s="51">
        <f>nonhighlands!$AT334</f>
        <v>3.8871625700849632</v>
      </c>
      <c r="AC73" s="51">
        <f>nonhighlands!$AT159</f>
        <v>11.558292398097468</v>
      </c>
      <c r="AE73" s="51">
        <f>nonhighlands!$AT12</f>
        <v>12.541504525076382</v>
      </c>
      <c r="AI73" s="51">
        <f>nonmare!$BQ157</f>
        <v>1.6172093429266217</v>
      </c>
      <c r="AJ73" s="51">
        <f>nonmare!$BQ170</f>
        <v>1.3075810641824015</v>
      </c>
      <c r="AK73" s="51">
        <f>nonmare!$BQ490</f>
        <v>1.1851850841236438</v>
      </c>
      <c r="AL73" s="51">
        <f>nonhighlands!$AT342</f>
        <v>1.2003065253967962</v>
      </c>
      <c r="AM73" s="51">
        <f>nonmare!$BQ441</f>
        <v>1.1823236478499997</v>
      </c>
      <c r="AN73" s="51">
        <f>nonhighlands!$AT303</f>
        <v>2.950775864979402</v>
      </c>
      <c r="AO73" s="51">
        <f>nonhighlands!$AT308</f>
        <v>5.9412085844755911</v>
      </c>
      <c r="AP73" s="51">
        <f>nonhighlands!$AT119</f>
        <v>10.430306908449058</v>
      </c>
      <c r="AQ73" s="51">
        <f>nonmare!$BQ265</f>
        <v>1.1892766159204915</v>
      </c>
      <c r="AR73" s="51">
        <f>nonmare!$BQ274</f>
        <v>1.5793978878263406</v>
      </c>
      <c r="AS73" s="51">
        <f>nonhighlands!$AT232</f>
        <v>6.9467273520416395</v>
      </c>
      <c r="AT73" s="51" t="e">
        <f>nonhighlands!$AT313</f>
        <v>#DIV/0!</v>
      </c>
      <c r="AU73" s="51">
        <f>nonmare!$BQ475</f>
        <v>0.59984412760566341</v>
      </c>
      <c r="AV73" s="51">
        <f>nonhighlands!$AT298</f>
        <v>5.5295091006575614</v>
      </c>
      <c r="AW73" s="51">
        <f>nonmare!$BQ463</f>
        <v>0.76137610973614256</v>
      </c>
      <c r="AX73" s="51">
        <f>nonhighlands!$AT347</f>
        <v>22.663517435181014</v>
      </c>
      <c r="AY73" s="51">
        <f>nonhighlands!$AT366</f>
        <v>11.329016724289689</v>
      </c>
      <c r="AZ73" s="51">
        <f>nonmare!$BQ513</f>
        <v>4.6250071602801039</v>
      </c>
      <c r="BA73" s="51">
        <f>nonhighlands!$AT380</f>
        <v>4.1446461397366683</v>
      </c>
      <c r="BB73" s="51">
        <f>nonhighlands!$AT374</f>
        <v>6.7802737187340476</v>
      </c>
      <c r="BC73" s="51">
        <f>nonmare!$BQ507</f>
        <v>1.8810662614514617</v>
      </c>
      <c r="BD73" s="51">
        <f>nonmare!$BQ519</f>
        <v>7.3923090522158565</v>
      </c>
      <c r="BE73" s="51">
        <f>nonmare!$BQ566</f>
        <v>2.8925342662188349</v>
      </c>
      <c r="BF73" s="51" t="e">
        <f>nonhighlands!$AT319</f>
        <v>#DIV/0!</v>
      </c>
      <c r="BG73" s="51" t="e">
        <f>nonhighlands!$AT324</f>
        <v>#DIV/0!</v>
      </c>
      <c r="BH73" s="51">
        <f>nonmare!$BQ572</f>
        <v>0.67427051463687526</v>
      </c>
      <c r="BI73" s="51">
        <f>nonmare!$BQ622</f>
        <v>2.2617570487057974</v>
      </c>
      <c r="BJ73" s="51">
        <f>nonmare!$BQ627</f>
        <v>1.5590453716782273</v>
      </c>
      <c r="BK73" s="51">
        <f>nonmare!$BQ632</f>
        <v>2.0637299809724023</v>
      </c>
      <c r="BL73" s="51">
        <f>nonmare!$BQ637</f>
        <v>2.9319802226487393</v>
      </c>
      <c r="BM73" s="51">
        <f>nonmare!$BQ642</f>
        <v>6.8641392627172291</v>
      </c>
      <c r="BN73" s="51">
        <f>nonhighlands!$AT252</f>
        <v>6.2342182330357341</v>
      </c>
      <c r="BO73" s="51">
        <f>nonhighlands!$AT257</f>
        <v>5.8294138297030749</v>
      </c>
      <c r="BP73" s="38">
        <f t="shared" si="193"/>
        <v>6.031816031369404</v>
      </c>
      <c r="BQ73" s="51">
        <f>nonhighlands!$AT219</f>
        <v>8.8459668776608922</v>
      </c>
      <c r="BR73" s="51">
        <f>nonhighlands!$AT227</f>
        <v>5.2739312520494224</v>
      </c>
      <c r="BS73"/>
      <c r="BT73" s="51">
        <f>nonhighlands!$AT237</f>
        <v>4.3471719037917271</v>
      </c>
      <c r="BU73" s="51">
        <f>nonhighlands!$AT267</f>
        <v>4.927718157882536</v>
      </c>
      <c r="BV73" s="39">
        <f t="shared" si="194"/>
        <v>4.8496071045745621</v>
      </c>
      <c r="BW73" s="51">
        <f>nonhighlands!$AT352</f>
        <v>2.7106921980818086</v>
      </c>
      <c r="BX73" s="6"/>
      <c r="BY73" s="6"/>
      <c r="BZ73" s="51">
        <f>nonmare!$BQ194</f>
        <v>2.0279342603257948</v>
      </c>
      <c r="CA73" s="51">
        <f>nonmare!$BQ235</f>
        <v>1.5727870762494944</v>
      </c>
      <c r="CB73" s="51">
        <f t="shared" si="195"/>
        <v>0.38816197430756044</v>
      </c>
      <c r="CC73" s="51">
        <f>nonhighlands!$AT275</f>
        <v>8.0989083857157986</v>
      </c>
      <c r="CD73" s="51">
        <f>nonmare!$BQ322</f>
        <v>1.3230482334033504</v>
      </c>
      <c r="CE73" s="51">
        <f t="shared" si="200"/>
        <v>0.14256117087718628</v>
      </c>
      <c r="CF73" s="51">
        <f>nonmare!$BQ436</f>
        <v>0.70112059133339455</v>
      </c>
      <c r="CG73" s="51">
        <f t="shared" si="196"/>
        <v>1.7833579122365817</v>
      </c>
      <c r="CH73" s="51">
        <f t="shared" si="197"/>
        <v>1.8478724489029983</v>
      </c>
      <c r="CI73" s="51">
        <f>nonhighlands!$AT30</f>
        <v>4.1457913498845205</v>
      </c>
      <c r="CJ73" s="51">
        <f>nonmare!$BQ470</f>
        <v>1.6834802986672646</v>
      </c>
      <c r="CK73" s="51">
        <f>nonmare!$BQ485</f>
        <v>1.6571001667961489</v>
      </c>
      <c r="CL73" s="51"/>
      <c r="CM73" s="51"/>
      <c r="CN73" s="51" t="e">
        <f>nonhighlands!$AT176</f>
        <v>#DIV/0!</v>
      </c>
      <c r="CO73" s="51" t="e">
        <f>nonhighlands!$AT386</f>
        <v>#DIV/0!</v>
      </c>
      <c r="CP73" s="51">
        <f>nonmare!$BQ607</f>
        <v>1.6828747104151647</v>
      </c>
      <c r="CQ73" s="51">
        <f>nonmare!$BQ612</f>
        <v>3.3596231385153148</v>
      </c>
      <c r="CR73" s="51">
        <f>nonmare!$BQ627</f>
        <v>1.5590453716782273</v>
      </c>
      <c r="CS73" s="51" t="e">
        <f>nonmare!$BQ480</f>
        <v>#DIV/0!</v>
      </c>
      <c r="CT73" s="51">
        <f>nonmare!$BQ501</f>
        <v>1.9653794144416588</v>
      </c>
      <c r="CU73" s="51">
        <f>nonmare!$BQ561</f>
        <v>2.7976791507367791</v>
      </c>
      <c r="CV73" s="51">
        <f>nonmare!$BQ301</f>
        <v>94.451065498855513</v>
      </c>
      <c r="CW73" s="51">
        <f>nonmare!$BQ307</f>
        <v>30.7</v>
      </c>
      <c r="CX73" s="51">
        <f>nonmare!$BQ537</f>
        <v>1.1797302977025694</v>
      </c>
      <c r="CY73" s="51">
        <f>nonmare!$BQ543</f>
        <v>1.0321087967663851</v>
      </c>
      <c r="CZ73" s="51">
        <f>nonmare!$BQ555</f>
        <v>0.79071767189568187</v>
      </c>
      <c r="DA73" s="51">
        <f>nonmare!$BQ549</f>
        <v>1.6741511952869095</v>
      </c>
      <c r="DE73"/>
      <c r="DN73" s="111"/>
      <c r="DO73" s="111"/>
      <c r="DP73" s="111"/>
      <c r="DQ73" s="111"/>
      <c r="DR73" s="111"/>
      <c r="DV73" s="51">
        <f>nonmare!$BQ328</f>
        <v>0</v>
      </c>
      <c r="DW73" s="51">
        <f>nonmare!$BQ334</f>
        <v>0.43160734999263217</v>
      </c>
      <c r="DX73" s="51">
        <f>nonmare!$BQ340</f>
        <v>0.46014805896221622</v>
      </c>
      <c r="DY73" s="51"/>
      <c r="DZ73" s="51">
        <f>nonmare!$BQ366</f>
        <v>0</v>
      </c>
      <c r="EA73" s="51">
        <f>nonmare!$BQ374</f>
        <v>0</v>
      </c>
      <c r="EB73" s="51"/>
      <c r="EC73" s="51">
        <f>nonmare!$BQ358</f>
        <v>0.3912951289398281</v>
      </c>
      <c r="ED73" s="51"/>
      <c r="EE73" s="51"/>
      <c r="EF73" s="51">
        <f>nonmare!$BQ400</f>
        <v>0</v>
      </c>
      <c r="EG73" s="51"/>
      <c r="EH73" s="51">
        <f>nonmare!$BQ405</f>
        <v>0</v>
      </c>
      <c r="EI73" s="51"/>
      <c r="EJ73" s="51">
        <f>nonmare!$BQ416</f>
        <v>0</v>
      </c>
      <c r="EK73" s="51"/>
      <c r="EL73" s="51">
        <f>nonmare!$BQ426</f>
        <v>1.7273726036462651</v>
      </c>
      <c r="EM73" s="51">
        <f>nonmare!$BQ431</f>
        <v>1.8045390206532517</v>
      </c>
      <c r="EQ73" s="51">
        <f>nonmare!$BQ179</f>
        <v>1.9967994784638139</v>
      </c>
      <c r="ER73" s="51">
        <f>nonmare!$BQ186</f>
        <v>2.4278212467205385</v>
      </c>
      <c r="ES73" s="51">
        <f>nonmare!$BQ192</f>
        <v>1.9216173792593523</v>
      </c>
      <c r="ET73" s="51">
        <f>nonmare!$BQ243</f>
        <v>0.68860346530914374</v>
      </c>
      <c r="EU73" s="51">
        <f>nonmare!$BQ249</f>
        <v>0</v>
      </c>
      <c r="EV73" s="51">
        <f>nonmare!$BQ254</f>
        <v>0.47588245761353776</v>
      </c>
      <c r="EW73" s="51"/>
      <c r="EX73" s="51"/>
      <c r="EY73" s="51"/>
      <c r="FC73"/>
      <c r="FD73" s="391">
        <v>94.451065498855513</v>
      </c>
      <c r="FE73" s="33"/>
      <c r="FH73" s="51">
        <f>nonmare!$BQ447</f>
        <v>0.81679130176585912</v>
      </c>
      <c r="FI73" s="392">
        <f t="shared" si="198"/>
        <v>0.81679130176585912</v>
      </c>
      <c r="FJ73" s="392">
        <f t="shared" si="199"/>
        <v>0.97326439119357588</v>
      </c>
    </row>
    <row r="74" spans="1:166" s="391" customFormat="1" ht="11.1" customHeight="1" x14ac:dyDescent="0.2">
      <c r="A74" s="393" t="s">
        <v>315</v>
      </c>
      <c r="B74" s="51">
        <f>nonmare!$BR11</f>
        <v>0.30371106450730717</v>
      </c>
      <c r="C74" s="51">
        <f>nonmare!$BR131</f>
        <v>0.4387312947109725</v>
      </c>
      <c r="D74" s="51">
        <f>nonmare!$BR31</f>
        <v>0.3760573061039692</v>
      </c>
      <c r="E74" s="51">
        <f>nonmare!$BR577</f>
        <v>0.36587221102849532</v>
      </c>
      <c r="F74" s="51">
        <f>nonmare!$BR583</f>
        <v>0.26625877637732964</v>
      </c>
      <c r="G74" s="51">
        <f>nonmare!$BR589</f>
        <v>1.3443093802614641</v>
      </c>
      <c r="H74" s="51">
        <f>nonmare!$BR595</f>
        <v>0.29781049375376456</v>
      </c>
      <c r="I74" s="51">
        <f>nonmare!$BR601</f>
        <v>0.87318992584330535</v>
      </c>
      <c r="J74" s="51">
        <f t="shared" si="191"/>
        <v>0.5855002097985349</v>
      </c>
      <c r="K74" s="51">
        <f>nonmare!$BR294</f>
        <v>0.40126000480627289</v>
      </c>
      <c r="L74" s="51">
        <f>nonmare!$BR114</f>
        <v>0.36494734599370382</v>
      </c>
      <c r="M74" s="51">
        <f>nonmare!$BR84</f>
        <v>0.21914672964679474</v>
      </c>
      <c r="N74" s="51">
        <f>nonmare!$BR525</f>
        <v>0.21343838758207256</v>
      </c>
      <c r="O74" s="51">
        <f>nonmare!$BR531</f>
        <v>0.36201690982410062</v>
      </c>
      <c r="P74" s="51"/>
      <c r="Q74" s="51">
        <f>nonmare!$BR283</f>
        <v>1.3206267191901131</v>
      </c>
      <c r="R74" s="51">
        <f>nonhighlands!$AU94</f>
        <v>0.98922088126617191</v>
      </c>
      <c r="S74" s="51">
        <f>nonhighlands!$AU83</f>
        <v>0.88960285022366903</v>
      </c>
      <c r="T74" s="51">
        <f t="shared" si="202"/>
        <v>0.92615446433870241</v>
      </c>
      <c r="U74" s="51">
        <f>nonhighlands!$AU105</f>
        <v>0.93080174414603467</v>
      </c>
      <c r="V74" s="51">
        <f>nonhighlands!$AU293</f>
        <v>1.2462231647974673</v>
      </c>
      <c r="W74" s="51">
        <f>nonhighlands!$AU47</f>
        <v>1.0839877563409219</v>
      </c>
      <c r="X74" s="51">
        <f>nonhighlands!$AU64</f>
        <v>1.039654668600809</v>
      </c>
      <c r="Y74" s="38">
        <f t="shared" si="192"/>
        <v>1.0559212610906079</v>
      </c>
      <c r="Z74" s="51">
        <f>nonhighlands!$AU210</f>
        <v>1.6301593243521977</v>
      </c>
      <c r="AA74" s="51">
        <f>nonhighlands!$AU196</f>
        <v>0</v>
      </c>
      <c r="AB74" s="51">
        <f>nonhighlands!$AU334</f>
        <v>0.87504195890458891</v>
      </c>
      <c r="AC74" s="51">
        <f>nonhighlands!$AU159</f>
        <v>2.4671091682618798</v>
      </c>
      <c r="AE74" s="51">
        <f>nonhighlands!$AU12</f>
        <v>2.4968536176576941</v>
      </c>
      <c r="AI74" s="51">
        <f>nonmare!$BR157</f>
        <v>0.31786300914850185</v>
      </c>
      <c r="AJ74" s="51">
        <f>nonmare!$BR170</f>
        <v>0.26622476883728824</v>
      </c>
      <c r="AK74" s="51">
        <f>nonmare!$BR490</f>
        <v>0.26532890516367758</v>
      </c>
      <c r="AL74" s="51">
        <f>nonhighlands!$AU342</f>
        <v>0.31232926503405062</v>
      </c>
      <c r="AM74" s="51">
        <f>nonmare!$BR441</f>
        <v>0.26763420052683062</v>
      </c>
      <c r="AN74" s="51">
        <f>nonhighlands!$AU303</f>
        <v>0.67245286107050128</v>
      </c>
      <c r="AO74" s="51">
        <f>nonhighlands!$AU308</f>
        <v>1.3277380904716658</v>
      </c>
      <c r="AP74" s="51">
        <f>nonhighlands!$AU119</f>
        <v>2.2748450796120592</v>
      </c>
      <c r="AQ74" s="51">
        <f>nonmare!$BR265</f>
        <v>0.22458244188517146</v>
      </c>
      <c r="AR74" s="51">
        <f>nonmare!$BR274</f>
        <v>0.34293326943702934</v>
      </c>
      <c r="AS74" s="51">
        <f>nonhighlands!$AU232</f>
        <v>1.5160765187264915</v>
      </c>
      <c r="AT74" s="51" t="e">
        <f>nonhighlands!$AU313</f>
        <v>#DIV/0!</v>
      </c>
      <c r="AU74" s="51">
        <f>nonmare!$BR475</f>
        <v>0.13393015498859095</v>
      </c>
      <c r="AV74" s="51">
        <f>nonhighlands!$AU298</f>
        <v>1.2373757186651178</v>
      </c>
      <c r="AW74" s="51">
        <f>nonmare!$BR463</f>
        <v>0.1745334459251319</v>
      </c>
      <c r="AX74" s="51">
        <f>nonhighlands!$AU347</f>
        <v>4.9318066539016039</v>
      </c>
      <c r="AY74" s="51">
        <f>nonhighlands!$AU366</f>
        <v>2.4276912647094679</v>
      </c>
      <c r="AZ74" s="51">
        <f>nonmare!$BR513</f>
        <v>1.0194868565589963</v>
      </c>
      <c r="BA74" s="51">
        <f>nonhighlands!$AU380</f>
        <v>0.90914720126519333</v>
      </c>
      <c r="BB74" s="51">
        <f>nonhighlands!$AU374</f>
        <v>1.5049220035344384</v>
      </c>
      <c r="BC74" s="51">
        <f>nonmare!$BR507</f>
        <v>0.43105988134392081</v>
      </c>
      <c r="BD74" s="51">
        <f>nonmare!$BR519</f>
        <v>1.5907290208830043</v>
      </c>
      <c r="BE74" s="51">
        <f>nonmare!$BR566</f>
        <v>0.6311758908587678</v>
      </c>
      <c r="BF74" s="51" t="e">
        <f>nonhighlands!$AU319</f>
        <v>#DIV/0!</v>
      </c>
      <c r="BG74" s="51" t="e">
        <f>nonhighlands!$AU324</f>
        <v>#DIV/0!</v>
      </c>
      <c r="BH74" s="51">
        <f>nonmare!$BR572</f>
        <v>0.15204660771434517</v>
      </c>
      <c r="BI74" s="51">
        <f>nonmare!$BR622</f>
        <v>0.50029937654961376</v>
      </c>
      <c r="BJ74" s="51">
        <f>nonmare!$BR627</f>
        <v>0.34409953502198709</v>
      </c>
      <c r="BK74" s="51">
        <f>nonmare!$BR632</f>
        <v>0.45718821069260274</v>
      </c>
      <c r="BL74" s="51">
        <f>nonmare!$BR637</f>
        <v>0.64650150433764231</v>
      </c>
      <c r="BM74" s="51">
        <f>nonmare!$BR642</f>
        <v>1.4701265525727019</v>
      </c>
      <c r="BN74" s="51">
        <f>nonhighlands!$AU252</f>
        <v>1.3469904524134304</v>
      </c>
      <c r="BO74" s="51">
        <f>nonhighlands!$AU257</f>
        <v>1.2505062169309511</v>
      </c>
      <c r="BP74" s="38">
        <f t="shared" si="193"/>
        <v>1.2987483346721906</v>
      </c>
      <c r="BQ74" s="51">
        <f>nonhighlands!$AU219</f>
        <v>1.9378440468847817</v>
      </c>
      <c r="BR74" s="51">
        <f>nonhighlands!$AU227</f>
        <v>1.1432736559201286</v>
      </c>
      <c r="BS74"/>
      <c r="BT74" s="51">
        <f>nonhighlands!$AU237</f>
        <v>0.95410230155280407</v>
      </c>
      <c r="BU74" s="51">
        <f>nonhighlands!$AU267</f>
        <v>1.0756606021578352</v>
      </c>
      <c r="BV74" s="39">
        <f t="shared" si="194"/>
        <v>1.0576788532102559</v>
      </c>
      <c r="BW74" s="51">
        <f>nonhighlands!$AU352</f>
        <v>0.62930760658335483</v>
      </c>
      <c r="BX74" s="6"/>
      <c r="BY74" s="6"/>
      <c r="BZ74" s="51">
        <f>nonmare!$BR194</f>
        <v>0.45361915297117439</v>
      </c>
      <c r="CA74" s="51">
        <f>nonmare!$BR235</f>
        <v>0.33768438687674157</v>
      </c>
      <c r="CB74" s="51">
        <f t="shared" si="195"/>
        <v>8.3751049295362354E-2</v>
      </c>
      <c r="CC74" s="51">
        <f>nonhighlands!$AU275</f>
        <v>1.7023688235269796</v>
      </c>
      <c r="CD74" s="51">
        <f>nonmare!$BR322</f>
        <v>0.29126452606762165</v>
      </c>
      <c r="CE74" s="51">
        <f t="shared" si="200"/>
        <v>3.1599651007034289E-2</v>
      </c>
      <c r="CF74" s="51">
        <f>nonmare!$BR436</f>
        <v>0.15026404727796849</v>
      </c>
      <c r="CG74" s="51">
        <f t="shared" si="196"/>
        <v>0.39094377930955376</v>
      </c>
      <c r="CH74" s="51">
        <f t="shared" si="197"/>
        <v>0.40508651342462676</v>
      </c>
      <c r="CI74" s="51">
        <f>nonhighlands!$AU30</f>
        <v>0.919213495507746</v>
      </c>
      <c r="CJ74" s="51">
        <f>nonmare!$BR470</f>
        <v>0.35606793081936133</v>
      </c>
      <c r="CK74" s="51">
        <f>nonmare!$BR485</f>
        <v>0.36986913434897084</v>
      </c>
      <c r="CL74" s="51"/>
      <c r="CM74" s="51"/>
      <c r="CN74" s="51" t="e">
        <f>nonhighlands!$AU176</f>
        <v>#DIV/0!</v>
      </c>
      <c r="CO74" s="51" t="e">
        <f>nonhighlands!$AU386</f>
        <v>#DIV/0!</v>
      </c>
      <c r="CP74" s="51">
        <f>nonmare!$BR607</f>
        <v>0.38433038989377477</v>
      </c>
      <c r="CQ74" s="51">
        <f>nonmare!$BR612</f>
        <v>0.76653407671487306</v>
      </c>
      <c r="CR74" s="51">
        <f>nonmare!$BR627</f>
        <v>0.34409953502198709</v>
      </c>
      <c r="CS74" s="51" t="e">
        <f>nonmare!$BR480</f>
        <v>#DIV/0!</v>
      </c>
      <c r="CT74" s="51">
        <f>nonmare!$BR501</f>
        <v>0.40428101871668431</v>
      </c>
      <c r="CU74" s="51">
        <f>nonmare!$BR561</f>
        <v>0.62764373424662478</v>
      </c>
      <c r="CV74" s="51">
        <f>nonmare!$BR301</f>
        <v>21.368111472391107</v>
      </c>
      <c r="CW74" s="51">
        <f>nonmare!$BR307</f>
        <v>6.36</v>
      </c>
      <c r="CX74" s="51">
        <f>nonmare!$BR537</f>
        <v>0.26121467939379667</v>
      </c>
      <c r="CY74" s="51">
        <f>nonmare!$BR543</f>
        <v>0.23518000743763609</v>
      </c>
      <c r="CZ74" s="51">
        <f>nonmare!$BR555</f>
        <v>0.17636489381852644</v>
      </c>
      <c r="DA74" s="51">
        <f>nonmare!$BR549</f>
        <v>0.36934565341936176</v>
      </c>
      <c r="DE74"/>
      <c r="DN74" s="111"/>
      <c r="DO74" s="111"/>
      <c r="DP74" s="111"/>
      <c r="DQ74" s="111"/>
      <c r="DR74" s="111"/>
      <c r="DV74" s="51">
        <f>nonmare!$BR328</f>
        <v>0</v>
      </c>
      <c r="DW74" s="51">
        <f>nonmare!$BR334</f>
        <v>9.6987211569263612E-2</v>
      </c>
      <c r="DX74" s="51">
        <f>nonmare!$BR340</f>
        <v>0.10305979076052063</v>
      </c>
      <c r="DY74" s="51"/>
      <c r="DZ74" s="51">
        <f>nonmare!$BR366</f>
        <v>0</v>
      </c>
      <c r="EA74" s="51">
        <f>nonmare!$BR374</f>
        <v>0</v>
      </c>
      <c r="EB74" s="51"/>
      <c r="EC74" s="51">
        <f>nonmare!$BR358</f>
        <v>8.4349856733524353E-2</v>
      </c>
      <c r="ED74" s="51"/>
      <c r="EE74" s="51"/>
      <c r="EF74" s="51">
        <f>nonmare!$BR400</f>
        <v>0</v>
      </c>
      <c r="EG74" s="51"/>
      <c r="EH74" s="51">
        <f>nonmare!$BR405</f>
        <v>0</v>
      </c>
      <c r="EI74" s="51"/>
      <c r="EJ74" s="51">
        <f>nonmare!$BR416</f>
        <v>0</v>
      </c>
      <c r="EK74" s="51"/>
      <c r="EL74" s="51">
        <f>nonmare!$BR426</f>
        <v>0.37864720632759119</v>
      </c>
      <c r="EM74" s="51">
        <f>nonmare!$BR431</f>
        <v>0.39559598275439622</v>
      </c>
      <c r="EQ74" s="51">
        <f>nonmare!$BR179</f>
        <v>0.4479525756783786</v>
      </c>
      <c r="ER74" s="51">
        <f>nonmare!$BR186</f>
        <v>0.53635220990270283</v>
      </c>
      <c r="ES74" s="51">
        <f>nonmare!$BR192</f>
        <v>0.42550274778671054</v>
      </c>
      <c r="ET74" s="51">
        <f>nonmare!$BR243</f>
        <v>0.14432342361735095</v>
      </c>
      <c r="EU74" s="51">
        <f>nonmare!$BR249</f>
        <v>0</v>
      </c>
      <c r="EV74" s="51">
        <f>nonmare!$BR254</f>
        <v>0.10692972426873611</v>
      </c>
      <c r="EW74" s="51"/>
      <c r="EX74" s="51"/>
      <c r="EY74" s="51"/>
      <c r="FC74"/>
      <c r="FD74" s="391">
        <v>21.368111472391107</v>
      </c>
      <c r="FE74" s="33"/>
      <c r="FH74" s="51">
        <f>nonmare!$BR447</f>
        <v>0.18721110422808995</v>
      </c>
      <c r="FI74" s="392">
        <f t="shared" si="198"/>
        <v>0.18721110422808995</v>
      </c>
      <c r="FJ74" s="392">
        <f t="shared" si="199"/>
        <v>0.22307522250458547</v>
      </c>
    </row>
    <row r="75" spans="1:166" s="391" customFormat="1" ht="11.1" customHeight="1" x14ac:dyDescent="0.2">
      <c r="A75" s="393" t="s">
        <v>321</v>
      </c>
      <c r="B75" s="51">
        <f>nonmare!$BS11</f>
        <v>0.8821337383415585</v>
      </c>
      <c r="C75" s="51">
        <f>nonmare!$BS131</f>
        <v>1.2748697259110189</v>
      </c>
      <c r="D75" s="51">
        <f>nonmare!$BS31</f>
        <v>1.0882800407115689</v>
      </c>
      <c r="E75" s="51">
        <f>nonmare!$BS577</f>
        <v>1.0187629052127467</v>
      </c>
      <c r="F75" s="51">
        <f>nonmare!$BS583</f>
        <v>0.73500400030591151</v>
      </c>
      <c r="G75" s="51">
        <f>nonmare!$BS589</f>
        <v>3.6056816070520732</v>
      </c>
      <c r="H75" s="51">
        <f>nonmare!$BS595</f>
        <v>0.82192568849808667</v>
      </c>
      <c r="I75" s="51">
        <f>nonmare!$BS601</f>
        <v>2.3813242058104676</v>
      </c>
      <c r="J75" s="51">
        <f t="shared" si="191"/>
        <v>1.6016249471542772</v>
      </c>
      <c r="K75" s="51">
        <f>nonmare!$BS294</f>
        <v>1.1172350022873212</v>
      </c>
      <c r="L75" s="51">
        <f>nonmare!$BS114</f>
        <v>1.0410749949515252</v>
      </c>
      <c r="M75" s="51">
        <f>nonmare!$BS84</f>
        <v>0.62361581830996526</v>
      </c>
      <c r="N75" s="51">
        <f>nonmare!$BS525</f>
        <v>0.59617596609779266</v>
      </c>
      <c r="O75" s="51">
        <f>nonmare!$BS531</f>
        <v>0.99804638734302364</v>
      </c>
      <c r="P75" s="51"/>
      <c r="Q75" s="51">
        <f>nonmare!$BS283</f>
        <v>3.7105571607393184</v>
      </c>
      <c r="R75" s="51">
        <f>nonhighlands!$AV94</f>
        <v>2.7020598779767275</v>
      </c>
      <c r="S75" s="51">
        <f>nonhighlands!$AV83</f>
        <v>2.4761798347634469</v>
      </c>
      <c r="T75" s="51">
        <f t="shared" si="202"/>
        <v>2.5590592100072342</v>
      </c>
      <c r="U75" s="51">
        <f>nonhighlands!$AV105</f>
        <v>2.5507224132618491</v>
      </c>
      <c r="V75" s="51">
        <f>nonhighlands!$AV293</f>
        <v>3.5355977331175383</v>
      </c>
      <c r="W75" s="51">
        <f>nonhighlands!$AV47</f>
        <v>2.9677006727649204</v>
      </c>
      <c r="X75" s="51">
        <f>nonhighlands!$AV64</f>
        <v>2.8443458504186969</v>
      </c>
      <c r="Y75" s="38">
        <f t="shared" si="192"/>
        <v>2.8896069122811214</v>
      </c>
      <c r="Z75" s="51">
        <f>nonhighlands!$AV210</f>
        <v>4.631035191025596</v>
      </c>
      <c r="AA75" s="51">
        <f>nonhighlands!$AV196</f>
        <v>0</v>
      </c>
      <c r="AB75" s="51">
        <f>nonhighlands!$AV334</f>
        <v>2.4984803217271745</v>
      </c>
      <c r="AC75" s="51">
        <f>nonhighlands!$AV159</f>
        <v>6.4550577502576632</v>
      </c>
      <c r="AE75" s="51">
        <f>nonhighlands!$AV12</f>
        <v>7.0905595794408729</v>
      </c>
      <c r="AI75" s="51">
        <f>nonmare!$BS157</f>
        <v>0.93255414786844071</v>
      </c>
      <c r="AJ75" s="51">
        <f>nonmare!$BS170</f>
        <v>0.7866299875532059</v>
      </c>
      <c r="AK75" s="51">
        <f>nonmare!$BS490</f>
        <v>0.74103860806804533</v>
      </c>
      <c r="AL75" s="51">
        <f>nonhighlands!$AV342</f>
        <v>1.0580943405701526</v>
      </c>
      <c r="AM75" s="51">
        <f>nonmare!$BS441</f>
        <v>0.75577230333429868</v>
      </c>
      <c r="AN75" s="51">
        <f>nonhighlands!$AV303</f>
        <v>1.9119133885475099</v>
      </c>
      <c r="AO75" s="51">
        <f>nonhighlands!$AV308</f>
        <v>3.701845018016825</v>
      </c>
      <c r="AP75" s="51">
        <f>nonhighlands!$AV119</f>
        <v>6.3858834012603367</v>
      </c>
      <c r="AQ75" s="51">
        <f>nonmare!$BS265</f>
        <v>0.6778374463726291</v>
      </c>
      <c r="AR75" s="51">
        <f>nonmare!$BS274</f>
        <v>0.92892936981236729</v>
      </c>
      <c r="AS75" s="51">
        <f>nonhighlands!$AV232</f>
        <v>4.1277065715079431</v>
      </c>
      <c r="AT75" s="51" t="e">
        <f>nonhighlands!$AV313</f>
        <v>#DIV/0!</v>
      </c>
      <c r="AU75" s="51">
        <f>nonmare!$BS475</f>
        <v>0.37305200486505785</v>
      </c>
      <c r="AV75" s="51">
        <f>nonhighlands!$AV298</f>
        <v>3.4544270836211224</v>
      </c>
      <c r="AW75" s="51">
        <f>nonmare!$BS463</f>
        <v>0.4991236828637064</v>
      </c>
      <c r="AX75" s="51">
        <f>nonhighlands!$AV347</f>
        <v>13.388441867899807</v>
      </c>
      <c r="AY75" s="51">
        <f>nonhighlands!$AV366</f>
        <v>6.7787515180161151</v>
      </c>
      <c r="AZ75" s="51">
        <f>nonmare!$BS513</f>
        <v>2.8034939679366979</v>
      </c>
      <c r="BA75" s="51">
        <f>nonhighlands!$AV380</f>
        <v>2.4878741062419887</v>
      </c>
      <c r="BB75" s="51">
        <f>nonhighlands!$AV374</f>
        <v>4.167045849337784</v>
      </c>
      <c r="BC75" s="51">
        <f>nonmare!$BS507</f>
        <v>1.2323051592418628</v>
      </c>
      <c r="BD75" s="51">
        <f>nonmare!$BS519</f>
        <v>4.2703615901644554</v>
      </c>
      <c r="BE75" s="51">
        <f>nonmare!$BS566</f>
        <v>1.7182057928385688</v>
      </c>
      <c r="BF75" s="51" t="e">
        <f>nonhighlands!$AV319</f>
        <v>#DIV/0!</v>
      </c>
      <c r="BG75" s="51" t="e">
        <f>nonhighlands!$AV324</f>
        <v>#DIV/0!</v>
      </c>
      <c r="BH75" s="51">
        <f>nonmare!$BS572</f>
        <v>0.4277562529297767</v>
      </c>
      <c r="BI75" s="51">
        <f>nonmare!$BS622</f>
        <v>1.3805891168720072</v>
      </c>
      <c r="BJ75" s="51">
        <f>nonmare!$BS627</f>
        <v>0.9474445762714564</v>
      </c>
      <c r="BK75" s="51">
        <f>nonmare!$BS632</f>
        <v>1.2635712490515887</v>
      </c>
      <c r="BL75" s="51">
        <f>nonmare!$BS637</f>
        <v>1.7784102530977215</v>
      </c>
      <c r="BM75" s="51">
        <f>nonmare!$BS642</f>
        <v>3.9280178807602288</v>
      </c>
      <c r="BN75" s="51">
        <f>nonhighlands!$AV252</f>
        <v>3.630709985596539</v>
      </c>
      <c r="BO75" s="51">
        <f>nonhighlands!$AV257</f>
        <v>3.3465008881475256</v>
      </c>
      <c r="BP75" s="38">
        <f t="shared" si="193"/>
        <v>3.4886054368720325</v>
      </c>
      <c r="BQ75" s="51">
        <f>nonhighlands!$AV219</f>
        <v>5.296451843986671</v>
      </c>
      <c r="BR75" s="51">
        <f>nonhighlands!$AV227</f>
        <v>3.0918369148871894</v>
      </c>
      <c r="BS75"/>
      <c r="BT75" s="51">
        <f>nonhighlands!$AV237</f>
        <v>2.6123261885973106</v>
      </c>
      <c r="BU75" s="51">
        <f>nonhighlands!$AV267</f>
        <v>2.9292452799533697</v>
      </c>
      <c r="BV75" s="39">
        <f t="shared" si="194"/>
        <v>2.8778027944792903</v>
      </c>
      <c r="BW75" s="51">
        <f>nonhighlands!$AV352</f>
        <v>1.8228043133451255</v>
      </c>
      <c r="BX75" s="6"/>
      <c r="BY75" s="6"/>
      <c r="BZ75" s="51">
        <f>nonmare!$BS194</f>
        <v>1.2650240977287761</v>
      </c>
      <c r="CA75" s="51">
        <f>nonmare!$BS235</f>
        <v>0.96632149373859277</v>
      </c>
      <c r="CB75" s="51">
        <f t="shared" si="195"/>
        <v>0.24228267785564564</v>
      </c>
      <c r="CC75" s="51">
        <f>nonhighlands!$AV275</f>
        <v>4.4643295284715947</v>
      </c>
      <c r="CD75" s="51">
        <f>nonmare!$BS322</f>
        <v>0.79992583260577432</v>
      </c>
      <c r="CE75" s="51">
        <f t="shared" si="200"/>
        <v>8.9855091496910025E-2</v>
      </c>
      <c r="CF75" s="51">
        <f>nonmare!$BS436</f>
        <v>0.40176775818830862</v>
      </c>
      <c r="CG75" s="51">
        <f t="shared" si="196"/>
        <v>1.0691458416414106</v>
      </c>
      <c r="CH75" s="51">
        <f t="shared" si="197"/>
        <v>1.1078231302154224</v>
      </c>
      <c r="CI75" s="51">
        <f>nonhighlands!$AV30</f>
        <v>2.5425516409552706</v>
      </c>
      <c r="CJ75" s="51">
        <f>nonmare!$BS470</f>
        <v>1.0354905243621524</v>
      </c>
      <c r="CK75" s="51">
        <f>nonmare!$BS485</f>
        <v>1.0299042544468526</v>
      </c>
      <c r="CL75" s="51"/>
      <c r="CM75" s="51"/>
      <c r="CN75" s="51" t="e">
        <f>nonhighlands!$AV176</f>
        <v>#DIV/0!</v>
      </c>
      <c r="CO75" s="51" t="e">
        <f>nonhighlands!$AV386</f>
        <v>#DIV/0!</v>
      </c>
      <c r="CP75" s="51">
        <f>nonmare!$BS607</f>
        <v>1.0950233356187948</v>
      </c>
      <c r="CQ75" s="51">
        <f>nonmare!$BS612</f>
        <v>2.1819278703479048</v>
      </c>
      <c r="CR75" s="51">
        <f>nonmare!$BS627</f>
        <v>0.9474445762714564</v>
      </c>
      <c r="CS75" s="51" t="e">
        <f>nonmare!$BS480</f>
        <v>#DIV/0!</v>
      </c>
      <c r="CT75" s="51">
        <f>nonmare!$BS501</f>
        <v>1.1982186218287076</v>
      </c>
      <c r="CU75" s="51">
        <f>nonmare!$BS561</f>
        <v>1.7566296749977606</v>
      </c>
      <c r="CV75" s="51">
        <f>nonmare!$BS301</f>
        <v>58.105749728887865</v>
      </c>
      <c r="CW75" s="51">
        <f>nonmare!$BS307</f>
        <v>18.600000000000001</v>
      </c>
      <c r="CX75" s="51">
        <f>nonmare!$BS537</f>
        <v>0.72156617630741848</v>
      </c>
      <c r="CY75" s="51">
        <f>nonmare!$BS543</f>
        <v>0.66852906988580019</v>
      </c>
      <c r="CZ75" s="51">
        <f>nonmare!$BS555</f>
        <v>0.49074260255431701</v>
      </c>
      <c r="DA75" s="51">
        <f>nonmare!$BS549</f>
        <v>1.0165385999574055</v>
      </c>
      <c r="DE75"/>
      <c r="DN75" s="111"/>
      <c r="DO75" s="111"/>
      <c r="DP75" s="111"/>
      <c r="DQ75" s="111"/>
      <c r="DR75" s="111"/>
      <c r="DV75" s="51">
        <f>nonmare!$BS328</f>
        <v>0</v>
      </c>
      <c r="DW75" s="51">
        <f>nonmare!$BS334</f>
        <v>0.27188628996722086</v>
      </c>
      <c r="DX75" s="51">
        <f>nonmare!$BS340</f>
        <v>0.28796139596915282</v>
      </c>
      <c r="DY75" s="51"/>
      <c r="DZ75" s="51">
        <f>nonmare!$BS366</f>
        <v>0</v>
      </c>
      <c r="EA75" s="51">
        <f>nonmare!$BS374</f>
        <v>0</v>
      </c>
      <c r="EB75" s="51"/>
      <c r="EC75" s="51">
        <f>nonmare!$BS358</f>
        <v>0.24884813753581661</v>
      </c>
      <c r="ED75" s="51"/>
      <c r="EE75" s="51"/>
      <c r="EF75" s="51">
        <f>nonmare!$BS400</f>
        <v>0</v>
      </c>
      <c r="EG75" s="51"/>
      <c r="EH75" s="51">
        <f>nonmare!$BS405</f>
        <v>0</v>
      </c>
      <c r="EI75" s="51"/>
      <c r="EJ75" s="51">
        <f>nonmare!$BS416</f>
        <v>0</v>
      </c>
      <c r="EK75" s="51"/>
      <c r="EL75" s="51">
        <f>nonmare!$BS426</f>
        <v>1.0354594142504223</v>
      </c>
      <c r="EM75" s="51">
        <f>nonmare!$BS431</f>
        <v>1.0818905400043342</v>
      </c>
      <c r="EQ75" s="51">
        <f>nonmare!$BS179</f>
        <v>1.2525405011912303</v>
      </c>
      <c r="ER75" s="51">
        <f>nonmare!$BS186</f>
        <v>1.478212233271909</v>
      </c>
      <c r="ES75" s="51">
        <f>nonmare!$BS192</f>
        <v>1.1754132361389478</v>
      </c>
      <c r="ET75" s="51">
        <f>nonmare!$BS243</f>
        <v>0.42710513491051944</v>
      </c>
      <c r="EU75" s="51">
        <f>nonmare!$BS249</f>
        <v>0</v>
      </c>
      <c r="EV75" s="51">
        <f>nonmare!$BS254</f>
        <v>0.29974289865641746</v>
      </c>
      <c r="EW75" s="51"/>
      <c r="EX75" s="51"/>
      <c r="EY75" s="51"/>
      <c r="FC75"/>
      <c r="FD75" s="391">
        <v>58.105749728887865</v>
      </c>
      <c r="FE75" s="33"/>
      <c r="FH75" s="51">
        <f>nonmare!$BS447</f>
        <v>0.53529946739151435</v>
      </c>
      <c r="FI75" s="392">
        <f t="shared" si="198"/>
        <v>0.53529946739151435</v>
      </c>
      <c r="FJ75" s="392">
        <f t="shared" si="199"/>
        <v>0.63784703523494879</v>
      </c>
    </row>
    <row r="76" spans="1:166" s="391" customFormat="1" ht="11.1" customHeight="1" x14ac:dyDescent="0.2">
      <c r="A76" s="393" t="s">
        <v>325</v>
      </c>
      <c r="B76" s="51">
        <f>nonmare!$BT11</f>
        <v>0.13334665003003088</v>
      </c>
      <c r="C76" s="51">
        <f>nonmare!$BT131</f>
        <v>0.1867558140554379</v>
      </c>
      <c r="D76" s="51">
        <f>nonmare!$BT31</f>
        <v>0.1652025284701355</v>
      </c>
      <c r="E76" s="51">
        <f>nonmare!$BT577</f>
        <v>0.15116832966132449</v>
      </c>
      <c r="F76" s="51">
        <f>nonmare!$BT583</f>
        <v>0.10812449976024899</v>
      </c>
      <c r="G76" s="51">
        <f>nonmare!$BT589</f>
        <v>0.5153768683103892</v>
      </c>
      <c r="H76" s="51">
        <f>nonmare!$BT595</f>
        <v>0.12088807297108045</v>
      </c>
      <c r="I76" s="51">
        <f>nonmare!$BT601</f>
        <v>0.34608168600328687</v>
      </c>
      <c r="J76" s="51">
        <f t="shared" si="191"/>
        <v>0.23348487948718366</v>
      </c>
      <c r="K76" s="51">
        <f>nonmare!$BT294</f>
        <v>0.16027573887613056</v>
      </c>
      <c r="L76" s="51">
        <f>nonmare!$BT114</f>
        <v>0.15332561010396167</v>
      </c>
      <c r="M76" s="51">
        <f>nonmare!$BT84</f>
        <v>9.4204390858510872E-2</v>
      </c>
      <c r="N76" s="51">
        <f>nonmare!$BT525</f>
        <v>8.8742273404381428E-2</v>
      </c>
      <c r="O76" s="51">
        <f>nonmare!$BT531</f>
        <v>0.14663256767242244</v>
      </c>
      <c r="P76" s="51"/>
      <c r="Q76" s="51">
        <f>nonmare!$BT283</f>
        <v>0.55558199180248469</v>
      </c>
      <c r="R76" s="51">
        <f>nonhighlands!$AW94</f>
        <v>0.39362921966910969</v>
      </c>
      <c r="S76" s="51">
        <f>nonhighlands!$AW83</f>
        <v>0.36744190026099982</v>
      </c>
      <c r="T76" s="51">
        <f t="shared" si="202"/>
        <v>0.37705049002828761</v>
      </c>
      <c r="U76" s="51">
        <f>nonhighlands!$AW105</f>
        <v>0.37993469865510099</v>
      </c>
      <c r="V76" s="51">
        <f>nonhighlands!$AW293</f>
        <v>0.52201470521114535</v>
      </c>
      <c r="W76" s="51">
        <f>nonhighlands!$AW47</f>
        <v>0.43297808271496013</v>
      </c>
      <c r="X76" s="51">
        <f>nonhighlands!$AW64</f>
        <v>0.41468547458778127</v>
      </c>
      <c r="Y76" s="38">
        <f t="shared" si="192"/>
        <v>0.42139735542325862</v>
      </c>
      <c r="Z76" s="51">
        <f>nonhighlands!$AW210</f>
        <v>0.7011032546734417</v>
      </c>
      <c r="AA76" s="51">
        <f>nonhighlands!$AW196</f>
        <v>0</v>
      </c>
      <c r="AB76" s="51">
        <f>nonhighlands!$AW334</f>
        <v>0.38360514960953351</v>
      </c>
      <c r="AC76" s="51">
        <f>nonhighlands!$AW159</f>
        <v>0.99211217123930395</v>
      </c>
      <c r="AE76" s="51">
        <f>nonhighlands!$AW12</f>
        <v>1.2047235531303213</v>
      </c>
      <c r="AI76" s="51">
        <f>nonmare!$BT157</f>
        <v>0.13706414202070336</v>
      </c>
      <c r="AJ76" s="51">
        <f>nonmare!$BT170</f>
        <v>0.1129011084229312</v>
      </c>
      <c r="AK76" s="51">
        <f>nonmare!$BT490</f>
        <v>0.11029434934131141</v>
      </c>
      <c r="AL76" s="51">
        <f>nonhighlands!$AW342</f>
        <v>0.17311014748485459</v>
      </c>
      <c r="AM76" s="51">
        <f>nonmare!$BT441</f>
        <v>0.1137320152693781</v>
      </c>
      <c r="AN76" s="51">
        <f>nonhighlands!$AW303</f>
        <v>0.28970341660546173</v>
      </c>
      <c r="AO76" s="51">
        <f>nonhighlands!$AW308</f>
        <v>0.55003526314435058</v>
      </c>
      <c r="AP76" s="51">
        <f>nonhighlands!$AW119</f>
        <v>0.90031291417293069</v>
      </c>
      <c r="AQ76" s="51">
        <f>nonmare!$BT265</f>
        <v>0.10012089783511208</v>
      </c>
      <c r="AR76" s="51">
        <f>nonmare!$BT274</f>
        <v>0.13409390849918618</v>
      </c>
      <c r="AS76" s="51">
        <f>nonhighlands!$AW232</f>
        <v>0.59888248659104493</v>
      </c>
      <c r="AT76" s="51" t="e">
        <f>nonhighlands!$AW313</f>
        <v>#DIV/0!</v>
      </c>
      <c r="AU76" s="51">
        <f>nonmare!$BT475</f>
        <v>5.5374485690282804E-2</v>
      </c>
      <c r="AV76" s="51">
        <f>nonhighlands!$AW298</f>
        <v>0.51393497527945531</v>
      </c>
      <c r="AW76" s="51">
        <f>nonmare!$BT463</f>
        <v>7.6065212869213597E-2</v>
      </c>
      <c r="AX76" s="51">
        <f>nonhighlands!$AW347</f>
        <v>1.9368570655262207</v>
      </c>
      <c r="AY76" s="51">
        <f>nonhighlands!$AW366</f>
        <v>0.96663974419538556</v>
      </c>
      <c r="AZ76" s="51">
        <f>nonmare!$BT513</f>
        <v>0.41083238151176538</v>
      </c>
      <c r="BA76" s="51">
        <f>nonhighlands!$AW380</f>
        <v>0.36280086338843587</v>
      </c>
      <c r="BB76" s="51">
        <f>nonhighlands!$AW374</f>
        <v>0.61487715853040092</v>
      </c>
      <c r="BC76" s="51">
        <f>nonmare!$BT507</f>
        <v>0.18773461311941569</v>
      </c>
      <c r="BD76" s="51">
        <f>nonmare!$BT519</f>
        <v>0.61091913259450514</v>
      </c>
      <c r="BE76" s="51">
        <f>nonmare!$BT566</f>
        <v>0.24925915464434989</v>
      </c>
      <c r="BF76" s="51" t="e">
        <f>nonhighlands!$AW319</f>
        <v>#DIV/0!</v>
      </c>
      <c r="BG76" s="51" t="e">
        <f>nonhighlands!$AW324</f>
        <v>#DIV/0!</v>
      </c>
      <c r="BH76" s="51">
        <f>nonmare!$BT572</f>
        <v>6.4134446197182532E-2</v>
      </c>
      <c r="BI76" s="51">
        <f>nonmare!$BT622</f>
        <v>0.20302413894643911</v>
      </c>
      <c r="BJ76" s="51">
        <f>nonmare!$BT627</f>
        <v>0.13901645568746646</v>
      </c>
      <c r="BK76" s="51">
        <f>nonmare!$BT632</f>
        <v>0.18610810541499034</v>
      </c>
      <c r="BL76" s="51">
        <f>nonmare!$BT637</f>
        <v>0.26070331389978679</v>
      </c>
      <c r="BM76" s="51">
        <f>nonmare!$BT642</f>
        <v>0.5592945180700406</v>
      </c>
      <c r="BN76" s="51">
        <f>nonhighlands!$AW252</f>
        <v>0.52150851098518669</v>
      </c>
      <c r="BO76" s="51">
        <f>nonhighlands!$AW257</f>
        <v>0.47724174827125609</v>
      </c>
      <c r="BP76" s="38">
        <f t="shared" si="193"/>
        <v>0.49937512962822139</v>
      </c>
      <c r="BQ76" s="51">
        <f>nonhighlands!$AW219</f>
        <v>0.77151097604628882</v>
      </c>
      <c r="BR76" s="51">
        <f>nonhighlands!$AW227</f>
        <v>0.44558635471240554</v>
      </c>
      <c r="BS76"/>
      <c r="BT76" s="51">
        <f>nonhighlands!$AW237</f>
        <v>0.38115574426958326</v>
      </c>
      <c r="BU76" s="51">
        <f>nonhighlands!$AW267</f>
        <v>0.42509457588569272</v>
      </c>
      <c r="BV76" s="39">
        <f t="shared" si="194"/>
        <v>0.41727889162256049</v>
      </c>
      <c r="BW76" s="51">
        <f>nonhighlands!$AW352</f>
        <v>0.28139067858952371</v>
      </c>
      <c r="BX76" s="6"/>
      <c r="BY76" s="6"/>
      <c r="BZ76" s="51">
        <f>nonmare!$BT194</f>
        <v>0.18552807193448584</v>
      </c>
      <c r="CA76" s="51">
        <f>nonmare!$BT235</f>
        <v>0.1410560551626949</v>
      </c>
      <c r="CB76" s="51">
        <f t="shared" si="195"/>
        <v>3.6029900843207376E-2</v>
      </c>
      <c r="CC76" s="51">
        <f>nonhighlands!$AW275</f>
        <v>0.62392514851922742</v>
      </c>
      <c r="CD76" s="51">
        <f>nonmare!$BT322</f>
        <v>0.1170739670854813</v>
      </c>
      <c r="CE76" s="51">
        <f t="shared" si="200"/>
        <v>1.3312530320189732E-2</v>
      </c>
      <c r="CF76" s="51">
        <f>nonmare!$BT436</f>
        <v>5.7246771063706285E-2</v>
      </c>
      <c r="CG76" s="51">
        <f t="shared" si="196"/>
        <v>0.15581336899802523</v>
      </c>
      <c r="CH76" s="51">
        <f t="shared" si="197"/>
        <v>0.16145005428613662</v>
      </c>
      <c r="CI76" s="51">
        <f>nonhighlands!$AW30</f>
        <v>0.37477092079186825</v>
      </c>
      <c r="CJ76" s="51">
        <f>nonmare!$BT470</f>
        <v>0.15040837644996791</v>
      </c>
      <c r="CK76" s="51">
        <f>nonmare!$BT485</f>
        <v>0.152824617707458</v>
      </c>
      <c r="CL76" s="51"/>
      <c r="CM76" s="51"/>
      <c r="CN76" s="51" t="e">
        <f>nonhighlands!$AW176</f>
        <v>#DIV/0!</v>
      </c>
      <c r="CO76" s="51" t="e">
        <f>nonhighlands!$AW386</f>
        <v>#DIV/0!</v>
      </c>
      <c r="CP76" s="51">
        <f>nonmare!$BT607</f>
        <v>0.16626697896267942</v>
      </c>
      <c r="CQ76" s="51">
        <f>nonmare!$BT612</f>
        <v>0.33099056391828818</v>
      </c>
      <c r="CR76" s="51">
        <f>nonmare!$BT627</f>
        <v>0.13901645568746646</v>
      </c>
      <c r="CS76" s="51" t="e">
        <f>nonmare!$BT480</f>
        <v>#DIV/0!</v>
      </c>
      <c r="CT76" s="51">
        <f>nonmare!$BT501</f>
        <v>0.18108822764966709</v>
      </c>
      <c r="CU76" s="51">
        <f>nonmare!$BT561</f>
        <v>0.26199755119589085</v>
      </c>
      <c r="CV76" s="51">
        <f>nonmare!$BT301</f>
        <v>9.1387682174805569</v>
      </c>
      <c r="CW76" s="51">
        <f>nonmare!$BT307</f>
        <v>2.72</v>
      </c>
      <c r="CX76" s="51">
        <f>nonmare!$BT537</f>
        <v>0.10622256262368282</v>
      </c>
      <c r="CY76" s="51">
        <f>nonmare!$BT543</f>
        <v>0.10127061394285142</v>
      </c>
      <c r="CZ76" s="51">
        <f>nonmare!$BT555</f>
        <v>7.2768693894045583E-2</v>
      </c>
      <c r="DA76" s="51">
        <f>nonmare!$BT549</f>
        <v>0.14909586410150702</v>
      </c>
      <c r="DE76"/>
      <c r="DN76" s="111"/>
      <c r="DO76" s="111"/>
      <c r="DP76" s="111"/>
      <c r="DQ76" s="111"/>
      <c r="DR76" s="111"/>
      <c r="DV76" s="51">
        <f>nonmare!$BT328</f>
        <v>0</v>
      </c>
      <c r="DW76" s="51">
        <f>nonmare!$BT334</f>
        <v>4.0616791207095035E-2</v>
      </c>
      <c r="DX76" s="51">
        <f>nonmare!$BT340</f>
        <v>4.2877643565730039E-2</v>
      </c>
      <c r="DY76" s="51"/>
      <c r="DZ76" s="51">
        <f>nonmare!$BT366</f>
        <v>0</v>
      </c>
      <c r="EA76" s="51">
        <f>nonmare!$BT374</f>
        <v>0</v>
      </c>
      <c r="EB76" s="51"/>
      <c r="EC76" s="51">
        <f>nonmare!$BT358</f>
        <v>3.631833810888252E-2</v>
      </c>
      <c r="ED76" s="51"/>
      <c r="EE76" s="51"/>
      <c r="EF76" s="51">
        <f>nonmare!$BT400</f>
        <v>0</v>
      </c>
      <c r="EG76" s="51"/>
      <c r="EH76" s="51">
        <f>nonmare!$BT405</f>
        <v>0</v>
      </c>
      <c r="EI76" s="51"/>
      <c r="EJ76" s="51">
        <f>nonmare!$BT416</f>
        <v>0</v>
      </c>
      <c r="EK76" s="51"/>
      <c r="EL76" s="51">
        <f>nonmare!$BT426</f>
        <v>0.1508965368756453</v>
      </c>
      <c r="EM76" s="51">
        <f>nonmare!$BT431</f>
        <v>0.15767357048432562</v>
      </c>
      <c r="EQ76" s="51">
        <f>nonmare!$BT179</f>
        <v>0.18334021767976569</v>
      </c>
      <c r="ER76" s="51">
        <f>nonmare!$BT186</f>
        <v>0.21710765404801985</v>
      </c>
      <c r="ES76" s="51">
        <f>nonmare!$BT192</f>
        <v>0.17303334972975942</v>
      </c>
      <c r="ET76" s="51">
        <f>nonmare!$BT243</f>
        <v>6.3313285697306473E-2</v>
      </c>
      <c r="EU76" s="51">
        <f>nonmare!$BT249</f>
        <v>0</v>
      </c>
      <c r="EV76" s="51">
        <f>nonmare!$BT254</f>
        <v>4.4776416832315667E-2</v>
      </c>
      <c r="EW76" s="51"/>
      <c r="EX76" s="51"/>
      <c r="EY76" s="51"/>
      <c r="FC76"/>
      <c r="FD76" s="391">
        <v>9.1387682174805569</v>
      </c>
      <c r="FE76" s="33"/>
      <c r="FH76" s="51">
        <f>nonmare!$BT447</f>
        <v>8.1565217035087428E-2</v>
      </c>
      <c r="FI76" s="392">
        <f t="shared" si="198"/>
        <v>8.1565217035087428E-2</v>
      </c>
      <c r="FJ76" s="392">
        <f t="shared" si="199"/>
        <v>9.7190703584380922E-2</v>
      </c>
    </row>
    <row r="77" spans="1:166" s="391" customFormat="1" ht="11.1" customHeight="1" x14ac:dyDescent="0.2">
      <c r="A77" s="390" t="s">
        <v>176</v>
      </c>
      <c r="B77" s="51">
        <f>nonmare!$BU11</f>
        <v>0.85061940550175841</v>
      </c>
      <c r="C77" s="51">
        <f>nonmare!$BU131</f>
        <v>1.2053248031402946</v>
      </c>
      <c r="D77" s="51">
        <f>nonmare!$BU31</f>
        <v>1.0914120136887606</v>
      </c>
      <c r="E77" s="51">
        <f>nonmare!$BU577</f>
        <v>0.98900085201205934</v>
      </c>
      <c r="F77" s="51">
        <f>nonmare!$BU583</f>
        <v>0.70131208841431747</v>
      </c>
      <c r="G77" s="51">
        <f>nonmare!$BU589</f>
        <v>3.2480001438486719</v>
      </c>
      <c r="H77" s="51">
        <f>nonmare!$BU595</f>
        <v>0.78396534933400364</v>
      </c>
      <c r="I77" s="51">
        <f>nonmare!$BU601</f>
        <v>2.2176507839106554</v>
      </c>
      <c r="J77" s="51">
        <f t="shared" si="191"/>
        <v>1.5008080666223296</v>
      </c>
      <c r="K77" s="51">
        <f>nonmare!$BU294</f>
        <v>1.0990582467229888</v>
      </c>
      <c r="L77" s="51">
        <f>nonmare!$BU114</f>
        <v>1.0085782608345351</v>
      </c>
      <c r="M77" s="51">
        <f>nonmare!$BU84</f>
        <v>0.62845689583333331</v>
      </c>
      <c r="N77" s="51">
        <f>nonmare!$BU525</f>
        <v>0.58243163821925037</v>
      </c>
      <c r="O77" s="51">
        <f>nonmare!$BU531</f>
        <v>0.94988748052683758</v>
      </c>
      <c r="P77" s="51"/>
      <c r="Q77" s="51">
        <f>nonmare!$BU283</f>
        <v>3.6678481724461105</v>
      </c>
      <c r="R77" s="51">
        <f>nonhighlands!$AX94</f>
        <v>2.6741608597507116</v>
      </c>
      <c r="S77" s="51">
        <f>nonhighlands!$AX83</f>
        <v>2.4050482796626413</v>
      </c>
      <c r="T77" s="51">
        <f t="shared" si="202"/>
        <v>2.503790435856065</v>
      </c>
      <c r="U77" s="51">
        <f>nonhighlands!$AX105</f>
        <v>2.4060000000000001</v>
      </c>
      <c r="V77" s="51">
        <f>nonhighlands!$AX293</f>
        <v>3.4495729930046632</v>
      </c>
      <c r="W77" s="51">
        <f>nonhighlands!$AX47</f>
        <v>2.7852615986672236</v>
      </c>
      <c r="X77" s="51">
        <f>nonhighlands!$AX64</f>
        <v>2.6656463992586708</v>
      </c>
      <c r="Y77" s="38">
        <f t="shared" si="192"/>
        <v>2.7095353274508849</v>
      </c>
      <c r="Z77" s="51">
        <f>nonhighlands!$AX210</f>
        <v>4.6493762183235861</v>
      </c>
      <c r="AA77" s="51">
        <f>nonhighlands!$AX196</f>
        <v>3.5001130058194612</v>
      </c>
      <c r="AB77" s="51">
        <f>nonhighlands!$AX334</f>
        <v>2.9032661902635106</v>
      </c>
      <c r="AC77" s="51">
        <f>nonhighlands!$AX159</f>
        <v>6.4332877967750211</v>
      </c>
      <c r="AE77" s="51">
        <f>nonhighlands!$AX12</f>
        <v>6.7938306436722193</v>
      </c>
      <c r="AI77" s="51">
        <f>nonmare!$BU157</f>
        <v>0.88827960155324237</v>
      </c>
      <c r="AJ77" s="51">
        <f>nonmare!$BU170</f>
        <v>0.72673289085762782</v>
      </c>
      <c r="AK77" s="51">
        <f>nonmare!$BU490</f>
        <v>0.72381239651572971</v>
      </c>
      <c r="AL77" s="51">
        <f>nonhighlands!$AX342</f>
        <v>1.2243924036323901</v>
      </c>
      <c r="AM77" s="394">
        <f>nonmare!$BU441</f>
        <v>0.75460740873851195</v>
      </c>
      <c r="AN77" s="51">
        <f>nonhighlands!$AX303</f>
        <v>1.9356294907841298</v>
      </c>
      <c r="AO77" s="51">
        <f>nonhighlands!$AX308</f>
        <v>3.6035743605936217</v>
      </c>
      <c r="AP77" s="51">
        <f>nonhighlands!$AX119</f>
        <v>5.8386990748132277</v>
      </c>
      <c r="AQ77" s="51">
        <f>nonmare!$BU265</f>
        <v>0.65205306586146072</v>
      </c>
      <c r="AR77" s="51">
        <f>nonmare!$BU274</f>
        <v>0.8534790290676233</v>
      </c>
      <c r="AS77" s="51">
        <f>nonhighlands!$AX232</f>
        <v>3.8311016695365727</v>
      </c>
      <c r="AT77" s="51">
        <f>nonhighlands!$AX313</f>
        <v>2.9710972759659477</v>
      </c>
      <c r="AU77" s="51">
        <f>nonmare!$BU475</f>
        <v>0.36241279407169319</v>
      </c>
      <c r="AV77" s="51">
        <f>nonhighlands!$AX298</f>
        <v>3.3713371865629482</v>
      </c>
      <c r="AW77" s="51">
        <f>nonmare!$BU463</f>
        <v>0.51111259072873327</v>
      </c>
      <c r="AX77" s="51">
        <f>nonhighlands!$AX347</f>
        <v>12.354148420782336</v>
      </c>
      <c r="AY77" s="51">
        <f>nonhighlands!$AX366</f>
        <v>6.3983069712946685</v>
      </c>
      <c r="AZ77" s="51">
        <f>nonmare!$BU513</f>
        <v>2.6544889502762432</v>
      </c>
      <c r="BA77" s="51">
        <f>nonhighlands!$AX380</f>
        <v>2.3326958105646631</v>
      </c>
      <c r="BB77" s="51">
        <f>nonhighlands!$AX374</f>
        <v>4.0003538020519009</v>
      </c>
      <c r="BC77" s="51">
        <f>nonmare!$BU507</f>
        <v>1.2610143488383143</v>
      </c>
      <c r="BD77" s="51">
        <f>nonmare!$BU519</f>
        <v>3.853519854944341</v>
      </c>
      <c r="BE77" s="51">
        <f>nonmare!$BU566</f>
        <v>1.5943453016815035</v>
      </c>
      <c r="BF77" s="51">
        <f>nonhighlands!$AX319</f>
        <v>3.147480973714039</v>
      </c>
      <c r="BG77" s="51">
        <f>nonhighlands!$AX324</f>
        <v>2.7051643948619239</v>
      </c>
      <c r="BH77" s="51">
        <f>nonmare!$BU572</f>
        <v>0.42399999999999999</v>
      </c>
      <c r="BI77" s="51">
        <f>nonmare!$BU622</f>
        <v>1.3163877268199733</v>
      </c>
      <c r="BJ77" s="51">
        <f>nonmare!$BU627</f>
        <v>0.89934318156140558</v>
      </c>
      <c r="BK77" s="51">
        <f>nonmare!$BU632</f>
        <v>1.2086369025216412</v>
      </c>
      <c r="BL77" s="51">
        <f>nonmare!$BU637</f>
        <v>1.6850682755066986</v>
      </c>
      <c r="BM77" s="51">
        <f>nonmare!$BU642</f>
        <v>3.5112375223956995</v>
      </c>
      <c r="BN77" s="51">
        <f>nonhighlands!$AX252</f>
        <v>3.3027690582959637</v>
      </c>
      <c r="BO77" s="51">
        <f>nonhighlands!$AX257</f>
        <v>3.0007683652145953</v>
      </c>
      <c r="BP77" s="38">
        <f t="shared" si="193"/>
        <v>3.1517687117552793</v>
      </c>
      <c r="BQ77" s="51">
        <f>nonhighlands!$AX219</f>
        <v>4.9555759480835526</v>
      </c>
      <c r="BR77" s="51">
        <f>nonhighlands!$AX227</f>
        <v>2.831393810307548</v>
      </c>
      <c r="BS77"/>
      <c r="BT77" s="51">
        <f>nonhighlands!$AX237</f>
        <v>2.4520216809798678</v>
      </c>
      <c r="BU77" s="51">
        <f>nonhighlands!$AX267</f>
        <v>2.72</v>
      </c>
      <c r="BV77" s="39">
        <f t="shared" si="194"/>
        <v>2.667805163762472</v>
      </c>
      <c r="BW77" s="51">
        <f>nonhighlands!$AX352</f>
        <v>1.9154734807816189</v>
      </c>
      <c r="BX77" s="6"/>
      <c r="BY77" s="6"/>
      <c r="BZ77" s="51">
        <f>nonmare!$BU194</f>
        <v>1.1997657753365525</v>
      </c>
      <c r="CA77" s="51">
        <f>nonmare!$BU235</f>
        <v>0.90784197474871298</v>
      </c>
      <c r="CB77" s="51">
        <f t="shared" si="195"/>
        <v>0.44290343083899558</v>
      </c>
      <c r="CC77" s="51">
        <f>nonhighlands!$AX275</f>
        <v>3.8449131500970672</v>
      </c>
      <c r="CD77" s="51">
        <f>nonmare!$BU322</f>
        <v>0.75548109292137422</v>
      </c>
      <c r="CE77" s="51">
        <f t="shared" si="200"/>
        <v>0.27023062676203968</v>
      </c>
      <c r="CF77" s="51">
        <f>nonmare!$BU436</f>
        <v>0.39482786885245902</v>
      </c>
      <c r="CG77" s="51">
        <f t="shared" si="196"/>
        <v>1.001202153166513</v>
      </c>
      <c r="CH77" s="51">
        <f t="shared" si="197"/>
        <v>1.0374215192162302</v>
      </c>
      <c r="CI77" s="51">
        <f>nonhighlands!$AX30</f>
        <v>2.4356162844153846</v>
      </c>
      <c r="CJ77" s="51">
        <f>nonmare!$BU470</f>
        <v>0.99451110912954954</v>
      </c>
      <c r="CK77" s="51">
        <f>nonmare!$BU485</f>
        <v>0.99986566732818261</v>
      </c>
      <c r="CL77" s="51">
        <f>nonhighlands!$AX176</f>
        <v>1.9527899751230613</v>
      </c>
      <c r="CM77" s="51">
        <f>nonhighlands!$AX164</f>
        <v>5.8725344234079158</v>
      </c>
      <c r="CN77" s="514" t="e">
        <f>(CL77*#REF!+#REF!*#REF!+CM77*#REF!)/#REF!</f>
        <v>#REF!</v>
      </c>
      <c r="CO77" s="51">
        <f>nonhighlands!$AX386</f>
        <v>27.314849756588888</v>
      </c>
      <c r="CP77" s="51">
        <f>nonmare!$BU607</f>
        <v>1.1131579479253357</v>
      </c>
      <c r="CQ77" s="51">
        <f>nonmare!$BU612</f>
        <v>2.2139168577981656</v>
      </c>
      <c r="CR77" s="51">
        <f>nonmare!$BU627</f>
        <v>0.89934318156140558</v>
      </c>
      <c r="CS77" s="51">
        <f>nonmare!$BU480</f>
        <v>0.81400444649523873</v>
      </c>
      <c r="CT77" s="51">
        <f>nonmare!$BU501</f>
        <v>1.2549346167046269</v>
      </c>
      <c r="CU77" s="51">
        <f>nonmare!$BU561</f>
        <v>1.7229331083930828</v>
      </c>
      <c r="CV77" s="51">
        <f>nonmare!$BU301</f>
        <v>54.702484456222606</v>
      </c>
      <c r="CW77" s="51">
        <f>nonmare!$BU307</f>
        <v>16.818794968893698</v>
      </c>
      <c r="CX77" s="51">
        <f>nonmare!$BU537</f>
        <v>0.6894830135539517</v>
      </c>
      <c r="CY77" s="51">
        <f>nonmare!$BU543</f>
        <v>0.67638505945200755</v>
      </c>
      <c r="CZ77" s="51">
        <f>nonmare!$BU555</f>
        <v>0.4757609180399196</v>
      </c>
      <c r="DA77" s="51">
        <f>nonmare!$BU549</f>
        <v>0.96418934197946549</v>
      </c>
      <c r="DE77"/>
      <c r="DN77" s="111"/>
      <c r="DO77" s="111"/>
      <c r="DP77" s="111"/>
      <c r="DQ77" s="111"/>
      <c r="DR77" s="111"/>
      <c r="DV77" s="51">
        <f>nonmare!$BU328</f>
        <v>0.29266394052044609</v>
      </c>
      <c r="DW77" s="51">
        <f>nonmare!$BU334</f>
        <v>0.26753065105339535</v>
      </c>
      <c r="DX77" s="51">
        <f>nonmare!$BU340</f>
        <v>0.28150320439459836</v>
      </c>
      <c r="DY77" s="51"/>
      <c r="DZ77" s="51">
        <f>nonmare!$BU366</f>
        <v>0.28543571762505843</v>
      </c>
      <c r="EA77" s="51">
        <f>nonmare!$BU374</f>
        <v>0.25815426213971121</v>
      </c>
      <c r="EB77" s="51"/>
      <c r="EC77" s="51">
        <f>nonmare!$BU358</f>
        <v>0.25816548242312864</v>
      </c>
      <c r="ED77" s="51"/>
      <c r="EE77" s="51"/>
      <c r="EF77" s="51">
        <f>nonmare!$BU400</f>
        <v>0.27581581241283126</v>
      </c>
      <c r="EG77" s="51"/>
      <c r="EH77" s="51">
        <f>nonmare!$BU405</f>
        <v>0.2595366670153782</v>
      </c>
      <c r="EI77" s="51"/>
      <c r="EJ77" s="51">
        <f>nonmare!$BU416</f>
        <v>0.25326990327380955</v>
      </c>
      <c r="EK77" s="51"/>
      <c r="EL77" s="51">
        <f>nonmare!$BU426</f>
        <v>0.96956627243066873</v>
      </c>
      <c r="EM77" s="51">
        <f>nonmare!$BU431</f>
        <v>1.0131710613782408</v>
      </c>
      <c r="EQ77" s="51">
        <f>nonmare!$BU179</f>
        <v>1.1833270276445054</v>
      </c>
      <c r="ER77" s="51">
        <f>nonmare!$BU186</f>
        <v>1.4059480380209606</v>
      </c>
      <c r="ES77" s="51">
        <f>nonmare!$BU192</f>
        <v>1.1231150633252494</v>
      </c>
      <c r="ET77" s="51">
        <f>nonmare!$BU243</f>
        <v>0.41381861948726084</v>
      </c>
      <c r="EU77" s="51">
        <f>nonmare!$BU249</f>
        <v>0.6199718824630237</v>
      </c>
      <c r="EV77" s="51">
        <f>nonmare!$BU254</f>
        <v>0.29491979056670198</v>
      </c>
      <c r="EW77" s="51"/>
      <c r="EX77" s="51"/>
      <c r="EY77" s="51"/>
      <c r="FC77">
        <v>0.16250000000000001</v>
      </c>
      <c r="FD77" s="391">
        <v>54.702484456222606</v>
      </c>
      <c r="FE77" s="33">
        <f t="shared" si="201"/>
        <v>336.63067357675448</v>
      </c>
      <c r="FH77" s="51">
        <f>nonmare!$BU447</f>
        <v>0.54797447200473726</v>
      </c>
      <c r="FI77" s="392">
        <f t="shared" si="198"/>
        <v>0.54797447200473726</v>
      </c>
      <c r="FJ77" s="392">
        <f t="shared" si="199"/>
        <v>0.65295019637488028</v>
      </c>
    </row>
    <row r="78" spans="1:166" s="391" customFormat="1" ht="11.1" customHeight="1" x14ac:dyDescent="0.2">
      <c r="A78" s="390" t="s">
        <v>177</v>
      </c>
      <c r="B78" s="51">
        <f>nonmare!$BV11</f>
        <v>0.12763648407766054</v>
      </c>
      <c r="C78" s="51">
        <f>nonmare!$BV131</f>
        <v>0.17282561429566756</v>
      </c>
      <c r="D78" s="51">
        <f>nonmare!$BV31</f>
        <v>0.15410167507204608</v>
      </c>
      <c r="E78" s="51">
        <f>nonmare!$BV577</f>
        <v>0.14049842705465987</v>
      </c>
      <c r="F78" s="51">
        <f>nonmare!$BV583</f>
        <v>9.9232235079045231E-2</v>
      </c>
      <c r="G78" s="51">
        <f>nonmare!$BV589</f>
        <v>0.44907347070881437</v>
      </c>
      <c r="H78" s="51">
        <f>nonmare!$BV595</f>
        <v>0.10980607564714756</v>
      </c>
      <c r="I78" s="51">
        <f>nonmare!$BV601</f>
        <v>0.30468673027950788</v>
      </c>
      <c r="J78" s="51">
        <f t="shared" si="191"/>
        <v>0.20724640296332772</v>
      </c>
      <c r="K78" s="51">
        <f>nonmare!$BV294</f>
        <v>0.15689944420808091</v>
      </c>
      <c r="L78" s="51">
        <f>nonmare!$BV114</f>
        <v>0.14500129890882527</v>
      </c>
      <c r="M78" s="51">
        <f>nonmare!$BV84</f>
        <v>9.0678601666666664E-2</v>
      </c>
      <c r="N78" s="51">
        <f>nonmare!$BV525</f>
        <v>8.1054038360021119E-2</v>
      </c>
      <c r="O78" s="51">
        <f>nonmare!$BV531</f>
        <v>0.13441959354199121</v>
      </c>
      <c r="P78" s="394"/>
      <c r="Q78" s="51">
        <f>nonmare!$BV283</f>
        <v>0.51127938144329887</v>
      </c>
      <c r="R78" s="394">
        <f>nonhighlands!$AY94</f>
        <v>0.37379603003238793</v>
      </c>
      <c r="S78" s="394">
        <f>nonhighlands!$AY83</f>
        <v>0.33727226495112134</v>
      </c>
      <c r="T78" s="394">
        <f t="shared" si="202"/>
        <v>0.35067347910189084</v>
      </c>
      <c r="U78" s="394">
        <f>nonhighlands!$AY105</f>
        <v>0.35319999999999996</v>
      </c>
      <c r="V78" s="394">
        <f>nonhighlands!$AY293</f>
        <v>0.49660869836775484</v>
      </c>
      <c r="W78" s="394">
        <f>nonhighlands!$AY47</f>
        <v>0.39699239547206322</v>
      </c>
      <c r="X78" s="394">
        <f>nonhighlands!$AY64</f>
        <v>0.38128510722795872</v>
      </c>
      <c r="Y78" s="38">
        <f t="shared" si="192"/>
        <v>0.38704838856050328</v>
      </c>
      <c r="Z78" s="394">
        <f>nonhighlands!$AY210</f>
        <v>0.68028052454368237</v>
      </c>
      <c r="AA78" s="394">
        <f>nonhighlands!$AY196</f>
        <v>0.53628040330220605</v>
      </c>
      <c r="AB78" s="394">
        <f>nonhighlands!$AY334</f>
        <v>0.4169695074911689</v>
      </c>
      <c r="AC78" s="394">
        <f>nonhighlands!$AY159</f>
        <v>0.91821144682554401</v>
      </c>
      <c r="AE78" s="394">
        <f>nonhighlands!$AY12</f>
        <v>0.93421448354813708</v>
      </c>
      <c r="AI78" s="51">
        <f>nonmare!$BV157</f>
        <v>0.12540013241472014</v>
      </c>
      <c r="AJ78" s="51">
        <f>nonmare!$BV170</f>
        <v>9.5151626907624617E-2</v>
      </c>
      <c r="AK78" s="51">
        <f>nonmare!$BV490</f>
        <v>0.10546532575048592</v>
      </c>
      <c r="AL78" s="394">
        <f>nonhighlands!$AY342</f>
        <v>0.19350156185236822</v>
      </c>
      <c r="AM78" s="394">
        <f>nonmare!$BV441</f>
        <v>0.10875407917030343</v>
      </c>
      <c r="AN78" s="394">
        <f>nonhighlands!$AY303</f>
        <v>0.27792580443611364</v>
      </c>
      <c r="AO78" s="394">
        <f>nonhighlands!$AY308</f>
        <v>0.51154442690243129</v>
      </c>
      <c r="AP78" s="394">
        <f>nonhighlands!$AY119</f>
        <v>0.84885893543979607</v>
      </c>
      <c r="AQ78" s="51">
        <f>nonmare!$BV265</f>
        <v>9.3700460402403665E-2</v>
      </c>
      <c r="AR78" s="51">
        <f>nonmare!$BV274</f>
        <v>0.11613317966942703</v>
      </c>
      <c r="AS78" s="394">
        <f>nonhighlands!$AY232</f>
        <v>0.53355135883806248</v>
      </c>
      <c r="AT78" s="394">
        <f>nonhighlands!$AY313</f>
        <v>0.41221281683925054</v>
      </c>
      <c r="AU78" s="51">
        <f>nonmare!$BV475</f>
        <v>5.2070010267398777E-2</v>
      </c>
      <c r="AV78" s="394">
        <f>nonhighlands!$AY298</f>
        <v>0.47603385337447318</v>
      </c>
      <c r="AW78" s="51">
        <f>nonmare!$BV463</f>
        <v>7.5141222297493482E-2</v>
      </c>
      <c r="AX78" s="394">
        <f>nonhighlands!$AY347</f>
        <v>1.6970564581015148</v>
      </c>
      <c r="AY78" s="394">
        <f>nonhighlands!$AY366</f>
        <v>0.88924398694451412</v>
      </c>
      <c r="AZ78" s="51">
        <f>nonmare!$BV513</f>
        <v>0.36593406513521382</v>
      </c>
      <c r="BA78" s="394">
        <f>nonhighlands!$AY380</f>
        <v>0.32410360434950597</v>
      </c>
      <c r="BB78" s="394">
        <f>nonhighlands!$AY374</f>
        <v>0.57049607724803852</v>
      </c>
      <c r="BC78" s="51">
        <f>nonmare!$BV507</f>
        <v>0.18073725471563645</v>
      </c>
      <c r="BD78" s="51">
        <f>nonmare!$BV519</f>
        <v>0.53231049849351408</v>
      </c>
      <c r="BE78" s="51">
        <f>nonmare!$BV566</f>
        <v>0.22239307616221565</v>
      </c>
      <c r="BF78" s="394">
        <f>nonhighlands!$AY319</f>
        <v>0.43110724888001295</v>
      </c>
      <c r="BG78" s="394">
        <f>nonhighlands!$AY324</f>
        <v>0.37595702557253408</v>
      </c>
      <c r="BH78" s="51">
        <f>nonmare!$BV572</f>
        <v>6.2600000000000003E-2</v>
      </c>
      <c r="BI78" s="51">
        <f>nonmare!$BV622</f>
        <v>0.18657187648867526</v>
      </c>
      <c r="BJ78" s="51">
        <f>nonmare!$BV627</f>
        <v>0.12689842955598238</v>
      </c>
      <c r="BK78" s="51">
        <f>nonmare!$BV632</f>
        <v>0.16914874231589513</v>
      </c>
      <c r="BL78" s="51">
        <f>nonmare!$BV637</f>
        <v>0.23640544486430776</v>
      </c>
      <c r="BM78" s="51">
        <f>nonmare!$BV642</f>
        <v>0.47983587151266954</v>
      </c>
      <c r="BN78" s="394">
        <f>nonhighlands!$AY252</f>
        <v>0.45446188340807159</v>
      </c>
      <c r="BO78" s="394">
        <f>nonhighlands!$AY257</f>
        <v>0.41559387558270378</v>
      </c>
      <c r="BP78" s="38">
        <f t="shared" si="193"/>
        <v>0.43502787949538768</v>
      </c>
      <c r="BQ78" s="394">
        <f>nonhighlands!$AY219</f>
        <v>0.69132290610423852</v>
      </c>
      <c r="BR78" s="394">
        <f>nonhighlands!$AY227</f>
        <v>0.39185900538935686</v>
      </c>
      <c r="BS78"/>
      <c r="BT78" s="394">
        <f>nonhighlands!$AY237</f>
        <v>0.34418766718288046</v>
      </c>
      <c r="BU78" s="394">
        <f>nonhighlands!$AY267</f>
        <v>0.38200000000000001</v>
      </c>
      <c r="BV78" s="39">
        <f t="shared" si="194"/>
        <v>0.37268222419074576</v>
      </c>
      <c r="BW78" s="394">
        <f>nonhighlands!$AY352</f>
        <v>0.28354283873738456</v>
      </c>
      <c r="BX78" s="6"/>
      <c r="BY78" s="6"/>
      <c r="BZ78" s="51">
        <f>nonmare!$BV194</f>
        <v>0.18183083901776625</v>
      </c>
      <c r="CA78" s="51">
        <f>nonmare!$BV235</f>
        <v>0.12890254094140721</v>
      </c>
      <c r="CB78" s="51">
        <f t="shared" si="195"/>
        <v>6.4671460556066651E-2</v>
      </c>
      <c r="CC78" s="394">
        <f>nonhighlands!$AY275</f>
        <v>0.55720253908245643</v>
      </c>
      <c r="CD78" s="394">
        <f>nonmare!$BV322</f>
        <v>0.10572132810698641</v>
      </c>
      <c r="CE78" s="394">
        <f t="shared" si="200"/>
        <v>3.9585252895447433E-2</v>
      </c>
      <c r="CF78" s="394">
        <f>nonmare!$BV436</f>
        <v>5.7664627994955864E-2</v>
      </c>
      <c r="CG78" s="394">
        <f t="shared" si="196"/>
        <v>0.14107638248964188</v>
      </c>
      <c r="CH78" s="394">
        <f t="shared" si="197"/>
        <v>0.14617994436493525</v>
      </c>
      <c r="CI78" s="394">
        <f>nonhighlands!$AY30</f>
        <v>0.34524819941768398</v>
      </c>
      <c r="CJ78" s="51">
        <f>nonmare!$BV470</f>
        <v>0.14003087074769274</v>
      </c>
      <c r="CK78" s="51">
        <f>nonmare!$BV485</f>
        <v>0.14203797614689503</v>
      </c>
      <c r="CL78" s="394">
        <f>nonhighlands!$AY176</f>
        <v>0.27162187053406017</v>
      </c>
      <c r="CM78" s="394">
        <f>nonhighlands!$AY164</f>
        <v>0.81461340165858231</v>
      </c>
      <c r="CN78" s="514" t="e">
        <f>(CL78*#REF!+#REF!*#REF!+CM78*#REF!)/#REF!</f>
        <v>#REF!</v>
      </c>
      <c r="CO78" s="394">
        <f>nonhighlands!$AY386</f>
        <v>3.7117001846567068</v>
      </c>
      <c r="CP78" s="51">
        <f>nonmare!$BV607</f>
        <v>0.16236807751753657</v>
      </c>
      <c r="CQ78" s="51">
        <f>nonmare!$BV612</f>
        <v>0.30785625</v>
      </c>
      <c r="CR78" s="51">
        <f>nonmare!$BV627</f>
        <v>0.12689842955598238</v>
      </c>
      <c r="CS78" s="51">
        <f>nonmare!$BV480</f>
        <v>0.11740432484584086</v>
      </c>
      <c r="CT78" s="51">
        <f>nonmare!$BV501</f>
        <v>0.17144858506754862</v>
      </c>
      <c r="CU78" s="51">
        <f>nonmare!$BV561</f>
        <v>0.2469417545339519</v>
      </c>
      <c r="CV78" s="51">
        <f>nonmare!$BV301</f>
        <v>7.5724416471307716</v>
      </c>
      <c r="CW78" s="51">
        <f>nonmare!$BV307</f>
        <v>2.4194475081146876</v>
      </c>
      <c r="CX78" s="51">
        <f>nonmare!$BV537</f>
        <v>9.8064284456961803E-2</v>
      </c>
      <c r="CY78" s="51">
        <f>nonmare!$BV543</f>
        <v>9.8854532138549028E-2</v>
      </c>
      <c r="CZ78" s="51">
        <f>nonmare!$BV555</f>
        <v>6.7413493228911728E-2</v>
      </c>
      <c r="DA78" s="51">
        <f>nonmare!$BV549</f>
        <v>0.13569609677017086</v>
      </c>
      <c r="DE78"/>
      <c r="DN78" s="111"/>
      <c r="DO78" s="111"/>
      <c r="DP78" s="111"/>
      <c r="DQ78" s="111"/>
      <c r="DR78" s="111"/>
      <c r="DV78" s="394">
        <f>nonmare!$BV328</f>
        <v>4.2178884758364309E-2</v>
      </c>
      <c r="DW78" s="394">
        <f>nonmare!$BV334</f>
        <v>3.9164294650452881E-2</v>
      </c>
      <c r="DX78" s="394">
        <f>nonmare!$BV340</f>
        <v>4.174230945296406E-2</v>
      </c>
      <c r="DY78" s="394"/>
      <c r="DZ78" s="394">
        <f>nonmare!$BV366</f>
        <v>4.1681299672744268E-2</v>
      </c>
      <c r="EA78" s="394">
        <f>nonmare!$BV374</f>
        <v>3.7946418018620733E-2</v>
      </c>
      <c r="EB78" s="394"/>
      <c r="EC78" s="394">
        <f>nonmare!$BV358</f>
        <v>3.7844203718089602E-2</v>
      </c>
      <c r="ED78" s="394"/>
      <c r="EE78" s="394"/>
      <c r="EF78" s="394">
        <f>nonmare!$BV400</f>
        <v>4.0447733612273364E-2</v>
      </c>
      <c r="EG78" s="51"/>
      <c r="EH78" s="394">
        <f>nonmare!$BV405</f>
        <v>3.8622586044565331E-2</v>
      </c>
      <c r="EI78" s="394"/>
      <c r="EJ78" s="394">
        <f>nonmare!$BV416</f>
        <v>3.6639546130952383E-2</v>
      </c>
      <c r="EK78" s="394"/>
      <c r="EL78" s="51">
        <f>nonmare!$BV426</f>
        <v>0.13672469412724306</v>
      </c>
      <c r="EM78" s="51">
        <f>nonmare!$BV431</f>
        <v>0.14272277125341609</v>
      </c>
      <c r="EQ78" s="51">
        <f>nonmare!$BV179</f>
        <v>0.18304381996801464</v>
      </c>
      <c r="ER78" s="51">
        <f>nonmare!$BV186</f>
        <v>0.1974176163782598</v>
      </c>
      <c r="ES78" s="51">
        <f>nonmare!$BV192</f>
        <v>0.15990573969280519</v>
      </c>
      <c r="ET78" s="51">
        <f>nonmare!$BV243</f>
        <v>5.8273766691762097E-2</v>
      </c>
      <c r="EU78" s="51">
        <f>nonmare!$BV249</f>
        <v>9.4309604768764516E-2</v>
      </c>
      <c r="EV78" s="51">
        <f>nonmare!$BV254</f>
        <v>4.1431010207673355E-2</v>
      </c>
      <c r="EW78" s="51"/>
      <c r="EX78" s="51"/>
      <c r="EY78" s="51"/>
      <c r="FC78">
        <v>2.4299999999999999E-2</v>
      </c>
      <c r="FD78" s="391">
        <v>7.5724416471307716</v>
      </c>
      <c r="FE78" s="33">
        <f t="shared" si="201"/>
        <v>311.62311305064907</v>
      </c>
      <c r="FH78" s="51">
        <f>nonmare!$BV447</f>
        <v>8.0542739653924611E-2</v>
      </c>
      <c r="FI78" s="392">
        <f t="shared" si="198"/>
        <v>8.0542739653924611E-2</v>
      </c>
      <c r="FJ78" s="392">
        <f t="shared" si="199"/>
        <v>9.5972349735931287E-2</v>
      </c>
    </row>
    <row r="79" spans="1:166" ht="11.1" customHeight="1" x14ac:dyDescent="0.2">
      <c r="A79" s="1" t="s">
        <v>178</v>
      </c>
      <c r="B79" s="6">
        <f>nonmare!$BW11</f>
        <v>0.76430315074432731</v>
      </c>
      <c r="C79" s="6">
        <f>nonmare!$BW131</f>
        <v>1.1553911720724492</v>
      </c>
      <c r="D79" s="6">
        <f>nonmare!$BW31</f>
        <v>0.90741972004940308</v>
      </c>
      <c r="E79" s="6">
        <f>nonmare!$BW577</f>
        <v>0.8352129374754228</v>
      </c>
      <c r="F79" s="6">
        <f>nonmare!$BW583</f>
        <v>0.61623991939672196</v>
      </c>
      <c r="G79" s="6">
        <f>nonmare!$BW589</f>
        <v>3.8578161973603771</v>
      </c>
      <c r="H79" s="6">
        <f>nonmare!$BW595</f>
        <v>0.66196195652173917</v>
      </c>
      <c r="I79" s="6">
        <f>nonmare!$BW601</f>
        <v>2.3062780965237937</v>
      </c>
      <c r="J79" s="6">
        <f t="shared" si="191"/>
        <v>1.4841200265227665</v>
      </c>
      <c r="K79" s="6">
        <f>nonmare!$BW294</f>
        <v>0.94799455013270129</v>
      </c>
      <c r="L79" s="6">
        <f>nonmare!$BW114</f>
        <v>0.88738756777878947</v>
      </c>
      <c r="M79" s="6">
        <f>nonmare!$BW84</f>
        <v>0.44600030972222221</v>
      </c>
      <c r="N79" s="6">
        <f>nonmare!$BW525</f>
        <v>0.45247633292275208</v>
      </c>
      <c r="O79" s="6">
        <f>nonmare!$BW531</f>
        <v>0.86007714912901867</v>
      </c>
      <c r="P79" s="6"/>
      <c r="Q79" s="6">
        <f>nonmare!$BW283</f>
        <v>3.3578716026241797</v>
      </c>
      <c r="R79" s="6">
        <f>nonhighlands!$AZ94</f>
        <v>2.7783803611738147</v>
      </c>
      <c r="S79" s="6">
        <f>nonhighlands!$AZ83</f>
        <v>2.3701095876461569</v>
      </c>
      <c r="T79" s="6">
        <f t="shared" si="202"/>
        <v>2.5199113415280627</v>
      </c>
      <c r="U79" s="6">
        <f>nonhighlands!$AZ105</f>
        <v>2.266</v>
      </c>
      <c r="V79" s="6">
        <f>nonhighlands!$AZ293</f>
        <v>2.5135919803464359</v>
      </c>
      <c r="W79" s="6">
        <f>nonhighlands!$AZ47</f>
        <v>2.6607609085388342</v>
      </c>
      <c r="X79" s="6">
        <f>nonhighlands!$AZ64</f>
        <v>2.4977645949166005</v>
      </c>
      <c r="Y79" s="38">
        <f t="shared" si="192"/>
        <v>2.5575708197068785</v>
      </c>
      <c r="Z79" s="6">
        <f>nonhighlands!$AZ210</f>
        <v>3.0921105794790003</v>
      </c>
      <c r="AA79" s="6">
        <f>nonhighlands!$AZ196</f>
        <v>2.3194148057923942</v>
      </c>
      <c r="AB79" s="6">
        <f>nonhighlands!$AZ334</f>
        <v>1.3596220715416785</v>
      </c>
      <c r="AC79" s="6">
        <f>nonhighlands!$AZ159</f>
        <v>5.2353698939345286</v>
      </c>
      <c r="AE79" s="6">
        <f>nonhighlands!$AZ12</f>
        <v>6.830909930204216</v>
      </c>
      <c r="AI79" s="6">
        <f>nonmare!$BW157</f>
        <v>0.83040235272647622</v>
      </c>
      <c r="AJ79" s="6">
        <f>nonmare!$BW170</f>
        <v>0.60810655227050858</v>
      </c>
      <c r="AK79" s="6">
        <f>nonmare!$BW490</f>
        <v>0.52844170506083077</v>
      </c>
      <c r="AL79" s="6">
        <f>nonhighlands!$AZ342</f>
        <v>0.40629812445834435</v>
      </c>
      <c r="AM79" s="6">
        <f>nonmare!$BW441</f>
        <v>0.56332825897212102</v>
      </c>
      <c r="AN79" s="6">
        <f>nonhighlands!$AZ303</f>
        <v>1.1029834426741645</v>
      </c>
      <c r="AO79" s="6">
        <f>nonhighlands!$AZ308</f>
        <v>2.56340069466372</v>
      </c>
      <c r="AP79" s="6">
        <f>nonhighlands!$AZ119</f>
        <v>5.0365722022229296</v>
      </c>
      <c r="AQ79" s="6">
        <f>nonmare!$BW265</f>
        <v>0.59124673383359738</v>
      </c>
      <c r="AR79" s="6">
        <f>nonmare!$BW274</f>
        <v>0.76400400643712074</v>
      </c>
      <c r="AS79" s="6">
        <f>nonhighlands!$AZ232</f>
        <v>4.2443636295575349</v>
      </c>
      <c r="AT79" s="6">
        <f>nonhighlands!$AZ313</f>
        <v>3.289687378876744</v>
      </c>
      <c r="AU79" s="6">
        <f>nonmare!$BW475</f>
        <v>0.27972693183340031</v>
      </c>
      <c r="AV79" s="6">
        <f>nonhighlands!$AZ298</f>
        <v>2.9301490591456258</v>
      </c>
      <c r="AW79" s="6">
        <f>nonmare!$BW463</f>
        <v>0.30139241265847289</v>
      </c>
      <c r="AX79" s="6">
        <f>nonhighlands!$AZ347</f>
        <v>11.208174099118377</v>
      </c>
      <c r="AY79" s="6">
        <f>nonhighlands!$AZ366</f>
        <v>5.2185213825424723</v>
      </c>
      <c r="AZ79" s="6">
        <f>nonmare!$BW513</f>
        <v>2.7648477028205884</v>
      </c>
      <c r="BA79" s="6">
        <f>nonhighlands!$AZ380</f>
        <v>2.3415035601920846</v>
      </c>
      <c r="BB79" s="6">
        <f>nonhighlands!$AZ374</f>
        <v>4.4561315630657816</v>
      </c>
      <c r="BC79" s="6">
        <f>nonmare!$BW507</f>
        <v>0.88679574286121521</v>
      </c>
      <c r="BD79" s="6">
        <f>nonmare!$BW519</f>
        <v>4.531268876179479</v>
      </c>
      <c r="BE79" s="6">
        <f>nonmare!$BW566</f>
        <v>1.6961969337289811</v>
      </c>
      <c r="BF79" s="6">
        <f>nonhighlands!$AZ319</f>
        <v>3.2722464511253846</v>
      </c>
      <c r="BG79" s="6">
        <f>nonhighlands!$AZ324</f>
        <v>2.8725914286836631</v>
      </c>
      <c r="BH79" s="6">
        <f>nonmare!$BW572</f>
        <v>0.28199999999999997</v>
      </c>
      <c r="BI79" s="6">
        <f>nonmare!$BW622</f>
        <v>1.1898499415356634</v>
      </c>
      <c r="BJ79" s="6">
        <f>nonmare!$BW627</f>
        <v>0.82646593605242336</v>
      </c>
      <c r="BK79" s="6">
        <f>nonmare!$BW632</f>
        <v>1.0593845502446371</v>
      </c>
      <c r="BL79" s="6">
        <f>nonmare!$BW637</f>
        <v>1.6049441772586739</v>
      </c>
      <c r="BM79" s="6">
        <f>nonmare!$BW642</f>
        <v>4.1439378039416432</v>
      </c>
      <c r="BN79" s="6">
        <f>nonhighlands!$AZ252</f>
        <v>3.5577145332246225</v>
      </c>
      <c r="BO79" s="6">
        <f>nonhighlands!$AZ257</f>
        <v>3.351957080855168</v>
      </c>
      <c r="BP79" s="38">
        <f t="shared" si="193"/>
        <v>3.4548358070398955</v>
      </c>
      <c r="BQ79" s="6">
        <f>nonhighlands!$AZ219</f>
        <v>4.700352362603935</v>
      </c>
      <c r="BR79" s="6">
        <f>nonhighlands!$AZ227</f>
        <v>3.3611546777680963</v>
      </c>
      <c r="BS79" s="6"/>
      <c r="BT79" s="6">
        <f>nonhighlands!$AZ237</f>
        <v>2.3911255807405323</v>
      </c>
      <c r="BU79" s="6">
        <f>nonhighlands!$AZ267</f>
        <v>2.97</v>
      </c>
      <c r="BV79" s="39">
        <f t="shared" si="194"/>
        <v>2.9074267528362099</v>
      </c>
      <c r="BW79" s="6">
        <f>nonhighlands!$AZ352</f>
        <v>1.3605411208932789</v>
      </c>
      <c r="BX79" s="6"/>
      <c r="BY79" s="6"/>
      <c r="BZ79" s="6">
        <f>nonmare!$BW194</f>
        <v>1.1641905438429847</v>
      </c>
      <c r="CA79" s="6">
        <f>nonmare!$BW235</f>
        <v>0.83683100453542536</v>
      </c>
      <c r="CB79" s="6">
        <f t="shared" si="195"/>
        <v>0.39438537092785247</v>
      </c>
      <c r="CC79" s="6">
        <f>nonhighlands!$AZ275</f>
        <v>3.393108971084092</v>
      </c>
      <c r="CD79" s="6">
        <f>nonmare!$BW322</f>
        <v>0.71141653216509115</v>
      </c>
      <c r="CE79" s="6">
        <f t="shared" si="200"/>
        <v>0.1935878088300354</v>
      </c>
      <c r="CF79" s="6">
        <f>nonmare!$BW436</f>
        <v>0.55380769230769233</v>
      </c>
      <c r="CG79" s="6">
        <f t="shared" si="196"/>
        <v>0.99928665121134341</v>
      </c>
      <c r="CH79" s="6">
        <f t="shared" si="197"/>
        <v>1.035436722297737</v>
      </c>
      <c r="CI79" s="6">
        <f>nonhighlands!$AZ30</f>
        <v>2.18105685242887</v>
      </c>
      <c r="CJ79" s="6">
        <f>nonmare!$BW470</f>
        <v>0.86884079762807076</v>
      </c>
      <c r="CK79" s="6">
        <f>nonmare!$BW485</f>
        <v>0.82489258395791998</v>
      </c>
      <c r="CL79" s="6">
        <f>nonhighlands!$AZ176</f>
        <v>1.7209070025935531</v>
      </c>
      <c r="CM79" s="6">
        <f>nonhighlands!$AZ164</f>
        <v>5.854236035049289</v>
      </c>
      <c r="CN79" s="514" t="e">
        <f>(CL79*#REF!+#REF!*#REF!+CM79*#REF!)/#REF!</f>
        <v>#REF!</v>
      </c>
      <c r="CO79" s="6">
        <f>nonhighlands!$AZ386</f>
        <v>29.524858150075538</v>
      </c>
      <c r="CP79" s="6">
        <f>nonmare!$BW607</f>
        <v>0.8459149922720246</v>
      </c>
      <c r="CQ79" s="6">
        <f>nonmare!$BW612</f>
        <v>1.8864158256880734</v>
      </c>
      <c r="CR79" s="6">
        <f>nonmare!$BW627</f>
        <v>0.82646593605242336</v>
      </c>
      <c r="CS79" s="6">
        <f>nonmare!$BW480</f>
        <v>0.63388992826880308</v>
      </c>
      <c r="CT79" s="6">
        <f>nonmare!$BW501</f>
        <v>0.9183623911890425</v>
      </c>
      <c r="CU79" s="6">
        <f>nonmare!$BW561</f>
        <v>1.4834862927035004</v>
      </c>
      <c r="CV79" s="6">
        <f>nonmare!$BW301</f>
        <v>58.344852716338792</v>
      </c>
      <c r="CW79" s="6">
        <f>nonmare!$BW307</f>
        <v>16.299092845550447</v>
      </c>
      <c r="CX79" s="6">
        <f>nonmare!$BW537</f>
        <v>0.62953764008683921</v>
      </c>
      <c r="CY79" s="6">
        <f>nonmare!$BW543</f>
        <v>0.45882879545062899</v>
      </c>
      <c r="CZ79" s="6">
        <f>nonmare!$BW555</f>
        <v>0.37151354217653787</v>
      </c>
      <c r="DA79" s="6">
        <f>nonmare!$BW549</f>
        <v>0.92995577170885824</v>
      </c>
      <c r="DN79" s="32"/>
      <c r="DO79" s="32"/>
      <c r="DP79" s="32"/>
      <c r="DQ79" s="32"/>
      <c r="DR79" s="32"/>
      <c r="DV79" s="6">
        <f>nonmare!$BW328</f>
        <v>0.21118736059479556</v>
      </c>
      <c r="DW79" s="6">
        <f>nonmare!$BW334</f>
        <v>0.21015473152179351</v>
      </c>
      <c r="DX79" s="6">
        <f>nonmare!$BW340</f>
        <v>0.20122980086976425</v>
      </c>
      <c r="DY79" s="6"/>
      <c r="DZ79" s="6">
        <f>nonmare!$BW366</f>
        <v>0.19301168770453486</v>
      </c>
      <c r="EA79" s="6">
        <f>nonmare!$BW374</f>
        <v>0.19571823604839161</v>
      </c>
      <c r="EB79" s="6"/>
      <c r="EC79" s="6">
        <f>nonmare!$BW358</f>
        <v>0.19026180182080213</v>
      </c>
      <c r="ED79" s="6"/>
      <c r="EE79" s="6"/>
      <c r="EF79" s="6">
        <f>nonmare!$BW400</f>
        <v>0.18948117154811714</v>
      </c>
      <c r="EG79" s="6"/>
      <c r="EH79" s="6">
        <f>nonmare!$BW405</f>
        <v>0.17206580186211945</v>
      </c>
      <c r="EI79" s="6"/>
      <c r="EJ79" s="6">
        <f>nonmare!$BW416</f>
        <v>0.17917968749999999</v>
      </c>
      <c r="EK79" s="6"/>
      <c r="EL79" s="6">
        <f>nonmare!$BW426</f>
        <v>1.0275870717781401</v>
      </c>
      <c r="EM79" s="6">
        <f>nonmare!$BW431</f>
        <v>0.9885796587635719</v>
      </c>
      <c r="EQ79" s="6">
        <f>nonmare!$BW179</f>
        <v>1.1785752798720586</v>
      </c>
      <c r="ER79" s="6">
        <f>nonmare!$BW186</f>
        <v>1.3783504265171829</v>
      </c>
      <c r="ES79" s="6">
        <f>nonmare!$BW192</f>
        <v>0.99841174885475614</v>
      </c>
      <c r="ET79" s="6">
        <f>nonmare!$BW243</f>
        <v>0.37136973491302455</v>
      </c>
      <c r="EU79" s="6">
        <f>nonmare!$BW249</f>
        <v>0.57604891746926579</v>
      </c>
      <c r="EV79" s="6">
        <f>nonmare!$BW254</f>
        <v>0.23573746040126714</v>
      </c>
      <c r="EW79" s="6"/>
      <c r="EX79" s="6"/>
      <c r="EY79" s="6"/>
      <c r="FC79">
        <v>0.104</v>
      </c>
      <c r="FD79">
        <v>58.344852716338792</v>
      </c>
      <c r="FE79" s="33">
        <f t="shared" si="201"/>
        <v>561.00819919556534</v>
      </c>
      <c r="FH79" s="6">
        <f>nonmare!$BW447</f>
        <v>0.33373820646095137</v>
      </c>
      <c r="FI79" s="323">
        <f t="shared" si="198"/>
        <v>0.33373820646095137</v>
      </c>
      <c r="FJ79" s="323">
        <f t="shared" si="199"/>
        <v>0.39767258983662046</v>
      </c>
    </row>
    <row r="80" spans="1:166" ht="11.1" customHeight="1" x14ac:dyDescent="0.2">
      <c r="A80" s="1" t="s">
        <v>179</v>
      </c>
      <c r="B80" s="3">
        <f>nonmare!$BX11</f>
        <v>9.3291342679577977E-2</v>
      </c>
      <c r="C80" s="3">
        <f>nonmare!$BX131</f>
        <v>0.15283542384955404</v>
      </c>
      <c r="D80" s="3">
        <f>nonmare!$BX31</f>
        <v>0.10622466378482227</v>
      </c>
      <c r="E80" s="3">
        <f>nonmare!$BX577</f>
        <v>0.10208244855157951</v>
      </c>
      <c r="F80" s="3">
        <f>nonmare!$BX583</f>
        <v>7.6081683528263097E-2</v>
      </c>
      <c r="G80" s="3">
        <f>nonmare!$BX589</f>
        <v>0.44466242313086635</v>
      </c>
      <c r="H80" s="3">
        <f>nonmare!$BX595</f>
        <v>8.2258639105302858E-2</v>
      </c>
      <c r="I80" s="3">
        <f>nonmare!$BX601</f>
        <v>0.26210499186941982</v>
      </c>
      <c r="J80" s="3">
        <f t="shared" si="191"/>
        <v>0.17218181548736133</v>
      </c>
      <c r="K80" s="3">
        <f>nonmare!$BX294</f>
        <v>0.17494036886214603</v>
      </c>
      <c r="L80" s="3">
        <f>nonmare!$BX114</f>
        <v>0.11076109571345316</v>
      </c>
      <c r="M80" s="3">
        <f>nonmare!$BX84</f>
        <v>5.6465362318840577E-2</v>
      </c>
      <c r="N80" s="3">
        <f>nonmare!$BX525</f>
        <v>6.6137427415097663E-2</v>
      </c>
      <c r="O80" s="3">
        <f>nonmare!$BX531</f>
        <v>0.11464392437331822</v>
      </c>
      <c r="P80" s="6"/>
      <c r="Q80" s="3">
        <f>nonmare!$BX283</f>
        <v>0.45965229615745068</v>
      </c>
      <c r="R80" s="6">
        <f>nonhighlands!$BA94</f>
        <v>0.3623335266463833</v>
      </c>
      <c r="S80" s="6">
        <f>nonhighlands!$BA83</f>
        <v>0.28781028368794326</v>
      </c>
      <c r="T80" s="6">
        <f t="shared" si="202"/>
        <v>0.31515417706459087</v>
      </c>
      <c r="U80" s="6">
        <f>nonhighlands!$BA105</f>
        <v>0.28800000000000003</v>
      </c>
      <c r="V80" s="6">
        <f>nonhighlands!$BA293</f>
        <v>0.23444636908727512</v>
      </c>
      <c r="W80" s="6">
        <f>nonhighlands!$BA47</f>
        <v>0.31330177274489174</v>
      </c>
      <c r="X80" s="6">
        <f>nonhighlands!$BA64</f>
        <v>0.33328250595710884</v>
      </c>
      <c r="Y80" s="38">
        <f t="shared" si="192"/>
        <v>0.32595122222799366</v>
      </c>
      <c r="Z80" s="6">
        <f>nonhighlands!$BA210</f>
        <v>0.3455396065922382</v>
      </c>
      <c r="AA80" s="6">
        <f>nonhighlands!$BA196</f>
        <v>0.28005575856002168</v>
      </c>
      <c r="AB80" s="6">
        <f>nonhighlands!$BA334</f>
        <v>0.13235238945958014</v>
      </c>
      <c r="AC80" s="6">
        <f>nonhighlands!$BA159</f>
        <v>0.72688846964366993</v>
      </c>
      <c r="AE80" s="6">
        <f>nonhighlands!$BA12</f>
        <v>0.91542819158757704</v>
      </c>
      <c r="AI80" s="3">
        <f>nonmare!$BX157</f>
        <v>0.1125814614905022</v>
      </c>
      <c r="AJ80" s="3">
        <f>nonmare!$BX170</f>
        <v>0.12263044448695874</v>
      </c>
      <c r="AK80" s="3">
        <f>nonmare!$BX490</f>
        <v>6.981768771146786E-2</v>
      </c>
      <c r="AL80" s="6">
        <f>nonhighlands!$BA342</f>
        <v>3.3305196126455404E-2</v>
      </c>
      <c r="AM80" s="3">
        <f>nonmare!$BX441</f>
        <v>7.5307927298865332E-2</v>
      </c>
      <c r="AN80" s="6">
        <f>nonhighlands!$BA303</f>
        <v>0.1506419868791003</v>
      </c>
      <c r="AO80" s="6">
        <f>nonhighlands!$BA308</f>
        <v>0.3412586043574361</v>
      </c>
      <c r="AP80" s="6">
        <f>nonhighlands!$BA119</f>
        <v>0.71464537170756615</v>
      </c>
      <c r="AQ80" s="3">
        <f>nonmare!$BX265</f>
        <v>7.9217181380609278E-2</v>
      </c>
      <c r="AR80" s="3">
        <f>nonmare!$BX274</f>
        <v>0.14644075837328596</v>
      </c>
      <c r="AS80" s="6">
        <f>nonhighlands!$BA232</f>
        <v>0.51991277981582695</v>
      </c>
      <c r="AT80" s="6">
        <f>nonhighlands!$BA313</f>
        <v>0.38384653563502158</v>
      </c>
      <c r="AU80" s="3">
        <f>nonmare!$BX475</f>
        <v>3.6974152939600907E-2</v>
      </c>
      <c r="AV80" s="6">
        <f>nonhighlands!$BA298</f>
        <v>0.34257007518143501</v>
      </c>
      <c r="AW80" s="3">
        <f>nonmare!$BX463</f>
        <v>3.4874547566050525E-2</v>
      </c>
      <c r="AX80" s="6">
        <f>nonhighlands!$BA347</f>
        <v>1.5479361465377042</v>
      </c>
      <c r="AY80" s="6">
        <f>nonhighlands!$BA366</f>
        <v>0.67940513850531425</v>
      </c>
      <c r="AZ80" s="3">
        <f>nonmare!$BX513</f>
        <v>0.34405804739749934</v>
      </c>
      <c r="BA80" s="6">
        <f>nonhighlands!$BA380</f>
        <v>0.26205442402163714</v>
      </c>
      <c r="BB80" s="6">
        <f>nonhighlands!$BA374</f>
        <v>0.23617682558841283</v>
      </c>
      <c r="BC80" s="3">
        <f>nonmare!$BX507</f>
        <v>0.14121542262555234</v>
      </c>
      <c r="BD80" s="3">
        <f>nonmare!$BX519</f>
        <v>0.57322499864686893</v>
      </c>
      <c r="BE80" s="3">
        <f>nonmare!$BX566</f>
        <v>0.20179179030662714</v>
      </c>
      <c r="BF80" s="6">
        <f>nonhighlands!$BA319</f>
        <v>0.40369622712797543</v>
      </c>
      <c r="BG80" s="6">
        <f>nonhighlands!$BA324</f>
        <v>0.36020795851828569</v>
      </c>
      <c r="BH80" s="3">
        <f>nonmare!$BX572</f>
        <v>4.2999999999999997E-2</v>
      </c>
      <c r="BI80" s="3">
        <f>nonmare!$BX622</f>
        <v>0.15731510112164915</v>
      </c>
      <c r="BJ80" s="3">
        <f>nonmare!$BX627</f>
        <v>0.11206835385832108</v>
      </c>
      <c r="BK80" s="3">
        <f>nonmare!$BX632</f>
        <v>0.13644812445113538</v>
      </c>
      <c r="BL80" s="3">
        <f>nonmare!$BX637</f>
        <v>0.18643799381655787</v>
      </c>
      <c r="BM80" s="3">
        <f>nonmare!$BX642</f>
        <v>0.48934796519068341</v>
      </c>
      <c r="BN80" s="6">
        <f>nonhighlands!$BA252</f>
        <v>0.43663575214023637</v>
      </c>
      <c r="BO80" s="6">
        <f>nonhighlands!$BA257</f>
        <v>0.41008198038900495</v>
      </c>
      <c r="BP80" s="38">
        <f t="shared" si="193"/>
        <v>0.42335886626462066</v>
      </c>
      <c r="BQ80" s="6">
        <f>nonhighlands!$BA219</f>
        <v>0.55432904076252287</v>
      </c>
      <c r="BR80" s="6">
        <f>nonhighlands!$BA227</f>
        <v>0.38801758802078296</v>
      </c>
      <c r="BS80" s="6"/>
      <c r="BT80" s="6">
        <f>nonhighlands!$BA237</f>
        <v>0.23225397719273547</v>
      </c>
      <c r="BU80" s="6">
        <f>nonhighlands!$BA267</f>
        <v>0.318</v>
      </c>
      <c r="BV80" s="39">
        <f t="shared" si="194"/>
        <v>0.31275718840450617</v>
      </c>
      <c r="BW80" s="6">
        <f>nonhighlands!$BA352</f>
        <v>0.18454283873738456</v>
      </c>
      <c r="BX80" s="3"/>
      <c r="BY80" s="3"/>
      <c r="BZ80" s="3">
        <f>nonmare!$BX194</f>
        <v>0.1260092367265101</v>
      </c>
      <c r="CA80" s="3">
        <f>nonmare!$BX235</f>
        <v>0.11446339819808778</v>
      </c>
      <c r="CB80" s="3">
        <f t="shared" si="195"/>
        <v>5.4816606075446722E-2</v>
      </c>
      <c r="CC80" s="6">
        <f>nonhighlands!$BA275</f>
        <v>0.72827832839480933</v>
      </c>
      <c r="CD80" s="3">
        <f>nonmare!$BX322</f>
        <v>9.0007954807470605E-2</v>
      </c>
      <c r="CE80" s="3">
        <f t="shared" si="200"/>
        <v>2.8658141586203192E-2</v>
      </c>
      <c r="CF80" s="3">
        <f>nonmare!$BX436</f>
        <v>0.16955422446406054</v>
      </c>
      <c r="CG80" s="3">
        <f t="shared" si="196"/>
        <v>0.11769191488968662</v>
      </c>
      <c r="CH80" s="3">
        <f t="shared" si="197"/>
        <v>0.12194952313892975</v>
      </c>
      <c r="CI80" s="6">
        <f>nonhighlands!$BA30</f>
        <v>0.29886662920774376</v>
      </c>
      <c r="CJ80" s="3">
        <f>nonmare!$BX470</f>
        <v>0.13252668420348657</v>
      </c>
      <c r="CK80" s="3">
        <f>nonmare!$BX485</f>
        <v>0.10936084083158321</v>
      </c>
      <c r="CL80" s="6">
        <f>nonhighlands!$BA176</f>
        <v>0.23488651881649289</v>
      </c>
      <c r="CM80" s="6">
        <f>nonhighlands!$BA164</f>
        <v>0.66611477077139725</v>
      </c>
      <c r="CN80" s="514" t="e">
        <f>(CL80*#REF!+#REF!*#REF!+CM80*#REF!)/#REF!</f>
        <v>#REF!</v>
      </c>
      <c r="CO80" s="6">
        <f>nonhighlands!$BA386</f>
        <v>3.7108547926808795</v>
      </c>
      <c r="CP80" s="3">
        <f>nonmare!$BX607</f>
        <v>0.12725044584472714</v>
      </c>
      <c r="CQ80" s="3">
        <f>nonmare!$BX612</f>
        <v>0.29447373853211012</v>
      </c>
      <c r="CR80" s="3">
        <f>nonmare!$BX627</f>
        <v>0.11206835385832108</v>
      </c>
      <c r="CS80" s="3">
        <f>nonmare!$BX480</f>
        <v>8.6874155795125627E-2</v>
      </c>
      <c r="CT80" s="3">
        <f>nonmare!$BX501</f>
        <v>0.11397031293875386</v>
      </c>
      <c r="CU80" s="3">
        <f>nonmare!$BX561</f>
        <v>0.224614972585407</v>
      </c>
      <c r="CV80" s="3">
        <f>nonmare!$BX301</f>
        <v>6.7762817245948419</v>
      </c>
      <c r="CW80" s="3">
        <f>nonmare!$BX307</f>
        <v>2.2066033270219103</v>
      </c>
      <c r="CX80" s="3">
        <f>nonmare!$BX537</f>
        <v>7.2581353048172259E-2</v>
      </c>
      <c r="CY80" s="3">
        <f>nonmare!$BX543</f>
        <v>5.7431500947785624E-2</v>
      </c>
      <c r="CZ80" s="3">
        <f>nonmare!$BX555</f>
        <v>5.4388263447000595E-2</v>
      </c>
      <c r="DA80" s="3">
        <f>nonmare!$BX549</f>
        <v>0.11488614540466391</v>
      </c>
      <c r="DM80" s="30"/>
      <c r="DN80" s="30"/>
      <c r="DO80" s="30"/>
      <c r="DP80" s="30"/>
      <c r="DQ80" s="30"/>
      <c r="DR80" s="30"/>
      <c r="DS80" s="30"/>
      <c r="DV80" s="3">
        <f>nonmare!$BX328</f>
        <v>3.6031226765799257E-2</v>
      </c>
      <c r="DW80" s="3">
        <f>nonmare!$BX334</f>
        <v>2.9419806835810441E-2</v>
      </c>
      <c r="DX80" s="3">
        <f>nonmare!$BX340</f>
        <v>3.1032158388647292E-2</v>
      </c>
      <c r="DY80" s="3"/>
      <c r="DZ80" s="3">
        <f>nonmare!$BX366</f>
        <v>3.1482468443197749E-2</v>
      </c>
      <c r="EA80" s="3">
        <f>nonmare!$BX374</f>
        <v>2.3786419133634384E-2</v>
      </c>
      <c r="EB80" s="3"/>
      <c r="EC80" s="3">
        <f>nonmare!$BX358</f>
        <v>2.7273436676157333E-2</v>
      </c>
      <c r="ED80" s="3"/>
      <c r="EE80" s="3"/>
      <c r="EF80" s="3">
        <f>nonmare!$BX400</f>
        <v>2.6795066248256626E-2</v>
      </c>
      <c r="EG80" s="3"/>
      <c r="EH80" s="3">
        <f>nonmare!$BX405</f>
        <v>2.5990898629563761E-2</v>
      </c>
      <c r="EI80" s="3"/>
      <c r="EJ80" s="3">
        <f>nonmare!$BX416</f>
        <v>2.6111793154761906E-2</v>
      </c>
      <c r="EK80" s="3"/>
      <c r="EL80" s="3">
        <f>nonmare!$BX426</f>
        <v>0.11054424959216966</v>
      </c>
      <c r="EM80" s="3">
        <f>nonmare!$BX431</f>
        <v>0.12039611492724721</v>
      </c>
      <c r="EQ80" s="3">
        <f>nonmare!$BX179</f>
        <v>0.12126780900159928</v>
      </c>
      <c r="ER80" s="3">
        <f>nonmare!$BX186</f>
        <v>0.15786502559103097</v>
      </c>
      <c r="ES80" s="3">
        <f>nonmare!$BX192</f>
        <v>0.11617192131500943</v>
      </c>
      <c r="ET80" s="3">
        <f>nonmare!$BX243</f>
        <v>4.939961168126164E-2</v>
      </c>
      <c r="EU80" s="3">
        <f>nonmare!$BX249</f>
        <v>8.5901755295518495E-2</v>
      </c>
      <c r="EV80" s="3">
        <f>nonmare!$BX254</f>
        <v>2.9148451249560021E-2</v>
      </c>
      <c r="EW80" s="3"/>
      <c r="EX80" s="3"/>
      <c r="EY80" s="3"/>
      <c r="FC80">
        <v>1.4200000000000001E-2</v>
      </c>
      <c r="FD80">
        <v>6.7762817245948419</v>
      </c>
      <c r="FE80" s="33">
        <f t="shared" si="201"/>
        <v>477.20293835174942</v>
      </c>
      <c r="FH80" s="3">
        <f>nonmare!$BX447</f>
        <v>4.2734193039015725E-2</v>
      </c>
      <c r="FI80" s="323">
        <f t="shared" si="198"/>
        <v>4.2734193039015725E-2</v>
      </c>
      <c r="FJ80" s="323">
        <f t="shared" si="199"/>
        <v>5.0920802267785455E-2</v>
      </c>
    </row>
    <row r="81" spans="1:166" ht="11.1" customHeight="1" x14ac:dyDescent="0.2">
      <c r="A81" s="1" t="s">
        <v>180</v>
      </c>
      <c r="B81" s="7">
        <f>nonmare!$BZ11</f>
        <v>6.7225971961266087</v>
      </c>
      <c r="C81" s="7">
        <f>nonmare!$BZ131</f>
        <v>15.417996808473378</v>
      </c>
      <c r="D81" s="7">
        <f>nonmare!$BZ31</f>
        <v>6.5020172910662835</v>
      </c>
      <c r="E81" s="7">
        <f>nonmare!$BZ577</f>
        <v>6.5817538340542674</v>
      </c>
      <c r="F81" s="7">
        <f>nonmare!$BZ583</f>
        <v>1.9337204229594696</v>
      </c>
      <c r="G81" s="7">
        <f>nonmare!$BZ589</f>
        <v>8.665379221059446</v>
      </c>
      <c r="H81" s="7">
        <f>nonmare!$BZ595</f>
        <v>2.4484449610454893</v>
      </c>
      <c r="I81" s="7">
        <f>nonmare!$BZ601</f>
        <v>3.0340235633418215</v>
      </c>
      <c r="J81" s="7">
        <f t="shared" si="191"/>
        <v>2.7412342621936556</v>
      </c>
      <c r="K81" s="7">
        <f>nonmare!$BZ294</f>
        <v>16.834617800198547</v>
      </c>
      <c r="L81" s="7">
        <f>nonmare!$BZ114</f>
        <v>6.7710629218130203</v>
      </c>
      <c r="M81" s="7">
        <f>nonmare!$BZ84</f>
        <v>5.3582509057971013</v>
      </c>
      <c r="N81" s="7">
        <f>nonmare!$BZ525</f>
        <v>3.2105402076368117</v>
      </c>
      <c r="O81" s="7">
        <f>nonmare!$BZ531</f>
        <v>12.311301515366099</v>
      </c>
      <c r="P81" s="7"/>
      <c r="Q81" s="7">
        <f>nonmare!$BZ283</f>
        <v>22.672263355201501</v>
      </c>
      <c r="R81" s="7">
        <f>nonhighlands!$BC94</f>
        <v>4.0731276559303673</v>
      </c>
      <c r="S81" s="7">
        <f>nonhighlands!$BC83</f>
        <v>4.7429521276595743</v>
      </c>
      <c r="T81" s="7">
        <f t="shared" si="202"/>
        <v>4.4971817047829559</v>
      </c>
      <c r="U81" s="7">
        <f>nonhighlands!$BC105</f>
        <v>6.6400000000000006</v>
      </c>
      <c r="V81" s="7">
        <f>nonhighlands!$BC293</f>
        <v>7.1222559960026643</v>
      </c>
      <c r="W81" s="7">
        <f>nonhighlands!$BC47</f>
        <v>0.63590967748905736</v>
      </c>
      <c r="X81" s="7">
        <f>nonhighlands!$BC64</f>
        <v>0.53313741064336773</v>
      </c>
      <c r="Y81" s="38">
        <f t="shared" si="192"/>
        <v>0.57084636955531554</v>
      </c>
      <c r="Z81" s="7">
        <f>nonhighlands!$BC210</f>
        <v>0</v>
      </c>
      <c r="AA81" s="7">
        <f>nonhighlands!$BC196</f>
        <v>0</v>
      </c>
      <c r="AB81" s="7">
        <f>nonhighlands!$BC334</f>
        <v>0.41695436273350678</v>
      </c>
      <c r="AC81" s="7">
        <f>nonhighlands!$BC159</f>
        <v>0.45101937885666538</v>
      </c>
      <c r="AE81" s="248">
        <f>nonhighlands!BC12</f>
        <v>3.7760737102551802</v>
      </c>
      <c r="AI81" s="7">
        <f>nonmare!$BZ157</f>
        <v>10.731931892871524</v>
      </c>
      <c r="AJ81" s="7">
        <f>nonmare!$BZ170</f>
        <v>3.4317872069579551</v>
      </c>
      <c r="AK81" s="7">
        <f>nonmare!$BZ490</f>
        <v>2.6675293355409977</v>
      </c>
      <c r="AL81" s="7">
        <f>nonhighlands!$BC342</f>
        <v>0.62003089792381028</v>
      </c>
      <c r="AM81" s="7">
        <f>nonmare!$BZ441</f>
        <v>2.5886173435333979</v>
      </c>
      <c r="AN81" s="7"/>
      <c r="AO81" s="7"/>
      <c r="AP81" s="7"/>
      <c r="AQ81" s="7">
        <f>nonmare!$BZ265</f>
        <v>5.6082214714939163</v>
      </c>
      <c r="AR81" s="7">
        <f>nonmare!$BZ274</f>
        <v>11.306393536057934</v>
      </c>
      <c r="AS81" s="7">
        <f>nonhighlands!$BC232</f>
        <v>0.70109305981882175</v>
      </c>
      <c r="AT81" s="7">
        <f>nonhighlands!$BC313</f>
        <v>6.0721885013655355</v>
      </c>
      <c r="AU81" s="7">
        <f>nonmare!$BZ475</f>
        <v>3.0363465916700147</v>
      </c>
      <c r="AV81" s="7">
        <f>nonhighlands!$BC298</f>
        <v>5.9859588892268922</v>
      </c>
      <c r="AW81" s="7">
        <f>nonmare!$BZ463</f>
        <v>1.690118068324785</v>
      </c>
      <c r="AX81" s="7">
        <f>nonhighlands!$BC347</f>
        <v>3.7396439270735256</v>
      </c>
      <c r="AY81" s="7"/>
      <c r="AZ81" s="7">
        <f>nonmare!$BZ513</f>
        <v>11.857418580982845</v>
      </c>
      <c r="BA81" s="7">
        <f>nonhighlands!$BC380</f>
        <v>3.4264944527239609</v>
      </c>
      <c r="BB81" s="7">
        <f>nonhighlands!$BC374</f>
        <v>0.48713789981894995</v>
      </c>
      <c r="BC81" s="7">
        <f>nonmare!$BZ507</f>
        <v>27.434536988644457</v>
      </c>
      <c r="BD81" s="7">
        <f>nonmare!$BZ519</f>
        <v>18.241554657477401</v>
      </c>
      <c r="BE81" s="7">
        <f>nonmare!$BZ566</f>
        <v>17.761068249258162</v>
      </c>
      <c r="BF81" s="7">
        <f>nonhighlands!$BC319</f>
        <v>3.558903222324175</v>
      </c>
      <c r="BG81" s="7">
        <f>nonhighlands!$BC324</f>
        <v>7.1501237380681149</v>
      </c>
      <c r="BH81" s="7">
        <f>nonmare!$BZ572</f>
        <v>1.1000000000000001</v>
      </c>
      <c r="BI81" s="7">
        <f>nonmare!$BZ622</f>
        <v>7.3426486509895641</v>
      </c>
      <c r="BJ81" s="7">
        <f>nonmare!$BZ627</f>
        <v>4.8916732572590664</v>
      </c>
      <c r="BK81" s="7">
        <f>nonmare!$BZ632</f>
        <v>7.1414063480115422</v>
      </c>
      <c r="BL81" s="7">
        <f>nonmare!$BZ637</f>
        <v>4.7036241841291648</v>
      </c>
      <c r="BM81" s="7">
        <f>nonmare!$BZ642</f>
        <v>9.3548758638341436</v>
      </c>
      <c r="BN81" s="7">
        <f>nonhighlands!$BC252</f>
        <v>0.23916123114553603</v>
      </c>
      <c r="BO81" s="7">
        <f>nonhighlands!$BC257</f>
        <v>0.23509082141134865</v>
      </c>
      <c r="BP81" s="38">
        <f t="shared" si="193"/>
        <v>0.23712602627844234</v>
      </c>
      <c r="BQ81" s="7">
        <f>nonhighlands!$BC219</f>
        <v>0.2328128168728453</v>
      </c>
      <c r="BR81" s="7">
        <f>nonhighlands!$BC227</f>
        <v>0</v>
      </c>
      <c r="BS81" s="7"/>
      <c r="BT81" s="7">
        <f>nonhighlands!$BC237</f>
        <v>0.43697029424186956</v>
      </c>
      <c r="BU81" s="7">
        <f>nonhighlands!$BC267</f>
        <v>0.08</v>
      </c>
      <c r="BV81" s="39">
        <f t="shared" si="194"/>
        <v>0.17232343141395653</v>
      </c>
      <c r="BW81" s="7">
        <f>nonhighlands!$BC352</f>
        <v>2.9502254670388659</v>
      </c>
      <c r="BX81" s="7"/>
      <c r="BY81" s="7"/>
      <c r="BZ81" s="7">
        <f>nonmare!$BZ194</f>
        <v>4.8576569365515425</v>
      </c>
      <c r="CA81" s="7">
        <f>nonmare!$BZ235</f>
        <v>6.4620540783261173</v>
      </c>
      <c r="CB81" s="7">
        <f t="shared" si="195"/>
        <v>5.5285929115945356</v>
      </c>
      <c r="CC81" s="7"/>
      <c r="CD81" s="7">
        <f>nonmare!$BZ322</f>
        <v>2.467581277380678</v>
      </c>
      <c r="CE81" s="7">
        <f t="shared" si="200"/>
        <v>1.0750232466405392</v>
      </c>
      <c r="CF81" s="7">
        <f>nonmare!$BZ436</f>
        <v>1.3063682219419925</v>
      </c>
      <c r="CG81" s="7">
        <f t="shared" si="196"/>
        <v>10.968255745448184</v>
      </c>
      <c r="CH81" s="7">
        <f t="shared" si="197"/>
        <v>11.365042017346294</v>
      </c>
      <c r="CI81" s="7">
        <f>nonhighlands!$BC30</f>
        <v>5.3355110588956425</v>
      </c>
      <c r="CJ81" s="7">
        <f>nonmare!$BZ470</f>
        <v>6.4109564997696431</v>
      </c>
      <c r="CK81" s="7">
        <f>nonmare!$BZ485</f>
        <v>3.8542417294464464</v>
      </c>
      <c r="CL81" s="7">
        <f>nonhighlands!$BC176</f>
        <v>17.614857354575769</v>
      </c>
      <c r="CM81" s="7">
        <f>nonhighlands!$BC164</f>
        <v>17.76957048975121</v>
      </c>
      <c r="CN81" s="514" t="e">
        <f>(CL81*#REF!+#REF!*#REF!+CM81*#REF!)/#REF!</f>
        <v>#REF!</v>
      </c>
      <c r="CO81" s="7">
        <f>nonhighlands!$BC386</f>
        <v>22.473500083934869</v>
      </c>
      <c r="CP81" s="7">
        <f>nonmare!$BZ607</f>
        <v>73.079734871002245</v>
      </c>
      <c r="CQ81" s="7">
        <f>nonmare!$BZ612</f>
        <v>11.260051605504588</v>
      </c>
      <c r="CR81" s="7">
        <f>nonmare!$BZ627</f>
        <v>4.8916732572590664</v>
      </c>
      <c r="CS81" s="7">
        <f>nonmare!$BZ480</f>
        <v>2.3533956961281928</v>
      </c>
      <c r="CT81" s="7">
        <f>nonmare!$BZ501</f>
        <v>19.823801441452684</v>
      </c>
      <c r="CU81" s="7">
        <f>nonmare!$BZ561</f>
        <v>18.450708561788272</v>
      </c>
      <c r="CV81" s="7">
        <f>nonmare!$BZ301</f>
        <v>5.2262052797879921</v>
      </c>
      <c r="CW81" s="7">
        <f>nonmare!$BZ307</f>
        <v>1.1495875033811198</v>
      </c>
      <c r="CX81" s="7">
        <f>nonmare!$BZ537</f>
        <v>9.6714721586575134</v>
      </c>
      <c r="CY81" s="7">
        <f>nonmare!$BZ543</f>
        <v>2.5526537997587453</v>
      </c>
      <c r="CZ81" s="7">
        <f>nonmare!$BZ555</f>
        <v>6.7701065970522665</v>
      </c>
      <c r="DA81" s="7">
        <f>nonmare!$BZ549</f>
        <v>5.2022114145570937</v>
      </c>
      <c r="DM81">
        <v>1.1460966542750928</v>
      </c>
      <c r="DN81" s="32">
        <v>0.89615022769353958</v>
      </c>
      <c r="DO81" s="32">
        <v>1.1067063401235981</v>
      </c>
      <c r="DP81" s="32">
        <v>1.6070126227208978</v>
      </c>
      <c r="DQ81" s="32">
        <v>0.79520048814504884</v>
      </c>
      <c r="DR81" s="32">
        <v>0.69913170833769223</v>
      </c>
      <c r="DS81">
        <v>1.2671428571428571</v>
      </c>
      <c r="DT81">
        <v>1.1250304052866533</v>
      </c>
      <c r="DU81">
        <v>1.1250304052866533</v>
      </c>
      <c r="DV81" s="7">
        <f>nonmare!$BZ328</f>
        <v>1.1460966542750928</v>
      </c>
      <c r="DW81" s="7">
        <f>nonmare!$BZ334</f>
        <v>0.89615022769353958</v>
      </c>
      <c r="DX81" s="7">
        <f>nonmare!$BZ340</f>
        <v>1.1067063401235981</v>
      </c>
      <c r="DY81" s="7"/>
      <c r="DZ81" s="7">
        <f>nonmare!$BZ366</f>
        <v>1.6070126227208978</v>
      </c>
      <c r="EA81" s="7">
        <f>nonmare!$BZ374</f>
        <v>1.0327379160394714</v>
      </c>
      <c r="EB81" s="7"/>
      <c r="EC81" s="7">
        <f>nonmare!$BZ358</f>
        <v>1.1250304052866533</v>
      </c>
      <c r="ED81" s="7"/>
      <c r="EE81" s="7"/>
      <c r="EF81" s="7">
        <f>nonmare!$BZ400</f>
        <v>0.79520048814504884</v>
      </c>
      <c r="EG81" s="7"/>
      <c r="EH81" s="7">
        <f>nonmare!$BZ405</f>
        <v>0.69913170833769223</v>
      </c>
      <c r="EI81" s="7"/>
      <c r="EJ81" s="7">
        <f>nonmare!$BZ416</f>
        <v>1.2671428571428571</v>
      </c>
      <c r="EK81" s="7"/>
      <c r="EL81" s="7">
        <f>nonmare!$BZ426</f>
        <v>11.152630505709626</v>
      </c>
      <c r="EM81" s="7">
        <f>nonmare!$BZ431</f>
        <v>10.89850062781594</v>
      </c>
      <c r="EQ81" s="7">
        <f>nonmare!$BZ179</f>
        <v>5.1338496687228696</v>
      </c>
      <c r="ER81" s="7">
        <f>nonmare!$BZ186</f>
        <v>3.8518888618084333</v>
      </c>
      <c r="ES81" s="7">
        <f>nonmare!$BZ192</f>
        <v>3.8787388843977366</v>
      </c>
      <c r="ET81" s="7">
        <f>nonmare!$BZ243</f>
        <v>4.3741312358838211</v>
      </c>
      <c r="EU81" s="7">
        <f>nonmare!$BZ249</f>
        <v>9.6935900367385734</v>
      </c>
      <c r="EV81" s="7">
        <f>nonmare!$BZ254</f>
        <v>2.5180574621612108</v>
      </c>
      <c r="EW81" s="7">
        <v>7.4774256939326946</v>
      </c>
      <c r="EX81" s="7"/>
      <c r="EY81" s="7"/>
      <c r="FD81">
        <v>5.2262052797879921</v>
      </c>
      <c r="FE81" s="33"/>
      <c r="FH81" s="7">
        <f>nonmare!$BZ447</f>
        <v>1.8284130534903615</v>
      </c>
      <c r="FI81" s="323">
        <f t="shared" si="198"/>
        <v>1.8284130534903615</v>
      </c>
      <c r="FJ81" s="323">
        <f t="shared" si="199"/>
        <v>2.1786829922263333</v>
      </c>
    </row>
    <row r="82" spans="1:166" ht="11.1" customHeight="1" x14ac:dyDescent="0.2">
      <c r="A82" s="1" t="s">
        <v>181</v>
      </c>
      <c r="B82" s="7">
        <f>nonmare!$CA11</f>
        <v>2.2089948964576793</v>
      </c>
      <c r="C82" s="7">
        <f>nonmare!$CA131</f>
        <v>4.8078249501800556</v>
      </c>
      <c r="D82" s="7">
        <f>nonmare!$CA31</f>
        <v>2.479707275822054</v>
      </c>
      <c r="E82" s="7">
        <f>nonmare!$CA577</f>
        <v>1.5550465329663128</v>
      </c>
      <c r="F82" s="7">
        <f>nonmare!$CA583</f>
        <v>0.16907991773479861</v>
      </c>
      <c r="G82" s="7">
        <f>nonmare!$CA589</f>
        <v>1.7857661739849677</v>
      </c>
      <c r="H82" s="7">
        <f>nonmare!$CA595</f>
        <v>0</v>
      </c>
      <c r="I82" s="7">
        <f>nonmare!$CA601</f>
        <v>0.21538367134047187</v>
      </c>
      <c r="J82" s="7">
        <f t="shared" si="191"/>
        <v>0.10769183567023594</v>
      </c>
      <c r="K82" s="7">
        <f>nonmare!$CA294</f>
        <v>6.7307988411434589</v>
      </c>
      <c r="L82" s="7">
        <f>nonmare!$CA114</f>
        <v>2.8125792247100185</v>
      </c>
      <c r="M82" s="7">
        <f>nonmare!$CA84</f>
        <v>1.9664814097106729</v>
      </c>
      <c r="N82" s="7">
        <f>nonmare!$CA525</f>
        <v>0.8</v>
      </c>
      <c r="O82" s="7">
        <f>nonmare!$CA531</f>
        <v>3.6616378699900864</v>
      </c>
      <c r="P82" s="7"/>
      <c r="Q82" s="7">
        <f>nonmare!$CA283</f>
        <v>8.0650140581068417</v>
      </c>
      <c r="R82" s="7">
        <f>nonhighlands!$BD94</f>
        <v>1.9953111198351161</v>
      </c>
      <c r="S82" s="7">
        <f>nonhighlands!$BD83</f>
        <v>2.852437943262411</v>
      </c>
      <c r="T82" s="7">
        <f t="shared" si="202"/>
        <v>2.5379429811586944</v>
      </c>
      <c r="U82" s="7">
        <f>nonhighlands!$BD105</f>
        <v>1.6500000000000001</v>
      </c>
      <c r="V82" s="7">
        <f>nonhighlands!$BD293</f>
        <v>1.9145194870086606</v>
      </c>
      <c r="W82" s="7">
        <f>nonhighlands!$BD47</f>
        <v>0.65334414180638123</v>
      </c>
      <c r="X82" s="7">
        <f>nonhighlands!$BD64</f>
        <v>0.23033756949960285</v>
      </c>
      <c r="Y82" s="38">
        <f t="shared" si="192"/>
        <v>0.38554614807995535</v>
      </c>
      <c r="Z82" s="7">
        <f>nonhighlands!$BD210</f>
        <v>0</v>
      </c>
      <c r="AA82" s="7">
        <f>nonhighlands!$BD196</f>
        <v>0</v>
      </c>
      <c r="AB82" s="7">
        <f>nonhighlands!$BD334</f>
        <v>0.30554741073539848</v>
      </c>
      <c r="AC82" s="7">
        <f>nonhighlands!$BD159</f>
        <v>0.42633074091349582</v>
      </c>
      <c r="AE82" s="7">
        <f>nonhighlands!$BD12</f>
        <v>3.460644780087891</v>
      </c>
      <c r="AI82" s="7">
        <f>nonmare!$CA157</f>
        <v>0</v>
      </c>
      <c r="AJ82" s="7">
        <f>nonmare!$CA170</f>
        <v>1.6741096280162664</v>
      </c>
      <c r="AK82" s="7">
        <f>nonmare!$CA490</f>
        <v>2.1711251889712764</v>
      </c>
      <c r="AL82" s="7">
        <f>nonhighlands!$BD342</f>
        <v>1.470426542070161</v>
      </c>
      <c r="AM82" s="7">
        <f>nonmare!$CA441</f>
        <v>0.70294706576988242</v>
      </c>
      <c r="AN82" s="7"/>
      <c r="AO82" s="7"/>
      <c r="AP82" s="7">
        <f>nonhighlands!$BD119</f>
        <v>3.1792497466597349</v>
      </c>
      <c r="AQ82" s="7">
        <f>nonmare!$CA265</f>
        <v>3.1089105802864059</v>
      </c>
      <c r="AR82" s="7">
        <f>nonmare!$CA274</f>
        <v>10.772424313541421</v>
      </c>
      <c r="AS82" s="7">
        <f>nonhighlands!$BD232</f>
        <v>0.35501983978438273</v>
      </c>
      <c r="AT82" s="7">
        <f>nonhighlands!$BD313</f>
        <v>13.128029600445156</v>
      </c>
      <c r="AU82" s="7">
        <f>nonmare!$CA475</f>
        <v>0.89787509486183648</v>
      </c>
      <c r="AV82" s="7">
        <f>nonhighlands!$BD298</f>
        <v>3.2514623440963017</v>
      </c>
      <c r="AW82" s="7">
        <f>nonmare!$CA463</f>
        <v>0.66120874866931201</v>
      </c>
      <c r="AX82" s="7">
        <f>nonhighlands!$BD347</f>
        <v>1.2123666866387057</v>
      </c>
      <c r="AY82" s="7"/>
      <c r="AZ82" s="7">
        <f>nonmare!$CA513</f>
        <v>4.075079965106136</v>
      </c>
      <c r="BA82" s="7">
        <f>nonhighlands!$BD380</f>
        <v>1.2122095269636253</v>
      </c>
      <c r="BB82" s="7">
        <f>nonhighlands!$BD374</f>
        <v>0.46922148461074231</v>
      </c>
      <c r="BC82" s="7">
        <f>nonmare!$CA507</f>
        <v>7.9994393500261305</v>
      </c>
      <c r="BD82" s="7">
        <f>nonmare!$CA519</f>
        <v>12.692083280711568</v>
      </c>
      <c r="BE82" s="7">
        <f>nonmare!$CA566</f>
        <v>15.565972761988442</v>
      </c>
      <c r="BF82" s="7">
        <f>nonhighlands!$BD319</f>
        <v>1.8272197333621201</v>
      </c>
      <c r="BG82" s="7">
        <f>nonhighlands!$BD324</f>
        <v>4.2503712142043444</v>
      </c>
      <c r="BH82" s="7">
        <f>nonmare!$CA572</f>
        <v>0.7</v>
      </c>
      <c r="BI82" s="7">
        <f>nonmare!$CA622</f>
        <v>2.542453769867048</v>
      </c>
      <c r="BJ82" s="7">
        <f>nonmare!$CA627</f>
        <v>1.8208902948819341</v>
      </c>
      <c r="BK82" s="7">
        <f>nonmare!$CA632</f>
        <v>3.0394178898507085</v>
      </c>
      <c r="BL82" s="7">
        <f>nonmare!$CA637</f>
        <v>1.6556080384747509</v>
      </c>
      <c r="BM82" s="7">
        <f>nonmare!$CA642</f>
        <v>4.2010174046583053</v>
      </c>
      <c r="BN82" s="7">
        <f>nonhighlands!$BD252</f>
        <v>0.16908887077048509</v>
      </c>
      <c r="BO82" s="7">
        <f>nonhighlands!$BD257</f>
        <v>0.92909500080372931</v>
      </c>
      <c r="BP82" s="38">
        <f t="shared" si="193"/>
        <v>0.54909193578710724</v>
      </c>
      <c r="BQ82" s="7">
        <f>nonhighlands!$BD219</f>
        <v>2.2477185155140949</v>
      </c>
      <c r="BR82" s="7">
        <f>nonhighlands!$BD227</f>
        <v>0.37234969503340115</v>
      </c>
      <c r="BS82" s="7"/>
      <c r="BT82" s="7">
        <f>nonhighlands!$BD237</f>
        <v>0.19398141630297056</v>
      </c>
      <c r="BU82" s="7">
        <f>nonhighlands!$BD267</f>
        <v>19.100000000000001</v>
      </c>
      <c r="BV82" s="39">
        <f t="shared" si="194"/>
        <v>6.5554437037787912</v>
      </c>
      <c r="BW82" s="7">
        <f>nonhighlands!$BD352</f>
        <v>236.36605110586211</v>
      </c>
      <c r="BX82" s="7"/>
      <c r="BY82" s="7"/>
      <c r="BZ82" s="7">
        <f>nonmare!$CA194</f>
        <v>4.549120323457549</v>
      </c>
      <c r="CA82" s="7">
        <f>nonmare!$CA235</f>
        <v>11.722247456484432</v>
      </c>
      <c r="CB82" s="7">
        <f t="shared" si="195"/>
        <v>2.7164329721344509</v>
      </c>
      <c r="CC82" s="7"/>
      <c r="CD82" s="7">
        <f>nonmare!$CA322</f>
        <v>4.1618745676735074</v>
      </c>
      <c r="CE82" s="7">
        <f t="shared" si="200"/>
        <v>2.7607682665445394</v>
      </c>
      <c r="CF82" s="7">
        <f>nonmare!$CA436</f>
        <v>23.980075662042875</v>
      </c>
      <c r="CG82" s="7">
        <f t="shared" si="196"/>
        <v>3.6828617232085112</v>
      </c>
      <c r="CH82" s="7">
        <f t="shared" si="197"/>
        <v>3.8160924763001867</v>
      </c>
      <c r="CI82" s="7">
        <f>nonhighlands!$BD30</f>
        <v>1.5075598917096593</v>
      </c>
      <c r="CJ82" s="7">
        <f>nonmare!$CA470</f>
        <v>3.2885137545142449</v>
      </c>
      <c r="CK82" s="7">
        <f>nonmare!$CA485</f>
        <v>1.32043120556444</v>
      </c>
      <c r="CL82" s="7">
        <f>nonhighlands!$BD176</f>
        <v>14.596369025565027</v>
      </c>
      <c r="CM82" s="7">
        <f>nonhighlands!$BD164</f>
        <v>12.028986074166797</v>
      </c>
      <c r="CN82" s="514" t="e">
        <f>(CL82*#REF!+#REF!*#REF!+CM82*#REF!)/#REF!</f>
        <v>#REF!</v>
      </c>
      <c r="CO82" s="7">
        <f>nonhighlands!$BD386</f>
        <v>8.5281181802920916</v>
      </c>
      <c r="CP82" s="7">
        <f>nonmare!$CA607</f>
        <v>89.232748781357742</v>
      </c>
      <c r="CQ82" s="7">
        <f>nonmare!$CA612</f>
        <v>5.4427006880733959</v>
      </c>
      <c r="CR82" s="7">
        <f>nonmare!$CA627</f>
        <v>1.8208902948819341</v>
      </c>
      <c r="CS82" s="7">
        <f>nonmare!$CA480</f>
        <v>0.96610176601367492</v>
      </c>
      <c r="CT82" s="7">
        <f>nonmare!$CA501</f>
        <v>6.6284031699478954</v>
      </c>
      <c r="CU82" s="7">
        <f>nonmare!$CA561</f>
        <v>9.7629312526360188</v>
      </c>
      <c r="CV82" s="7">
        <f>nonmare!$CA301</f>
        <v>6</v>
      </c>
      <c r="CW82" s="7">
        <f>nonmare!$CA307</f>
        <v>1.50240059507709</v>
      </c>
      <c r="CX82" s="7">
        <f>nonmare!$CA537</f>
        <v>5.9398521387079732</v>
      </c>
      <c r="CY82" s="7">
        <f>nonmare!$CA543</f>
        <v>0.50826296743063937</v>
      </c>
      <c r="CZ82" s="7">
        <f>nonmare!$CA555</f>
        <v>4.0961141023549255</v>
      </c>
      <c r="DA82" s="7">
        <f>nonmare!$CA549</f>
        <v>6.6913164567485559</v>
      </c>
      <c r="DN82" s="32"/>
      <c r="DO82" s="32"/>
      <c r="DP82" s="32"/>
      <c r="DQ82" s="32"/>
      <c r="DR82" s="32"/>
      <c r="DV82" s="7">
        <f>nonmare!$CA328</f>
        <v>1.4062453531598511</v>
      </c>
      <c r="DW82" s="7">
        <f>nonmare!$CA334</f>
        <v>4.7953190211679928</v>
      </c>
      <c r="DX82" s="7">
        <f>nonmare!$CA340</f>
        <v>0.81197070267795846</v>
      </c>
      <c r="DY82" s="7"/>
      <c r="DZ82" s="7">
        <f>nonmare!$CA366</f>
        <v>0.99649368863955101</v>
      </c>
      <c r="EA82" s="7">
        <f>nonmare!$CA374</f>
        <v>2.4642861125048778</v>
      </c>
      <c r="EB82" s="7"/>
      <c r="EC82" s="7">
        <f>nonmare!$CA358</f>
        <v>3.1129182045063093</v>
      </c>
      <c r="ED82" s="7"/>
      <c r="EE82" s="7"/>
      <c r="EF82" s="7">
        <f>nonmare!$CA400</f>
        <v>1.6799773361227335</v>
      </c>
      <c r="EG82" s="7"/>
      <c r="EH82" s="7">
        <f>nonmare!$CA405</f>
        <v>9.1454963908358611</v>
      </c>
      <c r="EI82" s="7"/>
      <c r="EJ82" s="7">
        <f>nonmare!$CA416</f>
        <v>0.43420758928571429</v>
      </c>
      <c r="EK82" s="7"/>
      <c r="EL82" s="7">
        <f>nonmare!$CA426</f>
        <v>5.7869086460032619</v>
      </c>
      <c r="EM82" s="7">
        <f>nonmare!$CA431</f>
        <v>2.8868306374178303</v>
      </c>
      <c r="EQ82" s="7">
        <f>nonmare!$CA179</f>
        <v>5.1109709846927123</v>
      </c>
      <c r="ER82" s="7">
        <f>nonmare!$CA186</f>
        <v>3.7867804045820135</v>
      </c>
      <c r="ES82" s="7">
        <f>nonmare!$CA192</f>
        <v>6.5097008892481814</v>
      </c>
      <c r="ET82" s="7">
        <f>nonmare!$CA243</f>
        <v>3.1733189364821492</v>
      </c>
      <c r="EU82" s="7">
        <f>nonmare!$CA249</f>
        <v>4.2816161995621762</v>
      </c>
      <c r="EV82" s="7">
        <f>nonmare!$CA254</f>
        <v>0.69436378035902857</v>
      </c>
      <c r="EW82" s="7"/>
      <c r="EX82" s="7"/>
      <c r="EY82" s="7"/>
      <c r="FD82">
        <v>6</v>
      </c>
      <c r="FE82" s="33"/>
      <c r="FH82" s="7">
        <f>nonmare!$CA447</f>
        <v>0.22427133364037113</v>
      </c>
      <c r="FI82" s="323">
        <f t="shared" si="198"/>
        <v>0.22427133364037113</v>
      </c>
      <c r="FJ82" s="323">
        <f t="shared" si="199"/>
        <v>0.26723509729568329</v>
      </c>
    </row>
    <row r="83" spans="1:166" ht="10.5" customHeight="1" x14ac:dyDescent="0.2">
      <c r="A83" s="1" t="s">
        <v>182</v>
      </c>
      <c r="B83" s="6">
        <f>nonmare!$CE11</f>
        <v>0.31116165630871512</v>
      </c>
      <c r="C83" s="6">
        <f>nonmare!$CE131</f>
        <v>0.52035697213120291</v>
      </c>
      <c r="D83" s="6">
        <f>nonmare!$CE31</f>
        <v>0.33797890078221499</v>
      </c>
      <c r="E83" s="6">
        <f>nonmare!$CE577</f>
        <v>0.35666758421811512</v>
      </c>
      <c r="F83" s="6">
        <f>nonmare!$CE583</f>
        <v>0.27512208903753871</v>
      </c>
      <c r="G83" s="6">
        <f>nonmare!$CE589</f>
        <v>1.6493271478404723</v>
      </c>
      <c r="H83" s="6">
        <f>nonmare!$CE595</f>
        <v>0.31594775697411415</v>
      </c>
      <c r="I83" s="6">
        <f>nonmare!$CE601</f>
        <v>1.1056880004909029</v>
      </c>
      <c r="J83" s="6">
        <f t="shared" si="191"/>
        <v>0.71081787873250857</v>
      </c>
      <c r="K83" s="6">
        <f>nonmare!$CE294</f>
        <v>0.44055845945015093</v>
      </c>
      <c r="L83" s="6" t="e">
        <f>nonmare!$CE114</f>
        <v>#DIV/0!</v>
      </c>
      <c r="M83" s="6">
        <f>nonmare!$CE84</f>
        <v>0.19947743240740742</v>
      </c>
      <c r="N83" s="6">
        <f>nonmare!$CE525</f>
        <v>0.22576051381312687</v>
      </c>
      <c r="O83" s="6">
        <f>nonmare!$CE531</f>
        <v>0.41495549497238349</v>
      </c>
      <c r="P83" s="6"/>
      <c r="Q83" s="6">
        <f>nonmare!$CE283</f>
        <v>2.2335623242736644</v>
      </c>
      <c r="R83" s="6">
        <f>nonhighlands!$BE94</f>
        <v>1.0714947492393758</v>
      </c>
      <c r="S83" s="6">
        <f>nonhighlands!$BE83</f>
        <v>0.8770632367740081</v>
      </c>
      <c r="T83" s="6">
        <f t="shared" si="202"/>
        <v>0.94840359093543725</v>
      </c>
      <c r="U83" s="6">
        <f>nonhighlands!$BE105</f>
        <v>0.90599999999999992</v>
      </c>
      <c r="V83" s="6">
        <f>nonhighlands!$BE293</f>
        <v>0.85463586775483003</v>
      </c>
      <c r="W83" s="6">
        <f>nonhighlands!$BE47</f>
        <v>0.98705627122328798</v>
      </c>
      <c r="X83" s="6">
        <f>nonhighlands!$BE64</f>
        <v>0.85402580420969021</v>
      </c>
      <c r="Y83" s="38">
        <f t="shared" si="192"/>
        <v>0.90283703090166401</v>
      </c>
      <c r="Z83" s="6">
        <f>nonhighlands!$BE210</f>
        <v>0.7229735956051746</v>
      </c>
      <c r="AA83" s="6">
        <f>nonhighlands!$BE196</f>
        <v>0.44464176478549194</v>
      </c>
      <c r="AB83" s="6">
        <f>nonhighlands!$BE334</f>
        <v>0.37006940174982261</v>
      </c>
      <c r="AC83" s="6">
        <f>nonhighlands!$BE159</f>
        <v>2.1650824340245891</v>
      </c>
      <c r="AE83" s="6">
        <f>nonhighlands!$BE12</f>
        <v>3.9603674434063296</v>
      </c>
      <c r="AI83" s="6">
        <f>nonmare!$CE157</f>
        <v>0.41006949540104021</v>
      </c>
      <c r="AJ83" s="6">
        <f>nonmare!$CE170</f>
        <v>0.29317971773778162</v>
      </c>
      <c r="AK83" s="6">
        <f>nonmare!$CE490</f>
        <v>0.17605960693974515</v>
      </c>
      <c r="AL83" s="6">
        <f>nonhighlands!$BE342</f>
        <v>7.4516748935528843E-2</v>
      </c>
      <c r="AM83" s="3">
        <f>nonmare!$CE441</f>
        <v>0.22496318734918108</v>
      </c>
      <c r="AN83" s="6">
        <f>nonhighlands!$BE303</f>
        <v>0.43192283661355824</v>
      </c>
      <c r="AO83" s="6">
        <f>nonhighlands!$BE308</f>
        <v>0.86518471739816871</v>
      </c>
      <c r="AP83" s="7">
        <f>nonhighlands!$BE119</f>
        <v>2.0092301783783757</v>
      </c>
      <c r="AQ83" s="6">
        <f>nonmare!$CE265</f>
        <v>0.23328503094262901</v>
      </c>
      <c r="AR83" s="6">
        <f>nonmare!$CE274</f>
        <v>0.40936232272772988</v>
      </c>
      <c r="AS83" s="6">
        <f>nonhighlands!$BE232</f>
        <v>1.6999292505802202</v>
      </c>
      <c r="AT83" s="6">
        <f>nonhighlands!$BE313</f>
        <v>1.5498056591343723</v>
      </c>
      <c r="AU83" s="6">
        <f>nonmare!$CE475</f>
        <v>0.1279932592294987</v>
      </c>
      <c r="AV83" s="6">
        <f>nonhighlands!$BE298</f>
        <v>1.2899243839902657</v>
      </c>
      <c r="AW83" s="3">
        <f>nonmare!$CE463</f>
        <v>9.7184999516113438E-2</v>
      </c>
      <c r="AX83" s="6">
        <f>nonhighlands!$BE347</f>
        <v>6.989624240349225</v>
      </c>
      <c r="AY83" s="6">
        <f>nonhighlands!$BE366</f>
        <v>2.0562738304460626</v>
      </c>
      <c r="AZ83" s="6">
        <f>nonmare!$CE513</f>
        <v>1.5047404768828152</v>
      </c>
      <c r="BA83" s="6">
        <f>nonhighlands!$BE380</f>
        <v>0.92643484020533184</v>
      </c>
      <c r="BB83" s="6">
        <f>nonhighlands!$BE374</f>
        <v>0.44174185274592637</v>
      </c>
      <c r="BC83" s="6">
        <f>nonmare!$CE507</f>
        <v>0.53728403097828681</v>
      </c>
      <c r="BD83" s="6">
        <f>nonmare!$CE519</f>
        <v>1.8556901870929332</v>
      </c>
      <c r="BE83" s="6">
        <f>nonmare!$CE566</f>
        <v>0.70433966369930756</v>
      </c>
      <c r="BF83" s="6">
        <f>nonhighlands!$BE319</f>
        <v>1.5401635450963456</v>
      </c>
      <c r="BG83" s="6">
        <f>nonhighlands!$BE324</f>
        <v>1.2614129708920927</v>
      </c>
      <c r="BH83" s="6">
        <f>nonmare!$CE572</f>
        <v>0.14899999999999999</v>
      </c>
      <c r="BI83" s="6">
        <f>nonmare!$CE622</f>
        <v>0.60374275691828005</v>
      </c>
      <c r="BJ83" s="6">
        <f>nonmare!$CE627</f>
        <v>0.36575251384024399</v>
      </c>
      <c r="BK83" s="6">
        <f>nonmare!$CE632</f>
        <v>0.54146408857107031</v>
      </c>
      <c r="BL83" s="6">
        <f>nonmare!$CE637</f>
        <v>0.67162379766403291</v>
      </c>
      <c r="BM83" s="6">
        <f>nonmare!$CE642</f>
        <v>2.070255950857435</v>
      </c>
      <c r="BN83" s="6">
        <f>nonhighlands!$BE252</f>
        <v>1.4516698940073376</v>
      </c>
      <c r="BO83" s="6">
        <f>nonhighlands!$BE257</f>
        <v>1.3571523870760327</v>
      </c>
      <c r="BP83" s="38">
        <f t="shared" si="193"/>
        <v>1.404411140541685</v>
      </c>
      <c r="BQ83" s="6">
        <f>nonhighlands!$BE219</f>
        <v>2.1146790711823158</v>
      </c>
      <c r="BR83" s="6">
        <f>nonhighlands!$BE227</f>
        <v>1.2824123019330687</v>
      </c>
      <c r="BS83" s="6"/>
      <c r="BT83" s="6">
        <f>nonhighlands!$BE237</f>
        <v>0.86444319301703521</v>
      </c>
      <c r="BU83" s="6">
        <f>nonhighlands!$BE267</f>
        <v>1.23</v>
      </c>
      <c r="BV83" s="38">
        <f t="shared" si="194"/>
        <v>1.1256184983167012</v>
      </c>
      <c r="BW83" s="6">
        <f>nonhighlands!$BE352</f>
        <v>0.75506764011165983</v>
      </c>
      <c r="BX83" s="6"/>
      <c r="BY83" s="6"/>
      <c r="BZ83" s="3">
        <f>nonmare!$CE194</f>
        <v>0.5883481053948143</v>
      </c>
      <c r="CA83" s="3">
        <f>nonmare!$CE235</f>
        <v>0.37312184818582989</v>
      </c>
      <c r="CB83" s="6">
        <f t="shared" si="195"/>
        <v>0.20028747989893994</v>
      </c>
      <c r="CC83" s="6">
        <f>nonhighlands!$BE275</f>
        <v>0.8972798099519772</v>
      </c>
      <c r="CD83" s="6">
        <f>nonmare!$CE322</f>
        <v>0.33137744985012685</v>
      </c>
      <c r="CE83" s="3">
        <f t="shared" si="200"/>
        <v>6.9063371312222718E-2</v>
      </c>
      <c r="CF83" s="3">
        <f>nonmare!$CE436</f>
        <v>0.35185624211853717</v>
      </c>
      <c r="CG83" s="3">
        <f t="shared" si="196"/>
        <v>0.43742482757764922</v>
      </c>
      <c r="CH83" s="3">
        <f t="shared" si="197"/>
        <v>0.45324905438255741</v>
      </c>
      <c r="CI83" s="6">
        <f>nonhighlands!$BE30</f>
        <v>0.904296572508556</v>
      </c>
      <c r="CJ83" s="6">
        <f>nonmare!$CE470</f>
        <v>0.4163152391992509</v>
      </c>
      <c r="CK83" s="6">
        <f>nonmare!$CE485</f>
        <v>0.36006843798770738</v>
      </c>
      <c r="CL83" s="6">
        <f>nonhighlands!$BE176</f>
        <v>1.00014206319801</v>
      </c>
      <c r="CM83" s="6">
        <f>nonhighlands!$BE164</f>
        <v>3.0807530120481927</v>
      </c>
      <c r="CN83" s="514" t="e">
        <f>(CL83*#REF!+#REF!*#REF!+CM83*#REF!)/#REF!</f>
        <v>#REF!</v>
      </c>
      <c r="CO83" s="6">
        <f>nonhighlands!$BE386</f>
        <v>14.441735101561184</v>
      </c>
      <c r="CP83" s="6">
        <f>nonmare!$CE607</f>
        <v>0.503745630721674</v>
      </c>
      <c r="CQ83" s="6">
        <f>nonmare!$CE612</f>
        <v>1.4280494266055048</v>
      </c>
      <c r="CR83" s="6">
        <f>nonmare!$CE627</f>
        <v>0.36575251384024399</v>
      </c>
      <c r="CS83" s="6">
        <f>nonmare!$CE480</f>
        <v>0.26040811275640757</v>
      </c>
      <c r="CT83" s="6">
        <f>nonmare!$CE501</f>
        <v>0.47540099840878602</v>
      </c>
      <c r="CU83" s="6">
        <f>nonmare!$CE561</f>
        <v>0.86587262758329808</v>
      </c>
      <c r="CV83" s="7">
        <f>nonmare!$CE301</f>
        <v>31.360636020792988</v>
      </c>
      <c r="CW83" s="6">
        <f>nonmare!$CE307</f>
        <v>8.7435469637543974</v>
      </c>
      <c r="CX83" s="6">
        <f>nonmare!$CE537</f>
        <v>0.26069160359091703</v>
      </c>
      <c r="CY83" s="6">
        <f>nonmare!$CE543</f>
        <v>0.16322143718766155</v>
      </c>
      <c r="CZ83" s="6">
        <f>nonmare!$CE555</f>
        <v>0.16490708108990051</v>
      </c>
      <c r="DA83" s="6">
        <f>nonmare!$CE549</f>
        <v>0.41692052209336167</v>
      </c>
      <c r="DN83" s="32"/>
      <c r="DO83" s="32"/>
      <c r="DP83" s="32"/>
      <c r="DQ83" s="32"/>
      <c r="DR83" s="32"/>
      <c r="DV83" s="6">
        <f>nonmare!$CE328</f>
        <v>8.8570260223048328E-2</v>
      </c>
      <c r="DW83" s="6">
        <f>nonmare!$CE334</f>
        <v>5.9475954561377185E-2</v>
      </c>
      <c r="DX83" s="6">
        <f>nonmare!$CE340</f>
        <v>8.6219501029983991E-2</v>
      </c>
      <c r="DY83" s="6"/>
      <c r="DZ83" s="6">
        <f>nonmare!$CE366</f>
        <v>6.748246844319776E-2</v>
      </c>
      <c r="EA83" s="6">
        <f>nonmare!$CE374</f>
        <v>7.1043429782014833E-2</v>
      </c>
      <c r="EB83" s="6"/>
      <c r="EC83" s="6">
        <f>nonmare!$CE358</f>
        <v>6.2176905871170862E-2</v>
      </c>
      <c r="ED83" s="6"/>
      <c r="EE83" s="6"/>
      <c r="EF83" s="6">
        <f>nonmare!$CE400</f>
        <v>6.5584205020920522E-2</v>
      </c>
      <c r="EG83" s="6"/>
      <c r="EH83" s="6">
        <f>nonmare!$CE405</f>
        <v>6.0844439794957635E-2</v>
      </c>
      <c r="EI83" s="6"/>
      <c r="EJ83" s="6">
        <f>nonmare!$CE416</f>
        <v>6.0173177083333342E-2</v>
      </c>
      <c r="EK83" s="6"/>
      <c r="EL83" s="6">
        <f>nonmare!$CE426</f>
        <v>0.43378731647634577</v>
      </c>
      <c r="EM83" s="6">
        <f>nonmare!$CE431</f>
        <v>0.43880101927764242</v>
      </c>
      <c r="EQ83" s="6">
        <f>nonmare!$CE179</f>
        <v>0.59504030157642218</v>
      </c>
      <c r="ER83" s="6">
        <f>nonmare!$CE186</f>
        <v>0.64660745795759211</v>
      </c>
      <c r="ES83" s="6">
        <f>nonmare!$CE192</f>
        <v>0.44678496362166537</v>
      </c>
      <c r="ET83" s="6">
        <f>nonmare!$CE243</f>
        <v>0.14063690216745256</v>
      </c>
      <c r="EU83" s="3">
        <f>nonmare!$CE249</f>
        <v>0.37671400989825155</v>
      </c>
      <c r="EV83" s="3">
        <f>nonmare!$CE254</f>
        <v>8.3511527631115828E-2</v>
      </c>
      <c r="EW83" s="6"/>
      <c r="EX83" s="6"/>
      <c r="EY83" s="6"/>
      <c r="FC83">
        <v>2.9399999999999999E-2</v>
      </c>
      <c r="FD83">
        <v>31.360636020792988</v>
      </c>
      <c r="FE83" s="33">
        <f t="shared" si="201"/>
        <v>1066.6883000269725</v>
      </c>
      <c r="FH83" s="3">
        <f>nonmare!$CE447</f>
        <v>9.904622014606225E-2</v>
      </c>
      <c r="FI83" s="323">
        <f t="shared" si="198"/>
        <v>9.904622014606225E-2</v>
      </c>
      <c r="FJ83" s="323">
        <f t="shared" si="199"/>
        <v>0.11802055058871772</v>
      </c>
    </row>
    <row r="84" spans="1:166" ht="11.1" customHeight="1" x14ac:dyDescent="0.2">
      <c r="A84" s="1" t="s">
        <v>183</v>
      </c>
      <c r="B84" s="6">
        <f>nonmare!$CF11</f>
        <v>0.10268374524256878</v>
      </c>
      <c r="C84" s="6">
        <f>nonmare!$CF131</f>
        <v>0.13562765636598115</v>
      </c>
      <c r="D84" s="6">
        <f>nonmare!$CF31</f>
        <v>0.102123507616303</v>
      </c>
      <c r="E84" s="6">
        <f>nonmare!$CF577</f>
        <v>9.8098702320094391E-2</v>
      </c>
      <c r="F84" s="6">
        <f>nonmare!$CF583</f>
        <v>7.2693686769013444E-2</v>
      </c>
      <c r="G84" s="6">
        <f>nonmare!$CF589</f>
        <v>0.46126507713884995</v>
      </c>
      <c r="H84" s="6">
        <f>nonmare!$CF595</f>
        <v>0.12594276200050267</v>
      </c>
      <c r="I84" s="6">
        <f>nonmare!$CF601</f>
        <v>0.33322035406375605</v>
      </c>
      <c r="J84" s="6">
        <f t="shared" si="191"/>
        <v>0.22958155803212937</v>
      </c>
      <c r="K84" s="6">
        <f>nonmare!$CF294</f>
        <v>0.12564511031422843</v>
      </c>
      <c r="L84" s="6" t="e">
        <f>nonmare!$CF114</f>
        <v>#DIV/0!</v>
      </c>
      <c r="M84" s="6">
        <f>nonmare!$CF84</f>
        <v>5.1689888582167956E-2</v>
      </c>
      <c r="N84" s="6">
        <f>nonmare!$CF525</f>
        <v>6.9424951610065108E-2</v>
      </c>
      <c r="O84" s="6">
        <f>nonmare!$CF531</f>
        <v>0.21966399943350803</v>
      </c>
      <c r="P84" s="6"/>
      <c r="Q84" s="6">
        <f>nonmare!$CF283</f>
        <v>0.62102389878163078</v>
      </c>
      <c r="R84" s="6">
        <f>nonhighlands!$BF94</f>
        <v>0.24488394346844639</v>
      </c>
      <c r="S84" s="6">
        <f>nonhighlands!$BF83</f>
        <v>0.21225782298255702</v>
      </c>
      <c r="T84" s="6">
        <f t="shared" si="202"/>
        <v>0.22422892252739746</v>
      </c>
      <c r="U84" s="6">
        <f>nonhighlands!$BF105</f>
        <v>0.22639999999999999</v>
      </c>
      <c r="V84" s="6">
        <f>nonhighlands!$BF293</f>
        <v>0.27552061125916055</v>
      </c>
      <c r="W84" s="6">
        <f>nonhighlands!$BF47</f>
        <v>0.26634359335529212</v>
      </c>
      <c r="X84" s="6">
        <f>nonhighlands!$BF64</f>
        <v>0.24574722001588556</v>
      </c>
      <c r="Y84" s="38">
        <f t="shared" si="192"/>
        <v>0.25330439297536655</v>
      </c>
      <c r="Z84" s="6">
        <f>nonhighlands!$BF210</f>
        <v>0.11115098351940458</v>
      </c>
      <c r="AA84" s="6">
        <f>nonhighlands!$BF196</f>
        <v>0.15523670320747057</v>
      </c>
      <c r="AB84" s="6">
        <f>nonhighlands!$BF334</f>
        <v>0.10504303617876568</v>
      </c>
      <c r="AC84" s="6">
        <f>nonhighlands!$BF159</f>
        <v>0.54457447942205306</v>
      </c>
      <c r="AE84" s="6">
        <f>nonhighlands!$BF12</f>
        <v>1.1028453783374572</v>
      </c>
      <c r="AI84" s="6">
        <f>nonmare!$CF157</f>
        <v>0.24163291346370963</v>
      </c>
      <c r="AJ84" s="6">
        <f>nonmare!$CF170</f>
        <v>0.2518781769216053</v>
      </c>
      <c r="AK84" s="6">
        <f>nonmare!$CF490</f>
        <v>9.135375422935714E-2</v>
      </c>
      <c r="AL84" s="6">
        <f>nonhighlands!$BF342</f>
        <v>0.20664795207053768</v>
      </c>
      <c r="AM84" s="6">
        <f>nonmare!$CF441</f>
        <v>0.13691602916260204</v>
      </c>
      <c r="AN84" s="6">
        <f>nonhighlands!$BF303</f>
        <v>0.28919556388628553</v>
      </c>
      <c r="AO84" s="6">
        <f>nonhighlands!$BF308</f>
        <v>0.45049889485317335</v>
      </c>
      <c r="AP84" s="6">
        <f>nonhighlands!$BF119</f>
        <v>0.44532140742832366</v>
      </c>
      <c r="AQ84" s="6">
        <f>nonmare!$CF265</f>
        <v>6.7802026966426496E-2</v>
      </c>
      <c r="AR84" s="6">
        <f>nonmare!$CF274</f>
        <v>9.8515271398397428E-2</v>
      </c>
      <c r="AS84" s="6">
        <f>nonhighlands!$BF232</f>
        <v>0.43284569888448005</v>
      </c>
      <c r="AT84" s="6">
        <f>nonhighlands!$BF313</f>
        <v>0.41650094340226029</v>
      </c>
      <c r="AU84" s="6">
        <f>nonmare!$CF475</f>
        <v>3.3279764296236775E-2</v>
      </c>
      <c r="AV84" s="6">
        <f>nonhighlands!$BF298</f>
        <v>0.37164138890096043</v>
      </c>
      <c r="AW84" s="6">
        <f>nonmare!$CF463</f>
        <v>3.8241120681312302E-2</v>
      </c>
      <c r="AX84" s="6">
        <f>nonhighlands!$BF347</f>
        <v>1.8925222973551317</v>
      </c>
      <c r="AY84" s="6">
        <f>nonhighlands!$BF366</f>
        <v>0.51515022177588077</v>
      </c>
      <c r="AZ84" s="6">
        <f>nonmare!$CF513</f>
        <v>0.45819824076766513</v>
      </c>
      <c r="BA84" s="6">
        <f>nonhighlands!$BF380</f>
        <v>0.256876414417398</v>
      </c>
      <c r="BB84" s="6">
        <f>nonhighlands!$BF374</f>
        <v>0.1080710621605311</v>
      </c>
      <c r="BC84" s="6">
        <f>nonmare!$CF507</f>
        <v>0.15841355062479215</v>
      </c>
      <c r="BD84" s="6">
        <f>nonmare!$CF519</f>
        <v>0.48296985223807892</v>
      </c>
      <c r="BE84" s="6">
        <f>nonmare!$CF566</f>
        <v>0.24392057368941641</v>
      </c>
      <c r="BF84" s="6">
        <f>nonhighlands!$BF319</f>
        <v>0.43246774977060504</v>
      </c>
      <c r="BG84" s="6">
        <f>nonhighlands!$BF324</f>
        <v>0.35383430883450523</v>
      </c>
      <c r="BH84" s="6">
        <f>nonmare!$CF572</f>
        <v>5.5E-2</v>
      </c>
      <c r="BI84" s="6">
        <f>nonmare!$CF622</f>
        <v>0.22933090814603097</v>
      </c>
      <c r="BJ84" s="6">
        <f>nonmare!$CF627</f>
        <v>0.133499604564456</v>
      </c>
      <c r="BK84" s="6">
        <f>nonmare!$CF632</f>
        <v>0.22733414878936145</v>
      </c>
      <c r="BL84" s="6">
        <f>nonmare!$CF637</f>
        <v>0.22875644108553761</v>
      </c>
      <c r="BM84" s="6">
        <f>nonmare!$CF642</f>
        <v>0.52901266956744297</v>
      </c>
      <c r="BN84" s="6">
        <f>nonhighlands!$BF252</f>
        <v>0.40596565430085607</v>
      </c>
      <c r="BO84" s="6">
        <f>nonhighlands!$BF257</f>
        <v>0.30302121845362479</v>
      </c>
      <c r="BP84" s="38">
        <f t="shared" si="193"/>
        <v>0.3544934363772404</v>
      </c>
      <c r="BQ84" s="6">
        <f>nonhighlands!$BF219</f>
        <v>0.5607371729872237</v>
      </c>
      <c r="BR84" s="6">
        <f>nonhighlands!$BF227</f>
        <v>0.33316035756930323</v>
      </c>
      <c r="BS84" s="6"/>
      <c r="BT84" s="6">
        <f>nonhighlands!$BF237</f>
        <v>0.28023581585245672</v>
      </c>
      <c r="BU84" s="6">
        <f>nonhighlands!$BF267</f>
        <v>0.3</v>
      </c>
      <c r="BV84" s="39">
        <f t="shared" si="194"/>
        <v>0.30446539114058663</v>
      </c>
      <c r="BW84" s="6">
        <f>nonhighlands!$BF352</f>
        <v>0.20009018681554649</v>
      </c>
      <c r="BX84" s="6"/>
      <c r="BY84" s="6"/>
      <c r="BZ84" s="6">
        <f>nonmare!$CF194</f>
        <v>0.28364217252553536</v>
      </c>
      <c r="CA84" s="6">
        <f>nonmare!$CF235</f>
        <v>0.1363914409168914</v>
      </c>
      <c r="CB84" s="6">
        <f t="shared" si="195"/>
        <v>8.31724879567073E-2</v>
      </c>
      <c r="CC84" s="6">
        <f>nonhighlands!$BF275</f>
        <v>0.59999795647287224</v>
      </c>
      <c r="CD84" s="6">
        <f>nonmare!$CF322</f>
        <v>0.17326273922065946</v>
      </c>
      <c r="CE84" s="6">
        <f t="shared" si="200"/>
        <v>0.1923378701317727</v>
      </c>
      <c r="CF84" s="6">
        <f>nonmare!$CF436</f>
        <v>0.43023833543505674</v>
      </c>
      <c r="CG84" s="6">
        <f t="shared" si="196"/>
        <v>0.1952496829673262</v>
      </c>
      <c r="CH84" s="6">
        <f t="shared" si="197"/>
        <v>0.20231301150304568</v>
      </c>
      <c r="CI84" s="6">
        <f>nonhighlands!$BF30</f>
        <v>0.32022015630586909</v>
      </c>
      <c r="CJ84" s="6">
        <f>nonmare!$CF470</f>
        <v>0.17494658700789159</v>
      </c>
      <c r="CK84" s="6">
        <f>nonmare!$CF485</f>
        <v>0.17317506406427624</v>
      </c>
      <c r="CL84" s="6">
        <f>nonhighlands!$BF176</f>
        <v>0.4843397025353306</v>
      </c>
      <c r="CM84" s="6">
        <f>nonhighlands!$BF164</f>
        <v>1.0393033171647628</v>
      </c>
      <c r="CN84" s="514" t="e">
        <f>(CL84*#REF!+#REF!*#REF!+CM84*#REF!)/#REF!</f>
        <v>#REF!</v>
      </c>
      <c r="CO84" s="6">
        <f>nonhighlands!$BF386</f>
        <v>3.9751579654188349</v>
      </c>
      <c r="CP84" s="6">
        <f>nonmare!$CF607</f>
        <v>0.21531423136369041</v>
      </c>
      <c r="CQ84" s="6">
        <f>nonmare!$CF612</f>
        <v>0.45913646788990836</v>
      </c>
      <c r="CR84" s="6">
        <f>nonmare!$CF627</f>
        <v>0.133499604564456</v>
      </c>
      <c r="CS84" s="6">
        <f>nonmare!$CF480</f>
        <v>9.002663702336508E-2</v>
      </c>
      <c r="CT84" s="6">
        <f>nonmare!$CF501</f>
        <v>0.22808266512745312</v>
      </c>
      <c r="CU84" s="6">
        <f>nonmare!$CF561</f>
        <v>0.38814449599325174</v>
      </c>
      <c r="CV84" s="6">
        <f>nonmare!$CF301</f>
        <v>8.2527158291713381</v>
      </c>
      <c r="CW84" s="6">
        <f>nonmare!$CF307</f>
        <v>2.4470405058155267</v>
      </c>
      <c r="CX84" s="6">
        <f>nonmare!$CF537</f>
        <v>0.19016616792818167</v>
      </c>
      <c r="CY84" s="6">
        <f>nonmare!$CF543</f>
        <v>0.24529045321385493</v>
      </c>
      <c r="CZ84" s="6">
        <f>nonmare!$CF555</f>
        <v>5.3943139174416718E-2</v>
      </c>
      <c r="DA84" s="6">
        <f>nonmare!$CF549</f>
        <v>0.14409277964833517</v>
      </c>
      <c r="DN84" s="32"/>
      <c r="DO84" s="32"/>
      <c r="DP84" s="32"/>
      <c r="DQ84" s="32"/>
      <c r="DR84" s="32"/>
      <c r="DV84" s="6">
        <f>nonmare!$CF328</f>
        <v>0.24862453531598511</v>
      </c>
      <c r="DW84" s="6">
        <f>nonmare!$CF334</f>
        <v>0.18172806885852977</v>
      </c>
      <c r="DX84" s="6">
        <f>nonmare!$CF340</f>
        <v>0.233655985351339</v>
      </c>
      <c r="DY84" s="6"/>
      <c r="DZ84" s="6">
        <f>nonmare!$CF366</f>
        <v>0.12596493688639551</v>
      </c>
      <c r="EA84" s="6">
        <f>nonmare!$CF374</f>
        <v>0.19113424764453363</v>
      </c>
      <c r="EB84" s="6"/>
      <c r="EC84" s="6">
        <f>nonmare!$CF358</f>
        <v>0.13234910305990683</v>
      </c>
      <c r="ED84" s="6"/>
      <c r="EE84" s="6"/>
      <c r="EF84" s="6">
        <f>nonmare!$CF400</f>
        <v>0.13007531380753137</v>
      </c>
      <c r="EG84" s="6"/>
      <c r="EH84" s="6">
        <f>nonmare!$CF405</f>
        <v>0.29671994978554239</v>
      </c>
      <c r="EI84" s="6"/>
      <c r="EJ84" s="6">
        <f>nonmare!$CF416</f>
        <v>0.19078869047619049</v>
      </c>
      <c r="EK84" s="6"/>
      <c r="EL84" s="6">
        <f>nonmare!$CF426</f>
        <v>0.32990823817292003</v>
      </c>
      <c r="EM84" s="6">
        <f>nonmare!$CF431</f>
        <v>0.1443038629145432</v>
      </c>
      <c r="EQ84" s="6">
        <f>nonmare!$CF179</f>
        <v>0.22134201507882112</v>
      </c>
      <c r="ER84" s="6">
        <f>nonmare!$CF186</f>
        <v>0.39220814038508411</v>
      </c>
      <c r="ES84" s="6">
        <f>nonmare!$CF192</f>
        <v>0.28236054971705743</v>
      </c>
      <c r="ET84" s="6">
        <f>nonmare!$CF243</f>
        <v>4.9989400483417205E-2</v>
      </c>
      <c r="EU84" s="6">
        <f>nonmare!$CF249</f>
        <v>0.1756110887298937</v>
      </c>
      <c r="EV84" s="6">
        <f>nonmare!$CF254</f>
        <v>2.3916974656810985E-2</v>
      </c>
      <c r="EW84" s="6"/>
      <c r="EX84" s="6"/>
      <c r="EY84" s="6"/>
      <c r="FC84">
        <v>8.0999999999999996E-3</v>
      </c>
      <c r="FD84">
        <v>8.2527158291713381</v>
      </c>
      <c r="FE84" s="33">
        <f t="shared" si="201"/>
        <v>1018.8538060705356</v>
      </c>
      <c r="FH84" s="6">
        <f>nonmare!$CF447</f>
        <v>3.8389038752549509E-2</v>
      </c>
      <c r="FI84" s="323">
        <f t="shared" si="198"/>
        <v>3.8389038752549509E-2</v>
      </c>
      <c r="FJ84" s="323">
        <f t="shared" si="199"/>
        <v>4.5743244754480814E-2</v>
      </c>
    </row>
    <row r="85" spans="1:166" ht="11.1" customHeight="1" x14ac:dyDescent="0.2">
      <c r="A85" s="1" t="s">
        <v>1548</v>
      </c>
      <c r="S85" s="2"/>
      <c r="T85" s="2">
        <f t="shared" si="202"/>
        <v>0</v>
      </c>
      <c r="W85">
        <v>30.7</v>
      </c>
      <c r="X85">
        <v>52.97</v>
      </c>
      <c r="Y85" s="6">
        <f>SUM(W85:X85)</f>
        <v>83.67</v>
      </c>
      <c r="AA85" s="2"/>
      <c r="AB85" s="2"/>
      <c r="AC85" s="2"/>
      <c r="AN85" s="2"/>
      <c r="AO85" s="2"/>
      <c r="AP85" s="2"/>
      <c r="AY85" s="2"/>
      <c r="BZ85" s="41"/>
      <c r="CC85" s="2"/>
      <c r="DN85" s="30"/>
      <c r="DO85" s="30"/>
      <c r="DP85" s="34"/>
      <c r="DQ85" s="30"/>
      <c r="DR85" s="30"/>
      <c r="DV85" s="1"/>
      <c r="DW85" s="1"/>
      <c r="DX85" s="1"/>
      <c r="DY85" s="1"/>
      <c r="DZ85" s="1"/>
      <c r="EA85" s="1"/>
      <c r="EB85" s="1"/>
      <c r="ET85" s="1"/>
      <c r="EU85" s="1"/>
      <c r="EV85" s="1"/>
    </row>
    <row r="86" spans="1:166" ht="11.1" customHeight="1" x14ac:dyDescent="0.2">
      <c r="A86" s="1"/>
      <c r="B86" s="2"/>
      <c r="C86" s="2"/>
      <c r="L86" s="2"/>
      <c r="P86" s="2"/>
      <c r="Q86" s="2"/>
      <c r="R86" s="2"/>
      <c r="S86" s="2"/>
      <c r="T86" s="2">
        <f t="shared" si="202"/>
        <v>0</v>
      </c>
      <c r="U86" s="2"/>
      <c r="V86" s="2"/>
      <c r="W86" s="2"/>
      <c r="X86" s="2"/>
      <c r="Y86" s="2"/>
      <c r="Z86" s="2"/>
      <c r="AA86" s="2"/>
      <c r="AB86" s="2"/>
      <c r="AC86" s="2"/>
      <c r="AE86" s="2"/>
      <c r="AI86" s="2"/>
      <c r="AL86" s="2"/>
      <c r="AM86" s="2"/>
      <c r="AN86" s="2"/>
      <c r="AO86" s="2"/>
      <c r="AP86" s="2"/>
      <c r="AS86" s="2"/>
      <c r="AT86" s="2"/>
      <c r="AV86" s="2"/>
      <c r="AW86" s="2"/>
      <c r="AX86" s="2"/>
      <c r="AY86" s="2"/>
      <c r="BA86" s="2"/>
      <c r="BB86" s="2"/>
      <c r="BF86" s="2"/>
      <c r="BG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Z86" s="41"/>
      <c r="CB86" s="2"/>
      <c r="CC86" s="2"/>
      <c r="CD86" s="2"/>
      <c r="CE86" s="2"/>
      <c r="CF86" s="2"/>
      <c r="CG86" s="2"/>
      <c r="CH86" s="2"/>
      <c r="CI86" s="2"/>
      <c r="CL86" s="2"/>
      <c r="CM86" s="2"/>
      <c r="CO86" s="2"/>
      <c r="CV86" s="2"/>
      <c r="CW86" s="2"/>
      <c r="DN86" s="34"/>
      <c r="DO86" s="30"/>
      <c r="DP86" s="34"/>
      <c r="DQ86" s="30"/>
      <c r="DV86" s="1"/>
      <c r="DW86" s="1"/>
      <c r="DX86" s="1"/>
      <c r="DY86" s="1"/>
      <c r="DZ86" s="1"/>
      <c r="EA86" s="1"/>
      <c r="EB86" s="1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Q86" s="2"/>
      <c r="ER86" s="2"/>
      <c r="ES86" s="2"/>
      <c r="ET86" s="1"/>
      <c r="EU86" s="1"/>
      <c r="EV86" s="1"/>
      <c r="EW86" s="2"/>
      <c r="EX86" s="2"/>
      <c r="EY86" s="2"/>
      <c r="FH86" s="2"/>
      <c r="FI86" s="2"/>
      <c r="FJ86" s="2"/>
    </row>
    <row r="87" spans="1:166" ht="11.1" customHeight="1" x14ac:dyDescent="0.2">
      <c r="A87" s="1" t="s">
        <v>161</v>
      </c>
      <c r="B87" s="7">
        <f t="shared" ref="B87:M87" si="203">B56/B55</f>
        <v>97.330246078140675</v>
      </c>
      <c r="C87" s="7">
        <f t="shared" si="203"/>
        <v>76.231484018875037</v>
      </c>
      <c r="D87" s="7">
        <f t="shared" si="203"/>
        <v>69.087882498304026</v>
      </c>
      <c r="E87" s="7">
        <f t="shared" ref="E87:J87" si="204">E56/E55</f>
        <v>70.244404559340367</v>
      </c>
      <c r="F87" s="7">
        <f t="shared" si="204"/>
        <v>71.560396807761393</v>
      </c>
      <c r="G87" s="7">
        <f t="shared" si="204"/>
        <v>67.341165371470112</v>
      </c>
      <c r="H87" s="7">
        <f t="shared" si="204"/>
        <v>68.914999564644461</v>
      </c>
      <c r="I87" s="7">
        <f t="shared" si="204"/>
        <v>75.332240008045801</v>
      </c>
      <c r="J87" s="7">
        <f t="shared" si="204"/>
        <v>72.271782798945566</v>
      </c>
      <c r="K87" s="7">
        <f t="shared" si="203"/>
        <v>88.233535405083771</v>
      </c>
      <c r="L87" s="7">
        <f t="shared" si="203"/>
        <v>73.738403207616685</v>
      </c>
      <c r="M87" s="7">
        <f t="shared" si="203"/>
        <v>80.736822123541415</v>
      </c>
      <c r="N87" s="7">
        <f t="shared" ref="N87:AB87" si="205">N56/N55</f>
        <v>100.46295220313861</v>
      </c>
      <c r="O87" s="7">
        <f t="shared" si="205"/>
        <v>83.286532076051614</v>
      </c>
      <c r="P87" s="7" t="e">
        <f t="shared" si="205"/>
        <v>#DIV/0!</v>
      </c>
      <c r="Q87" s="7">
        <f t="shared" si="205"/>
        <v>76.825640880202457</v>
      </c>
      <c r="R87" s="7">
        <f t="shared" si="205"/>
        <v>71.814635037857528</v>
      </c>
      <c r="S87" s="7">
        <f t="shared" si="205"/>
        <v>63.310809236337782</v>
      </c>
      <c r="T87" s="7">
        <f t="shared" si="202"/>
        <v>66.431013038257902</v>
      </c>
      <c r="U87" s="7">
        <f t="shared" si="205"/>
        <v>52.818149882903974</v>
      </c>
      <c r="V87" s="7">
        <f t="shared" si="205"/>
        <v>31.912796311539619</v>
      </c>
      <c r="W87" s="7">
        <f t="shared" si="205"/>
        <v>38.423206641324526</v>
      </c>
      <c r="X87" s="7">
        <f t="shared" si="205"/>
        <v>46.268480601985353</v>
      </c>
      <c r="Y87" s="7">
        <f t="shared" si="205"/>
        <v>43.323547060055347</v>
      </c>
      <c r="Z87" s="7">
        <f t="shared" si="205"/>
        <v>18.968590782705029</v>
      </c>
      <c r="AA87" s="7">
        <f t="shared" si="205"/>
        <v>20.581145051677261</v>
      </c>
      <c r="AB87" s="7">
        <f t="shared" si="205"/>
        <v>17.311098568447086</v>
      </c>
      <c r="AC87" s="7">
        <f>AC56/AC55</f>
        <v>33.073140361029274</v>
      </c>
      <c r="AE87" s="7">
        <f>AE56/AE55</f>
        <v>57.250179373836588</v>
      </c>
      <c r="AI87" s="7">
        <f t="shared" ref="AI87:BW87" si="206">AI56/AI55</f>
        <v>80.70622428122131</v>
      </c>
      <c r="AJ87" s="7" t="e">
        <f t="shared" si="206"/>
        <v>#VALUE!</v>
      </c>
      <c r="AK87" s="7">
        <f t="shared" si="206"/>
        <v>67.287864668554775</v>
      </c>
      <c r="AL87" s="7">
        <f t="shared" si="206"/>
        <v>51.439432814385803</v>
      </c>
      <c r="AM87" s="7">
        <f t="shared" si="206"/>
        <v>72.398302150476397</v>
      </c>
      <c r="AN87" s="7">
        <f t="shared" si="206"/>
        <v>79.534798548304053</v>
      </c>
      <c r="AO87" s="7">
        <f t="shared" si="206"/>
        <v>65.379865129278329</v>
      </c>
      <c r="AP87" s="7">
        <f t="shared" si="206"/>
        <v>45.53447411824483</v>
      </c>
      <c r="AQ87" s="7">
        <f t="shared" si="206"/>
        <v>73.309207538776676</v>
      </c>
      <c r="AR87" s="7">
        <f t="shared" si="206"/>
        <v>70.760202468385828</v>
      </c>
      <c r="AS87" s="7">
        <f t="shared" si="206"/>
        <v>99.193095750420511</v>
      </c>
      <c r="AT87" s="7">
        <f t="shared" si="206"/>
        <v>84.258570148016688</v>
      </c>
      <c r="AU87" s="7">
        <f t="shared" si="206"/>
        <v>72.819234816797078</v>
      </c>
      <c r="AV87" s="7">
        <f t="shared" si="206"/>
        <v>61.399690076638578</v>
      </c>
      <c r="AW87" s="7">
        <f t="shared" si="206"/>
        <v>84.326852511839604</v>
      </c>
      <c r="AX87" s="7">
        <f t="shared" si="206"/>
        <v>73.738712108790295</v>
      </c>
      <c r="AY87" s="7">
        <f t="shared" si="206"/>
        <v>38.965704552458305</v>
      </c>
      <c r="AZ87" s="7">
        <f t="shared" si="206"/>
        <v>109.22789362880832</v>
      </c>
      <c r="BA87" s="7">
        <f t="shared" si="206"/>
        <v>69.474278214885771</v>
      </c>
      <c r="BB87" s="7">
        <f t="shared" si="206"/>
        <v>46.219046554644891</v>
      </c>
      <c r="BC87" s="7">
        <f t="shared" si="206"/>
        <v>76.134287259680406</v>
      </c>
      <c r="BD87" s="7">
        <f t="shared" si="206"/>
        <v>85.847697387053557</v>
      </c>
      <c r="BE87" s="7">
        <f t="shared" si="206"/>
        <v>75.674916857686753</v>
      </c>
      <c r="BF87" s="7">
        <f t="shared" si="206"/>
        <v>76.735441885899675</v>
      </c>
      <c r="BG87" s="7">
        <f t="shared" si="206"/>
        <v>68.635168836171616</v>
      </c>
      <c r="BH87" s="7">
        <f t="shared" si="206"/>
        <v>126.44927536231884</v>
      </c>
      <c r="BI87" s="7">
        <f>BI56/BI55</f>
        <v>80.571951700623373</v>
      </c>
      <c r="BJ87" s="7">
        <f>BJ56/BJ55</f>
        <v>74.00212371710073</v>
      </c>
      <c r="BK87" s="7">
        <f>BK56/BK55</f>
        <v>69.958390717812236</v>
      </c>
      <c r="BL87" s="7">
        <f>BL56/BL55</f>
        <v>69.499036856409518</v>
      </c>
      <c r="BM87" s="7">
        <f>BM56/BM55</f>
        <v>65.455345175430367</v>
      </c>
      <c r="BN87" s="7">
        <f t="shared" si="206"/>
        <v>88.199977198048202</v>
      </c>
      <c r="BO87" s="7">
        <f t="shared" si="206"/>
        <v>108.04944618416395</v>
      </c>
      <c r="BP87" s="7">
        <f t="shared" si="206"/>
        <v>97.840578278300455</v>
      </c>
      <c r="BQ87" s="7">
        <f t="shared" si="206"/>
        <v>76.604033528768412</v>
      </c>
      <c r="BR87" s="7">
        <f t="shared" si="206"/>
        <v>111.56815272160613</v>
      </c>
      <c r="BS87" s="7" t="e">
        <f t="shared" si="206"/>
        <v>#DIV/0!</v>
      </c>
      <c r="BT87" s="7">
        <f t="shared" si="206"/>
        <v>138.53192814137677</v>
      </c>
      <c r="BU87" s="7">
        <f t="shared" si="206"/>
        <v>115.38793103448276</v>
      </c>
      <c r="BV87" s="7">
        <f t="shared" si="206"/>
        <v>122.51373423219913</v>
      </c>
      <c r="BW87" s="7">
        <f t="shared" si="206"/>
        <v>56.044176077837044</v>
      </c>
      <c r="BX87" s="7"/>
      <c r="BY87" s="7"/>
      <c r="BZ87" s="7">
        <f t="shared" ref="BZ87:CG87" si="207">BZ56/BZ55</f>
        <v>80.238832628037159</v>
      </c>
      <c r="CA87" s="7">
        <f t="shared" si="207"/>
        <v>78.803039272347746</v>
      </c>
      <c r="CB87" s="7">
        <f t="shared" si="207"/>
        <v>66.955287236608427</v>
      </c>
      <c r="CC87" s="7">
        <f t="shared" si="207"/>
        <v>116.58370433897532</v>
      </c>
      <c r="CD87" s="7">
        <f t="shared" si="207"/>
        <v>92.952231568302992</v>
      </c>
      <c r="CE87" s="7">
        <f t="shared" si="207"/>
        <v>110.61167963656509</v>
      </c>
      <c r="CF87" s="7">
        <f t="shared" si="207"/>
        <v>66.651960415532358</v>
      </c>
      <c r="CG87" s="7">
        <f t="shared" si="207"/>
        <v>75.28803349681175</v>
      </c>
      <c r="CH87" s="7">
        <f>CH56/CH55</f>
        <v>75.28803349681175</v>
      </c>
      <c r="CI87" s="7">
        <f>CI56/CI55</f>
        <v>38.67965715278649</v>
      </c>
      <c r="CJ87" s="7">
        <f>CJ56/CJ55</f>
        <v>72.037803744938984</v>
      </c>
      <c r="CK87" s="7">
        <f>CK56/CK55</f>
        <v>67.487274828530516</v>
      </c>
      <c r="CL87" s="7">
        <f>CL56/CL55</f>
        <v>82.985257362626939</v>
      </c>
      <c r="CM87" s="7">
        <f t="shared" ref="CM87:DA87" si="208">CM56/CM55</f>
        <v>71.573190593115541</v>
      </c>
      <c r="CN87" s="7" t="e">
        <f t="shared" si="208"/>
        <v>#REF!</v>
      </c>
      <c r="CO87" s="7">
        <f t="shared" si="208"/>
        <v>52.64827301388587</v>
      </c>
      <c r="CP87" s="7">
        <f>CP56/CP55</f>
        <v>83.97911247642196</v>
      </c>
      <c r="CQ87" s="7">
        <f>CQ56/CQ55</f>
        <v>109.51072668852032</v>
      </c>
      <c r="CR87" s="7">
        <f>CR56/CR55</f>
        <v>74.00212371710073</v>
      </c>
      <c r="CS87" s="7">
        <f>CS56/CS55</f>
        <v>69.340860148239159</v>
      </c>
      <c r="CT87" s="7">
        <f t="shared" si="208"/>
        <v>81.919415296622176</v>
      </c>
      <c r="CU87" s="7">
        <f t="shared" si="208"/>
        <v>83.339782116013552</v>
      </c>
      <c r="CV87" s="7">
        <f t="shared" si="208"/>
        <v>36.914703921798733</v>
      </c>
      <c r="CW87" s="7">
        <f t="shared" si="208"/>
        <v>51.144572764188652</v>
      </c>
      <c r="CX87" s="7">
        <f t="shared" si="208"/>
        <v>78.096468407221408</v>
      </c>
      <c r="CY87" s="7">
        <f t="shared" si="208"/>
        <v>85.62137483440597</v>
      </c>
      <c r="CZ87" s="7">
        <f t="shared" si="208"/>
        <v>80.462748965836099</v>
      </c>
      <c r="DA87" s="7">
        <f t="shared" si="208"/>
        <v>76.786382016380102</v>
      </c>
      <c r="DV87" s="7">
        <f t="shared" ref="DV87:EM87" si="209">DV56/DV55</f>
        <v>128.62260447139877</v>
      </c>
      <c r="DW87" s="7">
        <f t="shared" si="209"/>
        <v>106.32456028035779</v>
      </c>
      <c r="DX87" s="7">
        <f t="shared" si="209"/>
        <v>108.28095603751396</v>
      </c>
      <c r="DY87" s="7" t="e">
        <f t="shared" si="209"/>
        <v>#DIV/0!</v>
      </c>
      <c r="DZ87" s="7">
        <f t="shared" si="209"/>
        <v>105.21719080178859</v>
      </c>
      <c r="EA87" s="7">
        <f t="shared" si="209"/>
        <v>108.82271850013785</v>
      </c>
      <c r="EB87" s="7" t="e">
        <f t="shared" si="209"/>
        <v>#DIV/0!</v>
      </c>
      <c r="EC87" s="7">
        <f t="shared" si="209"/>
        <v>101.98025527865138</v>
      </c>
      <c r="ED87" s="7" t="e">
        <f t="shared" si="209"/>
        <v>#DIV/0!</v>
      </c>
      <c r="EE87" s="7" t="e">
        <f t="shared" si="209"/>
        <v>#DIV/0!</v>
      </c>
      <c r="EF87" s="7">
        <f t="shared" si="209"/>
        <v>102.34334973235383</v>
      </c>
      <c r="EG87" s="7" t="e">
        <f t="shared" si="209"/>
        <v>#DIV/0!</v>
      </c>
      <c r="EH87" s="7">
        <f t="shared" si="209"/>
        <v>126.06785400317655</v>
      </c>
      <c r="EI87" s="7" t="e">
        <f t="shared" si="209"/>
        <v>#DIV/0!</v>
      </c>
      <c r="EJ87" s="7">
        <f t="shared" si="209"/>
        <v>130.64795579618882</v>
      </c>
      <c r="EK87" s="7"/>
      <c r="EL87" s="7">
        <f t="shared" si="209"/>
        <v>73.77919621982862</v>
      </c>
      <c r="EM87" s="7">
        <f t="shared" si="209"/>
        <v>75.832497407465951</v>
      </c>
      <c r="EQ87" s="7">
        <f t="shared" ref="EQ87:EV87" si="210">EQ56/EQ55</f>
        <v>76.319848741726886</v>
      </c>
      <c r="ER87" s="7">
        <f t="shared" si="210"/>
        <v>91.128838992660391</v>
      </c>
      <c r="ES87" s="7">
        <f t="shared" si="210"/>
        <v>80.716023512280003</v>
      </c>
      <c r="ET87" s="7">
        <f t="shared" si="210"/>
        <v>70.952071962899424</v>
      </c>
      <c r="EU87" s="7">
        <f t="shared" si="210"/>
        <v>59.662762114351075</v>
      </c>
      <c r="EV87" s="7">
        <f t="shared" si="210"/>
        <v>72.44240362879205</v>
      </c>
      <c r="EW87" s="7"/>
      <c r="EX87" s="7"/>
      <c r="EY87" s="7"/>
      <c r="FH87" s="7">
        <f>FH56/FH55</f>
        <v>81.117418063178548</v>
      </c>
      <c r="FI87" s="7"/>
      <c r="FJ87" s="7">
        <f>FJ56/FJ55</f>
        <v>81.117418063178562</v>
      </c>
    </row>
    <row r="88" spans="1:166" ht="11.1" customHeight="1" x14ac:dyDescent="0.2">
      <c r="A88" s="1" t="s">
        <v>1281</v>
      </c>
      <c r="B88" s="7">
        <f t="shared" ref="B88:M88" si="211">B55/B4</f>
        <v>34.204762499774752</v>
      </c>
      <c r="C88" s="7">
        <f t="shared" si="211"/>
        <v>30.09430032217821</v>
      </c>
      <c r="D88" s="7">
        <f t="shared" si="211"/>
        <v>44.646346394507802</v>
      </c>
      <c r="E88" s="7">
        <f t="shared" ref="E88:J88" si="212">E55/E4</f>
        <v>43.639475889440561</v>
      </c>
      <c r="F88" s="7">
        <f t="shared" si="212"/>
        <v>43.403838401680567</v>
      </c>
      <c r="G88" s="7">
        <f t="shared" si="212"/>
        <v>17.285229388697744</v>
      </c>
      <c r="H88" s="7">
        <f t="shared" si="212"/>
        <v>43.689538998168686</v>
      </c>
      <c r="I88" s="7">
        <f t="shared" si="212"/>
        <v>32.438359934025328</v>
      </c>
      <c r="J88" s="7">
        <f t="shared" si="212"/>
        <v>36.980152223959621</v>
      </c>
      <c r="K88" s="7">
        <f t="shared" si="211"/>
        <v>44.743211037955248</v>
      </c>
      <c r="L88" s="7">
        <f t="shared" si="211"/>
        <v>36.203664310629428</v>
      </c>
      <c r="M88" s="7">
        <f t="shared" si="211"/>
        <v>41.855189072660387</v>
      </c>
      <c r="N88" s="7">
        <f t="shared" ref="N88:AC88" si="213">N55/N4</f>
        <v>31.825766544504152</v>
      </c>
      <c r="O88" s="7">
        <f t="shared" si="213"/>
        <v>35.770860642495386</v>
      </c>
      <c r="P88" s="7">
        <f t="shared" si="213"/>
        <v>0</v>
      </c>
      <c r="Q88" s="7">
        <f t="shared" si="213"/>
        <v>39.25186315679175</v>
      </c>
      <c r="R88" s="7">
        <f t="shared" si="213"/>
        <v>39.264225881714381</v>
      </c>
      <c r="S88" s="7">
        <f t="shared" si="213"/>
        <v>55.321296254015238</v>
      </c>
      <c r="T88" s="7">
        <f t="shared" si="202"/>
        <v>49.429673684042292</v>
      </c>
      <c r="U88" s="7">
        <f t="shared" si="213"/>
        <v>49.1793332448961</v>
      </c>
      <c r="V88" s="7">
        <f t="shared" si="213"/>
        <v>35.791881531003405</v>
      </c>
      <c r="W88" s="7">
        <f t="shared" si="213"/>
        <v>55.538238043745295</v>
      </c>
      <c r="X88" s="7">
        <f t="shared" si="213"/>
        <v>59.012685578513711</v>
      </c>
      <c r="Y88" s="7">
        <f t="shared" si="213"/>
        <v>57.658663894323645</v>
      </c>
      <c r="Z88" s="7">
        <f t="shared" si="213"/>
        <v>40.566733247041618</v>
      </c>
      <c r="AA88" s="7">
        <f t="shared" si="213"/>
        <v>39.970408939699389</v>
      </c>
      <c r="AB88" s="7">
        <f t="shared" si="213"/>
        <v>63.456871562598614</v>
      </c>
      <c r="AC88" s="7">
        <f t="shared" si="213"/>
        <v>18.044441834245905</v>
      </c>
      <c r="AE88" s="7">
        <f>AE55/AE4</f>
        <v>27.525289108969194</v>
      </c>
      <c r="AI88" s="7">
        <f t="shared" ref="AI88:BW88" si="214">AI55/AI4</f>
        <v>38.371841262916455</v>
      </c>
      <c r="AJ88" s="7">
        <f t="shared" si="214"/>
        <v>36.381380346069207</v>
      </c>
      <c r="AK88" s="7">
        <f t="shared" si="214"/>
        <v>38.693141309187666</v>
      </c>
      <c r="AL88" s="7">
        <f t="shared" si="214"/>
        <v>107.71115190271037</v>
      </c>
      <c r="AM88" s="7">
        <f t="shared" si="214"/>
        <v>46.534244928178616</v>
      </c>
      <c r="AN88" s="7">
        <f t="shared" si="214"/>
        <v>38.513958706086164</v>
      </c>
      <c r="AO88" s="7">
        <f t="shared" si="214"/>
        <v>30.499057829415179</v>
      </c>
      <c r="AP88" s="7">
        <f t="shared" si="214"/>
        <v>18.943413479266546</v>
      </c>
      <c r="AQ88" s="7">
        <f t="shared" si="214"/>
        <v>41.024839224107751</v>
      </c>
      <c r="AR88" s="7">
        <f t="shared" si="214"/>
        <v>43.329863756648379</v>
      </c>
      <c r="AS88" s="7">
        <f t="shared" si="214"/>
        <v>41.455628735160374</v>
      </c>
      <c r="AT88" s="7">
        <f t="shared" si="214"/>
        <v>27.678290592690253</v>
      </c>
      <c r="AU88" s="7">
        <f t="shared" si="214"/>
        <v>44.489660891625242</v>
      </c>
      <c r="AV88" s="7">
        <f t="shared" si="214"/>
        <v>37.895508778414147</v>
      </c>
      <c r="AW88" s="7">
        <f t="shared" si="214"/>
        <v>60.311824387194278</v>
      </c>
      <c r="AX88" s="7">
        <f t="shared" si="214"/>
        <v>16.58092704138226</v>
      </c>
      <c r="AY88" s="7">
        <f t="shared" si="214"/>
        <v>17.65466757646562</v>
      </c>
      <c r="AZ88" s="7">
        <f t="shared" si="214"/>
        <v>36.846945119715656</v>
      </c>
      <c r="BA88" s="7">
        <f t="shared" si="214"/>
        <v>48.932273447687209</v>
      </c>
      <c r="BB88" s="7">
        <f t="shared" si="214"/>
        <v>28.151132491594716</v>
      </c>
      <c r="BC88" s="7">
        <f t="shared" si="214"/>
        <v>58.169044171077033</v>
      </c>
      <c r="BD88" s="7">
        <f t="shared" si="214"/>
        <v>12.72218180302923</v>
      </c>
      <c r="BE88" s="7">
        <f t="shared" si="214"/>
        <v>27.264506776473024</v>
      </c>
      <c r="BF88" s="7">
        <f t="shared" si="214"/>
        <v>35.283902367744886</v>
      </c>
      <c r="BG88" s="7">
        <f t="shared" si="214"/>
        <v>29.567840145684681</v>
      </c>
      <c r="BH88" s="7">
        <f t="shared" si="214"/>
        <v>54.040023672500503</v>
      </c>
      <c r="BI88" s="7" t="e">
        <f>BI55/BI4</f>
        <v>#DIV/0!</v>
      </c>
      <c r="BJ88" s="7" t="e">
        <f>BJ55/BJ4</f>
        <v>#DIV/0!</v>
      </c>
      <c r="BK88" s="7" t="e">
        <f>BK55/BK4</f>
        <v>#DIV/0!</v>
      </c>
      <c r="BL88" s="7" t="e">
        <f>BL55/BL4</f>
        <v>#DIV/0!</v>
      </c>
      <c r="BM88" s="7" t="e">
        <f>BM55/BM4</f>
        <v>#DIV/0!</v>
      </c>
      <c r="BN88" s="7">
        <f t="shared" si="214"/>
        <v>43.922294863040584</v>
      </c>
      <c r="BO88" s="7">
        <f t="shared" si="214"/>
        <v>46.81811273515536</v>
      </c>
      <c r="BP88" s="7">
        <f t="shared" si="214"/>
        <v>45.28262446918189</v>
      </c>
      <c r="BQ88" s="7">
        <f t="shared" si="214"/>
        <v>43.56379361056657</v>
      </c>
      <c r="BR88" s="7">
        <f t="shared" si="214"/>
        <v>65.861668189728661</v>
      </c>
      <c r="BS88" s="7" t="e">
        <f t="shared" si="214"/>
        <v>#DIV/0!</v>
      </c>
      <c r="BT88" s="7">
        <f t="shared" si="214"/>
        <v>80.412683342872469</v>
      </c>
      <c r="BU88" s="7">
        <f t="shared" si="214"/>
        <v>59.209931687438335</v>
      </c>
      <c r="BV88" s="7">
        <f t="shared" si="214"/>
        <v>67.80240098205671</v>
      </c>
      <c r="BW88" s="7">
        <f t="shared" si="214"/>
        <v>72.710766879818649</v>
      </c>
      <c r="BX88" s="7"/>
      <c r="BY88" s="7"/>
      <c r="BZ88" s="7">
        <f>BZ55/BZ4</f>
        <v>33.571981179153255</v>
      </c>
      <c r="CA88" s="7">
        <f>CA55/CA4</f>
        <v>39.386713038031559</v>
      </c>
      <c r="CB88" s="7">
        <f>CB55/CB4</f>
        <v>40.555522720428399</v>
      </c>
      <c r="CC88" s="7">
        <f>CC55/CC4</f>
        <v>13.528770835154276</v>
      </c>
      <c r="CD88" s="7">
        <f>CD55/CD4</f>
        <v>28.66171630555975</v>
      </c>
      <c r="CE88" s="7">
        <f t="shared" ref="CE88:DA88" si="215">CE55/CE4</f>
        <v>40.379830369549623</v>
      </c>
      <c r="CF88" s="7">
        <f t="shared" si="215"/>
        <v>16.204792813468991</v>
      </c>
      <c r="CG88" s="7">
        <f t="shared" si="215"/>
        <v>33.58284126256023</v>
      </c>
      <c r="CH88" s="7">
        <f>CH55/CH4</f>
        <v>33.58284126256023</v>
      </c>
      <c r="CI88" s="7">
        <f>CI55/CI4</f>
        <v>36.717146870278427</v>
      </c>
      <c r="CJ88" s="7">
        <f t="shared" si="215"/>
        <v>41.819484164012763</v>
      </c>
      <c r="CK88" s="7">
        <f t="shared" si="215"/>
        <v>40.763523071201163</v>
      </c>
      <c r="CL88" s="7">
        <f t="shared" si="215"/>
        <v>52.964470826969986</v>
      </c>
      <c r="CM88" s="7">
        <f t="shared" si="215"/>
        <v>44.037662838333688</v>
      </c>
      <c r="CN88" s="7" t="e">
        <f t="shared" si="215"/>
        <v>#REF!</v>
      </c>
      <c r="CO88" s="7">
        <f t="shared" si="215"/>
        <v>11.32504929151308</v>
      </c>
      <c r="CP88" s="7">
        <f>CP55/CP4</f>
        <v>55.967241023274767</v>
      </c>
      <c r="CQ88" s="7">
        <f>CQ55/CQ4</f>
        <v>46.339807516322921</v>
      </c>
      <c r="CR88" s="7" t="e">
        <f>CR55/CR4</f>
        <v>#DIV/0!</v>
      </c>
      <c r="CS88" s="7">
        <f>CS55/CS4</f>
        <v>45.164846022017862</v>
      </c>
      <c r="CT88" s="7">
        <f t="shared" si="215"/>
        <v>62.278219255116063</v>
      </c>
      <c r="CU88" s="7">
        <f t="shared" si="215"/>
        <v>53.830211934194644</v>
      </c>
      <c r="CV88" s="7">
        <f t="shared" si="215"/>
        <v>11.277662928509319</v>
      </c>
      <c r="CW88" s="7">
        <f t="shared" si="215"/>
        <v>11.243470865992112</v>
      </c>
      <c r="CX88" s="7">
        <f t="shared" si="215"/>
        <v>42.546000369164616</v>
      </c>
      <c r="CY88" s="7">
        <f t="shared" si="215"/>
        <v>60.019592651679062</v>
      </c>
      <c r="CZ88" s="7">
        <f t="shared" si="215"/>
        <v>33.117219847715397</v>
      </c>
      <c r="DA88" s="7">
        <f t="shared" si="215"/>
        <v>41.015607100239059</v>
      </c>
      <c r="DV88" s="7">
        <f t="shared" ref="DV88:EM88" si="216">DV55/DV4</f>
        <v>39.470322853874379</v>
      </c>
      <c r="DW88" s="7">
        <f t="shared" si="216"/>
        <v>39.372378020923598</v>
      </c>
      <c r="DX88" s="7">
        <f t="shared" si="216"/>
        <v>37.38944312194127</v>
      </c>
      <c r="DY88" s="7">
        <f t="shared" si="216"/>
        <v>0</v>
      </c>
      <c r="DZ88" s="7">
        <f t="shared" si="216"/>
        <v>37.343139914051193</v>
      </c>
      <c r="EA88" s="7">
        <f t="shared" si="216"/>
        <v>40.302146057618103</v>
      </c>
      <c r="EB88" s="7">
        <f t="shared" si="216"/>
        <v>0</v>
      </c>
      <c r="EC88" s="7">
        <f t="shared" si="216"/>
        <v>40.750190627169523</v>
      </c>
      <c r="ED88" s="7">
        <f t="shared" si="216"/>
        <v>0</v>
      </c>
      <c r="EE88" s="7">
        <f t="shared" si="216"/>
        <v>0</v>
      </c>
      <c r="EF88" s="7">
        <f t="shared" si="216"/>
        <v>39.482586856074072</v>
      </c>
      <c r="EG88" s="7" t="e">
        <f t="shared" si="216"/>
        <v>#DIV/0!</v>
      </c>
      <c r="EH88" s="7">
        <f t="shared" si="216"/>
        <v>41.335794286697507</v>
      </c>
      <c r="EI88" s="7">
        <f t="shared" si="216"/>
        <v>0</v>
      </c>
      <c r="EJ88" s="7">
        <f t="shared" si="216"/>
        <v>35.891803173627885</v>
      </c>
      <c r="EK88" s="7"/>
      <c r="EL88" s="7">
        <f t="shared" si="216"/>
        <v>33.564053064751114</v>
      </c>
      <c r="EM88" s="7">
        <f t="shared" si="216"/>
        <v>33.589626149078427</v>
      </c>
      <c r="EQ88" s="7">
        <f t="shared" ref="EQ88:EW88" si="217">EQ55/EQ4</f>
        <v>33.741848027455291</v>
      </c>
      <c r="ER88" s="7">
        <f t="shared" si="217"/>
        <v>32.546811911331218</v>
      </c>
      <c r="ES88" s="7">
        <f t="shared" si="217"/>
        <v>35.124803291591775</v>
      </c>
      <c r="ET88" s="7">
        <f t="shared" si="217"/>
        <v>43.057710320357309</v>
      </c>
      <c r="EU88" s="7">
        <f t="shared" si="217"/>
        <v>33.097644877742681</v>
      </c>
      <c r="EV88" s="7">
        <f t="shared" si="217"/>
        <v>53.885132506461559</v>
      </c>
      <c r="EW88" s="7">
        <f t="shared" si="217"/>
        <v>34.701631991682959</v>
      </c>
      <c r="EX88" s="7"/>
      <c r="EY88" s="7"/>
      <c r="FH88" s="7">
        <f>FH55/FH4</f>
        <v>67.313444194113117</v>
      </c>
      <c r="FI88" s="7"/>
      <c r="FJ88" s="7">
        <f>FJ55/FJ4</f>
        <v>67.313444194113117</v>
      </c>
    </row>
    <row r="89" spans="1:166" ht="11.1" customHeight="1" x14ac:dyDescent="0.2">
      <c r="A89" s="1" t="s">
        <v>783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>
        <f t="shared" si="202"/>
        <v>0</v>
      </c>
      <c r="U89" s="7"/>
      <c r="V89" s="7"/>
      <c r="W89" s="7"/>
      <c r="X89" s="7"/>
      <c r="Y89" s="7"/>
      <c r="Z89" s="7"/>
      <c r="AA89" s="7">
        <f>AA55/AA58</f>
        <v>3.7825974378344651</v>
      </c>
      <c r="AB89" s="7">
        <f>AB55/AB58</f>
        <v>3.9715609114530568</v>
      </c>
      <c r="AC89" s="7"/>
      <c r="AE89" s="7"/>
      <c r="AI89" s="7"/>
      <c r="AJ89" s="7"/>
      <c r="AK89" s="7"/>
      <c r="AL89" s="7"/>
      <c r="AM89" s="7"/>
      <c r="AN89" s="7">
        <f>AN55/AN58</f>
        <v>1.0060324682550474</v>
      </c>
      <c r="AO89" s="7">
        <f>AO55/AO58</f>
        <v>0.93515936179784453</v>
      </c>
      <c r="AP89" s="7">
        <f>AP55/AP58</f>
        <v>1.413831209536254</v>
      </c>
      <c r="AQ89" s="7"/>
      <c r="AS89" s="7"/>
      <c r="AT89" s="7"/>
      <c r="AU89" s="7"/>
      <c r="AV89" s="7"/>
      <c r="AW89" s="7"/>
      <c r="AX89" s="7"/>
      <c r="AY89" s="7">
        <f>AY55/AY58</f>
        <v>1.6068284247346047</v>
      </c>
      <c r="BA89" s="7"/>
      <c r="BB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>
        <f>CC55/CC58</f>
        <v>0.70111167709418531</v>
      </c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S89" s="7"/>
      <c r="CT89" s="7"/>
      <c r="CU89" s="7"/>
      <c r="CV89" s="7"/>
      <c r="CW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Q89" s="7"/>
      <c r="ER89" s="7"/>
      <c r="ES89" s="7"/>
      <c r="ET89" s="7"/>
      <c r="EU89" s="7"/>
      <c r="EV89" s="7"/>
      <c r="EW89" s="7"/>
      <c r="EX89" s="7"/>
      <c r="EY89" s="7"/>
      <c r="FH89" s="7"/>
      <c r="FI89" s="7"/>
      <c r="FJ89" s="7"/>
    </row>
    <row r="90" spans="1:166" ht="11.1" customHeight="1" x14ac:dyDescent="0.2">
      <c r="A90" s="1" t="s">
        <v>184</v>
      </c>
      <c r="B90" s="6">
        <f t="shared" ref="B90:M90" si="218">B65/B69</f>
        <v>2.1872829270070144</v>
      </c>
      <c r="C90" s="6">
        <f t="shared" si="218"/>
        <v>2.1911575064641302</v>
      </c>
      <c r="D90" s="6">
        <f t="shared" si="218"/>
        <v>2.0940712858477974</v>
      </c>
      <c r="E90" s="6">
        <f t="shared" ref="E90:J90" si="219">E65/E69</f>
        <v>1.9763356158911072</v>
      </c>
      <c r="F90" s="6">
        <f t="shared" si="219"/>
        <v>2.080473362161297</v>
      </c>
      <c r="G90" s="6">
        <f t="shared" si="219"/>
        <v>2.2038320692282483</v>
      </c>
      <c r="H90" s="6">
        <f t="shared" si="219"/>
        <v>2.1802423338085988</v>
      </c>
      <c r="I90" s="6">
        <f t="shared" si="219"/>
        <v>2.2444924674864928</v>
      </c>
      <c r="J90" s="6">
        <f t="shared" si="219"/>
        <v>2.2287018122386768</v>
      </c>
      <c r="K90" s="6">
        <f t="shared" si="218"/>
        <v>1.8679919268895036</v>
      </c>
      <c r="L90" s="6">
        <f t="shared" si="218"/>
        <v>2.1519120983648432</v>
      </c>
      <c r="M90" s="6">
        <f t="shared" si="218"/>
        <v>2.1103277766190884</v>
      </c>
      <c r="N90" s="6">
        <f>N65/N69</f>
        <v>2.080848221250065</v>
      </c>
      <c r="O90" s="6">
        <f>O65/O69</f>
        <v>2.1864865282041208</v>
      </c>
      <c r="P90" s="6"/>
      <c r="Q90" s="6">
        <f t="shared" ref="Q90:X90" si="220">Q65/Q69</f>
        <v>2.5349304204942529</v>
      </c>
      <c r="R90" s="6">
        <f t="shared" si="220"/>
        <v>2.1161151859758891</v>
      </c>
      <c r="S90" s="6">
        <f t="shared" si="220"/>
        <v>2.1668633279873322</v>
      </c>
      <c r="T90" s="6">
        <f t="shared" si="202"/>
        <v>2.1482429388424618</v>
      </c>
      <c r="U90" s="6">
        <f t="shared" si="220"/>
        <v>2.0084142394822009</v>
      </c>
      <c r="V90" s="6">
        <f t="shared" si="220"/>
        <v>1.6813077357967272</v>
      </c>
      <c r="W90" s="6">
        <f t="shared" si="220"/>
        <v>2.1114105969801935</v>
      </c>
      <c r="X90" s="6">
        <f t="shared" si="220"/>
        <v>2.036063312335052</v>
      </c>
      <c r="Y90" s="6"/>
      <c r="Z90" s="6">
        <f>Z65/Z69</f>
        <v>1.145879639025984</v>
      </c>
      <c r="AA90" s="6">
        <f>AA65/AA69</f>
        <v>1.1798726303857687</v>
      </c>
      <c r="AB90" s="6">
        <f>AB65/AB69</f>
        <v>1.0222128407732742</v>
      </c>
      <c r="AC90" s="6">
        <f>AC65/AC69</f>
        <v>1.7055110101377295</v>
      </c>
      <c r="AE90" s="6">
        <f>AE65/AE69</f>
        <v>2.2304154225351578</v>
      </c>
      <c r="AI90" s="6">
        <f t="shared" ref="AI90:AQ90" si="221">AI65/AI69</f>
        <v>2.2566850353568078</v>
      </c>
      <c r="AJ90" s="6">
        <f t="shared" si="221"/>
        <v>2.5318696325875201</v>
      </c>
      <c r="AK90" s="6">
        <f t="shared" si="221"/>
        <v>1.6854161007308213</v>
      </c>
      <c r="AL90" s="6">
        <f t="shared" si="221"/>
        <v>1.503510406711086</v>
      </c>
      <c r="AM90" s="6">
        <f t="shared" si="221"/>
        <v>1.9448160123706713</v>
      </c>
      <c r="AN90" s="6">
        <f t="shared" si="221"/>
        <v>1.7705505248433735</v>
      </c>
      <c r="AO90" s="6">
        <f t="shared" si="221"/>
        <v>1.561782643795973</v>
      </c>
      <c r="AP90" s="6">
        <f t="shared" si="221"/>
        <v>1.7189867027818935</v>
      </c>
      <c r="AQ90" s="6">
        <f t="shared" si="221"/>
        <v>1.9724942319504888</v>
      </c>
      <c r="AS90" s="6">
        <f t="shared" ref="AS90:AY90" si="222">AS65/AS69</f>
        <v>2.0523681826214935</v>
      </c>
      <c r="AT90" s="6">
        <f t="shared" si="222"/>
        <v>2.2403973585450632</v>
      </c>
      <c r="AU90" s="6">
        <f t="shared" si="222"/>
        <v>2.048240563212115</v>
      </c>
      <c r="AV90" s="6">
        <f t="shared" si="222"/>
        <v>1.9891045112075514</v>
      </c>
      <c r="AW90" s="6">
        <f t="shared" si="222"/>
        <v>1.6987426052736694</v>
      </c>
      <c r="AX90" s="6">
        <f t="shared" si="222"/>
        <v>2.2702329029513013</v>
      </c>
      <c r="AY90" s="6">
        <f t="shared" si="222"/>
        <v>1.6875800268206482</v>
      </c>
      <c r="BA90" s="6">
        <f>BA65/BA69</f>
        <v>2.0447523852383767</v>
      </c>
      <c r="BB90" s="6">
        <f>BB65/BB69</f>
        <v>1.0338578437812405</v>
      </c>
      <c r="BE90" s="6">
        <f t="shared" ref="BE90:BW90" si="223">BE65/BE69</f>
        <v>2.2077349982812411</v>
      </c>
      <c r="BF90" s="6">
        <f t="shared" si="223"/>
        <v>2.1581863204020086</v>
      </c>
      <c r="BG90" s="6">
        <f t="shared" si="223"/>
        <v>2.1406428484140645</v>
      </c>
      <c r="BH90" s="6">
        <f t="shared" si="223"/>
        <v>2.244635193133047</v>
      </c>
      <c r="BI90" s="6">
        <f>BI65/BI69</f>
        <v>2.165736762318601</v>
      </c>
      <c r="BJ90" s="6">
        <f>BJ65/BJ69</f>
        <v>2.0125695109219803</v>
      </c>
      <c r="BK90" s="6">
        <f>BK65/BK69</f>
        <v>2.1903917907494028</v>
      </c>
      <c r="BL90" s="6">
        <f>BL65/BL69</f>
        <v>2.2248406277555137</v>
      </c>
      <c r="BM90" s="6">
        <f>BM65/BM69</f>
        <v>2.2441650693748123</v>
      </c>
      <c r="BN90" s="6">
        <f t="shared" si="223"/>
        <v>2.064921910909395</v>
      </c>
      <c r="BO90" s="6">
        <f t="shared" si="223"/>
        <v>2.129568519126424</v>
      </c>
      <c r="BP90" s="6">
        <f t="shared" si="223"/>
        <v>2.0965302550109284</v>
      </c>
      <c r="BQ90" s="6">
        <f t="shared" si="223"/>
        <v>2.0933419017272095</v>
      </c>
      <c r="BR90" s="6">
        <f t="shared" si="223"/>
        <v>2.1698792930196098</v>
      </c>
      <c r="BS90" s="6" t="e">
        <f t="shared" si="223"/>
        <v>#DIV/0!</v>
      </c>
      <c r="BT90" s="6">
        <f t="shared" si="223"/>
        <v>1.9968802849626111</v>
      </c>
      <c r="BU90" s="6">
        <f t="shared" si="223"/>
        <v>2.1363636363636362</v>
      </c>
      <c r="BV90" s="6">
        <f t="shared" si="223"/>
        <v>2.1086545308956635</v>
      </c>
      <c r="BW90" s="6">
        <f t="shared" si="223"/>
        <v>2.2176305780425096</v>
      </c>
      <c r="BX90" s="6"/>
      <c r="BY90" s="6"/>
      <c r="BZ90" s="6">
        <f t="shared" ref="BZ90:CE90" si="224">BZ65/BZ69</f>
        <v>2.2916582579036238</v>
      </c>
      <c r="CA90" s="6">
        <f t="shared" si="224"/>
        <v>2.3608732922316302</v>
      </c>
      <c r="CB90" s="6">
        <f t="shared" si="224"/>
        <v>2.2706080454746451</v>
      </c>
      <c r="CC90" s="6">
        <f t="shared" si="224"/>
        <v>1.8526802656708161</v>
      </c>
      <c r="CD90" s="6">
        <f t="shared" si="224"/>
        <v>2.2040770385827937</v>
      </c>
      <c r="CE90" s="6">
        <f t="shared" si="224"/>
        <v>2.1288539364518662</v>
      </c>
      <c r="CF90" s="6"/>
      <c r="CG90" s="6">
        <f t="shared" ref="CG90:CL90" si="225">CG65/CG69</f>
        <v>2.1571235267260307</v>
      </c>
      <c r="CH90" s="6">
        <f t="shared" si="225"/>
        <v>2.1571235267260307</v>
      </c>
      <c r="CI90" s="6">
        <f t="shared" si="225"/>
        <v>6.8153310790494421</v>
      </c>
      <c r="CJ90" s="6">
        <f t="shared" si="225"/>
        <v>2.1267866116648619</v>
      </c>
      <c r="CK90" s="6">
        <f t="shared" si="225"/>
        <v>2.0421775670995053</v>
      </c>
      <c r="CL90" s="6">
        <f t="shared" si="225"/>
        <v>2.2247887383210574</v>
      </c>
      <c r="CM90" s="6">
        <f t="shared" ref="CM90:CW90" si="226">CM65/CM69</f>
        <v>2.2402276368878673</v>
      </c>
      <c r="CN90" s="6" t="e">
        <f t="shared" si="226"/>
        <v>#REF!</v>
      </c>
      <c r="CO90" s="6">
        <f t="shared" si="226"/>
        <v>2.1738336255020583</v>
      </c>
      <c r="CS90" s="6">
        <f>CS65/CS69</f>
        <v>1.9622034584156522</v>
      </c>
      <c r="CT90" s="6">
        <f t="shared" si="226"/>
        <v>2.2039707796575958</v>
      </c>
      <c r="CU90" s="6">
        <f t="shared" si="226"/>
        <v>2.1759054194604888</v>
      </c>
      <c r="CV90" s="6">
        <f t="shared" si="226"/>
        <v>2.3557465100210138</v>
      </c>
      <c r="CW90" s="6">
        <f t="shared" si="226"/>
        <v>2.284120305891062</v>
      </c>
      <c r="DV90" s="6">
        <f t="shared" ref="DV90:EM90" si="227">DV65/DV69</f>
        <v>2.3042207911345955</v>
      </c>
      <c r="DW90" s="6">
        <f t="shared" si="227"/>
        <v>2.0346095317322139</v>
      </c>
      <c r="DX90" s="6">
        <f t="shared" si="227"/>
        <v>2.2302036679533197</v>
      </c>
      <c r="DY90" s="6" t="e">
        <f t="shared" si="227"/>
        <v>#DIV/0!</v>
      </c>
      <c r="DZ90" s="6">
        <f t="shared" si="227"/>
        <v>2.0732495281962704</v>
      </c>
      <c r="EA90" s="6">
        <f t="shared" si="227"/>
        <v>2.1290969506557804</v>
      </c>
      <c r="EB90" s="6" t="e">
        <f t="shared" si="227"/>
        <v>#DIV/0!</v>
      </c>
      <c r="EC90" s="6">
        <f t="shared" si="227"/>
        <v>2.2316990419187626</v>
      </c>
      <c r="ED90" s="6" t="e">
        <f t="shared" si="227"/>
        <v>#DIV/0!</v>
      </c>
      <c r="EE90" s="6" t="e">
        <f t="shared" si="227"/>
        <v>#DIV/0!</v>
      </c>
      <c r="EF90" s="6">
        <f t="shared" si="227"/>
        <v>1.982073208065581</v>
      </c>
      <c r="EG90" s="6" t="e">
        <f t="shared" si="227"/>
        <v>#DIV/0!</v>
      </c>
      <c r="EH90" s="6">
        <f t="shared" si="227"/>
        <v>2.1502108938859381</v>
      </c>
      <c r="EI90" s="6" t="e">
        <f t="shared" si="227"/>
        <v>#DIV/0!</v>
      </c>
      <c r="EJ90" s="6">
        <f t="shared" si="227"/>
        <v>2.0018245312177223</v>
      </c>
      <c r="EK90" s="6"/>
      <c r="EL90" s="6">
        <f t="shared" si="227"/>
        <v>2.1633908573410374</v>
      </c>
      <c r="EM90" s="6">
        <f t="shared" si="227"/>
        <v>2.1548252238877916</v>
      </c>
      <c r="EQ90" s="6">
        <f t="shared" ref="EQ90:EV90" si="228">EQ65/EQ69</f>
        <v>2.1961671847698696</v>
      </c>
      <c r="ER90" s="6">
        <f t="shared" si="228"/>
        <v>2.2836405036698526</v>
      </c>
      <c r="ES90" s="6">
        <f t="shared" si="228"/>
        <v>2.2521426952074206</v>
      </c>
      <c r="ET90" s="6">
        <f t="shared" si="228"/>
        <v>2.2484027873004901</v>
      </c>
      <c r="EU90" s="6">
        <f t="shared" si="228"/>
        <v>2.4176780652559966</v>
      </c>
      <c r="EV90" s="6">
        <f t="shared" si="228"/>
        <v>1.9600429022170598</v>
      </c>
      <c r="EW90" s="6"/>
      <c r="EX90" s="6"/>
      <c r="EY90" s="6"/>
      <c r="FH90" s="6">
        <f>FH65/FH69</f>
        <v>1.6157522736864098</v>
      </c>
      <c r="FI90" s="6"/>
      <c r="FJ90" s="6">
        <f>FJ65/FJ69</f>
        <v>1.6157522736864096</v>
      </c>
    </row>
    <row r="91" spans="1:166" ht="11.1" customHeight="1" x14ac:dyDescent="0.2">
      <c r="A91" s="1" t="s">
        <v>658</v>
      </c>
      <c r="B91" s="6">
        <f t="shared" ref="B91:M91" si="229">B65/B77</f>
        <v>2.5583440806732689</v>
      </c>
      <c r="C91" s="6">
        <f t="shared" si="229"/>
        <v>2.8012733622251047</v>
      </c>
      <c r="D91" s="6">
        <f t="shared" si="229"/>
        <v>2.1770521573534012</v>
      </c>
      <c r="E91" s="6">
        <f t="shared" ref="E91:J91" si="230">E65/E77</f>
        <v>2.2374894260669609</v>
      </c>
      <c r="F91" s="6">
        <f t="shared" si="230"/>
        <v>2.5615858083726262</v>
      </c>
      <c r="G91" s="6">
        <f t="shared" si="230"/>
        <v>3.4219419481174884</v>
      </c>
      <c r="H91" s="6">
        <f t="shared" si="230"/>
        <v>2.7369923324551593</v>
      </c>
      <c r="I91" s="6">
        <f t="shared" si="230"/>
        <v>3.0568157185403653</v>
      </c>
      <c r="J91" s="6">
        <f t="shared" si="230"/>
        <v>2.973283900523902</v>
      </c>
      <c r="K91" s="6">
        <f t="shared" si="229"/>
        <v>2.2940696246934347</v>
      </c>
      <c r="L91" s="6">
        <f t="shared" si="229"/>
        <v>2.5507612501979926</v>
      </c>
      <c r="M91" s="6">
        <f t="shared" si="229"/>
        <v>2.0971811633019604</v>
      </c>
      <c r="N91" s="6">
        <f t="shared" ref="N91:AB91" si="231">N65/N77</f>
        <v>2.3574636422988928</v>
      </c>
      <c r="O91" s="6">
        <f t="shared" si="231"/>
        <v>2.7666762012599828</v>
      </c>
      <c r="P91" s="6" t="e">
        <f t="shared" si="231"/>
        <v>#DIV/0!</v>
      </c>
      <c r="Q91" s="6">
        <f t="shared" si="231"/>
        <v>2.5417639131703491</v>
      </c>
      <c r="R91" s="6">
        <f t="shared" si="231"/>
        <v>2.7556575442640066</v>
      </c>
      <c r="S91" s="6">
        <f t="shared" si="231"/>
        <v>2.5256600995476113</v>
      </c>
      <c r="T91" s="6">
        <f t="shared" si="202"/>
        <v>2.6100502220860755</v>
      </c>
      <c r="U91" s="6">
        <f t="shared" si="231"/>
        <v>2.5793848711554448</v>
      </c>
      <c r="V91" s="6">
        <f t="shared" si="231"/>
        <v>1.750337392341802</v>
      </c>
      <c r="W91" s="6">
        <f t="shared" si="231"/>
        <v>2.7217042857544964</v>
      </c>
      <c r="X91" s="6">
        <f t="shared" si="231"/>
        <v>2.6411332768207796</v>
      </c>
      <c r="Y91" s="6">
        <f t="shared" si="231"/>
        <v>2.671522428874999</v>
      </c>
      <c r="Z91" s="6">
        <f t="shared" si="231"/>
        <v>1.0587324571216437</v>
      </c>
      <c r="AA91" s="6">
        <f t="shared" si="231"/>
        <v>1.0007124646711136</v>
      </c>
      <c r="AB91" s="6">
        <f t="shared" si="231"/>
        <v>0.7122063419103315</v>
      </c>
      <c r="AC91" s="6">
        <f>AC65/AC77</f>
        <v>1.9748312931060747</v>
      </c>
      <c r="AE91" s="6">
        <f>AE65/AE77</f>
        <v>2.8522165064395777</v>
      </c>
      <c r="AI91" s="6">
        <f t="shared" ref="AI91:AQ91" si="232">AI65/AI77</f>
        <v>2.854949391208514</v>
      </c>
      <c r="AJ91" s="6">
        <f t="shared" si="232"/>
        <v>3.4153932102967133</v>
      </c>
      <c r="AK91" s="6">
        <f t="shared" si="232"/>
        <v>1.9174116746786851</v>
      </c>
      <c r="AL91" s="6">
        <f t="shared" si="232"/>
        <v>0.71406991720048063</v>
      </c>
      <c r="AM91" s="6">
        <f t="shared" si="232"/>
        <v>1.9420136984628364</v>
      </c>
      <c r="AN91" s="6">
        <f t="shared" si="232"/>
        <v>1.5493322250825137</v>
      </c>
      <c r="AO91" s="6">
        <f t="shared" si="232"/>
        <v>1.6216183629908205</v>
      </c>
      <c r="AP91" s="6">
        <f t="shared" si="232"/>
        <v>1.9653681670782475</v>
      </c>
      <c r="AQ91" s="6">
        <f t="shared" si="232"/>
        <v>2.3560763306776278</v>
      </c>
      <c r="AS91" s="6">
        <f t="shared" ref="AS91:AY91" si="233">AS65/AS77</f>
        <v>2.7936647025401089</v>
      </c>
      <c r="AT91" s="6">
        <f t="shared" si="233"/>
        <v>3.3459821077600802</v>
      </c>
      <c r="AU91" s="6">
        <f t="shared" si="233"/>
        <v>2.3505651168843555</v>
      </c>
      <c r="AV91" s="6">
        <f t="shared" si="233"/>
        <v>2.2759255735916342</v>
      </c>
      <c r="AW91" s="6">
        <f t="shared" si="233"/>
        <v>1.5406097036532336</v>
      </c>
      <c r="AX91" s="6">
        <f t="shared" si="233"/>
        <v>3.1414221212486777</v>
      </c>
      <c r="AY91" s="6">
        <f t="shared" si="233"/>
        <v>1.9114608813189007</v>
      </c>
      <c r="BA91" s="6">
        <f>BA65/BA77</f>
        <v>2.6781132687117921</v>
      </c>
      <c r="BB91" s="6">
        <f>BB65/BB77</f>
        <v>1.1783225269189188</v>
      </c>
      <c r="BE91" s="6">
        <f t="shared" ref="BE91:BW91" si="234">BE65/BE77</f>
        <v>3.0560733591660592</v>
      </c>
      <c r="BF91" s="6">
        <f t="shared" si="234"/>
        <v>3.1578368463635615</v>
      </c>
      <c r="BG91" s="6">
        <f t="shared" si="234"/>
        <v>3.1032797761777804</v>
      </c>
      <c r="BH91" s="6">
        <f t="shared" si="234"/>
        <v>2.466981132075472</v>
      </c>
      <c r="BI91" s="6">
        <f>BI65/BI77</f>
        <v>2.6747066598558416</v>
      </c>
      <c r="BJ91" s="6">
        <f>BJ65/BJ77</f>
        <v>2.4379282813069931</v>
      </c>
      <c r="BK91" s="6">
        <f>BK65/BK77</f>
        <v>2.7285411457114099</v>
      </c>
      <c r="BL91" s="6">
        <f>BL65/BL77</f>
        <v>2.838429972883556</v>
      </c>
      <c r="BM91" s="6">
        <f>BM65/BM77</f>
        <v>3.5847658674605389</v>
      </c>
      <c r="BN91" s="6">
        <f t="shared" si="234"/>
        <v>3.0096060175080699</v>
      </c>
      <c r="BO91" s="6">
        <f t="shared" si="234"/>
        <v>3.2683449772817119</v>
      </c>
      <c r="BP91" s="6">
        <f t="shared" si="234"/>
        <v>3.1327774422451466</v>
      </c>
      <c r="BQ91" s="6">
        <f t="shared" si="234"/>
        <v>2.7414419618312285</v>
      </c>
      <c r="BR91" s="6">
        <f t="shared" si="234"/>
        <v>3.1048193224249006</v>
      </c>
      <c r="BS91" s="6" t="e">
        <f t="shared" si="234"/>
        <v>#DIV/0!</v>
      </c>
      <c r="BT91" s="6">
        <f t="shared" si="234"/>
        <v>2.5622904670285029</v>
      </c>
      <c r="BU91" s="6">
        <f t="shared" si="234"/>
        <v>2.9375</v>
      </c>
      <c r="BV91" s="6">
        <f t="shared" si="234"/>
        <v>2.8817394292307399</v>
      </c>
      <c r="BW91" s="6">
        <f t="shared" si="234"/>
        <v>1.9606215444219739</v>
      </c>
      <c r="BX91" s="6"/>
      <c r="BY91" s="6"/>
      <c r="BZ91" s="6">
        <f>BZ65/BZ77</f>
        <v>2.86375780157227</v>
      </c>
      <c r="CA91" s="6">
        <f>CA65/CA77</f>
        <v>2.9982709070074702</v>
      </c>
      <c r="CB91" s="6">
        <f>CB65/CB77</f>
        <v>2.6212281953604788</v>
      </c>
      <c r="CC91" s="6">
        <f>CC65/CC77</f>
        <v>3.2503882191321773</v>
      </c>
      <c r="CD91" s="6">
        <f>CD65/CD77</f>
        <v>2.8262063899168681</v>
      </c>
      <c r="CE91" s="6"/>
      <c r="CF91" s="6"/>
      <c r="CG91" s="6"/>
      <c r="CH91" s="6"/>
      <c r="CI91" s="6">
        <f>CI65/CI77</f>
        <v>7.9558820606621357</v>
      </c>
      <c r="CJ91" s="6">
        <f>CJ65/CJ77</f>
        <v>2.524952191625204</v>
      </c>
      <c r="CK91" s="6">
        <f>CK65/CK77</f>
        <v>2.3406346487499481</v>
      </c>
      <c r="CL91" s="6">
        <f>CL65/CL77</f>
        <v>2.4877765556900875</v>
      </c>
      <c r="CM91" s="6">
        <f t="shared" ref="CM91:CW91" si="235">CM65/CM77</f>
        <v>2.8494221533494617</v>
      </c>
      <c r="CN91" s="6" t="e">
        <f t="shared" si="235"/>
        <v>#REF!</v>
      </c>
      <c r="CO91" s="6">
        <f t="shared" si="235"/>
        <v>3.0276914370785253</v>
      </c>
      <c r="CS91" s="6">
        <f>CS65/CS77</f>
        <v>2.0603349066006111</v>
      </c>
      <c r="CT91" s="6">
        <f t="shared" si="235"/>
        <v>1.9645569088771306</v>
      </c>
      <c r="CU91" s="6">
        <f t="shared" si="235"/>
        <v>2.4069816207019388</v>
      </c>
      <c r="CV91" s="6">
        <f t="shared" si="235"/>
        <v>3.121836541035651</v>
      </c>
      <c r="CW91" s="6">
        <f t="shared" si="235"/>
        <v>2.9579286990151115</v>
      </c>
      <c r="DV91" s="6"/>
      <c r="DW91" s="6"/>
      <c r="DX91" s="6"/>
      <c r="DY91" s="6"/>
      <c r="DZ91" s="6"/>
      <c r="EA91" s="6"/>
      <c r="EB91" s="6"/>
      <c r="EC91" s="6">
        <f>EC65/EC77</f>
        <v>2.5382747362963256</v>
      </c>
      <c r="ED91" s="6"/>
      <c r="EE91" s="6"/>
      <c r="EF91" s="6"/>
      <c r="EG91" s="6"/>
      <c r="EH91" s="6">
        <f>EH65/EH77</f>
        <v>2.4450421639470337</v>
      </c>
      <c r="EI91" s="6"/>
      <c r="EJ91" s="6"/>
      <c r="EK91" s="6"/>
      <c r="EL91" s="6"/>
      <c r="EM91" s="6"/>
      <c r="EQ91" s="6">
        <f>EQ65/EQ77</f>
        <v>2.7813190134869092</v>
      </c>
      <c r="ER91" s="6"/>
      <c r="ES91" s="6"/>
      <c r="ET91" s="6">
        <f>ET65/ET77</f>
        <v>2.5088805372086216</v>
      </c>
      <c r="EU91" s="6">
        <f>EU65/EU77</f>
        <v>2.9246757254724121</v>
      </c>
      <c r="EV91" s="6">
        <f>EV65/EV77</f>
        <v>2.1409708908199487</v>
      </c>
      <c r="EW91" s="6"/>
      <c r="EX91" s="6"/>
      <c r="EY91" s="6"/>
      <c r="FH91" s="6">
        <f>FH65/FH77</f>
        <v>1.4429703851662161</v>
      </c>
      <c r="FI91" s="6"/>
      <c r="FJ91" s="6">
        <f>FJ65/FJ77</f>
        <v>1.4429703851662159</v>
      </c>
    </row>
    <row r="92" spans="1:166" ht="11.1" customHeight="1" x14ac:dyDescent="0.2">
      <c r="A92" s="1" t="s">
        <v>1248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>
        <f t="shared" si="202"/>
        <v>0</v>
      </c>
      <c r="U92" s="6"/>
      <c r="V92" s="6"/>
      <c r="W92" s="6"/>
      <c r="X92" s="6"/>
      <c r="Y92" s="6"/>
      <c r="Z92" s="3">
        <f>Z69/Z55</f>
        <v>4.9310166453046263E-2</v>
      </c>
      <c r="AA92" s="3">
        <f>AA69/AA55</f>
        <v>3.0718686528672899E-2</v>
      </c>
      <c r="AB92" s="3">
        <f>AB69/AB55</f>
        <v>2.1432866876394823E-2</v>
      </c>
      <c r="AC92" s="3">
        <f>AC69/AC55</f>
        <v>0.12789596658690164</v>
      </c>
      <c r="AE92" s="6"/>
      <c r="AI92" s="6"/>
      <c r="AJ92" s="6"/>
      <c r="AK92" s="6"/>
      <c r="AL92" s="6"/>
      <c r="AM92" s="6"/>
      <c r="AN92" s="3">
        <f>AN69/AN55</f>
        <v>3.3317036780312385E-2</v>
      </c>
      <c r="AO92" s="3">
        <f>AO69/AO55</f>
        <v>7.034145080113105E-2</v>
      </c>
      <c r="AP92" s="3">
        <f>AP69/AP55</f>
        <v>0.11370892071976717</v>
      </c>
      <c r="AQ92" s="6"/>
      <c r="AS92" s="6"/>
      <c r="AT92" s="6"/>
      <c r="AU92" s="6"/>
      <c r="AV92" s="6"/>
      <c r="AW92" s="6"/>
      <c r="AX92" s="6"/>
      <c r="AY92" s="3">
        <f>AY69/AY55</f>
        <v>0.1264016611761612</v>
      </c>
      <c r="BA92" s="6"/>
      <c r="BB92" s="6"/>
      <c r="BE92" s="6"/>
      <c r="BF92" s="6"/>
      <c r="BG92" s="6"/>
      <c r="BH92" s="6"/>
      <c r="BI92" s="6"/>
      <c r="BJ92" s="6"/>
      <c r="BK92" s="6"/>
      <c r="BL92" s="6"/>
      <c r="BM92" s="6"/>
      <c r="BN92" s="3">
        <f>BN69/BN55</f>
        <v>0.12046926620819612</v>
      </c>
      <c r="BO92" s="3">
        <f>BO69/BO55</f>
        <v>0.12204900996446769</v>
      </c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3">
        <f>CC69/CC55</f>
        <v>0.1806612911468386</v>
      </c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S92" s="6"/>
      <c r="CT92" s="6"/>
      <c r="CU92" s="6"/>
      <c r="CV92" s="6"/>
      <c r="CW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Q92" s="6"/>
      <c r="ER92" s="6"/>
      <c r="ES92" s="6"/>
      <c r="ET92" s="6"/>
      <c r="EU92" s="6"/>
      <c r="EV92" s="6"/>
      <c r="EW92" s="6"/>
      <c r="EX92" s="6"/>
      <c r="EY92" s="6"/>
      <c r="FH92" s="6"/>
      <c r="FI92" s="6"/>
      <c r="FJ92" s="6"/>
    </row>
    <row r="93" spans="1:166" s="32" customFormat="1" ht="11.1" customHeight="1" x14ac:dyDescent="0.2">
      <c r="A93" s="280" t="s">
        <v>1165</v>
      </c>
      <c r="B93" s="3">
        <f t="shared" ref="B93:M93" si="236">B69/B70</f>
        <v>1.4475497518819482</v>
      </c>
      <c r="C93" s="3">
        <f t="shared" si="236"/>
        <v>1.8867858744941339</v>
      </c>
      <c r="D93" s="3">
        <f t="shared" si="236"/>
        <v>1.5225141441848271</v>
      </c>
      <c r="E93" s="3">
        <f t="shared" ref="E93:J93" si="237">E69/E70</f>
        <v>1.3970718908026396</v>
      </c>
      <c r="F93" s="3">
        <f t="shared" si="237"/>
        <v>1.0286821316361194</v>
      </c>
      <c r="G93" s="3">
        <f t="shared" si="237"/>
        <v>3.6634526039527087</v>
      </c>
      <c r="H93" s="3">
        <f t="shared" si="237"/>
        <v>1.1442239693967602</v>
      </c>
      <c r="I93" s="3">
        <f t="shared" si="237"/>
        <v>3.2100571028238556</v>
      </c>
      <c r="J93" s="3">
        <f t="shared" si="237"/>
        <v>2.2234603165354443</v>
      </c>
      <c r="K93" s="3">
        <f t="shared" si="236"/>
        <v>1.6779072831961521</v>
      </c>
      <c r="L93" s="3">
        <f t="shared" si="236"/>
        <v>1.4870342579658502</v>
      </c>
      <c r="M93" s="3">
        <f t="shared" si="236"/>
        <v>0.66472708821632387</v>
      </c>
      <c r="N93" s="3">
        <f t="shared" ref="N93:AB93" si="238">N69/N70</f>
        <v>0.78121731877047351</v>
      </c>
      <c r="O93" s="3">
        <f t="shared" si="238"/>
        <v>1.456829852278875</v>
      </c>
      <c r="P93" s="3" t="e">
        <f t="shared" si="238"/>
        <v>#DIV/0!</v>
      </c>
      <c r="Q93" s="3">
        <f t="shared" si="238"/>
        <v>4.4242202513392535</v>
      </c>
      <c r="R93" s="3">
        <f t="shared" si="238"/>
        <v>3.6707381952869862</v>
      </c>
      <c r="S93" s="3">
        <f t="shared" si="238"/>
        <v>3.2486728792411732</v>
      </c>
      <c r="T93" s="3">
        <f t="shared" si="202"/>
        <v>3.4035360942836785</v>
      </c>
      <c r="U93" s="3">
        <f t="shared" si="238"/>
        <v>3.8016732283464565</v>
      </c>
      <c r="V93" s="3">
        <f t="shared" si="238"/>
        <v>3.3570933563226513</v>
      </c>
      <c r="W93" s="3">
        <f t="shared" si="238"/>
        <v>3.9581849179576474</v>
      </c>
      <c r="X93" s="3">
        <f t="shared" si="238"/>
        <v>4.1527696986868667</v>
      </c>
      <c r="Y93" s="3">
        <f t="shared" si="238"/>
        <v>4.0774619518000366</v>
      </c>
      <c r="Z93" s="3">
        <f t="shared" si="238"/>
        <v>3.3052382419752009</v>
      </c>
      <c r="AA93" s="3">
        <f t="shared" si="238"/>
        <v>2.8063243321595972</v>
      </c>
      <c r="AB93" s="3">
        <f t="shared" si="238"/>
        <v>2.3968290390877227</v>
      </c>
      <c r="AC93" s="3">
        <f>AC69/AC70</f>
        <v>5.9712189193639427</v>
      </c>
      <c r="AE93" s="3">
        <f>AE69/AE70</f>
        <v>7.8613225262259521</v>
      </c>
      <c r="AI93" s="3">
        <f t="shared" ref="AI93:BW93" si="239">AI69/AI70</f>
        <v>1.4764176961402944</v>
      </c>
      <c r="AJ93" s="3">
        <f t="shared" si="239"/>
        <v>1.1722811720185935</v>
      </c>
      <c r="AK93" s="3">
        <f t="shared" si="239"/>
        <v>0.89795300477215367</v>
      </c>
      <c r="AL93" s="3">
        <f t="shared" si="239"/>
        <v>1.3232062038687151</v>
      </c>
      <c r="AM93" s="3">
        <f t="shared" si="239"/>
        <v>1.0652260150267541</v>
      </c>
      <c r="AN93" s="3">
        <f t="shared" si="239"/>
        <v>2.8048597908437891</v>
      </c>
      <c r="AO93" s="3">
        <f t="shared" si="239"/>
        <v>5.6214250338241065</v>
      </c>
      <c r="AP93" s="3">
        <f t="shared" si="239"/>
        <v>5.9196168028463463</v>
      </c>
      <c r="AQ93" s="3">
        <f t="shared" si="239"/>
        <v>1.0117381924571207</v>
      </c>
      <c r="AR93" s="3">
        <f t="shared" si="239"/>
        <v>1.4414806956052346</v>
      </c>
      <c r="AS93" s="3">
        <f t="shared" si="239"/>
        <v>10.22181468277838</v>
      </c>
      <c r="AT93" s="3">
        <f t="shared" si="239"/>
        <v>4.1654432664625443</v>
      </c>
      <c r="AU93" s="3">
        <f t="shared" si="239"/>
        <v>0.54634370236859309</v>
      </c>
      <c r="AV93" s="3">
        <f t="shared" si="239"/>
        <v>4.124921883045209</v>
      </c>
      <c r="AW93" s="3">
        <f t="shared" si="239"/>
        <v>0.78171365108961044</v>
      </c>
      <c r="AX93" s="3">
        <f t="shared" si="239"/>
        <v>11.527605170213281</v>
      </c>
      <c r="AY93" s="3">
        <f t="shared" si="239"/>
        <v>5.9744678267516838</v>
      </c>
      <c r="AZ93" s="3">
        <f t="shared" si="239"/>
        <v>4.0728452418340426</v>
      </c>
      <c r="BA93" s="3">
        <f t="shared" si="239"/>
        <v>3.885353390003019</v>
      </c>
      <c r="BB93" s="3">
        <f t="shared" si="239"/>
        <v>4.5679180113520408</v>
      </c>
      <c r="BC93" s="3">
        <f t="shared" si="239"/>
        <v>1.8245078735095484</v>
      </c>
      <c r="BD93" s="3">
        <f t="shared" si="239"/>
        <v>4.2937215181215471</v>
      </c>
      <c r="BE93" s="3">
        <f t="shared" si="239"/>
        <v>2.2367089519943728</v>
      </c>
      <c r="BF93" s="3">
        <f t="shared" si="239"/>
        <v>4.6361743876505992</v>
      </c>
      <c r="BG93" s="3">
        <f t="shared" si="239"/>
        <v>3.4971921939952453</v>
      </c>
      <c r="BH93" s="3">
        <f t="shared" si="239"/>
        <v>0.79931389365351635</v>
      </c>
      <c r="BI93" s="3">
        <f>BI69/BI70</f>
        <v>1.5982497276840919</v>
      </c>
      <c r="BJ93" s="3">
        <f>BJ69/BJ70</f>
        <v>1.4292324281860489</v>
      </c>
      <c r="BK93" s="3">
        <f>BK69/BK70</f>
        <v>1.7568935961100631</v>
      </c>
      <c r="BL93" s="3">
        <f>BL69/BL70</f>
        <v>2.3234350200952987</v>
      </c>
      <c r="BM93" s="3">
        <f>BM69/BM70</f>
        <v>4.0353916829199852</v>
      </c>
      <c r="BN93" s="3">
        <f t="shared" si="239"/>
        <v>8.8626983794892045</v>
      </c>
      <c r="BO93" s="3">
        <f t="shared" si="239"/>
        <v>9.1659646961904819</v>
      </c>
      <c r="BP93" s="3">
        <f t="shared" si="239"/>
        <v>9.0084290828968836</v>
      </c>
      <c r="BQ93" s="3">
        <f t="shared" si="239"/>
        <v>11.144200659709259</v>
      </c>
      <c r="BR93" s="3">
        <f t="shared" si="239"/>
        <v>11.75240457549693</v>
      </c>
      <c r="BS93" s="3" t="e">
        <f t="shared" si="239"/>
        <v>#DIV/0!</v>
      </c>
      <c r="BT93" s="3">
        <f t="shared" si="239"/>
        <v>13.428924754992464</v>
      </c>
      <c r="BU93" s="3">
        <f t="shared" si="239"/>
        <v>13.501805054151625</v>
      </c>
      <c r="BV93" s="3">
        <f t="shared" si="239"/>
        <v>12.777359268673493</v>
      </c>
      <c r="BW93" s="3">
        <f t="shared" si="239"/>
        <v>2.5520438716533449</v>
      </c>
      <c r="BX93" s="3"/>
      <c r="BY93" s="3"/>
      <c r="BZ93" s="3">
        <f t="shared" ref="BZ93:CG93" si="240">BZ69/BZ70</f>
        <v>1.8337070288596873</v>
      </c>
      <c r="CA93" s="3">
        <f t="shared" si="240"/>
        <v>1.5218264041684002</v>
      </c>
      <c r="CB93" s="3">
        <f t="shared" si="240"/>
        <v>0.65287949820307944</v>
      </c>
      <c r="CC93" s="3">
        <f t="shared" si="240"/>
        <v>5.2186917638726236</v>
      </c>
      <c r="CD93" s="3">
        <f t="shared" si="240"/>
        <v>1.2297381360868265</v>
      </c>
      <c r="CE93" s="3">
        <f t="shared" si="240"/>
        <v>0.42543567405236349</v>
      </c>
      <c r="CF93" s="3">
        <f t="shared" si="240"/>
        <v>0.3752325192545371</v>
      </c>
      <c r="CG93" s="3">
        <f t="shared" si="240"/>
        <v>1.6886021313206214</v>
      </c>
      <c r="CH93" s="3">
        <f>CH69/CH70</f>
        <v>1.6886021313206214</v>
      </c>
      <c r="CI93" s="3">
        <f>CI69/CI70</f>
        <v>3.1610341844733987</v>
      </c>
      <c r="CJ93" s="3">
        <f>CJ69/CJ70</f>
        <v>1.5838481596093883</v>
      </c>
      <c r="CK93" s="3">
        <f t="shared" ref="CK93:CQ93" si="241">CK69/CK70</f>
        <v>1.3872560215026677</v>
      </c>
      <c r="CL93" s="3">
        <f t="shared" si="241"/>
        <v>3.0415726171988586</v>
      </c>
      <c r="CM93" s="3">
        <f t="shared" si="241"/>
        <v>8.8514270380133535</v>
      </c>
      <c r="CN93" s="3" t="e">
        <f t="shared" si="241"/>
        <v>#REF!</v>
      </c>
      <c r="CO93" s="3">
        <f t="shared" si="241"/>
        <v>14.520024992478167</v>
      </c>
      <c r="CP93" s="3">
        <f t="shared" si="241"/>
        <v>1.574948575475043</v>
      </c>
      <c r="CQ93" s="3">
        <f t="shared" si="241"/>
        <v>2.8650185583680563</v>
      </c>
      <c r="CR93" s="3">
        <f>CR69/CR70</f>
        <v>1.4292324281860489</v>
      </c>
      <c r="CS93" s="3">
        <f t="shared" ref="CS93:DA93" si="242">CS69/CS70</f>
        <v>1.0998925506362889</v>
      </c>
      <c r="CT93" s="3">
        <f t="shared" si="242"/>
        <v>1.7934103529695276</v>
      </c>
      <c r="CU93" s="3">
        <f t="shared" si="242"/>
        <v>2.7152084661100049</v>
      </c>
      <c r="CV93" s="3">
        <f t="shared" si="242"/>
        <v>17.779579012339045</v>
      </c>
      <c r="CW93" s="3">
        <f t="shared" si="242"/>
        <v>9.3511843658439098</v>
      </c>
      <c r="CX93" s="3">
        <f t="shared" si="242"/>
        <v>1.1211686532049046</v>
      </c>
      <c r="CY93" s="3">
        <f t="shared" si="242"/>
        <v>0.99578507422274976</v>
      </c>
      <c r="CZ93" s="3">
        <f t="shared" si="242"/>
        <v>0.61951656243945996</v>
      </c>
      <c r="DA93" s="3">
        <f t="shared" si="242"/>
        <v>1.6418381068596264</v>
      </c>
      <c r="DE93"/>
      <c r="DV93" s="3">
        <f t="shared" ref="DV93:EM93" si="243">DV69/DV70</f>
        <v>0.48094558433909018</v>
      </c>
      <c r="DW93" s="3">
        <f t="shared" si="243"/>
        <v>0.4001083533686427</v>
      </c>
      <c r="DX93" s="3">
        <f t="shared" si="243"/>
        <v>0.43649466484976046</v>
      </c>
      <c r="DY93" s="3" t="e">
        <f t="shared" si="243"/>
        <v>#DIV/0!</v>
      </c>
      <c r="DZ93" s="3">
        <f t="shared" si="243"/>
        <v>0.42049227576665893</v>
      </c>
      <c r="EA93" s="3">
        <f t="shared" si="243"/>
        <v>0.42106778296755693</v>
      </c>
      <c r="EB93" s="3" t="e">
        <f t="shared" si="243"/>
        <v>#DIV/0!</v>
      </c>
      <c r="EC93" s="3">
        <f t="shared" si="243"/>
        <v>0.41054449080000271</v>
      </c>
      <c r="ED93" s="3" t="e">
        <f t="shared" si="243"/>
        <v>#DIV/0!</v>
      </c>
      <c r="EE93" s="3" t="e">
        <f t="shared" si="243"/>
        <v>#DIV/0!</v>
      </c>
      <c r="EF93" s="3">
        <f t="shared" si="243"/>
        <v>0.43221554680360658</v>
      </c>
      <c r="EG93" s="3" t="e">
        <f t="shared" si="243"/>
        <v>#DIV/0!</v>
      </c>
      <c r="EH93" s="3">
        <f t="shared" si="243"/>
        <v>0.41579883680141028</v>
      </c>
      <c r="EI93" s="3" t="e">
        <f t="shared" si="243"/>
        <v>#DIV/0!</v>
      </c>
      <c r="EJ93" s="3">
        <f t="shared" si="243"/>
        <v>0.41387654763235016</v>
      </c>
      <c r="EK93" s="3"/>
      <c r="EL93" s="3">
        <f t="shared" si="243"/>
        <v>1.7033376256066393</v>
      </c>
      <c r="EM93" s="3">
        <f t="shared" si="243"/>
        <v>1.6832621421952345</v>
      </c>
      <c r="EQ93" s="3">
        <f t="shared" ref="EQ93:EV93" si="244">EQ69/EQ70</f>
        <v>1.8274387308123385</v>
      </c>
      <c r="ER93" s="3">
        <f t="shared" si="244"/>
        <v>2.1473534837696566</v>
      </c>
      <c r="ES93" s="3">
        <f t="shared" si="244"/>
        <v>1.7114200105104407</v>
      </c>
      <c r="ET93" s="3">
        <f t="shared" si="244"/>
        <v>0.5769913252701252</v>
      </c>
      <c r="EU93" s="3">
        <f t="shared" si="244"/>
        <v>0.95159577490443559</v>
      </c>
      <c r="EV93" s="3">
        <f t="shared" si="244"/>
        <v>0.42331806807087513</v>
      </c>
      <c r="EW93" s="3"/>
      <c r="EX93" s="3"/>
      <c r="EY93" s="3"/>
      <c r="FH93" s="3">
        <f>FH69/FH70</f>
        <v>0.74324774528472304</v>
      </c>
      <c r="FI93" s="3"/>
      <c r="FJ93" s="3">
        <f>FJ69/FJ70</f>
        <v>0.74324774528472293</v>
      </c>
    </row>
    <row r="94" spans="1:166" ht="11.1" customHeight="1" x14ac:dyDescent="0.2">
      <c r="A94" s="1" t="s">
        <v>451</v>
      </c>
      <c r="B94" s="6">
        <f t="shared" ref="B94:M94" si="245">B69/B77</f>
        <v>1.1696447903856677</v>
      </c>
      <c r="C94" s="6">
        <f t="shared" si="245"/>
        <v>1.2784445453880302</v>
      </c>
      <c r="D94" s="6">
        <f t="shared" si="245"/>
        <v>1.0396265743513162</v>
      </c>
      <c r="E94" s="6">
        <f t="shared" ref="E94:J94" si="246">E69/E77</f>
        <v>1.1321404158666153</v>
      </c>
      <c r="F94" s="6">
        <f t="shared" si="246"/>
        <v>1.2312514329486663</v>
      </c>
      <c r="G94" s="6">
        <f t="shared" si="246"/>
        <v>1.5527235472691008</v>
      </c>
      <c r="H94" s="6">
        <f t="shared" si="246"/>
        <v>1.255361521062657</v>
      </c>
      <c r="I94" s="6">
        <f t="shared" si="246"/>
        <v>1.3619184572107552</v>
      </c>
      <c r="J94" s="6">
        <f t="shared" si="246"/>
        <v>1.3340878013363799</v>
      </c>
      <c r="K94" s="6">
        <f t="shared" si="245"/>
        <v>1.2280939717514823</v>
      </c>
      <c r="L94" s="6">
        <f t="shared" si="245"/>
        <v>1.1853463959500112</v>
      </c>
      <c r="M94" s="6">
        <f t="shared" si="245"/>
        <v>0.99377034531659814</v>
      </c>
      <c r="N94" s="6">
        <f>N69/N77</f>
        <v>1.132933972898154</v>
      </c>
      <c r="O94" s="6">
        <f>O69/O77</f>
        <v>1.2653525030096588</v>
      </c>
      <c r="P94" s="6" t="e">
        <f>P69/P77</f>
        <v>#DIV/0!</v>
      </c>
      <c r="Q94" s="6"/>
      <c r="R94" s="6"/>
      <c r="S94" s="6"/>
      <c r="T94" s="6">
        <f t="shared" si="202"/>
        <v>0</v>
      </c>
      <c r="U94" s="6"/>
      <c r="V94" s="6"/>
      <c r="W94" s="6"/>
      <c r="X94" s="6"/>
      <c r="Y94" s="6"/>
      <c r="Z94" s="6"/>
      <c r="AA94" s="6"/>
      <c r="AB94" s="6"/>
      <c r="AC94" s="6"/>
      <c r="AE94" s="6"/>
      <c r="AI94" s="6">
        <f>AI69/AI77</f>
        <v>1.2651076009626279</v>
      </c>
      <c r="AJ94" s="6">
        <f>AJ69/AJ77</f>
        <v>1.348960928452801</v>
      </c>
      <c r="AK94" s="6">
        <f>AK69/AK77</f>
        <v>1.1376488416405108</v>
      </c>
      <c r="AL94" s="6"/>
      <c r="AM94" s="6">
        <f>AM69/AM77</f>
        <v>0.99855908533763116</v>
      </c>
      <c r="AN94" s="6"/>
      <c r="AO94" s="6"/>
      <c r="AP94" s="6"/>
      <c r="AQ94" s="6">
        <f>AQ69/AQ77</f>
        <v>1.1944655109829325</v>
      </c>
      <c r="AR94" s="6">
        <f>AR69/AR77</f>
        <v>1.334528833036182</v>
      </c>
      <c r="AS94" s="6"/>
      <c r="AT94" s="6"/>
      <c r="AU94" s="6">
        <f>AU69/AU77</f>
        <v>1.14760207326337</v>
      </c>
      <c r="AV94" s="6"/>
      <c r="AW94" s="6">
        <f>AW69/AW77</f>
        <v>0.90691179397660393</v>
      </c>
      <c r="AX94" s="6"/>
      <c r="AY94" s="6"/>
      <c r="AZ94" s="6">
        <f>AZ69/AZ77</f>
        <v>1.2645143180296397</v>
      </c>
      <c r="BA94" s="6"/>
      <c r="BB94" s="6"/>
      <c r="BC94" s="6">
        <f>BC69/BC77</f>
        <v>0.92229281143143549</v>
      </c>
      <c r="BD94" s="6">
        <f>BD69/BD77</f>
        <v>1.5459610533864225</v>
      </c>
      <c r="BE94" s="6">
        <f>BE69/BE77</f>
        <v>1.3842573323090241</v>
      </c>
      <c r="BF94" s="6"/>
      <c r="BG94" s="6"/>
      <c r="BH94" s="6">
        <f t="shared" ref="BH94:BM94" si="247">BH69/BH77</f>
        <v>1.0990566037735849</v>
      </c>
      <c r="BI94" s="6">
        <f t="shared" si="247"/>
        <v>1.2350100466468261</v>
      </c>
      <c r="BJ94" s="6">
        <f t="shared" si="247"/>
        <v>1.2113510952424948</v>
      </c>
      <c r="BK94" s="6">
        <f t="shared" si="247"/>
        <v>1.2456863458102576</v>
      </c>
      <c r="BL94" s="6">
        <f t="shared" si="247"/>
        <v>1.275790246489273</v>
      </c>
      <c r="BM94" s="6">
        <f t="shared" si="247"/>
        <v>1.5973717425604508</v>
      </c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>
        <f>BZ69/BZ77</f>
        <v>1.2496443532518653</v>
      </c>
      <c r="CA94" s="6">
        <f>CA69/CA77</f>
        <v>1.2699838305059292</v>
      </c>
      <c r="CB94" s="6">
        <f>CB69/CB77</f>
        <v>1.154416853487604</v>
      </c>
      <c r="CC94" s="6"/>
      <c r="CD94" s="6">
        <f>CD69/CD77</f>
        <v>1.2822629792169602</v>
      </c>
      <c r="CE94" s="6">
        <f>CE69/CE77</f>
        <v>1.1103267183221046</v>
      </c>
      <c r="CF94" s="6">
        <f>CF69/CF77</f>
        <v>1.962524014708102</v>
      </c>
      <c r="CG94" s="6">
        <f>CG69/CG77</f>
        <v>1.3126629989100518</v>
      </c>
      <c r="CH94" s="6">
        <f>CH69/CH77</f>
        <v>1.3126629989100516</v>
      </c>
      <c r="CI94" s="6"/>
      <c r="CJ94" s="6">
        <f>CJ69/CJ77</f>
        <v>1.1872146353454123</v>
      </c>
      <c r="CK94" s="6">
        <f>CK69/CK77</f>
        <v>1.1461464891490019</v>
      </c>
      <c r="CL94" s="6"/>
      <c r="CM94" s="6"/>
      <c r="CN94" s="6"/>
      <c r="CO94" s="6"/>
      <c r="CP94" s="6">
        <f t="shared" ref="CP94:CU94" si="248">CP69/CP77</f>
        <v>0.9805891343177604</v>
      </c>
      <c r="CQ94" s="6">
        <f t="shared" si="248"/>
        <v>0.99082896947504973</v>
      </c>
      <c r="CR94" s="6">
        <f t="shared" si="248"/>
        <v>1.2113510952424948</v>
      </c>
      <c r="CS94" s="6">
        <f t="shared" si="248"/>
        <v>1.050010842537294</v>
      </c>
      <c r="CT94" s="6">
        <f t="shared" si="248"/>
        <v>0.8913715767059035</v>
      </c>
      <c r="CU94" s="6">
        <f t="shared" si="248"/>
        <v>1.1061977231063405</v>
      </c>
      <c r="CV94" s="6"/>
      <c r="CW94" s="6"/>
      <c r="CX94" s="6">
        <f>CX69/CX77</f>
        <v>1.2528709603272408</v>
      </c>
      <c r="CY94" s="6">
        <f>CY69/CY77</f>
        <v>0.95573739271667646</v>
      </c>
      <c r="CZ94" s="6">
        <f>CZ69/CZ77</f>
        <v>1.1568197136290932</v>
      </c>
      <c r="DA94" s="6">
        <f>DA69/DA77</f>
        <v>1.2670859088505215</v>
      </c>
      <c r="DV94" s="6">
        <f t="shared" ref="DV94:EM94" si="249">DV69/DV77</f>
        <v>1.1077120058531678</v>
      </c>
      <c r="DW94" s="6">
        <f t="shared" si="249"/>
        <v>1.078934814207654</v>
      </c>
      <c r="DX94" s="6">
        <f t="shared" si="249"/>
        <v>1.124741490583488</v>
      </c>
      <c r="DY94" s="6" t="e">
        <f t="shared" si="249"/>
        <v>#DIV/0!</v>
      </c>
      <c r="DZ94" s="6">
        <f t="shared" si="249"/>
        <v>1.0753029660288234</v>
      </c>
      <c r="EA94" s="6">
        <f t="shared" si="249"/>
        <v>1.0981245995185329</v>
      </c>
      <c r="EB94" s="6" t="e">
        <f t="shared" si="249"/>
        <v>#DIV/0!</v>
      </c>
      <c r="EC94" s="6">
        <f t="shared" si="249"/>
        <v>1.1373732248923567</v>
      </c>
      <c r="ED94" s="6" t="e">
        <f t="shared" si="249"/>
        <v>#DIV/0!</v>
      </c>
      <c r="EE94" s="6" t="e">
        <f t="shared" si="249"/>
        <v>#DIV/0!</v>
      </c>
      <c r="EF94" s="6">
        <f t="shared" si="249"/>
        <v>1.1139000916199218</v>
      </c>
      <c r="EG94" s="6" t="e">
        <f t="shared" si="249"/>
        <v>#DIV/0!</v>
      </c>
      <c r="EH94" s="6">
        <f t="shared" si="249"/>
        <v>1.1371173734164586</v>
      </c>
      <c r="EI94" s="6" t="e">
        <f t="shared" si="249"/>
        <v>#DIV/0!</v>
      </c>
      <c r="EJ94" s="6">
        <f t="shared" si="249"/>
        <v>1.1234808997494821</v>
      </c>
      <c r="EK94" s="6"/>
      <c r="EL94" s="6">
        <f t="shared" si="249"/>
        <v>1.3250276434148194</v>
      </c>
      <c r="EM94" s="6">
        <f t="shared" si="249"/>
        <v>1.3081863713495701</v>
      </c>
      <c r="EQ94" s="6">
        <f t="shared" ref="EQ94:EV94" si="250">EQ69/EQ77</f>
        <v>1.2664422967317746</v>
      </c>
      <c r="ER94" s="6">
        <f t="shared" si="250"/>
        <v>1.2552159225590247</v>
      </c>
      <c r="ES94" s="6">
        <f t="shared" si="250"/>
        <v>1.2308211215593146</v>
      </c>
      <c r="ET94" s="6">
        <f t="shared" si="250"/>
        <v>1.1158501276458876</v>
      </c>
      <c r="EU94" s="6">
        <f t="shared" si="250"/>
        <v>1.2097043719353644</v>
      </c>
      <c r="EV94" s="6">
        <f t="shared" si="250"/>
        <v>1.092308177743577</v>
      </c>
      <c r="EW94" s="6"/>
      <c r="EX94" s="6"/>
      <c r="EY94" s="6"/>
      <c r="FH94" s="6">
        <f>FH69/FH77</f>
        <v>0.89306412168866445</v>
      </c>
      <c r="FI94" s="6"/>
      <c r="FJ94" s="6">
        <f>FJ69/FJ77</f>
        <v>0.89306412168866434</v>
      </c>
    </row>
    <row r="95" spans="1:166" ht="11.1" customHeight="1" x14ac:dyDescent="0.2">
      <c r="A95" s="1" t="s">
        <v>450</v>
      </c>
      <c r="B95" s="6">
        <f t="shared" ref="B95:M95" si="251">B69/B83</f>
        <v>3.1974458808606725</v>
      </c>
      <c r="C95" s="6">
        <f t="shared" si="251"/>
        <v>2.9613150251152542</v>
      </c>
      <c r="D95" s="6">
        <f t="shared" si="251"/>
        <v>3.3571945774457226</v>
      </c>
      <c r="E95" s="6">
        <f t="shared" ref="E95:J95" si="252">E69/E83</f>
        <v>3.1393036133181087</v>
      </c>
      <c r="F95" s="6">
        <f t="shared" si="252"/>
        <v>3.1385757385933926</v>
      </c>
      <c r="G95" s="6">
        <f t="shared" si="252"/>
        <v>3.0577598334512208</v>
      </c>
      <c r="H95" s="6">
        <f t="shared" si="252"/>
        <v>3.1149451505078578</v>
      </c>
      <c r="I95" s="6">
        <f t="shared" si="252"/>
        <v>2.7315658060093697</v>
      </c>
      <c r="J95" s="6">
        <f t="shared" si="252"/>
        <v>2.8167689554999904</v>
      </c>
      <c r="K95" s="6">
        <f t="shared" si="251"/>
        <v>3.0637178300669521</v>
      </c>
      <c r="L95" s="6" t="e">
        <f t="shared" si="251"/>
        <v>#DIV/0!</v>
      </c>
      <c r="M95" s="6">
        <f t="shared" si="251"/>
        <v>3.1308896392517291</v>
      </c>
      <c r="N95" s="6">
        <f t="shared" ref="N95:AB95" si="253">N69/N83</f>
        <v>2.9228166550662245</v>
      </c>
      <c r="O95" s="6">
        <f t="shared" si="253"/>
        <v>2.8965576203350802</v>
      </c>
      <c r="P95" s="6" t="e">
        <f t="shared" si="253"/>
        <v>#DIV/0!</v>
      </c>
      <c r="Q95" s="6">
        <f t="shared" si="253"/>
        <v>1.646578502700768</v>
      </c>
      <c r="R95" s="6">
        <f t="shared" si="253"/>
        <v>3.2500004579819848</v>
      </c>
      <c r="S95" s="6">
        <f t="shared" si="253"/>
        <v>3.196217133474768</v>
      </c>
      <c r="T95" s="6">
        <f t="shared" si="202"/>
        <v>3.2159511846564524</v>
      </c>
      <c r="U95" s="6">
        <f t="shared" si="253"/>
        <v>3.4105960264900665</v>
      </c>
      <c r="V95" s="6">
        <f t="shared" si="253"/>
        <v>4.2020264619595631</v>
      </c>
      <c r="W95" s="6">
        <f t="shared" si="253"/>
        <v>3.6374105287811216</v>
      </c>
      <c r="X95" s="6">
        <f t="shared" si="253"/>
        <v>4.0488397208975</v>
      </c>
      <c r="Y95" s="6">
        <f t="shared" si="253"/>
        <v>3.883797044509989</v>
      </c>
      <c r="Z95" s="6">
        <f t="shared" si="253"/>
        <v>5.941819821851392</v>
      </c>
      <c r="AA95" s="6">
        <f t="shared" si="253"/>
        <v>6.6764560679211238</v>
      </c>
      <c r="AB95" s="6">
        <f t="shared" si="253"/>
        <v>5.4659818211223916</v>
      </c>
      <c r="AC95" s="6">
        <f>AC69/AC83</f>
        <v>3.440598667438231</v>
      </c>
      <c r="AE95" s="6">
        <f>AE69/AE83</f>
        <v>2.1936935807059847</v>
      </c>
      <c r="AI95" s="6">
        <f t="shared" ref="AI95:BW95" si="254">AI69/AI83</f>
        <v>2.7404361658407104</v>
      </c>
      <c r="AJ95" s="6">
        <f t="shared" si="254"/>
        <v>3.3437997783506277</v>
      </c>
      <c r="AK95" s="6">
        <f t="shared" si="254"/>
        <v>4.6770769784972801</v>
      </c>
      <c r="AL95" s="6">
        <f t="shared" si="254"/>
        <v>7.8037082827669915</v>
      </c>
      <c r="AM95" s="6">
        <f t="shared" si="254"/>
        <v>3.3495261724281016</v>
      </c>
      <c r="AN95" s="6">
        <f t="shared" si="254"/>
        <v>3.9215006672284161</v>
      </c>
      <c r="AO95" s="6">
        <f t="shared" si="254"/>
        <v>4.3246673771185815</v>
      </c>
      <c r="AP95" s="6">
        <f t="shared" si="254"/>
        <v>3.3224449984589115</v>
      </c>
      <c r="AQ95" s="6">
        <f t="shared" si="254"/>
        <v>3.3386406978411682</v>
      </c>
      <c r="AR95" s="6">
        <f t="shared" si="254"/>
        <v>2.7823576070532066</v>
      </c>
      <c r="AS95" s="6">
        <f t="shared" si="254"/>
        <v>3.0676925942996007</v>
      </c>
      <c r="AT95" s="6">
        <f t="shared" si="254"/>
        <v>2.8631110368629611</v>
      </c>
      <c r="AU95" s="6">
        <f t="shared" si="254"/>
        <v>3.2494341995628453</v>
      </c>
      <c r="AV95" s="6">
        <f t="shared" si="254"/>
        <v>2.9904627144996452</v>
      </c>
      <c r="AW95" s="6">
        <f t="shared" si="254"/>
        <v>4.7696047629754892</v>
      </c>
      <c r="AX95" s="6">
        <f t="shared" si="254"/>
        <v>2.4457658102924107</v>
      </c>
      <c r="AY95" s="6">
        <f t="shared" si="254"/>
        <v>3.5243997496827073</v>
      </c>
      <c r="AZ95" s="6">
        <f t="shared" si="254"/>
        <v>2.230709771049233</v>
      </c>
      <c r="BA95" s="6">
        <f t="shared" si="254"/>
        <v>3.2978541749333612</v>
      </c>
      <c r="BB95" s="6">
        <f t="shared" si="254"/>
        <v>10.321271643330549</v>
      </c>
      <c r="BC95" s="6">
        <f t="shared" si="254"/>
        <v>2.1646362109959507</v>
      </c>
      <c r="BD95" s="6">
        <f t="shared" si="254"/>
        <v>3.2103374020250186</v>
      </c>
      <c r="BE95" s="6">
        <f t="shared" si="254"/>
        <v>3.1334089045810956</v>
      </c>
      <c r="BF95" s="6">
        <f t="shared" si="254"/>
        <v>2.9901778927414817</v>
      </c>
      <c r="BG95" s="6">
        <f t="shared" si="254"/>
        <v>3.1089453437506904</v>
      </c>
      <c r="BH95" s="6">
        <f t="shared" si="254"/>
        <v>3.1275167785234901</v>
      </c>
      <c r="BI95" s="6">
        <f>BI69/BI83</f>
        <v>2.692789353206765</v>
      </c>
      <c r="BJ95" s="6">
        <f>BJ69/BJ83</f>
        <v>2.9785724137473006</v>
      </c>
      <c r="BK95" s="6">
        <f>BK69/BK83</f>
        <v>2.7805768070175447</v>
      </c>
      <c r="BL95" s="6">
        <f>BL69/BL83</f>
        <v>3.2008896617974498</v>
      </c>
      <c r="BM95" s="6">
        <f>BM69/BM83</f>
        <v>2.7092068482497975</v>
      </c>
      <c r="BN95" s="6">
        <f t="shared" si="254"/>
        <v>3.3160139667932373</v>
      </c>
      <c r="BO95" s="6">
        <f t="shared" si="254"/>
        <v>3.393439652155168</v>
      </c>
      <c r="BP95" s="6">
        <f t="shared" si="254"/>
        <v>3.3534241135360965</v>
      </c>
      <c r="BQ95" s="6">
        <f t="shared" si="254"/>
        <v>3.06894113703859</v>
      </c>
      <c r="BR95" s="6">
        <f t="shared" si="254"/>
        <v>3.1591726430874552</v>
      </c>
      <c r="BS95" s="6" t="e">
        <f t="shared" si="254"/>
        <v>#DIV/0!</v>
      </c>
      <c r="BT95" s="6">
        <f t="shared" si="254"/>
        <v>3.6396881830055983</v>
      </c>
      <c r="BU95" s="6">
        <f t="shared" si="254"/>
        <v>3.0406504065040654</v>
      </c>
      <c r="BV95" s="6">
        <f t="shared" si="254"/>
        <v>3.2390090580678237</v>
      </c>
      <c r="BW95" s="6">
        <f t="shared" si="254"/>
        <v>2.242822244657102</v>
      </c>
      <c r="BX95" s="6"/>
      <c r="BY95" s="6"/>
      <c r="BZ95" s="6">
        <f t="shared" ref="BZ95:CG95" si="255">BZ69/BZ83</f>
        <v>2.548288186239791</v>
      </c>
      <c r="CA95" s="6">
        <f t="shared" si="255"/>
        <v>3.0899949552437471</v>
      </c>
      <c r="CB95" s="6">
        <f t="shared" si="255"/>
        <v>2.5528065223348197</v>
      </c>
      <c r="CC95" s="6">
        <f t="shared" si="255"/>
        <v>7.5178455369147859</v>
      </c>
      <c r="CD95" s="6">
        <f t="shared" si="255"/>
        <v>2.9233293858395464</v>
      </c>
      <c r="CE95" s="6">
        <f t="shared" si="255"/>
        <v>4.3444778223521174</v>
      </c>
      <c r="CF95" s="6">
        <f t="shared" si="255"/>
        <v>2.2022038592622977</v>
      </c>
      <c r="CG95" s="6">
        <f t="shared" si="255"/>
        <v>3.0044957168268165</v>
      </c>
      <c r="CH95" s="6">
        <f>CH69/CH83</f>
        <v>3.004495716826816</v>
      </c>
      <c r="CI95" s="6">
        <f>CI69/CI83</f>
        <v>3.144121806110391</v>
      </c>
      <c r="CJ95" s="6">
        <f>CJ69/CJ83</f>
        <v>2.8360675579476222</v>
      </c>
      <c r="CK95" s="6">
        <f>CK69/CK83</f>
        <v>3.1827075170302597</v>
      </c>
      <c r="CL95" s="6">
        <f>CL69/CL83</f>
        <v>2.1833151951525012</v>
      </c>
      <c r="CM95" s="6">
        <f t="shared" ref="CM95:DA95" si="256">CM69/CM83</f>
        <v>2.4245622290615985</v>
      </c>
      <c r="CN95" s="6" t="e">
        <f t="shared" si="256"/>
        <v>#REF!</v>
      </c>
      <c r="CO95" s="6">
        <f t="shared" si="256"/>
        <v>2.634297087405546</v>
      </c>
      <c r="CP95" s="6">
        <f>CP69/CP83</f>
        <v>2.1668685978502022</v>
      </c>
      <c r="CQ95" s="6">
        <f>CQ69/CQ83</f>
        <v>1.5360903606325784</v>
      </c>
      <c r="CR95" s="6">
        <f>CR69/CR83</f>
        <v>2.9785724137473006</v>
      </c>
      <c r="CS95" s="6">
        <f>CS69/CS83</f>
        <v>3.28220763034787</v>
      </c>
      <c r="CT95" s="6">
        <f t="shared" si="256"/>
        <v>2.3529884280826714</v>
      </c>
      <c r="CU95" s="6">
        <f t="shared" si="256"/>
        <v>2.2011374662442567</v>
      </c>
      <c r="CV95" s="6">
        <f t="shared" si="256"/>
        <v>2.3115526658935672</v>
      </c>
      <c r="CW95" s="6">
        <f t="shared" si="256"/>
        <v>2.4910127796439538</v>
      </c>
      <c r="CX95" s="6">
        <f t="shared" si="256"/>
        <v>3.3136212805541887</v>
      </c>
      <c r="CY95" s="6">
        <f t="shared" si="256"/>
        <v>3.9605489593253194</v>
      </c>
      <c r="CZ95" s="6">
        <f t="shared" si="256"/>
        <v>3.3374528572415607</v>
      </c>
      <c r="DA95" s="6">
        <f t="shared" si="256"/>
        <v>2.9303204422555571</v>
      </c>
      <c r="DV95" s="6">
        <f t="shared" ref="DV95:EM95" si="257">DV69/DV83</f>
        <v>3.6602281598630033</v>
      </c>
      <c r="DW95" s="6">
        <f t="shared" si="257"/>
        <v>4.8531904265827741</v>
      </c>
      <c r="DX95" s="6">
        <f t="shared" si="257"/>
        <v>3.6722357463504753</v>
      </c>
      <c r="DY95" s="6" t="e">
        <f t="shared" si="257"/>
        <v>#DIV/0!</v>
      </c>
      <c r="DZ95" s="6">
        <f t="shared" si="257"/>
        <v>4.5482905538813254</v>
      </c>
      <c r="EA95" s="6">
        <f t="shared" si="257"/>
        <v>3.9903133420782453</v>
      </c>
      <c r="EB95" s="6" t="e">
        <f t="shared" si="257"/>
        <v>#DIV/0!</v>
      </c>
      <c r="EC95" s="6">
        <f t="shared" si="257"/>
        <v>4.7225011149297238</v>
      </c>
      <c r="ED95" s="6" t="e">
        <f t="shared" si="257"/>
        <v>#DIV/0!</v>
      </c>
      <c r="EE95" s="6" t="e">
        <f t="shared" si="257"/>
        <v>#DIV/0!</v>
      </c>
      <c r="EF95" s="6">
        <f t="shared" si="257"/>
        <v>4.684531262045077</v>
      </c>
      <c r="EG95" s="6" t="e">
        <f t="shared" si="257"/>
        <v>#DIV/0!</v>
      </c>
      <c r="EH95" s="6">
        <f t="shared" si="257"/>
        <v>4.8504621637792891</v>
      </c>
      <c r="EI95" s="6" t="e">
        <f t="shared" si="257"/>
        <v>#DIV/0!</v>
      </c>
      <c r="EJ95" s="6">
        <f t="shared" si="257"/>
        <v>4.7287497952029582</v>
      </c>
      <c r="EK95" s="6"/>
      <c r="EL95" s="6">
        <f t="shared" si="257"/>
        <v>2.9615944595359189</v>
      </c>
      <c r="EM95" s="6">
        <f t="shared" si="257"/>
        <v>3.0205412387662731</v>
      </c>
      <c r="EQ95" s="6">
        <f t="shared" ref="EQ95:EV95" si="258">EQ69/EQ83</f>
        <v>2.5185107541533833</v>
      </c>
      <c r="ER95" s="6">
        <f t="shared" si="258"/>
        <v>2.7292731345673307</v>
      </c>
      <c r="ES95" s="6">
        <f t="shared" si="258"/>
        <v>3.0940023824362903</v>
      </c>
      <c r="ET95" s="6">
        <f t="shared" si="258"/>
        <v>3.2833456387378352</v>
      </c>
      <c r="EU95" s="6">
        <f t="shared" si="258"/>
        <v>1.9908542740289483</v>
      </c>
      <c r="EV95" s="6">
        <f t="shared" si="258"/>
        <v>3.8574710360633282</v>
      </c>
      <c r="EW95" s="6"/>
      <c r="EX95" s="6"/>
      <c r="EY95" s="6"/>
      <c r="FH95" s="6">
        <f>FH69/FH83</f>
        <v>4.9408886056130461</v>
      </c>
      <c r="FI95" s="6"/>
      <c r="FJ95" s="6">
        <f>FJ69/FJ83</f>
        <v>4.9408886056130452</v>
      </c>
    </row>
    <row r="96" spans="1:166" ht="11.1" customHeight="1" x14ac:dyDescent="0.2">
      <c r="A96" s="1" t="s">
        <v>1252</v>
      </c>
      <c r="B96" s="6">
        <f t="shared" ref="B96:L96" si="259">B69/0.1471</f>
        <v>6.7635795801909273</v>
      </c>
      <c r="C96" s="6">
        <f t="shared" si="259"/>
        <v>10.475465125734948</v>
      </c>
      <c r="D96" s="6">
        <f t="shared" si="259"/>
        <v>7.7135345547050846</v>
      </c>
      <c r="E96" s="6">
        <f t="shared" si="259"/>
        <v>7.6117459951690654</v>
      </c>
      <c r="F96" s="6">
        <f>F69/0.1471</f>
        <v>5.8700986662430328</v>
      </c>
      <c r="G96" s="6">
        <f>G69/0.1471</f>
        <v>34.284475220171714</v>
      </c>
      <c r="H96" s="6">
        <f>H69/0.1471</f>
        <v>6.6904142311376749</v>
      </c>
      <c r="I96" s="6">
        <f>I69/0.1471</f>
        <v>20.532015868496408</v>
      </c>
      <c r="J96" s="6">
        <f>J69/0.1471</f>
        <v>13.611215049817041</v>
      </c>
      <c r="K96" s="6">
        <f t="shared" si="259"/>
        <v>9.1757090918032347</v>
      </c>
      <c r="L96" s="6">
        <f t="shared" si="259"/>
        <v>8.1272237016570124</v>
      </c>
      <c r="M96" s="6"/>
      <c r="N96" s="6"/>
      <c r="O96" s="6"/>
      <c r="P96" s="6"/>
      <c r="Q96" s="6"/>
      <c r="R96" s="6"/>
      <c r="S96" s="6"/>
      <c r="T96" s="6">
        <f t="shared" si="202"/>
        <v>0</v>
      </c>
      <c r="U96" s="6"/>
      <c r="V96" s="6"/>
      <c r="W96" s="6"/>
      <c r="X96" s="6"/>
      <c r="Y96" s="6"/>
      <c r="Z96" s="6"/>
      <c r="AA96" s="6"/>
      <c r="AB96" s="6"/>
      <c r="AC96" s="6"/>
      <c r="AE96" s="6"/>
      <c r="AI96" s="6">
        <f>AI69/0.1471</f>
        <v>7.6394920170296494</v>
      </c>
      <c r="AJ96" s="6">
        <f>AJ69/0.1471</f>
        <v>6.6644070373113102</v>
      </c>
      <c r="AK96" s="6"/>
      <c r="AL96" s="6"/>
      <c r="AM96" s="6">
        <f>AM69/0.1471</f>
        <v>5.1225022696052234</v>
      </c>
      <c r="AN96" s="6"/>
      <c r="AO96" s="6"/>
      <c r="AP96" s="6"/>
      <c r="AQ96" s="6">
        <f>AQ69/0.1471</f>
        <v>5.294730785195088</v>
      </c>
      <c r="AR96" s="6">
        <f>AR69/0.1471</f>
        <v>7.74298009981284</v>
      </c>
      <c r="AS96" s="6"/>
      <c r="AT96" s="6"/>
      <c r="AU96" s="6">
        <f>AU69/0.1471</f>
        <v>2.8273669194687003</v>
      </c>
      <c r="AV96" s="6"/>
      <c r="AW96" s="6">
        <f>AW69/0.1471</f>
        <v>3.1511491270008514</v>
      </c>
      <c r="AX96" s="6"/>
      <c r="AY96" s="6"/>
      <c r="AZ96" s="6">
        <f>AZ69/0.1471</f>
        <v>22.818757883587885</v>
      </c>
      <c r="BA96" s="6"/>
      <c r="BB96" s="6"/>
      <c r="BC96" s="6">
        <f>BC69/0.1471</f>
        <v>7.9063526107781765</v>
      </c>
      <c r="BD96" s="6">
        <f>BD69/0.1471</f>
        <v>40.49892327800984</v>
      </c>
      <c r="BE96" s="6">
        <f>BE69/0.1471</f>
        <v>15.003291462169029</v>
      </c>
      <c r="BF96" s="6"/>
      <c r="BG96" s="6"/>
      <c r="BH96" s="6">
        <f t="shared" ref="BH96:BM96" si="260">BH69/0.1471</f>
        <v>3.1679129843643778</v>
      </c>
      <c r="BI96" s="6">
        <f t="shared" si="260"/>
        <v>11.052019496296699</v>
      </c>
      <c r="BJ96" s="6">
        <f t="shared" si="260"/>
        <v>7.4059846905729332</v>
      </c>
      <c r="BK96" s="6">
        <f t="shared" si="260"/>
        <v>10.235095081669693</v>
      </c>
      <c r="BL96" s="6">
        <f t="shared" si="260"/>
        <v>14.614504898436063</v>
      </c>
      <c r="BM96" s="6">
        <f t="shared" si="260"/>
        <v>38.128834804166267</v>
      </c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>
        <f>BZ69/0.1471</f>
        <v>10.192253748294824</v>
      </c>
      <c r="CA96" s="6">
        <f>CA69/0.1471</f>
        <v>7.837828882293933</v>
      </c>
      <c r="CB96" s="6"/>
      <c r="CC96" s="6"/>
      <c r="CD96" s="6">
        <f t="shared" ref="CD96:CK96" si="261">CD69/0.1471</f>
        <v>6.5854890343402204</v>
      </c>
      <c r="CE96" s="6">
        <f t="shared" si="261"/>
        <v>2.0397300136153707</v>
      </c>
      <c r="CF96" s="6">
        <f t="shared" si="261"/>
        <v>5.2675674663424328</v>
      </c>
      <c r="CG96" s="6">
        <f t="shared" si="261"/>
        <v>8.9343373276054088</v>
      </c>
      <c r="CH96" s="6">
        <f>CH69/0.1471</f>
        <v>9.2575448167790508</v>
      </c>
      <c r="CI96" s="6"/>
      <c r="CJ96" s="6">
        <f t="shared" si="261"/>
        <v>8.0264999576628124</v>
      </c>
      <c r="CK96" s="6">
        <f t="shared" si="261"/>
        <v>7.7905678057703618</v>
      </c>
      <c r="CL96" s="6"/>
      <c r="CM96" s="6"/>
      <c r="CN96" s="6"/>
      <c r="CO96" s="6"/>
      <c r="CP96" s="6">
        <f>CP69/0.1471</f>
        <v>7.4204662713462923</v>
      </c>
      <c r="CQ96" s="6">
        <f>CQ69/0.1471</f>
        <v>14.912392649324245</v>
      </c>
      <c r="CR96" s="6">
        <f>CR69/0.1471</f>
        <v>7.4059846905729332</v>
      </c>
      <c r="CS96" s="6">
        <f>CS69/0.1471</f>
        <v>5.8104248449596829</v>
      </c>
      <c r="CT96" s="6"/>
      <c r="CU96" s="6"/>
      <c r="CV96" s="6"/>
      <c r="CW96" s="6"/>
      <c r="CX96" s="6">
        <f>CX69/0.1471</f>
        <v>5.8724217900792617</v>
      </c>
      <c r="CY96" s="6">
        <f>CY69/0.1471</f>
        <v>4.3946056641276403</v>
      </c>
      <c r="CZ96" s="6">
        <f>CZ69/0.1471</f>
        <v>3.7414657305428567</v>
      </c>
      <c r="DA96" s="6">
        <f>DA69/0.1471</f>
        <v>8.3053074689737407</v>
      </c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Q96" s="6"/>
      <c r="ER96" s="6"/>
      <c r="ES96" s="6"/>
      <c r="ET96" s="6">
        <f>ET69/0.1471</f>
        <v>3.1390860596676067</v>
      </c>
      <c r="EU96" s="6">
        <f>EU69/0.1471</f>
        <v>5.098454770173471</v>
      </c>
      <c r="EV96" s="6">
        <f>EV69/0.1471</f>
        <v>2.1899612441497731</v>
      </c>
      <c r="EW96" s="6"/>
      <c r="EX96" s="6"/>
      <c r="EY96" s="6"/>
      <c r="FH96" s="6">
        <f>FH69/0.1471</f>
        <v>3.3268276040021774</v>
      </c>
      <c r="FI96" s="6"/>
      <c r="FJ96" s="6"/>
    </row>
    <row r="97" spans="1:166" ht="11.1" customHeight="1" x14ac:dyDescent="0.2">
      <c r="A97" s="1" t="s">
        <v>890</v>
      </c>
      <c r="B97" s="6">
        <f t="shared" ref="B97:M97" si="262">B77/B83</f>
        <v>2.7336896698410267</v>
      </c>
      <c r="C97" s="6">
        <f t="shared" si="262"/>
        <v>2.3163421798764401</v>
      </c>
      <c r="D97" s="6">
        <f t="shared" si="262"/>
        <v>3.2292312069268454</v>
      </c>
      <c r="E97" s="6">
        <f t="shared" ref="E97:J97" si="263">E77/E83</f>
        <v>2.7728924516090858</v>
      </c>
      <c r="F97" s="6">
        <f t="shared" si="263"/>
        <v>2.5490940798963901</v>
      </c>
      <c r="G97" s="6">
        <f t="shared" si="263"/>
        <v>1.9692879900154459</v>
      </c>
      <c r="H97" s="6">
        <f t="shared" si="263"/>
        <v>2.4813132298902016</v>
      </c>
      <c r="I97" s="6">
        <f t="shared" si="263"/>
        <v>2.0056750031890225</v>
      </c>
      <c r="J97" s="6">
        <f t="shared" si="263"/>
        <v>2.1113819890103049</v>
      </c>
      <c r="K97" s="6">
        <f t="shared" si="262"/>
        <v>2.4946933219593457</v>
      </c>
      <c r="L97" s="6" t="e">
        <f t="shared" si="262"/>
        <v>#DIV/0!</v>
      </c>
      <c r="M97" s="6">
        <f t="shared" si="262"/>
        <v>3.1505162676737766</v>
      </c>
      <c r="N97" s="6">
        <f t="shared" ref="N97:AB97" si="264">N77/N83</f>
        <v>2.5798649568159551</v>
      </c>
      <c r="O97" s="6">
        <f t="shared" si="264"/>
        <v>2.2891309840108405</v>
      </c>
      <c r="P97" s="6" t="e">
        <f t="shared" si="264"/>
        <v>#DIV/0!</v>
      </c>
      <c r="Q97" s="6">
        <f t="shared" si="264"/>
        <v>1.642151702052399</v>
      </c>
      <c r="R97" s="6">
        <f t="shared" si="264"/>
        <v>2.4957293179915476</v>
      </c>
      <c r="S97" s="6">
        <f t="shared" si="264"/>
        <v>2.7421606320073675</v>
      </c>
      <c r="T97" s="6">
        <f t="shared" si="202"/>
        <v>2.6517406327210562</v>
      </c>
      <c r="U97" s="6">
        <f t="shared" si="264"/>
        <v>2.6556291390728481</v>
      </c>
      <c r="V97" s="6">
        <f t="shared" si="264"/>
        <v>4.0363073013385913</v>
      </c>
      <c r="W97" s="6">
        <f t="shared" si="264"/>
        <v>2.8217860317278229</v>
      </c>
      <c r="X97" s="6">
        <f t="shared" si="264"/>
        <v>3.1212714956844216</v>
      </c>
      <c r="Y97" s="6">
        <f t="shared" si="264"/>
        <v>3.0011344624897252</v>
      </c>
      <c r="Z97" s="6">
        <f t="shared" si="264"/>
        <v>6.430907361743639</v>
      </c>
      <c r="AA97" s="6">
        <f t="shared" si="264"/>
        <v>7.8717594320183055</v>
      </c>
      <c r="AB97" s="6">
        <f t="shared" si="264"/>
        <v>7.8451938380633823</v>
      </c>
      <c r="AC97" s="6">
        <f>AC77/AC83</f>
        <v>2.9713823804927499</v>
      </c>
      <c r="AE97" s="6">
        <f>AE77/AE83</f>
        <v>1.715454624035798</v>
      </c>
      <c r="AI97" s="6">
        <f t="shared" ref="AI97:BW97" si="265">AI77/AI83</f>
        <v>2.1661684458740873</v>
      </c>
      <c r="AJ97" s="6">
        <f t="shared" si="265"/>
        <v>2.4787966113931996</v>
      </c>
      <c r="AK97" s="6">
        <f t="shared" si="265"/>
        <v>4.1111780782485114</v>
      </c>
      <c r="AL97" s="6">
        <f t="shared" si="265"/>
        <v>16.431103357605178</v>
      </c>
      <c r="AM97" s="6">
        <f t="shared" si="265"/>
        <v>3.3543595182407913</v>
      </c>
      <c r="AN97" s="6">
        <f t="shared" si="265"/>
        <v>4.4814242885609206</v>
      </c>
      <c r="AO97" s="6">
        <f t="shared" si="265"/>
        <v>4.1650924804017455</v>
      </c>
      <c r="AP97" s="6">
        <f t="shared" si="265"/>
        <v>2.9059383726386034</v>
      </c>
      <c r="AQ97" s="6">
        <f t="shared" si="265"/>
        <v>2.7950917520370946</v>
      </c>
      <c r="AR97" s="6">
        <f t="shared" si="265"/>
        <v>2.0848988333381109</v>
      </c>
      <c r="AS97" s="6">
        <f t="shared" si="265"/>
        <v>2.2536830095893348</v>
      </c>
      <c r="AT97" s="6">
        <f t="shared" si="265"/>
        <v>1.9170773176976414</v>
      </c>
      <c r="AU97" s="6">
        <f t="shared" si="265"/>
        <v>2.8314990668521678</v>
      </c>
      <c r="AV97" s="6">
        <f t="shared" si="265"/>
        <v>2.6135928806415909</v>
      </c>
      <c r="AW97" s="6">
        <f t="shared" si="265"/>
        <v>5.2591716136602944</v>
      </c>
      <c r="AX97" s="6">
        <f t="shared" si="265"/>
        <v>1.7674982225031715</v>
      </c>
      <c r="AY97" s="6">
        <f t="shared" si="265"/>
        <v>3.1116025874368587</v>
      </c>
      <c r="AZ97" s="6">
        <f t="shared" si="265"/>
        <v>1.7640842331663862</v>
      </c>
      <c r="BA97" s="6">
        <f t="shared" si="265"/>
        <v>2.5179275533804972</v>
      </c>
      <c r="BB97" s="6">
        <f t="shared" si="265"/>
        <v>9.0558632313989893</v>
      </c>
      <c r="BC97" s="6">
        <f t="shared" si="265"/>
        <v>2.3470162449128802</v>
      </c>
      <c r="BD97" s="6">
        <f t="shared" si="265"/>
        <v>2.0765965578452219</v>
      </c>
      <c r="BE97" s="6">
        <f t="shared" si="265"/>
        <v>2.263602894813193</v>
      </c>
      <c r="BF97" s="6">
        <f t="shared" si="265"/>
        <v>2.0436017874433894</v>
      </c>
      <c r="BG97" s="6">
        <f t="shared" si="265"/>
        <v>2.1445509577634878</v>
      </c>
      <c r="BH97" s="6">
        <f t="shared" si="265"/>
        <v>2.8456375838926173</v>
      </c>
      <c r="BI97" s="6">
        <f>BI77/BI83</f>
        <v>2.1803785001733011</v>
      </c>
      <c r="BJ97" s="6">
        <f>BJ77/BJ83</f>
        <v>2.4588844848082907</v>
      </c>
      <c r="BK97" s="6">
        <f>BK77/BK83</f>
        <v>2.2321644741228313</v>
      </c>
      <c r="BL97" s="6">
        <f>BL77/BL83</f>
        <v>2.5089466474647195</v>
      </c>
      <c r="BM97" s="6">
        <f>BM77/BM83</f>
        <v>1.6960402992400312</v>
      </c>
      <c r="BN97" s="6">
        <f t="shared" si="265"/>
        <v>2.2751515836556084</v>
      </c>
      <c r="BO97" s="6">
        <f t="shared" si="265"/>
        <v>2.2110769533255672</v>
      </c>
      <c r="BP97" s="6">
        <f t="shared" si="265"/>
        <v>2.2441923314134593</v>
      </c>
      <c r="BQ97" s="6">
        <f t="shared" si="265"/>
        <v>2.3434175027385566</v>
      </c>
      <c r="BR97" s="6">
        <f t="shared" si="265"/>
        <v>2.207865447048186</v>
      </c>
      <c r="BS97" s="6" t="e">
        <f t="shared" si="265"/>
        <v>#DIV/0!</v>
      </c>
      <c r="BT97" s="6">
        <f t="shared" si="265"/>
        <v>2.8365330432205127</v>
      </c>
      <c r="BU97" s="6">
        <f t="shared" si="265"/>
        <v>2.2113821138211383</v>
      </c>
      <c r="BV97" s="6">
        <f t="shared" si="265"/>
        <v>2.3700793543745271</v>
      </c>
      <c r="BW97" s="6">
        <f t="shared" si="265"/>
        <v>2.5368236950246703</v>
      </c>
      <c r="BX97" s="6"/>
      <c r="BY97" s="6"/>
      <c r="BZ97" s="6">
        <f t="shared" ref="BZ97:CG97" si="266">BZ77/BZ83</f>
        <v>2.039210739926566</v>
      </c>
      <c r="CA97" s="6">
        <f t="shared" si="266"/>
        <v>2.4330978718152432</v>
      </c>
      <c r="CB97" s="6">
        <f t="shared" si="266"/>
        <v>2.2113385772414409</v>
      </c>
      <c r="CC97" s="6">
        <f t="shared" si="266"/>
        <v>4.2850770823683737</v>
      </c>
      <c r="CD97" s="6">
        <f t="shared" si="266"/>
        <v>2.2798204683603487</v>
      </c>
      <c r="CE97" s="6">
        <f t="shared" si="266"/>
        <v>3.9127922895680407</v>
      </c>
      <c r="CF97" s="6">
        <f t="shared" si="266"/>
        <v>1.1221283626380716</v>
      </c>
      <c r="CG97" s="6">
        <f t="shared" si="266"/>
        <v>2.2888553416387531</v>
      </c>
      <c r="CH97" s="6">
        <f>CH77/CH83</f>
        <v>2.2888553416387531</v>
      </c>
      <c r="CI97" s="6">
        <f>CI77/CI83</f>
        <v>2.6933821917060734</v>
      </c>
      <c r="CJ97" s="6">
        <f>CJ77/CJ83</f>
        <v>2.388841472732087</v>
      </c>
      <c r="CK97" s="6">
        <f>CK77/CK83</f>
        <v>2.7768767318681724</v>
      </c>
      <c r="CL97" s="6">
        <f>CL77/CL83</f>
        <v>1.9525125949396693</v>
      </c>
      <c r="CM97" s="6">
        <f t="shared" ref="CM97:DA97" si="267">CM77/CM83</f>
        <v>1.9062009841235694</v>
      </c>
      <c r="CN97" s="6" t="e">
        <f t="shared" si="267"/>
        <v>#REF!</v>
      </c>
      <c r="CO97" s="6">
        <f t="shared" si="267"/>
        <v>1.8913828265438888</v>
      </c>
      <c r="CP97" s="6">
        <f>CP77/CP83</f>
        <v>2.2097619910481563</v>
      </c>
      <c r="CQ97" s="6">
        <f>CQ77/CQ83</f>
        <v>1.550308285239594</v>
      </c>
      <c r="CR97" s="6">
        <f>CR77/CR83</f>
        <v>2.4588844848082907</v>
      </c>
      <c r="CS97" s="6">
        <f>CS77/CS83</f>
        <v>3.1258797503619995</v>
      </c>
      <c r="CT97" s="6">
        <f t="shared" si="267"/>
        <v>2.6397391273998512</v>
      </c>
      <c r="CU97" s="6">
        <f t="shared" si="267"/>
        <v>1.9898228140112149</v>
      </c>
      <c r="CV97" s="6">
        <f t="shared" si="267"/>
        <v>1.7443040511025769</v>
      </c>
      <c r="CW97" s="6">
        <f t="shared" si="267"/>
        <v>1.9235666073064546</v>
      </c>
      <c r="CX97" s="6">
        <f t="shared" si="267"/>
        <v>2.6448224801129521</v>
      </c>
      <c r="CY97" s="6">
        <f t="shared" si="267"/>
        <v>4.1439719629128335</v>
      </c>
      <c r="CZ97" s="6">
        <f t="shared" si="267"/>
        <v>2.8850241899591591</v>
      </c>
      <c r="DA97" s="6">
        <f t="shared" si="267"/>
        <v>2.3126454345261349</v>
      </c>
      <c r="DV97" s="6">
        <f t="shared" ref="DV97:EM97" si="268">DV77/DV83</f>
        <v>3.3043138835024806</v>
      </c>
      <c r="DW97" s="6">
        <f t="shared" si="268"/>
        <v>4.4981312704668355</v>
      </c>
      <c r="DX97" s="6">
        <f t="shared" si="268"/>
        <v>3.264959794846201</v>
      </c>
      <c r="DY97" s="6" t="e">
        <f t="shared" si="268"/>
        <v>#DIV/0!</v>
      </c>
      <c r="DZ97" s="6">
        <f t="shared" si="268"/>
        <v>4.2297758841664068</v>
      </c>
      <c r="EA97" s="6">
        <f t="shared" si="268"/>
        <v>3.6337528034867606</v>
      </c>
      <c r="EB97" s="6" t="e">
        <f t="shared" si="268"/>
        <v>#DIV/0!</v>
      </c>
      <c r="EC97" s="6">
        <f t="shared" si="268"/>
        <v>4.1521120873727888</v>
      </c>
      <c r="ED97" s="6" t="e">
        <f t="shared" si="268"/>
        <v>#DIV/0!</v>
      </c>
      <c r="EE97" s="6" t="e">
        <f t="shared" si="268"/>
        <v>#DIV/0!</v>
      </c>
      <c r="EF97" s="6">
        <f t="shared" si="268"/>
        <v>4.2055219290200982</v>
      </c>
      <c r="EG97" s="6" t="e">
        <f t="shared" si="268"/>
        <v>#DIV/0!</v>
      </c>
      <c r="EH97" s="6">
        <f t="shared" si="268"/>
        <v>4.265577395239438</v>
      </c>
      <c r="EI97" s="6" t="e">
        <f t="shared" si="268"/>
        <v>#DIV/0!</v>
      </c>
      <c r="EJ97" s="6">
        <f t="shared" si="268"/>
        <v>4.2090166341567459</v>
      </c>
      <c r="EK97" s="6"/>
      <c r="EL97" s="6">
        <f t="shared" si="268"/>
        <v>2.2351189986522777</v>
      </c>
      <c r="EM97" s="6">
        <f t="shared" si="268"/>
        <v>2.3089532997123174</v>
      </c>
      <c r="EQ97" s="6">
        <f t="shared" ref="EQ97:EV97" si="269">EQ77/EQ83</f>
        <v>1.9886502216901158</v>
      </c>
      <c r="ER97" s="6">
        <f t="shared" si="269"/>
        <v>2.174345533319181</v>
      </c>
      <c r="ES97" s="6">
        <f t="shared" si="269"/>
        <v>2.5137709519613467</v>
      </c>
      <c r="ET97" s="6">
        <f t="shared" si="269"/>
        <v>2.9424611400679046</v>
      </c>
      <c r="EU97" s="6">
        <f t="shared" si="269"/>
        <v>1.6457361982116747</v>
      </c>
      <c r="EV97" s="6">
        <f t="shared" si="269"/>
        <v>3.5314859987882303</v>
      </c>
      <c r="EW97" s="6"/>
      <c r="EX97" s="6"/>
      <c r="EY97" s="6"/>
      <c r="FH97" s="6">
        <f>FH77/FH83</f>
        <v>5.5325127117081907</v>
      </c>
      <c r="FI97" s="6"/>
      <c r="FJ97" s="6">
        <f>FJ77/FJ83</f>
        <v>5.5325127117081898</v>
      </c>
    </row>
    <row r="98" spans="1:166" ht="11.1" customHeight="1" x14ac:dyDescent="0.2">
      <c r="A98" s="1" t="s">
        <v>972</v>
      </c>
      <c r="B98" s="8">
        <f t="shared" ref="B98:M98" si="270">B11*7419/B70</f>
        <v>3269.9055936533705</v>
      </c>
      <c r="C98" s="8">
        <f t="shared" si="270"/>
        <v>3133.174812843768</v>
      </c>
      <c r="D98" s="8">
        <f t="shared" si="270"/>
        <v>3242.087550229242</v>
      </c>
      <c r="E98" s="8">
        <f t="shared" ref="E98:J98" si="271">E11*7419/E70</f>
        <v>3223.8549622384426</v>
      </c>
      <c r="F98" s="8">
        <f t="shared" si="271"/>
        <v>3291.2863558764438</v>
      </c>
      <c r="G98" s="8">
        <f t="shared" si="271"/>
        <v>3332.3428588509405</v>
      </c>
      <c r="H98" s="8">
        <f t="shared" si="271"/>
        <v>3224.489968611781</v>
      </c>
      <c r="I98" s="8">
        <f t="shared" si="271"/>
        <v>3058.7539569754808</v>
      </c>
      <c r="J98" s="8">
        <f t="shared" si="271"/>
        <v>3137.9058564231241</v>
      </c>
      <c r="K98" s="8">
        <f t="shared" si="270"/>
        <v>3181.65702910249</v>
      </c>
      <c r="L98" s="8">
        <f t="shared" si="270"/>
        <v>3077.8976524574705</v>
      </c>
      <c r="M98" s="8">
        <f t="shared" si="270"/>
        <v>3516.5897279169008</v>
      </c>
      <c r="N98" s="8">
        <f>N11*7419/N70</f>
        <v>3150.5861012299997</v>
      </c>
      <c r="O98" s="8">
        <f>O11*7419/O70</f>
        <v>3044.3465763773397</v>
      </c>
      <c r="P98" s="8" t="e">
        <f>P11*7419/P70</f>
        <v>#DIV/0!</v>
      </c>
      <c r="Q98" s="6"/>
      <c r="R98" s="6"/>
      <c r="S98" s="6"/>
      <c r="T98" s="6">
        <f t="shared" si="202"/>
        <v>0</v>
      </c>
      <c r="U98" s="6"/>
      <c r="V98" s="6"/>
      <c r="W98" s="6"/>
      <c r="X98" s="6"/>
      <c r="Y98" s="6"/>
      <c r="Z98" s="6"/>
      <c r="AA98" s="6"/>
      <c r="AB98" s="6"/>
      <c r="AC98" s="6"/>
      <c r="AE98" s="6"/>
      <c r="AI98" s="8">
        <f>AI11*7419/AI70</f>
        <v>3388.1937594620531</v>
      </c>
      <c r="AJ98" s="8">
        <f>AJ11*7419/AJ70</f>
        <v>2998.6051212166381</v>
      </c>
      <c r="AK98" s="8">
        <f>AK11*7419/AK70</f>
        <v>4542.1208677159611</v>
      </c>
      <c r="AL98" s="6"/>
      <c r="AM98" s="8">
        <f>AM11*7419/AM70</f>
        <v>3372.1628639583278</v>
      </c>
      <c r="AN98" s="6"/>
      <c r="AO98" s="6"/>
      <c r="AP98" s="6"/>
      <c r="AQ98" s="8">
        <f>AQ11*7419/AQ70</f>
        <v>3284.4755962152321</v>
      </c>
      <c r="AR98" s="8">
        <f>AR11*7419/AR70</f>
        <v>3085.458704329079</v>
      </c>
      <c r="AS98" s="6"/>
      <c r="AT98" s="6"/>
      <c r="AU98" s="8">
        <f>AU11*7419/AU70</f>
        <v>3348.8349031808457</v>
      </c>
      <c r="AV98" s="6"/>
      <c r="AW98" s="8">
        <f>AW11*7419/AW70</f>
        <v>3616.3020814596789</v>
      </c>
      <c r="AX98" s="6"/>
      <c r="AY98" s="6"/>
      <c r="AZ98" s="8">
        <f>AZ11*7419/AZ70</f>
        <v>3266.251871027313</v>
      </c>
      <c r="BA98" s="6"/>
      <c r="BB98" s="6"/>
      <c r="BC98" s="8">
        <f>BC11*7419/BC70</f>
        <v>3573.7157664059378</v>
      </c>
      <c r="BD98" s="8">
        <f>BD11*7419/BD70</f>
        <v>2781.1848432308907</v>
      </c>
      <c r="BE98" s="8">
        <f>BE11*7419/BE70</f>
        <v>3310.6077565125379</v>
      </c>
      <c r="BF98" s="6"/>
      <c r="BG98" s="6"/>
      <c r="BH98" s="8">
        <f t="shared" ref="BH98:BM98" si="272">BH11*7419/BH70</f>
        <v>3130.4871355060036</v>
      </c>
      <c r="BI98" s="8">
        <f t="shared" si="272"/>
        <v>3494.9369726985874</v>
      </c>
      <c r="BJ98" s="8">
        <f t="shared" si="272"/>
        <v>3150.0668663474921</v>
      </c>
      <c r="BK98" s="8">
        <f t="shared" si="272"/>
        <v>3960.3973201768554</v>
      </c>
      <c r="BL98" s="8">
        <f t="shared" si="272"/>
        <v>3688.0811248522282</v>
      </c>
      <c r="BM98" s="8">
        <f t="shared" si="272"/>
        <v>3221.3106008161149</v>
      </c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8"/>
      <c r="BY98" s="8"/>
      <c r="BZ98" s="8">
        <f>BZ11*7419/BZ70</f>
        <v>3069.5594628472045</v>
      </c>
      <c r="CA98" s="8">
        <f>CA11*7419/CA70</f>
        <v>2661.2302763688417</v>
      </c>
      <c r="CB98" s="8">
        <f>CB11*7419/CB70</f>
        <v>3194.8524471393234</v>
      </c>
      <c r="CC98" s="6"/>
      <c r="CD98" s="8">
        <f>CD11*7419/CD70</f>
        <v>3208.6407523381599</v>
      </c>
      <c r="CE98" s="8">
        <f>CE11*7419/CE70</f>
        <v>3573.6265237295106</v>
      </c>
      <c r="CF98" s="8">
        <f>CF11*7419/CF70</f>
        <v>2532.498813626547</v>
      </c>
      <c r="CG98" s="8">
        <f>CG11*7419/CG70</f>
        <v>3224.2539327411864</v>
      </c>
      <c r="CH98" s="8">
        <f>CH11*7419/CH70</f>
        <v>3224.2539327411864</v>
      </c>
      <c r="CI98" s="6"/>
      <c r="CJ98" s="8">
        <f>CJ11*7419/CJ70</f>
        <v>3569.186980555367</v>
      </c>
      <c r="CK98" s="8">
        <f>CK11*7419/CK70</f>
        <v>3255.4119357159057</v>
      </c>
      <c r="CL98" s="6"/>
      <c r="CM98" s="6"/>
      <c r="CN98" s="6"/>
      <c r="CO98" s="6"/>
      <c r="CP98" s="8">
        <f t="shared" ref="CP98:CU98" si="273">CP11*7419/CP70</f>
        <v>3591.9168162956953</v>
      </c>
      <c r="CQ98" s="8">
        <f t="shared" si="273"/>
        <v>3923.3885682369946</v>
      </c>
      <c r="CR98" s="8">
        <f t="shared" si="273"/>
        <v>3150.0668663474921</v>
      </c>
      <c r="CS98" s="8">
        <f t="shared" si="273"/>
        <v>3248.807857865625</v>
      </c>
      <c r="CT98" s="8">
        <f t="shared" si="273"/>
        <v>3837.6147919895329</v>
      </c>
      <c r="CU98" s="8">
        <f t="shared" si="273"/>
        <v>3357.5915291552478</v>
      </c>
      <c r="CV98" s="6"/>
      <c r="CW98" s="6"/>
      <c r="CX98" s="8">
        <f>CX11*7419/CX70</f>
        <v>3266.9505219546281</v>
      </c>
      <c r="CY98" s="8">
        <f>CY11*7419/CY70</f>
        <v>3678.1135639287281</v>
      </c>
      <c r="CZ98" s="8">
        <f>CZ11*7419/CZ70</f>
        <v>3347.1446482677316</v>
      </c>
      <c r="DA98" s="8">
        <f>DA11*7419/DA70</f>
        <v>3222.3952748245756</v>
      </c>
      <c r="DV98" s="8">
        <f t="shared" ref="DV98:EM98" si="274">DV11*7419/DV70</f>
        <v>3451.1074051360333</v>
      </c>
      <c r="DW98" s="8">
        <f t="shared" si="274"/>
        <v>3667.8449673472278</v>
      </c>
      <c r="DX98" s="8">
        <f t="shared" si="274"/>
        <v>3432.870925983163</v>
      </c>
      <c r="DY98" s="8" t="e">
        <f t="shared" si="274"/>
        <v>#DIV/0!</v>
      </c>
      <c r="DZ98" s="8">
        <f t="shared" si="274"/>
        <v>3358.7829452002152</v>
      </c>
      <c r="EA98" s="8">
        <f t="shared" si="274"/>
        <v>3279.7239140501329</v>
      </c>
      <c r="EB98" s="8" t="e">
        <f t="shared" si="274"/>
        <v>#DIV/0!</v>
      </c>
      <c r="EC98" s="8">
        <f t="shared" si="274"/>
        <v>3655.133582229993</v>
      </c>
      <c r="ED98" s="8" t="e">
        <f t="shared" si="274"/>
        <v>#DIV/0!</v>
      </c>
      <c r="EE98" s="8" t="e">
        <f t="shared" si="274"/>
        <v>#DIV/0!</v>
      </c>
      <c r="EF98" s="8">
        <f t="shared" si="274"/>
        <v>3427.7034273053291</v>
      </c>
      <c r="EG98" s="8" t="e">
        <f t="shared" si="274"/>
        <v>#DIV/0!</v>
      </c>
      <c r="EH98" s="8">
        <f t="shared" si="274"/>
        <v>3518.3186573103771</v>
      </c>
      <c r="EI98" s="8" t="e">
        <f t="shared" si="274"/>
        <v>#DIV/0!</v>
      </c>
      <c r="EJ98" s="8">
        <f t="shared" si="274"/>
        <v>3503.8312254518269</v>
      </c>
      <c r="EK98" s="8"/>
      <c r="EL98" s="8">
        <f t="shared" si="274"/>
        <v>3178.4857037260931</v>
      </c>
      <c r="EM98" s="8">
        <f t="shared" si="274"/>
        <v>3240.8398606025075</v>
      </c>
      <c r="EQ98" s="8">
        <f t="shared" ref="EQ98:EV98" si="275">EQ11*7419/EQ70</f>
        <v>3090.000386751452</v>
      </c>
      <c r="ER98" s="8">
        <f t="shared" si="275"/>
        <v>3036.4399933641466</v>
      </c>
      <c r="ES98" s="8">
        <f t="shared" si="275"/>
        <v>3098.4844957115374</v>
      </c>
      <c r="ET98" s="8">
        <f t="shared" si="275"/>
        <v>2962.6517735891175</v>
      </c>
      <c r="EU98" s="8">
        <f t="shared" si="275"/>
        <v>3430.9844787935999</v>
      </c>
      <c r="EV98" s="8">
        <f t="shared" si="275"/>
        <v>3194.4903278890029</v>
      </c>
      <c r="EW98" s="8"/>
      <c r="EX98" s="8"/>
      <c r="EY98" s="8"/>
      <c r="FH98" s="8">
        <f>FH11*7419/FH70</f>
        <v>3241.2584111152137</v>
      </c>
      <c r="FI98" s="8"/>
      <c r="FJ98" s="8">
        <f>FJ11*7419/FJ70</f>
        <v>3241.2584111152137</v>
      </c>
    </row>
    <row r="99" spans="1:166" ht="11.1" customHeight="1" x14ac:dyDescent="0.2">
      <c r="A99" s="1" t="s">
        <v>185</v>
      </c>
      <c r="B99" s="3">
        <f t="shared" ref="B99:M99" si="276">(B9/1.6583)/(B7/1.2865)</f>
        <v>1.1633557534079022</v>
      </c>
      <c r="C99" s="3">
        <f t="shared" si="276"/>
        <v>0.81316947085256852</v>
      </c>
      <c r="D99" s="3">
        <f t="shared" si="276"/>
        <v>0.75352707291815713</v>
      </c>
      <c r="E99" s="3">
        <f t="shared" ref="E99:J99" si="277">(E9/1.6583)/(E7/1.2865)</f>
        <v>0.74620827670259482</v>
      </c>
      <c r="F99" s="3">
        <f t="shared" si="277"/>
        <v>0.64756950725033702</v>
      </c>
      <c r="G99" s="3">
        <f t="shared" si="277"/>
        <v>0.80228019416904783</v>
      </c>
      <c r="H99" s="3">
        <f t="shared" si="277"/>
        <v>0.65421988110617957</v>
      </c>
      <c r="I99" s="3">
        <f t="shared" si="277"/>
        <v>0.80840516351094627</v>
      </c>
      <c r="J99" s="3">
        <f t="shared" si="277"/>
        <v>0.73615775817955542</v>
      </c>
      <c r="K99" s="3">
        <f t="shared" si="276"/>
        <v>0.85036290355677213</v>
      </c>
      <c r="L99" s="3">
        <f t="shared" si="276"/>
        <v>0.74239040254224165</v>
      </c>
      <c r="M99" s="3">
        <f t="shared" si="276"/>
        <v>0.87875396018975116</v>
      </c>
      <c r="N99" s="3">
        <f>(N9/1.6583)/(N7/1.2865)</f>
        <v>1.4860342925282839</v>
      </c>
      <c r="O99" s="3">
        <f>(O9/1.6583)/(O7/1.2865)</f>
        <v>0.84964316252146876</v>
      </c>
      <c r="P99" s="3"/>
      <c r="Q99" s="3">
        <f t="shared" ref="Q99:X99" si="278">(Q9/1.6583)/(Q7/1.2865)</f>
        <v>0.70745616405971079</v>
      </c>
      <c r="R99" s="3">
        <f t="shared" si="278"/>
        <v>0.56549459280163783</v>
      </c>
      <c r="S99" s="3">
        <f t="shared" si="278"/>
        <v>0.50161723700484284</v>
      </c>
      <c r="T99" s="3">
        <f t="shared" si="202"/>
        <v>0.52505496645340988</v>
      </c>
      <c r="U99" s="3">
        <f t="shared" si="278"/>
        <v>0.47436040187834744</v>
      </c>
      <c r="V99" s="3">
        <f t="shared" si="278"/>
        <v>0.2992108535697936</v>
      </c>
      <c r="W99" s="3">
        <f t="shared" si="278"/>
        <v>0.37107368643863115</v>
      </c>
      <c r="X99" s="3">
        <f t="shared" si="278"/>
        <v>0.35897699694412666</v>
      </c>
      <c r="Y99" s="3"/>
      <c r="Z99" s="3">
        <f>(Z9/1.6583)/(Z7/1.2865)</f>
        <v>0.20941834607650245</v>
      </c>
      <c r="AA99" s="3">
        <f>(AA9/1.6583)/(AA7/1.2865)</f>
        <v>0.21792435402369886</v>
      </c>
      <c r="AB99" s="3">
        <f>(AB9/1.6583)/(AB7/1.2865)</f>
        <v>0.25712640879496329</v>
      </c>
      <c r="AC99" s="3">
        <f>(AC9/1.6583)/(AC7/1.2865)</f>
        <v>0.22284101340253745</v>
      </c>
      <c r="AE99" s="3">
        <f>(AE9/1.6583)/(AE7/1.2865)</f>
        <v>0.61617130348484428</v>
      </c>
      <c r="AI99" s="3">
        <f t="shared" ref="AI99:AQ99" si="279">(AI9/1.6583)/(AI7/1.2865)</f>
        <v>0.93912876353617536</v>
      </c>
      <c r="AJ99" s="3">
        <f t="shared" si="279"/>
        <v>1.0222504836710158</v>
      </c>
      <c r="AK99" s="3">
        <f t="shared" si="279"/>
        <v>0.74917040675030167</v>
      </c>
      <c r="AL99" s="3">
        <f t="shared" si="279"/>
        <v>0.39342549624070755</v>
      </c>
      <c r="AM99" s="3">
        <f t="shared" si="279"/>
        <v>0.80232220694964018</v>
      </c>
      <c r="AN99" s="3">
        <f t="shared" si="279"/>
        <v>0.48318272669221113</v>
      </c>
      <c r="AO99" s="3">
        <f t="shared" si="279"/>
        <v>0.41814446472141181</v>
      </c>
      <c r="AP99" s="3">
        <f t="shared" si="279"/>
        <v>0.27391266729145863</v>
      </c>
      <c r="AQ99" s="3">
        <f t="shared" si="279"/>
        <v>0.85419248522329871</v>
      </c>
      <c r="AS99" s="3">
        <f t="shared" ref="AS99:AY99" si="280">(AS9/1.6583)/(AS7/1.2865)</f>
        <v>0.67912056554062183</v>
      </c>
      <c r="AT99" s="3">
        <f t="shared" si="280"/>
        <v>0.64305418584285001</v>
      </c>
      <c r="AU99" s="3">
        <f t="shared" si="280"/>
        <v>0.71894436336614087</v>
      </c>
      <c r="AV99" s="3">
        <f t="shared" si="280"/>
        <v>0.52182043623749297</v>
      </c>
      <c r="AW99" s="3">
        <f t="shared" si="280"/>
        <v>0.67897322532477888</v>
      </c>
      <c r="AX99" s="3">
        <f t="shared" si="280"/>
        <v>0.78608427922303736</v>
      </c>
      <c r="AY99" s="3">
        <f t="shared" si="280"/>
        <v>0.24253518699845697</v>
      </c>
      <c r="BA99" s="3">
        <f>(BA9/1.6583)/(BA7/1.2865)</f>
        <v>0.51142387161007563</v>
      </c>
      <c r="BB99" s="3">
        <f>(BB9/1.6583)/(BB7/1.2865)</f>
        <v>0.37527402126165671</v>
      </c>
      <c r="BE99" s="3">
        <f t="shared" ref="BE99:BW99" si="281">(BE9/1.6583)/(BE7/1.2865)</f>
        <v>0.94304247416644627</v>
      </c>
      <c r="BF99" s="3">
        <f t="shared" si="281"/>
        <v>0.54597554188349795</v>
      </c>
      <c r="BG99" s="3">
        <f t="shared" si="281"/>
        <v>0.70005565949331838</v>
      </c>
      <c r="BH99" s="3">
        <f t="shared" si="281"/>
        <v>1.723385571044896</v>
      </c>
      <c r="BI99" s="3" t="e">
        <f>(BI9/1.6583)/(BI7/1.2865)</f>
        <v>#DIV/0!</v>
      </c>
      <c r="BJ99" s="3" t="e">
        <f>(BJ9/1.6583)/(BJ7/1.2865)</f>
        <v>#DIV/0!</v>
      </c>
      <c r="BK99" s="3" t="e">
        <f>(BK9/1.6583)/(BK7/1.2865)</f>
        <v>#DIV/0!</v>
      </c>
      <c r="BL99" s="3" t="e">
        <f>(BL9/1.6583)/(BL7/1.2865)</f>
        <v>#DIV/0!</v>
      </c>
      <c r="BM99" s="3" t="e">
        <f>(BM9/1.6583)/(BM7/1.2865)</f>
        <v>#DIV/0!</v>
      </c>
      <c r="BN99" s="3">
        <f t="shared" si="281"/>
        <v>0.39447828385600914</v>
      </c>
      <c r="BO99" s="3">
        <f t="shared" si="281"/>
        <v>0.49556161043019437</v>
      </c>
      <c r="BP99" s="3">
        <f t="shared" si="281"/>
        <v>0.44549965001884917</v>
      </c>
      <c r="BQ99" s="3">
        <f t="shared" si="281"/>
        <v>0.55899566621168317</v>
      </c>
      <c r="BR99" s="3">
        <f t="shared" si="281"/>
        <v>1.0423641652163185</v>
      </c>
      <c r="BS99" s="3" t="e">
        <f t="shared" si="281"/>
        <v>#DIV/0!</v>
      </c>
      <c r="BT99" s="3">
        <f t="shared" si="281"/>
        <v>0.99265693102744224</v>
      </c>
      <c r="BU99" s="3">
        <f t="shared" si="281"/>
        <v>1.0241784871097666</v>
      </c>
      <c r="BV99" s="3">
        <f t="shared" si="281"/>
        <v>1.0202728523277387</v>
      </c>
      <c r="BW99" s="3">
        <f t="shared" si="281"/>
        <v>0.50733112086904941</v>
      </c>
      <c r="BX99" s="3"/>
      <c r="BY99" s="3"/>
      <c r="BZ99" s="3">
        <f>(BZ9/1.6583)/(BZ7/1.2865)</f>
        <v>1.0500203064771823</v>
      </c>
      <c r="CA99" s="3">
        <f>(CA9/1.6583)/(CA7/1.2865)</f>
        <v>0.77193081048400947</v>
      </c>
      <c r="CB99" s="3">
        <f>(CB9/1.6583)/(CB7/1.2865)</f>
        <v>0.69771816784737561</v>
      </c>
      <c r="CC99" s="3">
        <f>(CC9/1.6583)/(CC7/1.2865)</f>
        <v>0.44326198208758888</v>
      </c>
      <c r="CD99" s="3"/>
      <c r="CE99" s="3"/>
      <c r="CF99" s="3"/>
      <c r="CG99" s="3"/>
      <c r="CH99" s="3"/>
      <c r="CI99" s="3">
        <f>(CI9/1.6583)/(CI7/1.2865)</f>
        <v>0.51117829110664514</v>
      </c>
      <c r="CJ99" s="3">
        <f>(CJ9/1.6583)/(CJ7/1.2865)</f>
        <v>0.87097737967021505</v>
      </c>
      <c r="CK99" s="3">
        <f>(CK9/1.6583)/(CK7/1.2865)</f>
        <v>0.79833338472669435</v>
      </c>
      <c r="CL99" s="3">
        <f>(CL9/1.6583)/(CL7/1.2865)</f>
        <v>0.90690851773806702</v>
      </c>
      <c r="CM99" s="3">
        <f t="shared" ref="CM99:CW99" si="282">(CM9/1.6583)/(CM7/1.2865)</f>
        <v>0.72247201921888915</v>
      </c>
      <c r="CN99" s="3">
        <f t="shared" si="282"/>
        <v>0.85815878061576134</v>
      </c>
      <c r="CO99" s="3">
        <f t="shared" si="282"/>
        <v>0.46750149849391226</v>
      </c>
      <c r="CS99" s="3">
        <f>(CS9/1.6583)/(CS7/1.2865)</f>
        <v>0.70184940197322754</v>
      </c>
      <c r="CT99" s="3">
        <f t="shared" si="282"/>
        <v>0.91241702464703245</v>
      </c>
      <c r="CU99" s="3">
        <f t="shared" si="282"/>
        <v>0.89455729138725926</v>
      </c>
      <c r="CV99" s="3">
        <f t="shared" si="282"/>
        <v>0.76359306575490715</v>
      </c>
      <c r="CW99" s="3">
        <f t="shared" si="282"/>
        <v>0.55234475101615099</v>
      </c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Q99" s="3">
        <f>(EQ9/1.6583)/(EQ7/1.2865)</f>
        <v>1.0441048968535118</v>
      </c>
      <c r="ER99" s="3"/>
      <c r="ES99" s="3"/>
      <c r="ET99" s="3">
        <f>(ET9/1.6583)/(ET7/1.2865)</f>
        <v>0.77746970889498335</v>
      </c>
      <c r="EU99" s="3">
        <f>(EU9/1.6583)/(EU7/1.2865)</f>
        <v>0.64827437453470416</v>
      </c>
      <c r="EV99" s="3">
        <f>(EV9/1.6583)/(EV7/1.2865)</f>
        <v>0.67646279953870303</v>
      </c>
      <c r="EW99" s="3"/>
      <c r="EX99" s="3"/>
      <c r="EY99" s="3"/>
      <c r="FH99" s="3">
        <f>(FH9/1.6583)/(FH7/1.2865)</f>
        <v>0.66630591849191245</v>
      </c>
      <c r="FI99" s="3"/>
      <c r="FJ99" s="3">
        <f>(FJ9/1.6583)/(FJ7/1.2865)</f>
        <v>0.66630591849191245</v>
      </c>
    </row>
    <row r="100" spans="1:166" ht="11.1" customHeight="1" x14ac:dyDescent="0.2">
      <c r="A100" s="1" t="s">
        <v>1239</v>
      </c>
      <c r="B100" s="7">
        <f t="shared" ref="B100:M100" si="283">B64/B65</f>
        <v>13.816277350277336</v>
      </c>
      <c r="C100" s="7">
        <f t="shared" si="283"/>
        <v>12.605827247453547</v>
      </c>
      <c r="D100" s="7">
        <f t="shared" si="283"/>
        <v>13.339719652431478</v>
      </c>
      <c r="E100" s="7">
        <f t="shared" ref="E100:J100" si="284">E64/E65</f>
        <v>14.219004814787489</v>
      </c>
      <c r="F100" s="7">
        <f t="shared" si="284"/>
        <v>14.702773968242949</v>
      </c>
      <c r="G100" s="7">
        <f t="shared" si="284"/>
        <v>11.7651342210207</v>
      </c>
      <c r="H100" s="7">
        <f t="shared" si="284"/>
        <v>12.784604877006068</v>
      </c>
      <c r="I100" s="7">
        <f t="shared" si="284"/>
        <v>11.500928890824198</v>
      </c>
      <c r="J100" s="7">
        <f t="shared" si="284"/>
        <v>11.809556187668717</v>
      </c>
      <c r="K100" s="7">
        <f t="shared" si="283"/>
        <v>18.230274290594593</v>
      </c>
      <c r="L100" s="7">
        <f t="shared" si="283"/>
        <v>12.368830127213906</v>
      </c>
      <c r="M100" s="7">
        <f t="shared" si="283"/>
        <v>19.060576343345005</v>
      </c>
      <c r="N100" s="7">
        <f>N64/N65</f>
        <v>17.730960535212382</v>
      </c>
      <c r="O100" s="7">
        <f>O64/O65</f>
        <v>12.933723726058121</v>
      </c>
      <c r="P100" s="7" t="e">
        <f>P64/P65</f>
        <v>#DIV/0!</v>
      </c>
      <c r="Q100" s="3"/>
      <c r="R100" s="3"/>
      <c r="S100" s="3"/>
      <c r="T100" s="3">
        <f t="shared" si="202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E100" s="3"/>
      <c r="AI100" s="7">
        <f>AI64/AI65</f>
        <v>93.275530298056651</v>
      </c>
      <c r="AJ100" s="7">
        <f>AJ64/AJ65</f>
        <v>240.14678682471052</v>
      </c>
      <c r="AK100" s="7">
        <f>AK64/AK65</f>
        <v>39.842328064366377</v>
      </c>
      <c r="AL100" s="3"/>
      <c r="AM100" s="7">
        <f>AM64/AM65</f>
        <v>85.104385972411038</v>
      </c>
      <c r="AN100" s="3"/>
      <c r="AO100" s="3"/>
      <c r="AP100" s="3"/>
      <c r="AQ100" s="7">
        <f>AQ64/AQ65</f>
        <v>19.550741928100969</v>
      </c>
      <c r="AR100" s="7">
        <f>AR64/AR65</f>
        <v>25.967440731721609</v>
      </c>
      <c r="AS100" s="3"/>
      <c r="AT100" s="3"/>
      <c r="AU100" s="7">
        <f>AU64/AU65</f>
        <v>33.943972412085841</v>
      </c>
      <c r="AV100" s="3"/>
      <c r="AW100" s="7">
        <f>AW64/AW65</f>
        <v>54.606973126048999</v>
      </c>
      <c r="AX100" s="3"/>
      <c r="AY100" s="3"/>
      <c r="AZ100" s="7">
        <f>AZ64/AZ65</f>
        <v>21.060258875148463</v>
      </c>
      <c r="BA100" s="3"/>
      <c r="BB100" s="3"/>
      <c r="BC100" s="7">
        <f>BC64/BC65</f>
        <v>190.65507334321165</v>
      </c>
      <c r="BD100" s="7">
        <f>BD64/BD65</f>
        <v>13.88090970950666</v>
      </c>
      <c r="BE100" s="7">
        <f>BE64/BE65</f>
        <v>25.569438937985186</v>
      </c>
      <c r="BF100" s="3"/>
      <c r="BG100" s="3"/>
      <c r="BH100" s="7">
        <f t="shared" ref="BH100:BM100" si="285">BH64/BH65</f>
        <v>79.254302103250481</v>
      </c>
      <c r="BI100" s="7">
        <f t="shared" si="285"/>
        <v>80.976978751395421</v>
      </c>
      <c r="BJ100" s="7">
        <f t="shared" si="285"/>
        <v>22.659784645256241</v>
      </c>
      <c r="BK100" s="7">
        <f t="shared" si="285"/>
        <v>378.73556730518209</v>
      </c>
      <c r="BL100" s="7">
        <f t="shared" si="285"/>
        <v>1283.0042204851086</v>
      </c>
      <c r="BM100" s="7">
        <f t="shared" si="285"/>
        <v>11.339161364589781</v>
      </c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7"/>
      <c r="BY100" s="7"/>
      <c r="BZ100" s="7">
        <f>BZ64/BZ65</f>
        <v>180.82862415067498</v>
      </c>
      <c r="CA100" s="7">
        <f>CA64/CA65</f>
        <v>88.151651526941009</v>
      </c>
      <c r="CB100" s="7">
        <f>CB64/CB65</f>
        <v>18.054706263220513</v>
      </c>
      <c r="CC100" s="3"/>
      <c r="CD100" s="7">
        <f>CD64/CD65</f>
        <v>45.759690526889152</v>
      </c>
      <c r="CE100" s="7">
        <f>CE64/CE65</f>
        <v>367.72202004782935</v>
      </c>
      <c r="CF100" s="7">
        <f>CF64/CF65</f>
        <v>139.05874575710962</v>
      </c>
      <c r="CG100" s="7">
        <f>CG64/CG65</f>
        <v>18.712878918447089</v>
      </c>
      <c r="CH100" s="7">
        <f>CH64/CH65</f>
        <v>18.712878918447089</v>
      </c>
      <c r="CI100" s="3"/>
      <c r="CJ100" s="7">
        <f>CJ64/CJ65</f>
        <v>28.669168798556782</v>
      </c>
      <c r="CK100" s="7">
        <f>CK64/CK65</f>
        <v>86.40332158344269</v>
      </c>
      <c r="CL100" s="3"/>
      <c r="CM100" s="3"/>
      <c r="CN100" s="3"/>
      <c r="CO100" s="3"/>
      <c r="CP100" s="7">
        <f t="shared" ref="CP100:CU100" si="286">CP64/CP65</f>
        <v>34.507618288485943</v>
      </c>
      <c r="CQ100" s="7">
        <f t="shared" si="286"/>
        <v>18.130470690694228</v>
      </c>
      <c r="CR100" s="7">
        <f t="shared" si="286"/>
        <v>22.659784645256241</v>
      </c>
      <c r="CS100" s="7">
        <f t="shared" si="286"/>
        <v>28.897044003955287</v>
      </c>
      <c r="CT100" s="7">
        <f t="shared" si="286"/>
        <v>21.205301160070459</v>
      </c>
      <c r="CU100" s="7">
        <f t="shared" si="286"/>
        <v>82.950876458233907</v>
      </c>
      <c r="CV100" s="3"/>
      <c r="CW100" s="3"/>
      <c r="CX100" s="7">
        <f>CX64/CX65</f>
        <v>37.570611453426011</v>
      </c>
      <c r="CY100" s="7">
        <f>CY64/CY65</f>
        <v>279.4148761833253</v>
      </c>
      <c r="CZ100" s="7">
        <f>CZ64/CZ65</f>
        <v>38.607597316317161</v>
      </c>
      <c r="DA100" s="7">
        <f>DA64/DA65</f>
        <v>32.295210656679295</v>
      </c>
      <c r="DV100" s="7">
        <f t="shared" ref="DV100:EM100" si="287">DV64/DV65</f>
        <v>658.86411456394558</v>
      </c>
      <c r="DW100" s="7">
        <f t="shared" si="287"/>
        <v>522.71371701198927</v>
      </c>
      <c r="DX100" s="7">
        <f t="shared" si="287"/>
        <v>630.07864046419934</v>
      </c>
      <c r="DY100" s="7" t="e">
        <f t="shared" si="287"/>
        <v>#DIV/0!</v>
      </c>
      <c r="DZ100" s="7">
        <f t="shared" si="287"/>
        <v>113.64771778867063</v>
      </c>
      <c r="EA100" s="7">
        <f t="shared" si="287"/>
        <v>443.09209794052452</v>
      </c>
      <c r="EB100" s="7" t="e">
        <f t="shared" si="287"/>
        <v>#DIV/0!</v>
      </c>
      <c r="EC100" s="7">
        <f t="shared" si="287"/>
        <v>81.041112044814057</v>
      </c>
      <c r="ED100" s="7" t="e">
        <f t="shared" si="287"/>
        <v>#DIV/0!</v>
      </c>
      <c r="EE100" s="7" t="e">
        <f t="shared" si="287"/>
        <v>#DIV/0!</v>
      </c>
      <c r="EF100" s="7">
        <f t="shared" si="287"/>
        <v>56.441504567036894</v>
      </c>
      <c r="EG100" s="7" t="e">
        <f t="shared" si="287"/>
        <v>#DIV/0!</v>
      </c>
      <c r="EH100" s="7">
        <f t="shared" si="287"/>
        <v>541.67653049852856</v>
      </c>
      <c r="EI100" s="7" t="e">
        <f t="shared" si="287"/>
        <v>#DIV/0!</v>
      </c>
      <c r="EJ100" s="7">
        <f t="shared" si="287"/>
        <v>173.64479279160426</v>
      </c>
      <c r="EK100" s="7"/>
      <c r="EL100" s="7">
        <f t="shared" si="287"/>
        <v>32.465525780003304</v>
      </c>
      <c r="EM100" s="7">
        <f t="shared" si="287"/>
        <v>13.649576367398936</v>
      </c>
      <c r="EQ100" s="7">
        <f t="shared" ref="EQ100:EV100" si="288">EQ64/EQ65</f>
        <v>56.693017019878205</v>
      </c>
      <c r="ER100" s="7">
        <f t="shared" si="288"/>
        <v>148.22541048990033</v>
      </c>
      <c r="ES100" s="7">
        <f t="shared" si="288"/>
        <v>461.84068621086607</v>
      </c>
      <c r="ET100" s="7">
        <f t="shared" si="288"/>
        <v>16.06866459716165</v>
      </c>
      <c r="EU100" s="7">
        <f t="shared" si="288"/>
        <v>18.580635941959773</v>
      </c>
      <c r="EV100" s="7">
        <f t="shared" si="288"/>
        <v>19.810013286373795</v>
      </c>
      <c r="EW100" s="7"/>
      <c r="EX100" s="7"/>
      <c r="EY100" s="7"/>
      <c r="FH100" s="7">
        <f>FH64/FH65</f>
        <v>21.02164870730946</v>
      </c>
      <c r="FI100" s="7">
        <f>FI64/FI65</f>
        <v>21.02164870730946</v>
      </c>
      <c r="FJ100" s="7">
        <f>FJ64/FJ65</f>
        <v>21.02164870730946</v>
      </c>
    </row>
    <row r="101" spans="1:166" ht="11.1" customHeight="1" x14ac:dyDescent="0.2">
      <c r="A101" s="12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T101">
        <f t="shared" si="202"/>
        <v>0</v>
      </c>
      <c r="AK101" s="33">
        <f>AK100</f>
        <v>39.842328064366377</v>
      </c>
      <c r="AM101" s="33"/>
      <c r="AU101" s="33">
        <f>AU100</f>
        <v>33.943972412085841</v>
      </c>
      <c r="BZ101" s="41"/>
      <c r="CB101" s="41"/>
      <c r="CK101" s="33">
        <f>CK100</f>
        <v>86.40332158344269</v>
      </c>
      <c r="CS101" s="33">
        <f>CS100</f>
        <v>28.897044003955287</v>
      </c>
      <c r="CT101" s="33">
        <f>CT100</f>
        <v>21.205301160070459</v>
      </c>
      <c r="CU101" s="33">
        <f>CU100</f>
        <v>82.950876458233907</v>
      </c>
      <c r="EW101" s="41"/>
    </row>
    <row r="102" spans="1:166" ht="11.1" customHeight="1" x14ac:dyDescent="0.2">
      <c r="T102">
        <f t="shared" si="202"/>
        <v>0</v>
      </c>
      <c r="BZ102" s="41"/>
      <c r="CB102" s="41"/>
      <c r="EW102" s="41"/>
    </row>
    <row r="103" spans="1:166" ht="11.1" customHeight="1" x14ac:dyDescent="0.2">
      <c r="A103" s="1" t="s">
        <v>686</v>
      </c>
      <c r="B103" s="8">
        <f t="shared" ref="B103:AB103" si="289">B7/B8</f>
        <v>75.865345786005818</v>
      </c>
      <c r="C103" s="8">
        <f t="shared" si="289"/>
        <v>58.964460152124893</v>
      </c>
      <c r="D103" s="8">
        <f t="shared" si="289"/>
        <v>76.6823649051925</v>
      </c>
      <c r="E103" s="8">
        <f t="shared" si="289"/>
        <v>67.832137654486289</v>
      </c>
      <c r="F103" s="8">
        <f t="shared" si="289"/>
        <v>64.585062798275317</v>
      </c>
      <c r="G103" s="8">
        <f t="shared" si="289"/>
        <v>76.859710820473765</v>
      </c>
      <c r="H103" s="8">
        <f t="shared" si="289"/>
        <v>65.902193909293217</v>
      </c>
      <c r="I103" s="8">
        <f t="shared" si="289"/>
        <v>69.87014161261726</v>
      </c>
      <c r="J103" s="8">
        <f>J7/J8</f>
        <v>67.953000678809872</v>
      </c>
      <c r="K103" s="8">
        <f t="shared" si="289"/>
        <v>70.461992131108815</v>
      </c>
      <c r="L103" s="8">
        <f t="shared" si="289"/>
        <v>67.596759014175646</v>
      </c>
      <c r="M103" s="8">
        <f t="shared" si="289"/>
        <v>71.748283467188415</v>
      </c>
      <c r="N103" s="8">
        <f t="shared" si="289"/>
        <v>73.945940760288565</v>
      </c>
      <c r="O103" s="8">
        <f t="shared" si="289"/>
        <v>66.663729895167506</v>
      </c>
      <c r="P103" s="8">
        <f t="shared" si="289"/>
        <v>74.285714285714278</v>
      </c>
      <c r="Q103" s="8">
        <f t="shared" si="289"/>
        <v>73.898579453655216</v>
      </c>
      <c r="R103" s="8">
        <f t="shared" si="289"/>
        <v>73.778758495488134</v>
      </c>
      <c r="S103" s="8">
        <f t="shared" si="289"/>
        <v>74.552653467032968</v>
      </c>
      <c r="T103" s="8">
        <f t="shared" si="202"/>
        <v>74.268697740650438</v>
      </c>
      <c r="U103" s="8">
        <f t="shared" si="289"/>
        <v>71.593543552539714</v>
      </c>
      <c r="V103" s="8">
        <f t="shared" si="289"/>
        <v>73.392034615685404</v>
      </c>
      <c r="W103" s="8">
        <f t="shared" si="289"/>
        <v>75.639515779846263</v>
      </c>
      <c r="X103" s="8">
        <f t="shared" si="289"/>
        <v>75.434712207584909</v>
      </c>
      <c r="Y103" s="8">
        <f t="shared" si="289"/>
        <v>75.505886520747524</v>
      </c>
      <c r="Z103" s="8">
        <f t="shared" si="289"/>
        <v>65.152197811141306</v>
      </c>
      <c r="AA103" s="8">
        <f t="shared" si="289"/>
        <v>66.10174167245728</v>
      </c>
      <c r="AB103" s="8">
        <f t="shared" si="289"/>
        <v>67.888829540366629</v>
      </c>
      <c r="AC103" s="8">
        <f>AC7/AC8</f>
        <v>76.164995438454341</v>
      </c>
      <c r="AD103" s="8"/>
      <c r="AE103" s="8">
        <f>AE7/AE8</f>
        <v>70.083654078879874</v>
      </c>
      <c r="AF103" s="8"/>
      <c r="AG103" s="8"/>
      <c r="AH103" s="8"/>
      <c r="AI103" s="8">
        <f t="shared" ref="AI103:BR103" si="290">AI7/AI8</f>
        <v>69.174919673082186</v>
      </c>
      <c r="AJ103" s="8">
        <f t="shared" si="290"/>
        <v>56.8052646195029</v>
      </c>
      <c r="AK103" s="8">
        <f t="shared" si="290"/>
        <v>74.123319696080443</v>
      </c>
      <c r="AL103" s="8">
        <f t="shared" si="290"/>
        <v>62.466204624072098</v>
      </c>
      <c r="AM103" s="8">
        <f t="shared" si="290"/>
        <v>70.170556556511173</v>
      </c>
      <c r="AN103" s="8">
        <f t="shared" si="290"/>
        <v>80.81481481481481</v>
      </c>
      <c r="AO103" s="8">
        <f t="shared" si="290"/>
        <v>75.297963641461223</v>
      </c>
      <c r="AP103" s="8">
        <f t="shared" si="290"/>
        <v>74.372349064020355</v>
      </c>
      <c r="AQ103" s="8">
        <f t="shared" si="290"/>
        <v>73.032453267936134</v>
      </c>
      <c r="AR103" s="8">
        <f t="shared" si="290"/>
        <v>71.802858514212005</v>
      </c>
      <c r="AS103" s="8">
        <f t="shared" si="290"/>
        <v>74.457319743972874</v>
      </c>
      <c r="AT103" s="8">
        <f t="shared" si="290"/>
        <v>66.482924833819155</v>
      </c>
      <c r="AU103" s="8">
        <f t="shared" si="290"/>
        <v>62.349178764086915</v>
      </c>
      <c r="AV103" s="8">
        <f t="shared" si="290"/>
        <v>61.177418636943699</v>
      </c>
      <c r="AW103" s="8">
        <f t="shared" si="290"/>
        <v>63.371136083891656</v>
      </c>
      <c r="AX103" s="8">
        <f t="shared" si="290"/>
        <v>66.510736886417789</v>
      </c>
      <c r="AY103" s="8">
        <f t="shared" si="290"/>
        <v>74.458618527772146</v>
      </c>
      <c r="AZ103" s="8">
        <f t="shared" si="290"/>
        <v>67.285724424573615</v>
      </c>
      <c r="BA103" s="8">
        <f t="shared" si="290"/>
        <v>73.067629036965783</v>
      </c>
      <c r="BB103" s="8">
        <f t="shared" si="290"/>
        <v>67.879033884787475</v>
      </c>
      <c r="BC103" s="8">
        <f t="shared" si="290"/>
        <v>69.99644011367424</v>
      </c>
      <c r="BD103" s="8">
        <f t="shared" si="290"/>
        <v>77.94030456772748</v>
      </c>
      <c r="BE103" s="8">
        <f t="shared" si="290"/>
        <v>78.602886374901743</v>
      </c>
      <c r="BF103" s="8">
        <f t="shared" si="290"/>
        <v>72.066735195871374</v>
      </c>
      <c r="BG103" s="8">
        <f t="shared" si="290"/>
        <v>72.026242652947289</v>
      </c>
      <c r="BH103" s="8">
        <f t="shared" si="290"/>
        <v>68.056109647494068</v>
      </c>
      <c r="BI103" s="8" t="e">
        <f>BI7/BI8</f>
        <v>#DIV/0!</v>
      </c>
      <c r="BJ103" s="8" t="e">
        <f>BJ7/BJ8</f>
        <v>#DIV/0!</v>
      </c>
      <c r="BK103" s="8" t="e">
        <f>BK7/BK8</f>
        <v>#DIV/0!</v>
      </c>
      <c r="BL103" s="8" t="e">
        <f>BL7/BL8</f>
        <v>#DIV/0!</v>
      </c>
      <c r="BM103" s="8" t="e">
        <f>BM7/BM8</f>
        <v>#DIV/0!</v>
      </c>
      <c r="BN103" s="8">
        <f t="shared" si="290"/>
        <v>74.744576242749829</v>
      </c>
      <c r="BO103" s="8">
        <f t="shared" si="290"/>
        <v>77.936461694989987</v>
      </c>
      <c r="BP103" s="8">
        <f t="shared" si="290"/>
        <v>76.32229871711445</v>
      </c>
      <c r="BQ103" s="8">
        <f t="shared" si="290"/>
        <v>69.053633829840066</v>
      </c>
      <c r="BR103" s="8">
        <f t="shared" si="290"/>
        <v>82.439197478176908</v>
      </c>
      <c r="BS103" s="8"/>
      <c r="BT103" s="8">
        <f>BT7/BT8</f>
        <v>81.521009888841292</v>
      </c>
      <c r="BU103" s="8">
        <f>BU7/BU8</f>
        <v>79.122674897042543</v>
      </c>
      <c r="BV103" s="8">
        <f>BV7/BV8</f>
        <v>80.977248268422912</v>
      </c>
      <c r="BW103" s="8">
        <f>BW7/BW8</f>
        <v>61.585274140272666</v>
      </c>
      <c r="BX103" s="8"/>
      <c r="BY103" s="8"/>
      <c r="BZ103" s="8">
        <f t="shared" ref="BZ103:CG103" si="291">BZ7/BZ8</f>
        <v>69.196698180096391</v>
      </c>
      <c r="CA103" s="8">
        <f t="shared" si="291"/>
        <v>64.788384987996068</v>
      </c>
      <c r="CB103" s="8">
        <f t="shared" si="291"/>
        <v>62.204411986070021</v>
      </c>
      <c r="CC103" s="8">
        <f t="shared" si="291"/>
        <v>76.585101044646038</v>
      </c>
      <c r="CD103" s="8">
        <f t="shared" si="291"/>
        <v>60.631110188433702</v>
      </c>
      <c r="CE103" s="8">
        <f t="shared" si="291"/>
        <v>61.716669369816053</v>
      </c>
      <c r="CF103" s="8">
        <f t="shared" si="291"/>
        <v>66.102132097482055</v>
      </c>
      <c r="CG103" s="8">
        <f t="shared" si="291"/>
        <v>59.831340294789022</v>
      </c>
      <c r="CH103" s="8">
        <f>CH7/CH8</f>
        <v>59.83134029478903</v>
      </c>
      <c r="CI103" s="8">
        <f>CI7/CI8</f>
        <v>57.633324054157711</v>
      </c>
      <c r="CJ103" s="8">
        <f>CJ7/CJ8</f>
        <v>75.184947273471295</v>
      </c>
      <c r="CK103" s="8">
        <f t="shared" ref="CK103:CQ103" si="292">CK7/CK8</f>
        <v>58.014026298705417</v>
      </c>
      <c r="CL103" s="8">
        <f t="shared" si="292"/>
        <v>69.388092307774514</v>
      </c>
      <c r="CM103" s="8">
        <f t="shared" si="292"/>
        <v>72.410592820990303</v>
      </c>
      <c r="CN103" s="8">
        <f t="shared" si="292"/>
        <v>70.162184689317328</v>
      </c>
      <c r="CO103" s="8">
        <f t="shared" si="292"/>
        <v>70.283396871489899</v>
      </c>
      <c r="CP103" s="8">
        <f t="shared" si="292"/>
        <v>92.015086650969991</v>
      </c>
      <c r="CQ103" s="8">
        <f t="shared" si="292"/>
        <v>71.455927196737164</v>
      </c>
      <c r="CR103" s="8" t="e">
        <f>CR7/CR8</f>
        <v>#DIV/0!</v>
      </c>
      <c r="CS103" s="8">
        <f t="shared" ref="CS103:DA103" si="293">CS7/CS8</f>
        <v>71.48387413018105</v>
      </c>
      <c r="CT103" s="8">
        <f t="shared" si="293"/>
        <v>67.166941395359245</v>
      </c>
      <c r="CU103" s="8">
        <f t="shared" si="293"/>
        <v>69.580263446059647</v>
      </c>
      <c r="CV103" s="8">
        <f t="shared" si="293"/>
        <v>75.995565353852015</v>
      </c>
      <c r="CW103" s="8">
        <f t="shared" si="293"/>
        <v>75.827960709527986</v>
      </c>
      <c r="CX103" s="8">
        <f t="shared" si="293"/>
        <v>60.623233993637065</v>
      </c>
      <c r="CY103" s="8">
        <f t="shared" si="293"/>
        <v>69.243966044142766</v>
      </c>
      <c r="CZ103" s="8">
        <f t="shared" si="293"/>
        <v>79.071895160335188</v>
      </c>
      <c r="DA103" s="8">
        <f t="shared" si="293"/>
        <v>82.105692745070982</v>
      </c>
      <c r="DV103" s="8"/>
      <c r="DW103" s="8"/>
      <c r="DX103" s="8"/>
      <c r="DY103" s="8"/>
      <c r="DZ103" s="8"/>
      <c r="EA103" s="8"/>
      <c r="EB103" s="8"/>
      <c r="EC103" s="8">
        <f>EC7/EC8</f>
        <v>66.362422298968227</v>
      </c>
      <c r="ED103" s="8"/>
      <c r="EE103" s="8"/>
      <c r="EF103" s="8"/>
      <c r="EG103" s="8"/>
      <c r="EH103" s="8">
        <f>EH7/EH8</f>
        <v>63.250291263332613</v>
      </c>
      <c r="EI103" s="8"/>
      <c r="EJ103" s="8"/>
      <c r="EK103" s="8"/>
      <c r="EL103" s="8"/>
      <c r="EM103" s="8"/>
      <c r="EQ103" s="8">
        <f>EQ7/EQ8</f>
        <v>70.235781365540319</v>
      </c>
      <c r="ER103" s="8"/>
      <c r="ES103" s="8"/>
      <c r="ET103" s="8">
        <f>ET7/ET8</f>
        <v>56.067999532190569</v>
      </c>
      <c r="EU103" s="8"/>
      <c r="EV103" s="8">
        <f>EV7/EV8</f>
        <v>63.828760025055338</v>
      </c>
      <c r="EW103" s="8"/>
      <c r="EX103" s="8"/>
      <c r="EY103" s="8"/>
      <c r="FH103" s="8">
        <f>FH7/FH8</f>
        <v>64.059210475200302</v>
      </c>
      <c r="FI103" s="8"/>
      <c r="FJ103" s="8">
        <f>FJ7/FJ8</f>
        <v>64.059210475200302</v>
      </c>
    </row>
    <row r="104" spans="1:166" ht="11.1" customHeight="1" x14ac:dyDescent="0.2">
      <c r="A104" s="1" t="s">
        <v>1158</v>
      </c>
      <c r="B104" s="3">
        <f t="shared" ref="B104:M104" si="294">B4/B7</f>
        <v>4.8511860129372572E-2</v>
      </c>
      <c r="C104" s="3">
        <f t="shared" si="294"/>
        <v>5.7000038639718399E-2</v>
      </c>
      <c r="D104" s="3">
        <f t="shared" si="294"/>
        <v>4.5924794749798083E-2</v>
      </c>
      <c r="E104" s="3">
        <f t="shared" ref="E104:J104" si="295">E4/E7</f>
        <v>4.9639095768567183E-2</v>
      </c>
      <c r="F104" s="3">
        <f t="shared" si="295"/>
        <v>4.4792381509692919E-2</v>
      </c>
      <c r="G104" s="3">
        <f t="shared" si="295"/>
        <v>0.11275157145419806</v>
      </c>
      <c r="H104" s="3">
        <f t="shared" si="295"/>
        <v>4.4166594179054997E-2</v>
      </c>
      <c r="I104" s="3">
        <f t="shared" si="295"/>
        <v>5.7529025476530507E-2</v>
      </c>
      <c r="J104" s="3">
        <f t="shared" si="295"/>
        <v>5.1267721056908869E-2</v>
      </c>
      <c r="K104" s="3">
        <f t="shared" si="294"/>
        <v>4.5484441400954763E-2</v>
      </c>
      <c r="L104" s="3">
        <f t="shared" si="294"/>
        <v>5.5338596646250439E-2</v>
      </c>
      <c r="M104" s="3">
        <f t="shared" si="294"/>
        <v>4.6417515508797413E-2</v>
      </c>
      <c r="N104" s="3">
        <f t="shared" ref="N104:AB104" si="296">N4/N7</f>
        <v>4.8185293885771509E-2</v>
      </c>
      <c r="O104" s="3">
        <f t="shared" si="296"/>
        <v>4.7996066672695931E-2</v>
      </c>
      <c r="P104" s="3">
        <f t="shared" si="296"/>
        <v>3.461538461538461E-2</v>
      </c>
      <c r="Q104" s="3">
        <f t="shared" si="296"/>
        <v>5.4723026478301656E-2</v>
      </c>
      <c r="R104" s="3">
        <f t="shared" si="296"/>
        <v>5.3667482478896938E-2</v>
      </c>
      <c r="S104" s="3">
        <f t="shared" si="296"/>
        <v>4.145184040773673E-2</v>
      </c>
      <c r="T104" s="3">
        <f t="shared" si="202"/>
        <v>4.5933975122504488E-2</v>
      </c>
      <c r="U104" s="3">
        <f t="shared" si="296"/>
        <v>4.9865496008467125E-2</v>
      </c>
      <c r="V104" s="3">
        <f t="shared" si="296"/>
        <v>9.372488177172375E-2</v>
      </c>
      <c r="W104" s="3">
        <f t="shared" si="296"/>
        <v>4.4701669483072741E-2</v>
      </c>
      <c r="X104" s="3">
        <f t="shared" si="296"/>
        <v>3.7386984708991433E-2</v>
      </c>
      <c r="Y104" s="3">
        <f t="shared" si="296"/>
        <v>3.9933517666790944E-2</v>
      </c>
      <c r="Z104" s="3">
        <f t="shared" si="296"/>
        <v>9.8988933225766032E-2</v>
      </c>
      <c r="AA104" s="3">
        <f t="shared" si="296"/>
        <v>0.10735731369722422</v>
      </c>
      <c r="AB104" s="3">
        <f t="shared" si="296"/>
        <v>6.8247474640363265E-2</v>
      </c>
      <c r="AC104" s="3">
        <f>AC4/AC7</f>
        <v>0.14374714601113672</v>
      </c>
      <c r="AE104" s="3">
        <f>AE4/AE7</f>
        <v>8.2077281307294858E-2</v>
      </c>
      <c r="AI104" s="3">
        <f t="shared" ref="AI104:BP104" si="297">AI4/AI7</f>
        <v>4.6774971625846193E-2</v>
      </c>
      <c r="AJ104" s="3">
        <f t="shared" si="297"/>
        <v>4.5940797242410875E-2</v>
      </c>
      <c r="AK104" s="3">
        <f t="shared" si="297"/>
        <v>5.7514908537846139E-2</v>
      </c>
      <c r="AL104" s="3">
        <f t="shared" si="297"/>
        <v>3.089998751513192E-2</v>
      </c>
      <c r="AM104" s="3">
        <f t="shared" si="297"/>
        <v>4.7163264236646164E-2</v>
      </c>
      <c r="AN104" s="3">
        <f t="shared" si="297"/>
        <v>6.0494958753437217E-2</v>
      </c>
      <c r="AO104" s="3">
        <f t="shared" si="297"/>
        <v>6.9997507644682488E-2</v>
      </c>
      <c r="AP104" s="3">
        <f t="shared" si="297"/>
        <v>0.13859656428283323</v>
      </c>
      <c r="AQ104" s="3">
        <f t="shared" si="297"/>
        <v>4.4589001976074412E-2</v>
      </c>
      <c r="AR104" s="3">
        <f t="shared" si="297"/>
        <v>4.0530580899670113E-2</v>
      </c>
      <c r="AS104" s="3">
        <f t="shared" si="297"/>
        <v>4.2595485698562315E-2</v>
      </c>
      <c r="AT104" s="3">
        <f t="shared" si="297"/>
        <v>6.9627582838120067E-2</v>
      </c>
      <c r="AU104" s="3">
        <f t="shared" si="297"/>
        <v>4.1116299521444813E-2</v>
      </c>
      <c r="AV104" s="3">
        <f t="shared" si="297"/>
        <v>8.0128575996193968E-2</v>
      </c>
      <c r="AW104" s="3">
        <f t="shared" si="297"/>
        <v>3.5748949014787743E-2</v>
      </c>
      <c r="AX104" s="3">
        <f t="shared" si="297"/>
        <v>0.13817046955330756</v>
      </c>
      <c r="AY104" s="3">
        <f t="shared" si="297"/>
        <v>0.14973473421556091</v>
      </c>
      <c r="AZ104" s="3">
        <f t="shared" si="297"/>
        <v>5.0182643825460671E-2</v>
      </c>
      <c r="BA104" s="3">
        <f t="shared" si="297"/>
        <v>4.4774177925841228E-2</v>
      </c>
      <c r="BB104" s="3">
        <f t="shared" si="297"/>
        <v>0.13531550620769589</v>
      </c>
      <c r="BC104" s="3">
        <f t="shared" si="297"/>
        <v>3.9634995840639314E-2</v>
      </c>
      <c r="BD104" s="3">
        <f t="shared" si="297"/>
        <v>0.12401776501041951</v>
      </c>
      <c r="BE104" s="3">
        <f t="shared" si="297"/>
        <v>6.5930320842392101E-2</v>
      </c>
      <c r="BF104" s="3">
        <f t="shared" si="297"/>
        <v>5.6990747580351948E-2</v>
      </c>
      <c r="BG104" s="3">
        <f t="shared" si="297"/>
        <v>6.940023538249486E-2</v>
      </c>
      <c r="BH104" s="3">
        <f t="shared" si="297"/>
        <v>2.6833584945525582E-2</v>
      </c>
      <c r="BI104" s="3" t="e">
        <f>BI4/BI7</f>
        <v>#DIV/0!</v>
      </c>
      <c r="BJ104" s="3" t="e">
        <f>BJ4/BJ7</f>
        <v>#DIV/0!</v>
      </c>
      <c r="BK104" s="3" t="e">
        <f>BK4/BK7</f>
        <v>#DIV/0!</v>
      </c>
      <c r="BL104" s="3" t="e">
        <f>BL4/BL7</f>
        <v>#DIV/0!</v>
      </c>
      <c r="BM104" s="3" t="e">
        <f>BM4/BM7</f>
        <v>#DIV/0!</v>
      </c>
      <c r="BN104" s="3">
        <f t="shared" si="297"/>
        <v>4.2410507930032315E-2</v>
      </c>
      <c r="BO104" s="3">
        <f t="shared" si="297"/>
        <v>3.6866074060419328E-2</v>
      </c>
      <c r="BP104" s="3">
        <f t="shared" si="297"/>
        <v>3.9611979228866494E-2</v>
      </c>
      <c r="BQ104" s="3">
        <f t="shared" ref="BQ104:BV104" si="298">BQ4/BQ7</f>
        <v>4.5089775794897639E-2</v>
      </c>
      <c r="BR104" s="3">
        <f t="shared" si="298"/>
        <v>1.7316721236268869E-2</v>
      </c>
      <c r="BS104" s="3" t="e">
        <f t="shared" si="298"/>
        <v>#DIV/0!</v>
      </c>
      <c r="BT104" s="3">
        <f t="shared" si="298"/>
        <v>1.7139671425100065E-2</v>
      </c>
      <c r="BU104" s="3">
        <f t="shared" si="298"/>
        <v>1.9365172340569274E-2</v>
      </c>
      <c r="BV104" s="3">
        <f t="shared" si="298"/>
        <v>1.7967584049731436E-2</v>
      </c>
      <c r="BW104" s="3">
        <f>BW4/BW7</f>
        <v>4.2670953127326966E-2</v>
      </c>
      <c r="BX104" s="3"/>
      <c r="BY104" s="3"/>
      <c r="BZ104" s="3">
        <f t="shared" ref="BZ104:CG104" si="299">BZ4/BZ7</f>
        <v>5.9664827040997806E-2</v>
      </c>
      <c r="CA104" s="3">
        <f t="shared" si="299"/>
        <v>4.7164593084747346E-2</v>
      </c>
      <c r="CB104" s="3">
        <f t="shared" si="299"/>
        <v>4.4566280929249774E-2</v>
      </c>
      <c r="CC104" s="3">
        <f t="shared" si="299"/>
        <v>0.12770803454056009</v>
      </c>
      <c r="CD104" s="3">
        <f t="shared" si="299"/>
        <v>5.765257700461094E-2</v>
      </c>
      <c r="CE104" s="3">
        <f t="shared" si="299"/>
        <v>3.8052169725973528E-2</v>
      </c>
      <c r="CF104" s="3">
        <f t="shared" si="299"/>
        <v>9.5220712401050941E-2</v>
      </c>
      <c r="CG104" s="3">
        <f t="shared" si="299"/>
        <v>5.188340508440769E-2</v>
      </c>
      <c r="CH104" s="3">
        <f>CH4/CH7</f>
        <v>5.1883405084407683E-2</v>
      </c>
      <c r="CI104" s="3">
        <f>CI4/CI7</f>
        <v>7.9162050465533512E-2</v>
      </c>
      <c r="CJ104" s="3">
        <f>CJ4/CJ7</f>
        <v>4.5005972897248558E-2</v>
      </c>
      <c r="CK104" s="3">
        <f>CK4/CK7</f>
        <v>5.9110572143880255E-2</v>
      </c>
      <c r="CL104" s="3">
        <f>CL4/CL7</f>
        <v>4.0251977999731403E-2</v>
      </c>
      <c r="CM104" s="3">
        <f t="shared" ref="CM104:DA104" si="300">CM4/CM7</f>
        <v>5.6455815471143693E-2</v>
      </c>
      <c r="CN104" s="3">
        <f t="shared" si="300"/>
        <v>4.4534930796201751E-2</v>
      </c>
      <c r="CO104" s="3">
        <f t="shared" si="300"/>
        <v>0.20265889028743672</v>
      </c>
      <c r="CP104" s="3">
        <f>CP4/CP7</f>
        <v>3.1453333077312212E-2</v>
      </c>
      <c r="CQ104" s="3">
        <f>CQ4/CQ7</f>
        <v>4.1605251559518636E-2</v>
      </c>
      <c r="CR104" s="3" t="e">
        <f>CR4/CR7</f>
        <v>#DIV/0!</v>
      </c>
      <c r="CS104" s="3">
        <f>CS4/CS7</f>
        <v>4.9436067690177166E-2</v>
      </c>
      <c r="CT104" s="3">
        <f t="shared" si="300"/>
        <v>3.8238099398070928E-2</v>
      </c>
      <c r="CU104" s="3">
        <f t="shared" si="300"/>
        <v>3.8912062971216688E-2</v>
      </c>
      <c r="CV104" s="3">
        <f t="shared" si="300"/>
        <v>0.20217363258279736</v>
      </c>
      <c r="CW104" s="3">
        <f t="shared" si="300"/>
        <v>0.22187927535649793</v>
      </c>
      <c r="CX104" s="3">
        <f t="shared" si="300"/>
        <v>4.3251107612262966E-2</v>
      </c>
      <c r="CY104" s="3">
        <f t="shared" si="300"/>
        <v>3.5904919880557315E-2</v>
      </c>
      <c r="CZ104" s="3">
        <f t="shared" si="300"/>
        <v>5.1063044808661376E-2</v>
      </c>
      <c r="DA104" s="3">
        <f t="shared" si="300"/>
        <v>4.6515172374716932E-2</v>
      </c>
      <c r="DV104" s="3">
        <f t="shared" ref="DV104:EM104" si="301">DV4/DV7</f>
        <v>3.2931841689641979E-2</v>
      </c>
      <c r="DW104" s="3">
        <f t="shared" si="301"/>
        <v>3.7981718543673541E-2</v>
      </c>
      <c r="DX104" s="3">
        <f t="shared" si="301"/>
        <v>3.8245743990660545E-2</v>
      </c>
      <c r="DY104" s="3">
        <f t="shared" si="301"/>
        <v>3.4883720930232558E-2</v>
      </c>
      <c r="DZ104" s="3">
        <f t="shared" si="301"/>
        <v>3.8221280371741079E-2</v>
      </c>
      <c r="EA104" s="3">
        <f t="shared" si="301"/>
        <v>3.757206294359014E-2</v>
      </c>
      <c r="EB104" s="3">
        <f t="shared" si="301"/>
        <v>4.1009463722397478E-2</v>
      </c>
      <c r="EC104" s="3">
        <f t="shared" si="301"/>
        <v>3.5247463118646079E-2</v>
      </c>
      <c r="ED104" s="3">
        <f t="shared" si="301"/>
        <v>4.1162227602905575E-2</v>
      </c>
      <c r="EE104" s="3">
        <f t="shared" si="301"/>
        <v>3.9772727272727279E-2</v>
      </c>
      <c r="EF104" s="3">
        <f t="shared" si="301"/>
        <v>3.809282647672501E-2</v>
      </c>
      <c r="EG104" s="3" t="e">
        <f t="shared" si="301"/>
        <v>#DIV/0!</v>
      </c>
      <c r="EH104" s="3">
        <f t="shared" si="301"/>
        <v>3.7882814589867246E-2</v>
      </c>
      <c r="EI104" s="3">
        <f t="shared" si="301"/>
        <v>4.6296296296296294E-2</v>
      </c>
      <c r="EJ104" s="3">
        <f t="shared" si="301"/>
        <v>3.814004561594294E-2</v>
      </c>
      <c r="EK104" s="3"/>
      <c r="EL104" s="3">
        <f t="shared" si="301"/>
        <v>5.2842511006654415E-2</v>
      </c>
      <c r="EM104" s="3">
        <f t="shared" si="301"/>
        <v>5.1545548988068499E-2</v>
      </c>
      <c r="EQ104" s="3">
        <f t="shared" ref="EQ104:EV104" si="302">EQ4/EQ7</f>
        <v>6.1189695944900542E-2</v>
      </c>
      <c r="ER104" s="3">
        <f t="shared" si="302"/>
        <v>5.7644970053830645E-2</v>
      </c>
      <c r="ES104" s="3">
        <f t="shared" si="302"/>
        <v>5.7676014603559624E-2</v>
      </c>
      <c r="ET104" s="3">
        <f t="shared" si="302"/>
        <v>4.3270227930556689E-2</v>
      </c>
      <c r="EU104" s="3">
        <f t="shared" si="302"/>
        <v>5.3766344717617438E-2</v>
      </c>
      <c r="EV104" s="3">
        <f t="shared" si="302"/>
        <v>3.3092152833627993E-2</v>
      </c>
      <c r="EW104" s="3"/>
      <c r="EX104" s="3"/>
      <c r="EY104" s="3"/>
      <c r="FH104" s="3">
        <f>FH4/FH7</f>
        <v>3.2134125697770424E-2</v>
      </c>
      <c r="FI104" s="3"/>
      <c r="FJ104" s="3">
        <f>FJ4/FJ7</f>
        <v>3.2134125697770424E-2</v>
      </c>
    </row>
    <row r="105" spans="1:166" ht="11.1" customHeight="1" x14ac:dyDescent="0.2">
      <c r="A105" s="1" t="s">
        <v>458</v>
      </c>
      <c r="B105" s="3">
        <f t="shared" ref="B105:L105" si="303">B83/B69</f>
        <v>0.3127496249383977</v>
      </c>
      <c r="C105" s="3">
        <f t="shared" si="303"/>
        <v>0.33768781487916166</v>
      </c>
      <c r="D105" s="3">
        <f t="shared" si="303"/>
        <v>0.29786775146075595</v>
      </c>
      <c r="E105" s="3">
        <f t="shared" si="303"/>
        <v>0.31854198356527968</v>
      </c>
      <c r="F105" s="3">
        <f>F83/F69</f>
        <v>0.31861585741058696</v>
      </c>
      <c r="G105" s="3">
        <f>G83/G69</f>
        <v>0.32703680291049014</v>
      </c>
      <c r="H105" s="3">
        <f>H83/H69</f>
        <v>0.3210329401263971</v>
      </c>
      <c r="I105" s="3">
        <f>I83/I69</f>
        <v>0.36609039320964826</v>
      </c>
      <c r="J105" s="3">
        <f>J83/J69</f>
        <v>0.3550166931680398</v>
      </c>
      <c r="K105" s="3">
        <f t="shared" si="303"/>
        <v>0.32640081608891075</v>
      </c>
      <c r="L105" s="3" t="e">
        <f t="shared" si="303"/>
        <v>#DIV/0!</v>
      </c>
      <c r="M105" s="3"/>
      <c r="N105" s="3"/>
      <c r="O105" s="3"/>
      <c r="P105" s="15"/>
      <c r="Q105" s="3">
        <f>Q83/Q69</f>
        <v>0.60731996583203873</v>
      </c>
      <c r="R105" s="3">
        <f>R83/R69</f>
        <v>0.30769226433307262</v>
      </c>
      <c r="S105" s="15"/>
      <c r="T105" s="15">
        <f t="shared" si="202"/>
        <v>0.1128977233778574</v>
      </c>
      <c r="U105" s="15"/>
      <c r="V105" s="15"/>
      <c r="W105" s="15"/>
      <c r="X105" s="15"/>
      <c r="Y105" s="15"/>
      <c r="Z105" s="15"/>
      <c r="AA105" s="15"/>
      <c r="AB105" s="15"/>
      <c r="AC105" s="15"/>
      <c r="AE105" s="3">
        <f>AE83/AE69</f>
        <v>0.45585217953647622</v>
      </c>
      <c r="AI105" s="3">
        <f>AI83/AI69</f>
        <v>0.36490541632201101</v>
      </c>
      <c r="AJ105" s="3">
        <f>AJ83/AJ69</f>
        <v>0.29906096844508523</v>
      </c>
      <c r="AK105" s="3"/>
      <c r="AL105" s="15"/>
      <c r="AM105" s="3">
        <f>AM83/AM69</f>
        <v>0.29854968987302793</v>
      </c>
      <c r="AN105" s="15"/>
      <c r="AO105" s="15"/>
      <c r="AP105" s="15"/>
      <c r="AQ105" s="3">
        <f>AQ83/AQ69</f>
        <v>0.29952309652446873</v>
      </c>
      <c r="AS105" s="15"/>
      <c r="AT105" s="3">
        <f>AT83/AT69</f>
        <v>0.34927042197276248</v>
      </c>
      <c r="AU105" s="3"/>
      <c r="AV105" s="15"/>
      <c r="AW105" s="3">
        <f>AW83/AW69</f>
        <v>0.2096609781511867</v>
      </c>
      <c r="AX105" s="15"/>
      <c r="AY105" s="15"/>
      <c r="BA105" s="15"/>
      <c r="BB105" s="15"/>
      <c r="BE105" s="3">
        <f t="shared" ref="BE105:BM105" si="304">BE83/BE69</f>
        <v>0.31914123896756136</v>
      </c>
      <c r="BF105" s="3">
        <f t="shared" si="304"/>
        <v>0.33442826342454529</v>
      </c>
      <c r="BG105" s="3">
        <f t="shared" si="304"/>
        <v>0.32165248643245076</v>
      </c>
      <c r="BH105" s="3">
        <f t="shared" si="304"/>
        <v>0.31974248927038623</v>
      </c>
      <c r="BI105" s="3">
        <f t="shared" si="304"/>
        <v>0.37136213376999905</v>
      </c>
      <c r="BJ105" s="3">
        <f t="shared" si="304"/>
        <v>0.33573130382346955</v>
      </c>
      <c r="BK105" s="3">
        <f t="shared" si="304"/>
        <v>0.35963761097202096</v>
      </c>
      <c r="BL105" s="3">
        <f t="shared" si="304"/>
        <v>0.31241314311298474</v>
      </c>
      <c r="BM105" s="3">
        <f t="shared" si="304"/>
        <v>0.36911172015013188</v>
      </c>
      <c r="BN105" s="15"/>
      <c r="BO105" s="15"/>
      <c r="BP105" s="15"/>
      <c r="BQ105" s="15"/>
      <c r="BR105" s="15"/>
      <c r="BS105" s="15"/>
      <c r="BT105" s="15"/>
      <c r="BU105" s="15"/>
      <c r="BV105" s="15"/>
      <c r="BW105" s="3">
        <f>BW83/BW69</f>
        <v>0.44586681016840313</v>
      </c>
      <c r="BX105" s="3"/>
      <c r="BY105" s="3"/>
      <c r="BZ105" s="3">
        <f>BZ83/BZ69</f>
        <v>0.39242029429786834</v>
      </c>
      <c r="CA105" s="3">
        <f>CA83/CA69</f>
        <v>0.3236251238219634</v>
      </c>
      <c r="CB105" s="3">
        <f>CB83/CB69</f>
        <v>0.391725730583527</v>
      </c>
      <c r="CC105" s="15"/>
      <c r="CD105" s="3">
        <f>CD83/CD69</f>
        <v>0.34207571847495094</v>
      </c>
      <c r="CE105" s="3">
        <f>CE83/CE69</f>
        <v>0.23017725970542441</v>
      </c>
      <c r="CF105" s="3"/>
      <c r="CG105" s="3">
        <f>CG83/CG69</f>
        <v>0.33283455669430778</v>
      </c>
      <c r="CH105" s="3">
        <f>CH83/CH69</f>
        <v>0.33283455669430784</v>
      </c>
      <c r="CI105" s="3">
        <f>CI83/CI69</f>
        <v>0.31805383559140954</v>
      </c>
      <c r="CJ105" s="3">
        <f>CJ83/CJ69</f>
        <v>0.35260090938160521</v>
      </c>
      <c r="CK105" s="3"/>
      <c r="CL105" s="3">
        <f t="shared" ref="CL105:CQ105" si="305">CL83/CL69</f>
        <v>0.45801907219820892</v>
      </c>
      <c r="CM105" s="3">
        <f t="shared" si="305"/>
        <v>0.41244559038892542</v>
      </c>
      <c r="CN105" s="3" t="e">
        <f t="shared" si="305"/>
        <v>#REF!</v>
      </c>
      <c r="CO105" s="3">
        <f t="shared" si="305"/>
        <v>0.37960790557031487</v>
      </c>
      <c r="CP105" s="3">
        <f t="shared" si="305"/>
        <v>0.46149545062036607</v>
      </c>
      <c r="CQ105" s="3">
        <f t="shared" si="305"/>
        <v>0.65100336909098844</v>
      </c>
      <c r="CR105" s="3">
        <f>CR83/CR69</f>
        <v>0.33573130382346955</v>
      </c>
      <c r="CS105" s="3"/>
      <c r="CT105" s="3"/>
      <c r="CU105" s="3"/>
      <c r="CV105" s="3">
        <f>CV83/CV69</f>
        <v>0.43260965443477539</v>
      </c>
      <c r="CW105" s="3">
        <f>CW83/CW69</f>
        <v>0.40144314319532803</v>
      </c>
      <c r="DV105" s="3">
        <f t="shared" ref="DV105:EM105" si="306">DV83/DV69</f>
        <v>0.27320701232937034</v>
      </c>
      <c r="DW105" s="3">
        <f t="shared" si="306"/>
        <v>0.20605002320177232</v>
      </c>
      <c r="DX105" s="3">
        <f t="shared" si="306"/>
        <v>0.27231367185339761</v>
      </c>
      <c r="DY105" s="3" t="e">
        <f t="shared" si="306"/>
        <v>#DIV/0!</v>
      </c>
      <c r="DZ105" s="3">
        <f t="shared" si="306"/>
        <v>0.21986282278000924</v>
      </c>
      <c r="EA105" s="3">
        <f t="shared" si="306"/>
        <v>0.25060688579388041</v>
      </c>
      <c r="EB105" s="3" t="e">
        <f t="shared" si="306"/>
        <v>#DIV/0!</v>
      </c>
      <c r="EC105" s="3">
        <f t="shared" si="306"/>
        <v>0.21175219987531568</v>
      </c>
      <c r="ED105" s="3" t="e">
        <f t="shared" si="306"/>
        <v>#DIV/0!</v>
      </c>
      <c r="EE105" s="3" t="e">
        <f t="shared" si="306"/>
        <v>#DIV/0!</v>
      </c>
      <c r="EF105" s="3">
        <f t="shared" si="306"/>
        <v>0.21346852952016385</v>
      </c>
      <c r="EG105" s="3" t="e">
        <f t="shared" si="306"/>
        <v>#DIV/0!</v>
      </c>
      <c r="EH105" s="3">
        <f t="shared" si="306"/>
        <v>0.20616592115025167</v>
      </c>
      <c r="EI105" s="3" t="e">
        <f t="shared" si="306"/>
        <v>#DIV/0!</v>
      </c>
      <c r="EJ105" s="3">
        <f t="shared" si="306"/>
        <v>0.21147238557947007</v>
      </c>
      <c r="EK105" s="3"/>
      <c r="EL105" s="3">
        <f t="shared" si="306"/>
        <v>0.33765595312354135</v>
      </c>
      <c r="EM105" s="3">
        <f t="shared" si="306"/>
        <v>0.33106649469498572</v>
      </c>
      <c r="EQ105" s="3">
        <f t="shared" ref="EQ105:EV105" si="307">EQ83/EQ69</f>
        <v>0.39706004762967856</v>
      </c>
      <c r="ER105" s="3">
        <f t="shared" si="307"/>
        <v>0.36639792014020217</v>
      </c>
      <c r="ES105" s="3">
        <f t="shared" si="307"/>
        <v>0.32320595668467988</v>
      </c>
      <c r="ET105" s="3">
        <f t="shared" si="307"/>
        <v>0.30456738644927256</v>
      </c>
      <c r="EU105" s="3">
        <f t="shared" si="307"/>
        <v>0.5022969350620885</v>
      </c>
      <c r="EV105" s="3">
        <f t="shared" si="307"/>
        <v>0.25923720247049004</v>
      </c>
      <c r="EW105" s="3"/>
      <c r="EX105" s="3"/>
      <c r="EY105" s="3"/>
      <c r="FH105" s="3">
        <f>FH83/FH69</f>
        <v>0.20239274345589581</v>
      </c>
      <c r="FI105" s="3"/>
      <c r="FJ105" s="3">
        <f>FJ83/FJ69</f>
        <v>0.20239274345589583</v>
      </c>
    </row>
    <row r="106" spans="1:166" s="32" customFormat="1" ht="11.1" customHeight="1" x14ac:dyDescent="0.2">
      <c r="A106" s="230" t="s">
        <v>782</v>
      </c>
      <c r="B106" s="3">
        <f t="shared" ref="B106:M106" si="308">B10/B5</f>
        <v>0.57867628539521365</v>
      </c>
      <c r="C106" s="3">
        <f t="shared" si="308"/>
        <v>0.56889744186427438</v>
      </c>
      <c r="D106" s="3">
        <f t="shared" si="308"/>
        <v>0.57746379593345765</v>
      </c>
      <c r="E106" s="3">
        <f t="shared" ref="E106:J106" si="309">E10/E5</f>
        <v>0.57945648798238381</v>
      </c>
      <c r="F106" s="3">
        <f t="shared" si="309"/>
        <v>0.5522832680025338</v>
      </c>
      <c r="G106" s="3">
        <f t="shared" si="309"/>
        <v>0.57139770772589749</v>
      </c>
      <c r="H106" s="3">
        <f t="shared" si="309"/>
        <v>0.54455823841988671</v>
      </c>
      <c r="I106" s="3">
        <f t="shared" si="309"/>
        <v>0.55809011770784256</v>
      </c>
      <c r="J106" s="3">
        <f t="shared" si="309"/>
        <v>0.55116233324441299</v>
      </c>
      <c r="K106" s="3">
        <f t="shared" si="308"/>
        <v>0.58251736517316111</v>
      </c>
      <c r="L106" s="3">
        <f t="shared" si="308"/>
        <v>0.58657114494365525</v>
      </c>
      <c r="M106" s="3">
        <f t="shared" si="308"/>
        <v>0.56967782577297399</v>
      </c>
      <c r="N106" s="3">
        <f t="shared" ref="N106:AB106" si="310">N10/N5</f>
        <v>0.53865296670444174</v>
      </c>
      <c r="O106" s="3">
        <f t="shared" si="310"/>
        <v>0.54939235606242942</v>
      </c>
      <c r="P106" s="3">
        <f t="shared" si="310"/>
        <v>0.65779883381924198</v>
      </c>
      <c r="Q106" s="3">
        <f t="shared" si="310"/>
        <v>0.6177420393550358</v>
      </c>
      <c r="R106" s="3">
        <f t="shared" si="310"/>
        <v>0.69402122359230267</v>
      </c>
      <c r="S106" s="3">
        <f t="shared" si="310"/>
        <v>0.78257541564774713</v>
      </c>
      <c r="T106" s="3">
        <f t="shared" si="202"/>
        <v>0.75008331936350969</v>
      </c>
      <c r="U106" s="3">
        <f t="shared" si="310"/>
        <v>0.77144928175456573</v>
      </c>
      <c r="V106" s="3">
        <f t="shared" si="310"/>
        <v>0.78723297412222992</v>
      </c>
      <c r="W106" s="3">
        <f t="shared" si="310"/>
        <v>0.8183139986357354</v>
      </c>
      <c r="X106" s="3">
        <f t="shared" si="310"/>
        <v>0.87254174818356212</v>
      </c>
      <c r="Y106" s="3">
        <f t="shared" si="310"/>
        <v>0.85092005065022558</v>
      </c>
      <c r="Z106" s="3">
        <f t="shared" si="310"/>
        <v>1.1006931634826567</v>
      </c>
      <c r="AA106" s="3">
        <f t="shared" si="310"/>
        <v>1.1502458697149507</v>
      </c>
      <c r="AB106" s="3">
        <f t="shared" si="310"/>
        <v>1.2461273981034693</v>
      </c>
      <c r="AC106" s="3">
        <f>AC10/AC5</f>
        <v>1.1302068547215394</v>
      </c>
      <c r="AE106" s="3">
        <f>AE10/AE5</f>
        <v>0.63222103333769419</v>
      </c>
      <c r="AI106" s="3">
        <f t="shared" ref="AI106:AQ106" si="311">AI10/AI5</f>
        <v>0.5952117074309391</v>
      </c>
      <c r="AJ106" s="45">
        <f t="shared" si="311"/>
        <v>0.63903548958962253</v>
      </c>
      <c r="AK106" s="3">
        <f t="shared" si="311"/>
        <v>0.5408008612643036</v>
      </c>
      <c r="AL106" s="3">
        <f t="shared" si="311"/>
        <v>0.78316421746621701</v>
      </c>
      <c r="AM106" s="3">
        <f t="shared" si="311"/>
        <v>0.65476302078065096</v>
      </c>
      <c r="AN106" s="3">
        <f t="shared" si="311"/>
        <v>1.1421446384039902</v>
      </c>
      <c r="AO106" s="3">
        <f t="shared" si="311"/>
        <v>2.2188305808310118</v>
      </c>
      <c r="AP106" s="3">
        <f t="shared" si="311"/>
        <v>1.1790250588849536</v>
      </c>
      <c r="AQ106" s="3">
        <f t="shared" si="311"/>
        <v>0.56787713149093977</v>
      </c>
      <c r="AS106" s="3">
        <f t="shared" ref="AS106:AY106" si="312">AS10/AS5</f>
        <v>1.2060532619659159</v>
      </c>
      <c r="AT106" s="3">
        <f t="shared" si="312"/>
        <v>0.65287565896345501</v>
      </c>
      <c r="AU106" s="3">
        <f t="shared" si="312"/>
        <v>0.56373475598661871</v>
      </c>
      <c r="AV106" s="3">
        <f t="shared" si="312"/>
        <v>0.84587784458086546</v>
      </c>
      <c r="AW106" s="3">
        <f t="shared" si="312"/>
        <v>0.59028912877417383</v>
      </c>
      <c r="AX106" s="3">
        <f t="shared" si="312"/>
        <v>0.68145818146684245</v>
      </c>
      <c r="AY106" s="3">
        <f t="shared" si="312"/>
        <v>1.1325449672917873</v>
      </c>
      <c r="BA106" s="3">
        <f>BA10/BA5</f>
        <v>0.74832491127368417</v>
      </c>
      <c r="BB106" s="3">
        <f>BB10/BB5</f>
        <v>0.92129811561661301</v>
      </c>
      <c r="BE106" s="3">
        <f t="shared" ref="BE106:BW106" si="313">BE10/BE5</f>
        <v>0.58780068450381184</v>
      </c>
      <c r="BF106" s="3">
        <f t="shared" si="313"/>
        <v>0.7333975056130162</v>
      </c>
      <c r="BG106" s="3">
        <f t="shared" si="313"/>
        <v>0.60166810955595817</v>
      </c>
      <c r="BH106" s="3">
        <f t="shared" si="313"/>
        <v>0.61597494634882888</v>
      </c>
      <c r="BI106" s="3" t="e">
        <f>BI10/BI5</f>
        <v>#DIV/0!</v>
      </c>
      <c r="BJ106" s="3" t="e">
        <f>BJ10/BJ5</f>
        <v>#DIV/0!</v>
      </c>
      <c r="BK106" s="3" t="e">
        <f>BK10/BK5</f>
        <v>#DIV/0!</v>
      </c>
      <c r="BL106" s="3" t="e">
        <f>BL10/BL5</f>
        <v>#DIV/0!</v>
      </c>
      <c r="BM106" s="3" t="e">
        <f>BM10/BM5</f>
        <v>#DIV/0!</v>
      </c>
      <c r="BN106" s="3">
        <f t="shared" si="313"/>
        <v>1.2321441667689137</v>
      </c>
      <c r="BO106" s="3">
        <f t="shared" si="313"/>
        <v>1.1608673316766822</v>
      </c>
      <c r="BP106" s="3">
        <f t="shared" si="313"/>
        <v>1.1983694984096915</v>
      </c>
      <c r="BQ106" s="3">
        <f t="shared" si="313"/>
        <v>1.137812287338128</v>
      </c>
      <c r="BR106" s="3">
        <f t="shared" si="313"/>
        <v>1.1024840312278212</v>
      </c>
      <c r="BS106" s="3" t="e">
        <f t="shared" si="313"/>
        <v>#DIV/0!</v>
      </c>
      <c r="BT106" s="3">
        <f t="shared" si="313"/>
        <v>1.4607733541609971</v>
      </c>
      <c r="BU106" s="3">
        <f t="shared" si="313"/>
        <v>1.3015405892838623</v>
      </c>
      <c r="BV106" s="3">
        <f t="shared" si="313"/>
        <v>1.2964557448867073</v>
      </c>
      <c r="BW106" s="3">
        <f t="shared" si="313"/>
        <v>0.68090272173425592</v>
      </c>
      <c r="BX106" s="45"/>
      <c r="BY106" s="45"/>
      <c r="BZ106" s="3">
        <f>BZ10/BZ5</f>
        <v>0.58644992422431885</v>
      </c>
      <c r="CA106" s="3">
        <f>CA10/CA5</f>
        <v>0.5777281439113171</v>
      </c>
      <c r="CB106" s="3">
        <f>CB10/CB5</f>
        <v>0.55831229804038751</v>
      </c>
      <c r="CC106" s="3">
        <f>CC10/CC5</f>
        <v>1.0612307429487533</v>
      </c>
      <c r="CD106" s="3">
        <f>CD10/CD5</f>
        <v>0.55370259785566123</v>
      </c>
      <c r="CE106" s="3"/>
      <c r="CF106" s="3"/>
      <c r="CG106" s="3"/>
      <c r="CH106" s="3"/>
      <c r="CI106" s="3">
        <f>CI10/CI5</f>
        <v>0.63271077139147525</v>
      </c>
      <c r="CJ106" s="3">
        <f>CJ10/CJ5</f>
        <v>0.5700314606475464</v>
      </c>
      <c r="CK106" s="3">
        <f>CK10/CK5</f>
        <v>0.56344869525356034</v>
      </c>
      <c r="CL106" s="3">
        <f>CL10/CL5</f>
        <v>0.63120655404383019</v>
      </c>
      <c r="CM106" s="3">
        <f t="shared" ref="CM106:CW106" si="314">CM10/CM5</f>
        <v>0.73522119119103757</v>
      </c>
      <c r="CN106" s="3">
        <f t="shared" si="314"/>
        <v>0.64871470184814217</v>
      </c>
      <c r="CO106" s="3">
        <f t="shared" si="314"/>
        <v>0.71797947506599114</v>
      </c>
      <c r="CP106" s="3">
        <f>CP10/CP5</f>
        <v>0.58210380621329616</v>
      </c>
      <c r="CQ106" s="3">
        <f>CQ10/CQ5</f>
        <v>0.55863877600887812</v>
      </c>
      <c r="CR106" s="3" t="e">
        <f>CR10/CR5</f>
        <v>#DIV/0!</v>
      </c>
      <c r="CS106" s="3">
        <f>CS10/CS5</f>
        <v>0.58262432530697716</v>
      </c>
      <c r="CT106" s="3">
        <f t="shared" si="314"/>
        <v>0.58450547659855601</v>
      </c>
      <c r="CU106" s="3">
        <f t="shared" si="314"/>
        <v>0.6105609120650286</v>
      </c>
      <c r="CV106" s="3">
        <f t="shared" si="314"/>
        <v>0.68411746266215212</v>
      </c>
      <c r="CW106" s="3">
        <f t="shared" si="314"/>
        <v>0.6953366045020295</v>
      </c>
      <c r="DE106"/>
      <c r="DI106"/>
      <c r="DV106" s="3">
        <f>DV10/DV5</f>
        <v>0.58703137516655024</v>
      </c>
      <c r="DW106" s="3">
        <f>DW10/DW5</f>
        <v>0.58403346667443101</v>
      </c>
      <c r="DX106" s="3">
        <f>DX10/DX5</f>
        <v>0.59118220686265277</v>
      </c>
      <c r="DY106" s="3">
        <f>DY10/DY5</f>
        <v>0.56168831168831168</v>
      </c>
      <c r="DZ106" s="3"/>
      <c r="EA106" s="3"/>
      <c r="EB106" s="3">
        <f>EB10/EB5</f>
        <v>0.56187290969899673</v>
      </c>
      <c r="EC106" s="3">
        <f>EC10/EC5</f>
        <v>0.56852766484009687</v>
      </c>
      <c r="ED106" s="3"/>
      <c r="EE106" s="3"/>
      <c r="EF106" s="3"/>
      <c r="EG106" s="3"/>
      <c r="EH106" s="3">
        <f>EH10/EH5</f>
        <v>0.58694437740570515</v>
      </c>
      <c r="EI106" s="3"/>
      <c r="EJ106" s="3"/>
      <c r="EK106" s="3"/>
      <c r="EL106" s="3">
        <f>EL10/EL5</f>
        <v>0.7480588632178603</v>
      </c>
      <c r="EM106" s="3"/>
      <c r="EQ106" s="3">
        <f t="shared" ref="EQ106:EV106" si="315">EQ10/EQ5</f>
        <v>0.58455391648980259</v>
      </c>
      <c r="ER106" s="3">
        <f t="shared" si="315"/>
        <v>0.57302263642796136</v>
      </c>
      <c r="ES106" s="3">
        <f t="shared" si="315"/>
        <v>0.57081887044536372</v>
      </c>
      <c r="ET106" s="3">
        <f t="shared" si="315"/>
        <v>0.54814303717596313</v>
      </c>
      <c r="EU106" s="3">
        <f t="shared" si="315"/>
        <v>0.59133241401046155</v>
      </c>
      <c r="EV106" s="3">
        <f t="shared" si="315"/>
        <v>0.53761160923847107</v>
      </c>
      <c r="EW106" s="3"/>
      <c r="EX106" s="3"/>
      <c r="EY106" s="3"/>
      <c r="FH106" s="3">
        <f>FH10/FH5</f>
        <v>0.58694456233657555</v>
      </c>
      <c r="FI106" s="3"/>
      <c r="FJ106" s="3">
        <f>FJ10/FJ5</f>
        <v>0</v>
      </c>
    </row>
    <row r="107" spans="1:166" ht="11.1" customHeight="1" x14ac:dyDescent="0.2">
      <c r="A107" s="1" t="s">
        <v>934</v>
      </c>
      <c r="B107" s="3">
        <f t="shared" ref="B107:M107" si="316">B81/B59</f>
        <v>3.3419054996794872E-2</v>
      </c>
      <c r="C107" s="3">
        <f t="shared" si="316"/>
        <v>5.0103948969673115E-2</v>
      </c>
      <c r="D107" s="3">
        <f t="shared" si="316"/>
        <v>3.7439121187900853E-2</v>
      </c>
      <c r="E107" s="3">
        <f t="shared" ref="E107:J107" si="317">E81/E59</f>
        <v>3.7891524510501221E-2</v>
      </c>
      <c r="F107" s="3">
        <f t="shared" si="317"/>
        <v>4.2855906346698974E-2</v>
      </c>
      <c r="G107" s="3">
        <f t="shared" si="317"/>
        <v>3.9824437968958327E-2</v>
      </c>
      <c r="H107" s="3">
        <f t="shared" si="317"/>
        <v>5.6608195884263149E-2</v>
      </c>
      <c r="I107" s="3">
        <f t="shared" si="317"/>
        <v>3.6509977042796092E-2</v>
      </c>
      <c r="J107" s="3">
        <f t="shared" si="317"/>
        <v>4.3389853495892E-2</v>
      </c>
      <c r="K107" s="3">
        <f t="shared" si="316"/>
        <v>4.9672193610988513E-2</v>
      </c>
      <c r="L107" s="3">
        <f t="shared" si="316"/>
        <v>4.4684161632201187E-2</v>
      </c>
      <c r="M107" s="3">
        <f t="shared" si="316"/>
        <v>4.0530887641132753E-2</v>
      </c>
      <c r="N107" s="3">
        <f>N81/N59</f>
        <v>3.3550376592426961E-2</v>
      </c>
      <c r="O107" s="3">
        <f>O81/O59</f>
        <v>4.3892297625082566E-2</v>
      </c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E107" s="6"/>
      <c r="AI107" s="3">
        <f>AI81/AI59</f>
        <v>4.473696618128039E-2</v>
      </c>
      <c r="AJ107" s="3">
        <f>AJ81/AJ59</f>
        <v>2.6551494483434367E-2</v>
      </c>
      <c r="AK107" s="3">
        <f>AK81/AK59</f>
        <v>4.2775992461749582E-2</v>
      </c>
      <c r="AL107" s="6"/>
      <c r="AM107" s="3">
        <f>AM81/AM59</f>
        <v>3.4115652932937272E-2</v>
      </c>
      <c r="AN107" s="6"/>
      <c r="AO107" s="6"/>
      <c r="AP107" s="6"/>
      <c r="AQ107" s="3">
        <f>AQ81/AQ59</f>
        <v>3.5706115969587178E-2</v>
      </c>
      <c r="AS107" s="6"/>
      <c r="AT107" s="6"/>
      <c r="AU107" s="3">
        <f>AU81/AU59</f>
        <v>5.0925905821380624E-2</v>
      </c>
      <c r="AV107" s="6"/>
      <c r="AW107" s="3">
        <f>AW81/AW59</f>
        <v>3.7871734797083369E-2</v>
      </c>
      <c r="AX107" s="6"/>
      <c r="AY107" s="6"/>
      <c r="BA107" s="6"/>
      <c r="BB107" s="6"/>
      <c r="BD107" s="3">
        <f>BD81/BD59</f>
        <v>2.9835857210818606E-2</v>
      </c>
      <c r="BE107" s="3">
        <f>BE81/BE59</f>
        <v>2.3715409381911492E-2</v>
      </c>
      <c r="BF107" s="6"/>
      <c r="BG107" s="6"/>
      <c r="BH107" s="3">
        <f t="shared" ref="BH107:BM107" si="318">BH81/BH59</f>
        <v>1.0476190476190477E-2</v>
      </c>
      <c r="BI107" s="3">
        <f t="shared" si="318"/>
        <v>3.5652852295893961E-2</v>
      </c>
      <c r="BJ107" s="3">
        <f t="shared" si="318"/>
        <v>3.9923318370764342E-2</v>
      </c>
      <c r="BK107" s="3">
        <f t="shared" si="318"/>
        <v>4.0657449888096601E-2</v>
      </c>
      <c r="BL107" s="3">
        <f t="shared" si="318"/>
        <v>3.6183421651915335E-2</v>
      </c>
      <c r="BM107" s="3">
        <f t="shared" si="318"/>
        <v>4.4098621793643974E-2</v>
      </c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3"/>
      <c r="BY107" s="3"/>
      <c r="BZ107" s="3">
        <f>BZ81/BZ59</f>
        <v>3.5077922616071115E-2</v>
      </c>
      <c r="CA107" s="3">
        <f>CA81/CA59</f>
        <v>4.3551322682103162E-2</v>
      </c>
      <c r="CB107" s="3">
        <f>CB81/CB59</f>
        <v>6.0780346386636534E-2</v>
      </c>
      <c r="CC107" s="6"/>
      <c r="CD107" s="6"/>
      <c r="CE107" s="6"/>
      <c r="CF107" s="6"/>
      <c r="CG107" s="6"/>
      <c r="CH107" s="6"/>
      <c r="CI107" s="6"/>
      <c r="CJ107" s="3">
        <f>CJ81/CJ59</f>
        <v>3.7040071135986861E-2</v>
      </c>
      <c r="CK107" s="3">
        <f>CK81/CK59</f>
        <v>4.2866507362923023E-2</v>
      </c>
      <c r="CL107" s="6"/>
      <c r="CM107" s="6"/>
      <c r="CN107" s="6"/>
      <c r="CO107" s="6"/>
      <c r="CS107" s="3">
        <f>CS81/CS59</f>
        <v>3.160969860056094E-2</v>
      </c>
      <c r="CT107" s="3">
        <f>CT81/CT59</f>
        <v>4.2213749221923974E-2</v>
      </c>
      <c r="CU107" s="3">
        <f>CU81/CU59</f>
        <v>3.2945899870036294E-2</v>
      </c>
      <c r="CV107" s="6"/>
      <c r="CW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Q107" s="6"/>
      <c r="ER107" s="6"/>
      <c r="ES107" s="6"/>
      <c r="ET107" s="3"/>
      <c r="EU107" s="6"/>
      <c r="EV107" s="3"/>
      <c r="EW107" s="3"/>
      <c r="EX107" s="6"/>
      <c r="EY107" s="6"/>
      <c r="FH107" s="3">
        <f>FH81/FH59</f>
        <v>4.8344730886121311E-2</v>
      </c>
      <c r="FI107" s="3"/>
      <c r="FJ107" s="3">
        <f>FJ81/FJ59</f>
        <v>4.8344730886121318E-2</v>
      </c>
    </row>
    <row r="108" spans="1:166" ht="11.1" customHeight="1" x14ac:dyDescent="0.2">
      <c r="A108" s="1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15"/>
      <c r="Q108" s="3"/>
      <c r="R108" s="3"/>
      <c r="S108" s="15"/>
      <c r="T108" s="15"/>
      <c r="U108" s="15"/>
      <c r="W108" s="15"/>
      <c r="X108" s="15"/>
      <c r="Y108" s="15"/>
      <c r="Z108" s="15"/>
      <c r="AA108" s="15"/>
      <c r="AB108" s="15"/>
      <c r="AC108" s="15"/>
      <c r="AE108" s="3"/>
      <c r="AI108" s="3"/>
      <c r="AJ108" s="3"/>
      <c r="AK108" s="3"/>
      <c r="AM108" s="3"/>
      <c r="AN108" s="15"/>
      <c r="AO108" s="15"/>
      <c r="AP108" s="15"/>
      <c r="AQ108" s="13"/>
      <c r="AS108" s="15"/>
      <c r="AT108" s="3"/>
      <c r="AU108" s="3"/>
      <c r="AV108" s="15"/>
      <c r="AY108" s="15"/>
      <c r="BA108" s="15"/>
      <c r="BB108" s="15"/>
      <c r="BE108" s="13"/>
      <c r="BF108" s="3"/>
      <c r="BG108" s="3"/>
      <c r="BH108" s="13"/>
      <c r="BI108" s="13"/>
      <c r="BJ108" s="13"/>
      <c r="BK108" s="13"/>
      <c r="BL108" s="13"/>
      <c r="BM108" s="13"/>
      <c r="BN108" s="15"/>
      <c r="BO108" s="15"/>
      <c r="BP108" s="15"/>
      <c r="BQ108" s="15"/>
      <c r="BR108" s="15"/>
      <c r="BS108" s="15"/>
      <c r="BT108" s="15"/>
      <c r="BU108" s="15"/>
      <c r="BV108" s="15"/>
      <c r="BW108" s="3"/>
      <c r="BX108" s="3"/>
      <c r="BY108" s="3"/>
      <c r="BZ108" s="3"/>
      <c r="CA108" s="13"/>
      <c r="CB108" s="3"/>
      <c r="CC108" s="15"/>
      <c r="CD108" s="3"/>
      <c r="CE108" s="3"/>
      <c r="CF108" s="3"/>
      <c r="CG108" s="3"/>
      <c r="CH108" s="3"/>
      <c r="CI108" s="3"/>
      <c r="CJ108" s="13"/>
      <c r="CK108" s="3"/>
      <c r="CL108" s="3"/>
      <c r="CM108" s="3"/>
      <c r="CN108" s="3"/>
      <c r="CO108" s="3"/>
      <c r="CS108" s="3"/>
      <c r="CT108" s="3"/>
      <c r="CU108" s="3"/>
      <c r="CV108" s="3"/>
      <c r="CW108" s="3"/>
      <c r="DV108" s="3"/>
      <c r="DW108" s="1"/>
      <c r="DX108" s="1"/>
      <c r="DY108" s="1"/>
      <c r="DZ108" s="1"/>
      <c r="EA108" s="1"/>
      <c r="EB108" s="1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Q108" s="3"/>
      <c r="ER108" s="3"/>
      <c r="ES108" s="3"/>
      <c r="ET108" s="1"/>
      <c r="EU108" s="1"/>
      <c r="EV108" s="1"/>
      <c r="EW108" s="3"/>
      <c r="EX108" s="3"/>
      <c r="EY108" s="3"/>
      <c r="FH108" s="3"/>
      <c r="FI108" s="3"/>
      <c r="FJ108" s="3"/>
    </row>
    <row r="109" spans="1:166" ht="11.25" customHeight="1" x14ac:dyDescent="0.25">
      <c r="A109" s="1" t="s">
        <v>512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W109" s="2"/>
      <c r="X109" s="2"/>
      <c r="Y109" s="2"/>
      <c r="Z109" s="2"/>
      <c r="AA109" s="2"/>
      <c r="AB109" s="2"/>
      <c r="AC109" s="2"/>
      <c r="AE109" s="2"/>
      <c r="AI109" s="2"/>
      <c r="AJ109" s="2"/>
      <c r="AK109" s="2"/>
      <c r="AM109" s="2"/>
      <c r="AN109" s="2"/>
      <c r="AO109" s="2"/>
      <c r="AP109" s="2"/>
      <c r="AQ109" s="44" t="s">
        <v>511</v>
      </c>
      <c r="AS109" s="2"/>
      <c r="AT109" s="2"/>
      <c r="AU109" s="2"/>
      <c r="AV109" s="2"/>
      <c r="AY109" s="2"/>
      <c r="BA109" s="2"/>
      <c r="BB109" s="2"/>
      <c r="BE109" s="44"/>
      <c r="BF109" s="2"/>
      <c r="BG109" s="2"/>
      <c r="BH109" s="44"/>
      <c r="BI109" s="44"/>
      <c r="BJ109" s="44"/>
      <c r="BK109" s="44"/>
      <c r="BL109" s="44"/>
      <c r="BM109" s="44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13"/>
      <c r="CB109" s="2"/>
      <c r="CC109" s="2"/>
      <c r="CD109" s="2"/>
      <c r="CE109" s="2"/>
      <c r="CF109" s="2"/>
      <c r="CG109" s="2"/>
      <c r="CH109" s="2"/>
      <c r="CI109" s="2"/>
      <c r="CJ109" s="44"/>
      <c r="CK109" s="2"/>
      <c r="CL109" s="2"/>
      <c r="CM109" s="2"/>
      <c r="CN109" s="2"/>
      <c r="CO109" s="2"/>
      <c r="CS109" s="2"/>
      <c r="CT109" s="2"/>
      <c r="CU109" s="2"/>
      <c r="CV109" s="2"/>
      <c r="CW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Q109" s="2"/>
      <c r="ER109" s="2"/>
      <c r="ES109" s="2"/>
      <c r="ET109" s="2"/>
      <c r="EU109" s="2"/>
      <c r="EV109" s="2"/>
      <c r="EW109" s="2"/>
      <c r="EX109" s="2"/>
      <c r="EY109" s="2"/>
      <c r="FH109" s="2"/>
      <c r="FI109" s="2"/>
      <c r="FJ109" s="2"/>
    </row>
    <row r="110" spans="1:166" ht="11.1" customHeight="1" x14ac:dyDescent="0.25">
      <c r="A110" s="1" t="s">
        <v>477</v>
      </c>
      <c r="B110" s="112">
        <v>29969</v>
      </c>
      <c r="C110" s="44">
        <v>34314</v>
      </c>
      <c r="D110" s="112">
        <v>29179</v>
      </c>
      <c r="E110" s="112"/>
      <c r="F110" s="112"/>
      <c r="G110" s="112"/>
      <c r="H110" s="112"/>
      <c r="I110" s="112"/>
      <c r="J110" s="112"/>
      <c r="K110" s="112">
        <v>37626</v>
      </c>
      <c r="L110" s="115">
        <v>32521</v>
      </c>
      <c r="M110" s="115">
        <v>31756</v>
      </c>
      <c r="N110" s="445">
        <v>39090</v>
      </c>
      <c r="O110" s="115"/>
      <c r="P110" s="42"/>
      <c r="Q110" s="44">
        <v>36171</v>
      </c>
      <c r="R110" s="42"/>
      <c r="S110" s="112">
        <v>29223</v>
      </c>
      <c r="T110" s="112"/>
      <c r="U110" s="112">
        <v>34678</v>
      </c>
      <c r="V110" s="43">
        <v>37248</v>
      </c>
      <c r="W110" s="43">
        <v>32131</v>
      </c>
      <c r="X110" s="43">
        <v>35413</v>
      </c>
      <c r="Y110" s="2"/>
      <c r="Z110" s="2"/>
      <c r="AA110" s="43">
        <v>32862</v>
      </c>
      <c r="AB110" s="2"/>
      <c r="AC110" s="2"/>
      <c r="AE110" s="42" t="s">
        <v>297</v>
      </c>
      <c r="AI110" s="44">
        <v>35512</v>
      </c>
      <c r="AJ110" s="44">
        <v>35864</v>
      </c>
      <c r="AK110" s="115"/>
      <c r="AL110" s="43">
        <v>37248</v>
      </c>
      <c r="AM110" s="112" t="s">
        <v>888</v>
      </c>
      <c r="AN110" s="2"/>
      <c r="AO110" s="2"/>
      <c r="AP110" s="2"/>
      <c r="AQ110" s="44">
        <v>36901</v>
      </c>
      <c r="AR110">
        <v>2004</v>
      </c>
      <c r="AS110" s="2"/>
      <c r="AT110" s="112"/>
      <c r="AU110" s="115"/>
      <c r="AV110" s="2"/>
      <c r="AX110" s="43">
        <v>37248</v>
      </c>
      <c r="AY110" s="2"/>
      <c r="AZ110">
        <v>2004</v>
      </c>
      <c r="BA110" s="112">
        <v>34680</v>
      </c>
      <c r="BB110" s="2"/>
      <c r="BC110">
        <v>2004</v>
      </c>
      <c r="BD110">
        <v>2004</v>
      </c>
      <c r="BE110" s="44"/>
      <c r="BF110" s="112"/>
      <c r="BG110" s="112"/>
      <c r="BH110" s="44"/>
      <c r="BI110" s="44"/>
      <c r="BJ110" s="44"/>
      <c r="BK110" s="44"/>
      <c r="BL110" s="44"/>
      <c r="BM110" s="44"/>
      <c r="BN110" s="2"/>
      <c r="BO110" s="2"/>
      <c r="BP110" s="2"/>
      <c r="BQ110" s="2"/>
      <c r="BR110" s="2"/>
      <c r="BS110" s="2"/>
      <c r="BT110" s="2"/>
      <c r="BU110" s="2"/>
      <c r="BV110" s="2"/>
      <c r="BW110" s="42"/>
      <c r="BX110" s="44"/>
      <c r="BY110" s="44"/>
      <c r="BZ110" s="112"/>
      <c r="CA110" s="44">
        <v>36591</v>
      </c>
      <c r="CB110" s="216"/>
      <c r="CC110" s="2"/>
      <c r="CD110" s="112">
        <v>37039</v>
      </c>
      <c r="CE110" s="112"/>
      <c r="CF110" s="112">
        <v>37572</v>
      </c>
      <c r="CG110" s="218"/>
      <c r="CH110" s="218"/>
      <c r="CI110" s="112">
        <v>38370</v>
      </c>
      <c r="CJ110" s="44"/>
      <c r="CK110" s="115"/>
      <c r="CL110" s="42"/>
      <c r="CM110" s="42"/>
      <c r="CN110" s="42"/>
      <c r="CO110" s="42"/>
      <c r="CS110" s="115"/>
      <c r="CT110" s="115"/>
      <c r="CU110" s="115"/>
      <c r="CV110" s="112">
        <v>37272</v>
      </c>
      <c r="CW110" s="112">
        <v>37272</v>
      </c>
      <c r="CX110">
        <v>2004</v>
      </c>
      <c r="CY110">
        <v>2004</v>
      </c>
      <c r="CZ110">
        <v>2004</v>
      </c>
      <c r="DA110">
        <v>2004</v>
      </c>
      <c r="DV110" s="112">
        <v>37039</v>
      </c>
      <c r="DW110" s="44">
        <v>37070</v>
      </c>
      <c r="DX110" s="44">
        <v>37071</v>
      </c>
      <c r="DY110" s="44">
        <v>36995</v>
      </c>
      <c r="DZ110" s="44">
        <v>37270</v>
      </c>
      <c r="EA110" s="44">
        <v>37271</v>
      </c>
      <c r="EB110" s="44">
        <v>36995</v>
      </c>
      <c r="EC110" s="112">
        <v>37114</v>
      </c>
      <c r="ED110" s="112">
        <v>37569</v>
      </c>
      <c r="EE110" s="218">
        <v>37571</v>
      </c>
      <c r="EF110" s="216" t="s">
        <v>885</v>
      </c>
      <c r="EG110" s="216">
        <v>37654</v>
      </c>
      <c r="EH110" s="216" t="s">
        <v>250</v>
      </c>
      <c r="EI110" s="112">
        <v>37936</v>
      </c>
      <c r="EJ110" s="112">
        <v>37895</v>
      </c>
      <c r="EK110" s="112"/>
      <c r="EL110" s="112">
        <v>36967</v>
      </c>
      <c r="EM110" s="218">
        <v>37721</v>
      </c>
      <c r="EQ110" s="112">
        <v>36590</v>
      </c>
      <c r="ER110" s="112">
        <v>36994</v>
      </c>
      <c r="ES110" s="112">
        <v>36994</v>
      </c>
      <c r="ET110" s="44">
        <v>36493</v>
      </c>
      <c r="EU110" s="44">
        <v>36995</v>
      </c>
      <c r="EV110" s="44">
        <v>37624</v>
      </c>
      <c r="EW110" s="216"/>
      <c r="EX110" s="112"/>
      <c r="EY110" s="112"/>
      <c r="FH110" s="112"/>
      <c r="FI110" s="44"/>
      <c r="FJ110" s="44"/>
    </row>
    <row r="111" spans="1:166" ht="11.1" customHeight="1" x14ac:dyDescent="0.25">
      <c r="A111" s="1" t="s">
        <v>477</v>
      </c>
      <c r="C111" s="4"/>
      <c r="L111" s="3"/>
      <c r="M111" s="7"/>
      <c r="N111" s="7"/>
      <c r="O111" s="7"/>
      <c r="Q111" s="4"/>
      <c r="S111" s="2"/>
      <c r="T111" s="2"/>
      <c r="AI111" s="44">
        <v>36294</v>
      </c>
      <c r="AJ111" s="4"/>
      <c r="AK111" s="7"/>
      <c r="AQ111" s="4"/>
      <c r="AU111" s="7"/>
      <c r="BE111" s="4"/>
      <c r="BH111" s="4"/>
      <c r="BI111" s="4"/>
      <c r="BJ111" s="4"/>
      <c r="BK111" s="4"/>
      <c r="BL111" s="4"/>
      <c r="BM111" s="4"/>
      <c r="BX111" s="4"/>
      <c r="BY111" s="4"/>
      <c r="CA111" s="4"/>
      <c r="CG111" s="112"/>
      <c r="CH111" s="112"/>
      <c r="CJ111" s="4"/>
      <c r="CK111" s="7"/>
      <c r="CS111" s="7"/>
      <c r="CT111" s="7"/>
      <c r="CU111" s="7"/>
      <c r="DV111" s="170">
        <v>37070</v>
      </c>
      <c r="DW111" s="15"/>
      <c r="DX111" s="15"/>
      <c r="DY111" s="15"/>
      <c r="DZ111" s="15"/>
      <c r="EA111" s="15"/>
      <c r="EB111" s="15"/>
      <c r="EE111" s="112">
        <v>37070</v>
      </c>
      <c r="EM111" s="112">
        <v>37898</v>
      </c>
      <c r="ET111" s="15"/>
      <c r="EU111" s="15"/>
      <c r="EV111" s="15"/>
      <c r="FI111" s="44"/>
      <c r="FJ111" s="44"/>
    </row>
    <row r="112" spans="1:166" ht="11.1" customHeight="1" x14ac:dyDescent="0.25">
      <c r="A112" s="1"/>
      <c r="C112" s="4"/>
      <c r="L112" s="3"/>
      <c r="M112" s="7"/>
      <c r="N112" s="7"/>
      <c r="O112" s="7"/>
      <c r="Q112" s="4"/>
      <c r="S112" s="2"/>
      <c r="T112" s="2"/>
      <c r="AI112" s="44"/>
      <c r="AJ112" s="4"/>
      <c r="AK112" s="7"/>
      <c r="AQ112" s="4"/>
      <c r="AU112" s="7"/>
      <c r="BE112" s="4"/>
      <c r="BH112" s="4"/>
      <c r="BI112" s="4"/>
      <c r="BJ112" s="4"/>
      <c r="BK112" s="4"/>
      <c r="BL112" s="4"/>
      <c r="BM112" s="4"/>
      <c r="BX112" s="4"/>
      <c r="BY112" s="4"/>
      <c r="CA112" s="4"/>
      <c r="CG112" s="112"/>
      <c r="CH112" s="112"/>
      <c r="CJ112" s="4"/>
      <c r="CK112" s="7"/>
      <c r="CS112" s="7"/>
      <c r="CT112" s="7"/>
      <c r="CU112" s="7"/>
      <c r="DV112" s="170"/>
      <c r="DW112" s="15"/>
      <c r="DX112" s="15"/>
      <c r="DY112" s="15"/>
      <c r="DZ112" s="15"/>
      <c r="EA112" s="15"/>
      <c r="EB112" s="15"/>
      <c r="EM112" s="112"/>
      <c r="ET112" s="15"/>
      <c r="EU112" s="15"/>
      <c r="EV112" s="15"/>
      <c r="FI112" s="44"/>
      <c r="FJ112" s="44"/>
    </row>
    <row r="113" spans="1:166" ht="11.1" customHeight="1" x14ac:dyDescent="0.2">
      <c r="A113" t="s">
        <v>92</v>
      </c>
      <c r="B113" s="30">
        <f>1.18*1.8895</f>
        <v>2.2296099999999996</v>
      </c>
      <c r="C113" s="434">
        <f t="shared" ref="C113:C118" si="319">$B113</f>
        <v>2.2296099999999996</v>
      </c>
      <c r="D113" s="434">
        <f t="shared" ref="D113:J118" si="320">$B113</f>
        <v>2.2296099999999996</v>
      </c>
      <c r="E113" s="434">
        <f t="shared" si="320"/>
        <v>2.2296099999999996</v>
      </c>
      <c r="F113" s="434">
        <f t="shared" si="320"/>
        <v>2.2296099999999996</v>
      </c>
      <c r="G113" s="434">
        <f t="shared" si="320"/>
        <v>2.2296099999999996</v>
      </c>
      <c r="H113" s="434">
        <f t="shared" si="320"/>
        <v>2.2296099999999996</v>
      </c>
      <c r="I113" s="434">
        <f t="shared" si="320"/>
        <v>2.2296099999999996</v>
      </c>
      <c r="J113" s="434">
        <f t="shared" si="320"/>
        <v>2.2296099999999996</v>
      </c>
      <c r="K113" s="434">
        <f t="shared" ref="K113:O118" si="321">$B113</f>
        <v>2.2296099999999996</v>
      </c>
      <c r="L113" s="434">
        <f t="shared" si="321"/>
        <v>2.2296099999999996</v>
      </c>
      <c r="M113" s="434">
        <f t="shared" si="321"/>
        <v>2.2296099999999996</v>
      </c>
      <c r="N113" s="434">
        <f t="shared" si="321"/>
        <v>2.2296099999999996</v>
      </c>
      <c r="O113" s="434">
        <f t="shared" si="321"/>
        <v>2.2296099999999996</v>
      </c>
      <c r="P113" s="434">
        <f t="shared" ref="P113:DA116" si="322">$B113</f>
        <v>2.2296099999999996</v>
      </c>
      <c r="Q113" s="434">
        <f t="shared" si="322"/>
        <v>2.2296099999999996</v>
      </c>
      <c r="R113" s="434">
        <f t="shared" si="322"/>
        <v>2.2296099999999996</v>
      </c>
      <c r="S113" s="434">
        <f t="shared" si="322"/>
        <v>2.2296099999999996</v>
      </c>
      <c r="T113" s="434">
        <f t="shared" si="322"/>
        <v>2.2296099999999996</v>
      </c>
      <c r="U113" s="434">
        <f t="shared" si="322"/>
        <v>2.2296099999999996</v>
      </c>
      <c r="V113" s="434">
        <f t="shared" si="322"/>
        <v>2.2296099999999996</v>
      </c>
      <c r="W113" s="434">
        <f t="shared" si="322"/>
        <v>2.2296099999999996</v>
      </c>
      <c r="X113" s="434">
        <f t="shared" si="322"/>
        <v>2.2296099999999996</v>
      </c>
      <c r="Y113" s="434">
        <f t="shared" si="322"/>
        <v>2.2296099999999996</v>
      </c>
      <c r="Z113" s="434">
        <f t="shared" ref="Z113:AC118" si="323">$B113</f>
        <v>2.2296099999999996</v>
      </c>
      <c r="AA113" s="434">
        <f t="shared" si="323"/>
        <v>2.2296099999999996</v>
      </c>
      <c r="AB113" s="434">
        <f t="shared" si="323"/>
        <v>2.2296099999999996</v>
      </c>
      <c r="AC113" s="434">
        <f t="shared" si="323"/>
        <v>2.2296099999999996</v>
      </c>
      <c r="AE113" s="434">
        <f t="shared" si="322"/>
        <v>2.2296099999999996</v>
      </c>
      <c r="AI113" s="434">
        <f t="shared" ref="AI113:AJ118" si="324">$B113</f>
        <v>2.2296099999999996</v>
      </c>
      <c r="AJ113" s="434">
        <f t="shared" si="324"/>
        <v>2.2296099999999996</v>
      </c>
      <c r="AK113" s="434">
        <f t="shared" si="322"/>
        <v>2.2296099999999996</v>
      </c>
      <c r="AL113" s="434">
        <f t="shared" si="322"/>
        <v>2.2296099999999996</v>
      </c>
      <c r="AM113" s="434">
        <f t="shared" si="322"/>
        <v>2.2296099999999996</v>
      </c>
      <c r="AN113" s="434">
        <f t="shared" ref="AN113:AP118" si="325">$B113</f>
        <v>2.2296099999999996</v>
      </c>
      <c r="AO113" s="434">
        <f t="shared" si="325"/>
        <v>2.2296099999999996</v>
      </c>
      <c r="AP113" s="434">
        <f t="shared" si="325"/>
        <v>2.2296099999999996</v>
      </c>
      <c r="AQ113" s="434">
        <f t="shared" ref="AQ113:AQ118" si="326">$B113</f>
        <v>2.2296099999999996</v>
      </c>
      <c r="AR113" s="434">
        <f t="shared" si="322"/>
        <v>2.2296099999999996</v>
      </c>
      <c r="AS113" s="434">
        <f t="shared" si="322"/>
        <v>2.2296099999999996</v>
      </c>
      <c r="AT113" s="434">
        <f t="shared" si="322"/>
        <v>2.2296099999999996</v>
      </c>
      <c r="AU113" s="434">
        <f t="shared" si="322"/>
        <v>2.2296099999999996</v>
      </c>
      <c r="AV113" s="434">
        <f t="shared" si="322"/>
        <v>2.2296099999999996</v>
      </c>
      <c r="AW113" s="434">
        <f t="shared" ref="AW113:AW118" si="327">$B113</f>
        <v>2.2296099999999996</v>
      </c>
      <c r="AX113" s="434">
        <f t="shared" si="322"/>
        <v>2.2296099999999996</v>
      </c>
      <c r="AY113" s="434">
        <f t="shared" ref="AY113:AY118" si="328">$B113</f>
        <v>2.2296099999999996</v>
      </c>
      <c r="AZ113" s="434">
        <f t="shared" si="322"/>
        <v>2.2296099999999996</v>
      </c>
      <c r="BA113" s="434">
        <f t="shared" si="322"/>
        <v>2.2296099999999996</v>
      </c>
      <c r="BB113" s="434">
        <f t="shared" si="322"/>
        <v>2.2296099999999996</v>
      </c>
      <c r="BC113" s="434">
        <f t="shared" si="322"/>
        <v>2.2296099999999996</v>
      </c>
      <c r="BD113" s="434">
        <f t="shared" si="322"/>
        <v>2.2296099999999996</v>
      </c>
      <c r="BE113" s="434">
        <f t="shared" si="322"/>
        <v>2.2296099999999996</v>
      </c>
      <c r="BF113" s="434">
        <f t="shared" si="322"/>
        <v>2.2296099999999996</v>
      </c>
      <c r="BG113" s="434">
        <f t="shared" si="322"/>
        <v>2.2296099999999996</v>
      </c>
      <c r="BH113" s="434">
        <f t="shared" si="322"/>
        <v>2.2296099999999996</v>
      </c>
      <c r="BI113" s="434">
        <f t="shared" si="322"/>
        <v>2.2296099999999996</v>
      </c>
      <c r="BJ113" s="434">
        <f t="shared" si="322"/>
        <v>2.2296099999999996</v>
      </c>
      <c r="BK113" s="434">
        <f t="shared" si="322"/>
        <v>2.2296099999999996</v>
      </c>
      <c r="BL113" s="434">
        <f t="shared" si="322"/>
        <v>2.2296099999999996</v>
      </c>
      <c r="BM113" s="434">
        <f t="shared" si="322"/>
        <v>2.2296099999999996</v>
      </c>
      <c r="BN113" s="434">
        <f t="shared" si="322"/>
        <v>2.2296099999999996</v>
      </c>
      <c r="BO113" s="434">
        <f t="shared" si="322"/>
        <v>2.2296099999999996</v>
      </c>
      <c r="BP113" s="434">
        <f t="shared" si="322"/>
        <v>2.2296099999999996</v>
      </c>
      <c r="BQ113" s="434">
        <f t="shared" si="322"/>
        <v>2.2296099999999996</v>
      </c>
      <c r="BR113" s="434">
        <f t="shared" si="322"/>
        <v>2.2296099999999996</v>
      </c>
      <c r="BS113" s="434">
        <f t="shared" si="322"/>
        <v>2.2296099999999996</v>
      </c>
      <c r="BT113" s="434">
        <f t="shared" si="322"/>
        <v>2.2296099999999996</v>
      </c>
      <c r="BU113" s="434">
        <f t="shared" si="322"/>
        <v>2.2296099999999996</v>
      </c>
      <c r="BV113" s="434">
        <f t="shared" ref="BV113:BV118" si="329">$B113</f>
        <v>2.2296099999999996</v>
      </c>
      <c r="BW113" s="434">
        <f t="shared" si="322"/>
        <v>2.2296099999999996</v>
      </c>
      <c r="BX113" s="30"/>
      <c r="BY113" s="30"/>
      <c r="BZ113" s="434">
        <f t="shared" ref="BZ113:CH118" si="330">$B113</f>
        <v>2.2296099999999996</v>
      </c>
      <c r="CA113" s="434">
        <f t="shared" si="330"/>
        <v>2.2296099999999996</v>
      </c>
      <c r="CB113" s="434">
        <f t="shared" si="330"/>
        <v>2.2296099999999996</v>
      </c>
      <c r="CC113" s="434">
        <f t="shared" si="330"/>
        <v>2.2296099999999996</v>
      </c>
      <c r="CD113" s="434">
        <f t="shared" si="330"/>
        <v>2.2296099999999996</v>
      </c>
      <c r="CE113" s="434">
        <f t="shared" si="330"/>
        <v>2.2296099999999996</v>
      </c>
      <c r="CF113" s="434">
        <f t="shared" si="330"/>
        <v>2.2296099999999996</v>
      </c>
      <c r="CG113" s="434">
        <f t="shared" si="330"/>
        <v>2.2296099999999996</v>
      </c>
      <c r="CH113" s="434">
        <f t="shared" si="330"/>
        <v>2.2296099999999996</v>
      </c>
      <c r="CI113" s="434">
        <f t="shared" si="322"/>
        <v>2.2296099999999996</v>
      </c>
      <c r="CJ113" s="434">
        <f t="shared" si="322"/>
        <v>2.2296099999999996</v>
      </c>
      <c r="CK113" s="434">
        <f t="shared" si="322"/>
        <v>2.2296099999999996</v>
      </c>
      <c r="CL113" s="434">
        <f t="shared" si="322"/>
        <v>2.2296099999999996</v>
      </c>
      <c r="CM113" s="434">
        <f t="shared" si="322"/>
        <v>2.2296099999999996</v>
      </c>
      <c r="CN113" s="434">
        <f t="shared" si="322"/>
        <v>2.2296099999999996</v>
      </c>
      <c r="CO113" s="434">
        <f t="shared" si="322"/>
        <v>2.2296099999999996</v>
      </c>
      <c r="CP113" s="434">
        <f t="shared" si="322"/>
        <v>2.2296099999999996</v>
      </c>
      <c r="CQ113" s="434">
        <f t="shared" si="322"/>
        <v>2.2296099999999996</v>
      </c>
      <c r="CR113" s="434">
        <f t="shared" si="322"/>
        <v>2.2296099999999996</v>
      </c>
      <c r="CS113" s="434">
        <f t="shared" si="322"/>
        <v>2.2296099999999996</v>
      </c>
      <c r="CT113" s="434">
        <f t="shared" si="322"/>
        <v>2.2296099999999996</v>
      </c>
      <c r="CU113" s="434">
        <f t="shared" si="322"/>
        <v>2.2296099999999996</v>
      </c>
      <c r="CV113" s="434">
        <f t="shared" si="322"/>
        <v>2.2296099999999996</v>
      </c>
      <c r="CW113" s="434">
        <f t="shared" si="322"/>
        <v>2.2296099999999996</v>
      </c>
      <c r="CX113" s="434">
        <f t="shared" si="322"/>
        <v>2.2296099999999996</v>
      </c>
      <c r="CY113" s="434">
        <f t="shared" ref="CY113:CZ118" si="331">$B113</f>
        <v>2.2296099999999996</v>
      </c>
      <c r="CZ113" s="434">
        <f t="shared" si="331"/>
        <v>2.2296099999999996</v>
      </c>
      <c r="DA113" s="434">
        <f t="shared" si="322"/>
        <v>2.2296099999999996</v>
      </c>
      <c r="DM113" s="30">
        <f t="shared" ref="DM113:DU113" si="332">0.868*1.8895</f>
        <v>1.6400859999999999</v>
      </c>
      <c r="DN113" s="30">
        <f t="shared" si="332"/>
        <v>1.6400859999999999</v>
      </c>
      <c r="DO113" s="30">
        <f t="shared" si="332"/>
        <v>1.6400859999999999</v>
      </c>
      <c r="DP113" s="30">
        <f t="shared" si="332"/>
        <v>1.6400859999999999</v>
      </c>
      <c r="DQ113" s="30">
        <f t="shared" si="332"/>
        <v>1.6400859999999999</v>
      </c>
      <c r="DR113" s="30">
        <f t="shared" si="332"/>
        <v>1.6400859999999999</v>
      </c>
      <c r="DS113" s="30">
        <f t="shared" si="332"/>
        <v>1.6400859999999999</v>
      </c>
      <c r="DT113" s="30">
        <f t="shared" si="332"/>
        <v>1.6400859999999999</v>
      </c>
      <c r="DU113" s="30">
        <f t="shared" si="332"/>
        <v>1.6400859999999999</v>
      </c>
      <c r="DV113" s="434">
        <f t="shared" ref="DV113:EE118" si="333">$B113</f>
        <v>2.2296099999999996</v>
      </c>
      <c r="DW113" s="434">
        <f t="shared" si="333"/>
        <v>2.2296099999999996</v>
      </c>
      <c r="DX113" s="434">
        <f t="shared" si="333"/>
        <v>2.2296099999999996</v>
      </c>
      <c r="DY113" s="434">
        <f t="shared" si="333"/>
        <v>2.2296099999999996</v>
      </c>
      <c r="DZ113" s="434">
        <f t="shared" si="333"/>
        <v>2.2296099999999996</v>
      </c>
      <c r="EA113" s="434">
        <f t="shared" si="333"/>
        <v>2.2296099999999996</v>
      </c>
      <c r="EB113" s="434">
        <f t="shared" si="333"/>
        <v>2.2296099999999996</v>
      </c>
      <c r="EC113" s="434">
        <f t="shared" si="333"/>
        <v>2.2296099999999996</v>
      </c>
      <c r="ED113" s="434">
        <f t="shared" si="333"/>
        <v>2.2296099999999996</v>
      </c>
      <c r="EE113" s="434">
        <f t="shared" si="333"/>
        <v>2.2296099999999996</v>
      </c>
      <c r="EF113" s="434">
        <f t="shared" ref="EF113:EM118" si="334">$B113</f>
        <v>2.2296099999999996</v>
      </c>
      <c r="EG113" s="434">
        <f t="shared" si="334"/>
        <v>2.2296099999999996</v>
      </c>
      <c r="EH113" s="434">
        <f t="shared" si="334"/>
        <v>2.2296099999999996</v>
      </c>
      <c r="EI113" s="434">
        <f t="shared" si="334"/>
        <v>2.2296099999999996</v>
      </c>
      <c r="EJ113" s="434">
        <f t="shared" si="334"/>
        <v>2.2296099999999996</v>
      </c>
      <c r="EK113" s="434"/>
      <c r="EL113" s="434">
        <f t="shared" si="334"/>
        <v>2.2296099999999996</v>
      </c>
      <c r="EM113" s="434">
        <f t="shared" si="334"/>
        <v>2.2296099999999996</v>
      </c>
      <c r="EN113" s="30"/>
      <c r="EO113" s="30"/>
      <c r="EP113" s="30"/>
      <c r="EQ113" s="434">
        <f t="shared" ref="EQ113:EW118" si="335">$B113</f>
        <v>2.2296099999999996</v>
      </c>
      <c r="ER113" s="434">
        <f t="shared" si="335"/>
        <v>2.2296099999999996</v>
      </c>
      <c r="ES113" s="434">
        <f t="shared" si="335"/>
        <v>2.2296099999999996</v>
      </c>
      <c r="ET113" s="434">
        <f t="shared" si="335"/>
        <v>2.2296099999999996</v>
      </c>
      <c r="EU113" s="434">
        <f t="shared" si="335"/>
        <v>2.2296099999999996</v>
      </c>
      <c r="EV113" s="434">
        <f t="shared" si="335"/>
        <v>2.2296099999999996</v>
      </c>
      <c r="EW113" s="434">
        <f t="shared" si="335"/>
        <v>2.2296099999999996</v>
      </c>
      <c r="EX113" s="434"/>
      <c r="EY113" s="434"/>
      <c r="EZ113" s="30"/>
      <c r="FH113" s="434">
        <f t="shared" ref="FH113:FJ118" si="336">$B113</f>
        <v>2.2296099999999996</v>
      </c>
      <c r="FI113" s="434">
        <f t="shared" si="336"/>
        <v>2.2296099999999996</v>
      </c>
      <c r="FJ113" s="434">
        <f t="shared" si="336"/>
        <v>2.2296099999999996</v>
      </c>
    </row>
    <row r="114" spans="1:166" ht="11.1" customHeight="1" x14ac:dyDescent="0.2">
      <c r="A114" t="s">
        <v>93</v>
      </c>
      <c r="B114" s="30">
        <f>21*1.2865</f>
        <v>27.016500000000001</v>
      </c>
      <c r="C114" s="434">
        <f t="shared" si="319"/>
        <v>27.016500000000001</v>
      </c>
      <c r="D114" s="434">
        <f t="shared" si="320"/>
        <v>27.016500000000001</v>
      </c>
      <c r="E114" s="434">
        <f t="shared" si="320"/>
        <v>27.016500000000001</v>
      </c>
      <c r="F114" s="434">
        <f t="shared" si="320"/>
        <v>27.016500000000001</v>
      </c>
      <c r="G114" s="434">
        <f t="shared" si="320"/>
        <v>27.016500000000001</v>
      </c>
      <c r="H114" s="434">
        <f t="shared" si="320"/>
        <v>27.016500000000001</v>
      </c>
      <c r="I114" s="434">
        <f t="shared" si="320"/>
        <v>27.016500000000001</v>
      </c>
      <c r="J114" s="434">
        <f t="shared" si="320"/>
        <v>27.016500000000001</v>
      </c>
      <c r="K114" s="434">
        <f t="shared" si="321"/>
        <v>27.016500000000001</v>
      </c>
      <c r="L114" s="434">
        <f t="shared" si="321"/>
        <v>27.016500000000001</v>
      </c>
      <c r="M114" s="434">
        <f t="shared" si="321"/>
        <v>27.016500000000001</v>
      </c>
      <c r="N114" s="434">
        <f t="shared" si="321"/>
        <v>27.016500000000001</v>
      </c>
      <c r="O114" s="434">
        <f t="shared" si="321"/>
        <v>27.016500000000001</v>
      </c>
      <c r="P114" s="434">
        <f t="shared" si="322"/>
        <v>27.016500000000001</v>
      </c>
      <c r="Q114" s="434">
        <f t="shared" si="322"/>
        <v>27.016500000000001</v>
      </c>
      <c r="R114" s="434">
        <f t="shared" si="322"/>
        <v>27.016500000000001</v>
      </c>
      <c r="S114" s="434">
        <f t="shared" si="322"/>
        <v>27.016500000000001</v>
      </c>
      <c r="T114" s="434">
        <f t="shared" si="322"/>
        <v>27.016500000000001</v>
      </c>
      <c r="U114" s="434">
        <f t="shared" si="322"/>
        <v>27.016500000000001</v>
      </c>
      <c r="V114" s="434">
        <f t="shared" si="322"/>
        <v>27.016500000000001</v>
      </c>
      <c r="W114" s="434">
        <f t="shared" si="322"/>
        <v>27.016500000000001</v>
      </c>
      <c r="X114" s="434">
        <f t="shared" si="322"/>
        <v>27.016500000000001</v>
      </c>
      <c r="Y114" s="434">
        <f t="shared" si="322"/>
        <v>27.016500000000001</v>
      </c>
      <c r="Z114" s="434">
        <f t="shared" si="323"/>
        <v>27.016500000000001</v>
      </c>
      <c r="AA114" s="434">
        <f t="shared" si="323"/>
        <v>27.016500000000001</v>
      </c>
      <c r="AB114" s="434">
        <f t="shared" si="323"/>
        <v>27.016500000000001</v>
      </c>
      <c r="AC114" s="434">
        <f t="shared" si="323"/>
        <v>27.016500000000001</v>
      </c>
      <c r="AE114" s="434">
        <f t="shared" si="322"/>
        <v>27.016500000000001</v>
      </c>
      <c r="AI114" s="434">
        <f t="shared" si="324"/>
        <v>27.016500000000001</v>
      </c>
      <c r="AJ114" s="434">
        <f t="shared" si="324"/>
        <v>27.016500000000001</v>
      </c>
      <c r="AK114" s="434">
        <f t="shared" si="322"/>
        <v>27.016500000000001</v>
      </c>
      <c r="AL114" s="434">
        <f t="shared" si="322"/>
        <v>27.016500000000001</v>
      </c>
      <c r="AM114" s="434">
        <f t="shared" si="322"/>
        <v>27.016500000000001</v>
      </c>
      <c r="AN114" s="434">
        <f t="shared" si="325"/>
        <v>27.016500000000001</v>
      </c>
      <c r="AO114" s="434">
        <f t="shared" si="325"/>
        <v>27.016500000000001</v>
      </c>
      <c r="AP114" s="434">
        <f t="shared" si="325"/>
        <v>27.016500000000001</v>
      </c>
      <c r="AQ114" s="434">
        <f t="shared" si="326"/>
        <v>27.016500000000001</v>
      </c>
      <c r="AR114" s="434">
        <f t="shared" si="322"/>
        <v>27.016500000000001</v>
      </c>
      <c r="AS114" s="434">
        <f t="shared" si="322"/>
        <v>27.016500000000001</v>
      </c>
      <c r="AT114" s="434">
        <f t="shared" si="322"/>
        <v>27.016500000000001</v>
      </c>
      <c r="AU114" s="434">
        <f t="shared" si="322"/>
        <v>27.016500000000001</v>
      </c>
      <c r="AV114" s="434">
        <f t="shared" si="322"/>
        <v>27.016500000000001</v>
      </c>
      <c r="AW114" s="434">
        <f t="shared" si="327"/>
        <v>27.016500000000001</v>
      </c>
      <c r="AX114" s="434">
        <f t="shared" si="322"/>
        <v>27.016500000000001</v>
      </c>
      <c r="AY114" s="434">
        <f t="shared" si="328"/>
        <v>27.016500000000001</v>
      </c>
      <c r="AZ114" s="434">
        <f t="shared" si="322"/>
        <v>27.016500000000001</v>
      </c>
      <c r="BA114" s="434">
        <f t="shared" si="322"/>
        <v>27.016500000000001</v>
      </c>
      <c r="BB114" s="434">
        <f t="shared" si="322"/>
        <v>27.016500000000001</v>
      </c>
      <c r="BC114" s="434">
        <f t="shared" si="322"/>
        <v>27.016500000000001</v>
      </c>
      <c r="BD114" s="434">
        <f t="shared" si="322"/>
        <v>27.016500000000001</v>
      </c>
      <c r="BE114" s="434">
        <f t="shared" si="322"/>
        <v>27.016500000000001</v>
      </c>
      <c r="BF114" s="434">
        <f t="shared" si="322"/>
        <v>27.016500000000001</v>
      </c>
      <c r="BG114" s="434">
        <f t="shared" si="322"/>
        <v>27.016500000000001</v>
      </c>
      <c r="BH114" s="434">
        <f t="shared" si="322"/>
        <v>27.016500000000001</v>
      </c>
      <c r="BI114" s="434">
        <f t="shared" si="322"/>
        <v>27.016500000000001</v>
      </c>
      <c r="BJ114" s="434">
        <f t="shared" si="322"/>
        <v>27.016500000000001</v>
      </c>
      <c r="BK114" s="434">
        <f t="shared" si="322"/>
        <v>27.016500000000001</v>
      </c>
      <c r="BL114" s="434">
        <f t="shared" si="322"/>
        <v>27.016500000000001</v>
      </c>
      <c r="BM114" s="434">
        <f t="shared" si="322"/>
        <v>27.016500000000001</v>
      </c>
      <c r="BN114" s="434">
        <f t="shared" si="322"/>
        <v>27.016500000000001</v>
      </c>
      <c r="BO114" s="434">
        <f t="shared" si="322"/>
        <v>27.016500000000001</v>
      </c>
      <c r="BP114" s="434">
        <f t="shared" si="322"/>
        <v>27.016500000000001</v>
      </c>
      <c r="BQ114" s="434">
        <f t="shared" si="322"/>
        <v>27.016500000000001</v>
      </c>
      <c r="BR114" s="434">
        <f t="shared" si="322"/>
        <v>27.016500000000001</v>
      </c>
      <c r="BS114" s="434">
        <f t="shared" si="322"/>
        <v>27.016500000000001</v>
      </c>
      <c r="BT114" s="434">
        <f t="shared" si="322"/>
        <v>27.016500000000001</v>
      </c>
      <c r="BU114" s="434">
        <f t="shared" si="322"/>
        <v>27.016500000000001</v>
      </c>
      <c r="BV114" s="434">
        <f t="shared" si="329"/>
        <v>27.016500000000001</v>
      </c>
      <c r="BW114" s="434">
        <f t="shared" si="322"/>
        <v>27.016500000000001</v>
      </c>
      <c r="BX114" s="30"/>
      <c r="BY114" s="30"/>
      <c r="BZ114" s="434">
        <f t="shared" si="330"/>
        <v>27.016500000000001</v>
      </c>
      <c r="CA114" s="434">
        <f t="shared" si="330"/>
        <v>27.016500000000001</v>
      </c>
      <c r="CB114" s="434">
        <f t="shared" si="330"/>
        <v>27.016500000000001</v>
      </c>
      <c r="CC114" s="434">
        <f t="shared" si="330"/>
        <v>27.016500000000001</v>
      </c>
      <c r="CD114" s="434">
        <f t="shared" si="330"/>
        <v>27.016500000000001</v>
      </c>
      <c r="CE114" s="434">
        <f t="shared" si="330"/>
        <v>27.016500000000001</v>
      </c>
      <c r="CF114" s="434">
        <f t="shared" si="330"/>
        <v>27.016500000000001</v>
      </c>
      <c r="CG114" s="434">
        <f t="shared" si="330"/>
        <v>27.016500000000001</v>
      </c>
      <c r="CH114" s="434">
        <f t="shared" si="330"/>
        <v>27.016500000000001</v>
      </c>
      <c r="CI114" s="434">
        <f t="shared" si="322"/>
        <v>27.016500000000001</v>
      </c>
      <c r="CJ114" s="434">
        <f t="shared" si="322"/>
        <v>27.016500000000001</v>
      </c>
      <c r="CK114" s="434">
        <f t="shared" si="322"/>
        <v>27.016500000000001</v>
      </c>
      <c r="CL114" s="434">
        <f t="shared" si="322"/>
        <v>27.016500000000001</v>
      </c>
      <c r="CM114" s="434">
        <f t="shared" si="322"/>
        <v>27.016500000000001</v>
      </c>
      <c r="CN114" s="434">
        <f t="shared" si="322"/>
        <v>27.016500000000001</v>
      </c>
      <c r="CO114" s="434">
        <f t="shared" si="322"/>
        <v>27.016500000000001</v>
      </c>
      <c r="CP114" s="434">
        <f t="shared" si="322"/>
        <v>27.016500000000001</v>
      </c>
      <c r="CQ114" s="434">
        <f t="shared" si="322"/>
        <v>27.016500000000001</v>
      </c>
      <c r="CR114" s="434">
        <f t="shared" si="322"/>
        <v>27.016500000000001</v>
      </c>
      <c r="CS114" s="434">
        <f t="shared" si="322"/>
        <v>27.016500000000001</v>
      </c>
      <c r="CT114" s="434">
        <f t="shared" si="322"/>
        <v>27.016500000000001</v>
      </c>
      <c r="CU114" s="434">
        <f t="shared" si="322"/>
        <v>27.016500000000001</v>
      </c>
      <c r="CV114" s="434">
        <f t="shared" si="322"/>
        <v>27.016500000000001</v>
      </c>
      <c r="CW114" s="434">
        <f t="shared" si="322"/>
        <v>27.016500000000001</v>
      </c>
      <c r="CX114" s="434">
        <f t="shared" si="322"/>
        <v>27.016500000000001</v>
      </c>
      <c r="CY114" s="434">
        <f t="shared" si="331"/>
        <v>27.016500000000001</v>
      </c>
      <c r="CZ114" s="434">
        <f t="shared" si="331"/>
        <v>27.016500000000001</v>
      </c>
      <c r="DA114" s="434">
        <f t="shared" si="322"/>
        <v>27.016500000000001</v>
      </c>
      <c r="DM114" s="30">
        <f t="shared" ref="DM114:DU114" si="337">19.04*1.2865</f>
        <v>24.494959999999999</v>
      </c>
      <c r="DN114" s="30">
        <f t="shared" si="337"/>
        <v>24.494959999999999</v>
      </c>
      <c r="DO114" s="30">
        <f t="shared" si="337"/>
        <v>24.494959999999999</v>
      </c>
      <c r="DP114" s="30">
        <f t="shared" si="337"/>
        <v>24.494959999999999</v>
      </c>
      <c r="DQ114" s="30">
        <f t="shared" si="337"/>
        <v>24.494959999999999</v>
      </c>
      <c r="DR114" s="30">
        <f t="shared" si="337"/>
        <v>24.494959999999999</v>
      </c>
      <c r="DS114" s="30">
        <f t="shared" si="337"/>
        <v>24.494959999999999</v>
      </c>
      <c r="DT114" s="30">
        <f t="shared" si="337"/>
        <v>24.494959999999999</v>
      </c>
      <c r="DU114" s="30">
        <f t="shared" si="337"/>
        <v>24.494959999999999</v>
      </c>
      <c r="DV114" s="434">
        <f t="shared" si="333"/>
        <v>27.016500000000001</v>
      </c>
      <c r="DW114" s="434">
        <f t="shared" si="333"/>
        <v>27.016500000000001</v>
      </c>
      <c r="DX114" s="434">
        <f t="shared" si="333"/>
        <v>27.016500000000001</v>
      </c>
      <c r="DY114" s="434">
        <f t="shared" si="333"/>
        <v>27.016500000000001</v>
      </c>
      <c r="DZ114" s="434">
        <f t="shared" si="333"/>
        <v>27.016500000000001</v>
      </c>
      <c r="EA114" s="434">
        <f t="shared" si="333"/>
        <v>27.016500000000001</v>
      </c>
      <c r="EB114" s="434">
        <f t="shared" si="333"/>
        <v>27.016500000000001</v>
      </c>
      <c r="EC114" s="434">
        <f t="shared" si="333"/>
        <v>27.016500000000001</v>
      </c>
      <c r="ED114" s="434">
        <f t="shared" si="333"/>
        <v>27.016500000000001</v>
      </c>
      <c r="EE114" s="434">
        <f t="shared" si="333"/>
        <v>27.016500000000001</v>
      </c>
      <c r="EF114" s="434">
        <f t="shared" si="334"/>
        <v>27.016500000000001</v>
      </c>
      <c r="EG114" s="434">
        <f t="shared" si="334"/>
        <v>27.016500000000001</v>
      </c>
      <c r="EH114" s="434">
        <f t="shared" si="334"/>
        <v>27.016500000000001</v>
      </c>
      <c r="EI114" s="434">
        <f t="shared" si="334"/>
        <v>27.016500000000001</v>
      </c>
      <c r="EJ114" s="434">
        <f t="shared" si="334"/>
        <v>27.016500000000001</v>
      </c>
      <c r="EK114" s="434"/>
      <c r="EL114" s="434">
        <f t="shared" si="334"/>
        <v>27.016500000000001</v>
      </c>
      <c r="EM114" s="434">
        <f t="shared" si="334"/>
        <v>27.016500000000001</v>
      </c>
      <c r="EN114" s="30"/>
      <c r="EO114" s="30"/>
      <c r="EP114" s="30"/>
      <c r="EQ114" s="434">
        <f t="shared" si="335"/>
        <v>27.016500000000001</v>
      </c>
      <c r="ER114" s="434">
        <f t="shared" si="335"/>
        <v>27.016500000000001</v>
      </c>
      <c r="ES114" s="434">
        <f t="shared" si="335"/>
        <v>27.016500000000001</v>
      </c>
      <c r="ET114" s="434">
        <f t="shared" si="335"/>
        <v>27.016500000000001</v>
      </c>
      <c r="EU114" s="434">
        <f t="shared" si="335"/>
        <v>27.016500000000001</v>
      </c>
      <c r="EV114" s="434">
        <f t="shared" si="335"/>
        <v>27.016500000000001</v>
      </c>
      <c r="EW114" s="434">
        <f t="shared" si="335"/>
        <v>27.016500000000001</v>
      </c>
      <c r="EX114" s="434"/>
      <c r="EY114" s="434"/>
      <c r="EZ114" s="30"/>
      <c r="FH114" s="434">
        <f t="shared" si="336"/>
        <v>27.016500000000001</v>
      </c>
      <c r="FI114" s="434">
        <f t="shared" si="336"/>
        <v>27.016500000000001</v>
      </c>
      <c r="FJ114" s="434">
        <f t="shared" si="336"/>
        <v>27.016500000000001</v>
      </c>
    </row>
    <row r="115" spans="1:166" ht="11.1" customHeight="1" x14ac:dyDescent="0.2">
      <c r="A115" t="s">
        <v>94</v>
      </c>
      <c r="B115" s="30">
        <f>11.7*1.6581</f>
        <v>19.399769999999997</v>
      </c>
      <c r="C115" s="434">
        <f t="shared" si="319"/>
        <v>19.399769999999997</v>
      </c>
      <c r="D115" s="434">
        <f t="shared" si="320"/>
        <v>19.399769999999997</v>
      </c>
      <c r="E115" s="434">
        <f t="shared" si="320"/>
        <v>19.399769999999997</v>
      </c>
      <c r="F115" s="434">
        <f t="shared" si="320"/>
        <v>19.399769999999997</v>
      </c>
      <c r="G115" s="434">
        <f t="shared" si="320"/>
        <v>19.399769999999997</v>
      </c>
      <c r="H115" s="434">
        <f t="shared" si="320"/>
        <v>19.399769999999997</v>
      </c>
      <c r="I115" s="434">
        <f t="shared" si="320"/>
        <v>19.399769999999997</v>
      </c>
      <c r="J115" s="434">
        <f t="shared" si="320"/>
        <v>19.399769999999997</v>
      </c>
      <c r="K115" s="434">
        <f t="shared" si="321"/>
        <v>19.399769999999997</v>
      </c>
      <c r="L115" s="434">
        <f t="shared" si="321"/>
        <v>19.399769999999997</v>
      </c>
      <c r="M115" s="434">
        <f t="shared" si="321"/>
        <v>19.399769999999997</v>
      </c>
      <c r="N115" s="434">
        <f t="shared" si="321"/>
        <v>19.399769999999997</v>
      </c>
      <c r="O115" s="434">
        <f t="shared" si="321"/>
        <v>19.399769999999997</v>
      </c>
      <c r="P115" s="434">
        <f t="shared" si="322"/>
        <v>19.399769999999997</v>
      </c>
      <c r="Q115" s="434">
        <f t="shared" si="322"/>
        <v>19.399769999999997</v>
      </c>
      <c r="R115" s="434">
        <f t="shared" si="322"/>
        <v>19.399769999999997</v>
      </c>
      <c r="S115" s="434">
        <f t="shared" si="322"/>
        <v>19.399769999999997</v>
      </c>
      <c r="T115" s="434">
        <f t="shared" si="322"/>
        <v>19.399769999999997</v>
      </c>
      <c r="U115" s="434">
        <f t="shared" si="322"/>
        <v>19.399769999999997</v>
      </c>
      <c r="V115" s="434">
        <f t="shared" si="322"/>
        <v>19.399769999999997</v>
      </c>
      <c r="W115" s="434">
        <f t="shared" si="322"/>
        <v>19.399769999999997</v>
      </c>
      <c r="X115" s="434">
        <f t="shared" si="322"/>
        <v>19.399769999999997</v>
      </c>
      <c r="Y115" s="434">
        <f t="shared" si="322"/>
        <v>19.399769999999997</v>
      </c>
      <c r="Z115" s="434">
        <f t="shared" si="323"/>
        <v>19.399769999999997</v>
      </c>
      <c r="AA115" s="434">
        <f t="shared" si="323"/>
        <v>19.399769999999997</v>
      </c>
      <c r="AB115" s="434">
        <f t="shared" si="323"/>
        <v>19.399769999999997</v>
      </c>
      <c r="AC115" s="434">
        <f t="shared" si="323"/>
        <v>19.399769999999997</v>
      </c>
      <c r="AE115" s="434">
        <f t="shared" si="322"/>
        <v>19.399769999999997</v>
      </c>
      <c r="AI115" s="434">
        <f t="shared" si="324"/>
        <v>19.399769999999997</v>
      </c>
      <c r="AJ115" s="434">
        <f t="shared" si="324"/>
        <v>19.399769999999997</v>
      </c>
      <c r="AK115" s="434">
        <f t="shared" si="322"/>
        <v>19.399769999999997</v>
      </c>
      <c r="AL115" s="434">
        <f t="shared" si="322"/>
        <v>19.399769999999997</v>
      </c>
      <c r="AM115" s="434">
        <f t="shared" si="322"/>
        <v>19.399769999999997</v>
      </c>
      <c r="AN115" s="434">
        <f t="shared" si="325"/>
        <v>19.399769999999997</v>
      </c>
      <c r="AO115" s="434">
        <f t="shared" si="325"/>
        <v>19.399769999999997</v>
      </c>
      <c r="AP115" s="434">
        <f t="shared" si="325"/>
        <v>19.399769999999997</v>
      </c>
      <c r="AQ115" s="434">
        <f t="shared" si="326"/>
        <v>19.399769999999997</v>
      </c>
      <c r="AR115" s="434">
        <f t="shared" si="322"/>
        <v>19.399769999999997</v>
      </c>
      <c r="AS115" s="434">
        <f t="shared" si="322"/>
        <v>19.399769999999997</v>
      </c>
      <c r="AT115" s="434">
        <f t="shared" si="322"/>
        <v>19.399769999999997</v>
      </c>
      <c r="AU115" s="434">
        <f t="shared" si="322"/>
        <v>19.399769999999997</v>
      </c>
      <c r="AV115" s="434">
        <f t="shared" si="322"/>
        <v>19.399769999999997</v>
      </c>
      <c r="AW115" s="434">
        <f t="shared" si="327"/>
        <v>19.399769999999997</v>
      </c>
      <c r="AX115" s="434">
        <f t="shared" si="322"/>
        <v>19.399769999999997</v>
      </c>
      <c r="AY115" s="434">
        <f t="shared" si="328"/>
        <v>19.399769999999997</v>
      </c>
      <c r="AZ115" s="434">
        <f t="shared" si="322"/>
        <v>19.399769999999997</v>
      </c>
      <c r="BA115" s="434">
        <f t="shared" si="322"/>
        <v>19.399769999999997</v>
      </c>
      <c r="BB115" s="434">
        <f t="shared" si="322"/>
        <v>19.399769999999997</v>
      </c>
      <c r="BC115" s="434">
        <f t="shared" si="322"/>
        <v>19.399769999999997</v>
      </c>
      <c r="BD115" s="434">
        <f t="shared" si="322"/>
        <v>19.399769999999997</v>
      </c>
      <c r="BE115" s="434">
        <f t="shared" si="322"/>
        <v>19.399769999999997</v>
      </c>
      <c r="BF115" s="434">
        <f t="shared" si="322"/>
        <v>19.399769999999997</v>
      </c>
      <c r="BG115" s="434">
        <f t="shared" si="322"/>
        <v>19.399769999999997</v>
      </c>
      <c r="BH115" s="434">
        <f t="shared" si="322"/>
        <v>19.399769999999997</v>
      </c>
      <c r="BI115" s="434">
        <f t="shared" si="322"/>
        <v>19.399769999999997</v>
      </c>
      <c r="BJ115" s="434">
        <f t="shared" si="322"/>
        <v>19.399769999999997</v>
      </c>
      <c r="BK115" s="434">
        <f t="shared" si="322"/>
        <v>19.399769999999997</v>
      </c>
      <c r="BL115" s="434">
        <f t="shared" si="322"/>
        <v>19.399769999999997</v>
      </c>
      <c r="BM115" s="434">
        <f t="shared" si="322"/>
        <v>19.399769999999997</v>
      </c>
      <c r="BN115" s="434">
        <f t="shared" si="322"/>
        <v>19.399769999999997</v>
      </c>
      <c r="BO115" s="434">
        <f t="shared" si="322"/>
        <v>19.399769999999997</v>
      </c>
      <c r="BP115" s="434">
        <f t="shared" si="322"/>
        <v>19.399769999999997</v>
      </c>
      <c r="BQ115" s="434">
        <f t="shared" si="322"/>
        <v>19.399769999999997</v>
      </c>
      <c r="BR115" s="434">
        <f t="shared" si="322"/>
        <v>19.399769999999997</v>
      </c>
      <c r="BS115" s="434">
        <f t="shared" si="322"/>
        <v>19.399769999999997</v>
      </c>
      <c r="BT115" s="434">
        <f t="shared" si="322"/>
        <v>19.399769999999997</v>
      </c>
      <c r="BU115" s="434">
        <f t="shared" si="322"/>
        <v>19.399769999999997</v>
      </c>
      <c r="BV115" s="434">
        <f t="shared" si="329"/>
        <v>19.399769999999997</v>
      </c>
      <c r="BW115" s="434">
        <f t="shared" si="322"/>
        <v>19.399769999999997</v>
      </c>
      <c r="BX115" s="30"/>
      <c r="BY115" s="30"/>
      <c r="BZ115" s="434">
        <f t="shared" si="330"/>
        <v>19.399769999999997</v>
      </c>
      <c r="CA115" s="434">
        <f t="shared" si="330"/>
        <v>19.399769999999997</v>
      </c>
      <c r="CB115" s="434">
        <f t="shared" si="330"/>
        <v>19.399769999999997</v>
      </c>
      <c r="CC115" s="434">
        <f t="shared" si="330"/>
        <v>19.399769999999997</v>
      </c>
      <c r="CD115" s="434">
        <f t="shared" si="330"/>
        <v>19.399769999999997</v>
      </c>
      <c r="CE115" s="434">
        <f t="shared" si="330"/>
        <v>19.399769999999997</v>
      </c>
      <c r="CF115" s="434">
        <f t="shared" si="330"/>
        <v>19.399769999999997</v>
      </c>
      <c r="CG115" s="434">
        <f t="shared" si="330"/>
        <v>19.399769999999997</v>
      </c>
      <c r="CH115" s="434">
        <f t="shared" si="330"/>
        <v>19.399769999999997</v>
      </c>
      <c r="CI115" s="434">
        <f t="shared" si="322"/>
        <v>19.399769999999997</v>
      </c>
      <c r="CJ115" s="434">
        <f t="shared" si="322"/>
        <v>19.399769999999997</v>
      </c>
      <c r="CK115" s="434">
        <f t="shared" si="322"/>
        <v>19.399769999999997</v>
      </c>
      <c r="CL115" s="434">
        <f t="shared" si="322"/>
        <v>19.399769999999997</v>
      </c>
      <c r="CM115" s="434">
        <f t="shared" si="322"/>
        <v>19.399769999999997</v>
      </c>
      <c r="CN115" s="434">
        <f t="shared" si="322"/>
        <v>19.399769999999997</v>
      </c>
      <c r="CO115" s="434">
        <f t="shared" si="322"/>
        <v>19.399769999999997</v>
      </c>
      <c r="CP115" s="434">
        <f t="shared" si="322"/>
        <v>19.399769999999997</v>
      </c>
      <c r="CQ115" s="434">
        <f t="shared" si="322"/>
        <v>19.399769999999997</v>
      </c>
      <c r="CR115" s="434">
        <f t="shared" si="322"/>
        <v>19.399769999999997</v>
      </c>
      <c r="CS115" s="434">
        <f t="shared" si="322"/>
        <v>19.399769999999997</v>
      </c>
      <c r="CT115" s="434">
        <f t="shared" si="322"/>
        <v>19.399769999999997</v>
      </c>
      <c r="CU115" s="434">
        <f t="shared" si="322"/>
        <v>19.399769999999997</v>
      </c>
      <c r="CV115" s="434">
        <f t="shared" si="322"/>
        <v>19.399769999999997</v>
      </c>
      <c r="CW115" s="434">
        <f t="shared" si="322"/>
        <v>19.399769999999997</v>
      </c>
      <c r="CX115" s="434">
        <f t="shared" si="322"/>
        <v>19.399769999999997</v>
      </c>
      <c r="CY115" s="434">
        <f t="shared" si="331"/>
        <v>19.399769999999997</v>
      </c>
      <c r="CZ115" s="434">
        <f t="shared" si="331"/>
        <v>19.399769999999997</v>
      </c>
      <c r="DA115" s="434">
        <f t="shared" si="322"/>
        <v>19.399769999999997</v>
      </c>
      <c r="DM115" s="30">
        <f t="shared" ref="DM115:DU115" si="338">9.89*1.6581</f>
        <v>16.398609</v>
      </c>
      <c r="DN115" s="30">
        <f t="shared" si="338"/>
        <v>16.398609</v>
      </c>
      <c r="DO115" s="30">
        <f t="shared" si="338"/>
        <v>16.398609</v>
      </c>
      <c r="DP115" s="30">
        <f t="shared" si="338"/>
        <v>16.398609</v>
      </c>
      <c r="DQ115" s="30">
        <f t="shared" si="338"/>
        <v>16.398609</v>
      </c>
      <c r="DR115" s="30">
        <f t="shared" si="338"/>
        <v>16.398609</v>
      </c>
      <c r="DS115" s="30">
        <f t="shared" si="338"/>
        <v>16.398609</v>
      </c>
      <c r="DT115" s="30">
        <f t="shared" si="338"/>
        <v>16.398609</v>
      </c>
      <c r="DU115" s="30">
        <f t="shared" si="338"/>
        <v>16.398609</v>
      </c>
      <c r="DV115" s="434">
        <f t="shared" si="333"/>
        <v>19.399769999999997</v>
      </c>
      <c r="DW115" s="434">
        <f t="shared" si="333"/>
        <v>19.399769999999997</v>
      </c>
      <c r="DX115" s="434">
        <f t="shared" si="333"/>
        <v>19.399769999999997</v>
      </c>
      <c r="DY115" s="434">
        <f t="shared" si="333"/>
        <v>19.399769999999997</v>
      </c>
      <c r="DZ115" s="434">
        <f t="shared" si="333"/>
        <v>19.399769999999997</v>
      </c>
      <c r="EA115" s="434">
        <f t="shared" si="333"/>
        <v>19.399769999999997</v>
      </c>
      <c r="EB115" s="434">
        <f t="shared" si="333"/>
        <v>19.399769999999997</v>
      </c>
      <c r="EC115" s="434">
        <f t="shared" si="333"/>
        <v>19.399769999999997</v>
      </c>
      <c r="ED115" s="434">
        <f t="shared" si="333"/>
        <v>19.399769999999997</v>
      </c>
      <c r="EE115" s="434">
        <f t="shared" si="333"/>
        <v>19.399769999999997</v>
      </c>
      <c r="EF115" s="434">
        <f t="shared" si="334"/>
        <v>19.399769999999997</v>
      </c>
      <c r="EG115" s="434">
        <f t="shared" si="334"/>
        <v>19.399769999999997</v>
      </c>
      <c r="EH115" s="434">
        <f t="shared" si="334"/>
        <v>19.399769999999997</v>
      </c>
      <c r="EI115" s="434">
        <f t="shared" si="334"/>
        <v>19.399769999999997</v>
      </c>
      <c r="EJ115" s="434">
        <f t="shared" si="334"/>
        <v>19.399769999999997</v>
      </c>
      <c r="EK115" s="434"/>
      <c r="EL115" s="434">
        <f t="shared" si="334"/>
        <v>19.399769999999997</v>
      </c>
      <c r="EM115" s="434">
        <f t="shared" si="334"/>
        <v>19.399769999999997</v>
      </c>
      <c r="EN115" s="30"/>
      <c r="EO115" s="30"/>
      <c r="EP115" s="30"/>
      <c r="EQ115" s="434">
        <f t="shared" si="335"/>
        <v>19.399769999999997</v>
      </c>
      <c r="ER115" s="434">
        <f t="shared" si="335"/>
        <v>19.399769999999997</v>
      </c>
      <c r="ES115" s="434">
        <f t="shared" si="335"/>
        <v>19.399769999999997</v>
      </c>
      <c r="ET115" s="434">
        <f t="shared" si="335"/>
        <v>19.399769999999997</v>
      </c>
      <c r="EU115" s="434">
        <f t="shared" si="335"/>
        <v>19.399769999999997</v>
      </c>
      <c r="EV115" s="434">
        <f t="shared" si="335"/>
        <v>19.399769999999997</v>
      </c>
      <c r="EW115" s="434">
        <f t="shared" si="335"/>
        <v>19.399769999999997</v>
      </c>
      <c r="EX115" s="434"/>
      <c r="EY115" s="434"/>
      <c r="EZ115" s="30"/>
      <c r="FH115" s="434">
        <f t="shared" si="336"/>
        <v>19.399769999999997</v>
      </c>
      <c r="FI115" s="434">
        <f t="shared" si="336"/>
        <v>19.399769999999997</v>
      </c>
      <c r="FJ115" s="434">
        <f t="shared" si="336"/>
        <v>19.399769999999997</v>
      </c>
    </row>
    <row r="116" spans="1:166" ht="11.1" customHeight="1" x14ac:dyDescent="0.2">
      <c r="A116" t="s">
        <v>95</v>
      </c>
      <c r="B116">
        <v>8.1999999999999993</v>
      </c>
      <c r="C116" s="434">
        <f t="shared" si="319"/>
        <v>8.1999999999999993</v>
      </c>
      <c r="D116" s="434">
        <f t="shared" si="320"/>
        <v>8.1999999999999993</v>
      </c>
      <c r="E116" s="434">
        <f t="shared" si="320"/>
        <v>8.1999999999999993</v>
      </c>
      <c r="F116" s="434">
        <f t="shared" si="320"/>
        <v>8.1999999999999993</v>
      </c>
      <c r="G116" s="434">
        <f t="shared" si="320"/>
        <v>8.1999999999999993</v>
      </c>
      <c r="H116" s="434">
        <f t="shared" si="320"/>
        <v>8.1999999999999993</v>
      </c>
      <c r="I116" s="434">
        <f t="shared" si="320"/>
        <v>8.1999999999999993</v>
      </c>
      <c r="J116" s="434">
        <f t="shared" si="320"/>
        <v>8.1999999999999993</v>
      </c>
      <c r="K116" s="434">
        <f t="shared" si="321"/>
        <v>8.1999999999999993</v>
      </c>
      <c r="L116" s="434">
        <f t="shared" si="321"/>
        <v>8.1999999999999993</v>
      </c>
      <c r="M116" s="434">
        <f t="shared" si="321"/>
        <v>8.1999999999999993</v>
      </c>
      <c r="N116" s="434">
        <f t="shared" si="321"/>
        <v>8.1999999999999993</v>
      </c>
      <c r="O116" s="434">
        <f t="shared" si="321"/>
        <v>8.1999999999999993</v>
      </c>
      <c r="P116" s="434">
        <f t="shared" si="322"/>
        <v>8.1999999999999993</v>
      </c>
      <c r="Q116" s="434">
        <f t="shared" si="322"/>
        <v>8.1999999999999993</v>
      </c>
      <c r="R116" s="434">
        <f t="shared" si="322"/>
        <v>8.1999999999999993</v>
      </c>
      <c r="S116" s="434">
        <f t="shared" si="322"/>
        <v>8.1999999999999993</v>
      </c>
      <c r="T116" s="434">
        <f t="shared" si="322"/>
        <v>8.1999999999999993</v>
      </c>
      <c r="U116" s="434">
        <f t="shared" si="322"/>
        <v>8.1999999999999993</v>
      </c>
      <c r="V116" s="434">
        <f t="shared" si="322"/>
        <v>8.1999999999999993</v>
      </c>
      <c r="W116" s="434">
        <f t="shared" si="322"/>
        <v>8.1999999999999993</v>
      </c>
      <c r="X116" s="434">
        <f t="shared" si="322"/>
        <v>8.1999999999999993</v>
      </c>
      <c r="Y116" s="434">
        <f t="shared" si="322"/>
        <v>8.1999999999999993</v>
      </c>
      <c r="Z116" s="434">
        <f t="shared" si="323"/>
        <v>8.1999999999999993</v>
      </c>
      <c r="AA116" s="434">
        <f t="shared" si="323"/>
        <v>8.1999999999999993</v>
      </c>
      <c r="AB116" s="434">
        <f t="shared" si="323"/>
        <v>8.1999999999999993</v>
      </c>
      <c r="AC116" s="434">
        <f t="shared" si="323"/>
        <v>8.1999999999999993</v>
      </c>
      <c r="AE116" s="434">
        <f t="shared" si="322"/>
        <v>8.1999999999999993</v>
      </c>
      <c r="AI116" s="434">
        <f t="shared" si="324"/>
        <v>8.1999999999999993</v>
      </c>
      <c r="AJ116" s="434">
        <f t="shared" si="324"/>
        <v>8.1999999999999993</v>
      </c>
      <c r="AK116" s="434">
        <f t="shared" si="322"/>
        <v>8.1999999999999993</v>
      </c>
      <c r="AL116" s="434">
        <f t="shared" si="322"/>
        <v>8.1999999999999993</v>
      </c>
      <c r="AM116" s="434">
        <f t="shared" si="322"/>
        <v>8.1999999999999993</v>
      </c>
      <c r="AN116" s="434">
        <f t="shared" si="325"/>
        <v>8.1999999999999993</v>
      </c>
      <c r="AO116" s="434">
        <f t="shared" si="325"/>
        <v>8.1999999999999993</v>
      </c>
      <c r="AP116" s="434">
        <f t="shared" si="325"/>
        <v>8.1999999999999993</v>
      </c>
      <c r="AQ116" s="434">
        <f t="shared" si="326"/>
        <v>8.1999999999999993</v>
      </c>
      <c r="AR116" s="434">
        <f t="shared" si="322"/>
        <v>8.1999999999999993</v>
      </c>
      <c r="AS116" s="434">
        <f t="shared" si="322"/>
        <v>8.1999999999999993</v>
      </c>
      <c r="AT116" s="434">
        <f t="shared" si="322"/>
        <v>8.1999999999999993</v>
      </c>
      <c r="AU116" s="434">
        <f t="shared" si="322"/>
        <v>8.1999999999999993</v>
      </c>
      <c r="AV116" s="434">
        <f t="shared" si="322"/>
        <v>8.1999999999999993</v>
      </c>
      <c r="AW116" s="434">
        <f t="shared" si="327"/>
        <v>8.1999999999999993</v>
      </c>
      <c r="AX116" s="434">
        <f t="shared" si="322"/>
        <v>8.1999999999999993</v>
      </c>
      <c r="AY116" s="434">
        <f t="shared" si="328"/>
        <v>8.1999999999999993</v>
      </c>
      <c r="AZ116" s="434">
        <f t="shared" si="322"/>
        <v>8.1999999999999993</v>
      </c>
      <c r="BA116" s="434">
        <f t="shared" si="322"/>
        <v>8.1999999999999993</v>
      </c>
      <c r="BB116" s="434">
        <f t="shared" si="322"/>
        <v>8.1999999999999993</v>
      </c>
      <c r="BC116" s="434">
        <f t="shared" si="322"/>
        <v>8.1999999999999993</v>
      </c>
      <c r="BD116" s="434">
        <f t="shared" si="322"/>
        <v>8.1999999999999993</v>
      </c>
      <c r="BE116" s="434">
        <f t="shared" si="322"/>
        <v>8.1999999999999993</v>
      </c>
      <c r="BF116" s="434">
        <f t="shared" si="322"/>
        <v>8.1999999999999993</v>
      </c>
      <c r="BG116" s="434">
        <f t="shared" si="322"/>
        <v>8.1999999999999993</v>
      </c>
      <c r="BH116" s="434">
        <f t="shared" si="322"/>
        <v>8.1999999999999993</v>
      </c>
      <c r="BI116" s="434">
        <f t="shared" si="322"/>
        <v>8.1999999999999993</v>
      </c>
      <c r="BJ116" s="434">
        <f t="shared" si="322"/>
        <v>8.1999999999999993</v>
      </c>
      <c r="BK116" s="434">
        <f t="shared" si="322"/>
        <v>8.1999999999999993</v>
      </c>
      <c r="BL116" s="434">
        <f t="shared" si="322"/>
        <v>8.1999999999999993</v>
      </c>
      <c r="BM116" s="434">
        <f t="shared" si="322"/>
        <v>8.1999999999999993</v>
      </c>
      <c r="BN116" s="434">
        <f t="shared" si="322"/>
        <v>8.1999999999999993</v>
      </c>
      <c r="BO116" s="434">
        <f t="shared" si="322"/>
        <v>8.1999999999999993</v>
      </c>
      <c r="BP116" s="434">
        <f t="shared" si="322"/>
        <v>8.1999999999999993</v>
      </c>
      <c r="BQ116" s="434">
        <f t="shared" si="322"/>
        <v>8.1999999999999993</v>
      </c>
      <c r="BR116" s="434">
        <f t="shared" si="322"/>
        <v>8.1999999999999993</v>
      </c>
      <c r="BS116" s="434">
        <f t="shared" si="322"/>
        <v>8.1999999999999993</v>
      </c>
      <c r="BT116" s="434">
        <f t="shared" si="322"/>
        <v>8.1999999999999993</v>
      </c>
      <c r="BU116" s="434">
        <f>$B116</f>
        <v>8.1999999999999993</v>
      </c>
      <c r="BV116" s="434">
        <f t="shared" si="329"/>
        <v>8.1999999999999993</v>
      </c>
      <c r="BW116" s="434">
        <f t="shared" si="322"/>
        <v>8.1999999999999993</v>
      </c>
      <c r="BX116" s="30"/>
      <c r="BY116" s="30"/>
      <c r="BZ116" s="434">
        <f t="shared" si="330"/>
        <v>8.1999999999999993</v>
      </c>
      <c r="CA116" s="434">
        <f t="shared" si="330"/>
        <v>8.1999999999999993</v>
      </c>
      <c r="CB116" s="434">
        <f t="shared" si="330"/>
        <v>8.1999999999999993</v>
      </c>
      <c r="CC116" s="434">
        <f t="shared" si="330"/>
        <v>8.1999999999999993</v>
      </c>
      <c r="CD116" s="434">
        <f t="shared" si="330"/>
        <v>8.1999999999999993</v>
      </c>
      <c r="CE116" s="434">
        <f t="shared" si="330"/>
        <v>8.1999999999999993</v>
      </c>
      <c r="CF116" s="434">
        <f t="shared" si="330"/>
        <v>8.1999999999999993</v>
      </c>
      <c r="CG116" s="434">
        <f t="shared" si="330"/>
        <v>8.1999999999999993</v>
      </c>
      <c r="CH116" s="434">
        <f t="shared" si="330"/>
        <v>8.1999999999999993</v>
      </c>
      <c r="CI116" s="434">
        <f t="shared" si="322"/>
        <v>8.1999999999999993</v>
      </c>
      <c r="CJ116" s="434">
        <f t="shared" si="322"/>
        <v>8.1999999999999993</v>
      </c>
      <c r="CK116" s="434">
        <f t="shared" si="322"/>
        <v>8.1999999999999993</v>
      </c>
      <c r="CL116" s="434">
        <f t="shared" si="322"/>
        <v>8.1999999999999993</v>
      </c>
      <c r="CM116" s="434">
        <f t="shared" si="322"/>
        <v>8.1999999999999993</v>
      </c>
      <c r="CN116" s="434">
        <f t="shared" si="322"/>
        <v>8.1999999999999993</v>
      </c>
      <c r="CO116" s="434">
        <f t="shared" si="322"/>
        <v>8.1999999999999993</v>
      </c>
      <c r="CP116" s="434">
        <f t="shared" si="322"/>
        <v>8.1999999999999993</v>
      </c>
      <c r="CQ116" s="434">
        <f t="shared" si="322"/>
        <v>8.1999999999999993</v>
      </c>
      <c r="CR116" s="434">
        <f t="shared" si="322"/>
        <v>8.1999999999999993</v>
      </c>
      <c r="CS116" s="434">
        <f t="shared" si="322"/>
        <v>8.1999999999999993</v>
      </c>
      <c r="CT116" s="434">
        <f t="shared" si="322"/>
        <v>8.1999999999999993</v>
      </c>
      <c r="CU116" s="434">
        <f t="shared" si="322"/>
        <v>8.1999999999999993</v>
      </c>
      <c r="CV116" s="434">
        <f t="shared" si="322"/>
        <v>8.1999999999999993</v>
      </c>
      <c r="CW116" s="434">
        <f t="shared" si="322"/>
        <v>8.1999999999999993</v>
      </c>
      <c r="CX116" s="434">
        <f t="shared" si="322"/>
        <v>8.1999999999999993</v>
      </c>
      <c r="CY116" s="434">
        <f t="shared" si="331"/>
        <v>8.1999999999999993</v>
      </c>
      <c r="CZ116" s="434">
        <f t="shared" si="331"/>
        <v>8.1999999999999993</v>
      </c>
      <c r="DA116" s="434">
        <f t="shared" si="322"/>
        <v>8.1999999999999993</v>
      </c>
      <c r="DM116">
        <v>5.82</v>
      </c>
      <c r="DN116">
        <v>5.82</v>
      </c>
      <c r="DO116">
        <v>5.82</v>
      </c>
      <c r="DP116">
        <v>5.82</v>
      </c>
      <c r="DQ116">
        <v>5.82</v>
      </c>
      <c r="DR116">
        <v>5.82</v>
      </c>
      <c r="DS116">
        <v>5.82</v>
      </c>
      <c r="DT116">
        <v>5.82</v>
      </c>
      <c r="DU116">
        <v>5.82</v>
      </c>
      <c r="DV116" s="434">
        <f t="shared" si="333"/>
        <v>8.1999999999999993</v>
      </c>
      <c r="DW116" s="434">
        <f t="shared" si="333"/>
        <v>8.1999999999999993</v>
      </c>
      <c r="DX116" s="434">
        <f t="shared" si="333"/>
        <v>8.1999999999999993</v>
      </c>
      <c r="DY116" s="434">
        <f t="shared" si="333"/>
        <v>8.1999999999999993</v>
      </c>
      <c r="DZ116" s="434">
        <f t="shared" si="333"/>
        <v>8.1999999999999993</v>
      </c>
      <c r="EA116" s="434">
        <f t="shared" si="333"/>
        <v>8.1999999999999993</v>
      </c>
      <c r="EB116" s="434">
        <f t="shared" si="333"/>
        <v>8.1999999999999993</v>
      </c>
      <c r="EC116" s="434">
        <f t="shared" si="333"/>
        <v>8.1999999999999993</v>
      </c>
      <c r="ED116" s="434">
        <f t="shared" si="333"/>
        <v>8.1999999999999993</v>
      </c>
      <c r="EE116" s="434">
        <f t="shared" si="333"/>
        <v>8.1999999999999993</v>
      </c>
      <c r="EF116" s="434">
        <f t="shared" si="334"/>
        <v>8.1999999999999993</v>
      </c>
      <c r="EG116" s="434">
        <f t="shared" si="334"/>
        <v>8.1999999999999993</v>
      </c>
      <c r="EH116" s="434">
        <f t="shared" si="334"/>
        <v>8.1999999999999993</v>
      </c>
      <c r="EI116" s="434">
        <f t="shared" si="334"/>
        <v>8.1999999999999993</v>
      </c>
      <c r="EJ116" s="434">
        <f t="shared" si="334"/>
        <v>8.1999999999999993</v>
      </c>
      <c r="EK116" s="434"/>
      <c r="EL116" s="434">
        <f t="shared" si="334"/>
        <v>8.1999999999999993</v>
      </c>
      <c r="EM116" s="434">
        <f t="shared" si="334"/>
        <v>8.1999999999999993</v>
      </c>
      <c r="EQ116" s="434">
        <f t="shared" si="335"/>
        <v>8.1999999999999993</v>
      </c>
      <c r="ER116" s="434">
        <f t="shared" si="335"/>
        <v>8.1999999999999993</v>
      </c>
      <c r="ES116" s="434">
        <f t="shared" si="335"/>
        <v>8.1999999999999993</v>
      </c>
      <c r="ET116" s="434">
        <f t="shared" si="335"/>
        <v>8.1999999999999993</v>
      </c>
      <c r="EU116" s="434">
        <f t="shared" si="335"/>
        <v>8.1999999999999993</v>
      </c>
      <c r="EV116" s="434">
        <f t="shared" si="335"/>
        <v>8.1999999999999993</v>
      </c>
      <c r="EW116" s="434">
        <f t="shared" si="335"/>
        <v>8.1999999999999993</v>
      </c>
      <c r="EX116" s="434"/>
      <c r="EY116" s="434"/>
      <c r="FH116" s="434">
        <f t="shared" si="336"/>
        <v>8.1999999999999993</v>
      </c>
      <c r="FI116" s="434">
        <f t="shared" si="336"/>
        <v>8.1999999999999993</v>
      </c>
      <c r="FJ116" s="434">
        <f t="shared" si="336"/>
        <v>8.1999999999999993</v>
      </c>
    </row>
    <row r="117" spans="1:166" ht="11.1" customHeight="1" x14ac:dyDescent="0.2">
      <c r="A117" t="s">
        <v>96</v>
      </c>
      <c r="B117">
        <v>3050</v>
      </c>
      <c r="C117" s="435">
        <f t="shared" si="319"/>
        <v>3050</v>
      </c>
      <c r="D117" s="435">
        <f t="shared" si="320"/>
        <v>3050</v>
      </c>
      <c r="E117" s="435">
        <f t="shared" si="320"/>
        <v>3050</v>
      </c>
      <c r="F117" s="435">
        <f t="shared" si="320"/>
        <v>3050</v>
      </c>
      <c r="G117" s="435">
        <f t="shared" si="320"/>
        <v>3050</v>
      </c>
      <c r="H117" s="435">
        <f t="shared" si="320"/>
        <v>3050</v>
      </c>
      <c r="I117" s="435">
        <f t="shared" si="320"/>
        <v>3050</v>
      </c>
      <c r="J117" s="435">
        <f t="shared" si="320"/>
        <v>3050</v>
      </c>
      <c r="K117" s="435">
        <f t="shared" si="321"/>
        <v>3050</v>
      </c>
      <c r="L117" s="435">
        <f t="shared" si="321"/>
        <v>3050</v>
      </c>
      <c r="M117" s="435">
        <f t="shared" si="321"/>
        <v>3050</v>
      </c>
      <c r="N117" s="435">
        <f t="shared" si="321"/>
        <v>3050</v>
      </c>
      <c r="O117" s="435">
        <f t="shared" si="321"/>
        <v>3050</v>
      </c>
      <c r="P117" s="435">
        <f t="shared" ref="P117:Y118" si="339">$B117</f>
        <v>3050</v>
      </c>
      <c r="Q117" s="435">
        <f t="shared" si="339"/>
        <v>3050</v>
      </c>
      <c r="R117" s="435">
        <f t="shared" si="339"/>
        <v>3050</v>
      </c>
      <c r="S117" s="435">
        <f t="shared" si="339"/>
        <v>3050</v>
      </c>
      <c r="T117" s="435">
        <f t="shared" si="339"/>
        <v>3050</v>
      </c>
      <c r="U117" s="435">
        <f t="shared" si="339"/>
        <v>3050</v>
      </c>
      <c r="V117" s="435">
        <f t="shared" si="339"/>
        <v>3050</v>
      </c>
      <c r="W117" s="435">
        <f t="shared" si="339"/>
        <v>3050</v>
      </c>
      <c r="X117" s="435">
        <f t="shared" si="339"/>
        <v>3050</v>
      </c>
      <c r="Y117" s="435">
        <f t="shared" si="339"/>
        <v>3050</v>
      </c>
      <c r="Z117" s="435">
        <f t="shared" si="323"/>
        <v>3050</v>
      </c>
      <c r="AA117" s="435">
        <f t="shared" si="323"/>
        <v>3050</v>
      </c>
      <c r="AB117" s="435">
        <f t="shared" si="323"/>
        <v>3050</v>
      </c>
      <c r="AC117" s="435">
        <f t="shared" si="323"/>
        <v>3050</v>
      </c>
      <c r="AE117" s="435">
        <f>$B117</f>
        <v>3050</v>
      </c>
      <c r="AI117" s="435">
        <f t="shared" si="324"/>
        <v>3050</v>
      </c>
      <c r="AJ117" s="435">
        <f t="shared" si="324"/>
        <v>3050</v>
      </c>
      <c r="AK117" s="435">
        <f t="shared" ref="AK117:AM118" si="340">$B117</f>
        <v>3050</v>
      </c>
      <c r="AL117" s="435">
        <f t="shared" si="340"/>
        <v>3050</v>
      </c>
      <c r="AM117" s="435">
        <f t="shared" si="340"/>
        <v>3050</v>
      </c>
      <c r="AN117" s="435">
        <f t="shared" si="325"/>
        <v>3050</v>
      </c>
      <c r="AO117" s="435">
        <f t="shared" si="325"/>
        <v>3050</v>
      </c>
      <c r="AP117" s="435">
        <f t="shared" si="325"/>
        <v>3050</v>
      </c>
      <c r="AQ117" s="435">
        <f t="shared" si="326"/>
        <v>3050</v>
      </c>
      <c r="AR117" s="435">
        <f t="shared" ref="AR117:AV118" si="341">$B117</f>
        <v>3050</v>
      </c>
      <c r="AS117" s="435">
        <f t="shared" si="341"/>
        <v>3050</v>
      </c>
      <c r="AT117" s="435">
        <f t="shared" si="341"/>
        <v>3050</v>
      </c>
      <c r="AU117" s="435">
        <f t="shared" si="341"/>
        <v>3050</v>
      </c>
      <c r="AV117" s="435">
        <f t="shared" si="341"/>
        <v>3050</v>
      </c>
      <c r="AW117" s="435">
        <f t="shared" si="327"/>
        <v>3050</v>
      </c>
      <c r="AX117" s="435">
        <f>$B117</f>
        <v>3050</v>
      </c>
      <c r="AY117" s="435">
        <f t="shared" si="328"/>
        <v>3050</v>
      </c>
      <c r="AZ117" s="435">
        <f t="shared" ref="AZ117:BM118" si="342">$B117</f>
        <v>3050</v>
      </c>
      <c r="BA117" s="435">
        <f>$B117</f>
        <v>3050</v>
      </c>
      <c r="BB117" s="435">
        <f>$B117</f>
        <v>3050</v>
      </c>
      <c r="BC117" s="435">
        <f t="shared" si="342"/>
        <v>3050</v>
      </c>
      <c r="BD117" s="435">
        <f t="shared" si="342"/>
        <v>3050</v>
      </c>
      <c r="BE117" s="435">
        <f t="shared" si="342"/>
        <v>3050</v>
      </c>
      <c r="BF117" s="435">
        <f>$B117</f>
        <v>3050</v>
      </c>
      <c r="BG117" s="435">
        <f>$B117</f>
        <v>3050</v>
      </c>
      <c r="BH117" s="435">
        <f t="shared" si="342"/>
        <v>3050</v>
      </c>
      <c r="BI117" s="435">
        <f t="shared" si="342"/>
        <v>3050</v>
      </c>
      <c r="BJ117" s="435">
        <f t="shared" si="342"/>
        <v>3050</v>
      </c>
      <c r="BK117" s="435">
        <f t="shared" si="342"/>
        <v>3050</v>
      </c>
      <c r="BL117" s="435">
        <f t="shared" si="342"/>
        <v>3050</v>
      </c>
      <c r="BM117" s="435">
        <f t="shared" si="342"/>
        <v>3050</v>
      </c>
      <c r="BN117" s="435">
        <f t="shared" ref="BN117:BT118" si="343">$B117</f>
        <v>3050</v>
      </c>
      <c r="BO117" s="435">
        <f t="shared" si="343"/>
        <v>3050</v>
      </c>
      <c r="BP117" s="435">
        <f t="shared" si="343"/>
        <v>3050</v>
      </c>
      <c r="BQ117" s="435">
        <f t="shared" si="343"/>
        <v>3050</v>
      </c>
      <c r="BR117" s="435">
        <f t="shared" si="343"/>
        <v>3050</v>
      </c>
      <c r="BS117" s="435">
        <f t="shared" si="343"/>
        <v>3050</v>
      </c>
      <c r="BT117" s="435">
        <f t="shared" si="343"/>
        <v>3050</v>
      </c>
      <c r="BU117" s="435">
        <f>$B117</f>
        <v>3050</v>
      </c>
      <c r="BV117" s="435">
        <f t="shared" si="329"/>
        <v>3050</v>
      </c>
      <c r="BW117" s="435">
        <f>$B117</f>
        <v>3050</v>
      </c>
      <c r="BX117" s="31"/>
      <c r="BY117" s="31"/>
      <c r="BZ117" s="435">
        <f t="shared" si="330"/>
        <v>3050</v>
      </c>
      <c r="CA117" s="435">
        <f t="shared" si="330"/>
        <v>3050</v>
      </c>
      <c r="CB117" s="435">
        <f t="shared" si="330"/>
        <v>3050</v>
      </c>
      <c r="CC117" s="435">
        <f t="shared" si="330"/>
        <v>3050</v>
      </c>
      <c r="CD117" s="435">
        <f t="shared" si="330"/>
        <v>3050</v>
      </c>
      <c r="CE117" s="435">
        <f t="shared" si="330"/>
        <v>3050</v>
      </c>
      <c r="CF117" s="435">
        <f t="shared" si="330"/>
        <v>3050</v>
      </c>
      <c r="CG117" s="435">
        <f t="shared" si="330"/>
        <v>3050</v>
      </c>
      <c r="CH117" s="435">
        <f t="shared" si="330"/>
        <v>3050</v>
      </c>
      <c r="CI117" s="435">
        <f>$B117</f>
        <v>3050</v>
      </c>
      <c r="CJ117" s="435">
        <f t="shared" ref="CJ117:CS118" si="344">$B117</f>
        <v>3050</v>
      </c>
      <c r="CK117" s="435">
        <f t="shared" si="344"/>
        <v>3050</v>
      </c>
      <c r="CL117" s="435">
        <f t="shared" si="344"/>
        <v>3050</v>
      </c>
      <c r="CM117" s="435">
        <f t="shared" si="344"/>
        <v>3050</v>
      </c>
      <c r="CN117" s="435">
        <f t="shared" si="344"/>
        <v>3050</v>
      </c>
      <c r="CO117" s="435">
        <f>$B117</f>
        <v>3050</v>
      </c>
      <c r="CP117" s="435">
        <f t="shared" ref="CP117:CU118" si="345">$B117</f>
        <v>3050</v>
      </c>
      <c r="CQ117" s="435">
        <f t="shared" si="345"/>
        <v>3050</v>
      </c>
      <c r="CR117" s="435">
        <f t="shared" si="345"/>
        <v>3050</v>
      </c>
      <c r="CS117" s="435">
        <f t="shared" si="344"/>
        <v>3050</v>
      </c>
      <c r="CT117" s="435">
        <f t="shared" si="345"/>
        <v>3050</v>
      </c>
      <c r="CU117" s="435">
        <f t="shared" si="345"/>
        <v>3050</v>
      </c>
      <c r="CV117" s="435">
        <f t="shared" ref="CV117:CX118" si="346">$B117</f>
        <v>3050</v>
      </c>
      <c r="CW117" s="435">
        <f t="shared" si="346"/>
        <v>3050</v>
      </c>
      <c r="CX117" s="435">
        <f t="shared" si="346"/>
        <v>3050</v>
      </c>
      <c r="CY117" s="435">
        <f t="shared" si="331"/>
        <v>3050</v>
      </c>
      <c r="CZ117" s="435">
        <f t="shared" si="331"/>
        <v>3050</v>
      </c>
      <c r="DA117" s="435">
        <f>$B117</f>
        <v>3050</v>
      </c>
      <c r="DM117">
        <v>2660</v>
      </c>
      <c r="DN117">
        <v>2660</v>
      </c>
      <c r="DO117">
        <v>2660</v>
      </c>
      <c r="DP117">
        <v>2660</v>
      </c>
      <c r="DQ117">
        <v>2660</v>
      </c>
      <c r="DR117">
        <v>2660</v>
      </c>
      <c r="DS117">
        <v>2660</v>
      </c>
      <c r="DT117">
        <v>2660</v>
      </c>
      <c r="DU117">
        <v>2660</v>
      </c>
      <c r="DV117" s="435">
        <f t="shared" si="333"/>
        <v>3050</v>
      </c>
      <c r="DW117" s="435">
        <f t="shared" si="333"/>
        <v>3050</v>
      </c>
      <c r="DX117" s="435">
        <f t="shared" si="333"/>
        <v>3050</v>
      </c>
      <c r="DY117" s="435">
        <f t="shared" si="333"/>
        <v>3050</v>
      </c>
      <c r="DZ117" s="435">
        <f t="shared" si="333"/>
        <v>3050</v>
      </c>
      <c r="EA117" s="435">
        <f t="shared" si="333"/>
        <v>3050</v>
      </c>
      <c r="EB117" s="435">
        <f t="shared" si="333"/>
        <v>3050</v>
      </c>
      <c r="EC117" s="435">
        <f t="shared" si="333"/>
        <v>3050</v>
      </c>
      <c r="ED117" s="435">
        <f t="shared" si="333"/>
        <v>3050</v>
      </c>
      <c r="EE117" s="435">
        <f t="shared" si="333"/>
        <v>3050</v>
      </c>
      <c r="EF117" s="435">
        <f t="shared" si="334"/>
        <v>3050</v>
      </c>
      <c r="EG117" s="435">
        <f t="shared" si="334"/>
        <v>3050</v>
      </c>
      <c r="EH117" s="435">
        <f t="shared" si="334"/>
        <v>3050</v>
      </c>
      <c r="EI117" s="435">
        <f t="shared" si="334"/>
        <v>3050</v>
      </c>
      <c r="EJ117" s="435">
        <f t="shared" si="334"/>
        <v>3050</v>
      </c>
      <c r="EK117" s="435"/>
      <c r="EL117" s="435">
        <f t="shared" si="334"/>
        <v>3050</v>
      </c>
      <c r="EM117" s="435">
        <f t="shared" si="334"/>
        <v>3050</v>
      </c>
      <c r="EQ117" s="435">
        <f t="shared" si="335"/>
        <v>3050</v>
      </c>
      <c r="ER117" s="435">
        <f t="shared" si="335"/>
        <v>3050</v>
      </c>
      <c r="ES117" s="435">
        <f t="shared" si="335"/>
        <v>3050</v>
      </c>
      <c r="ET117" s="435">
        <f t="shared" si="335"/>
        <v>3050</v>
      </c>
      <c r="EU117" s="435">
        <f t="shared" si="335"/>
        <v>3050</v>
      </c>
      <c r="EV117" s="435">
        <f t="shared" si="335"/>
        <v>3050</v>
      </c>
      <c r="EW117" s="435">
        <f t="shared" si="335"/>
        <v>3050</v>
      </c>
      <c r="EX117" s="435"/>
      <c r="EY117" s="435"/>
      <c r="FH117" s="435">
        <f t="shared" si="336"/>
        <v>3050</v>
      </c>
      <c r="FI117" s="435">
        <f t="shared" si="336"/>
        <v>3050</v>
      </c>
      <c r="FJ117" s="435">
        <f t="shared" si="336"/>
        <v>3050</v>
      </c>
    </row>
    <row r="118" spans="1:166" ht="11.1" customHeight="1" x14ac:dyDescent="0.2">
      <c r="A118" t="s">
        <v>97</v>
      </c>
      <c r="B118">
        <v>595</v>
      </c>
      <c r="C118" s="435">
        <f t="shared" si="319"/>
        <v>595</v>
      </c>
      <c r="D118" s="435">
        <f t="shared" si="320"/>
        <v>595</v>
      </c>
      <c r="E118" s="435">
        <f t="shared" si="320"/>
        <v>595</v>
      </c>
      <c r="F118" s="435">
        <f t="shared" si="320"/>
        <v>595</v>
      </c>
      <c r="G118" s="435">
        <f t="shared" si="320"/>
        <v>595</v>
      </c>
      <c r="H118" s="435">
        <f t="shared" si="320"/>
        <v>595</v>
      </c>
      <c r="I118" s="435">
        <f t="shared" si="320"/>
        <v>595</v>
      </c>
      <c r="J118" s="435">
        <f t="shared" si="320"/>
        <v>595</v>
      </c>
      <c r="K118" s="435">
        <f t="shared" si="321"/>
        <v>595</v>
      </c>
      <c r="L118" s="435">
        <f t="shared" si="321"/>
        <v>595</v>
      </c>
      <c r="M118" s="435">
        <f t="shared" si="321"/>
        <v>595</v>
      </c>
      <c r="N118" s="435">
        <f t="shared" si="321"/>
        <v>595</v>
      </c>
      <c r="O118" s="435">
        <f t="shared" si="321"/>
        <v>595</v>
      </c>
      <c r="P118" s="435">
        <f t="shared" si="339"/>
        <v>595</v>
      </c>
      <c r="Q118" s="435">
        <f t="shared" si="339"/>
        <v>595</v>
      </c>
      <c r="R118" s="435">
        <f t="shared" si="339"/>
        <v>595</v>
      </c>
      <c r="S118" s="435">
        <f t="shared" si="339"/>
        <v>595</v>
      </c>
      <c r="T118" s="435">
        <f t="shared" si="339"/>
        <v>595</v>
      </c>
      <c r="U118" s="435">
        <f t="shared" si="339"/>
        <v>595</v>
      </c>
      <c r="V118" s="435">
        <f t="shared" si="339"/>
        <v>595</v>
      </c>
      <c r="W118" s="435">
        <f t="shared" si="339"/>
        <v>595</v>
      </c>
      <c r="X118" s="435">
        <f t="shared" si="339"/>
        <v>595</v>
      </c>
      <c r="Y118" s="435">
        <f t="shared" si="339"/>
        <v>595</v>
      </c>
      <c r="Z118" s="435">
        <f t="shared" si="323"/>
        <v>595</v>
      </c>
      <c r="AA118" s="435">
        <f t="shared" si="323"/>
        <v>595</v>
      </c>
      <c r="AB118" s="435">
        <f t="shared" si="323"/>
        <v>595</v>
      </c>
      <c r="AC118" s="435">
        <f t="shared" si="323"/>
        <v>595</v>
      </c>
      <c r="AE118" s="435">
        <f>$B118</f>
        <v>595</v>
      </c>
      <c r="AI118" s="435">
        <f t="shared" si="324"/>
        <v>595</v>
      </c>
      <c r="AJ118" s="435">
        <f t="shared" si="324"/>
        <v>595</v>
      </c>
      <c r="AK118" s="435">
        <f t="shared" si="340"/>
        <v>595</v>
      </c>
      <c r="AL118" s="435">
        <f t="shared" si="340"/>
        <v>595</v>
      </c>
      <c r="AM118" s="435">
        <f t="shared" si="340"/>
        <v>595</v>
      </c>
      <c r="AN118" s="435">
        <f t="shared" si="325"/>
        <v>595</v>
      </c>
      <c r="AO118" s="435">
        <f t="shared" si="325"/>
        <v>595</v>
      </c>
      <c r="AP118" s="435">
        <f t="shared" si="325"/>
        <v>595</v>
      </c>
      <c r="AQ118" s="435">
        <f t="shared" si="326"/>
        <v>595</v>
      </c>
      <c r="AR118" s="435">
        <f t="shared" si="341"/>
        <v>595</v>
      </c>
      <c r="AS118" s="435">
        <f t="shared" si="341"/>
        <v>595</v>
      </c>
      <c r="AT118" s="435">
        <f t="shared" si="341"/>
        <v>595</v>
      </c>
      <c r="AU118" s="435">
        <f t="shared" si="341"/>
        <v>595</v>
      </c>
      <c r="AV118" s="435">
        <f t="shared" si="341"/>
        <v>595</v>
      </c>
      <c r="AW118" s="435">
        <f t="shared" si="327"/>
        <v>595</v>
      </c>
      <c r="AX118" s="435">
        <f>$B118</f>
        <v>595</v>
      </c>
      <c r="AY118" s="435">
        <f t="shared" si="328"/>
        <v>595</v>
      </c>
      <c r="AZ118" s="435">
        <f t="shared" si="342"/>
        <v>595</v>
      </c>
      <c r="BA118" s="435">
        <f>$B118</f>
        <v>595</v>
      </c>
      <c r="BB118" s="435">
        <f>$B118</f>
        <v>595</v>
      </c>
      <c r="BC118" s="435">
        <f t="shared" si="342"/>
        <v>595</v>
      </c>
      <c r="BD118" s="435">
        <f t="shared" si="342"/>
        <v>595</v>
      </c>
      <c r="BE118" s="435">
        <f t="shared" si="342"/>
        <v>595</v>
      </c>
      <c r="BF118" s="435">
        <f>$B118</f>
        <v>595</v>
      </c>
      <c r="BG118" s="435">
        <f>$B118</f>
        <v>595</v>
      </c>
      <c r="BH118" s="435">
        <f t="shared" si="342"/>
        <v>595</v>
      </c>
      <c r="BI118" s="435">
        <f t="shared" si="342"/>
        <v>595</v>
      </c>
      <c r="BJ118" s="435">
        <f t="shared" si="342"/>
        <v>595</v>
      </c>
      <c r="BK118" s="435">
        <f t="shared" si="342"/>
        <v>595</v>
      </c>
      <c r="BL118" s="435">
        <f t="shared" si="342"/>
        <v>595</v>
      </c>
      <c r="BM118" s="435">
        <f t="shared" si="342"/>
        <v>595</v>
      </c>
      <c r="BN118" s="435">
        <f t="shared" si="343"/>
        <v>595</v>
      </c>
      <c r="BO118" s="435">
        <f t="shared" si="343"/>
        <v>595</v>
      </c>
      <c r="BP118" s="435">
        <f t="shared" si="343"/>
        <v>595</v>
      </c>
      <c r="BQ118" s="435">
        <f t="shared" si="343"/>
        <v>595</v>
      </c>
      <c r="BR118" s="435">
        <f t="shared" si="343"/>
        <v>595</v>
      </c>
      <c r="BS118" s="435">
        <f t="shared" si="343"/>
        <v>595</v>
      </c>
      <c r="BT118" s="435">
        <f t="shared" si="343"/>
        <v>595</v>
      </c>
      <c r="BU118" s="435">
        <f>$B118</f>
        <v>595</v>
      </c>
      <c r="BV118" s="435">
        <f t="shared" si="329"/>
        <v>595</v>
      </c>
      <c r="BW118" s="435">
        <f>$B118</f>
        <v>595</v>
      </c>
      <c r="BX118" s="31"/>
      <c r="BY118" s="31"/>
      <c r="BZ118" s="435">
        <f t="shared" si="330"/>
        <v>595</v>
      </c>
      <c r="CA118" s="435">
        <f t="shared" si="330"/>
        <v>595</v>
      </c>
      <c r="CB118" s="435">
        <f t="shared" si="330"/>
        <v>595</v>
      </c>
      <c r="CC118" s="435">
        <f t="shared" si="330"/>
        <v>595</v>
      </c>
      <c r="CD118" s="435">
        <f t="shared" si="330"/>
        <v>595</v>
      </c>
      <c r="CE118" s="435">
        <f t="shared" si="330"/>
        <v>595</v>
      </c>
      <c r="CF118" s="435">
        <f t="shared" si="330"/>
        <v>595</v>
      </c>
      <c r="CG118" s="435">
        <f t="shared" si="330"/>
        <v>595</v>
      </c>
      <c r="CH118" s="435">
        <f t="shared" si="330"/>
        <v>595</v>
      </c>
      <c r="CI118" s="435">
        <f>$B118</f>
        <v>595</v>
      </c>
      <c r="CJ118" s="435">
        <f t="shared" si="344"/>
        <v>595</v>
      </c>
      <c r="CK118" s="435">
        <f t="shared" si="344"/>
        <v>595</v>
      </c>
      <c r="CL118" s="435">
        <f t="shared" si="344"/>
        <v>595</v>
      </c>
      <c r="CM118" s="435">
        <f t="shared" si="344"/>
        <v>595</v>
      </c>
      <c r="CN118" s="435">
        <f t="shared" si="344"/>
        <v>595</v>
      </c>
      <c r="CO118" s="435">
        <f>$B118</f>
        <v>595</v>
      </c>
      <c r="CP118" s="435">
        <f t="shared" si="345"/>
        <v>595</v>
      </c>
      <c r="CQ118" s="435">
        <f t="shared" si="345"/>
        <v>595</v>
      </c>
      <c r="CR118" s="435">
        <f t="shared" si="345"/>
        <v>595</v>
      </c>
      <c r="CS118" s="435">
        <f t="shared" si="344"/>
        <v>595</v>
      </c>
      <c r="CT118" s="435">
        <f t="shared" si="345"/>
        <v>595</v>
      </c>
      <c r="CU118" s="435">
        <f t="shared" si="345"/>
        <v>595</v>
      </c>
      <c r="CV118" s="435">
        <f t="shared" si="346"/>
        <v>595</v>
      </c>
      <c r="CW118" s="435">
        <f t="shared" si="346"/>
        <v>595</v>
      </c>
      <c r="CX118" s="435">
        <f t="shared" si="346"/>
        <v>595</v>
      </c>
      <c r="CY118" s="435">
        <f t="shared" si="331"/>
        <v>595</v>
      </c>
      <c r="CZ118" s="435">
        <f t="shared" si="331"/>
        <v>595</v>
      </c>
      <c r="DA118" s="435">
        <f>$B118</f>
        <v>595</v>
      </c>
      <c r="DM118">
        <v>481</v>
      </c>
      <c r="DN118">
        <v>481</v>
      </c>
      <c r="DO118">
        <v>481</v>
      </c>
      <c r="DP118">
        <v>481</v>
      </c>
      <c r="DQ118">
        <v>481</v>
      </c>
      <c r="DR118">
        <v>481</v>
      </c>
      <c r="DS118">
        <v>481</v>
      </c>
      <c r="DT118">
        <v>481</v>
      </c>
      <c r="DU118">
        <v>481</v>
      </c>
      <c r="DV118" s="435">
        <f t="shared" si="333"/>
        <v>595</v>
      </c>
      <c r="DW118" s="435">
        <f t="shared" si="333"/>
        <v>595</v>
      </c>
      <c r="DX118" s="435">
        <f t="shared" si="333"/>
        <v>595</v>
      </c>
      <c r="DY118" s="435">
        <f t="shared" si="333"/>
        <v>595</v>
      </c>
      <c r="DZ118" s="435">
        <f t="shared" si="333"/>
        <v>595</v>
      </c>
      <c r="EA118" s="435">
        <f t="shared" si="333"/>
        <v>595</v>
      </c>
      <c r="EB118" s="435">
        <f t="shared" si="333"/>
        <v>595</v>
      </c>
      <c r="EC118" s="435">
        <f t="shared" si="333"/>
        <v>595</v>
      </c>
      <c r="ED118" s="435">
        <f t="shared" si="333"/>
        <v>595</v>
      </c>
      <c r="EE118" s="435">
        <f t="shared" si="333"/>
        <v>595</v>
      </c>
      <c r="EF118" s="435">
        <f t="shared" si="334"/>
        <v>595</v>
      </c>
      <c r="EG118" s="435">
        <f t="shared" si="334"/>
        <v>595</v>
      </c>
      <c r="EH118" s="435">
        <f t="shared" si="334"/>
        <v>595</v>
      </c>
      <c r="EI118" s="435">
        <f t="shared" si="334"/>
        <v>595</v>
      </c>
      <c r="EJ118" s="435">
        <f t="shared" si="334"/>
        <v>595</v>
      </c>
      <c r="EK118" s="435"/>
      <c r="EL118" s="435">
        <f t="shared" si="334"/>
        <v>595</v>
      </c>
      <c r="EM118" s="435">
        <f t="shared" si="334"/>
        <v>595</v>
      </c>
      <c r="EQ118" s="435">
        <f t="shared" si="335"/>
        <v>595</v>
      </c>
      <c r="ER118" s="435">
        <f t="shared" si="335"/>
        <v>595</v>
      </c>
      <c r="ES118" s="435">
        <f t="shared" si="335"/>
        <v>595</v>
      </c>
      <c r="ET118" s="435">
        <f t="shared" si="335"/>
        <v>595</v>
      </c>
      <c r="EU118" s="435">
        <f t="shared" si="335"/>
        <v>595</v>
      </c>
      <c r="EV118" s="435">
        <f t="shared" si="335"/>
        <v>595</v>
      </c>
      <c r="EW118" s="435">
        <f t="shared" si="335"/>
        <v>595</v>
      </c>
      <c r="EX118" s="435"/>
      <c r="EY118" s="435"/>
      <c r="FH118" s="435">
        <f t="shared" si="336"/>
        <v>595</v>
      </c>
      <c r="FI118" s="435">
        <f t="shared" si="336"/>
        <v>595</v>
      </c>
      <c r="FJ118" s="435">
        <f t="shared" si="336"/>
        <v>595</v>
      </c>
    </row>
    <row r="119" spans="1:166" ht="11.1" customHeight="1" x14ac:dyDescent="0.2">
      <c r="A119" s="40" t="s">
        <v>98</v>
      </c>
      <c r="B119" s="63">
        <f t="shared" ref="B119:AC119" si="347">B81/B118</f>
        <v>1.1298482682565728E-2</v>
      </c>
      <c r="C119" s="436">
        <f t="shared" si="347"/>
        <v>2.5912599678106517E-2</v>
      </c>
      <c r="D119" s="436">
        <f t="shared" si="347"/>
        <v>1.0927760153052577E-2</v>
      </c>
      <c r="E119" s="436">
        <f t="shared" si="347"/>
        <v>1.1061771149671037E-2</v>
      </c>
      <c r="F119" s="436">
        <f t="shared" si="347"/>
        <v>3.2499502906881842E-3</v>
      </c>
      <c r="G119" s="436">
        <f t="shared" si="347"/>
        <v>1.4563662556402431E-2</v>
      </c>
      <c r="H119" s="436">
        <f t="shared" si="347"/>
        <v>4.1150335479756125E-3</v>
      </c>
      <c r="I119" s="436">
        <f t="shared" si="347"/>
        <v>5.0991992661207084E-3</v>
      </c>
      <c r="J119" s="436">
        <f t="shared" si="347"/>
        <v>4.6071164070481604E-3</v>
      </c>
      <c r="K119" s="436">
        <f t="shared" si="347"/>
        <v>2.829347529445134E-2</v>
      </c>
      <c r="L119" s="436">
        <f t="shared" si="347"/>
        <v>1.1379937683719362E-2</v>
      </c>
      <c r="M119" s="436">
        <f t="shared" si="347"/>
        <v>9.0054637072220188E-3</v>
      </c>
      <c r="N119" s="436">
        <f t="shared" si="347"/>
        <v>5.3958658951879191E-3</v>
      </c>
      <c r="O119" s="436">
        <f t="shared" si="347"/>
        <v>2.0691263051035459E-2</v>
      </c>
      <c r="P119" s="436">
        <f t="shared" si="347"/>
        <v>0</v>
      </c>
      <c r="Q119" s="436">
        <f t="shared" si="347"/>
        <v>3.8104644294456307E-2</v>
      </c>
      <c r="R119" s="436">
        <f t="shared" si="347"/>
        <v>6.8455926990426338E-3</v>
      </c>
      <c r="S119" s="436">
        <f t="shared" si="347"/>
        <v>7.9713481137135694E-3</v>
      </c>
      <c r="T119" s="436">
        <f t="shared" si="347"/>
        <v>7.5582885794671529E-3</v>
      </c>
      <c r="U119" s="436">
        <f t="shared" si="347"/>
        <v>1.115966386554622E-2</v>
      </c>
      <c r="V119" s="436">
        <f t="shared" si="347"/>
        <v>1.1970178144542293E-2</v>
      </c>
      <c r="W119" s="436">
        <f t="shared" si="347"/>
        <v>1.0687557604858106E-3</v>
      </c>
      <c r="X119" s="436">
        <f t="shared" si="347"/>
        <v>8.9602926158549199E-4</v>
      </c>
      <c r="Y119" s="436">
        <f t="shared" si="347"/>
        <v>9.5940566311817732E-4</v>
      </c>
      <c r="Z119" s="436">
        <f t="shared" si="347"/>
        <v>0</v>
      </c>
      <c r="AA119" s="436">
        <f t="shared" si="347"/>
        <v>0</v>
      </c>
      <c r="AB119" s="436">
        <f t="shared" si="347"/>
        <v>7.0076363484622992E-4</v>
      </c>
      <c r="AC119" s="436">
        <f t="shared" si="347"/>
        <v>7.5801576278431153E-4</v>
      </c>
      <c r="AE119" s="436">
        <f>AE81/AE118</f>
        <v>6.3463423701767734E-3</v>
      </c>
      <c r="AI119" s="436">
        <f t="shared" ref="AI119:BW119" si="348">AI81/AI118</f>
        <v>1.803686032415382E-2</v>
      </c>
      <c r="AJ119" s="436">
        <f t="shared" si="348"/>
        <v>5.7677095915259751E-3</v>
      </c>
      <c r="AK119" s="436">
        <f t="shared" si="348"/>
        <v>4.4832425807411723E-3</v>
      </c>
      <c r="AL119" s="436">
        <f t="shared" si="348"/>
        <v>1.0420687360064038E-3</v>
      </c>
      <c r="AM119" s="436">
        <f t="shared" si="348"/>
        <v>4.3506173840897446E-3</v>
      </c>
      <c r="AN119" s="436">
        <f t="shared" si="348"/>
        <v>0</v>
      </c>
      <c r="AO119" s="436">
        <f t="shared" si="348"/>
        <v>0</v>
      </c>
      <c r="AP119" s="436">
        <f t="shared" si="348"/>
        <v>0</v>
      </c>
      <c r="AQ119" s="436">
        <f t="shared" si="348"/>
        <v>9.4255823050317915E-3</v>
      </c>
      <c r="AR119" s="436">
        <f t="shared" si="348"/>
        <v>1.9002342077408294E-2</v>
      </c>
      <c r="AS119" s="436">
        <f t="shared" si="348"/>
        <v>1.1783076635610451E-3</v>
      </c>
      <c r="AT119" s="436">
        <f t="shared" si="348"/>
        <v>1.0205358825824429E-2</v>
      </c>
      <c r="AU119" s="436">
        <f t="shared" si="348"/>
        <v>5.1031035154117891E-3</v>
      </c>
      <c r="AV119" s="436">
        <f t="shared" si="348"/>
        <v>1.0060435107944356E-2</v>
      </c>
      <c r="AW119" s="436">
        <f t="shared" si="348"/>
        <v>2.8405345686130842E-3</v>
      </c>
      <c r="AX119" s="436">
        <f t="shared" si="348"/>
        <v>6.2851158438210512E-3</v>
      </c>
      <c r="AY119" s="436">
        <f t="shared" si="348"/>
        <v>0</v>
      </c>
      <c r="AZ119" s="436">
        <f t="shared" si="348"/>
        <v>1.9928434589887134E-2</v>
      </c>
      <c r="BA119" s="436">
        <f t="shared" si="348"/>
        <v>5.7588142062587576E-3</v>
      </c>
      <c r="BB119" s="436">
        <f t="shared" si="348"/>
        <v>8.1871915935957976E-4</v>
      </c>
      <c r="BC119" s="436">
        <f t="shared" si="348"/>
        <v>4.6108465527133539E-2</v>
      </c>
      <c r="BD119" s="436">
        <f t="shared" si="348"/>
        <v>3.0658075054583869E-2</v>
      </c>
      <c r="BE119" s="436">
        <f t="shared" si="348"/>
        <v>2.9850534872702793E-2</v>
      </c>
      <c r="BF119" s="436">
        <f t="shared" si="348"/>
        <v>5.9813499534860084E-3</v>
      </c>
      <c r="BG119" s="436">
        <f t="shared" si="348"/>
        <v>1.2017014685828765E-2</v>
      </c>
      <c r="BH119" s="436">
        <f t="shared" si="348"/>
        <v>1.8487394957983196E-3</v>
      </c>
      <c r="BI119" s="436">
        <f>BI81/BI118</f>
        <v>1.2340585968049688E-2</v>
      </c>
      <c r="BJ119" s="436">
        <f>BJ81/BJ118</f>
        <v>8.2212995920320445E-3</v>
      </c>
      <c r="BK119" s="436">
        <f>BK81/BK118</f>
        <v>1.2002363610103432E-2</v>
      </c>
      <c r="BL119" s="436">
        <f>BL81/BL118</f>
        <v>7.9052507296288477E-3</v>
      </c>
      <c r="BM119" s="436">
        <f>BM81/BM118</f>
        <v>1.5722480443418729E-2</v>
      </c>
      <c r="BN119" s="436">
        <f t="shared" si="348"/>
        <v>4.0195164898409417E-4</v>
      </c>
      <c r="BO119" s="436">
        <f t="shared" si="348"/>
        <v>3.9511062422075403E-4</v>
      </c>
      <c r="BP119" s="436">
        <f t="shared" si="348"/>
        <v>3.9853113660242413E-4</v>
      </c>
      <c r="BQ119" s="436">
        <f t="shared" si="348"/>
        <v>3.9128204516444587E-4</v>
      </c>
      <c r="BR119" s="436">
        <f t="shared" si="348"/>
        <v>0</v>
      </c>
      <c r="BS119" s="436">
        <f t="shared" si="348"/>
        <v>0</v>
      </c>
      <c r="BT119" s="436">
        <f t="shared" si="348"/>
        <v>7.3440385586868832E-4</v>
      </c>
      <c r="BU119" s="436">
        <f t="shared" si="348"/>
        <v>1.3445378151260505E-4</v>
      </c>
      <c r="BV119" s="436">
        <f t="shared" si="348"/>
        <v>2.8961921246043116E-4</v>
      </c>
      <c r="BW119" s="436">
        <f t="shared" si="348"/>
        <v>4.9583621294770853E-3</v>
      </c>
      <c r="BX119" s="63"/>
      <c r="BY119" s="63"/>
      <c r="BZ119" s="436">
        <f>BZ81/BZ118</f>
        <v>8.1641293051286437E-3</v>
      </c>
      <c r="CA119" s="436">
        <f t="shared" ref="CA119:CG119" si="349">CA81/CA118</f>
        <v>1.0860595089623726E-2</v>
      </c>
      <c r="CB119" s="436">
        <f t="shared" si="349"/>
        <v>9.2917527925958573E-3</v>
      </c>
      <c r="CC119" s="436">
        <f>CC81/CC118</f>
        <v>0</v>
      </c>
      <c r="CD119" s="436">
        <f t="shared" si="349"/>
        <v>4.1471954241692069E-3</v>
      </c>
      <c r="CE119" s="436">
        <f t="shared" si="349"/>
        <v>1.8067617590597296E-3</v>
      </c>
      <c r="CF119" s="436">
        <f t="shared" si="349"/>
        <v>2.1955768435999875E-3</v>
      </c>
      <c r="CG119" s="436">
        <f t="shared" si="349"/>
        <v>1.8434043269660815E-2</v>
      </c>
      <c r="CH119" s="436">
        <f>CH81/CH118</f>
        <v>1.9100910953523183E-2</v>
      </c>
      <c r="CI119" s="436">
        <f>CI81/CI118</f>
        <v>8.9672454771355329E-3</v>
      </c>
      <c r="CJ119" s="436">
        <f t="shared" ref="CJ119:DA119" si="350">CJ81/CJ118</f>
        <v>1.0774716806335535E-2</v>
      </c>
      <c r="CK119" s="436">
        <f t="shared" si="350"/>
        <v>6.4777171923469691E-3</v>
      </c>
      <c r="CL119" s="436">
        <f t="shared" si="350"/>
        <v>2.9604802276597932E-2</v>
      </c>
      <c r="CM119" s="436">
        <f t="shared" si="350"/>
        <v>2.9864824352523044E-2</v>
      </c>
      <c r="CN119" s="436" t="e">
        <f t="shared" si="350"/>
        <v>#REF!</v>
      </c>
      <c r="CO119" s="436">
        <f t="shared" si="350"/>
        <v>3.7770588376361124E-2</v>
      </c>
      <c r="CP119" s="436">
        <f>CP81/CP118</f>
        <v>0.12282308381681049</v>
      </c>
      <c r="CQ119" s="436">
        <f>CQ81/CQ118</f>
        <v>1.8924456479839643E-2</v>
      </c>
      <c r="CR119" s="436">
        <f>CR81/CR118</f>
        <v>8.2212995920320445E-3</v>
      </c>
      <c r="CS119" s="436">
        <f>CS81/CS118</f>
        <v>3.9552868842490634E-3</v>
      </c>
      <c r="CT119" s="436">
        <f t="shared" si="350"/>
        <v>3.3317313346979301E-2</v>
      </c>
      <c r="CU119" s="436">
        <f t="shared" si="350"/>
        <v>3.1009594221492895E-2</v>
      </c>
      <c r="CV119" s="436">
        <f t="shared" si="350"/>
        <v>8.7835382853579703E-3</v>
      </c>
      <c r="CW119" s="436">
        <f t="shared" si="350"/>
        <v>1.9320798376153273E-3</v>
      </c>
      <c r="CX119" s="436">
        <f t="shared" si="350"/>
        <v>1.6254575056567251E-2</v>
      </c>
      <c r="CY119" s="436">
        <f t="shared" si="350"/>
        <v>4.2901744533760423E-3</v>
      </c>
      <c r="CZ119" s="436">
        <f t="shared" si="350"/>
        <v>1.1378330415213894E-2</v>
      </c>
      <c r="DA119" s="436">
        <f t="shared" si="350"/>
        <v>8.7432124614404937E-3</v>
      </c>
      <c r="DM119" s="63">
        <f t="shared" ref="DM119:DU119" si="351">DM81/DM118</f>
        <v>2.3827373269752448E-3</v>
      </c>
      <c r="DN119" s="63">
        <f t="shared" si="351"/>
        <v>1.8630981864730552E-3</v>
      </c>
      <c r="DO119" s="63">
        <f t="shared" si="351"/>
        <v>2.3008447819617426E-3</v>
      </c>
      <c r="DP119" s="63">
        <f t="shared" si="351"/>
        <v>3.3409825836193301E-3</v>
      </c>
      <c r="DQ119" s="63">
        <f t="shared" si="351"/>
        <v>1.6532234680770247E-3</v>
      </c>
      <c r="DR119" s="63">
        <f t="shared" si="351"/>
        <v>1.4534962751303372E-3</v>
      </c>
      <c r="DS119" s="63">
        <f t="shared" si="351"/>
        <v>2.6343926343926345E-3</v>
      </c>
      <c r="DT119" s="63">
        <f t="shared" si="351"/>
        <v>2.3389405515315039E-3</v>
      </c>
      <c r="DU119" s="63">
        <f t="shared" si="351"/>
        <v>2.3389405515315039E-3</v>
      </c>
      <c r="DV119" s="436">
        <f t="shared" ref="DV119:EM119" si="352">DV81/DV118</f>
        <v>1.9262128643278871E-3</v>
      </c>
      <c r="DW119" s="436">
        <f t="shared" si="352"/>
        <v>1.5061348364597304E-3</v>
      </c>
      <c r="DX119" s="436">
        <f t="shared" si="352"/>
        <v>1.8600106556699129E-3</v>
      </c>
      <c r="DY119" s="436">
        <f t="shared" si="352"/>
        <v>0</v>
      </c>
      <c r="DZ119" s="436">
        <f t="shared" si="352"/>
        <v>2.7008615507914248E-3</v>
      </c>
      <c r="EA119" s="436">
        <f t="shared" si="352"/>
        <v>1.7356939765369268E-3</v>
      </c>
      <c r="EB119" s="436">
        <f t="shared" si="352"/>
        <v>0</v>
      </c>
      <c r="EC119" s="436">
        <f t="shared" si="352"/>
        <v>1.8908074038431148E-3</v>
      </c>
      <c r="ED119" s="436">
        <f t="shared" si="352"/>
        <v>0</v>
      </c>
      <c r="EE119" s="436">
        <f t="shared" si="352"/>
        <v>0</v>
      </c>
      <c r="EF119" s="436">
        <f t="shared" si="352"/>
        <v>1.336471408647141E-3</v>
      </c>
      <c r="EG119" s="436">
        <f t="shared" si="352"/>
        <v>0</v>
      </c>
      <c r="EH119" s="436">
        <f t="shared" si="352"/>
        <v>1.1750112745171298E-3</v>
      </c>
      <c r="EI119" s="436">
        <f t="shared" si="352"/>
        <v>0</v>
      </c>
      <c r="EJ119" s="436">
        <f t="shared" si="352"/>
        <v>2.1296518607442977E-3</v>
      </c>
      <c r="EK119" s="436"/>
      <c r="EL119" s="436">
        <f t="shared" si="352"/>
        <v>1.8743916816318699E-2</v>
      </c>
      <c r="EM119" s="436">
        <f t="shared" si="352"/>
        <v>1.8316807777841917E-2</v>
      </c>
      <c r="EN119" s="63"/>
      <c r="EO119" s="63"/>
      <c r="EP119" s="63"/>
      <c r="EQ119" s="436">
        <f t="shared" ref="EQ119:EW119" si="353">EQ81/EQ118</f>
        <v>8.6283187709628069E-3</v>
      </c>
      <c r="ER119" s="436">
        <f t="shared" si="353"/>
        <v>6.4737627929553499E-3</v>
      </c>
      <c r="ES119" s="436">
        <f t="shared" si="353"/>
        <v>6.5188888813407335E-3</v>
      </c>
      <c r="ET119" s="436">
        <f t="shared" si="353"/>
        <v>7.3514810687123041E-3</v>
      </c>
      <c r="EU119" s="436">
        <f t="shared" si="353"/>
        <v>1.6291747960905167E-2</v>
      </c>
      <c r="EV119" s="436">
        <f t="shared" si="353"/>
        <v>4.2320293481701021E-3</v>
      </c>
      <c r="EW119" s="436">
        <f t="shared" si="353"/>
        <v>1.2567102006609571E-2</v>
      </c>
      <c r="EX119" s="436"/>
      <c r="EY119" s="436"/>
      <c r="EZ119" s="63"/>
      <c r="FH119" s="436">
        <f>FH81/FH118</f>
        <v>3.0729631151098515E-3</v>
      </c>
      <c r="FI119" s="436">
        <f>FI81/FI118</f>
        <v>3.0729631151098515E-3</v>
      </c>
      <c r="FJ119" s="436">
        <f>FJ81/FJ118</f>
        <v>3.66165208777535E-3</v>
      </c>
    </row>
    <row r="120" spans="1:166" ht="11.1" customHeight="1" x14ac:dyDescent="0.2">
      <c r="AQ120"/>
      <c r="BE120"/>
      <c r="BH120"/>
      <c r="BI120"/>
      <c r="BJ120"/>
      <c r="BK120"/>
      <c r="BL120"/>
      <c r="BM120"/>
      <c r="CA120"/>
      <c r="CJ120"/>
    </row>
    <row r="121" spans="1:166" s="224" customFormat="1" ht="25.5" customHeight="1" x14ac:dyDescent="0.2">
      <c r="A121" s="223"/>
      <c r="D121" s="226" t="s">
        <v>459</v>
      </c>
      <c r="E121" s="226"/>
      <c r="F121" s="226"/>
      <c r="G121" s="226"/>
      <c r="H121" s="226"/>
      <c r="I121" s="226"/>
      <c r="J121" s="226"/>
      <c r="K121" s="226"/>
      <c r="L121" s="226" t="s">
        <v>459</v>
      </c>
      <c r="M121" s="226" t="s">
        <v>459</v>
      </c>
      <c r="N121" s="226"/>
      <c r="O121" s="226"/>
      <c r="P121" s="226" t="s">
        <v>459</v>
      </c>
      <c r="U121" s="227"/>
      <c r="V121" s="227"/>
      <c r="W121" s="224" t="s">
        <v>917</v>
      </c>
      <c r="X121" s="224" t="s">
        <v>917</v>
      </c>
      <c r="Y121" s="224" t="s">
        <v>917</v>
      </c>
      <c r="Z121" s="228"/>
      <c r="AA121" s="229"/>
      <c r="AB121" s="229"/>
      <c r="AC121" s="229"/>
      <c r="AI121" s="240"/>
      <c r="AJ121" s="225" t="s">
        <v>1060</v>
      </c>
      <c r="AM121" s="226" t="s">
        <v>459</v>
      </c>
      <c r="AN121" s="245" t="s">
        <v>1046</v>
      </c>
      <c r="AO121"/>
      <c r="AP121" s="229"/>
      <c r="AQ121" s="225" t="s">
        <v>1060</v>
      </c>
      <c r="AR121" s="225" t="s">
        <v>1060</v>
      </c>
      <c r="AS121" s="225" t="s">
        <v>1060</v>
      </c>
      <c r="AT121" s="225" t="s">
        <v>1060</v>
      </c>
      <c r="AV121" s="225" t="s">
        <v>1060</v>
      </c>
      <c r="AX121" s="225"/>
      <c r="AY121"/>
      <c r="BA121" s="227"/>
      <c r="BB121" s="225"/>
      <c r="BE121" s="225"/>
      <c r="BF121" s="225"/>
      <c r="BG121" s="225"/>
      <c r="BH121" s="225"/>
      <c r="BI121" s="225"/>
      <c r="BJ121" s="225"/>
      <c r="BK121" s="225"/>
      <c r="BL121" s="225"/>
      <c r="BM121" s="225"/>
      <c r="BN121" s="225" t="s">
        <v>1060</v>
      </c>
      <c r="BO121" s="225" t="s">
        <v>1060</v>
      </c>
      <c r="BP121" s="225"/>
      <c r="BQ121" s="225" t="s">
        <v>1060</v>
      </c>
      <c r="BR121" s="225" t="s">
        <v>1060</v>
      </c>
      <c r="BS121" s="225"/>
      <c r="BT121" s="225"/>
      <c r="BU121" s="225"/>
      <c r="BV121" s="225"/>
      <c r="BW121" s="225"/>
      <c r="BX121" s="545"/>
      <c r="BY121" s="545"/>
      <c r="CC121" s="245" t="s">
        <v>997</v>
      </c>
      <c r="CD121" s="225" t="s">
        <v>940</v>
      </c>
      <c r="CE121" s="226"/>
      <c r="CF121" s="225" t="s">
        <v>940</v>
      </c>
      <c r="CG121" s="240"/>
      <c r="CH121" s="240"/>
      <c r="CI121" s="225" t="s">
        <v>1060</v>
      </c>
      <c r="CJ121" s="225" t="s">
        <v>1060</v>
      </c>
      <c r="CL121" s="225" t="s">
        <v>940</v>
      </c>
      <c r="CM121" s="225" t="s">
        <v>1038</v>
      </c>
      <c r="CO121" s="225"/>
      <c r="CP121" s="225"/>
      <c r="CQ121" s="225"/>
      <c r="CR121" s="225"/>
      <c r="CV121" s="225" t="s">
        <v>1060</v>
      </c>
      <c r="CW121" s="225" t="s">
        <v>1060</v>
      </c>
      <c r="CZ121" s="226"/>
      <c r="DE121"/>
      <c r="DI121"/>
      <c r="DV121" s="225" t="s">
        <v>940</v>
      </c>
      <c r="DW121" s="240" t="s">
        <v>1036</v>
      </c>
      <c r="DX121" s="225" t="s">
        <v>940</v>
      </c>
      <c r="DZ121" s="225" t="s">
        <v>940</v>
      </c>
      <c r="EA121" s="225" t="s">
        <v>940</v>
      </c>
      <c r="EC121" s="225" t="s">
        <v>940</v>
      </c>
      <c r="ED121" s="226"/>
      <c r="EE121"/>
      <c r="EF121" s="240" t="s">
        <v>1030</v>
      </c>
      <c r="EG121" s="225" t="s">
        <v>1037</v>
      </c>
      <c r="EH121" s="240" t="s">
        <v>1033</v>
      </c>
      <c r="EI121" s="226"/>
      <c r="EJ121" s="240" t="s">
        <v>1030</v>
      </c>
      <c r="EK121" s="240"/>
      <c r="EL121" s="240" t="s">
        <v>1034</v>
      </c>
      <c r="EM121" s="240" t="s">
        <v>1035</v>
      </c>
      <c r="EQ121" s="225" t="s">
        <v>1060</v>
      </c>
      <c r="ER121" s="225" t="s">
        <v>1059</v>
      </c>
      <c r="ES121" s="225" t="s">
        <v>940</v>
      </c>
      <c r="ET121" s="225" t="s">
        <v>1031</v>
      </c>
      <c r="EU121" s="225" t="s">
        <v>1032</v>
      </c>
      <c r="EV121" s="240" t="s">
        <v>1033</v>
      </c>
      <c r="EX121" s="225"/>
      <c r="EY121" s="225"/>
    </row>
    <row r="122" spans="1:166" ht="11.1" customHeight="1" x14ac:dyDescent="0.2">
      <c r="A122" t="s">
        <v>966</v>
      </c>
      <c r="B122" s="30">
        <f>0.868*1.8895</f>
        <v>1.6400859999999999</v>
      </c>
      <c r="C122" s="30">
        <f t="shared" ref="C122:P122" si="354">0.868*1.8895</f>
        <v>1.6400859999999999</v>
      </c>
      <c r="D122" s="30">
        <f t="shared" si="354"/>
        <v>1.6400859999999999</v>
      </c>
      <c r="E122" s="30">
        <f t="shared" si="354"/>
        <v>1.6400859999999999</v>
      </c>
      <c r="F122" s="30">
        <f t="shared" si="354"/>
        <v>1.6400859999999999</v>
      </c>
      <c r="G122" s="30">
        <f t="shared" si="354"/>
        <v>1.6400859999999999</v>
      </c>
      <c r="H122" s="30">
        <f t="shared" si="354"/>
        <v>1.6400859999999999</v>
      </c>
      <c r="I122" s="30">
        <f t="shared" si="354"/>
        <v>1.6400859999999999</v>
      </c>
      <c r="J122" s="30">
        <f t="shared" si="354"/>
        <v>1.6400859999999999</v>
      </c>
      <c r="K122" s="30">
        <f t="shared" si="354"/>
        <v>1.6400859999999999</v>
      </c>
      <c r="L122" s="30">
        <f t="shared" si="354"/>
        <v>1.6400859999999999</v>
      </c>
      <c r="M122" s="30">
        <f t="shared" si="354"/>
        <v>1.6400859999999999</v>
      </c>
      <c r="N122" s="30">
        <f t="shared" si="354"/>
        <v>1.6400859999999999</v>
      </c>
      <c r="O122" s="30">
        <f t="shared" si="354"/>
        <v>1.6400859999999999</v>
      </c>
      <c r="P122" s="30">
        <f t="shared" si="354"/>
        <v>1.6400859999999999</v>
      </c>
      <c r="AE122" s="30"/>
      <c r="AQ122"/>
      <c r="BE122"/>
      <c r="BH122"/>
      <c r="BI122"/>
      <c r="BJ122"/>
      <c r="BK122"/>
      <c r="BL122"/>
      <c r="BM122"/>
      <c r="CA122"/>
      <c r="CJ122"/>
    </row>
    <row r="123" spans="1:166" ht="11.1" customHeight="1" x14ac:dyDescent="0.2">
      <c r="A123" t="s">
        <v>964</v>
      </c>
      <c r="B123" s="30">
        <f>19.04*1.2865</f>
        <v>24.494959999999999</v>
      </c>
      <c r="C123" s="30">
        <f t="shared" ref="C123:P123" si="355">19.04*1.2865</f>
        <v>24.494959999999999</v>
      </c>
      <c r="D123" s="30">
        <f t="shared" si="355"/>
        <v>24.494959999999999</v>
      </c>
      <c r="E123" s="30">
        <f t="shared" si="355"/>
        <v>24.494959999999999</v>
      </c>
      <c r="F123" s="30">
        <f t="shared" si="355"/>
        <v>24.494959999999999</v>
      </c>
      <c r="G123" s="30">
        <f t="shared" si="355"/>
        <v>24.494959999999999</v>
      </c>
      <c r="H123" s="30">
        <f t="shared" si="355"/>
        <v>24.494959999999999</v>
      </c>
      <c r="I123" s="30">
        <f t="shared" si="355"/>
        <v>24.494959999999999</v>
      </c>
      <c r="J123" s="30">
        <f t="shared" si="355"/>
        <v>24.494959999999999</v>
      </c>
      <c r="K123" s="30">
        <f t="shared" si="355"/>
        <v>24.494959999999999</v>
      </c>
      <c r="L123" s="30">
        <f t="shared" si="355"/>
        <v>24.494959999999999</v>
      </c>
      <c r="M123" s="30">
        <f t="shared" si="355"/>
        <v>24.494959999999999</v>
      </c>
      <c r="N123" s="30">
        <f t="shared" si="355"/>
        <v>24.494959999999999</v>
      </c>
      <c r="O123" s="30">
        <f t="shared" si="355"/>
        <v>24.494959999999999</v>
      </c>
      <c r="P123" s="30">
        <f t="shared" si="355"/>
        <v>24.494959999999999</v>
      </c>
      <c r="AQ123"/>
      <c r="BE123"/>
      <c r="BH123"/>
      <c r="BI123"/>
      <c r="BJ123"/>
      <c r="BK123"/>
      <c r="BL123"/>
      <c r="BM123"/>
      <c r="CA123"/>
      <c r="CJ123"/>
    </row>
    <row r="124" spans="1:166" ht="11.1" customHeight="1" x14ac:dyDescent="0.2">
      <c r="A124" t="s">
        <v>965</v>
      </c>
      <c r="B124" s="30">
        <f>9.89*1.6581</f>
        <v>16.398609</v>
      </c>
      <c r="C124" s="30">
        <f t="shared" ref="C124:P124" si="356">9.89*1.6581</f>
        <v>16.398609</v>
      </c>
      <c r="D124" s="30">
        <f t="shared" si="356"/>
        <v>16.398609</v>
      </c>
      <c r="E124" s="30">
        <f t="shared" si="356"/>
        <v>16.398609</v>
      </c>
      <c r="F124" s="30">
        <f t="shared" si="356"/>
        <v>16.398609</v>
      </c>
      <c r="G124" s="30">
        <f t="shared" si="356"/>
        <v>16.398609</v>
      </c>
      <c r="H124" s="30">
        <f t="shared" si="356"/>
        <v>16.398609</v>
      </c>
      <c r="I124" s="30">
        <f t="shared" si="356"/>
        <v>16.398609</v>
      </c>
      <c r="J124" s="30">
        <f t="shared" si="356"/>
        <v>16.398609</v>
      </c>
      <c r="K124" s="30">
        <f t="shared" si="356"/>
        <v>16.398609</v>
      </c>
      <c r="L124" s="30">
        <f t="shared" si="356"/>
        <v>16.398609</v>
      </c>
      <c r="M124" s="30">
        <f t="shared" si="356"/>
        <v>16.398609</v>
      </c>
      <c r="N124" s="30">
        <f t="shared" si="356"/>
        <v>16.398609</v>
      </c>
      <c r="O124" s="30">
        <f t="shared" si="356"/>
        <v>16.398609</v>
      </c>
      <c r="P124" s="30">
        <f t="shared" si="356"/>
        <v>16.398609</v>
      </c>
      <c r="AQ124"/>
      <c r="BE124"/>
      <c r="BH124"/>
      <c r="BI124"/>
      <c r="BJ124"/>
      <c r="BK124"/>
      <c r="BL124"/>
      <c r="BM124"/>
      <c r="CA124"/>
      <c r="CJ124"/>
    </row>
    <row r="125" spans="1:166" ht="11.1" customHeight="1" x14ac:dyDescent="0.2">
      <c r="A125" t="s">
        <v>967</v>
      </c>
      <c r="B125">
        <v>5.82</v>
      </c>
      <c r="C125">
        <v>5.82</v>
      </c>
      <c r="D125">
        <v>5.82</v>
      </c>
      <c r="E125">
        <v>5.82</v>
      </c>
      <c r="F125">
        <v>5.82</v>
      </c>
      <c r="G125">
        <v>5.82</v>
      </c>
      <c r="H125">
        <v>5.82</v>
      </c>
      <c r="I125">
        <v>5.82</v>
      </c>
      <c r="J125">
        <v>5.82</v>
      </c>
      <c r="K125">
        <v>5.82</v>
      </c>
      <c r="L125">
        <v>5.82</v>
      </c>
      <c r="M125">
        <v>5.82</v>
      </c>
      <c r="N125">
        <v>5.82</v>
      </c>
      <c r="O125">
        <v>5.82</v>
      </c>
      <c r="P125">
        <v>5.82</v>
      </c>
      <c r="AQ125"/>
      <c r="BE125"/>
      <c r="BH125"/>
      <c r="BI125"/>
      <c r="BJ125"/>
      <c r="BK125"/>
      <c r="BL125"/>
      <c r="BM125"/>
      <c r="CA125"/>
      <c r="CJ125"/>
    </row>
    <row r="126" spans="1:166" ht="11.1" customHeight="1" x14ac:dyDescent="0.2">
      <c r="A126" t="s">
        <v>968</v>
      </c>
      <c r="B126">
        <v>2660</v>
      </c>
      <c r="C126">
        <v>2660</v>
      </c>
      <c r="D126">
        <v>2660</v>
      </c>
      <c r="E126">
        <v>2660</v>
      </c>
      <c r="F126">
        <v>2660</v>
      </c>
      <c r="G126">
        <v>2660</v>
      </c>
      <c r="H126">
        <v>2660</v>
      </c>
      <c r="I126">
        <v>2660</v>
      </c>
      <c r="J126">
        <v>2660</v>
      </c>
      <c r="K126">
        <v>2660</v>
      </c>
      <c r="L126">
        <v>2660</v>
      </c>
      <c r="M126">
        <v>2660</v>
      </c>
      <c r="N126">
        <v>2660</v>
      </c>
      <c r="O126">
        <v>2660</v>
      </c>
      <c r="P126">
        <v>2660</v>
      </c>
      <c r="Q126" s="78"/>
      <c r="S126" s="2"/>
      <c r="T126" s="2"/>
      <c r="AA126" s="2"/>
      <c r="AB126" s="2"/>
      <c r="AC126" s="2"/>
      <c r="AI126" s="78"/>
      <c r="AP126" s="2"/>
      <c r="AQ126" s="4"/>
      <c r="BE126" s="4"/>
      <c r="BH126" s="4"/>
      <c r="BI126" s="4"/>
      <c r="BJ126" s="4"/>
      <c r="BK126" s="4"/>
      <c r="BL126" s="4"/>
      <c r="BM126" s="4"/>
      <c r="CA126" s="4"/>
      <c r="CC126" s="2"/>
      <c r="CJ126" s="4"/>
      <c r="DW126" s="15"/>
      <c r="DX126" s="15"/>
      <c r="DY126" s="15"/>
      <c r="DZ126" s="15"/>
      <c r="EA126" s="15"/>
      <c r="EB126" s="15"/>
      <c r="ET126" s="15"/>
      <c r="EU126" s="15"/>
    </row>
    <row r="127" spans="1:166" ht="11.1" customHeight="1" x14ac:dyDescent="0.2">
      <c r="A127" t="s">
        <v>969</v>
      </c>
      <c r="B127">
        <v>481</v>
      </c>
      <c r="C127">
        <v>481</v>
      </c>
      <c r="D127">
        <v>481</v>
      </c>
      <c r="E127">
        <v>481</v>
      </c>
      <c r="F127">
        <v>481</v>
      </c>
      <c r="G127">
        <v>481</v>
      </c>
      <c r="H127">
        <v>481</v>
      </c>
      <c r="I127">
        <v>481</v>
      </c>
      <c r="J127">
        <v>481</v>
      </c>
      <c r="K127">
        <v>481</v>
      </c>
      <c r="L127">
        <v>481</v>
      </c>
      <c r="M127">
        <v>481</v>
      </c>
      <c r="N127">
        <v>481</v>
      </c>
      <c r="O127">
        <v>481</v>
      </c>
      <c r="P127">
        <v>481</v>
      </c>
      <c r="Q127" s="78"/>
      <c r="S127" s="2"/>
      <c r="T127" s="2"/>
      <c r="AA127" s="2"/>
      <c r="AB127" s="2"/>
      <c r="AC127" s="2"/>
      <c r="AP127" s="2"/>
      <c r="AQ127" s="4"/>
      <c r="BE127" s="4"/>
      <c r="BH127" s="4"/>
      <c r="BI127" s="4"/>
      <c r="BJ127" s="4"/>
      <c r="BK127" s="4"/>
      <c r="BL127" s="4"/>
      <c r="BM127" s="4"/>
      <c r="CA127" s="4"/>
      <c r="CC127" s="2"/>
      <c r="CJ127" s="4"/>
      <c r="DW127" s="15"/>
      <c r="DX127" s="15"/>
      <c r="DY127" s="15"/>
      <c r="DZ127" s="15"/>
      <c r="EA127" s="15"/>
      <c r="EB127" s="15"/>
      <c r="ET127" s="15"/>
      <c r="EU127" s="15"/>
    </row>
    <row r="128" spans="1:166" ht="11.1" customHeight="1" x14ac:dyDescent="0.2">
      <c r="A128" s="40" t="s">
        <v>970</v>
      </c>
      <c r="B128" s="63">
        <f>B90/B127</f>
        <v>4.5473657526133356E-3</v>
      </c>
      <c r="C128" s="63">
        <f t="shared" ref="C128:P128" si="357">C90/C127</f>
        <v>4.5554210113599378E-3</v>
      </c>
      <c r="D128" s="63">
        <f t="shared" si="357"/>
        <v>4.3535785568561275E-3</v>
      </c>
      <c r="E128" s="63">
        <f t="shared" si="357"/>
        <v>4.108805854243466E-3</v>
      </c>
      <c r="F128" s="63">
        <f t="shared" si="357"/>
        <v>4.3253084452417817E-3</v>
      </c>
      <c r="G128" s="63">
        <f t="shared" si="357"/>
        <v>4.581771453696982E-3</v>
      </c>
      <c r="H128" s="63">
        <f t="shared" si="357"/>
        <v>4.5327283447164218E-3</v>
      </c>
      <c r="I128" s="63">
        <f t="shared" si="357"/>
        <v>4.6663045062089251E-3</v>
      </c>
      <c r="J128" s="63">
        <f t="shared" si="357"/>
        <v>4.6334757011199101E-3</v>
      </c>
      <c r="K128" s="63">
        <f t="shared" si="357"/>
        <v>3.8835590995623774E-3</v>
      </c>
      <c r="L128" s="63">
        <f t="shared" si="357"/>
        <v>4.473829726330235E-3</v>
      </c>
      <c r="M128" s="63">
        <f t="shared" si="357"/>
        <v>4.38737583496692E-3</v>
      </c>
      <c r="N128" s="63">
        <f t="shared" si="357"/>
        <v>4.3260877780666633E-3</v>
      </c>
      <c r="O128" s="63">
        <f t="shared" si="357"/>
        <v>4.5457100378464054E-3</v>
      </c>
      <c r="P128" s="63">
        <f t="shared" si="357"/>
        <v>0</v>
      </c>
      <c r="Q128" s="78"/>
      <c r="S128" s="2"/>
      <c r="T128" s="2"/>
      <c r="AA128" s="2"/>
      <c r="AB128" s="2"/>
      <c r="AC128" s="2"/>
      <c r="AI128" s="78"/>
      <c r="AP128" s="2"/>
      <c r="AQ128" s="13"/>
      <c r="BE128" s="13"/>
      <c r="BH128" s="13"/>
      <c r="BI128" s="13"/>
      <c r="BJ128" s="13"/>
      <c r="BK128" s="13"/>
      <c r="BL128" s="13"/>
      <c r="BM128" s="13"/>
      <c r="CA128" s="13"/>
      <c r="CC128" s="2"/>
      <c r="CJ128" s="13"/>
      <c r="CZ128" s="3"/>
      <c r="DW128" s="1"/>
      <c r="DX128" s="1"/>
      <c r="DY128" s="1"/>
      <c r="DZ128" s="1"/>
      <c r="EA128" s="1"/>
      <c r="EB128" s="1"/>
      <c r="ET128" s="1"/>
      <c r="EU128" s="1"/>
    </row>
    <row r="129" spans="1:151" ht="11.1" customHeight="1" x14ac:dyDescent="0.2">
      <c r="A129" s="1"/>
      <c r="S129" s="2"/>
      <c r="T129" s="2"/>
      <c r="AA129" s="2"/>
      <c r="AB129" s="2"/>
      <c r="AC129" s="2"/>
      <c r="AP129" s="2"/>
      <c r="AQ129" s="13"/>
      <c r="BE129" s="13"/>
      <c r="BH129" s="13"/>
      <c r="BI129" s="13"/>
      <c r="BJ129" s="13"/>
      <c r="BK129" s="13"/>
      <c r="BL129" s="13"/>
      <c r="BM129" s="13"/>
      <c r="CA129" s="13"/>
      <c r="CC129" s="2"/>
      <c r="CJ129" s="13"/>
      <c r="DW129" s="1"/>
      <c r="DX129" s="1"/>
      <c r="DY129" s="1"/>
      <c r="DZ129" s="1"/>
      <c r="EA129" s="1"/>
      <c r="EB129" s="1"/>
      <c r="ET129" s="1"/>
      <c r="EU129" s="1"/>
    </row>
    <row r="130" spans="1:151" ht="11.1" customHeight="1" x14ac:dyDescent="0.2">
      <c r="A130" s="1"/>
      <c r="B130" s="30">
        <f t="shared" ref="B130:B135" si="358">B113/B122</f>
        <v>1.3594470046082947</v>
      </c>
      <c r="E130" s="2"/>
      <c r="F130" s="2"/>
      <c r="G130" s="2"/>
      <c r="H130" s="2"/>
      <c r="I130" s="2"/>
      <c r="J130" s="2"/>
      <c r="M130" s="2"/>
      <c r="N130" s="2"/>
      <c r="O130" s="2"/>
      <c r="Q130" s="78"/>
      <c r="S130" s="2"/>
      <c r="T130" s="2"/>
      <c r="AA130" s="2"/>
      <c r="AB130" s="2"/>
      <c r="AC130" s="2"/>
      <c r="AI130" s="78"/>
      <c r="AP130" s="2"/>
      <c r="AQ130" s="13"/>
      <c r="BE130" s="13"/>
      <c r="BH130" s="13"/>
      <c r="BI130" s="13"/>
      <c r="BJ130" s="13"/>
      <c r="BK130" s="13"/>
      <c r="BL130" s="13"/>
      <c r="BM130" s="13"/>
      <c r="CA130" s="13"/>
      <c r="CC130" s="2"/>
      <c r="CJ130" s="13"/>
      <c r="CZ130" s="2"/>
      <c r="DW130" s="1"/>
      <c r="DX130" s="1"/>
      <c r="DY130" s="1"/>
      <c r="DZ130" s="1"/>
      <c r="EA130" s="1"/>
      <c r="EB130" s="1"/>
      <c r="ET130" s="1"/>
      <c r="EU130" s="1"/>
    </row>
    <row r="131" spans="1:151" ht="11.1" customHeight="1" x14ac:dyDescent="0.2">
      <c r="A131" s="1"/>
      <c r="B131" s="30">
        <f t="shared" si="358"/>
        <v>1.1029411764705883</v>
      </c>
      <c r="E131" s="78"/>
      <c r="F131" s="78"/>
      <c r="G131" s="78"/>
      <c r="H131" s="78"/>
      <c r="I131" s="78"/>
      <c r="J131" s="78"/>
      <c r="M131" s="78"/>
      <c r="N131" s="78"/>
      <c r="O131" s="78"/>
      <c r="Q131" s="78"/>
      <c r="S131" s="2"/>
      <c r="T131" s="2"/>
      <c r="AA131" s="2"/>
      <c r="AB131" s="2"/>
      <c r="AC131" s="2"/>
      <c r="AI131" s="78"/>
      <c r="AP131" s="2"/>
      <c r="AQ131" s="13"/>
      <c r="BE131" s="13"/>
      <c r="BH131" s="13"/>
      <c r="BI131" s="13"/>
      <c r="BJ131" s="13"/>
      <c r="BK131" s="13"/>
      <c r="BL131" s="13"/>
      <c r="BM131" s="13"/>
      <c r="CA131" s="13"/>
      <c r="CC131" s="2"/>
      <c r="CJ131" s="13"/>
      <c r="CZ131" s="78"/>
      <c r="DW131" s="1"/>
      <c r="DX131" s="1"/>
      <c r="DY131" s="1"/>
      <c r="DZ131" s="1"/>
      <c r="EA131" s="1"/>
      <c r="EB131" s="1"/>
      <c r="ET131" s="1"/>
      <c r="EU131" s="1"/>
    </row>
    <row r="132" spans="1:151" ht="11.1" customHeight="1" x14ac:dyDescent="0.2">
      <c r="A132" s="1"/>
      <c r="B132" s="30">
        <f t="shared" si="358"/>
        <v>1.1830131445904952</v>
      </c>
      <c r="Q132" s="78"/>
      <c r="S132" s="2"/>
      <c r="T132" s="2"/>
      <c r="AA132" s="2"/>
      <c r="AB132" s="2"/>
      <c r="AC132" s="2"/>
      <c r="AI132" s="78"/>
      <c r="AP132" s="2"/>
      <c r="AQ132" s="13"/>
      <c r="BE132" s="13"/>
      <c r="BH132" s="13"/>
      <c r="BI132" s="13"/>
      <c r="BJ132" s="13"/>
      <c r="BK132" s="13"/>
      <c r="BL132" s="13"/>
      <c r="BM132" s="13"/>
      <c r="CA132" s="13"/>
      <c r="CC132" s="2"/>
      <c r="CJ132" s="13"/>
      <c r="DW132" s="1"/>
      <c r="DX132" s="1"/>
      <c r="DY132" s="1"/>
      <c r="DZ132" s="1"/>
      <c r="EA132" s="1"/>
      <c r="EB132" s="1"/>
      <c r="ET132" s="1"/>
      <c r="EU132" s="1"/>
    </row>
    <row r="133" spans="1:151" ht="11.1" customHeight="1" x14ac:dyDescent="0.2">
      <c r="B133" s="30">
        <f t="shared" si="358"/>
        <v>1.4089347079037799</v>
      </c>
      <c r="E133" s="2"/>
      <c r="F133" s="2"/>
      <c r="G133" s="2"/>
      <c r="H133" s="2"/>
      <c r="I133" s="2"/>
      <c r="J133" s="2"/>
      <c r="M133" s="2"/>
      <c r="N133" s="2"/>
      <c r="O133" s="2"/>
      <c r="Q133" s="78"/>
      <c r="AI133" s="78"/>
      <c r="CZ133" s="2"/>
    </row>
    <row r="134" spans="1:151" ht="11.1" customHeight="1" x14ac:dyDescent="0.2">
      <c r="B134" s="30">
        <f t="shared" si="358"/>
        <v>1.1466165413533835</v>
      </c>
      <c r="Q134" s="78"/>
      <c r="AI134" s="78"/>
    </row>
    <row r="135" spans="1:151" ht="11.1" customHeight="1" x14ac:dyDescent="0.2">
      <c r="B135" s="30">
        <f t="shared" si="358"/>
        <v>1.2370062370062369</v>
      </c>
      <c r="Q135" s="78"/>
      <c r="AI135" s="78"/>
    </row>
    <row r="136" spans="1:151" ht="11.1" customHeight="1" x14ac:dyDescent="0.2">
      <c r="Q136" s="78"/>
      <c r="AI136" s="78"/>
    </row>
    <row r="137" spans="1:151" ht="11.1" customHeight="1" x14ac:dyDescent="0.2">
      <c r="L137" s="7"/>
      <c r="Q137" s="50"/>
      <c r="AI137" s="50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rgb="FFFF99FF"/>
  </sheetPr>
  <dimension ref="A1:AS726"/>
  <sheetViews>
    <sheetView zoomScale="120" zoomScaleNormal="120" workbookViewId="0">
      <pane xSplit="3" ySplit="2" topLeftCell="AB33" activePane="bottomRight" state="frozen"/>
      <selection pane="topRight" activeCell="C1" sqref="C1"/>
      <selection pane="bottomLeft" activeCell="A3" sqref="A3"/>
      <selection pane="bottomRight" activeCell="AB33" sqref="AB33"/>
    </sheetView>
  </sheetViews>
  <sheetFormatPr defaultColWidth="9.33203125" defaultRowHeight="12.75" x14ac:dyDescent="0.2"/>
  <cols>
    <col min="1" max="1" width="4.6640625" style="527" bestFit="1" customWidth="1"/>
    <col min="2" max="2" width="2" style="527" customWidth="1"/>
    <col min="3" max="3" width="33.5" style="527" customWidth="1"/>
    <col min="4" max="4" width="15.1640625" style="527" hidden="1" customWidth="1"/>
    <col min="5" max="5" width="12.5" style="527" hidden="1" customWidth="1"/>
    <col min="6" max="6" width="11.83203125" style="527" hidden="1" customWidth="1"/>
    <col min="7" max="7" width="15.1640625" style="527" hidden="1" customWidth="1"/>
    <col min="8" max="9" width="11.6640625" style="527" hidden="1" customWidth="1"/>
    <col min="10" max="10" width="7.1640625" style="527" customWidth="1"/>
    <col min="11" max="11" width="11.83203125" style="527" customWidth="1"/>
    <col min="12" max="12" width="6.33203125" style="527" bestFit="1" customWidth="1"/>
    <col min="13" max="14" width="5.83203125" style="527" customWidth="1"/>
    <col min="15" max="21" width="9.33203125" style="613"/>
    <col min="22" max="22" width="4.1640625" style="527" customWidth="1"/>
    <col min="23" max="29" width="9.33203125" style="527"/>
    <col min="30" max="30" width="2.1640625" style="527" customWidth="1"/>
    <col min="31" max="31" width="4.33203125" style="527" customWidth="1"/>
    <col min="32" max="32" width="12" style="527" customWidth="1"/>
    <col min="33" max="33" width="9.33203125" style="527"/>
    <col min="34" max="34" width="3.83203125" style="527" customWidth="1"/>
    <col min="35" max="35" width="9.33203125" style="527"/>
    <col min="36" max="36" width="11.83203125" style="527" bestFit="1" customWidth="1"/>
    <col min="37" max="38" width="9.33203125" style="527"/>
    <col min="39" max="42" width="11.83203125" style="527" bestFit="1" customWidth="1"/>
    <col min="43" max="43" width="11.83203125" style="527" customWidth="1"/>
    <col min="44" max="44" width="11.83203125" style="527" bestFit="1" customWidth="1"/>
    <col min="45" max="45" width="9.33203125" style="527"/>
  </cols>
  <sheetData>
    <row r="1" spans="1:45" ht="26.25" thickBot="1" x14ac:dyDescent="0.25">
      <c r="A1" s="611"/>
      <c r="B1" s="611"/>
      <c r="C1" s="962">
        <v>45677</v>
      </c>
      <c r="D1" s="636"/>
      <c r="E1" s="636"/>
      <c r="F1" s="842"/>
      <c r="G1" s="636"/>
      <c r="H1" s="636"/>
      <c r="I1" s="797"/>
      <c r="J1" s="798"/>
      <c r="K1" s="798"/>
      <c r="L1" s="613"/>
      <c r="M1" s="990" t="s">
        <v>3459</v>
      </c>
      <c r="N1" s="990"/>
      <c r="O1" s="989" t="s">
        <v>2442</v>
      </c>
      <c r="P1" s="989"/>
      <c r="Q1" s="989"/>
      <c r="R1" s="989"/>
      <c r="S1" s="989"/>
      <c r="T1" s="975"/>
      <c r="U1" s="966"/>
      <c r="V1" s="799"/>
      <c r="W1" s="989" t="s">
        <v>3378</v>
      </c>
      <c r="X1" s="989"/>
      <c r="Y1" s="989"/>
      <c r="Z1" s="989"/>
      <c r="AA1" s="989"/>
      <c r="AB1" s="975"/>
      <c r="AC1" s="799"/>
      <c r="AE1" s="800"/>
      <c r="AF1" s="801"/>
      <c r="AG1" s="756" t="s">
        <v>499</v>
      </c>
      <c r="AH1" s="796"/>
      <c r="AI1" s="611"/>
      <c r="AJ1" s="796">
        <v>45677</v>
      </c>
      <c r="AK1" s="611"/>
      <c r="AL1" s="611"/>
      <c r="AM1" s="886" t="s">
        <v>1258</v>
      </c>
      <c r="AN1" s="886" t="s">
        <v>1259</v>
      </c>
      <c r="AO1" s="886" t="s">
        <v>3461</v>
      </c>
      <c r="AP1" s="886" t="s">
        <v>3462</v>
      </c>
      <c r="AQ1" s="886" t="s">
        <v>2662</v>
      </c>
      <c r="AR1" s="886" t="s">
        <v>3874</v>
      </c>
      <c r="AS1" s="611"/>
    </row>
    <row r="2" spans="1:45" ht="13.5" thickBot="1" x14ac:dyDescent="0.25">
      <c r="A2" s="529" t="s">
        <v>1008</v>
      </c>
      <c r="B2" s="529"/>
      <c r="C2" s="532" t="s">
        <v>979</v>
      </c>
      <c r="D2" s="529" t="s">
        <v>477</v>
      </c>
      <c r="E2" s="529" t="s">
        <v>511</v>
      </c>
      <c r="F2" s="843" t="s">
        <v>2736</v>
      </c>
      <c r="G2" s="529" t="s">
        <v>1005</v>
      </c>
      <c r="H2" s="529" t="s">
        <v>2820</v>
      </c>
      <c r="I2" s="529"/>
      <c r="J2" s="529" t="s">
        <v>2735</v>
      </c>
      <c r="K2" s="529" t="s">
        <v>1005</v>
      </c>
      <c r="L2" s="633" t="s">
        <v>2735</v>
      </c>
      <c r="M2" s="959" t="s">
        <v>336</v>
      </c>
      <c r="N2" s="960" t="s">
        <v>303</v>
      </c>
      <c r="O2" s="645" t="s">
        <v>1006</v>
      </c>
      <c r="P2" s="645" t="s">
        <v>1007</v>
      </c>
      <c r="Q2" s="645" t="s">
        <v>3459</v>
      </c>
      <c r="R2" s="645" t="s">
        <v>3460</v>
      </c>
      <c r="S2" s="645" t="s">
        <v>2662</v>
      </c>
      <c r="T2" s="645" t="s">
        <v>3874</v>
      </c>
      <c r="U2" s="645" t="s">
        <v>498</v>
      </c>
      <c r="W2" s="646" t="s">
        <v>1006</v>
      </c>
      <c r="X2" s="646" t="s">
        <v>1007</v>
      </c>
      <c r="Y2" s="646" t="s">
        <v>3459</v>
      </c>
      <c r="Z2" s="646" t="s">
        <v>3460</v>
      </c>
      <c r="AA2" s="646" t="s">
        <v>2662</v>
      </c>
      <c r="AB2" s="646" t="s">
        <v>3874</v>
      </c>
      <c r="AD2" s="613"/>
      <c r="AE2" s="740"/>
      <c r="AF2" s="644" t="s">
        <v>3460</v>
      </c>
      <c r="AI2" s="838" t="s">
        <v>1014</v>
      </c>
      <c r="AJ2" s="838" t="s">
        <v>1015</v>
      </c>
      <c r="AK2" s="679"/>
      <c r="AM2" s="796">
        <v>45677</v>
      </c>
      <c r="AN2" s="796">
        <v>45677</v>
      </c>
      <c r="AO2" s="796">
        <v>45677</v>
      </c>
      <c r="AP2" s="796">
        <v>45677</v>
      </c>
      <c r="AQ2" s="796">
        <v>45677</v>
      </c>
      <c r="AR2" s="796">
        <v>45677</v>
      </c>
    </row>
    <row r="3" spans="1:45" x14ac:dyDescent="0.2">
      <c r="A3" s="527">
        <v>1</v>
      </c>
      <c r="C3" s="614" t="s">
        <v>195</v>
      </c>
      <c r="D3" s="624"/>
      <c r="E3" s="624"/>
      <c r="F3" s="844"/>
      <c r="G3" s="624"/>
      <c r="H3" s="619"/>
      <c r="I3" s="614"/>
      <c r="J3" s="612">
        <v>1982</v>
      </c>
      <c r="K3" s="612">
        <v>1982</v>
      </c>
      <c r="L3" s="613" t="s">
        <v>336</v>
      </c>
      <c r="M3" s="613">
        <f>IF(AND(L3="F",Q3=1),1,0)</f>
        <v>0</v>
      </c>
      <c r="N3" s="613">
        <f>IF(AND(L3="P",Q3=1),1,0)</f>
        <v>0</v>
      </c>
      <c r="O3" s="613">
        <v>1</v>
      </c>
      <c r="U3" s="613">
        <f>SUM(O3:T3)</f>
        <v>1</v>
      </c>
      <c r="W3" s="613">
        <f t="shared" ref="W3:W66" si="0">IF(O3=1,$J3,"I")</f>
        <v>1982</v>
      </c>
      <c r="X3" s="613" t="str">
        <f t="shared" ref="X3:X66" si="1">IF(P3=1,$J3,"I")</f>
        <v>I</v>
      </c>
      <c r="Y3" s="613" t="str">
        <f t="shared" ref="Y3:Y66" si="2">IF(Q3=1,$J3,"I")</f>
        <v>I</v>
      </c>
      <c r="Z3" s="613" t="str">
        <f t="shared" ref="Z3:Z66" si="3">IF(R3=1,$J3,"I")</f>
        <v>I</v>
      </c>
      <c r="AA3" s="613" t="str">
        <f t="shared" ref="AA3:AB66" si="4">IF(S3=1,$J3,"I")</f>
        <v>I</v>
      </c>
      <c r="AB3" s="613" t="str">
        <f t="shared" si="4"/>
        <v>I</v>
      </c>
      <c r="AD3" s="613"/>
      <c r="AE3" s="740"/>
      <c r="AF3" s="644">
        <v>1999</v>
      </c>
      <c r="AI3">
        <v>0</v>
      </c>
      <c r="AJ3">
        <v>0</v>
      </c>
      <c r="AL3" s="829"/>
      <c r="AM3" s="647"/>
      <c r="AN3" s="647"/>
      <c r="AO3" s="647"/>
      <c r="AP3" s="647"/>
      <c r="AQ3" s="647"/>
    </row>
    <row r="4" spans="1:45" x14ac:dyDescent="0.2">
      <c r="A4" s="527">
        <v>2</v>
      </c>
      <c r="C4" s="614" t="s">
        <v>140</v>
      </c>
      <c r="D4" s="624"/>
      <c r="E4" s="624"/>
      <c r="F4" s="844"/>
      <c r="G4" s="624"/>
      <c r="H4" s="619"/>
      <c r="I4" s="614"/>
      <c r="J4" s="612">
        <v>1979</v>
      </c>
      <c r="K4" s="612">
        <v>1984</v>
      </c>
      <c r="L4" s="613" t="s">
        <v>336</v>
      </c>
      <c r="M4" s="613">
        <f t="shared" ref="M4:M67" si="5">IF(AND(L4="F",Q4=1),1,0)</f>
        <v>0</v>
      </c>
      <c r="N4" s="613">
        <f t="shared" ref="N4:N67" si="6">IF(AND(L4="P",Q4=1),1,0)</f>
        <v>0</v>
      </c>
      <c r="O4" s="613">
        <v>1</v>
      </c>
      <c r="U4" s="613">
        <f t="shared" ref="U4:U67" si="7">SUM(O4:T4)</f>
        <v>1</v>
      </c>
      <c r="W4" s="613">
        <f t="shared" si="0"/>
        <v>1979</v>
      </c>
      <c r="X4" s="613" t="str">
        <f t="shared" si="1"/>
        <v>I</v>
      </c>
      <c r="Y4" s="613" t="str">
        <f t="shared" si="2"/>
        <v>I</v>
      </c>
      <c r="Z4" s="613" t="str">
        <f t="shared" si="3"/>
        <v>I</v>
      </c>
      <c r="AA4" s="613" t="str">
        <f t="shared" si="4"/>
        <v>I</v>
      </c>
      <c r="AB4" s="613" t="str">
        <f t="shared" si="4"/>
        <v>I</v>
      </c>
      <c r="AD4" s="613"/>
      <c r="AE4" s="740"/>
      <c r="AF4" s="880">
        <v>2000</v>
      </c>
      <c r="AG4" s="527">
        <v>0</v>
      </c>
      <c r="AI4">
        <v>1979</v>
      </c>
      <c r="AJ4">
        <v>0</v>
      </c>
      <c r="AL4" s="527">
        <v>1979</v>
      </c>
      <c r="AM4" s="647">
        <v>2</v>
      </c>
      <c r="AN4" s="647">
        <v>0</v>
      </c>
      <c r="AO4" s="647">
        <v>0</v>
      </c>
      <c r="AP4" s="647">
        <v>0</v>
      </c>
      <c r="AQ4" s="647">
        <v>0</v>
      </c>
    </row>
    <row r="5" spans="1:45" x14ac:dyDescent="0.2">
      <c r="A5" s="527">
        <v>3</v>
      </c>
      <c r="C5" s="614" t="s">
        <v>428</v>
      </c>
      <c r="D5" s="624"/>
      <c r="E5" s="624"/>
      <c r="F5" s="844"/>
      <c r="G5" s="624"/>
      <c r="H5" s="619"/>
      <c r="I5" s="614"/>
      <c r="J5" s="612">
        <v>1983</v>
      </c>
      <c r="K5" s="612">
        <v>1984</v>
      </c>
      <c r="L5" s="613" t="s">
        <v>336</v>
      </c>
      <c r="M5" s="613">
        <f t="shared" si="5"/>
        <v>0</v>
      </c>
      <c r="N5" s="613">
        <f t="shared" si="6"/>
        <v>0</v>
      </c>
      <c r="O5" s="613">
        <v>1</v>
      </c>
      <c r="U5" s="613">
        <f t="shared" si="7"/>
        <v>1</v>
      </c>
      <c r="W5" s="613">
        <f t="shared" si="0"/>
        <v>1983</v>
      </c>
      <c r="X5" s="613" t="str">
        <f t="shared" si="1"/>
        <v>I</v>
      </c>
      <c r="Y5" s="613" t="str">
        <f t="shared" si="2"/>
        <v>I</v>
      </c>
      <c r="Z5" s="613" t="str">
        <f t="shared" si="3"/>
        <v>I</v>
      </c>
      <c r="AA5" s="613" t="str">
        <f t="shared" si="4"/>
        <v>I</v>
      </c>
      <c r="AB5" s="613" t="str">
        <f t="shared" si="4"/>
        <v>I</v>
      </c>
      <c r="AD5" s="613"/>
      <c r="AE5" s="740"/>
      <c r="AF5" s="644">
        <v>2000</v>
      </c>
      <c r="AG5" s="527">
        <v>1979</v>
      </c>
      <c r="AI5">
        <v>1980</v>
      </c>
      <c r="AJ5">
        <v>0</v>
      </c>
      <c r="AL5" s="527">
        <v>1980</v>
      </c>
      <c r="AM5" s="647">
        <v>1</v>
      </c>
      <c r="AN5" s="647">
        <v>0</v>
      </c>
      <c r="AO5" s="647">
        <v>0</v>
      </c>
      <c r="AP5" s="647">
        <v>0</v>
      </c>
      <c r="AQ5" s="647">
        <v>0</v>
      </c>
    </row>
    <row r="6" spans="1:45" x14ac:dyDescent="0.2">
      <c r="A6" s="527">
        <v>4</v>
      </c>
      <c r="C6" s="527" t="s">
        <v>1009</v>
      </c>
      <c r="D6" s="624"/>
      <c r="E6" s="624"/>
      <c r="F6" s="844"/>
      <c r="G6" s="624"/>
      <c r="H6" s="619"/>
      <c r="J6" s="612">
        <v>1983</v>
      </c>
      <c r="K6" s="612">
        <v>1984</v>
      </c>
      <c r="L6" s="613" t="s">
        <v>336</v>
      </c>
      <c r="M6" s="613">
        <f t="shared" si="5"/>
        <v>0</v>
      </c>
      <c r="N6" s="613">
        <f t="shared" si="6"/>
        <v>0</v>
      </c>
      <c r="O6" s="613">
        <v>1</v>
      </c>
      <c r="U6" s="613">
        <f t="shared" si="7"/>
        <v>1</v>
      </c>
      <c r="W6" s="613">
        <f t="shared" si="0"/>
        <v>1983</v>
      </c>
      <c r="X6" s="613" t="str">
        <f t="shared" si="1"/>
        <v>I</v>
      </c>
      <c r="Y6" s="613" t="str">
        <f t="shared" si="2"/>
        <v>I</v>
      </c>
      <c r="Z6" s="613" t="str">
        <f t="shared" si="3"/>
        <v>I</v>
      </c>
      <c r="AA6" s="613" t="str">
        <f t="shared" si="4"/>
        <v>I</v>
      </c>
      <c r="AB6" s="613" t="str">
        <f t="shared" si="4"/>
        <v>I</v>
      </c>
      <c r="AD6" s="613"/>
      <c r="AE6" s="740"/>
      <c r="AF6" s="644">
        <v>2001</v>
      </c>
      <c r="AG6" s="527">
        <v>1980</v>
      </c>
      <c r="AI6">
        <v>1981</v>
      </c>
      <c r="AJ6">
        <v>0</v>
      </c>
      <c r="AL6" s="527">
        <v>1981</v>
      </c>
      <c r="AM6" s="647">
        <v>0</v>
      </c>
      <c r="AN6" s="647">
        <v>0</v>
      </c>
      <c r="AO6" s="647">
        <v>0</v>
      </c>
      <c r="AP6" s="647">
        <v>0</v>
      </c>
      <c r="AQ6" s="647">
        <v>0</v>
      </c>
    </row>
    <row r="7" spans="1:45" x14ac:dyDescent="0.2">
      <c r="A7" s="527">
        <v>5</v>
      </c>
      <c r="C7" s="614" t="s">
        <v>144</v>
      </c>
      <c r="D7" s="624"/>
      <c r="E7" s="624"/>
      <c r="F7" s="844"/>
      <c r="G7" s="624"/>
      <c r="H7" s="619"/>
      <c r="I7" s="614"/>
      <c r="J7" s="612">
        <v>1980</v>
      </c>
      <c r="K7" s="612">
        <v>1987</v>
      </c>
      <c r="L7" s="613" t="s">
        <v>336</v>
      </c>
      <c r="M7" s="613">
        <f t="shared" si="5"/>
        <v>0</v>
      </c>
      <c r="N7" s="613">
        <f t="shared" si="6"/>
        <v>0</v>
      </c>
      <c r="O7" s="613">
        <v>1</v>
      </c>
      <c r="U7" s="613">
        <f t="shared" si="7"/>
        <v>1</v>
      </c>
      <c r="W7" s="613">
        <f t="shared" si="0"/>
        <v>1980</v>
      </c>
      <c r="X7" s="613" t="str">
        <f t="shared" si="1"/>
        <v>I</v>
      </c>
      <c r="Y7" s="613" t="str">
        <f t="shared" si="2"/>
        <v>I</v>
      </c>
      <c r="Z7" s="613" t="str">
        <f t="shared" si="3"/>
        <v>I</v>
      </c>
      <c r="AA7" s="613" t="str">
        <f t="shared" si="4"/>
        <v>I</v>
      </c>
      <c r="AB7" s="613" t="str">
        <f t="shared" si="4"/>
        <v>I</v>
      </c>
      <c r="AD7" s="613"/>
      <c r="AE7" s="740"/>
      <c r="AF7" s="644">
        <v>2001</v>
      </c>
      <c r="AG7" s="527">
        <v>1981</v>
      </c>
      <c r="AI7">
        <v>1982</v>
      </c>
      <c r="AJ7">
        <v>0</v>
      </c>
      <c r="AL7" s="527">
        <v>1982</v>
      </c>
      <c r="AM7" s="647">
        <v>1</v>
      </c>
      <c r="AN7" s="647">
        <v>0</v>
      </c>
      <c r="AO7" s="647">
        <v>0</v>
      </c>
      <c r="AP7" s="647">
        <v>0</v>
      </c>
      <c r="AQ7" s="647">
        <v>0</v>
      </c>
    </row>
    <row r="8" spans="1:45" x14ac:dyDescent="0.2">
      <c r="A8" s="527">
        <v>6</v>
      </c>
      <c r="C8" s="614" t="s">
        <v>145</v>
      </c>
      <c r="D8" s="624"/>
      <c r="E8" s="624"/>
      <c r="F8" s="844"/>
      <c r="G8" s="624"/>
      <c r="H8" s="619"/>
      <c r="I8" s="614"/>
      <c r="J8" s="612">
        <v>1987</v>
      </c>
      <c r="K8" s="612">
        <v>1989</v>
      </c>
      <c r="L8" s="613" t="s">
        <v>336</v>
      </c>
      <c r="M8" s="613">
        <f t="shared" si="5"/>
        <v>0</v>
      </c>
      <c r="N8" s="613">
        <f t="shared" si="6"/>
        <v>0</v>
      </c>
      <c r="O8" s="613">
        <v>1</v>
      </c>
      <c r="U8" s="613">
        <f t="shared" si="7"/>
        <v>1</v>
      </c>
      <c r="W8" s="613">
        <f t="shared" si="0"/>
        <v>1987</v>
      </c>
      <c r="X8" s="613" t="str">
        <f t="shared" si="1"/>
        <v>I</v>
      </c>
      <c r="Y8" s="613" t="str">
        <f t="shared" si="2"/>
        <v>I</v>
      </c>
      <c r="Z8" s="613" t="str">
        <f t="shared" si="3"/>
        <v>I</v>
      </c>
      <c r="AA8" s="613" t="str">
        <f t="shared" si="4"/>
        <v>I</v>
      </c>
      <c r="AB8" s="613" t="str">
        <f t="shared" si="4"/>
        <v>I</v>
      </c>
      <c r="AD8" s="613"/>
      <c r="AE8" s="740"/>
      <c r="AF8" s="644">
        <v>2001</v>
      </c>
      <c r="AG8" s="527">
        <v>1982</v>
      </c>
      <c r="AI8">
        <v>1983</v>
      </c>
      <c r="AJ8">
        <v>0</v>
      </c>
      <c r="AL8" s="527">
        <v>1983</v>
      </c>
      <c r="AM8" s="647">
        <v>2</v>
      </c>
      <c r="AN8" s="647">
        <v>0</v>
      </c>
      <c r="AO8" s="647">
        <v>0</v>
      </c>
      <c r="AP8" s="647">
        <v>0</v>
      </c>
      <c r="AQ8" s="647">
        <v>0</v>
      </c>
    </row>
    <row r="9" spans="1:45" x14ac:dyDescent="0.2">
      <c r="A9" s="527">
        <v>7</v>
      </c>
      <c r="C9" s="614" t="s">
        <v>1010</v>
      </c>
      <c r="D9" s="624"/>
      <c r="E9" s="624"/>
      <c r="F9" s="844"/>
      <c r="G9" s="624"/>
      <c r="H9" s="619"/>
      <c r="I9" s="614"/>
      <c r="J9" s="612">
        <v>1989</v>
      </c>
      <c r="K9" s="612">
        <v>1989</v>
      </c>
      <c r="L9" s="613" t="s">
        <v>336</v>
      </c>
      <c r="M9" s="613">
        <f t="shared" si="5"/>
        <v>0</v>
      </c>
      <c r="N9" s="613">
        <f t="shared" si="6"/>
        <v>0</v>
      </c>
      <c r="O9" s="613">
        <v>1</v>
      </c>
      <c r="U9" s="613">
        <f t="shared" si="7"/>
        <v>1</v>
      </c>
      <c r="W9" s="613">
        <f t="shared" si="0"/>
        <v>1989</v>
      </c>
      <c r="X9" s="613" t="str">
        <f t="shared" si="1"/>
        <v>I</v>
      </c>
      <c r="Y9" s="613" t="str">
        <f t="shared" si="2"/>
        <v>I</v>
      </c>
      <c r="Z9" s="613" t="str">
        <f t="shared" si="3"/>
        <v>I</v>
      </c>
      <c r="AA9" s="613" t="str">
        <f t="shared" si="4"/>
        <v>I</v>
      </c>
      <c r="AB9" s="613" t="str">
        <f t="shared" si="4"/>
        <v>I</v>
      </c>
      <c r="AD9" s="613"/>
      <c r="AE9" s="740"/>
      <c r="AF9" s="644">
        <v>2001</v>
      </c>
      <c r="AG9" s="527">
        <v>1983</v>
      </c>
      <c r="AI9">
        <v>1984</v>
      </c>
      <c r="AJ9">
        <v>0</v>
      </c>
      <c r="AL9" s="527">
        <v>1984</v>
      </c>
      <c r="AM9" s="647">
        <v>0</v>
      </c>
      <c r="AN9" s="647">
        <v>0</v>
      </c>
      <c r="AO9" s="647">
        <v>0</v>
      </c>
      <c r="AP9" s="647">
        <v>0</v>
      </c>
      <c r="AQ9" s="647">
        <v>0</v>
      </c>
    </row>
    <row r="10" spans="1:45" x14ac:dyDescent="0.2">
      <c r="A10" s="527">
        <v>8</v>
      </c>
      <c r="C10" s="527" t="s">
        <v>1011</v>
      </c>
      <c r="D10" s="624"/>
      <c r="E10" s="624"/>
      <c r="F10" s="844"/>
      <c r="G10" s="624"/>
      <c r="H10" s="619"/>
      <c r="J10" s="612">
        <v>1989</v>
      </c>
      <c r="K10" s="612">
        <v>1989</v>
      </c>
      <c r="L10" s="613" t="s">
        <v>336</v>
      </c>
      <c r="M10" s="613">
        <f t="shared" si="5"/>
        <v>0</v>
      </c>
      <c r="N10" s="613">
        <f t="shared" si="6"/>
        <v>0</v>
      </c>
      <c r="O10" s="613">
        <v>1</v>
      </c>
      <c r="U10" s="613">
        <f t="shared" si="7"/>
        <v>1</v>
      </c>
      <c r="W10" s="613">
        <f t="shared" si="0"/>
        <v>1989</v>
      </c>
      <c r="X10" s="613" t="str">
        <f t="shared" si="1"/>
        <v>I</v>
      </c>
      <c r="Y10" s="613" t="str">
        <f t="shared" si="2"/>
        <v>I</v>
      </c>
      <c r="Z10" s="613" t="str">
        <f t="shared" si="3"/>
        <v>I</v>
      </c>
      <c r="AA10" s="613" t="str">
        <f t="shared" si="4"/>
        <v>I</v>
      </c>
      <c r="AB10" s="613" t="str">
        <f t="shared" si="4"/>
        <v>I</v>
      </c>
      <c r="AD10" s="613"/>
      <c r="AE10" s="740"/>
      <c r="AF10" s="644">
        <v>2001</v>
      </c>
      <c r="AG10" s="527">
        <v>1984</v>
      </c>
      <c r="AI10">
        <v>1985</v>
      </c>
      <c r="AJ10">
        <v>0</v>
      </c>
      <c r="AL10" s="527">
        <v>1985</v>
      </c>
      <c r="AM10" s="647">
        <v>0</v>
      </c>
      <c r="AN10" s="647">
        <v>0</v>
      </c>
      <c r="AO10" s="647">
        <v>0</v>
      </c>
      <c r="AP10" s="647">
        <v>0</v>
      </c>
      <c r="AQ10" s="647">
        <v>0</v>
      </c>
    </row>
    <row r="11" spans="1:45" x14ac:dyDescent="0.2">
      <c r="A11" s="527">
        <v>9</v>
      </c>
      <c r="C11" s="527" t="s">
        <v>138</v>
      </c>
      <c r="D11" s="624"/>
      <c r="E11" s="624"/>
      <c r="F11" s="844"/>
      <c r="G11" s="624"/>
      <c r="H11" s="619"/>
      <c r="J11" s="612">
        <v>1987</v>
      </c>
      <c r="K11" s="612">
        <v>1989</v>
      </c>
      <c r="L11" s="613" t="s">
        <v>336</v>
      </c>
      <c r="M11" s="613">
        <f t="shared" si="5"/>
        <v>0</v>
      </c>
      <c r="N11" s="613">
        <f t="shared" si="6"/>
        <v>0</v>
      </c>
      <c r="O11" s="613">
        <v>1</v>
      </c>
      <c r="U11" s="613">
        <f t="shared" si="7"/>
        <v>1</v>
      </c>
      <c r="W11" s="613">
        <f t="shared" si="0"/>
        <v>1987</v>
      </c>
      <c r="X11" s="613" t="str">
        <f t="shared" si="1"/>
        <v>I</v>
      </c>
      <c r="Y11" s="613" t="str">
        <f t="shared" si="2"/>
        <v>I</v>
      </c>
      <c r="Z11" s="613" t="str">
        <f t="shared" si="3"/>
        <v>I</v>
      </c>
      <c r="AA11" s="613" t="str">
        <f t="shared" si="4"/>
        <v>I</v>
      </c>
      <c r="AB11" s="613" t="str">
        <f t="shared" si="4"/>
        <v>I</v>
      </c>
      <c r="AD11" s="613"/>
      <c r="AE11" s="740"/>
      <c r="AF11" s="644">
        <v>2001</v>
      </c>
      <c r="AG11" s="527">
        <v>1985</v>
      </c>
      <c r="AI11">
        <v>1986</v>
      </c>
      <c r="AJ11">
        <v>0</v>
      </c>
      <c r="AL11" s="527">
        <v>1986</v>
      </c>
      <c r="AM11" s="647">
        <v>0</v>
      </c>
      <c r="AN11" s="647">
        <v>0</v>
      </c>
      <c r="AO11" s="647">
        <v>0</v>
      </c>
      <c r="AP11" s="647">
        <v>0</v>
      </c>
      <c r="AQ11" s="647">
        <v>0</v>
      </c>
    </row>
    <row r="12" spans="1:45" x14ac:dyDescent="0.2">
      <c r="A12" s="527">
        <v>10</v>
      </c>
      <c r="C12" s="614" t="s">
        <v>147</v>
      </c>
      <c r="D12" s="624"/>
      <c r="E12" s="624"/>
      <c r="F12" s="844"/>
      <c r="G12" s="624"/>
      <c r="H12" s="619"/>
      <c r="I12" s="614"/>
      <c r="J12" s="612">
        <v>1988</v>
      </c>
      <c r="K12" s="612">
        <v>1990</v>
      </c>
      <c r="L12" s="613" t="s">
        <v>336</v>
      </c>
      <c r="M12" s="613">
        <f t="shared" si="5"/>
        <v>0</v>
      </c>
      <c r="N12" s="613">
        <f t="shared" si="6"/>
        <v>0</v>
      </c>
      <c r="O12" s="613">
        <v>1</v>
      </c>
      <c r="U12" s="613">
        <f t="shared" si="7"/>
        <v>1</v>
      </c>
      <c r="W12" s="613">
        <f t="shared" si="0"/>
        <v>1988</v>
      </c>
      <c r="X12" s="613" t="str">
        <f t="shared" si="1"/>
        <v>I</v>
      </c>
      <c r="Y12" s="613" t="str">
        <f t="shared" si="2"/>
        <v>I</v>
      </c>
      <c r="Z12" s="613" t="str">
        <f t="shared" si="3"/>
        <v>I</v>
      </c>
      <c r="AA12" s="613" t="str">
        <f t="shared" si="4"/>
        <v>I</v>
      </c>
      <c r="AB12" s="613" t="str">
        <f t="shared" si="4"/>
        <v>I</v>
      </c>
      <c r="AD12" s="613"/>
      <c r="AE12" s="740"/>
      <c r="AF12" s="644">
        <v>2001</v>
      </c>
      <c r="AG12" s="527">
        <v>1986</v>
      </c>
      <c r="AI12">
        <v>1987</v>
      </c>
      <c r="AJ12">
        <v>0</v>
      </c>
      <c r="AL12" s="527">
        <v>1987</v>
      </c>
      <c r="AM12" s="647">
        <v>2</v>
      </c>
      <c r="AN12" s="647">
        <v>0</v>
      </c>
      <c r="AO12" s="647">
        <v>0</v>
      </c>
      <c r="AP12" s="647">
        <v>0</v>
      </c>
      <c r="AQ12" s="647">
        <v>0</v>
      </c>
    </row>
    <row r="13" spans="1:45" x14ac:dyDescent="0.2">
      <c r="A13" s="527">
        <v>11</v>
      </c>
      <c r="C13" s="614" t="s">
        <v>142</v>
      </c>
      <c r="D13" s="624"/>
      <c r="E13" s="624"/>
      <c r="F13" s="844"/>
      <c r="G13" s="624"/>
      <c r="H13" s="619"/>
      <c r="I13" s="614"/>
      <c r="J13" s="628">
        <v>1990</v>
      </c>
      <c r="K13" s="612">
        <v>1991</v>
      </c>
      <c r="L13" s="613" t="s">
        <v>336</v>
      </c>
      <c r="M13" s="613">
        <f t="shared" si="5"/>
        <v>0</v>
      </c>
      <c r="N13" s="613">
        <f t="shared" si="6"/>
        <v>0</v>
      </c>
      <c r="P13" s="613">
        <v>1</v>
      </c>
      <c r="U13" s="613">
        <f t="shared" si="7"/>
        <v>1</v>
      </c>
      <c r="W13" s="613" t="str">
        <f t="shared" si="0"/>
        <v>I</v>
      </c>
      <c r="X13" s="613">
        <f t="shared" si="1"/>
        <v>1990</v>
      </c>
      <c r="Y13" s="613" t="str">
        <f t="shared" si="2"/>
        <v>I</v>
      </c>
      <c r="Z13" s="613" t="str">
        <f t="shared" si="3"/>
        <v>I</v>
      </c>
      <c r="AA13" s="613" t="str">
        <f t="shared" si="4"/>
        <v>I</v>
      </c>
      <c r="AB13" s="613" t="str">
        <f t="shared" si="4"/>
        <v>I</v>
      </c>
      <c r="AD13" s="613"/>
      <c r="AE13" s="740"/>
      <c r="AF13" s="644">
        <v>2001</v>
      </c>
      <c r="AG13" s="527">
        <v>1987</v>
      </c>
      <c r="AI13">
        <v>1988</v>
      </c>
      <c r="AJ13">
        <v>0</v>
      </c>
      <c r="AL13" s="527">
        <v>1988</v>
      </c>
      <c r="AM13" s="647">
        <v>1</v>
      </c>
      <c r="AN13" s="647">
        <v>0</v>
      </c>
      <c r="AO13" s="647">
        <v>0</v>
      </c>
      <c r="AP13" s="647">
        <v>0</v>
      </c>
      <c r="AQ13" s="647">
        <v>0</v>
      </c>
    </row>
    <row r="14" spans="1:45" x14ac:dyDescent="0.2">
      <c r="A14" s="527">
        <v>12</v>
      </c>
      <c r="C14" s="614" t="s">
        <v>146</v>
      </c>
      <c r="D14" s="624"/>
      <c r="E14" s="624"/>
      <c r="F14" s="844"/>
      <c r="G14" s="624"/>
      <c r="H14" s="619"/>
      <c r="I14" s="614"/>
      <c r="J14" s="612">
        <v>1979</v>
      </c>
      <c r="K14" s="612">
        <v>1992</v>
      </c>
      <c r="L14" s="613" t="s">
        <v>336</v>
      </c>
      <c r="M14" s="613">
        <f t="shared" si="5"/>
        <v>0</v>
      </c>
      <c r="N14" s="613">
        <f t="shared" si="6"/>
        <v>0</v>
      </c>
      <c r="O14" s="613">
        <v>1</v>
      </c>
      <c r="U14" s="613">
        <f t="shared" si="7"/>
        <v>1</v>
      </c>
      <c r="W14" s="613">
        <f t="shared" si="0"/>
        <v>1979</v>
      </c>
      <c r="X14" s="613" t="str">
        <f t="shared" si="1"/>
        <v>I</v>
      </c>
      <c r="Y14" s="613" t="str">
        <f t="shared" si="2"/>
        <v>I</v>
      </c>
      <c r="Z14" s="613" t="str">
        <f t="shared" si="3"/>
        <v>I</v>
      </c>
      <c r="AA14" s="613" t="str">
        <f t="shared" si="4"/>
        <v>I</v>
      </c>
      <c r="AB14" s="613" t="str">
        <f t="shared" si="4"/>
        <v>I</v>
      </c>
      <c r="AD14" s="613"/>
      <c r="AE14" s="740"/>
      <c r="AF14" s="644">
        <v>2001</v>
      </c>
      <c r="AG14" s="527">
        <v>1988</v>
      </c>
      <c r="AI14">
        <v>1989</v>
      </c>
      <c r="AJ14">
        <v>0</v>
      </c>
      <c r="AL14" s="527">
        <v>1989</v>
      </c>
      <c r="AM14" s="647">
        <v>2</v>
      </c>
      <c r="AN14" s="647">
        <v>0</v>
      </c>
      <c r="AO14" s="647">
        <v>0</v>
      </c>
      <c r="AP14" s="647">
        <v>0</v>
      </c>
      <c r="AQ14" s="647">
        <v>0</v>
      </c>
    </row>
    <row r="15" spans="1:45" x14ac:dyDescent="0.2">
      <c r="A15" s="527">
        <v>13</v>
      </c>
      <c r="C15" s="614" t="s">
        <v>137</v>
      </c>
      <c r="D15" s="624"/>
      <c r="E15" s="624"/>
      <c r="F15" s="844"/>
      <c r="G15" s="624"/>
      <c r="H15" s="619"/>
      <c r="I15" s="614"/>
      <c r="J15" s="612">
        <v>1993</v>
      </c>
      <c r="K15" s="612">
        <v>1994</v>
      </c>
      <c r="L15" s="613" t="s">
        <v>336</v>
      </c>
      <c r="M15" s="613">
        <f t="shared" si="5"/>
        <v>0</v>
      </c>
      <c r="N15" s="613">
        <f t="shared" si="6"/>
        <v>0</v>
      </c>
      <c r="O15" s="613">
        <v>1</v>
      </c>
      <c r="U15" s="613">
        <f t="shared" si="7"/>
        <v>1</v>
      </c>
      <c r="W15" s="613">
        <f t="shared" si="0"/>
        <v>1993</v>
      </c>
      <c r="X15" s="613" t="str">
        <f t="shared" si="1"/>
        <v>I</v>
      </c>
      <c r="Y15" s="613" t="str">
        <f t="shared" si="2"/>
        <v>I</v>
      </c>
      <c r="Z15" s="613" t="str">
        <f t="shared" si="3"/>
        <v>I</v>
      </c>
      <c r="AA15" s="613" t="str">
        <f t="shared" si="4"/>
        <v>I</v>
      </c>
      <c r="AB15" s="613" t="str">
        <f t="shared" si="4"/>
        <v>I</v>
      </c>
      <c r="AD15" s="613"/>
      <c r="AE15" s="740"/>
      <c r="AF15" s="644">
        <v>2001</v>
      </c>
      <c r="AG15" s="527">
        <v>1989</v>
      </c>
      <c r="AI15">
        <v>1990</v>
      </c>
      <c r="AJ15">
        <v>0</v>
      </c>
      <c r="AL15" s="527">
        <v>1990</v>
      </c>
      <c r="AM15" s="647">
        <v>0</v>
      </c>
      <c r="AN15" s="647">
        <v>1</v>
      </c>
      <c r="AO15" s="647">
        <v>0</v>
      </c>
      <c r="AP15" s="647">
        <v>0</v>
      </c>
      <c r="AQ15" s="647">
        <v>0</v>
      </c>
    </row>
    <row r="16" spans="1:45" x14ac:dyDescent="0.2">
      <c r="A16" s="527">
        <v>14</v>
      </c>
      <c r="C16" s="527" t="s">
        <v>298</v>
      </c>
      <c r="D16" s="624"/>
      <c r="E16" s="624"/>
      <c r="F16" s="844"/>
      <c r="G16" s="624"/>
      <c r="H16" s="619"/>
      <c r="J16" s="612">
        <v>1994</v>
      </c>
      <c r="K16" s="612">
        <v>1995</v>
      </c>
      <c r="L16" s="613" t="s">
        <v>336</v>
      </c>
      <c r="M16" s="613">
        <f t="shared" si="5"/>
        <v>0</v>
      </c>
      <c r="N16" s="613">
        <f t="shared" si="6"/>
        <v>0</v>
      </c>
      <c r="O16" s="613">
        <v>1</v>
      </c>
      <c r="U16" s="613">
        <f t="shared" si="7"/>
        <v>1</v>
      </c>
      <c r="W16" s="613">
        <f t="shared" si="0"/>
        <v>1994</v>
      </c>
      <c r="X16" s="613" t="str">
        <f t="shared" si="1"/>
        <v>I</v>
      </c>
      <c r="Y16" s="613" t="str">
        <f t="shared" si="2"/>
        <v>I</v>
      </c>
      <c r="Z16" s="613" t="str">
        <f t="shared" si="3"/>
        <v>I</v>
      </c>
      <c r="AA16" s="613" t="str">
        <f t="shared" si="4"/>
        <v>I</v>
      </c>
      <c r="AB16" s="613" t="str">
        <f t="shared" si="4"/>
        <v>I</v>
      </c>
      <c r="AD16" s="613"/>
      <c r="AE16" s="740"/>
      <c r="AF16" s="644">
        <v>2001</v>
      </c>
      <c r="AG16" s="527">
        <v>1990</v>
      </c>
      <c r="AI16">
        <v>1991</v>
      </c>
      <c r="AJ16">
        <v>0</v>
      </c>
      <c r="AL16" s="527">
        <v>1991</v>
      </c>
      <c r="AM16" s="647">
        <v>0</v>
      </c>
      <c r="AN16" s="647">
        <v>0</v>
      </c>
      <c r="AO16" s="647">
        <v>0</v>
      </c>
      <c r="AP16" s="647">
        <v>0</v>
      </c>
      <c r="AQ16" s="647">
        <v>0</v>
      </c>
    </row>
    <row r="17" spans="1:43" x14ac:dyDescent="0.2">
      <c r="A17" s="527">
        <v>15</v>
      </c>
      <c r="C17" s="614" t="s">
        <v>143</v>
      </c>
      <c r="D17" s="624"/>
      <c r="E17" s="624"/>
      <c r="F17" s="844"/>
      <c r="G17" s="624"/>
      <c r="H17" s="619"/>
      <c r="I17" s="614"/>
      <c r="J17" s="612">
        <v>1994</v>
      </c>
      <c r="K17" s="612">
        <v>1995</v>
      </c>
      <c r="L17" s="613" t="s">
        <v>336</v>
      </c>
      <c r="M17" s="613">
        <f t="shared" si="5"/>
        <v>0</v>
      </c>
      <c r="N17" s="613">
        <f t="shared" si="6"/>
        <v>0</v>
      </c>
      <c r="O17" s="613">
        <v>1</v>
      </c>
      <c r="U17" s="613">
        <f t="shared" si="7"/>
        <v>1</v>
      </c>
      <c r="W17" s="613">
        <f t="shared" si="0"/>
        <v>1994</v>
      </c>
      <c r="X17" s="613" t="str">
        <f t="shared" si="1"/>
        <v>I</v>
      </c>
      <c r="Y17" s="613" t="str">
        <f t="shared" si="2"/>
        <v>I</v>
      </c>
      <c r="Z17" s="613" t="str">
        <f t="shared" si="3"/>
        <v>I</v>
      </c>
      <c r="AA17" s="613" t="str">
        <f t="shared" si="4"/>
        <v>I</v>
      </c>
      <c r="AB17" s="613" t="str">
        <f t="shared" si="4"/>
        <v>I</v>
      </c>
      <c r="AD17" s="613"/>
      <c r="AE17" s="740"/>
      <c r="AF17" s="644">
        <v>2001</v>
      </c>
      <c r="AG17" s="527">
        <v>1991</v>
      </c>
      <c r="AI17">
        <v>1992</v>
      </c>
      <c r="AJ17">
        <v>0</v>
      </c>
      <c r="AL17" s="527">
        <v>1992</v>
      </c>
      <c r="AM17" s="647">
        <v>0</v>
      </c>
      <c r="AN17" s="647">
        <v>0</v>
      </c>
      <c r="AO17" s="647">
        <v>0</v>
      </c>
      <c r="AP17" s="647">
        <v>0</v>
      </c>
      <c r="AQ17" s="647">
        <v>0</v>
      </c>
    </row>
    <row r="18" spans="1:43" x14ac:dyDescent="0.2">
      <c r="A18" s="527">
        <v>16</v>
      </c>
      <c r="C18" s="614" t="s">
        <v>1476</v>
      </c>
      <c r="D18" s="883">
        <v>35512</v>
      </c>
      <c r="E18" s="624"/>
      <c r="F18" s="844" t="s">
        <v>2167</v>
      </c>
      <c r="G18" s="624">
        <v>35612</v>
      </c>
      <c r="H18" s="530">
        <f>(G18-MAX(D18:E18))/365.25</f>
        <v>0.27378507871321012</v>
      </c>
      <c r="I18" s="614"/>
      <c r="J18" s="612">
        <v>1997</v>
      </c>
      <c r="K18" s="612">
        <v>1997</v>
      </c>
      <c r="L18" s="613" t="s">
        <v>336</v>
      </c>
      <c r="M18" s="613">
        <f t="shared" si="5"/>
        <v>1</v>
      </c>
      <c r="N18" s="613">
        <f t="shared" si="6"/>
        <v>0</v>
      </c>
      <c r="Q18" s="613">
        <v>1</v>
      </c>
      <c r="U18" s="613">
        <f t="shared" si="7"/>
        <v>1</v>
      </c>
      <c r="W18" s="613" t="str">
        <f t="shared" si="0"/>
        <v>I</v>
      </c>
      <c r="X18" s="613" t="str">
        <f t="shared" si="1"/>
        <v>I</v>
      </c>
      <c r="Y18" s="613">
        <f t="shared" si="2"/>
        <v>1997</v>
      </c>
      <c r="Z18" s="613" t="str">
        <f t="shared" si="3"/>
        <v>I</v>
      </c>
      <c r="AA18" s="613" t="str">
        <f t="shared" si="4"/>
        <v>I</v>
      </c>
      <c r="AB18" s="613" t="str">
        <f t="shared" si="4"/>
        <v>I</v>
      </c>
      <c r="AD18" s="613"/>
      <c r="AE18" s="740"/>
      <c r="AF18" s="644">
        <v>2001</v>
      </c>
      <c r="AG18" s="527">
        <v>1992</v>
      </c>
      <c r="AI18">
        <v>1993</v>
      </c>
      <c r="AJ18">
        <v>0</v>
      </c>
      <c r="AL18" s="527">
        <v>1993</v>
      </c>
      <c r="AM18" s="647">
        <v>1</v>
      </c>
      <c r="AN18" s="647">
        <v>0</v>
      </c>
      <c r="AO18" s="647">
        <v>0</v>
      </c>
      <c r="AP18" s="647">
        <v>0</v>
      </c>
      <c r="AQ18" s="647">
        <v>0</v>
      </c>
    </row>
    <row r="19" spans="1:43" x14ac:dyDescent="0.2">
      <c r="A19" s="527">
        <v>17</v>
      </c>
      <c r="C19" s="614" t="s">
        <v>1538</v>
      </c>
      <c r="D19" s="883">
        <v>35864</v>
      </c>
      <c r="E19" s="624"/>
      <c r="F19" s="844" t="s">
        <v>2167</v>
      </c>
      <c r="G19" s="624">
        <v>35977</v>
      </c>
      <c r="H19" s="530">
        <f>(G19-MAX(D19:E19))/365.25</f>
        <v>0.30937713894592744</v>
      </c>
      <c r="I19" s="614"/>
      <c r="J19" s="612">
        <v>1998</v>
      </c>
      <c r="K19" s="612">
        <v>1998</v>
      </c>
      <c r="L19" s="613" t="s">
        <v>336</v>
      </c>
      <c r="M19" s="613">
        <f t="shared" si="5"/>
        <v>1</v>
      </c>
      <c r="N19" s="613">
        <f t="shared" si="6"/>
        <v>0</v>
      </c>
      <c r="Q19" s="613">
        <v>1</v>
      </c>
      <c r="U19" s="613">
        <f t="shared" si="7"/>
        <v>1</v>
      </c>
      <c r="W19" s="613" t="str">
        <f t="shared" si="0"/>
        <v>I</v>
      </c>
      <c r="X19" s="613" t="str">
        <f t="shared" si="1"/>
        <v>I</v>
      </c>
      <c r="Y19" s="613">
        <f t="shared" si="2"/>
        <v>1998</v>
      </c>
      <c r="Z19" s="613" t="str">
        <f t="shared" si="3"/>
        <v>I</v>
      </c>
      <c r="AA19" s="613" t="str">
        <f t="shared" si="4"/>
        <v>I</v>
      </c>
      <c r="AB19" s="613" t="str">
        <f t="shared" si="4"/>
        <v>I</v>
      </c>
      <c r="AD19" s="613"/>
      <c r="AE19" s="740"/>
      <c r="AF19" s="644">
        <v>2001</v>
      </c>
      <c r="AG19" s="527">
        <v>1993</v>
      </c>
      <c r="AI19">
        <v>1994</v>
      </c>
      <c r="AJ19">
        <v>0</v>
      </c>
      <c r="AL19" s="527">
        <v>1994</v>
      </c>
      <c r="AM19" s="647">
        <v>2</v>
      </c>
      <c r="AN19" s="647">
        <v>0</v>
      </c>
      <c r="AO19" s="647">
        <v>0</v>
      </c>
      <c r="AP19" s="647">
        <v>0</v>
      </c>
      <c r="AQ19" s="647">
        <v>0</v>
      </c>
    </row>
    <row r="20" spans="1:43" x14ac:dyDescent="0.2">
      <c r="A20" s="527">
        <v>18</v>
      </c>
      <c r="C20" s="527" t="s">
        <v>299</v>
      </c>
      <c r="D20" s="624"/>
      <c r="E20" s="624"/>
      <c r="F20" s="844"/>
      <c r="G20" s="624"/>
      <c r="H20" s="619"/>
      <c r="J20" s="612">
        <v>1996</v>
      </c>
      <c r="K20" s="612">
        <v>1998</v>
      </c>
      <c r="L20" s="613" t="s">
        <v>336</v>
      </c>
      <c r="M20" s="613">
        <f t="shared" si="5"/>
        <v>0</v>
      </c>
      <c r="N20" s="613">
        <f t="shared" si="6"/>
        <v>0</v>
      </c>
      <c r="O20" s="613">
        <v>1</v>
      </c>
      <c r="U20" s="613">
        <f t="shared" si="7"/>
        <v>1</v>
      </c>
      <c r="W20" s="613">
        <f t="shared" si="0"/>
        <v>1996</v>
      </c>
      <c r="X20" s="613" t="str">
        <f t="shared" si="1"/>
        <v>I</v>
      </c>
      <c r="Y20" s="613" t="str">
        <f t="shared" si="2"/>
        <v>I</v>
      </c>
      <c r="Z20" s="613" t="str">
        <f t="shared" si="3"/>
        <v>I</v>
      </c>
      <c r="AA20" s="613" t="str">
        <f t="shared" si="4"/>
        <v>I</v>
      </c>
      <c r="AB20" s="613" t="str">
        <f t="shared" si="4"/>
        <v>I</v>
      </c>
      <c r="AD20" s="613"/>
      <c r="AE20" s="740"/>
      <c r="AF20" s="644">
        <v>2001</v>
      </c>
      <c r="AG20" s="527">
        <v>1994</v>
      </c>
      <c r="AI20">
        <v>1995</v>
      </c>
      <c r="AJ20">
        <v>0</v>
      </c>
      <c r="AL20" s="527">
        <v>1995</v>
      </c>
      <c r="AM20" s="647">
        <v>0</v>
      </c>
      <c r="AN20" s="647">
        <v>0</v>
      </c>
      <c r="AO20" s="647">
        <v>0</v>
      </c>
      <c r="AP20" s="647">
        <v>0</v>
      </c>
      <c r="AQ20" s="647">
        <v>0</v>
      </c>
    </row>
    <row r="21" spans="1:43" x14ac:dyDescent="0.2">
      <c r="A21" s="527">
        <v>19</v>
      </c>
      <c r="C21" s="614" t="s">
        <v>1055</v>
      </c>
      <c r="D21" s="624"/>
      <c r="E21" s="624"/>
      <c r="F21" s="844"/>
      <c r="G21" s="624"/>
      <c r="H21" s="619"/>
      <c r="I21" s="614"/>
      <c r="J21" s="612">
        <v>2000</v>
      </c>
      <c r="K21" s="612">
        <v>2000</v>
      </c>
      <c r="L21" s="613" t="s">
        <v>336</v>
      </c>
      <c r="M21" s="613">
        <f t="shared" si="5"/>
        <v>0</v>
      </c>
      <c r="N21" s="613">
        <f t="shared" si="6"/>
        <v>0</v>
      </c>
      <c r="R21" s="613">
        <v>1</v>
      </c>
      <c r="U21" s="613">
        <f t="shared" si="7"/>
        <v>1</v>
      </c>
      <c r="W21" s="613" t="str">
        <f t="shared" si="0"/>
        <v>I</v>
      </c>
      <c r="X21" s="613" t="str">
        <f t="shared" si="1"/>
        <v>I</v>
      </c>
      <c r="Y21" s="613" t="str">
        <f t="shared" si="2"/>
        <v>I</v>
      </c>
      <c r="Z21" s="613">
        <f t="shared" si="3"/>
        <v>2000</v>
      </c>
      <c r="AA21" s="613" t="str">
        <f t="shared" si="4"/>
        <v>I</v>
      </c>
      <c r="AB21" s="613" t="str">
        <f t="shared" si="4"/>
        <v>I</v>
      </c>
      <c r="AD21" s="613"/>
      <c r="AE21" s="740"/>
      <c r="AF21" s="644">
        <v>2001</v>
      </c>
      <c r="AG21" s="527">
        <v>1995</v>
      </c>
      <c r="AI21">
        <v>1996</v>
      </c>
      <c r="AJ21">
        <v>0</v>
      </c>
      <c r="AL21" s="527">
        <v>1996</v>
      </c>
      <c r="AM21" s="647">
        <v>1</v>
      </c>
      <c r="AN21" s="647">
        <v>0</v>
      </c>
      <c r="AO21" s="647">
        <v>0</v>
      </c>
      <c r="AP21" s="647">
        <v>0</v>
      </c>
      <c r="AQ21" s="647">
        <v>0</v>
      </c>
    </row>
    <row r="22" spans="1:43" x14ac:dyDescent="0.2">
      <c r="A22" s="527">
        <v>20</v>
      </c>
      <c r="C22" s="614" t="s">
        <v>1056</v>
      </c>
      <c r="D22" s="624"/>
      <c r="E22" s="624"/>
      <c r="F22" s="844"/>
      <c r="G22" s="624"/>
      <c r="H22" s="619"/>
      <c r="I22" s="614"/>
      <c r="J22" s="612">
        <v>2000</v>
      </c>
      <c r="K22" s="612">
        <v>2000</v>
      </c>
      <c r="L22" s="613" t="s">
        <v>336</v>
      </c>
      <c r="M22" s="613">
        <f t="shared" si="5"/>
        <v>0</v>
      </c>
      <c r="N22" s="613">
        <f t="shared" si="6"/>
        <v>0</v>
      </c>
      <c r="R22" s="613">
        <v>1</v>
      </c>
      <c r="U22" s="613">
        <f t="shared" si="7"/>
        <v>1</v>
      </c>
      <c r="W22" s="613" t="str">
        <f t="shared" si="0"/>
        <v>I</v>
      </c>
      <c r="X22" s="613" t="str">
        <f t="shared" si="1"/>
        <v>I</v>
      </c>
      <c r="Y22" s="613" t="str">
        <f t="shared" si="2"/>
        <v>I</v>
      </c>
      <c r="Z22" s="613">
        <f t="shared" si="3"/>
        <v>2000</v>
      </c>
      <c r="AA22" s="613" t="str">
        <f t="shared" si="4"/>
        <v>I</v>
      </c>
      <c r="AB22" s="613" t="str">
        <f t="shared" si="4"/>
        <v>I</v>
      </c>
      <c r="AD22" s="613"/>
      <c r="AE22" s="740"/>
      <c r="AF22" s="644">
        <v>2001</v>
      </c>
      <c r="AG22" s="527">
        <v>1996</v>
      </c>
      <c r="AI22">
        <v>1997</v>
      </c>
      <c r="AJ22">
        <v>0</v>
      </c>
      <c r="AL22" s="527">
        <v>1997</v>
      </c>
      <c r="AM22" s="647">
        <v>0</v>
      </c>
      <c r="AN22" s="647">
        <v>0</v>
      </c>
      <c r="AO22" s="647">
        <v>1</v>
      </c>
      <c r="AP22" s="647">
        <v>0</v>
      </c>
      <c r="AQ22" s="647">
        <v>0</v>
      </c>
    </row>
    <row r="23" spans="1:43" x14ac:dyDescent="0.2">
      <c r="A23" s="527">
        <v>21</v>
      </c>
      <c r="C23" s="614" t="s">
        <v>1888</v>
      </c>
      <c r="D23" s="883">
        <v>36448</v>
      </c>
      <c r="E23" s="624"/>
      <c r="F23" s="844" t="s">
        <v>2694</v>
      </c>
      <c r="G23" s="624">
        <v>36708</v>
      </c>
      <c r="H23" s="530">
        <f>(G23-MAX(D23:E23))/365.25</f>
        <v>0.7118412046543463</v>
      </c>
      <c r="I23" s="614"/>
      <c r="J23" s="612">
        <v>1999</v>
      </c>
      <c r="K23" s="612">
        <v>2000</v>
      </c>
      <c r="L23" s="613" t="s">
        <v>336</v>
      </c>
      <c r="M23" s="613">
        <f t="shared" si="5"/>
        <v>1</v>
      </c>
      <c r="N23" s="613">
        <f t="shared" si="6"/>
        <v>0</v>
      </c>
      <c r="Q23" s="613">
        <v>1</v>
      </c>
      <c r="U23" s="613">
        <f t="shared" si="7"/>
        <v>1</v>
      </c>
      <c r="W23" s="613" t="str">
        <f t="shared" si="0"/>
        <v>I</v>
      </c>
      <c r="X23" s="613" t="str">
        <f t="shared" si="1"/>
        <v>I</v>
      </c>
      <c r="Y23" s="613">
        <f t="shared" si="2"/>
        <v>1999</v>
      </c>
      <c r="Z23" s="613" t="str">
        <f t="shared" si="3"/>
        <v>I</v>
      </c>
      <c r="AA23" s="613" t="str">
        <f t="shared" si="4"/>
        <v>I</v>
      </c>
      <c r="AB23" s="613" t="str">
        <f t="shared" si="4"/>
        <v>I</v>
      </c>
      <c r="AD23" s="613"/>
      <c r="AE23" s="740"/>
      <c r="AF23" s="644">
        <v>2001</v>
      </c>
      <c r="AG23" s="527">
        <v>1997</v>
      </c>
      <c r="AI23">
        <v>1998</v>
      </c>
      <c r="AJ23">
        <v>0</v>
      </c>
      <c r="AL23" s="527">
        <v>1998</v>
      </c>
      <c r="AM23" s="647">
        <v>0</v>
      </c>
      <c r="AN23" s="647">
        <v>0</v>
      </c>
      <c r="AO23" s="647">
        <v>2</v>
      </c>
      <c r="AP23" s="647">
        <v>0</v>
      </c>
      <c r="AQ23" s="647">
        <v>0</v>
      </c>
    </row>
    <row r="24" spans="1:43" x14ac:dyDescent="0.2">
      <c r="A24" s="527">
        <v>22</v>
      </c>
      <c r="C24" s="527" t="s">
        <v>453</v>
      </c>
      <c r="D24" s="624"/>
      <c r="E24" s="624"/>
      <c r="F24" s="844"/>
      <c r="G24" s="624"/>
      <c r="H24" s="619"/>
      <c r="J24" s="612">
        <v>1999</v>
      </c>
      <c r="K24" s="612">
        <v>2000</v>
      </c>
      <c r="L24" s="613" t="s">
        <v>336</v>
      </c>
      <c r="M24" s="613">
        <f t="shared" si="5"/>
        <v>0</v>
      </c>
      <c r="N24" s="613">
        <f t="shared" si="6"/>
        <v>0</v>
      </c>
      <c r="O24" s="613">
        <v>1</v>
      </c>
      <c r="U24" s="613">
        <f t="shared" si="7"/>
        <v>1</v>
      </c>
      <c r="W24" s="613">
        <f t="shared" si="0"/>
        <v>1999</v>
      </c>
      <c r="X24" s="613" t="str">
        <f t="shared" si="1"/>
        <v>I</v>
      </c>
      <c r="Y24" s="613" t="str">
        <f t="shared" si="2"/>
        <v>I</v>
      </c>
      <c r="Z24" s="613" t="str">
        <f t="shared" si="3"/>
        <v>I</v>
      </c>
      <c r="AA24" s="613" t="str">
        <f t="shared" si="4"/>
        <v>I</v>
      </c>
      <c r="AB24" s="613" t="str">
        <f t="shared" si="4"/>
        <v>I</v>
      </c>
      <c r="AD24" s="613"/>
      <c r="AE24" s="740"/>
      <c r="AF24" s="880">
        <v>2001</v>
      </c>
      <c r="AG24" s="527">
        <v>1998</v>
      </c>
      <c r="AI24">
        <v>1999</v>
      </c>
      <c r="AJ24">
        <v>1</v>
      </c>
      <c r="AL24" s="527">
        <v>1999</v>
      </c>
      <c r="AM24" s="647">
        <v>2</v>
      </c>
      <c r="AN24" s="647">
        <v>0</v>
      </c>
      <c r="AO24" s="647">
        <v>3</v>
      </c>
      <c r="AP24" s="647">
        <v>1</v>
      </c>
      <c r="AQ24" s="647">
        <v>2</v>
      </c>
    </row>
    <row r="25" spans="1:43" x14ac:dyDescent="0.2">
      <c r="A25" s="527">
        <v>23</v>
      </c>
      <c r="C25" s="614" t="s">
        <v>1885</v>
      </c>
      <c r="D25" s="624"/>
      <c r="E25" s="624"/>
      <c r="F25" s="844"/>
      <c r="G25" s="624"/>
      <c r="H25" s="619"/>
      <c r="I25" s="614"/>
      <c r="J25" s="612">
        <v>2001</v>
      </c>
      <c r="K25" s="612">
        <v>2001</v>
      </c>
      <c r="L25" s="613" t="s">
        <v>336</v>
      </c>
      <c r="M25" s="613">
        <f t="shared" si="5"/>
        <v>0</v>
      </c>
      <c r="N25" s="613">
        <f t="shared" si="6"/>
        <v>0</v>
      </c>
      <c r="R25" s="613">
        <v>1</v>
      </c>
      <c r="U25" s="613">
        <f t="shared" si="7"/>
        <v>1</v>
      </c>
      <c r="W25" s="613" t="str">
        <f t="shared" si="0"/>
        <v>I</v>
      </c>
      <c r="X25" s="613" t="str">
        <f t="shared" si="1"/>
        <v>I</v>
      </c>
      <c r="Y25" s="613" t="str">
        <f t="shared" si="2"/>
        <v>I</v>
      </c>
      <c r="Z25" s="613">
        <f t="shared" si="3"/>
        <v>2001</v>
      </c>
      <c r="AA25" s="613" t="str">
        <f t="shared" si="4"/>
        <v>I</v>
      </c>
      <c r="AB25" s="613" t="str">
        <f t="shared" si="4"/>
        <v>I</v>
      </c>
      <c r="AD25" s="613"/>
      <c r="AE25" s="740"/>
      <c r="AF25" s="644">
        <v>2001</v>
      </c>
      <c r="AG25" s="527">
        <v>1999</v>
      </c>
      <c r="AI25">
        <v>2000</v>
      </c>
      <c r="AJ25">
        <v>2</v>
      </c>
      <c r="AL25" s="527">
        <v>2000</v>
      </c>
      <c r="AM25" s="647">
        <v>0</v>
      </c>
      <c r="AN25" s="647">
        <v>0</v>
      </c>
      <c r="AO25" s="647">
        <v>3</v>
      </c>
      <c r="AP25" s="647">
        <v>2</v>
      </c>
      <c r="AQ25" s="647">
        <v>0</v>
      </c>
    </row>
    <row r="26" spans="1:43" x14ac:dyDescent="0.2">
      <c r="A26" s="527">
        <v>24</v>
      </c>
      <c r="C26" s="614" t="s">
        <v>1115</v>
      </c>
      <c r="D26" s="624"/>
      <c r="E26" s="624"/>
      <c r="F26" s="844"/>
      <c r="G26" s="624"/>
      <c r="H26" s="619"/>
      <c r="I26" s="614"/>
      <c r="J26" s="612">
        <v>1999</v>
      </c>
      <c r="K26" s="612">
        <v>2001</v>
      </c>
      <c r="L26" s="613" t="s">
        <v>336</v>
      </c>
      <c r="M26" s="613">
        <f t="shared" si="5"/>
        <v>0</v>
      </c>
      <c r="N26" s="613">
        <f t="shared" si="6"/>
        <v>0</v>
      </c>
      <c r="R26" s="613">
        <v>1</v>
      </c>
      <c r="U26" s="613">
        <f t="shared" si="7"/>
        <v>1</v>
      </c>
      <c r="W26" s="613" t="str">
        <f t="shared" si="0"/>
        <v>I</v>
      </c>
      <c r="X26" s="613" t="str">
        <f t="shared" si="1"/>
        <v>I</v>
      </c>
      <c r="Y26" s="613" t="str">
        <f t="shared" si="2"/>
        <v>I</v>
      </c>
      <c r="Z26" s="613">
        <f t="shared" si="3"/>
        <v>1999</v>
      </c>
      <c r="AA26" s="613" t="str">
        <f t="shared" si="4"/>
        <v>I</v>
      </c>
      <c r="AB26" s="613" t="str">
        <f t="shared" si="4"/>
        <v>I</v>
      </c>
      <c r="AD26" s="613"/>
      <c r="AE26" s="740"/>
      <c r="AF26" s="644">
        <v>2001</v>
      </c>
      <c r="AG26" s="527">
        <v>2000</v>
      </c>
      <c r="AI26">
        <v>2001</v>
      </c>
      <c r="AJ26">
        <v>28</v>
      </c>
      <c r="AL26" s="527">
        <v>2001</v>
      </c>
      <c r="AM26" s="647">
        <v>1</v>
      </c>
      <c r="AN26" s="647">
        <v>0</v>
      </c>
      <c r="AO26" s="647">
        <v>2</v>
      </c>
      <c r="AP26" s="647">
        <v>28</v>
      </c>
      <c r="AQ26" s="647">
        <v>0</v>
      </c>
    </row>
    <row r="27" spans="1:43" x14ac:dyDescent="0.2">
      <c r="A27" s="527">
        <v>25</v>
      </c>
      <c r="C27" s="527" t="s">
        <v>1116</v>
      </c>
      <c r="D27" s="624"/>
      <c r="E27" s="624"/>
      <c r="F27" s="844"/>
      <c r="G27" s="624"/>
      <c r="H27" s="619"/>
      <c r="J27" s="612">
        <v>2001</v>
      </c>
      <c r="K27" s="612">
        <v>2001</v>
      </c>
      <c r="L27" s="613" t="s">
        <v>336</v>
      </c>
      <c r="M27" s="613">
        <f t="shared" si="5"/>
        <v>0</v>
      </c>
      <c r="N27" s="613">
        <f t="shared" si="6"/>
        <v>0</v>
      </c>
      <c r="R27" s="613">
        <v>1</v>
      </c>
      <c r="U27" s="613">
        <f t="shared" si="7"/>
        <v>1</v>
      </c>
      <c r="W27" s="613" t="str">
        <f t="shared" si="0"/>
        <v>I</v>
      </c>
      <c r="X27" s="613" t="str">
        <f t="shared" si="1"/>
        <v>I</v>
      </c>
      <c r="Y27" s="613" t="str">
        <f t="shared" si="2"/>
        <v>I</v>
      </c>
      <c r="Z27" s="613">
        <f t="shared" si="3"/>
        <v>2001</v>
      </c>
      <c r="AA27" s="613" t="str">
        <f t="shared" si="4"/>
        <v>I</v>
      </c>
      <c r="AB27" s="613" t="str">
        <f t="shared" si="4"/>
        <v>I</v>
      </c>
      <c r="AD27" s="613"/>
      <c r="AE27" s="740"/>
      <c r="AF27" s="644">
        <v>2001</v>
      </c>
      <c r="AG27" s="527">
        <v>2001</v>
      </c>
      <c r="AI27">
        <v>2002</v>
      </c>
      <c r="AJ27">
        <v>4</v>
      </c>
      <c r="AL27" s="527">
        <v>2002</v>
      </c>
      <c r="AM27" s="647">
        <v>4</v>
      </c>
      <c r="AN27" s="647">
        <v>0</v>
      </c>
      <c r="AO27" s="647">
        <v>1</v>
      </c>
      <c r="AP27" s="647">
        <v>4</v>
      </c>
      <c r="AQ27" s="647">
        <v>0</v>
      </c>
    </row>
    <row r="28" spans="1:43" x14ac:dyDescent="0.2">
      <c r="A28" s="527">
        <v>26</v>
      </c>
      <c r="C28" s="527" t="s">
        <v>1907</v>
      </c>
      <c r="D28" s="883">
        <v>36845</v>
      </c>
      <c r="E28" s="624"/>
      <c r="F28" s="844" t="s">
        <v>2694</v>
      </c>
      <c r="G28" s="624">
        <v>37073</v>
      </c>
      <c r="H28" s="530">
        <f>(G28-MAX(D28:E28))/365.25</f>
        <v>0.62422997946611913</v>
      </c>
      <c r="J28" s="612">
        <v>2000</v>
      </c>
      <c r="K28" s="612">
        <v>2001</v>
      </c>
      <c r="L28" s="613" t="s">
        <v>336</v>
      </c>
      <c r="M28" s="613">
        <f t="shared" si="5"/>
        <v>1</v>
      </c>
      <c r="N28" s="613">
        <f t="shared" si="6"/>
        <v>0</v>
      </c>
      <c r="Q28" s="613">
        <v>1</v>
      </c>
      <c r="U28" s="613">
        <f t="shared" si="7"/>
        <v>1</v>
      </c>
      <c r="W28" s="613" t="str">
        <f t="shared" si="0"/>
        <v>I</v>
      </c>
      <c r="X28" s="613" t="str">
        <f t="shared" si="1"/>
        <v>I</v>
      </c>
      <c r="Y28" s="613">
        <f t="shared" si="2"/>
        <v>2000</v>
      </c>
      <c r="Z28" s="613" t="str">
        <f t="shared" si="3"/>
        <v>I</v>
      </c>
      <c r="AA28" s="613" t="str">
        <f t="shared" si="4"/>
        <v>I</v>
      </c>
      <c r="AB28" s="613" t="str">
        <f t="shared" si="4"/>
        <v>I</v>
      </c>
      <c r="AD28" s="726"/>
      <c r="AE28" s="740"/>
      <c r="AF28" s="644">
        <v>2001</v>
      </c>
      <c r="AG28" s="527">
        <v>2002</v>
      </c>
      <c r="AI28">
        <v>2003</v>
      </c>
      <c r="AJ28">
        <v>12</v>
      </c>
      <c r="AL28" s="527">
        <v>2003</v>
      </c>
      <c r="AM28" s="647">
        <v>1</v>
      </c>
      <c r="AN28" s="647">
        <v>0</v>
      </c>
      <c r="AO28" s="647">
        <v>0</v>
      </c>
      <c r="AP28" s="647">
        <v>12</v>
      </c>
      <c r="AQ28" s="647">
        <v>0</v>
      </c>
    </row>
    <row r="29" spans="1:43" x14ac:dyDescent="0.2">
      <c r="A29" s="527">
        <v>27</v>
      </c>
      <c r="C29" s="614" t="s">
        <v>1908</v>
      </c>
      <c r="D29" s="624"/>
      <c r="E29" s="624">
        <v>36901</v>
      </c>
      <c r="F29" s="846" t="s">
        <v>2167</v>
      </c>
      <c r="G29" s="624">
        <v>37149</v>
      </c>
      <c r="H29" s="530">
        <f>(G29-MAX(D29:E29))/365.25</f>
        <v>0.67898699520876116</v>
      </c>
      <c r="I29" s="614"/>
      <c r="J29" s="612">
        <v>2001</v>
      </c>
      <c r="K29" s="612">
        <v>2001</v>
      </c>
      <c r="L29" s="613" t="s">
        <v>336</v>
      </c>
      <c r="M29" s="613">
        <f t="shared" si="5"/>
        <v>1</v>
      </c>
      <c r="N29" s="613">
        <f t="shared" si="6"/>
        <v>0</v>
      </c>
      <c r="Q29" s="613">
        <v>1</v>
      </c>
      <c r="U29" s="613">
        <f t="shared" si="7"/>
        <v>1</v>
      </c>
      <c r="W29" s="613" t="str">
        <f t="shared" si="0"/>
        <v>I</v>
      </c>
      <c r="X29" s="613" t="str">
        <f t="shared" si="1"/>
        <v>I</v>
      </c>
      <c r="Y29" s="613">
        <f t="shared" si="2"/>
        <v>2001</v>
      </c>
      <c r="Z29" s="613" t="str">
        <f t="shared" si="3"/>
        <v>I</v>
      </c>
      <c r="AA29" s="613" t="str">
        <f t="shared" si="4"/>
        <v>I</v>
      </c>
      <c r="AB29" s="613" t="str">
        <f t="shared" si="4"/>
        <v>I</v>
      </c>
      <c r="AD29" s="613"/>
      <c r="AE29" s="740"/>
      <c r="AF29" s="644">
        <v>2001</v>
      </c>
      <c r="AG29" s="527">
        <v>2003</v>
      </c>
      <c r="AI29">
        <v>2004</v>
      </c>
      <c r="AJ29">
        <v>2</v>
      </c>
      <c r="AL29" s="527">
        <v>2004</v>
      </c>
      <c r="AM29" s="647">
        <v>1</v>
      </c>
      <c r="AN29" s="647">
        <v>0</v>
      </c>
      <c r="AO29" s="647">
        <v>3</v>
      </c>
      <c r="AP29" s="647">
        <v>2</v>
      </c>
      <c r="AQ29" s="647">
        <v>0</v>
      </c>
    </row>
    <row r="30" spans="1:43" x14ac:dyDescent="0.2">
      <c r="A30" s="527">
        <v>28</v>
      </c>
      <c r="C30" s="614" t="s">
        <v>1941</v>
      </c>
      <c r="D30" s="617">
        <v>36784</v>
      </c>
      <c r="E30" s="617"/>
      <c r="F30" s="846" t="s">
        <v>2694</v>
      </c>
      <c r="G30" s="624">
        <v>37149</v>
      </c>
      <c r="H30" s="530">
        <f>(G30-MAX(D30:E30))/365.25</f>
        <v>0.99931553730321698</v>
      </c>
      <c r="I30" s="614"/>
      <c r="J30" s="612">
        <v>2000</v>
      </c>
      <c r="K30" s="612">
        <v>2001</v>
      </c>
      <c r="L30" s="613" t="s">
        <v>336</v>
      </c>
      <c r="M30" s="613">
        <f t="shared" si="5"/>
        <v>1</v>
      </c>
      <c r="N30" s="613">
        <f t="shared" si="6"/>
        <v>0</v>
      </c>
      <c r="Q30" s="613">
        <v>1</v>
      </c>
      <c r="U30" s="613">
        <f t="shared" si="7"/>
        <v>1</v>
      </c>
      <c r="W30" s="613" t="str">
        <f t="shared" si="0"/>
        <v>I</v>
      </c>
      <c r="X30" s="613" t="str">
        <f t="shared" si="1"/>
        <v>I</v>
      </c>
      <c r="Y30" s="613">
        <f t="shared" si="2"/>
        <v>2000</v>
      </c>
      <c r="Z30" s="613" t="str">
        <f t="shared" si="3"/>
        <v>I</v>
      </c>
      <c r="AA30" s="613" t="str">
        <f t="shared" si="4"/>
        <v>I</v>
      </c>
      <c r="AB30" s="613" t="str">
        <f t="shared" si="4"/>
        <v>I</v>
      </c>
      <c r="AD30" s="613"/>
      <c r="AE30" s="740"/>
      <c r="AF30" s="880">
        <v>2001</v>
      </c>
      <c r="AG30" s="527">
        <v>2004</v>
      </c>
      <c r="AI30">
        <v>2005</v>
      </c>
      <c r="AJ30">
        <v>2</v>
      </c>
      <c r="AL30" s="527">
        <v>2005</v>
      </c>
      <c r="AM30" s="647">
        <v>2</v>
      </c>
      <c r="AN30" s="647">
        <v>0</v>
      </c>
      <c r="AO30" s="647">
        <v>7</v>
      </c>
      <c r="AP30" s="647">
        <v>2</v>
      </c>
      <c r="AQ30" s="647">
        <v>0</v>
      </c>
    </row>
    <row r="31" spans="1:43" x14ac:dyDescent="0.2">
      <c r="A31" s="527">
        <v>29</v>
      </c>
      <c r="C31" s="614" t="s">
        <v>505</v>
      </c>
      <c r="D31" s="624"/>
      <c r="E31" s="624"/>
      <c r="F31" s="844"/>
      <c r="G31" s="624"/>
      <c r="H31" s="619"/>
      <c r="I31" s="614"/>
      <c r="J31" s="612">
        <v>1999</v>
      </c>
      <c r="K31" s="612">
        <v>2001</v>
      </c>
      <c r="L31" s="613" t="s">
        <v>336</v>
      </c>
      <c r="M31" s="613">
        <f t="shared" si="5"/>
        <v>0</v>
      </c>
      <c r="N31" s="613">
        <f t="shared" si="6"/>
        <v>0</v>
      </c>
      <c r="O31" s="613">
        <v>1</v>
      </c>
      <c r="U31" s="613">
        <f t="shared" si="7"/>
        <v>1</v>
      </c>
      <c r="W31" s="613">
        <f t="shared" si="0"/>
        <v>1999</v>
      </c>
      <c r="X31" s="613" t="str">
        <f t="shared" si="1"/>
        <v>I</v>
      </c>
      <c r="Y31" s="613" t="str">
        <f t="shared" si="2"/>
        <v>I</v>
      </c>
      <c r="Z31" s="613" t="str">
        <f t="shared" si="3"/>
        <v>I</v>
      </c>
      <c r="AA31" s="613" t="str">
        <f t="shared" si="4"/>
        <v>I</v>
      </c>
      <c r="AB31" s="613" t="str">
        <f t="shared" si="4"/>
        <v>I</v>
      </c>
      <c r="AD31" s="613"/>
      <c r="AE31" s="740"/>
      <c r="AF31" s="880">
        <v>2001</v>
      </c>
      <c r="AG31" s="527">
        <v>2005</v>
      </c>
      <c r="AI31">
        <v>2006</v>
      </c>
      <c r="AJ31">
        <v>4</v>
      </c>
      <c r="AL31" s="527">
        <v>2006</v>
      </c>
      <c r="AM31" s="647">
        <v>0</v>
      </c>
      <c r="AN31" s="647">
        <v>0</v>
      </c>
      <c r="AO31" s="647">
        <v>9</v>
      </c>
      <c r="AP31" s="647">
        <v>4</v>
      </c>
      <c r="AQ31" s="647">
        <v>0</v>
      </c>
    </row>
    <row r="32" spans="1:43" x14ac:dyDescent="0.2">
      <c r="A32" s="527">
        <v>30</v>
      </c>
      <c r="C32" s="527" t="s">
        <v>1477</v>
      </c>
      <c r="D32" s="883">
        <v>36294</v>
      </c>
      <c r="E32" s="624"/>
      <c r="F32" s="844" t="s">
        <v>2167</v>
      </c>
      <c r="G32" s="624">
        <v>37803</v>
      </c>
      <c r="H32" s="530">
        <f>(G32-MAX(D32:E32))/365.25</f>
        <v>4.131416837782341</v>
      </c>
      <c r="J32" s="612">
        <v>1999</v>
      </c>
      <c r="K32" s="612">
        <v>2003</v>
      </c>
      <c r="L32" s="613" t="s">
        <v>336</v>
      </c>
      <c r="M32" s="613">
        <f t="shared" si="5"/>
        <v>1</v>
      </c>
      <c r="N32" s="613">
        <f t="shared" si="6"/>
        <v>0</v>
      </c>
      <c r="Q32" s="613">
        <v>1</v>
      </c>
      <c r="U32" s="613">
        <f t="shared" si="7"/>
        <v>1</v>
      </c>
      <c r="W32" s="613" t="str">
        <f t="shared" si="0"/>
        <v>I</v>
      </c>
      <c r="X32" s="613" t="str">
        <f t="shared" si="1"/>
        <v>I</v>
      </c>
      <c r="Y32" s="613">
        <f t="shared" si="2"/>
        <v>1999</v>
      </c>
      <c r="Z32" s="613" t="str">
        <f t="shared" si="3"/>
        <v>I</v>
      </c>
      <c r="AA32" s="613" t="str">
        <f t="shared" si="4"/>
        <v>I</v>
      </c>
      <c r="AB32" s="613" t="str">
        <f t="shared" si="4"/>
        <v>I</v>
      </c>
      <c r="AD32" s="613"/>
      <c r="AE32" s="740"/>
      <c r="AF32" s="644">
        <v>2001</v>
      </c>
      <c r="AG32" s="527">
        <v>2006</v>
      </c>
      <c r="AI32">
        <v>2007</v>
      </c>
      <c r="AJ32">
        <v>1</v>
      </c>
      <c r="AL32" s="527">
        <v>2007</v>
      </c>
      <c r="AM32" s="647">
        <v>3</v>
      </c>
      <c r="AN32" s="647">
        <v>0</v>
      </c>
      <c r="AO32" s="647">
        <v>11</v>
      </c>
      <c r="AP32" s="647">
        <v>1</v>
      </c>
      <c r="AQ32" s="647">
        <v>0</v>
      </c>
    </row>
    <row r="33" spans="1:43" x14ac:dyDescent="0.2">
      <c r="A33" s="527">
        <v>31</v>
      </c>
      <c r="C33" s="527" t="s">
        <v>1886</v>
      </c>
      <c r="D33" s="624"/>
      <c r="E33" s="624"/>
      <c r="F33" s="844"/>
      <c r="G33" s="624"/>
      <c r="H33" s="619"/>
      <c r="J33" s="612">
        <v>2001</v>
      </c>
      <c r="K33" s="612">
        <v>2003</v>
      </c>
      <c r="L33" s="613" t="s">
        <v>336</v>
      </c>
      <c r="M33" s="613">
        <f t="shared" si="5"/>
        <v>0</v>
      </c>
      <c r="N33" s="613">
        <f t="shared" si="6"/>
        <v>0</v>
      </c>
      <c r="R33" s="613">
        <v>1</v>
      </c>
      <c r="U33" s="613">
        <f t="shared" si="7"/>
        <v>1</v>
      </c>
      <c r="W33" s="613" t="str">
        <f t="shared" si="0"/>
        <v>I</v>
      </c>
      <c r="X33" s="613" t="str">
        <f t="shared" si="1"/>
        <v>I</v>
      </c>
      <c r="Y33" s="613" t="str">
        <f t="shared" si="2"/>
        <v>I</v>
      </c>
      <c r="Z33" s="613">
        <f t="shared" si="3"/>
        <v>2001</v>
      </c>
      <c r="AA33" s="613" t="str">
        <f t="shared" si="4"/>
        <v>I</v>
      </c>
      <c r="AB33" s="613" t="str">
        <f t="shared" si="4"/>
        <v>I</v>
      </c>
      <c r="AD33" s="613"/>
      <c r="AE33" s="740"/>
      <c r="AF33" s="644">
        <v>2001</v>
      </c>
      <c r="AG33" s="527">
        <v>2007</v>
      </c>
      <c r="AI33">
        <v>2008</v>
      </c>
      <c r="AJ33">
        <v>3</v>
      </c>
      <c r="AL33" s="527">
        <v>2008</v>
      </c>
      <c r="AM33" s="647">
        <v>0</v>
      </c>
      <c r="AN33" s="647">
        <v>0</v>
      </c>
      <c r="AO33" s="647">
        <v>1</v>
      </c>
      <c r="AP33" s="647">
        <v>3</v>
      </c>
      <c r="AQ33" s="647">
        <v>0</v>
      </c>
    </row>
    <row r="34" spans="1:43" x14ac:dyDescent="0.2">
      <c r="A34" s="527">
        <v>32</v>
      </c>
      <c r="C34" s="614" t="s">
        <v>1053</v>
      </c>
      <c r="D34" s="624"/>
      <c r="E34" s="624"/>
      <c r="F34" s="844"/>
      <c r="G34" s="624"/>
      <c r="H34" s="619"/>
      <c r="I34" s="614"/>
      <c r="J34" s="612">
        <v>2001</v>
      </c>
      <c r="K34" s="612">
        <v>2003</v>
      </c>
      <c r="L34" s="613" t="s">
        <v>336</v>
      </c>
      <c r="M34" s="613">
        <f t="shared" si="5"/>
        <v>0</v>
      </c>
      <c r="N34" s="613">
        <f t="shared" si="6"/>
        <v>0</v>
      </c>
      <c r="R34" s="613">
        <v>1</v>
      </c>
      <c r="U34" s="613">
        <f t="shared" si="7"/>
        <v>1</v>
      </c>
      <c r="W34" s="613" t="str">
        <f t="shared" si="0"/>
        <v>I</v>
      </c>
      <c r="X34" s="613" t="str">
        <f t="shared" si="1"/>
        <v>I</v>
      </c>
      <c r="Y34" s="613" t="str">
        <f t="shared" si="2"/>
        <v>I</v>
      </c>
      <c r="Z34" s="613">
        <f t="shared" si="3"/>
        <v>2001</v>
      </c>
      <c r="AA34" s="613" t="str">
        <f t="shared" si="4"/>
        <v>I</v>
      </c>
      <c r="AB34" s="613" t="str">
        <f t="shared" si="4"/>
        <v>I</v>
      </c>
      <c r="AD34" s="613"/>
      <c r="AE34" s="740"/>
      <c r="AF34" s="644">
        <v>2002</v>
      </c>
      <c r="AG34" s="527">
        <v>2008</v>
      </c>
      <c r="AI34">
        <v>2009</v>
      </c>
      <c r="AJ34">
        <v>3</v>
      </c>
      <c r="AL34" s="527">
        <v>2009</v>
      </c>
      <c r="AM34" s="647">
        <v>4</v>
      </c>
      <c r="AN34" s="647">
        <v>0</v>
      </c>
      <c r="AO34" s="647">
        <v>4</v>
      </c>
      <c r="AP34" s="647">
        <v>3</v>
      </c>
      <c r="AQ34" s="647">
        <v>0</v>
      </c>
    </row>
    <row r="35" spans="1:43" x14ac:dyDescent="0.2">
      <c r="A35" s="527">
        <v>33</v>
      </c>
      <c r="C35" s="614" t="s">
        <v>1119</v>
      </c>
      <c r="D35" s="624"/>
      <c r="E35" s="624"/>
      <c r="F35" s="844"/>
      <c r="G35" s="624"/>
      <c r="H35" s="619"/>
      <c r="I35" s="614"/>
      <c r="J35" s="612">
        <v>2001</v>
      </c>
      <c r="K35" s="612">
        <v>2003</v>
      </c>
      <c r="L35" s="613" t="s">
        <v>336</v>
      </c>
      <c r="M35" s="613">
        <f t="shared" si="5"/>
        <v>0</v>
      </c>
      <c r="N35" s="613">
        <f t="shared" si="6"/>
        <v>0</v>
      </c>
      <c r="R35" s="613">
        <v>1</v>
      </c>
      <c r="U35" s="613">
        <f t="shared" si="7"/>
        <v>1</v>
      </c>
      <c r="W35" s="613" t="str">
        <f t="shared" si="0"/>
        <v>I</v>
      </c>
      <c r="X35" s="613" t="str">
        <f t="shared" si="1"/>
        <v>I</v>
      </c>
      <c r="Y35" s="613" t="str">
        <f t="shared" si="2"/>
        <v>I</v>
      </c>
      <c r="Z35" s="613">
        <f t="shared" si="3"/>
        <v>2001</v>
      </c>
      <c r="AA35" s="613" t="str">
        <f t="shared" si="4"/>
        <v>I</v>
      </c>
      <c r="AB35" s="613" t="str">
        <f t="shared" si="4"/>
        <v>I</v>
      </c>
      <c r="AD35" s="613"/>
      <c r="AE35" s="740"/>
      <c r="AF35" s="644">
        <v>2002</v>
      </c>
      <c r="AG35" s="527">
        <v>2009</v>
      </c>
      <c r="AI35">
        <v>2010</v>
      </c>
      <c r="AJ35">
        <v>2</v>
      </c>
      <c r="AL35" s="527">
        <v>2010</v>
      </c>
      <c r="AM35" s="647">
        <v>0</v>
      </c>
      <c r="AN35" s="647">
        <v>1</v>
      </c>
      <c r="AO35" s="647">
        <v>10</v>
      </c>
      <c r="AP35" s="647">
        <v>2</v>
      </c>
      <c r="AQ35" s="647">
        <v>0</v>
      </c>
    </row>
    <row r="36" spans="1:43" x14ac:dyDescent="0.2">
      <c r="A36" s="527">
        <v>34</v>
      </c>
      <c r="C36" s="527" t="s">
        <v>1117</v>
      </c>
      <c r="D36" s="624"/>
      <c r="E36" s="624"/>
      <c r="F36" s="844"/>
      <c r="G36" s="624"/>
      <c r="H36" s="619"/>
      <c r="J36" s="612">
        <v>2001</v>
      </c>
      <c r="K36" s="612">
        <v>2003</v>
      </c>
      <c r="L36" s="613" t="s">
        <v>336</v>
      </c>
      <c r="M36" s="613">
        <f t="shared" si="5"/>
        <v>0</v>
      </c>
      <c r="N36" s="613">
        <f t="shared" si="6"/>
        <v>0</v>
      </c>
      <c r="R36" s="613">
        <v>1</v>
      </c>
      <c r="U36" s="613">
        <f t="shared" si="7"/>
        <v>1</v>
      </c>
      <c r="W36" s="613" t="str">
        <f t="shared" si="0"/>
        <v>I</v>
      </c>
      <c r="X36" s="613" t="str">
        <f t="shared" si="1"/>
        <v>I</v>
      </c>
      <c r="Y36" s="613" t="str">
        <f t="shared" si="2"/>
        <v>I</v>
      </c>
      <c r="Z36" s="613">
        <f t="shared" si="3"/>
        <v>2001</v>
      </c>
      <c r="AA36" s="613" t="str">
        <f t="shared" si="4"/>
        <v>I</v>
      </c>
      <c r="AB36" s="613" t="str">
        <f t="shared" si="4"/>
        <v>I</v>
      </c>
      <c r="AD36" s="613"/>
      <c r="AE36" s="740"/>
      <c r="AF36" s="644">
        <v>2002</v>
      </c>
      <c r="AG36" s="527">
        <v>2010</v>
      </c>
      <c r="AI36">
        <v>2011</v>
      </c>
      <c r="AJ36">
        <v>4</v>
      </c>
      <c r="AL36" s="527">
        <v>2011</v>
      </c>
      <c r="AM36" s="647">
        <v>0</v>
      </c>
      <c r="AN36" s="647">
        <v>0</v>
      </c>
      <c r="AO36" s="647">
        <v>8</v>
      </c>
      <c r="AP36" s="647">
        <v>4</v>
      </c>
      <c r="AQ36" s="647">
        <v>0</v>
      </c>
    </row>
    <row r="37" spans="1:43" x14ac:dyDescent="0.2">
      <c r="A37" s="527">
        <v>35</v>
      </c>
      <c r="C37" s="527" t="s">
        <v>1120</v>
      </c>
      <c r="D37" s="624"/>
      <c r="E37" s="624"/>
      <c r="F37" s="844"/>
      <c r="G37" s="624"/>
      <c r="H37" s="619"/>
      <c r="J37" s="612">
        <v>2001</v>
      </c>
      <c r="K37" s="612">
        <v>2003</v>
      </c>
      <c r="L37" s="613" t="s">
        <v>336</v>
      </c>
      <c r="M37" s="613">
        <f t="shared" si="5"/>
        <v>0</v>
      </c>
      <c r="N37" s="613">
        <f t="shared" si="6"/>
        <v>0</v>
      </c>
      <c r="R37" s="613">
        <v>1</v>
      </c>
      <c r="U37" s="613">
        <f t="shared" si="7"/>
        <v>1</v>
      </c>
      <c r="W37" s="613" t="str">
        <f t="shared" si="0"/>
        <v>I</v>
      </c>
      <c r="X37" s="613" t="str">
        <f t="shared" si="1"/>
        <v>I</v>
      </c>
      <c r="Y37" s="613" t="str">
        <f t="shared" si="2"/>
        <v>I</v>
      </c>
      <c r="Z37" s="613">
        <f t="shared" si="3"/>
        <v>2001</v>
      </c>
      <c r="AA37" s="613" t="str">
        <f t="shared" si="4"/>
        <v>I</v>
      </c>
      <c r="AB37" s="613" t="str">
        <f t="shared" si="4"/>
        <v>I</v>
      </c>
      <c r="AD37" s="613"/>
      <c r="AE37" s="740"/>
      <c r="AF37" s="644">
        <v>2002</v>
      </c>
      <c r="AG37" s="527">
        <v>2011</v>
      </c>
      <c r="AI37">
        <v>2012</v>
      </c>
      <c r="AJ37">
        <v>3</v>
      </c>
      <c r="AL37" s="527">
        <v>2012</v>
      </c>
      <c r="AM37" s="647">
        <v>0</v>
      </c>
      <c r="AN37" s="647">
        <v>0</v>
      </c>
      <c r="AO37" s="647">
        <v>7</v>
      </c>
      <c r="AP37" s="647">
        <v>3</v>
      </c>
      <c r="AQ37" s="647">
        <v>0</v>
      </c>
    </row>
    <row r="38" spans="1:43" x14ac:dyDescent="0.2">
      <c r="A38" s="527">
        <v>36</v>
      </c>
      <c r="C38" s="527" t="s">
        <v>1121</v>
      </c>
      <c r="D38" s="624"/>
      <c r="E38" s="624"/>
      <c r="F38" s="844"/>
      <c r="G38" s="624"/>
      <c r="H38" s="619"/>
      <c r="J38" s="612">
        <v>2001</v>
      </c>
      <c r="K38" s="612">
        <v>2003</v>
      </c>
      <c r="L38" s="613" t="s">
        <v>336</v>
      </c>
      <c r="M38" s="613">
        <f t="shared" si="5"/>
        <v>0</v>
      </c>
      <c r="N38" s="613">
        <f t="shared" si="6"/>
        <v>0</v>
      </c>
      <c r="R38" s="613">
        <v>1</v>
      </c>
      <c r="U38" s="613">
        <f t="shared" si="7"/>
        <v>1</v>
      </c>
      <c r="W38" s="613" t="str">
        <f t="shared" si="0"/>
        <v>I</v>
      </c>
      <c r="X38" s="613" t="str">
        <f t="shared" si="1"/>
        <v>I</v>
      </c>
      <c r="Y38" s="613" t="str">
        <f t="shared" si="2"/>
        <v>I</v>
      </c>
      <c r="Z38" s="613">
        <f t="shared" si="3"/>
        <v>2001</v>
      </c>
      <c r="AA38" s="613" t="str">
        <f t="shared" si="4"/>
        <v>I</v>
      </c>
      <c r="AB38" s="613" t="str">
        <f t="shared" si="4"/>
        <v>I</v>
      </c>
      <c r="AD38" s="613"/>
      <c r="AE38" s="740"/>
      <c r="AF38" s="644">
        <v>2003</v>
      </c>
      <c r="AG38" s="527">
        <v>2012</v>
      </c>
      <c r="AI38">
        <v>2013</v>
      </c>
      <c r="AJ38">
        <v>0</v>
      </c>
      <c r="AL38" s="527">
        <v>2013</v>
      </c>
      <c r="AM38" s="647">
        <v>1</v>
      </c>
      <c r="AN38" s="647">
        <v>0</v>
      </c>
      <c r="AO38" s="647">
        <v>16</v>
      </c>
      <c r="AP38" s="647">
        <v>0</v>
      </c>
      <c r="AQ38" s="647">
        <v>0</v>
      </c>
    </row>
    <row r="39" spans="1:43" x14ac:dyDescent="0.2">
      <c r="A39" s="527">
        <v>37</v>
      </c>
      <c r="C39" s="527" t="s">
        <v>1122</v>
      </c>
      <c r="D39" s="624"/>
      <c r="E39" s="624"/>
      <c r="F39" s="844"/>
      <c r="G39" s="624"/>
      <c r="H39" s="619"/>
      <c r="J39" s="612">
        <v>2001</v>
      </c>
      <c r="K39" s="612">
        <v>2003</v>
      </c>
      <c r="L39" s="613" t="s">
        <v>336</v>
      </c>
      <c r="M39" s="613">
        <f t="shared" si="5"/>
        <v>0</v>
      </c>
      <c r="N39" s="613">
        <f t="shared" si="6"/>
        <v>0</v>
      </c>
      <c r="R39" s="613">
        <v>1</v>
      </c>
      <c r="U39" s="613">
        <f t="shared" si="7"/>
        <v>1</v>
      </c>
      <c r="W39" s="613" t="str">
        <f t="shared" si="0"/>
        <v>I</v>
      </c>
      <c r="X39" s="613" t="str">
        <f t="shared" si="1"/>
        <v>I</v>
      </c>
      <c r="Y39" s="613" t="str">
        <f t="shared" si="2"/>
        <v>I</v>
      </c>
      <c r="Z39" s="613">
        <f t="shared" si="3"/>
        <v>2001</v>
      </c>
      <c r="AA39" s="613" t="str">
        <f t="shared" si="4"/>
        <v>I</v>
      </c>
      <c r="AB39" s="613" t="str">
        <f t="shared" si="4"/>
        <v>I</v>
      </c>
      <c r="AD39" s="613"/>
      <c r="AE39" s="740"/>
      <c r="AF39" s="644">
        <v>2003</v>
      </c>
      <c r="AG39" s="527">
        <v>2013</v>
      </c>
      <c r="AI39">
        <v>2014</v>
      </c>
      <c r="AJ39">
        <v>1</v>
      </c>
      <c r="AL39" s="527">
        <v>2014</v>
      </c>
      <c r="AM39" s="647">
        <v>1</v>
      </c>
      <c r="AN39" s="647">
        <v>0</v>
      </c>
      <c r="AO39" s="647">
        <v>28</v>
      </c>
      <c r="AP39" s="647">
        <v>1</v>
      </c>
      <c r="AQ39" s="647">
        <v>0</v>
      </c>
    </row>
    <row r="40" spans="1:43" x14ac:dyDescent="0.2">
      <c r="A40" s="527">
        <v>38</v>
      </c>
      <c r="C40" s="527" t="s">
        <v>599</v>
      </c>
      <c r="D40" s="624"/>
      <c r="E40" s="624"/>
      <c r="F40" s="844"/>
      <c r="G40" s="624"/>
      <c r="H40" s="619"/>
      <c r="J40" s="612">
        <v>2001</v>
      </c>
      <c r="K40" s="612">
        <v>2003</v>
      </c>
      <c r="L40" s="613" t="s">
        <v>336</v>
      </c>
      <c r="M40" s="613">
        <f t="shared" si="5"/>
        <v>0</v>
      </c>
      <c r="N40" s="613">
        <f t="shared" si="6"/>
        <v>0</v>
      </c>
      <c r="R40" s="613">
        <v>1</v>
      </c>
      <c r="U40" s="613">
        <f t="shared" si="7"/>
        <v>1</v>
      </c>
      <c r="W40" s="613" t="str">
        <f t="shared" si="0"/>
        <v>I</v>
      </c>
      <c r="X40" s="613" t="str">
        <f t="shared" si="1"/>
        <v>I</v>
      </c>
      <c r="Y40" s="613" t="str">
        <f t="shared" si="2"/>
        <v>I</v>
      </c>
      <c r="Z40" s="613">
        <f t="shared" si="3"/>
        <v>2001</v>
      </c>
      <c r="AA40" s="613" t="str">
        <f t="shared" si="4"/>
        <v>I</v>
      </c>
      <c r="AB40" s="613" t="str">
        <f t="shared" si="4"/>
        <v>I</v>
      </c>
      <c r="AD40" s="613"/>
      <c r="AE40" s="740"/>
      <c r="AF40" s="644">
        <v>2003</v>
      </c>
      <c r="AG40" s="527">
        <v>2014</v>
      </c>
      <c r="AI40">
        <v>2015</v>
      </c>
      <c r="AJ40">
        <v>1</v>
      </c>
      <c r="AL40" s="527">
        <v>2015</v>
      </c>
      <c r="AM40" s="647">
        <v>1</v>
      </c>
      <c r="AN40" s="647">
        <v>0</v>
      </c>
      <c r="AO40" s="647">
        <v>61</v>
      </c>
      <c r="AP40" s="647">
        <v>1</v>
      </c>
      <c r="AQ40" s="647">
        <v>0</v>
      </c>
    </row>
    <row r="41" spans="1:43" x14ac:dyDescent="0.2">
      <c r="A41" s="527">
        <v>39</v>
      </c>
      <c r="C41" s="527" t="s">
        <v>1125</v>
      </c>
      <c r="D41" s="624"/>
      <c r="E41" s="624"/>
      <c r="F41" s="844"/>
      <c r="G41" s="624"/>
      <c r="H41" s="619"/>
      <c r="J41" s="612">
        <v>2002</v>
      </c>
      <c r="K41" s="612">
        <v>2003</v>
      </c>
      <c r="L41" s="613" t="s">
        <v>336</v>
      </c>
      <c r="M41" s="613">
        <f t="shared" si="5"/>
        <v>0</v>
      </c>
      <c r="N41" s="613">
        <f t="shared" si="6"/>
        <v>0</v>
      </c>
      <c r="R41" s="613">
        <v>1</v>
      </c>
      <c r="U41" s="613">
        <f t="shared" si="7"/>
        <v>1</v>
      </c>
      <c r="W41" s="613" t="str">
        <f t="shared" si="0"/>
        <v>I</v>
      </c>
      <c r="X41" s="613" t="str">
        <f t="shared" si="1"/>
        <v>I</v>
      </c>
      <c r="Y41" s="613" t="str">
        <f t="shared" si="2"/>
        <v>I</v>
      </c>
      <c r="Z41" s="613">
        <f t="shared" si="3"/>
        <v>2002</v>
      </c>
      <c r="AA41" s="613" t="str">
        <f t="shared" si="4"/>
        <v>I</v>
      </c>
      <c r="AB41" s="613" t="str">
        <f t="shared" si="4"/>
        <v>I</v>
      </c>
      <c r="AD41" s="613"/>
      <c r="AE41" s="740"/>
      <c r="AF41" s="644">
        <v>2003</v>
      </c>
      <c r="AG41" s="527">
        <v>2015</v>
      </c>
      <c r="AI41">
        <v>2016</v>
      </c>
      <c r="AJ41">
        <v>1</v>
      </c>
      <c r="AL41" s="527">
        <v>2016</v>
      </c>
      <c r="AM41" s="647">
        <v>0</v>
      </c>
      <c r="AN41" s="647">
        <v>0</v>
      </c>
      <c r="AO41" s="647">
        <v>44</v>
      </c>
      <c r="AP41" s="647">
        <v>1</v>
      </c>
      <c r="AQ41" s="647">
        <v>0</v>
      </c>
    </row>
    <row r="42" spans="1:43" x14ac:dyDescent="0.2">
      <c r="A42" s="527">
        <v>40</v>
      </c>
      <c r="C42" s="527" t="s">
        <v>1126</v>
      </c>
      <c r="D42" s="624"/>
      <c r="E42" s="624"/>
      <c r="F42" s="844"/>
      <c r="G42" s="624"/>
      <c r="H42" s="619"/>
      <c r="J42" s="612">
        <v>2002</v>
      </c>
      <c r="K42" s="612">
        <v>2003</v>
      </c>
      <c r="L42" s="613" t="s">
        <v>336</v>
      </c>
      <c r="M42" s="613">
        <f t="shared" si="5"/>
        <v>0</v>
      </c>
      <c r="N42" s="613">
        <f t="shared" si="6"/>
        <v>0</v>
      </c>
      <c r="R42" s="613">
        <v>1</v>
      </c>
      <c r="U42" s="613">
        <f t="shared" si="7"/>
        <v>1</v>
      </c>
      <c r="W42" s="613" t="str">
        <f t="shared" si="0"/>
        <v>I</v>
      </c>
      <c r="X42" s="613" t="str">
        <f t="shared" si="1"/>
        <v>I</v>
      </c>
      <c r="Y42" s="613" t="str">
        <f t="shared" si="2"/>
        <v>I</v>
      </c>
      <c r="Z42" s="613">
        <f t="shared" si="3"/>
        <v>2002</v>
      </c>
      <c r="AA42" s="613" t="str">
        <f t="shared" si="4"/>
        <v>I</v>
      </c>
      <c r="AB42" s="613" t="str">
        <f t="shared" si="4"/>
        <v>I</v>
      </c>
      <c r="AD42" s="613"/>
      <c r="AE42" s="740"/>
      <c r="AF42" s="644">
        <v>2003</v>
      </c>
      <c r="AG42" s="527">
        <v>2016</v>
      </c>
      <c r="AI42">
        <v>2017</v>
      </c>
      <c r="AJ42">
        <v>0</v>
      </c>
      <c r="AL42" s="527">
        <v>2017</v>
      </c>
      <c r="AM42" s="647">
        <v>0</v>
      </c>
      <c r="AN42" s="647">
        <v>0</v>
      </c>
      <c r="AO42" s="647">
        <v>51</v>
      </c>
      <c r="AP42" s="647">
        <v>0</v>
      </c>
      <c r="AQ42" s="647">
        <v>0</v>
      </c>
    </row>
    <row r="43" spans="1:43" x14ac:dyDescent="0.2">
      <c r="A43" s="527">
        <v>41</v>
      </c>
      <c r="C43" s="527" t="s">
        <v>1127</v>
      </c>
      <c r="D43" s="624"/>
      <c r="E43" s="624"/>
      <c r="F43" s="844"/>
      <c r="G43" s="624"/>
      <c r="H43" s="619"/>
      <c r="J43" s="612">
        <v>2001</v>
      </c>
      <c r="K43" s="612">
        <v>2003</v>
      </c>
      <c r="L43" s="613" t="s">
        <v>336</v>
      </c>
      <c r="M43" s="613">
        <f t="shared" si="5"/>
        <v>0</v>
      </c>
      <c r="N43" s="613">
        <f t="shared" si="6"/>
        <v>0</v>
      </c>
      <c r="R43" s="613">
        <v>1</v>
      </c>
      <c r="U43" s="613">
        <f t="shared" si="7"/>
        <v>1</v>
      </c>
      <c r="W43" s="613" t="str">
        <f t="shared" si="0"/>
        <v>I</v>
      </c>
      <c r="X43" s="613" t="str">
        <f t="shared" si="1"/>
        <v>I</v>
      </c>
      <c r="Y43" s="613" t="str">
        <f t="shared" si="2"/>
        <v>I</v>
      </c>
      <c r="Z43" s="613">
        <f t="shared" si="3"/>
        <v>2001</v>
      </c>
      <c r="AA43" s="613" t="str">
        <f t="shared" si="4"/>
        <v>I</v>
      </c>
      <c r="AB43" s="613" t="str">
        <f t="shared" si="4"/>
        <v>I</v>
      </c>
      <c r="AD43" s="613"/>
      <c r="AE43" s="740"/>
      <c r="AF43" s="644">
        <v>2003</v>
      </c>
      <c r="AG43" s="527">
        <v>2017</v>
      </c>
      <c r="AI43">
        <v>2018</v>
      </c>
      <c r="AJ43">
        <v>3</v>
      </c>
      <c r="AL43" s="527">
        <v>2018</v>
      </c>
      <c r="AM43" s="647">
        <v>8</v>
      </c>
      <c r="AN43" s="647">
        <v>0</v>
      </c>
      <c r="AO43" s="647">
        <v>24</v>
      </c>
      <c r="AP43" s="647">
        <v>3</v>
      </c>
      <c r="AQ43" s="647">
        <v>0</v>
      </c>
    </row>
    <row r="44" spans="1:43" x14ac:dyDescent="0.2">
      <c r="A44" s="527">
        <v>42</v>
      </c>
      <c r="C44" s="527" t="s">
        <v>1128</v>
      </c>
      <c r="D44" s="624"/>
      <c r="E44" s="624"/>
      <c r="F44" s="844"/>
      <c r="G44" s="624"/>
      <c r="H44" s="619"/>
      <c r="J44" s="612">
        <v>2001</v>
      </c>
      <c r="K44" s="612">
        <v>2003</v>
      </c>
      <c r="L44" s="613" t="s">
        <v>336</v>
      </c>
      <c r="M44" s="613">
        <f t="shared" si="5"/>
        <v>0</v>
      </c>
      <c r="N44" s="613">
        <f t="shared" si="6"/>
        <v>0</v>
      </c>
      <c r="R44" s="613">
        <v>1</v>
      </c>
      <c r="U44" s="613">
        <f t="shared" si="7"/>
        <v>1</v>
      </c>
      <c r="W44" s="613" t="str">
        <f t="shared" si="0"/>
        <v>I</v>
      </c>
      <c r="X44" s="613" t="str">
        <f t="shared" si="1"/>
        <v>I</v>
      </c>
      <c r="Y44" s="613" t="str">
        <f t="shared" si="2"/>
        <v>I</v>
      </c>
      <c r="Z44" s="613">
        <f t="shared" si="3"/>
        <v>2001</v>
      </c>
      <c r="AA44" s="613" t="str">
        <f t="shared" si="4"/>
        <v>I</v>
      </c>
      <c r="AB44" s="613" t="str">
        <f t="shared" si="4"/>
        <v>I</v>
      </c>
      <c r="AD44" s="613"/>
      <c r="AE44" s="740"/>
      <c r="AF44" s="644">
        <v>2003</v>
      </c>
      <c r="AG44" s="527">
        <v>2018</v>
      </c>
      <c r="AI44">
        <v>2019</v>
      </c>
      <c r="AJ44">
        <v>0</v>
      </c>
      <c r="AL44" s="527">
        <v>2019</v>
      </c>
      <c r="AM44" s="647">
        <v>0</v>
      </c>
      <c r="AN44" s="647">
        <v>0</v>
      </c>
      <c r="AO44" s="647">
        <v>32</v>
      </c>
      <c r="AP44" s="647">
        <v>0</v>
      </c>
      <c r="AQ44" s="647">
        <v>0</v>
      </c>
    </row>
    <row r="45" spans="1:43" x14ac:dyDescent="0.2">
      <c r="A45" s="527">
        <v>43</v>
      </c>
      <c r="C45" s="614" t="s">
        <v>1135</v>
      </c>
      <c r="D45" s="624"/>
      <c r="E45" s="624"/>
      <c r="F45" s="844"/>
      <c r="G45" s="624"/>
      <c r="H45" s="619"/>
      <c r="I45" s="614"/>
      <c r="J45" s="612">
        <v>2001</v>
      </c>
      <c r="K45" s="612">
        <v>2003</v>
      </c>
      <c r="L45" s="613" t="s">
        <v>336</v>
      </c>
      <c r="M45" s="613">
        <f t="shared" si="5"/>
        <v>0</v>
      </c>
      <c r="N45" s="613">
        <f t="shared" si="6"/>
        <v>0</v>
      </c>
      <c r="R45" s="613">
        <v>1</v>
      </c>
      <c r="U45" s="613">
        <f t="shared" si="7"/>
        <v>1</v>
      </c>
      <c r="W45" s="613" t="str">
        <f t="shared" si="0"/>
        <v>I</v>
      </c>
      <c r="X45" s="613" t="str">
        <f t="shared" si="1"/>
        <v>I</v>
      </c>
      <c r="Y45" s="613" t="str">
        <f t="shared" si="2"/>
        <v>I</v>
      </c>
      <c r="Z45" s="613">
        <f t="shared" si="3"/>
        <v>2001</v>
      </c>
      <c r="AA45" s="613" t="str">
        <f t="shared" si="4"/>
        <v>I</v>
      </c>
      <c r="AB45" s="613" t="str">
        <f t="shared" si="4"/>
        <v>I</v>
      </c>
      <c r="AD45" s="613"/>
      <c r="AE45" s="740"/>
      <c r="AF45" s="644">
        <v>2003</v>
      </c>
      <c r="AG45" s="527">
        <v>2019</v>
      </c>
      <c r="AI45">
        <v>2020</v>
      </c>
      <c r="AJ45">
        <v>1</v>
      </c>
      <c r="AL45" s="527">
        <v>2020</v>
      </c>
      <c r="AM45" s="647">
        <v>0</v>
      </c>
      <c r="AN45" s="647">
        <v>0</v>
      </c>
      <c r="AO45" s="647">
        <v>48</v>
      </c>
      <c r="AP45" s="647">
        <v>1</v>
      </c>
      <c r="AQ45" s="647">
        <v>0</v>
      </c>
    </row>
    <row r="46" spans="1:43" x14ac:dyDescent="0.2">
      <c r="A46" s="527">
        <v>44</v>
      </c>
      <c r="C46" s="527" t="s">
        <v>1129</v>
      </c>
      <c r="D46" s="624"/>
      <c r="E46" s="624"/>
      <c r="F46" s="844"/>
      <c r="G46" s="624"/>
      <c r="H46" s="619"/>
      <c r="J46" s="612">
        <v>2001</v>
      </c>
      <c r="K46" s="612">
        <v>2003</v>
      </c>
      <c r="L46" s="613" t="s">
        <v>336</v>
      </c>
      <c r="M46" s="613">
        <f t="shared" si="5"/>
        <v>0</v>
      </c>
      <c r="N46" s="613">
        <f t="shared" si="6"/>
        <v>0</v>
      </c>
      <c r="R46" s="613">
        <v>1</v>
      </c>
      <c r="U46" s="613">
        <f t="shared" si="7"/>
        <v>1</v>
      </c>
      <c r="W46" s="613" t="str">
        <f t="shared" si="0"/>
        <v>I</v>
      </c>
      <c r="X46" s="613" t="str">
        <f t="shared" si="1"/>
        <v>I</v>
      </c>
      <c r="Y46" s="613" t="str">
        <f t="shared" si="2"/>
        <v>I</v>
      </c>
      <c r="Z46" s="613">
        <f t="shared" si="3"/>
        <v>2001</v>
      </c>
      <c r="AA46" s="613" t="str">
        <f t="shared" si="4"/>
        <v>I</v>
      </c>
      <c r="AB46" s="613" t="str">
        <f t="shared" si="4"/>
        <v>I</v>
      </c>
      <c r="AD46" s="613"/>
      <c r="AE46" s="740"/>
      <c r="AF46" s="644">
        <v>2003</v>
      </c>
      <c r="AG46" s="527">
        <v>2020</v>
      </c>
      <c r="AI46">
        <v>2021</v>
      </c>
      <c r="AJ46">
        <v>0</v>
      </c>
      <c r="AL46" s="527">
        <v>2021</v>
      </c>
      <c r="AM46" s="647">
        <v>0</v>
      </c>
      <c r="AN46" s="647">
        <v>0</v>
      </c>
      <c r="AO46" s="647">
        <v>91</v>
      </c>
      <c r="AP46" s="647">
        <v>0</v>
      </c>
      <c r="AQ46" s="647">
        <v>0</v>
      </c>
    </row>
    <row r="47" spans="1:43" x14ac:dyDescent="0.2">
      <c r="A47" s="527">
        <v>45</v>
      </c>
      <c r="C47" s="527" t="s">
        <v>1130</v>
      </c>
      <c r="D47" s="624"/>
      <c r="E47" s="624"/>
      <c r="F47" s="844"/>
      <c r="G47" s="624"/>
      <c r="H47" s="619"/>
      <c r="J47" s="612">
        <v>2001</v>
      </c>
      <c r="K47" s="612">
        <v>2003</v>
      </c>
      <c r="L47" s="613" t="s">
        <v>336</v>
      </c>
      <c r="M47" s="613">
        <f t="shared" si="5"/>
        <v>0</v>
      </c>
      <c r="N47" s="613">
        <f t="shared" si="6"/>
        <v>0</v>
      </c>
      <c r="R47" s="613">
        <v>1</v>
      </c>
      <c r="U47" s="613">
        <f t="shared" si="7"/>
        <v>1</v>
      </c>
      <c r="W47" s="613" t="str">
        <f t="shared" si="0"/>
        <v>I</v>
      </c>
      <c r="X47" s="613" t="str">
        <f t="shared" si="1"/>
        <v>I</v>
      </c>
      <c r="Y47" s="613" t="str">
        <f t="shared" si="2"/>
        <v>I</v>
      </c>
      <c r="Z47" s="613">
        <f t="shared" si="3"/>
        <v>2001</v>
      </c>
      <c r="AA47" s="613" t="str">
        <f t="shared" si="4"/>
        <v>I</v>
      </c>
      <c r="AB47" s="613" t="str">
        <f t="shared" si="4"/>
        <v>I</v>
      </c>
      <c r="AD47" s="613"/>
      <c r="AE47" s="740"/>
      <c r="AF47" s="644">
        <v>2003</v>
      </c>
      <c r="AG47" s="527">
        <v>2021</v>
      </c>
      <c r="AI47">
        <v>2022</v>
      </c>
      <c r="AJ47">
        <v>0</v>
      </c>
      <c r="AL47" s="527">
        <v>2022</v>
      </c>
      <c r="AM47" s="647">
        <v>0</v>
      </c>
      <c r="AN47" s="647">
        <v>0</v>
      </c>
      <c r="AO47" s="647">
        <v>66</v>
      </c>
      <c r="AP47" s="647">
        <v>0</v>
      </c>
      <c r="AQ47" s="647">
        <v>0</v>
      </c>
    </row>
    <row r="48" spans="1:43" x14ac:dyDescent="0.2">
      <c r="A48" s="527">
        <v>46</v>
      </c>
      <c r="C48" s="614" t="s">
        <v>1054</v>
      </c>
      <c r="D48" s="624"/>
      <c r="E48" s="624"/>
      <c r="F48" s="844"/>
      <c r="G48" s="624"/>
      <c r="H48" s="619"/>
      <c r="I48" s="614"/>
      <c r="J48" s="612">
        <v>2002</v>
      </c>
      <c r="K48" s="612">
        <v>2003</v>
      </c>
      <c r="L48" s="613" t="s">
        <v>336</v>
      </c>
      <c r="M48" s="613">
        <f t="shared" si="5"/>
        <v>0</v>
      </c>
      <c r="N48" s="613">
        <f t="shared" si="6"/>
        <v>0</v>
      </c>
      <c r="R48" s="613">
        <v>1</v>
      </c>
      <c r="U48" s="613">
        <f t="shared" si="7"/>
        <v>1</v>
      </c>
      <c r="W48" s="613" t="str">
        <f t="shared" si="0"/>
        <v>I</v>
      </c>
      <c r="X48" s="613" t="str">
        <f t="shared" si="1"/>
        <v>I</v>
      </c>
      <c r="Y48" s="613" t="str">
        <f t="shared" si="2"/>
        <v>I</v>
      </c>
      <c r="Z48" s="613">
        <f t="shared" si="3"/>
        <v>2002</v>
      </c>
      <c r="AA48" s="613" t="str">
        <f t="shared" si="4"/>
        <v>I</v>
      </c>
      <c r="AB48" s="613" t="str">
        <f t="shared" si="4"/>
        <v>I</v>
      </c>
      <c r="AD48" s="613"/>
      <c r="AE48" s="740"/>
      <c r="AF48" s="644">
        <v>2003</v>
      </c>
      <c r="AG48" s="527">
        <v>2022</v>
      </c>
      <c r="AI48">
        <v>2023</v>
      </c>
      <c r="AJ48">
        <v>0</v>
      </c>
      <c r="AL48" s="527">
        <v>2023</v>
      </c>
      <c r="AM48" s="647">
        <v>0</v>
      </c>
      <c r="AN48" s="647">
        <v>0</v>
      </c>
      <c r="AO48" s="647">
        <v>42</v>
      </c>
      <c r="AP48" s="647">
        <v>0</v>
      </c>
      <c r="AQ48" s="647">
        <v>0</v>
      </c>
    </row>
    <row r="49" spans="1:44" x14ac:dyDescent="0.2">
      <c r="A49" s="527">
        <v>47</v>
      </c>
      <c r="C49" s="614" t="s">
        <v>768</v>
      </c>
      <c r="D49" s="624"/>
      <c r="E49" s="624"/>
      <c r="F49" s="844"/>
      <c r="G49" s="624"/>
      <c r="H49" s="619"/>
      <c r="I49" s="614"/>
      <c r="J49" s="612">
        <v>2002</v>
      </c>
      <c r="K49" s="612">
        <v>2003</v>
      </c>
      <c r="L49" s="613" t="s">
        <v>336</v>
      </c>
      <c r="M49" s="613">
        <f t="shared" si="5"/>
        <v>0</v>
      </c>
      <c r="N49" s="613">
        <f t="shared" si="6"/>
        <v>0</v>
      </c>
      <c r="O49" s="613">
        <v>1</v>
      </c>
      <c r="U49" s="613">
        <f t="shared" si="7"/>
        <v>1</v>
      </c>
      <c r="W49" s="613">
        <f t="shared" si="0"/>
        <v>2002</v>
      </c>
      <c r="X49" s="613" t="str">
        <f t="shared" si="1"/>
        <v>I</v>
      </c>
      <c r="Y49" s="613" t="str">
        <f t="shared" si="2"/>
        <v>I</v>
      </c>
      <c r="Z49" s="613" t="str">
        <f t="shared" si="3"/>
        <v>I</v>
      </c>
      <c r="AA49" s="613" t="str">
        <f t="shared" si="4"/>
        <v>I</v>
      </c>
      <c r="AB49" s="613" t="str">
        <f t="shared" si="4"/>
        <v>I</v>
      </c>
      <c r="AD49" s="613"/>
      <c r="AE49" s="740"/>
      <c r="AF49" s="644">
        <v>2003</v>
      </c>
      <c r="AG49" s="527">
        <v>2023</v>
      </c>
      <c r="AI49">
        <v>2024</v>
      </c>
      <c r="AJ49">
        <v>0</v>
      </c>
      <c r="AL49" s="527">
        <v>2024</v>
      </c>
      <c r="AM49" s="647">
        <v>0</v>
      </c>
      <c r="AN49" s="647">
        <v>0</v>
      </c>
      <c r="AO49" s="647">
        <v>12</v>
      </c>
      <c r="AP49" s="647">
        <v>0</v>
      </c>
      <c r="AQ49" s="647">
        <v>0</v>
      </c>
      <c r="AR49" s="527">
        <v>1</v>
      </c>
    </row>
    <row r="50" spans="1:44" x14ac:dyDescent="0.2">
      <c r="A50" s="527">
        <v>48</v>
      </c>
      <c r="C50" s="614" t="s">
        <v>769</v>
      </c>
      <c r="D50" s="624"/>
      <c r="E50" s="624"/>
      <c r="F50" s="844"/>
      <c r="G50" s="624"/>
      <c r="H50" s="619"/>
      <c r="I50" s="614"/>
      <c r="J50" s="612">
        <v>2003</v>
      </c>
      <c r="K50" s="612">
        <v>2003</v>
      </c>
      <c r="L50" s="613" t="s">
        <v>336</v>
      </c>
      <c r="M50" s="613">
        <f t="shared" si="5"/>
        <v>0</v>
      </c>
      <c r="N50" s="613">
        <f t="shared" si="6"/>
        <v>0</v>
      </c>
      <c r="O50" s="613">
        <v>1</v>
      </c>
      <c r="U50" s="613">
        <f t="shared" si="7"/>
        <v>1</v>
      </c>
      <c r="W50" s="613">
        <f t="shared" si="0"/>
        <v>2003</v>
      </c>
      <c r="X50" s="613" t="str">
        <f t="shared" si="1"/>
        <v>I</v>
      </c>
      <c r="Y50" s="613" t="str">
        <f t="shared" si="2"/>
        <v>I</v>
      </c>
      <c r="Z50" s="613" t="str">
        <f t="shared" si="3"/>
        <v>I</v>
      </c>
      <c r="AA50" s="613" t="str">
        <f t="shared" si="4"/>
        <v>I</v>
      </c>
      <c r="AB50" s="613" t="str">
        <f t="shared" si="4"/>
        <v>I</v>
      </c>
      <c r="AD50" s="613"/>
      <c r="AE50" s="740"/>
      <c r="AF50" s="644">
        <v>2004</v>
      </c>
      <c r="AG50" s="527">
        <v>2024</v>
      </c>
      <c r="AI50">
        <v>2025</v>
      </c>
      <c r="AJ50">
        <v>0</v>
      </c>
      <c r="AM50" s="647"/>
      <c r="AN50" s="647"/>
      <c r="AO50" s="647"/>
      <c r="AP50" s="647"/>
      <c r="AQ50" s="647"/>
    </row>
    <row r="51" spans="1:44" ht="13.5" thickBot="1" x14ac:dyDescent="0.25">
      <c r="A51" s="527">
        <v>49</v>
      </c>
      <c r="C51" s="614" t="s">
        <v>1012</v>
      </c>
      <c r="D51" s="624"/>
      <c r="E51" s="624"/>
      <c r="F51" s="844"/>
      <c r="G51" s="624"/>
      <c r="H51" s="619"/>
      <c r="I51" s="614"/>
      <c r="J51" s="612">
        <v>2002</v>
      </c>
      <c r="K51" s="612">
        <v>2003</v>
      </c>
      <c r="L51" s="613" t="s">
        <v>336</v>
      </c>
      <c r="M51" s="613">
        <f t="shared" si="5"/>
        <v>0</v>
      </c>
      <c r="N51" s="613">
        <f t="shared" si="6"/>
        <v>0</v>
      </c>
      <c r="R51" s="613">
        <v>1</v>
      </c>
      <c r="U51" s="613">
        <f t="shared" si="7"/>
        <v>1</v>
      </c>
      <c r="W51" s="613" t="str">
        <f t="shared" si="0"/>
        <v>I</v>
      </c>
      <c r="X51" s="613" t="str">
        <f t="shared" si="1"/>
        <v>I</v>
      </c>
      <c r="Y51" s="613" t="str">
        <f t="shared" si="2"/>
        <v>I</v>
      </c>
      <c r="Z51" s="613">
        <f t="shared" si="3"/>
        <v>2002</v>
      </c>
      <c r="AA51" s="613" t="str">
        <f t="shared" si="4"/>
        <v>I</v>
      </c>
      <c r="AB51" s="613" t="str">
        <f t="shared" si="4"/>
        <v>I</v>
      </c>
      <c r="AD51" s="613"/>
      <c r="AE51" s="740"/>
      <c r="AF51" s="644">
        <v>2004</v>
      </c>
      <c r="AG51" s="527">
        <v>2025</v>
      </c>
      <c r="AI51" s="837" t="s">
        <v>136</v>
      </c>
      <c r="AJ51" s="837">
        <v>0</v>
      </c>
      <c r="AM51" s="647"/>
      <c r="AN51" s="647"/>
      <c r="AO51" s="647"/>
      <c r="AP51" s="647"/>
      <c r="AQ51" s="647"/>
    </row>
    <row r="52" spans="1:44" x14ac:dyDescent="0.2">
      <c r="A52" s="527">
        <v>50</v>
      </c>
      <c r="C52" s="652" t="s">
        <v>1131</v>
      </c>
      <c r="D52" s="624"/>
      <c r="E52" s="624"/>
      <c r="F52" s="844"/>
      <c r="G52" s="624"/>
      <c r="H52" s="619"/>
      <c r="I52" s="652"/>
      <c r="J52" s="653">
        <v>2003</v>
      </c>
      <c r="K52" s="653">
        <v>2004</v>
      </c>
      <c r="L52" s="613" t="s">
        <v>336</v>
      </c>
      <c r="M52" s="613">
        <f t="shared" si="5"/>
        <v>0</v>
      </c>
      <c r="N52" s="613">
        <f t="shared" si="6"/>
        <v>0</v>
      </c>
      <c r="O52" s="654"/>
      <c r="P52" s="654"/>
      <c r="Q52" s="654"/>
      <c r="R52" s="654">
        <v>1</v>
      </c>
      <c r="S52" s="654"/>
      <c r="T52" s="654"/>
      <c r="U52" s="613">
        <f t="shared" si="7"/>
        <v>1</v>
      </c>
      <c r="W52" s="613" t="str">
        <f t="shared" si="0"/>
        <v>I</v>
      </c>
      <c r="X52" s="613" t="str">
        <f t="shared" si="1"/>
        <v>I</v>
      </c>
      <c r="Y52" s="613" t="str">
        <f t="shared" si="2"/>
        <v>I</v>
      </c>
      <c r="Z52" s="613">
        <f t="shared" si="3"/>
        <v>2003</v>
      </c>
      <c r="AA52" s="613" t="str">
        <f t="shared" si="4"/>
        <v>I</v>
      </c>
      <c r="AB52" s="613" t="str">
        <f t="shared" si="4"/>
        <v>I</v>
      </c>
      <c r="AD52" s="613"/>
      <c r="AE52" s="740"/>
      <c r="AF52" s="644">
        <v>2005</v>
      </c>
      <c r="AI52"/>
      <c r="AJ52"/>
      <c r="AM52" s="647"/>
      <c r="AN52" s="647"/>
      <c r="AO52" s="647"/>
      <c r="AP52" s="647"/>
      <c r="AQ52" s="647"/>
    </row>
    <row r="53" spans="1:44" x14ac:dyDescent="0.2">
      <c r="A53" s="527">
        <v>51</v>
      </c>
      <c r="C53" s="652" t="s">
        <v>1132</v>
      </c>
      <c r="D53" s="624"/>
      <c r="E53" s="624"/>
      <c r="F53" s="844"/>
      <c r="G53" s="624"/>
      <c r="H53" s="619"/>
      <c r="I53" s="652"/>
      <c r="J53" s="653">
        <v>2003</v>
      </c>
      <c r="K53" s="653">
        <v>2004</v>
      </c>
      <c r="L53" s="613" t="s">
        <v>336</v>
      </c>
      <c r="M53" s="613">
        <f t="shared" si="5"/>
        <v>0</v>
      </c>
      <c r="N53" s="613">
        <f t="shared" si="6"/>
        <v>0</v>
      </c>
      <c r="O53" s="654"/>
      <c r="P53" s="654"/>
      <c r="Q53" s="654"/>
      <c r="R53" s="654">
        <v>1</v>
      </c>
      <c r="S53" s="654"/>
      <c r="T53" s="654"/>
      <c r="U53" s="613">
        <f t="shared" si="7"/>
        <v>1</v>
      </c>
      <c r="W53" s="613" t="str">
        <f t="shared" si="0"/>
        <v>I</v>
      </c>
      <c r="X53" s="613" t="str">
        <f t="shared" si="1"/>
        <v>I</v>
      </c>
      <c r="Y53" s="613" t="str">
        <f t="shared" si="2"/>
        <v>I</v>
      </c>
      <c r="Z53" s="613">
        <f t="shared" si="3"/>
        <v>2003</v>
      </c>
      <c r="AA53" s="613" t="str">
        <f t="shared" si="4"/>
        <v>I</v>
      </c>
      <c r="AB53" s="613" t="str">
        <f t="shared" si="4"/>
        <v>I</v>
      </c>
      <c r="AD53" s="613"/>
      <c r="AE53" s="740"/>
      <c r="AF53" s="644">
        <v>2005</v>
      </c>
      <c r="AI53"/>
      <c r="AJ53"/>
      <c r="AM53" s="647"/>
      <c r="AN53" s="647"/>
      <c r="AO53" s="647"/>
      <c r="AP53" s="647"/>
      <c r="AQ53" s="647"/>
    </row>
    <row r="54" spans="1:44" x14ac:dyDescent="0.2">
      <c r="A54" s="527">
        <v>52</v>
      </c>
      <c r="C54" s="652" t="s">
        <v>1138</v>
      </c>
      <c r="D54" s="624"/>
      <c r="E54" s="624"/>
      <c r="F54" s="844"/>
      <c r="G54" s="624"/>
      <c r="H54" s="619"/>
      <c r="I54" s="652"/>
      <c r="J54" s="653">
        <v>2003</v>
      </c>
      <c r="K54" s="653">
        <v>2004</v>
      </c>
      <c r="L54" s="613" t="s">
        <v>336</v>
      </c>
      <c r="M54" s="613">
        <f t="shared" si="5"/>
        <v>0</v>
      </c>
      <c r="N54" s="613">
        <f t="shared" si="6"/>
        <v>0</v>
      </c>
      <c r="O54" s="654"/>
      <c r="P54" s="654"/>
      <c r="Q54" s="654"/>
      <c r="R54" s="654">
        <v>1</v>
      </c>
      <c r="S54" s="654"/>
      <c r="T54" s="654"/>
      <c r="U54" s="613">
        <f t="shared" si="7"/>
        <v>1</v>
      </c>
      <c r="W54" s="613" t="str">
        <f t="shared" si="0"/>
        <v>I</v>
      </c>
      <c r="X54" s="613" t="str">
        <f t="shared" si="1"/>
        <v>I</v>
      </c>
      <c r="Y54" s="613" t="str">
        <f t="shared" si="2"/>
        <v>I</v>
      </c>
      <c r="Z54" s="613">
        <f t="shared" si="3"/>
        <v>2003</v>
      </c>
      <c r="AA54" s="613" t="str">
        <f t="shared" si="4"/>
        <v>I</v>
      </c>
      <c r="AB54" s="613" t="str">
        <f t="shared" si="4"/>
        <v>I</v>
      </c>
      <c r="AD54" s="613"/>
      <c r="AE54" s="740"/>
      <c r="AF54" s="644">
        <v>2006</v>
      </c>
      <c r="AI54"/>
      <c r="AJ54"/>
      <c r="AM54" s="647"/>
      <c r="AN54" s="647"/>
      <c r="AO54" s="647"/>
      <c r="AP54" s="647"/>
      <c r="AQ54" s="647"/>
    </row>
    <row r="55" spans="1:44" x14ac:dyDescent="0.2">
      <c r="A55" s="527">
        <v>53</v>
      </c>
      <c r="C55" s="652" t="s">
        <v>1133</v>
      </c>
      <c r="D55" s="624"/>
      <c r="E55" s="624"/>
      <c r="F55" s="844"/>
      <c r="G55" s="624"/>
      <c r="H55" s="619"/>
      <c r="I55" s="652"/>
      <c r="J55" s="653">
        <v>2003</v>
      </c>
      <c r="K55" s="653">
        <v>2004</v>
      </c>
      <c r="L55" s="613" t="s">
        <v>336</v>
      </c>
      <c r="M55" s="613">
        <f t="shared" si="5"/>
        <v>0</v>
      </c>
      <c r="N55" s="613">
        <f t="shared" si="6"/>
        <v>0</v>
      </c>
      <c r="O55" s="654"/>
      <c r="P55" s="654"/>
      <c r="Q55" s="654"/>
      <c r="R55" s="654">
        <v>1</v>
      </c>
      <c r="S55" s="654"/>
      <c r="T55" s="654"/>
      <c r="U55" s="613">
        <f t="shared" si="7"/>
        <v>1</v>
      </c>
      <c r="W55" s="613" t="str">
        <f t="shared" si="0"/>
        <v>I</v>
      </c>
      <c r="X55" s="613" t="str">
        <f t="shared" si="1"/>
        <v>I</v>
      </c>
      <c r="Y55" s="613" t="str">
        <f t="shared" si="2"/>
        <v>I</v>
      </c>
      <c r="Z55" s="613">
        <f t="shared" si="3"/>
        <v>2003</v>
      </c>
      <c r="AA55" s="613" t="str">
        <f t="shared" si="4"/>
        <v>I</v>
      </c>
      <c r="AB55" s="613" t="str">
        <f t="shared" si="4"/>
        <v>I</v>
      </c>
      <c r="AD55" s="613"/>
      <c r="AE55" s="740"/>
      <c r="AF55" s="644">
        <v>2006</v>
      </c>
      <c r="AI55"/>
      <c r="AJ55"/>
      <c r="AM55" s="647"/>
      <c r="AN55" s="647"/>
      <c r="AO55" s="647"/>
      <c r="AP55" s="647"/>
      <c r="AQ55" s="647"/>
    </row>
    <row r="56" spans="1:44" x14ac:dyDescent="0.2">
      <c r="A56" s="527">
        <v>54</v>
      </c>
      <c r="C56" s="741" t="s">
        <v>1136</v>
      </c>
      <c r="D56" s="624"/>
      <c r="E56" s="624"/>
      <c r="F56" s="844"/>
      <c r="G56" s="624"/>
      <c r="H56" s="619"/>
      <c r="I56" s="741"/>
      <c r="J56" s="653">
        <v>2003</v>
      </c>
      <c r="K56" s="653">
        <v>2004</v>
      </c>
      <c r="L56" s="613" t="s">
        <v>336</v>
      </c>
      <c r="M56" s="613">
        <f t="shared" si="5"/>
        <v>0</v>
      </c>
      <c r="N56" s="613">
        <f t="shared" si="6"/>
        <v>0</v>
      </c>
      <c r="O56" s="654"/>
      <c r="P56" s="654"/>
      <c r="Q56" s="654"/>
      <c r="R56" s="654">
        <v>1</v>
      </c>
      <c r="S56" s="654"/>
      <c r="T56" s="654"/>
      <c r="U56" s="613">
        <f t="shared" si="7"/>
        <v>1</v>
      </c>
      <c r="W56" s="613" t="str">
        <f t="shared" si="0"/>
        <v>I</v>
      </c>
      <c r="X56" s="613" t="str">
        <f t="shared" si="1"/>
        <v>I</v>
      </c>
      <c r="Y56" s="613" t="str">
        <f t="shared" si="2"/>
        <v>I</v>
      </c>
      <c r="Z56" s="613">
        <f t="shared" si="3"/>
        <v>2003</v>
      </c>
      <c r="AA56" s="613" t="str">
        <f t="shared" si="4"/>
        <v>I</v>
      </c>
      <c r="AB56" s="613" t="str">
        <f t="shared" si="4"/>
        <v>I</v>
      </c>
      <c r="AD56" s="613"/>
      <c r="AE56" s="740"/>
      <c r="AF56" s="644">
        <v>2006</v>
      </c>
      <c r="AI56"/>
      <c r="AJ56"/>
      <c r="AM56" s="647"/>
      <c r="AN56" s="647"/>
      <c r="AO56" s="647"/>
      <c r="AP56" s="647"/>
      <c r="AQ56" s="647"/>
    </row>
    <row r="57" spans="1:44" x14ac:dyDescent="0.2">
      <c r="A57" s="527">
        <v>55</v>
      </c>
      <c r="C57" s="652" t="s">
        <v>886</v>
      </c>
      <c r="D57" s="624"/>
      <c r="E57" s="624"/>
      <c r="F57" s="844"/>
      <c r="G57" s="624"/>
      <c r="H57" s="619"/>
      <c r="I57" s="652"/>
      <c r="J57" s="653">
        <v>2003</v>
      </c>
      <c r="K57" s="653">
        <v>2004</v>
      </c>
      <c r="L57" s="613" t="s">
        <v>336</v>
      </c>
      <c r="M57" s="613">
        <f t="shared" si="5"/>
        <v>0</v>
      </c>
      <c r="N57" s="613">
        <f t="shared" si="6"/>
        <v>0</v>
      </c>
      <c r="O57" s="654"/>
      <c r="P57" s="654"/>
      <c r="Q57" s="654"/>
      <c r="R57" s="654">
        <v>1</v>
      </c>
      <c r="S57" s="654"/>
      <c r="T57" s="654"/>
      <c r="U57" s="613">
        <f t="shared" si="7"/>
        <v>1</v>
      </c>
      <c r="W57" s="613" t="str">
        <f t="shared" si="0"/>
        <v>I</v>
      </c>
      <c r="X57" s="613" t="str">
        <f t="shared" si="1"/>
        <v>I</v>
      </c>
      <c r="Y57" s="613" t="str">
        <f t="shared" si="2"/>
        <v>I</v>
      </c>
      <c r="Z57" s="613">
        <f t="shared" si="3"/>
        <v>2003</v>
      </c>
      <c r="AA57" s="613" t="str">
        <f t="shared" si="4"/>
        <v>I</v>
      </c>
      <c r="AB57" s="613" t="str">
        <f t="shared" si="4"/>
        <v>I</v>
      </c>
      <c r="AD57" s="613"/>
      <c r="AE57" s="740"/>
      <c r="AF57" s="644">
        <v>2006</v>
      </c>
      <c r="AI57"/>
      <c r="AJ57"/>
      <c r="AM57" s="647"/>
      <c r="AN57" s="647"/>
      <c r="AO57" s="647"/>
      <c r="AP57" s="647"/>
      <c r="AQ57" s="647"/>
    </row>
    <row r="58" spans="1:44" x14ac:dyDescent="0.2">
      <c r="A58" s="527">
        <v>56</v>
      </c>
      <c r="C58" s="652" t="s">
        <v>887</v>
      </c>
      <c r="D58" s="624"/>
      <c r="E58" s="624"/>
      <c r="F58" s="844"/>
      <c r="G58" s="624"/>
      <c r="H58" s="619"/>
      <c r="I58" s="652"/>
      <c r="J58" s="653">
        <v>2003</v>
      </c>
      <c r="K58" s="653">
        <v>2004</v>
      </c>
      <c r="L58" s="613" t="s">
        <v>336</v>
      </c>
      <c r="M58" s="613">
        <f t="shared" si="5"/>
        <v>0</v>
      </c>
      <c r="N58" s="613">
        <f t="shared" si="6"/>
        <v>0</v>
      </c>
      <c r="O58" s="654"/>
      <c r="P58" s="654"/>
      <c r="Q58" s="654"/>
      <c r="R58" s="654">
        <v>1</v>
      </c>
      <c r="S58" s="654"/>
      <c r="T58" s="654"/>
      <c r="U58" s="613">
        <f t="shared" si="7"/>
        <v>1</v>
      </c>
      <c r="W58" s="613" t="str">
        <f t="shared" si="0"/>
        <v>I</v>
      </c>
      <c r="X58" s="613" t="str">
        <f t="shared" si="1"/>
        <v>I</v>
      </c>
      <c r="Y58" s="613" t="str">
        <f t="shared" si="2"/>
        <v>I</v>
      </c>
      <c r="Z58" s="613">
        <f t="shared" si="3"/>
        <v>2003</v>
      </c>
      <c r="AA58" s="613" t="str">
        <f t="shared" si="4"/>
        <v>I</v>
      </c>
      <c r="AB58" s="613" t="str">
        <f t="shared" si="4"/>
        <v>I</v>
      </c>
      <c r="AD58" s="613"/>
      <c r="AE58" s="740"/>
      <c r="AF58" s="644">
        <v>2007</v>
      </c>
      <c r="AI58"/>
      <c r="AJ58"/>
      <c r="AM58" s="647"/>
      <c r="AN58" s="647"/>
      <c r="AO58" s="647"/>
      <c r="AP58" s="647"/>
      <c r="AQ58" s="647"/>
    </row>
    <row r="59" spans="1:44" x14ac:dyDescent="0.2">
      <c r="A59" s="527">
        <v>57</v>
      </c>
      <c r="C59" s="652" t="s">
        <v>852</v>
      </c>
      <c r="D59" s="624"/>
      <c r="E59" s="624"/>
      <c r="F59" s="844"/>
      <c r="G59" s="624"/>
      <c r="H59" s="619"/>
      <c r="I59" s="652"/>
      <c r="J59" s="653">
        <v>2002</v>
      </c>
      <c r="K59" s="653">
        <v>2004</v>
      </c>
      <c r="L59" s="613" t="s">
        <v>336</v>
      </c>
      <c r="M59" s="613">
        <f t="shared" si="5"/>
        <v>0</v>
      </c>
      <c r="N59" s="613">
        <f t="shared" si="6"/>
        <v>0</v>
      </c>
      <c r="O59" s="654">
        <v>1</v>
      </c>
      <c r="P59" s="654"/>
      <c r="Q59" s="654"/>
      <c r="R59" s="654"/>
      <c r="S59" s="654"/>
      <c r="T59" s="654"/>
      <c r="U59" s="613">
        <f t="shared" si="7"/>
        <v>1</v>
      </c>
      <c r="W59" s="613">
        <f t="shared" si="0"/>
        <v>2002</v>
      </c>
      <c r="X59" s="613" t="str">
        <f t="shared" si="1"/>
        <v>I</v>
      </c>
      <c r="Y59" s="613" t="str">
        <f t="shared" si="2"/>
        <v>I</v>
      </c>
      <c r="Z59" s="613" t="str">
        <f t="shared" si="3"/>
        <v>I</v>
      </c>
      <c r="AA59" s="613" t="str">
        <f t="shared" si="4"/>
        <v>I</v>
      </c>
      <c r="AB59" s="613" t="str">
        <f t="shared" si="4"/>
        <v>I</v>
      </c>
      <c r="AD59" s="613"/>
      <c r="AE59" s="740"/>
      <c r="AF59" s="644">
        <v>2008</v>
      </c>
      <c r="AI59"/>
      <c r="AJ59"/>
      <c r="AM59" s="647"/>
      <c r="AN59" s="647"/>
      <c r="AO59" s="647"/>
      <c r="AP59" s="647"/>
      <c r="AQ59" s="647"/>
    </row>
    <row r="60" spans="1:44" x14ac:dyDescent="0.2">
      <c r="A60" s="527">
        <v>58</v>
      </c>
      <c r="C60" s="652" t="s">
        <v>853</v>
      </c>
      <c r="D60" s="624"/>
      <c r="E60" s="624"/>
      <c r="F60" s="844"/>
      <c r="G60" s="624"/>
      <c r="H60" s="619"/>
      <c r="I60" s="652"/>
      <c r="J60" s="653">
        <v>2002</v>
      </c>
      <c r="K60" s="653">
        <v>2004</v>
      </c>
      <c r="L60" s="613" t="s">
        <v>336</v>
      </c>
      <c r="M60" s="613">
        <f t="shared" si="5"/>
        <v>0</v>
      </c>
      <c r="N60" s="613">
        <f t="shared" si="6"/>
        <v>0</v>
      </c>
      <c r="O60" s="654">
        <v>1</v>
      </c>
      <c r="P60" s="654"/>
      <c r="Q60" s="654"/>
      <c r="R60" s="654"/>
      <c r="S60" s="654"/>
      <c r="T60" s="654"/>
      <c r="U60" s="613">
        <f t="shared" si="7"/>
        <v>1</v>
      </c>
      <c r="W60" s="613">
        <f t="shared" si="0"/>
        <v>2002</v>
      </c>
      <c r="X60" s="613" t="str">
        <f t="shared" si="1"/>
        <v>I</v>
      </c>
      <c r="Y60" s="613" t="str">
        <f t="shared" si="2"/>
        <v>I</v>
      </c>
      <c r="Z60" s="613" t="str">
        <f t="shared" si="3"/>
        <v>I</v>
      </c>
      <c r="AA60" s="613" t="str">
        <f t="shared" si="4"/>
        <v>I</v>
      </c>
      <c r="AB60" s="613" t="str">
        <f t="shared" si="4"/>
        <v>I</v>
      </c>
      <c r="AD60" s="613"/>
      <c r="AE60" s="740"/>
      <c r="AF60" s="880">
        <v>2008</v>
      </c>
      <c r="AI60"/>
      <c r="AJ60"/>
      <c r="AM60" s="647"/>
      <c r="AN60" s="647"/>
      <c r="AO60" s="647"/>
      <c r="AP60" s="647"/>
      <c r="AQ60" s="647"/>
    </row>
    <row r="61" spans="1:44" x14ac:dyDescent="0.2">
      <c r="A61" s="527">
        <v>59</v>
      </c>
      <c r="C61" s="652" t="s">
        <v>854</v>
      </c>
      <c r="D61" s="624"/>
      <c r="E61" s="624"/>
      <c r="F61" s="844"/>
      <c r="G61" s="624"/>
      <c r="H61" s="619"/>
      <c r="I61" s="652"/>
      <c r="J61" s="653">
        <v>2002</v>
      </c>
      <c r="K61" s="653">
        <v>2004</v>
      </c>
      <c r="L61" s="613" t="s">
        <v>336</v>
      </c>
      <c r="M61" s="613">
        <f t="shared" si="5"/>
        <v>0</v>
      </c>
      <c r="N61" s="613">
        <f t="shared" si="6"/>
        <v>0</v>
      </c>
      <c r="O61" s="654">
        <v>1</v>
      </c>
      <c r="P61" s="654"/>
      <c r="Q61" s="654"/>
      <c r="R61" s="654"/>
      <c r="S61" s="654"/>
      <c r="T61" s="654"/>
      <c r="U61" s="613">
        <f t="shared" si="7"/>
        <v>1</v>
      </c>
      <c r="W61" s="613">
        <f t="shared" si="0"/>
        <v>2002</v>
      </c>
      <c r="X61" s="613" t="str">
        <f t="shared" si="1"/>
        <v>I</v>
      </c>
      <c r="Y61" s="613" t="str">
        <f t="shared" si="2"/>
        <v>I</v>
      </c>
      <c r="Z61" s="613" t="str">
        <f t="shared" si="3"/>
        <v>I</v>
      </c>
      <c r="AA61" s="613" t="str">
        <f t="shared" si="4"/>
        <v>I</v>
      </c>
      <c r="AB61" s="613" t="str">
        <f t="shared" si="4"/>
        <v>I</v>
      </c>
      <c r="AD61" s="613"/>
      <c r="AE61" s="740"/>
      <c r="AF61" s="644">
        <v>2008</v>
      </c>
      <c r="AI61"/>
      <c r="AJ61"/>
      <c r="AM61" s="647"/>
      <c r="AN61" s="647"/>
      <c r="AO61" s="647"/>
      <c r="AP61" s="647"/>
      <c r="AQ61" s="647"/>
    </row>
    <row r="62" spans="1:44" x14ac:dyDescent="0.2">
      <c r="A62" s="527">
        <v>60</v>
      </c>
      <c r="C62" s="652" t="s">
        <v>874</v>
      </c>
      <c r="D62" s="624"/>
      <c r="E62" s="624"/>
      <c r="F62" s="844"/>
      <c r="G62" s="624"/>
      <c r="H62" s="619"/>
      <c r="I62" s="652"/>
      <c r="J62" s="653">
        <v>2004</v>
      </c>
      <c r="K62" s="653">
        <v>2004</v>
      </c>
      <c r="L62" s="613" t="s">
        <v>336</v>
      </c>
      <c r="M62" s="613">
        <f t="shared" si="5"/>
        <v>0</v>
      </c>
      <c r="N62" s="613">
        <f t="shared" si="6"/>
        <v>0</v>
      </c>
      <c r="O62" s="654">
        <v>1</v>
      </c>
      <c r="P62" s="654"/>
      <c r="Q62" s="654"/>
      <c r="R62" s="654"/>
      <c r="S62" s="654"/>
      <c r="T62" s="654"/>
      <c r="U62" s="613">
        <f t="shared" si="7"/>
        <v>1</v>
      </c>
      <c r="W62" s="613">
        <f t="shared" si="0"/>
        <v>2004</v>
      </c>
      <c r="X62" s="613" t="str">
        <f t="shared" si="1"/>
        <v>I</v>
      </c>
      <c r="Y62" s="613" t="str">
        <f t="shared" si="2"/>
        <v>I</v>
      </c>
      <c r="Z62" s="613" t="str">
        <f t="shared" si="3"/>
        <v>I</v>
      </c>
      <c r="AA62" s="613" t="str">
        <f t="shared" si="4"/>
        <v>I</v>
      </c>
      <c r="AB62" s="613" t="str">
        <f t="shared" si="4"/>
        <v>I</v>
      </c>
      <c r="AD62" s="613"/>
      <c r="AE62" s="740"/>
      <c r="AF62" s="644">
        <v>2009</v>
      </c>
      <c r="AM62" s="647"/>
      <c r="AN62" s="647"/>
      <c r="AO62" s="647"/>
      <c r="AP62" s="647"/>
      <c r="AQ62" s="647"/>
    </row>
    <row r="63" spans="1:44" x14ac:dyDescent="0.2">
      <c r="A63" s="527">
        <v>61</v>
      </c>
      <c r="C63" s="741" t="s">
        <v>856</v>
      </c>
      <c r="D63" s="624"/>
      <c r="E63" s="624"/>
      <c r="F63" s="844"/>
      <c r="G63" s="624"/>
      <c r="H63" s="619"/>
      <c r="I63" s="741"/>
      <c r="J63" s="653">
        <v>2001</v>
      </c>
      <c r="K63" s="653">
        <v>2004</v>
      </c>
      <c r="L63" s="613" t="s">
        <v>336</v>
      </c>
      <c r="M63" s="613">
        <f t="shared" si="5"/>
        <v>0</v>
      </c>
      <c r="N63" s="613">
        <f t="shared" si="6"/>
        <v>0</v>
      </c>
      <c r="O63" s="654">
        <v>1</v>
      </c>
      <c r="P63" s="654"/>
      <c r="Q63" s="654"/>
      <c r="R63" s="654"/>
      <c r="S63" s="654"/>
      <c r="T63" s="654"/>
      <c r="U63" s="613">
        <f t="shared" si="7"/>
        <v>1</v>
      </c>
      <c r="W63" s="613">
        <f t="shared" si="0"/>
        <v>2001</v>
      </c>
      <c r="X63" s="613" t="str">
        <f t="shared" si="1"/>
        <v>I</v>
      </c>
      <c r="Y63" s="613" t="str">
        <f t="shared" si="2"/>
        <v>I</v>
      </c>
      <c r="Z63" s="613" t="str">
        <f t="shared" si="3"/>
        <v>I</v>
      </c>
      <c r="AA63" s="613" t="str">
        <f t="shared" si="4"/>
        <v>I</v>
      </c>
      <c r="AB63" s="613" t="str">
        <f t="shared" si="4"/>
        <v>I</v>
      </c>
      <c r="AD63" s="613"/>
      <c r="AE63" s="740"/>
      <c r="AF63" s="644">
        <v>2009</v>
      </c>
      <c r="AM63" s="647"/>
      <c r="AN63" s="647"/>
      <c r="AO63" s="647"/>
      <c r="AP63" s="647"/>
      <c r="AQ63" s="647"/>
    </row>
    <row r="64" spans="1:44" x14ac:dyDescent="0.2">
      <c r="A64" s="527">
        <v>62</v>
      </c>
      <c r="C64" s="655" t="s">
        <v>600</v>
      </c>
      <c r="D64" s="624"/>
      <c r="E64" s="624"/>
      <c r="F64" s="844"/>
      <c r="G64" s="624"/>
      <c r="H64" s="619"/>
      <c r="I64" s="655"/>
      <c r="J64" s="656">
        <v>2001</v>
      </c>
      <c r="K64" s="656">
        <v>2005</v>
      </c>
      <c r="L64" s="613" t="s">
        <v>336</v>
      </c>
      <c r="M64" s="613">
        <f t="shared" si="5"/>
        <v>0</v>
      </c>
      <c r="N64" s="613">
        <f t="shared" si="6"/>
        <v>0</v>
      </c>
      <c r="O64" s="657"/>
      <c r="P64" s="657"/>
      <c r="Q64" s="657"/>
      <c r="R64" s="657">
        <v>1</v>
      </c>
      <c r="S64" s="657"/>
      <c r="T64" s="657"/>
      <c r="U64" s="613">
        <f t="shared" si="7"/>
        <v>1</v>
      </c>
      <c r="W64" s="613" t="str">
        <f t="shared" si="0"/>
        <v>I</v>
      </c>
      <c r="X64" s="613" t="str">
        <f t="shared" si="1"/>
        <v>I</v>
      </c>
      <c r="Y64" s="613" t="str">
        <f t="shared" si="2"/>
        <v>I</v>
      </c>
      <c r="Z64" s="613">
        <f t="shared" si="3"/>
        <v>2001</v>
      </c>
      <c r="AA64" s="613" t="str">
        <f t="shared" si="4"/>
        <v>I</v>
      </c>
      <c r="AB64" s="613" t="str">
        <f t="shared" si="4"/>
        <v>I</v>
      </c>
      <c r="AD64" s="613"/>
      <c r="AE64" s="740"/>
      <c r="AF64" s="644">
        <v>2009</v>
      </c>
      <c r="AM64" s="647"/>
      <c r="AN64" s="647"/>
      <c r="AO64" s="647"/>
      <c r="AP64" s="647"/>
      <c r="AQ64" s="647"/>
    </row>
    <row r="65" spans="1:43" x14ac:dyDescent="0.2">
      <c r="A65" s="527">
        <v>63</v>
      </c>
      <c r="C65" s="655" t="s">
        <v>601</v>
      </c>
      <c r="D65" s="624"/>
      <c r="E65" s="624"/>
      <c r="F65" s="844"/>
      <c r="G65" s="624"/>
      <c r="H65" s="619"/>
      <c r="I65" s="655"/>
      <c r="J65" s="656">
        <v>2001</v>
      </c>
      <c r="K65" s="656">
        <v>2005</v>
      </c>
      <c r="L65" s="613" t="s">
        <v>336</v>
      </c>
      <c r="M65" s="613">
        <f t="shared" si="5"/>
        <v>0</v>
      </c>
      <c r="N65" s="613">
        <f t="shared" si="6"/>
        <v>0</v>
      </c>
      <c r="O65" s="657"/>
      <c r="P65" s="657"/>
      <c r="Q65" s="657"/>
      <c r="R65" s="657">
        <v>1</v>
      </c>
      <c r="S65" s="657"/>
      <c r="T65" s="657"/>
      <c r="U65" s="613">
        <f t="shared" si="7"/>
        <v>1</v>
      </c>
      <c r="W65" s="613" t="str">
        <f t="shared" si="0"/>
        <v>I</v>
      </c>
      <c r="X65" s="613" t="str">
        <f t="shared" si="1"/>
        <v>I</v>
      </c>
      <c r="Y65" s="613" t="str">
        <f t="shared" si="2"/>
        <v>I</v>
      </c>
      <c r="Z65" s="613">
        <f t="shared" si="3"/>
        <v>2001</v>
      </c>
      <c r="AA65" s="613" t="str">
        <f t="shared" si="4"/>
        <v>I</v>
      </c>
      <c r="AB65" s="613" t="str">
        <f t="shared" si="4"/>
        <v>I</v>
      </c>
      <c r="AD65" s="613"/>
      <c r="AE65" s="740"/>
      <c r="AF65" s="644">
        <v>2010</v>
      </c>
      <c r="AM65" s="647"/>
      <c r="AN65" s="647"/>
      <c r="AO65" s="647"/>
      <c r="AP65" s="647"/>
      <c r="AQ65" s="647"/>
    </row>
    <row r="66" spans="1:43" x14ac:dyDescent="0.2">
      <c r="A66" s="527">
        <v>64</v>
      </c>
      <c r="C66" s="655" t="s">
        <v>602</v>
      </c>
      <c r="D66" s="624"/>
      <c r="E66" s="624"/>
      <c r="F66" s="844"/>
      <c r="G66" s="624"/>
      <c r="H66" s="619"/>
      <c r="I66" s="655"/>
      <c r="J66" s="656">
        <v>2001</v>
      </c>
      <c r="K66" s="656">
        <v>2005</v>
      </c>
      <c r="L66" s="613" t="s">
        <v>336</v>
      </c>
      <c r="M66" s="613">
        <f t="shared" si="5"/>
        <v>0</v>
      </c>
      <c r="N66" s="613">
        <f t="shared" si="6"/>
        <v>0</v>
      </c>
      <c r="O66" s="657"/>
      <c r="P66" s="657"/>
      <c r="Q66" s="657"/>
      <c r="R66" s="657">
        <v>1</v>
      </c>
      <c r="S66" s="657"/>
      <c r="T66" s="657"/>
      <c r="U66" s="613">
        <f t="shared" si="7"/>
        <v>1</v>
      </c>
      <c r="W66" s="613" t="str">
        <f t="shared" si="0"/>
        <v>I</v>
      </c>
      <c r="X66" s="613" t="str">
        <f t="shared" si="1"/>
        <v>I</v>
      </c>
      <c r="Y66" s="613" t="str">
        <f t="shared" si="2"/>
        <v>I</v>
      </c>
      <c r="Z66" s="613">
        <f t="shared" si="3"/>
        <v>2001</v>
      </c>
      <c r="AA66" s="613" t="str">
        <f t="shared" si="4"/>
        <v>I</v>
      </c>
      <c r="AB66" s="613" t="str">
        <f t="shared" si="4"/>
        <v>I</v>
      </c>
      <c r="AD66" s="613"/>
      <c r="AE66" s="740"/>
      <c r="AF66" s="644">
        <v>2010</v>
      </c>
      <c r="AM66" s="647"/>
      <c r="AN66" s="647"/>
      <c r="AO66" s="647"/>
      <c r="AP66" s="647"/>
      <c r="AQ66" s="647"/>
    </row>
    <row r="67" spans="1:43" x14ac:dyDescent="0.2">
      <c r="A67" s="527">
        <v>65</v>
      </c>
      <c r="C67" s="655" t="s">
        <v>603</v>
      </c>
      <c r="D67" s="624"/>
      <c r="E67" s="624"/>
      <c r="F67" s="844"/>
      <c r="G67" s="624"/>
      <c r="H67" s="619"/>
      <c r="I67" s="655"/>
      <c r="J67" s="656">
        <v>2001</v>
      </c>
      <c r="K67" s="656">
        <v>2005</v>
      </c>
      <c r="L67" s="613" t="s">
        <v>336</v>
      </c>
      <c r="M67" s="613">
        <f t="shared" si="5"/>
        <v>0</v>
      </c>
      <c r="N67" s="613">
        <f t="shared" si="6"/>
        <v>0</v>
      </c>
      <c r="O67" s="657"/>
      <c r="P67" s="657"/>
      <c r="Q67" s="657"/>
      <c r="R67" s="657">
        <v>1</v>
      </c>
      <c r="S67" s="657"/>
      <c r="T67" s="657"/>
      <c r="U67" s="613">
        <f t="shared" si="7"/>
        <v>1</v>
      </c>
      <c r="W67" s="613" t="str">
        <f t="shared" ref="W67:W130" si="8">IF(O67=1,$J67,"I")</f>
        <v>I</v>
      </c>
      <c r="X67" s="613" t="str">
        <f t="shared" ref="X67:X130" si="9">IF(P67=1,$J67,"I")</f>
        <v>I</v>
      </c>
      <c r="Y67" s="613" t="str">
        <f t="shared" ref="Y67:Y130" si="10">IF(Q67=1,$J67,"I")</f>
        <v>I</v>
      </c>
      <c r="Z67" s="613">
        <f t="shared" ref="Z67:Z130" si="11">IF(R67=1,$J67,"I")</f>
        <v>2001</v>
      </c>
      <c r="AA67" s="613" t="str">
        <f t="shared" ref="AA67:AB130" si="12">IF(S67=1,$J67,"I")</f>
        <v>I</v>
      </c>
      <c r="AB67" s="613" t="str">
        <f t="shared" si="12"/>
        <v>I</v>
      </c>
      <c r="AD67" s="613"/>
      <c r="AE67" s="740"/>
      <c r="AF67" s="644">
        <v>2011</v>
      </c>
      <c r="AM67" s="647"/>
      <c r="AN67" s="647"/>
      <c r="AO67" s="647"/>
      <c r="AP67" s="647"/>
      <c r="AQ67" s="647"/>
    </row>
    <row r="68" spans="1:43" x14ac:dyDescent="0.2">
      <c r="A68" s="527">
        <v>66</v>
      </c>
      <c r="C68" s="655" t="s">
        <v>604</v>
      </c>
      <c r="D68" s="624"/>
      <c r="E68" s="624"/>
      <c r="F68" s="844"/>
      <c r="G68" s="624"/>
      <c r="H68" s="619"/>
      <c r="I68" s="655"/>
      <c r="J68" s="656">
        <v>2001</v>
      </c>
      <c r="K68" s="656">
        <v>2005</v>
      </c>
      <c r="L68" s="613" t="s">
        <v>336</v>
      </c>
      <c r="M68" s="613">
        <f t="shared" ref="M68:M131" si="13">IF(AND(L68="F",Q68=1),1,0)</f>
        <v>0</v>
      </c>
      <c r="N68" s="613">
        <f t="shared" ref="N68:N131" si="14">IF(AND(L68="P",Q68=1),1,0)</f>
        <v>0</v>
      </c>
      <c r="O68" s="657"/>
      <c r="P68" s="657"/>
      <c r="Q68" s="657"/>
      <c r="R68" s="657">
        <v>1</v>
      </c>
      <c r="S68" s="657"/>
      <c r="T68" s="657"/>
      <c r="U68" s="613">
        <f t="shared" ref="U68:U131" si="15">SUM(O68:T68)</f>
        <v>1</v>
      </c>
      <c r="W68" s="613" t="str">
        <f t="shared" si="8"/>
        <v>I</v>
      </c>
      <c r="X68" s="613" t="str">
        <f t="shared" si="9"/>
        <v>I</v>
      </c>
      <c r="Y68" s="613" t="str">
        <f t="shared" si="10"/>
        <v>I</v>
      </c>
      <c r="Z68" s="613">
        <f t="shared" si="11"/>
        <v>2001</v>
      </c>
      <c r="AA68" s="613" t="str">
        <f t="shared" si="12"/>
        <v>I</v>
      </c>
      <c r="AB68" s="613" t="str">
        <f t="shared" si="12"/>
        <v>I</v>
      </c>
      <c r="AD68" s="613"/>
      <c r="AE68" s="740"/>
      <c r="AF68" s="880">
        <v>2011</v>
      </c>
      <c r="AM68" s="647"/>
      <c r="AN68" s="647"/>
      <c r="AO68" s="647"/>
      <c r="AP68" s="647"/>
      <c r="AQ68" s="647"/>
    </row>
    <row r="69" spans="1:43" x14ac:dyDescent="0.2">
      <c r="A69" s="527">
        <v>67</v>
      </c>
      <c r="C69" s="655" t="s">
        <v>605</v>
      </c>
      <c r="D69" s="624"/>
      <c r="E69" s="624"/>
      <c r="F69" s="844"/>
      <c r="G69" s="624"/>
      <c r="H69" s="619"/>
      <c r="I69" s="655"/>
      <c r="J69" s="656">
        <v>2001</v>
      </c>
      <c r="K69" s="656">
        <v>2005</v>
      </c>
      <c r="L69" s="613" t="s">
        <v>336</v>
      </c>
      <c r="M69" s="613">
        <f t="shared" si="13"/>
        <v>0</v>
      </c>
      <c r="N69" s="613">
        <f t="shared" si="14"/>
        <v>0</v>
      </c>
      <c r="O69" s="657"/>
      <c r="P69" s="657"/>
      <c r="Q69" s="657"/>
      <c r="R69" s="657">
        <v>1</v>
      </c>
      <c r="S69" s="657"/>
      <c r="T69" s="657"/>
      <c r="U69" s="613">
        <f t="shared" si="15"/>
        <v>1</v>
      </c>
      <c r="W69" s="613" t="str">
        <f t="shared" si="8"/>
        <v>I</v>
      </c>
      <c r="X69" s="613" t="str">
        <f t="shared" si="9"/>
        <v>I</v>
      </c>
      <c r="Y69" s="613" t="str">
        <f t="shared" si="10"/>
        <v>I</v>
      </c>
      <c r="Z69" s="613">
        <f t="shared" si="11"/>
        <v>2001</v>
      </c>
      <c r="AA69" s="613" t="str">
        <f t="shared" si="12"/>
        <v>I</v>
      </c>
      <c r="AB69" s="613" t="str">
        <f t="shared" si="12"/>
        <v>I</v>
      </c>
      <c r="AD69" s="613"/>
      <c r="AE69" s="740"/>
      <c r="AF69" s="644">
        <v>2011</v>
      </c>
      <c r="AM69" s="647"/>
      <c r="AN69" s="647"/>
      <c r="AO69" s="647"/>
      <c r="AP69" s="647"/>
      <c r="AQ69" s="647"/>
    </row>
    <row r="70" spans="1:43" x14ac:dyDescent="0.2">
      <c r="A70" s="527">
        <v>68</v>
      </c>
      <c r="C70" s="655" t="s">
        <v>606</v>
      </c>
      <c r="D70" s="624"/>
      <c r="E70" s="624"/>
      <c r="F70" s="844"/>
      <c r="G70" s="624"/>
      <c r="H70" s="619"/>
      <c r="I70" s="655"/>
      <c r="J70" s="656">
        <v>2001</v>
      </c>
      <c r="K70" s="656">
        <v>2005</v>
      </c>
      <c r="L70" s="613" t="s">
        <v>336</v>
      </c>
      <c r="M70" s="613">
        <f t="shared" si="13"/>
        <v>0</v>
      </c>
      <c r="N70" s="613">
        <f t="shared" si="14"/>
        <v>0</v>
      </c>
      <c r="O70" s="657"/>
      <c r="P70" s="657"/>
      <c r="Q70" s="657"/>
      <c r="R70" s="657">
        <v>1</v>
      </c>
      <c r="S70" s="657"/>
      <c r="T70" s="657"/>
      <c r="U70" s="613">
        <f t="shared" si="15"/>
        <v>1</v>
      </c>
      <c r="W70" s="613" t="str">
        <f t="shared" si="8"/>
        <v>I</v>
      </c>
      <c r="X70" s="613" t="str">
        <f t="shared" si="9"/>
        <v>I</v>
      </c>
      <c r="Y70" s="613" t="str">
        <f t="shared" si="10"/>
        <v>I</v>
      </c>
      <c r="Z70" s="613">
        <f t="shared" si="11"/>
        <v>2001</v>
      </c>
      <c r="AA70" s="613" t="str">
        <f t="shared" si="12"/>
        <v>I</v>
      </c>
      <c r="AB70" s="613" t="str">
        <f t="shared" si="12"/>
        <v>I</v>
      </c>
      <c r="AD70" s="613"/>
      <c r="AE70" s="740"/>
      <c r="AF70" s="644">
        <v>2011</v>
      </c>
      <c r="AM70" s="647"/>
      <c r="AN70" s="647"/>
      <c r="AO70" s="647"/>
      <c r="AP70" s="647"/>
      <c r="AQ70" s="647"/>
    </row>
    <row r="71" spans="1:43" x14ac:dyDescent="0.2">
      <c r="A71" s="527">
        <v>69</v>
      </c>
      <c r="C71" s="655" t="s">
        <v>607</v>
      </c>
      <c r="D71" s="624"/>
      <c r="E71" s="624"/>
      <c r="F71" s="844"/>
      <c r="G71" s="624"/>
      <c r="H71" s="619"/>
      <c r="I71" s="655"/>
      <c r="J71" s="656">
        <v>2001</v>
      </c>
      <c r="K71" s="656">
        <v>2005</v>
      </c>
      <c r="L71" s="613" t="s">
        <v>336</v>
      </c>
      <c r="M71" s="613">
        <f t="shared" si="13"/>
        <v>0</v>
      </c>
      <c r="N71" s="613">
        <f t="shared" si="14"/>
        <v>0</v>
      </c>
      <c r="O71" s="657"/>
      <c r="P71" s="657"/>
      <c r="Q71" s="657"/>
      <c r="R71" s="657">
        <v>1</v>
      </c>
      <c r="S71" s="657"/>
      <c r="T71" s="657"/>
      <c r="U71" s="613">
        <f t="shared" si="15"/>
        <v>1</v>
      </c>
      <c r="W71" s="613" t="str">
        <f t="shared" si="8"/>
        <v>I</v>
      </c>
      <c r="X71" s="613" t="str">
        <f t="shared" si="9"/>
        <v>I</v>
      </c>
      <c r="Y71" s="613" t="str">
        <f t="shared" si="10"/>
        <v>I</v>
      </c>
      <c r="Z71" s="613">
        <f t="shared" si="11"/>
        <v>2001</v>
      </c>
      <c r="AA71" s="613" t="str">
        <f t="shared" si="12"/>
        <v>I</v>
      </c>
      <c r="AB71" s="613" t="str">
        <f t="shared" si="12"/>
        <v>I</v>
      </c>
      <c r="AD71" s="613"/>
      <c r="AE71" s="740"/>
      <c r="AF71" s="880">
        <v>2012</v>
      </c>
      <c r="AM71" s="647"/>
      <c r="AN71" s="647"/>
      <c r="AO71" s="647"/>
      <c r="AP71" s="647"/>
      <c r="AQ71" s="647"/>
    </row>
    <row r="72" spans="1:43" x14ac:dyDescent="0.2">
      <c r="A72" s="527">
        <v>70</v>
      </c>
      <c r="C72" s="655" t="s">
        <v>608</v>
      </c>
      <c r="D72" s="624"/>
      <c r="E72" s="624"/>
      <c r="F72" s="844"/>
      <c r="G72" s="624"/>
      <c r="H72" s="619"/>
      <c r="I72" s="655"/>
      <c r="J72" s="656">
        <v>2001</v>
      </c>
      <c r="K72" s="656">
        <v>2005</v>
      </c>
      <c r="L72" s="613" t="s">
        <v>336</v>
      </c>
      <c r="M72" s="613">
        <f t="shared" si="13"/>
        <v>0</v>
      </c>
      <c r="N72" s="613">
        <f t="shared" si="14"/>
        <v>0</v>
      </c>
      <c r="O72" s="657"/>
      <c r="P72" s="657"/>
      <c r="Q72" s="657"/>
      <c r="R72" s="657">
        <v>1</v>
      </c>
      <c r="S72" s="657"/>
      <c r="T72" s="657"/>
      <c r="U72" s="613">
        <f t="shared" si="15"/>
        <v>1</v>
      </c>
      <c r="W72" s="613" t="str">
        <f t="shared" si="8"/>
        <v>I</v>
      </c>
      <c r="X72" s="613" t="str">
        <f t="shared" si="9"/>
        <v>I</v>
      </c>
      <c r="Y72" s="613" t="str">
        <f t="shared" si="10"/>
        <v>I</v>
      </c>
      <c r="Z72" s="613">
        <f t="shared" si="11"/>
        <v>2001</v>
      </c>
      <c r="AA72" s="613" t="str">
        <f t="shared" si="12"/>
        <v>I</v>
      </c>
      <c r="AB72" s="613" t="str">
        <f t="shared" si="12"/>
        <v>I</v>
      </c>
      <c r="AD72" s="613"/>
      <c r="AE72" s="740"/>
      <c r="AF72" s="644">
        <v>2012</v>
      </c>
      <c r="AM72" s="647"/>
      <c r="AN72" s="647"/>
      <c r="AO72" s="647"/>
      <c r="AP72" s="647"/>
      <c r="AQ72" s="647"/>
    </row>
    <row r="73" spans="1:43" x14ac:dyDescent="0.2">
      <c r="A73" s="527">
        <v>71</v>
      </c>
      <c r="C73" s="655" t="s">
        <v>609</v>
      </c>
      <c r="D73" s="624"/>
      <c r="E73" s="624"/>
      <c r="F73" s="844"/>
      <c r="G73" s="624"/>
      <c r="H73" s="619"/>
      <c r="I73" s="655"/>
      <c r="J73" s="656">
        <v>2001</v>
      </c>
      <c r="K73" s="656">
        <v>2005</v>
      </c>
      <c r="L73" s="613" t="s">
        <v>336</v>
      </c>
      <c r="M73" s="613">
        <f t="shared" si="13"/>
        <v>0</v>
      </c>
      <c r="N73" s="613">
        <f t="shared" si="14"/>
        <v>0</v>
      </c>
      <c r="O73" s="657"/>
      <c r="P73" s="657"/>
      <c r="Q73" s="657"/>
      <c r="R73" s="657">
        <v>1</v>
      </c>
      <c r="S73" s="657"/>
      <c r="T73" s="657"/>
      <c r="U73" s="613">
        <f t="shared" si="15"/>
        <v>1</v>
      </c>
      <c r="W73" s="613" t="str">
        <f t="shared" si="8"/>
        <v>I</v>
      </c>
      <c r="X73" s="613" t="str">
        <f t="shared" si="9"/>
        <v>I</v>
      </c>
      <c r="Y73" s="613" t="str">
        <f t="shared" si="10"/>
        <v>I</v>
      </c>
      <c r="Z73" s="613">
        <f t="shared" si="11"/>
        <v>2001</v>
      </c>
      <c r="AA73" s="613" t="str">
        <f t="shared" si="12"/>
        <v>I</v>
      </c>
      <c r="AB73" s="613" t="str">
        <f t="shared" si="12"/>
        <v>I</v>
      </c>
      <c r="AD73" s="613"/>
      <c r="AE73" s="740"/>
      <c r="AF73" s="644">
        <v>2012</v>
      </c>
      <c r="AM73" s="647"/>
      <c r="AN73" s="647"/>
      <c r="AO73" s="647"/>
      <c r="AP73" s="647"/>
      <c r="AQ73" s="647"/>
    </row>
    <row r="74" spans="1:43" x14ac:dyDescent="0.2">
      <c r="A74" s="527">
        <v>72</v>
      </c>
      <c r="C74" s="655" t="s">
        <v>610</v>
      </c>
      <c r="D74" s="624"/>
      <c r="E74" s="624"/>
      <c r="F74" s="844"/>
      <c r="G74" s="624"/>
      <c r="H74" s="619"/>
      <c r="I74" s="655"/>
      <c r="J74" s="656">
        <v>2001</v>
      </c>
      <c r="K74" s="656">
        <v>2005</v>
      </c>
      <c r="L74" s="613" t="s">
        <v>336</v>
      </c>
      <c r="M74" s="613">
        <f t="shared" si="13"/>
        <v>0</v>
      </c>
      <c r="N74" s="613">
        <f t="shared" si="14"/>
        <v>0</v>
      </c>
      <c r="O74" s="657"/>
      <c r="P74" s="657"/>
      <c r="Q74" s="657"/>
      <c r="R74" s="657">
        <v>1</v>
      </c>
      <c r="S74" s="657"/>
      <c r="T74" s="657"/>
      <c r="U74" s="613">
        <f t="shared" si="15"/>
        <v>1</v>
      </c>
      <c r="W74" s="613" t="str">
        <f t="shared" si="8"/>
        <v>I</v>
      </c>
      <c r="X74" s="613" t="str">
        <f t="shared" si="9"/>
        <v>I</v>
      </c>
      <c r="Y74" s="613" t="str">
        <f t="shared" si="10"/>
        <v>I</v>
      </c>
      <c r="Z74" s="613">
        <f t="shared" si="11"/>
        <v>2001</v>
      </c>
      <c r="AA74" s="613" t="str">
        <f t="shared" si="12"/>
        <v>I</v>
      </c>
      <c r="AB74" s="613" t="str">
        <f t="shared" si="12"/>
        <v>I</v>
      </c>
      <c r="AD74" s="613"/>
      <c r="AE74" s="740"/>
      <c r="AF74" s="644">
        <v>2014</v>
      </c>
      <c r="AM74" s="647"/>
      <c r="AN74" s="647"/>
      <c r="AO74" s="647"/>
      <c r="AP74" s="647"/>
      <c r="AQ74" s="647"/>
    </row>
    <row r="75" spans="1:43" x14ac:dyDescent="0.2">
      <c r="A75" s="527">
        <v>73</v>
      </c>
      <c r="C75" s="655" t="s">
        <v>611</v>
      </c>
      <c r="D75" s="624"/>
      <c r="E75" s="624"/>
      <c r="F75" s="844"/>
      <c r="G75" s="624"/>
      <c r="H75" s="619"/>
      <c r="I75" s="655"/>
      <c r="J75" s="656">
        <v>2001</v>
      </c>
      <c r="K75" s="656">
        <v>2005</v>
      </c>
      <c r="L75" s="613" t="s">
        <v>336</v>
      </c>
      <c r="M75" s="613">
        <f t="shared" si="13"/>
        <v>0</v>
      </c>
      <c r="N75" s="613">
        <f t="shared" si="14"/>
        <v>0</v>
      </c>
      <c r="O75" s="657"/>
      <c r="P75" s="657"/>
      <c r="Q75" s="657"/>
      <c r="R75" s="657">
        <v>1</v>
      </c>
      <c r="S75" s="657"/>
      <c r="T75" s="657"/>
      <c r="U75" s="613">
        <f t="shared" si="15"/>
        <v>1</v>
      </c>
      <c r="W75" s="613" t="str">
        <f t="shared" si="8"/>
        <v>I</v>
      </c>
      <c r="X75" s="613" t="str">
        <f t="shared" si="9"/>
        <v>I</v>
      </c>
      <c r="Y75" s="613" t="str">
        <f t="shared" si="10"/>
        <v>I</v>
      </c>
      <c r="Z75" s="613">
        <f t="shared" si="11"/>
        <v>2001</v>
      </c>
      <c r="AA75" s="613" t="str">
        <f t="shared" si="12"/>
        <v>I</v>
      </c>
      <c r="AB75" s="613" t="str">
        <f t="shared" si="12"/>
        <v>I</v>
      </c>
      <c r="AD75" s="613"/>
      <c r="AE75" s="740"/>
      <c r="AF75" s="880">
        <v>2015</v>
      </c>
      <c r="AM75" s="647"/>
      <c r="AN75" s="647"/>
      <c r="AO75" s="647"/>
      <c r="AP75" s="647"/>
      <c r="AQ75" s="647"/>
    </row>
    <row r="76" spans="1:43" x14ac:dyDescent="0.2">
      <c r="A76" s="527">
        <v>74</v>
      </c>
      <c r="C76" s="655" t="s">
        <v>1134</v>
      </c>
      <c r="D76" s="624"/>
      <c r="E76" s="624"/>
      <c r="F76" s="844"/>
      <c r="G76" s="624"/>
      <c r="H76" s="619"/>
      <c r="I76" s="655"/>
      <c r="J76" s="656">
        <v>2003</v>
      </c>
      <c r="K76" s="656">
        <v>2005</v>
      </c>
      <c r="L76" s="613" t="s">
        <v>336</v>
      </c>
      <c r="M76" s="613">
        <f t="shared" si="13"/>
        <v>0</v>
      </c>
      <c r="N76" s="613">
        <f t="shared" si="14"/>
        <v>0</v>
      </c>
      <c r="O76" s="657"/>
      <c r="P76" s="657"/>
      <c r="Q76" s="657"/>
      <c r="R76" s="657">
        <v>1</v>
      </c>
      <c r="S76" s="657"/>
      <c r="T76" s="657"/>
      <c r="U76" s="613">
        <f t="shared" si="15"/>
        <v>1</v>
      </c>
      <c r="W76" s="613" t="str">
        <f t="shared" si="8"/>
        <v>I</v>
      </c>
      <c r="X76" s="613" t="str">
        <f t="shared" si="9"/>
        <v>I</v>
      </c>
      <c r="Y76" s="613" t="str">
        <f t="shared" si="10"/>
        <v>I</v>
      </c>
      <c r="Z76" s="613">
        <f t="shared" si="11"/>
        <v>2003</v>
      </c>
      <c r="AA76" s="613" t="str">
        <f t="shared" si="12"/>
        <v>I</v>
      </c>
      <c r="AB76" s="613" t="str">
        <f t="shared" si="12"/>
        <v>I</v>
      </c>
      <c r="AD76" s="613"/>
      <c r="AE76" s="740"/>
      <c r="AF76" s="880">
        <v>2016</v>
      </c>
      <c r="AM76" s="647"/>
      <c r="AN76" s="647"/>
      <c r="AO76" s="647"/>
      <c r="AP76" s="647"/>
      <c r="AQ76" s="647"/>
    </row>
    <row r="77" spans="1:43" x14ac:dyDescent="0.2">
      <c r="A77" s="527">
        <v>75</v>
      </c>
      <c r="C77" s="655" t="s">
        <v>1137</v>
      </c>
      <c r="D77" s="624"/>
      <c r="E77" s="624"/>
      <c r="F77" s="844"/>
      <c r="G77" s="624"/>
      <c r="H77" s="619"/>
      <c r="I77" s="655"/>
      <c r="J77" s="656">
        <v>2003</v>
      </c>
      <c r="K77" s="656">
        <v>2005</v>
      </c>
      <c r="L77" s="613" t="s">
        <v>336</v>
      </c>
      <c r="M77" s="613">
        <f t="shared" si="13"/>
        <v>0</v>
      </c>
      <c r="N77" s="613">
        <f t="shared" si="14"/>
        <v>0</v>
      </c>
      <c r="O77" s="657"/>
      <c r="P77" s="657"/>
      <c r="Q77" s="657"/>
      <c r="R77" s="657">
        <v>1</v>
      </c>
      <c r="S77" s="657"/>
      <c r="T77" s="657"/>
      <c r="U77" s="613">
        <f t="shared" si="15"/>
        <v>1</v>
      </c>
      <c r="W77" s="613" t="str">
        <f t="shared" si="8"/>
        <v>I</v>
      </c>
      <c r="X77" s="613" t="str">
        <f t="shared" si="9"/>
        <v>I</v>
      </c>
      <c r="Y77" s="613" t="str">
        <f t="shared" si="10"/>
        <v>I</v>
      </c>
      <c r="Z77" s="613">
        <f t="shared" si="11"/>
        <v>2003</v>
      </c>
      <c r="AA77" s="613" t="str">
        <f t="shared" si="12"/>
        <v>I</v>
      </c>
      <c r="AB77" s="613" t="str">
        <f t="shared" si="12"/>
        <v>I</v>
      </c>
      <c r="AD77" s="613"/>
      <c r="AE77" s="740"/>
      <c r="AF77" s="644">
        <v>2018</v>
      </c>
      <c r="AM77" s="647"/>
      <c r="AN77" s="647"/>
      <c r="AO77" s="647"/>
      <c r="AP77" s="647"/>
      <c r="AQ77" s="647"/>
    </row>
    <row r="78" spans="1:43" x14ac:dyDescent="0.2">
      <c r="A78" s="527">
        <v>76</v>
      </c>
      <c r="C78" s="655" t="s">
        <v>1159</v>
      </c>
      <c r="D78" s="624"/>
      <c r="E78" s="624"/>
      <c r="F78" s="844"/>
      <c r="G78" s="624"/>
      <c r="H78" s="619"/>
      <c r="I78" s="655"/>
      <c r="J78" s="656">
        <v>2003</v>
      </c>
      <c r="K78" s="656">
        <v>2005</v>
      </c>
      <c r="L78" s="613" t="s">
        <v>336</v>
      </c>
      <c r="M78" s="613">
        <f t="shared" si="13"/>
        <v>0</v>
      </c>
      <c r="N78" s="613">
        <f t="shared" si="14"/>
        <v>0</v>
      </c>
      <c r="O78" s="657"/>
      <c r="P78" s="657"/>
      <c r="Q78" s="657"/>
      <c r="R78" s="657">
        <v>1</v>
      </c>
      <c r="S78" s="657"/>
      <c r="T78" s="657"/>
      <c r="U78" s="613">
        <f t="shared" si="15"/>
        <v>1</v>
      </c>
      <c r="W78" s="613" t="str">
        <f t="shared" si="8"/>
        <v>I</v>
      </c>
      <c r="X78" s="613" t="str">
        <f t="shared" si="9"/>
        <v>I</v>
      </c>
      <c r="Y78" s="613" t="str">
        <f t="shared" si="10"/>
        <v>I</v>
      </c>
      <c r="Z78" s="613">
        <f t="shared" si="11"/>
        <v>2003</v>
      </c>
      <c r="AA78" s="613" t="str">
        <f t="shared" si="12"/>
        <v>I</v>
      </c>
      <c r="AB78" s="613" t="str">
        <f t="shared" si="12"/>
        <v>I</v>
      </c>
      <c r="AD78" s="613"/>
      <c r="AE78" s="740"/>
      <c r="AF78" s="644">
        <v>2018</v>
      </c>
      <c r="AM78" s="647"/>
      <c r="AN78" s="647"/>
      <c r="AO78" s="647"/>
      <c r="AP78" s="647"/>
      <c r="AQ78" s="647"/>
    </row>
    <row r="79" spans="1:43" x14ac:dyDescent="0.2">
      <c r="A79" s="527">
        <v>77</v>
      </c>
      <c r="C79" s="742" t="s">
        <v>900</v>
      </c>
      <c r="D79" s="624"/>
      <c r="E79" s="624"/>
      <c r="F79" s="844"/>
      <c r="G79" s="624"/>
      <c r="H79" s="619"/>
      <c r="I79" s="742"/>
      <c r="J79" s="656">
        <v>2005</v>
      </c>
      <c r="K79" s="656">
        <v>2005</v>
      </c>
      <c r="L79" s="613" t="s">
        <v>336</v>
      </c>
      <c r="M79" s="613">
        <f t="shared" si="13"/>
        <v>0</v>
      </c>
      <c r="N79" s="613">
        <f t="shared" si="14"/>
        <v>0</v>
      </c>
      <c r="O79" s="657"/>
      <c r="P79" s="657"/>
      <c r="Q79" s="657"/>
      <c r="R79" s="657">
        <v>1</v>
      </c>
      <c r="S79" s="657"/>
      <c r="T79" s="657"/>
      <c r="U79" s="613">
        <f t="shared" si="15"/>
        <v>1</v>
      </c>
      <c r="W79" s="613" t="str">
        <f t="shared" si="8"/>
        <v>I</v>
      </c>
      <c r="X79" s="613" t="str">
        <f t="shared" si="9"/>
        <v>I</v>
      </c>
      <c r="Y79" s="613" t="str">
        <f t="shared" si="10"/>
        <v>I</v>
      </c>
      <c r="Z79" s="613">
        <f t="shared" si="11"/>
        <v>2005</v>
      </c>
      <c r="AA79" s="613" t="str">
        <f t="shared" si="12"/>
        <v>I</v>
      </c>
      <c r="AB79" s="613" t="str">
        <f t="shared" si="12"/>
        <v>I</v>
      </c>
      <c r="AD79" s="613"/>
      <c r="AE79" s="740"/>
      <c r="AF79" s="644">
        <v>2018</v>
      </c>
      <c r="AM79" s="647"/>
      <c r="AN79" s="647"/>
      <c r="AO79" s="647"/>
      <c r="AP79" s="647"/>
      <c r="AQ79" s="647"/>
    </row>
    <row r="80" spans="1:43" x14ac:dyDescent="0.2">
      <c r="A80" s="527">
        <v>78</v>
      </c>
      <c r="C80" s="655" t="s">
        <v>903</v>
      </c>
      <c r="D80" s="624"/>
      <c r="E80" s="624"/>
      <c r="F80" s="844"/>
      <c r="G80" s="624"/>
      <c r="H80" s="619"/>
      <c r="I80" s="655"/>
      <c r="J80" s="656">
        <v>2003</v>
      </c>
      <c r="K80" s="656">
        <v>2005</v>
      </c>
      <c r="L80" s="613" t="s">
        <v>336</v>
      </c>
      <c r="M80" s="613">
        <f t="shared" si="13"/>
        <v>0</v>
      </c>
      <c r="N80" s="613">
        <f t="shared" si="14"/>
        <v>0</v>
      </c>
      <c r="O80" s="657"/>
      <c r="P80" s="657"/>
      <c r="Q80" s="657"/>
      <c r="R80" s="657">
        <v>1</v>
      </c>
      <c r="S80" s="657"/>
      <c r="T80" s="657"/>
      <c r="U80" s="613">
        <f t="shared" si="15"/>
        <v>1</v>
      </c>
      <c r="W80" s="613" t="str">
        <f t="shared" si="8"/>
        <v>I</v>
      </c>
      <c r="X80" s="613" t="str">
        <f t="shared" si="9"/>
        <v>I</v>
      </c>
      <c r="Y80" s="613" t="str">
        <f t="shared" si="10"/>
        <v>I</v>
      </c>
      <c r="Z80" s="613">
        <f t="shared" si="11"/>
        <v>2003</v>
      </c>
      <c r="AA80" s="613" t="str">
        <f t="shared" si="12"/>
        <v>I</v>
      </c>
      <c r="AB80" s="613" t="str">
        <f t="shared" si="12"/>
        <v>I</v>
      </c>
      <c r="AD80" s="613"/>
      <c r="AE80" s="740"/>
      <c r="AF80" s="880">
        <v>2020</v>
      </c>
      <c r="AM80" s="647"/>
      <c r="AN80" s="647"/>
      <c r="AO80" s="647"/>
      <c r="AP80" s="647"/>
      <c r="AQ80" s="647"/>
    </row>
    <row r="81" spans="1:43" x14ac:dyDescent="0.2">
      <c r="A81" s="527">
        <v>79</v>
      </c>
      <c r="C81" s="742" t="s">
        <v>897</v>
      </c>
      <c r="D81" s="624"/>
      <c r="E81" s="624"/>
      <c r="F81" s="844"/>
      <c r="G81" s="624"/>
      <c r="H81" s="619"/>
      <c r="I81" s="742"/>
      <c r="J81" s="656">
        <v>1999</v>
      </c>
      <c r="K81" s="656">
        <v>2005</v>
      </c>
      <c r="L81" s="613" t="s">
        <v>336</v>
      </c>
      <c r="M81" s="613">
        <f t="shared" si="13"/>
        <v>0</v>
      </c>
      <c r="N81" s="613">
        <f t="shared" si="14"/>
        <v>0</v>
      </c>
      <c r="O81" s="657"/>
      <c r="P81" s="657"/>
      <c r="Q81" s="657"/>
      <c r="R81" s="657"/>
      <c r="S81" s="657">
        <v>1</v>
      </c>
      <c r="T81" s="657"/>
      <c r="U81" s="613">
        <f t="shared" si="15"/>
        <v>1</v>
      </c>
      <c r="W81" s="613" t="str">
        <f t="shared" si="8"/>
        <v>I</v>
      </c>
      <c r="X81" s="613" t="str">
        <f t="shared" si="9"/>
        <v>I</v>
      </c>
      <c r="Y81" s="613" t="str">
        <f t="shared" si="10"/>
        <v>I</v>
      </c>
      <c r="Z81" s="613" t="str">
        <f t="shared" si="11"/>
        <v>I</v>
      </c>
      <c r="AA81" s="613">
        <f t="shared" si="12"/>
        <v>1999</v>
      </c>
      <c r="AB81" s="613" t="str">
        <f t="shared" si="12"/>
        <v>I</v>
      </c>
      <c r="AD81" s="613"/>
      <c r="AE81" s="740"/>
      <c r="AF81" s="644"/>
      <c r="AM81" s="647"/>
      <c r="AN81" s="647"/>
      <c r="AO81" s="647"/>
      <c r="AP81" s="647"/>
      <c r="AQ81" s="647"/>
    </row>
    <row r="82" spans="1:43" x14ac:dyDescent="0.2">
      <c r="A82" s="527">
        <v>80</v>
      </c>
      <c r="C82" s="655" t="s">
        <v>898</v>
      </c>
      <c r="D82" s="624"/>
      <c r="E82" s="624"/>
      <c r="F82" s="844"/>
      <c r="G82" s="624"/>
      <c r="H82" s="619"/>
      <c r="I82" s="655"/>
      <c r="J82" s="656">
        <v>1999</v>
      </c>
      <c r="K82" s="656">
        <v>2005</v>
      </c>
      <c r="L82" s="613" t="s">
        <v>336</v>
      </c>
      <c r="M82" s="613">
        <f t="shared" si="13"/>
        <v>0</v>
      </c>
      <c r="N82" s="613">
        <f t="shared" si="14"/>
        <v>0</v>
      </c>
      <c r="O82" s="657"/>
      <c r="P82" s="657"/>
      <c r="Q82" s="657"/>
      <c r="R82" s="657"/>
      <c r="S82" s="657">
        <v>1</v>
      </c>
      <c r="T82" s="657"/>
      <c r="U82" s="613">
        <f t="shared" si="15"/>
        <v>1</v>
      </c>
      <c r="W82" s="613" t="str">
        <f t="shared" si="8"/>
        <v>I</v>
      </c>
      <c r="X82" s="613" t="str">
        <f t="shared" si="9"/>
        <v>I</v>
      </c>
      <c r="Y82" s="613" t="str">
        <f t="shared" si="10"/>
        <v>I</v>
      </c>
      <c r="Z82" s="613" t="str">
        <f t="shared" si="11"/>
        <v>I</v>
      </c>
      <c r="AA82" s="613">
        <f t="shared" si="12"/>
        <v>1999</v>
      </c>
      <c r="AB82" s="613" t="str">
        <f t="shared" si="12"/>
        <v>I</v>
      </c>
      <c r="AD82" s="613"/>
      <c r="AE82" s="740"/>
      <c r="AF82" s="644"/>
      <c r="AM82" s="647"/>
      <c r="AN82" s="647"/>
      <c r="AO82" s="647"/>
      <c r="AP82" s="647"/>
      <c r="AQ82" s="647"/>
    </row>
    <row r="83" spans="1:43" x14ac:dyDescent="0.2">
      <c r="A83" s="527">
        <v>81</v>
      </c>
      <c r="C83" s="742" t="s">
        <v>889</v>
      </c>
      <c r="D83" s="883">
        <v>37361</v>
      </c>
      <c r="E83" s="624"/>
      <c r="F83" s="844" t="s">
        <v>2694</v>
      </c>
      <c r="G83" s="624">
        <v>38534</v>
      </c>
      <c r="H83" s="530">
        <f>(G83-MAX(D83:E83))/365.25</f>
        <v>3.2114989733059547</v>
      </c>
      <c r="I83" s="742"/>
      <c r="J83" s="656">
        <v>2002</v>
      </c>
      <c r="K83" s="656">
        <v>2005</v>
      </c>
      <c r="L83" s="613" t="s">
        <v>336</v>
      </c>
      <c r="M83" s="613">
        <f t="shared" si="13"/>
        <v>1</v>
      </c>
      <c r="N83" s="613">
        <f t="shared" si="14"/>
        <v>0</v>
      </c>
      <c r="O83" s="657"/>
      <c r="P83" s="657"/>
      <c r="Q83" s="657">
        <v>1</v>
      </c>
      <c r="R83" s="657"/>
      <c r="S83" s="657"/>
      <c r="T83" s="657"/>
      <c r="U83" s="613">
        <f t="shared" si="15"/>
        <v>1</v>
      </c>
      <c r="W83" s="613" t="str">
        <f t="shared" si="8"/>
        <v>I</v>
      </c>
      <c r="X83" s="613" t="str">
        <f t="shared" si="9"/>
        <v>I</v>
      </c>
      <c r="Y83" s="613">
        <f t="shared" si="10"/>
        <v>2002</v>
      </c>
      <c r="Z83" s="613" t="str">
        <f t="shared" si="11"/>
        <v>I</v>
      </c>
      <c r="AA83" s="613" t="str">
        <f t="shared" si="12"/>
        <v>I</v>
      </c>
      <c r="AB83" s="613" t="str">
        <f t="shared" si="12"/>
        <v>I</v>
      </c>
      <c r="AD83" s="613"/>
      <c r="AE83" s="740"/>
      <c r="AF83" s="644"/>
      <c r="AM83" s="647"/>
      <c r="AN83" s="647"/>
      <c r="AO83" s="647"/>
      <c r="AP83" s="647"/>
      <c r="AQ83" s="647"/>
    </row>
    <row r="84" spans="1:43" x14ac:dyDescent="0.2">
      <c r="A84" s="527">
        <v>82</v>
      </c>
      <c r="C84" s="742" t="s">
        <v>1889</v>
      </c>
      <c r="E84" s="883">
        <v>38214</v>
      </c>
      <c r="F84" s="844" t="s">
        <v>2694</v>
      </c>
      <c r="G84" s="624">
        <v>38528</v>
      </c>
      <c r="H84" s="530">
        <f>(G84-MAX(D84:E84))/365.25</f>
        <v>0.85968514715947986</v>
      </c>
      <c r="I84" s="742"/>
      <c r="J84" s="656">
        <v>2004</v>
      </c>
      <c r="K84" s="656">
        <v>2005</v>
      </c>
      <c r="L84" s="613" t="s">
        <v>303</v>
      </c>
      <c r="M84" s="613">
        <f t="shared" si="13"/>
        <v>0</v>
      </c>
      <c r="N84" s="613">
        <f t="shared" si="14"/>
        <v>1</v>
      </c>
      <c r="O84" s="657"/>
      <c r="P84" s="657"/>
      <c r="Q84" s="657">
        <v>1</v>
      </c>
      <c r="R84" s="657"/>
      <c r="S84" s="657"/>
      <c r="T84" s="657"/>
      <c r="U84" s="613">
        <f t="shared" si="15"/>
        <v>1</v>
      </c>
      <c r="W84" s="613" t="str">
        <f t="shared" si="8"/>
        <v>I</v>
      </c>
      <c r="X84" s="613" t="str">
        <f t="shared" si="9"/>
        <v>I</v>
      </c>
      <c r="Y84" s="613">
        <f t="shared" si="10"/>
        <v>2004</v>
      </c>
      <c r="Z84" s="613" t="str">
        <f t="shared" si="11"/>
        <v>I</v>
      </c>
      <c r="AA84" s="613" t="str">
        <f t="shared" si="12"/>
        <v>I</v>
      </c>
      <c r="AB84" s="613" t="str">
        <f t="shared" si="12"/>
        <v>I</v>
      </c>
      <c r="AD84" s="613"/>
      <c r="AE84" s="740"/>
      <c r="AF84" s="644"/>
      <c r="AM84" s="647"/>
      <c r="AN84" s="647"/>
      <c r="AO84" s="647"/>
      <c r="AP84" s="647"/>
      <c r="AQ84" s="647"/>
    </row>
    <row r="85" spans="1:43" x14ac:dyDescent="0.2">
      <c r="A85" s="527">
        <v>83</v>
      </c>
      <c r="C85" s="742" t="s">
        <v>1896</v>
      </c>
      <c r="D85" s="624"/>
      <c r="E85" s="624">
        <v>38092</v>
      </c>
      <c r="F85" s="846" t="s">
        <v>2694</v>
      </c>
      <c r="G85" s="624">
        <v>38610</v>
      </c>
      <c r="H85" s="530">
        <f>(G85-MAX(D85:E85))/365.25</f>
        <v>1.4182067077344285</v>
      </c>
      <c r="I85" s="742"/>
      <c r="J85" s="656">
        <v>2004</v>
      </c>
      <c r="K85" s="656">
        <v>2005</v>
      </c>
      <c r="L85" s="613" t="s">
        <v>303</v>
      </c>
      <c r="M85" s="613">
        <f t="shared" si="13"/>
        <v>0</v>
      </c>
      <c r="N85" s="613">
        <f t="shared" si="14"/>
        <v>1</v>
      </c>
      <c r="O85" s="657"/>
      <c r="P85" s="657"/>
      <c r="Q85" s="657">
        <v>1</v>
      </c>
      <c r="R85" s="657"/>
      <c r="S85" s="657"/>
      <c r="T85" s="657"/>
      <c r="U85" s="613">
        <f t="shared" si="15"/>
        <v>1</v>
      </c>
      <c r="W85" s="613" t="str">
        <f t="shared" si="8"/>
        <v>I</v>
      </c>
      <c r="X85" s="613" t="str">
        <f t="shared" si="9"/>
        <v>I</v>
      </c>
      <c r="Y85" s="613">
        <f t="shared" si="10"/>
        <v>2004</v>
      </c>
      <c r="Z85" s="613" t="str">
        <f t="shared" si="11"/>
        <v>I</v>
      </c>
      <c r="AA85" s="613" t="str">
        <f t="shared" si="12"/>
        <v>I</v>
      </c>
      <c r="AB85" s="613" t="str">
        <f t="shared" si="12"/>
        <v>I</v>
      </c>
      <c r="AD85" s="613"/>
      <c r="AE85" s="740"/>
      <c r="AF85" s="644"/>
      <c r="AM85" s="647"/>
      <c r="AN85" s="647"/>
      <c r="AO85" s="647"/>
      <c r="AP85" s="647"/>
      <c r="AQ85" s="647"/>
    </row>
    <row r="86" spans="1:43" x14ac:dyDescent="0.2">
      <c r="A86" s="527">
        <v>84</v>
      </c>
      <c r="C86" s="742" t="s">
        <v>899</v>
      </c>
      <c r="D86" s="624"/>
      <c r="E86" s="624"/>
      <c r="F86" s="844"/>
      <c r="G86" s="624"/>
      <c r="H86" s="619"/>
      <c r="I86" s="742"/>
      <c r="J86" s="656">
        <v>2004</v>
      </c>
      <c r="K86" s="656">
        <v>2005</v>
      </c>
      <c r="L86" s="613" t="s">
        <v>336</v>
      </c>
      <c r="M86" s="613">
        <f t="shared" si="13"/>
        <v>0</v>
      </c>
      <c r="N86" s="613">
        <f t="shared" si="14"/>
        <v>0</v>
      </c>
      <c r="O86" s="657"/>
      <c r="P86" s="657"/>
      <c r="Q86" s="657"/>
      <c r="R86" s="657">
        <v>1</v>
      </c>
      <c r="S86" s="657"/>
      <c r="T86" s="657"/>
      <c r="U86" s="613">
        <f t="shared" si="15"/>
        <v>1</v>
      </c>
      <c r="W86" s="613" t="str">
        <f t="shared" si="8"/>
        <v>I</v>
      </c>
      <c r="X86" s="613" t="str">
        <f t="shared" si="9"/>
        <v>I</v>
      </c>
      <c r="Y86" s="613" t="str">
        <f t="shared" si="10"/>
        <v>I</v>
      </c>
      <c r="Z86" s="613">
        <f t="shared" si="11"/>
        <v>2004</v>
      </c>
      <c r="AA86" s="613" t="str">
        <f t="shared" si="12"/>
        <v>I</v>
      </c>
      <c r="AB86" s="613" t="str">
        <f t="shared" si="12"/>
        <v>I</v>
      </c>
      <c r="AD86" s="613"/>
      <c r="AE86" s="740"/>
      <c r="AF86" s="644"/>
      <c r="AM86" s="647"/>
      <c r="AN86" s="647"/>
      <c r="AO86" s="647"/>
      <c r="AP86" s="647"/>
      <c r="AQ86" s="647"/>
    </row>
    <row r="87" spans="1:43" x14ac:dyDescent="0.2">
      <c r="A87" s="527">
        <v>85</v>
      </c>
      <c r="C87" s="743" t="s">
        <v>1112</v>
      </c>
      <c r="D87" s="624"/>
      <c r="E87" s="624"/>
      <c r="F87" s="844"/>
      <c r="G87" s="624"/>
      <c r="H87" s="619"/>
      <c r="I87" s="743"/>
      <c r="J87" s="659">
        <v>2006</v>
      </c>
      <c r="K87" s="659">
        <v>2006</v>
      </c>
      <c r="L87" s="613" t="s">
        <v>336</v>
      </c>
      <c r="M87" s="613">
        <f t="shared" si="13"/>
        <v>0</v>
      </c>
      <c r="N87" s="613">
        <f t="shared" si="14"/>
        <v>0</v>
      </c>
      <c r="O87" s="660"/>
      <c r="P87" s="660"/>
      <c r="Q87" s="660"/>
      <c r="R87" s="660">
        <v>1</v>
      </c>
      <c r="S87" s="660"/>
      <c r="T87" s="660"/>
      <c r="U87" s="613">
        <f t="shared" si="15"/>
        <v>1</v>
      </c>
      <c r="W87" s="613" t="str">
        <f t="shared" si="8"/>
        <v>I</v>
      </c>
      <c r="X87" s="613" t="str">
        <f t="shared" si="9"/>
        <v>I</v>
      </c>
      <c r="Y87" s="613" t="str">
        <f t="shared" si="10"/>
        <v>I</v>
      </c>
      <c r="Z87" s="613">
        <f t="shared" si="11"/>
        <v>2006</v>
      </c>
      <c r="AA87" s="613" t="str">
        <f t="shared" si="12"/>
        <v>I</v>
      </c>
      <c r="AB87" s="613" t="str">
        <f t="shared" si="12"/>
        <v>I</v>
      </c>
      <c r="AD87" s="613"/>
      <c r="AE87" s="740"/>
      <c r="AF87" s="644"/>
      <c r="AM87" s="647"/>
      <c r="AN87" s="647"/>
      <c r="AO87" s="647"/>
      <c r="AP87" s="647"/>
      <c r="AQ87" s="647"/>
    </row>
    <row r="88" spans="1:43" ht="12.75" customHeight="1" x14ac:dyDescent="0.2">
      <c r="A88" s="527">
        <v>86</v>
      </c>
      <c r="C88" s="658" t="s">
        <v>1160</v>
      </c>
      <c r="D88" s="624"/>
      <c r="E88" s="624"/>
      <c r="F88" s="844"/>
      <c r="G88" s="624"/>
      <c r="H88" s="619"/>
      <c r="I88" s="658"/>
      <c r="J88" s="659">
        <v>2005</v>
      </c>
      <c r="K88" s="659">
        <v>2006</v>
      </c>
      <c r="L88" s="613" t="s">
        <v>336</v>
      </c>
      <c r="M88" s="613">
        <f t="shared" si="13"/>
        <v>0</v>
      </c>
      <c r="N88" s="613">
        <f t="shared" si="14"/>
        <v>0</v>
      </c>
      <c r="O88" s="660">
        <v>1</v>
      </c>
      <c r="P88" s="660"/>
      <c r="Q88" s="660"/>
      <c r="R88" s="660"/>
      <c r="S88" s="660"/>
      <c r="T88" s="660"/>
      <c r="U88" s="613">
        <f t="shared" si="15"/>
        <v>1</v>
      </c>
      <c r="W88" s="613">
        <f t="shared" si="8"/>
        <v>2005</v>
      </c>
      <c r="X88" s="613" t="str">
        <f t="shared" si="9"/>
        <v>I</v>
      </c>
      <c r="Y88" s="613" t="str">
        <f t="shared" si="10"/>
        <v>I</v>
      </c>
      <c r="Z88" s="613" t="str">
        <f t="shared" si="11"/>
        <v>I</v>
      </c>
      <c r="AA88" s="613" t="str">
        <f t="shared" si="12"/>
        <v>I</v>
      </c>
      <c r="AB88" s="613" t="str">
        <f t="shared" si="12"/>
        <v>I</v>
      </c>
      <c r="AD88" s="613"/>
      <c r="AE88" s="740"/>
      <c r="AF88" s="644"/>
      <c r="AM88" s="647"/>
      <c r="AN88" s="647"/>
      <c r="AO88" s="647"/>
      <c r="AP88" s="647"/>
      <c r="AQ88" s="647"/>
    </row>
    <row r="89" spans="1:43" ht="12.75" customHeight="1" x14ac:dyDescent="0.2">
      <c r="A89" s="527">
        <v>87</v>
      </c>
      <c r="C89" s="743" t="s">
        <v>1229</v>
      </c>
      <c r="D89" s="624"/>
      <c r="E89" s="624"/>
      <c r="F89" s="844"/>
      <c r="G89" s="624"/>
      <c r="H89" s="619"/>
      <c r="I89" s="743"/>
      <c r="J89" s="659">
        <v>2005</v>
      </c>
      <c r="K89" s="659">
        <v>2006</v>
      </c>
      <c r="L89" s="613" t="s">
        <v>336</v>
      </c>
      <c r="M89" s="613">
        <f t="shared" si="13"/>
        <v>0</v>
      </c>
      <c r="N89" s="613">
        <f t="shared" si="14"/>
        <v>0</v>
      </c>
      <c r="O89" s="660">
        <v>1</v>
      </c>
      <c r="P89" s="660"/>
      <c r="Q89" s="660"/>
      <c r="R89" s="660"/>
      <c r="S89" s="660"/>
      <c r="T89" s="660"/>
      <c r="U89" s="613">
        <f t="shared" si="15"/>
        <v>1</v>
      </c>
      <c r="W89" s="613">
        <f t="shared" si="8"/>
        <v>2005</v>
      </c>
      <c r="X89" s="613" t="str">
        <f t="shared" si="9"/>
        <v>I</v>
      </c>
      <c r="Y89" s="613" t="str">
        <f t="shared" si="10"/>
        <v>I</v>
      </c>
      <c r="Z89" s="613" t="str">
        <f t="shared" si="11"/>
        <v>I</v>
      </c>
      <c r="AA89" s="613" t="str">
        <f t="shared" si="12"/>
        <v>I</v>
      </c>
      <c r="AB89" s="613" t="str">
        <f t="shared" si="12"/>
        <v>I</v>
      </c>
      <c r="AD89" s="613"/>
      <c r="AE89" s="740"/>
      <c r="AF89" s="644"/>
      <c r="AM89" s="647"/>
      <c r="AN89" s="647"/>
      <c r="AO89" s="647"/>
      <c r="AP89" s="647"/>
      <c r="AQ89" s="647"/>
    </row>
    <row r="90" spans="1:43" ht="12.75" customHeight="1" x14ac:dyDescent="0.2">
      <c r="A90" s="527">
        <v>88</v>
      </c>
      <c r="C90" s="743" t="s">
        <v>1090</v>
      </c>
      <c r="D90" s="883">
        <v>36875</v>
      </c>
      <c r="E90" s="624"/>
      <c r="F90" s="844" t="s">
        <v>2694</v>
      </c>
      <c r="G90" s="624">
        <v>38733</v>
      </c>
      <c r="H90" s="530">
        <f t="shared" ref="H90:H98" si="16">(G90-MAX(D90:E90))/365.25</f>
        <v>5.0869267624914443</v>
      </c>
      <c r="I90" s="743"/>
      <c r="J90" s="659">
        <v>2000</v>
      </c>
      <c r="K90" s="659">
        <v>2006</v>
      </c>
      <c r="L90" s="613" t="s">
        <v>336</v>
      </c>
      <c r="M90" s="613">
        <f t="shared" si="13"/>
        <v>1</v>
      </c>
      <c r="N90" s="613">
        <f t="shared" si="14"/>
        <v>0</v>
      </c>
      <c r="O90" s="660"/>
      <c r="P90" s="660"/>
      <c r="Q90" s="660">
        <v>1</v>
      </c>
      <c r="R90" s="660"/>
      <c r="S90" s="660"/>
      <c r="T90" s="660"/>
      <c r="U90" s="613">
        <f t="shared" si="15"/>
        <v>1</v>
      </c>
      <c r="W90" s="613" t="str">
        <f t="shared" si="8"/>
        <v>I</v>
      </c>
      <c r="X90" s="613" t="str">
        <f t="shared" si="9"/>
        <v>I</v>
      </c>
      <c r="Y90" s="613">
        <f t="shared" si="10"/>
        <v>2000</v>
      </c>
      <c r="Z90" s="613" t="str">
        <f t="shared" si="11"/>
        <v>I</v>
      </c>
      <c r="AA90" s="613" t="str">
        <f t="shared" si="12"/>
        <v>I</v>
      </c>
      <c r="AB90" s="613" t="str">
        <f t="shared" si="12"/>
        <v>I</v>
      </c>
      <c r="AD90" s="613"/>
      <c r="AE90" s="740"/>
      <c r="AF90" s="644"/>
      <c r="AM90" s="647"/>
      <c r="AN90" s="647"/>
      <c r="AO90" s="647"/>
      <c r="AP90" s="647"/>
      <c r="AQ90" s="647"/>
    </row>
    <row r="91" spans="1:43" ht="12.75" customHeight="1" x14ac:dyDescent="0.2">
      <c r="A91" s="527">
        <v>89</v>
      </c>
      <c r="C91" s="658" t="s">
        <v>1890</v>
      </c>
      <c r="D91" s="624"/>
      <c r="E91" s="624">
        <v>38306</v>
      </c>
      <c r="F91" s="846" t="s">
        <v>2694</v>
      </c>
      <c r="G91" s="624">
        <v>38961</v>
      </c>
      <c r="H91" s="530">
        <f t="shared" si="16"/>
        <v>1.7932922655715264</v>
      </c>
      <c r="I91" s="658"/>
      <c r="J91" s="659">
        <v>2004</v>
      </c>
      <c r="K91" s="659">
        <v>2006</v>
      </c>
      <c r="L91" s="613" t="s">
        <v>303</v>
      </c>
      <c r="M91" s="613">
        <f t="shared" si="13"/>
        <v>0</v>
      </c>
      <c r="N91" s="613">
        <f t="shared" si="14"/>
        <v>1</v>
      </c>
      <c r="O91" s="660"/>
      <c r="P91" s="660"/>
      <c r="Q91" s="660">
        <v>1</v>
      </c>
      <c r="R91" s="660"/>
      <c r="S91" s="660"/>
      <c r="T91" s="660"/>
      <c r="U91" s="613">
        <f t="shared" si="15"/>
        <v>1</v>
      </c>
      <c r="W91" s="613" t="str">
        <f t="shared" si="8"/>
        <v>I</v>
      </c>
      <c r="X91" s="613" t="str">
        <f t="shared" si="9"/>
        <v>I</v>
      </c>
      <c r="Y91" s="613">
        <f t="shared" si="10"/>
        <v>2004</v>
      </c>
      <c r="Z91" s="613" t="str">
        <f t="shared" si="11"/>
        <v>I</v>
      </c>
      <c r="AA91" s="613" t="str">
        <f t="shared" si="12"/>
        <v>I</v>
      </c>
      <c r="AB91" s="613" t="str">
        <f t="shared" si="12"/>
        <v>I</v>
      </c>
      <c r="AD91" s="613"/>
      <c r="AE91" s="740"/>
      <c r="AF91" s="644"/>
      <c r="AM91" s="647"/>
      <c r="AN91" s="647"/>
      <c r="AO91" s="647"/>
      <c r="AP91" s="647"/>
      <c r="AQ91" s="647"/>
    </row>
    <row r="92" spans="1:43" x14ac:dyDescent="0.2">
      <c r="A92" s="527">
        <v>90</v>
      </c>
      <c r="C92" s="658" t="s">
        <v>1891</v>
      </c>
      <c r="D92" s="624"/>
      <c r="E92" s="624">
        <v>38518</v>
      </c>
      <c r="F92" s="846" t="s">
        <v>2694</v>
      </c>
      <c r="G92" s="624">
        <v>38733</v>
      </c>
      <c r="H92" s="530">
        <f t="shared" si="16"/>
        <v>0.58863791923340181</v>
      </c>
      <c r="I92" s="658"/>
      <c r="J92" s="659">
        <v>2005</v>
      </c>
      <c r="K92" s="659">
        <v>2006</v>
      </c>
      <c r="L92" s="613" t="s">
        <v>303</v>
      </c>
      <c r="M92" s="613">
        <f t="shared" si="13"/>
        <v>0</v>
      </c>
      <c r="N92" s="613">
        <f t="shared" si="14"/>
        <v>1</v>
      </c>
      <c r="O92" s="660"/>
      <c r="P92" s="660"/>
      <c r="Q92" s="660">
        <v>1</v>
      </c>
      <c r="R92" s="660"/>
      <c r="S92" s="660"/>
      <c r="T92" s="660"/>
      <c r="U92" s="613">
        <f t="shared" si="15"/>
        <v>1</v>
      </c>
      <c r="W92" s="613" t="str">
        <f t="shared" si="8"/>
        <v>I</v>
      </c>
      <c r="X92" s="613" t="str">
        <f t="shared" si="9"/>
        <v>I</v>
      </c>
      <c r="Y92" s="613">
        <f t="shared" si="10"/>
        <v>2005</v>
      </c>
      <c r="Z92" s="613" t="str">
        <f t="shared" si="11"/>
        <v>I</v>
      </c>
      <c r="AA92" s="613" t="str">
        <f t="shared" si="12"/>
        <v>I</v>
      </c>
      <c r="AB92" s="613" t="str">
        <f t="shared" si="12"/>
        <v>I</v>
      </c>
      <c r="AD92" s="613"/>
      <c r="AE92" s="740"/>
      <c r="AF92" s="644"/>
      <c r="AM92" s="647"/>
      <c r="AN92" s="647"/>
      <c r="AO92" s="647"/>
      <c r="AP92" s="647"/>
      <c r="AQ92" s="647"/>
    </row>
    <row r="93" spans="1:43" x14ac:dyDescent="0.2">
      <c r="A93" s="527">
        <v>91</v>
      </c>
      <c r="C93" s="658" t="s">
        <v>1892</v>
      </c>
      <c r="D93" s="624"/>
      <c r="E93" s="624">
        <v>38671</v>
      </c>
      <c r="F93" s="846" t="s">
        <v>2694</v>
      </c>
      <c r="G93" s="624">
        <v>38733</v>
      </c>
      <c r="H93" s="530">
        <f t="shared" si="16"/>
        <v>0.16974674880219029</v>
      </c>
      <c r="I93" s="658"/>
      <c r="J93" s="659">
        <v>2005</v>
      </c>
      <c r="K93" s="659">
        <v>2006</v>
      </c>
      <c r="L93" s="613" t="s">
        <v>303</v>
      </c>
      <c r="M93" s="613">
        <f t="shared" si="13"/>
        <v>0</v>
      </c>
      <c r="N93" s="613">
        <f t="shared" si="14"/>
        <v>1</v>
      </c>
      <c r="O93" s="660"/>
      <c r="P93" s="660"/>
      <c r="Q93" s="660">
        <v>1</v>
      </c>
      <c r="R93" s="660"/>
      <c r="S93" s="660"/>
      <c r="T93" s="660"/>
      <c r="U93" s="613">
        <f t="shared" si="15"/>
        <v>1</v>
      </c>
      <c r="W93" s="613" t="str">
        <f t="shared" si="8"/>
        <v>I</v>
      </c>
      <c r="X93" s="613" t="str">
        <f t="shared" si="9"/>
        <v>I</v>
      </c>
      <c r="Y93" s="613">
        <f t="shared" si="10"/>
        <v>2005</v>
      </c>
      <c r="Z93" s="613" t="str">
        <f t="shared" si="11"/>
        <v>I</v>
      </c>
      <c r="AA93" s="613" t="str">
        <f t="shared" si="12"/>
        <v>I</v>
      </c>
      <c r="AB93" s="613" t="str">
        <f t="shared" si="12"/>
        <v>I</v>
      </c>
      <c r="AD93" s="613"/>
      <c r="AE93" s="740"/>
      <c r="AF93" s="644"/>
      <c r="AM93" s="647"/>
      <c r="AN93" s="647"/>
      <c r="AO93" s="647"/>
      <c r="AP93" s="647"/>
      <c r="AQ93" s="647"/>
    </row>
    <row r="94" spans="1:43" x14ac:dyDescent="0.2">
      <c r="A94" s="527">
        <v>92</v>
      </c>
      <c r="C94" s="743" t="s">
        <v>1893</v>
      </c>
      <c r="D94" s="624"/>
      <c r="E94" s="624">
        <v>38671</v>
      </c>
      <c r="F94" s="846" t="s">
        <v>2694</v>
      </c>
      <c r="G94" s="624">
        <v>38733</v>
      </c>
      <c r="H94" s="530">
        <f t="shared" si="16"/>
        <v>0.16974674880219029</v>
      </c>
      <c r="I94" s="743"/>
      <c r="J94" s="659">
        <v>2005</v>
      </c>
      <c r="K94" s="659">
        <v>2006</v>
      </c>
      <c r="L94" s="613" t="s">
        <v>303</v>
      </c>
      <c r="M94" s="613">
        <f t="shared" si="13"/>
        <v>0</v>
      </c>
      <c r="N94" s="613">
        <f t="shared" si="14"/>
        <v>1</v>
      </c>
      <c r="O94" s="660"/>
      <c r="P94" s="660"/>
      <c r="Q94" s="660">
        <v>1</v>
      </c>
      <c r="R94" s="660"/>
      <c r="S94" s="660"/>
      <c r="T94" s="660"/>
      <c r="U94" s="613">
        <f t="shared" si="15"/>
        <v>1</v>
      </c>
      <c r="W94" s="613" t="str">
        <f t="shared" si="8"/>
        <v>I</v>
      </c>
      <c r="X94" s="613" t="str">
        <f t="shared" si="9"/>
        <v>I</v>
      </c>
      <c r="Y94" s="613">
        <f t="shared" si="10"/>
        <v>2005</v>
      </c>
      <c r="Z94" s="613" t="str">
        <f t="shared" si="11"/>
        <v>I</v>
      </c>
      <c r="AA94" s="613" t="str">
        <f t="shared" si="12"/>
        <v>I</v>
      </c>
      <c r="AB94" s="613" t="str">
        <f t="shared" si="12"/>
        <v>I</v>
      </c>
      <c r="AD94" s="613"/>
      <c r="AE94" s="740"/>
      <c r="AF94" s="644"/>
      <c r="AM94" s="647"/>
      <c r="AN94" s="647"/>
      <c r="AO94" s="647"/>
      <c r="AP94" s="647"/>
      <c r="AQ94" s="647"/>
    </row>
    <row r="95" spans="1:43" x14ac:dyDescent="0.2">
      <c r="A95" s="527">
        <v>93</v>
      </c>
      <c r="C95" s="658" t="s">
        <v>1897</v>
      </c>
      <c r="D95" s="624"/>
      <c r="E95" s="624">
        <v>38548</v>
      </c>
      <c r="F95" s="846" t="s">
        <v>2694</v>
      </c>
      <c r="G95" s="624">
        <v>38733</v>
      </c>
      <c r="H95" s="530">
        <f t="shared" si="16"/>
        <v>0.50650239561943877</v>
      </c>
      <c r="I95" s="658"/>
      <c r="J95" s="659">
        <v>2005</v>
      </c>
      <c r="K95" s="659">
        <v>2006</v>
      </c>
      <c r="L95" s="613" t="s">
        <v>303</v>
      </c>
      <c r="M95" s="613">
        <f t="shared" si="13"/>
        <v>0</v>
      </c>
      <c r="N95" s="613">
        <f t="shared" si="14"/>
        <v>1</v>
      </c>
      <c r="O95" s="660"/>
      <c r="P95" s="660"/>
      <c r="Q95" s="660">
        <v>1</v>
      </c>
      <c r="R95" s="660"/>
      <c r="S95" s="660"/>
      <c r="T95" s="660"/>
      <c r="U95" s="613">
        <f t="shared" si="15"/>
        <v>1</v>
      </c>
      <c r="W95" s="613" t="str">
        <f t="shared" si="8"/>
        <v>I</v>
      </c>
      <c r="X95" s="613" t="str">
        <f t="shared" si="9"/>
        <v>I</v>
      </c>
      <c r="Y95" s="613">
        <f t="shared" si="10"/>
        <v>2005</v>
      </c>
      <c r="Z95" s="613" t="str">
        <f t="shared" si="11"/>
        <v>I</v>
      </c>
      <c r="AA95" s="613" t="str">
        <f t="shared" si="12"/>
        <v>I</v>
      </c>
      <c r="AB95" s="613" t="str">
        <f t="shared" si="12"/>
        <v>I</v>
      </c>
      <c r="AD95" s="613"/>
      <c r="AE95" s="740"/>
      <c r="AF95" s="644"/>
      <c r="AM95" s="647"/>
      <c r="AN95" s="647"/>
      <c r="AO95" s="647"/>
      <c r="AP95" s="647"/>
      <c r="AQ95" s="647"/>
    </row>
    <row r="96" spans="1:43" x14ac:dyDescent="0.2">
      <c r="A96" s="527">
        <v>94</v>
      </c>
      <c r="C96" s="743" t="s">
        <v>1898</v>
      </c>
      <c r="D96" s="624"/>
      <c r="E96" s="883">
        <v>38579</v>
      </c>
      <c r="F96" s="844" t="s">
        <v>2694</v>
      </c>
      <c r="G96" s="624">
        <v>38751</v>
      </c>
      <c r="H96" s="530">
        <f t="shared" si="16"/>
        <v>0.47091033538672145</v>
      </c>
      <c r="I96" s="743"/>
      <c r="J96" s="659">
        <v>2005</v>
      </c>
      <c r="K96" s="659">
        <v>2006</v>
      </c>
      <c r="L96" s="613" t="s">
        <v>303</v>
      </c>
      <c r="M96" s="613">
        <f t="shared" si="13"/>
        <v>0</v>
      </c>
      <c r="N96" s="613">
        <f t="shared" si="14"/>
        <v>1</v>
      </c>
      <c r="O96" s="660"/>
      <c r="P96" s="660"/>
      <c r="Q96" s="660">
        <v>1</v>
      </c>
      <c r="R96" s="660"/>
      <c r="S96" s="660"/>
      <c r="T96" s="660"/>
      <c r="U96" s="613">
        <f t="shared" si="15"/>
        <v>1</v>
      </c>
      <c r="W96" s="613" t="str">
        <f t="shared" si="8"/>
        <v>I</v>
      </c>
      <c r="X96" s="613" t="str">
        <f t="shared" si="9"/>
        <v>I</v>
      </c>
      <c r="Y96" s="613">
        <f t="shared" si="10"/>
        <v>2005</v>
      </c>
      <c r="Z96" s="613" t="str">
        <f t="shared" si="11"/>
        <v>I</v>
      </c>
      <c r="AA96" s="613" t="str">
        <f t="shared" si="12"/>
        <v>I</v>
      </c>
      <c r="AB96" s="613" t="str">
        <f t="shared" si="12"/>
        <v>I</v>
      </c>
      <c r="AD96" s="613"/>
      <c r="AE96" s="740"/>
      <c r="AF96" s="644"/>
      <c r="AM96" s="647"/>
      <c r="AN96" s="647"/>
      <c r="AO96" s="647"/>
      <c r="AP96" s="647"/>
      <c r="AQ96" s="647"/>
    </row>
    <row r="97" spans="1:43" x14ac:dyDescent="0.2">
      <c r="A97" s="527">
        <v>95</v>
      </c>
      <c r="C97" s="531" t="s">
        <v>1260</v>
      </c>
      <c r="D97" s="841">
        <v>36342</v>
      </c>
      <c r="E97" s="841"/>
      <c r="F97" s="845" t="s">
        <v>316</v>
      </c>
      <c r="G97" s="624">
        <v>39169</v>
      </c>
      <c r="H97" s="530">
        <f t="shared" si="16"/>
        <v>7.73990417522245</v>
      </c>
      <c r="I97" s="531"/>
      <c r="J97" s="661">
        <v>1999</v>
      </c>
      <c r="K97" s="661">
        <v>2007</v>
      </c>
      <c r="L97" s="613" t="s">
        <v>336</v>
      </c>
      <c r="M97" s="613">
        <f t="shared" si="13"/>
        <v>1</v>
      </c>
      <c r="N97" s="613">
        <f t="shared" si="14"/>
        <v>0</v>
      </c>
      <c r="O97" s="662"/>
      <c r="P97" s="662"/>
      <c r="Q97" s="662">
        <v>1</v>
      </c>
      <c r="R97" s="662"/>
      <c r="S97" s="662"/>
      <c r="T97" s="662"/>
      <c r="U97" s="613">
        <f t="shared" si="15"/>
        <v>1</v>
      </c>
      <c r="W97" s="613" t="str">
        <f t="shared" si="8"/>
        <v>I</v>
      </c>
      <c r="X97" s="613" t="str">
        <f t="shared" si="9"/>
        <v>I</v>
      </c>
      <c r="Y97" s="613">
        <f t="shared" si="10"/>
        <v>1999</v>
      </c>
      <c r="Z97" s="613" t="str">
        <f t="shared" si="11"/>
        <v>I</v>
      </c>
      <c r="AA97" s="613" t="str">
        <f t="shared" si="12"/>
        <v>I</v>
      </c>
      <c r="AB97" s="613" t="str">
        <f t="shared" si="12"/>
        <v>I</v>
      </c>
      <c r="AD97" s="613"/>
      <c r="AE97" s="740"/>
      <c r="AF97" s="644"/>
      <c r="AM97" s="647"/>
      <c r="AN97" s="647"/>
      <c r="AO97" s="647"/>
      <c r="AP97" s="647"/>
      <c r="AQ97" s="647"/>
    </row>
    <row r="98" spans="1:43" x14ac:dyDescent="0.2">
      <c r="A98" s="527">
        <v>96</v>
      </c>
      <c r="C98" s="531" t="s">
        <v>1297</v>
      </c>
      <c r="D98" s="883">
        <v>37100</v>
      </c>
      <c r="E98" s="624"/>
      <c r="F98" s="844" t="s">
        <v>2167</v>
      </c>
      <c r="G98" s="624">
        <v>39287</v>
      </c>
      <c r="H98" s="530">
        <f t="shared" si="16"/>
        <v>5.9876796714579053</v>
      </c>
      <c r="I98" s="531"/>
      <c r="J98" s="661">
        <v>2001</v>
      </c>
      <c r="K98" s="661">
        <v>2007</v>
      </c>
      <c r="L98" s="613" t="s">
        <v>336</v>
      </c>
      <c r="M98" s="613">
        <f t="shared" si="13"/>
        <v>1</v>
      </c>
      <c r="N98" s="613">
        <f t="shared" si="14"/>
        <v>0</v>
      </c>
      <c r="O98" s="662"/>
      <c r="P98" s="662"/>
      <c r="Q98" s="662">
        <v>1</v>
      </c>
      <c r="R98" s="662"/>
      <c r="S98" s="662"/>
      <c r="T98" s="662"/>
      <c r="U98" s="613">
        <f t="shared" si="15"/>
        <v>1</v>
      </c>
      <c r="W98" s="613" t="str">
        <f t="shared" si="8"/>
        <v>I</v>
      </c>
      <c r="X98" s="613" t="str">
        <f t="shared" si="9"/>
        <v>I</v>
      </c>
      <c r="Y98" s="613">
        <f t="shared" si="10"/>
        <v>2001</v>
      </c>
      <c r="Z98" s="613" t="str">
        <f t="shared" si="11"/>
        <v>I</v>
      </c>
      <c r="AA98" s="613" t="str">
        <f t="shared" si="12"/>
        <v>I</v>
      </c>
      <c r="AB98" s="613" t="str">
        <f t="shared" si="12"/>
        <v>I</v>
      </c>
      <c r="AD98" s="613"/>
      <c r="AE98" s="740"/>
      <c r="AF98" s="644"/>
      <c r="AM98" s="647"/>
      <c r="AN98" s="647"/>
      <c r="AO98" s="647"/>
      <c r="AP98" s="647"/>
      <c r="AQ98" s="647"/>
    </row>
    <row r="99" spans="1:43" x14ac:dyDescent="0.2">
      <c r="A99" s="527">
        <v>97</v>
      </c>
      <c r="C99" s="744" t="s">
        <v>1301</v>
      </c>
      <c r="D99" s="624"/>
      <c r="E99" s="624"/>
      <c r="F99" s="844"/>
      <c r="G99" s="624"/>
      <c r="H99" s="619"/>
      <c r="I99" s="744"/>
      <c r="J99" s="661">
        <v>2007</v>
      </c>
      <c r="K99" s="661">
        <v>2007</v>
      </c>
      <c r="L99" s="613" t="s">
        <v>336</v>
      </c>
      <c r="M99" s="613">
        <f t="shared" si="13"/>
        <v>0</v>
      </c>
      <c r="N99" s="613">
        <f t="shared" si="14"/>
        <v>0</v>
      </c>
      <c r="O99" s="662">
        <v>1</v>
      </c>
      <c r="P99" s="662"/>
      <c r="Q99" s="662"/>
      <c r="R99" s="662"/>
      <c r="S99" s="662"/>
      <c r="T99" s="662"/>
      <c r="U99" s="613">
        <f t="shared" si="15"/>
        <v>1</v>
      </c>
      <c r="W99" s="613">
        <f t="shared" si="8"/>
        <v>2007</v>
      </c>
      <c r="X99" s="613" t="str">
        <f t="shared" si="9"/>
        <v>I</v>
      </c>
      <c r="Y99" s="613" t="str">
        <f t="shared" si="10"/>
        <v>I</v>
      </c>
      <c r="Z99" s="613" t="str">
        <f t="shared" si="11"/>
        <v>I</v>
      </c>
      <c r="AA99" s="613" t="str">
        <f t="shared" si="12"/>
        <v>I</v>
      </c>
      <c r="AB99" s="613" t="str">
        <f t="shared" si="12"/>
        <v>I</v>
      </c>
      <c r="AD99" s="613"/>
      <c r="AE99" s="740"/>
      <c r="AF99" s="880"/>
      <c r="AM99" s="647"/>
      <c r="AN99" s="647"/>
      <c r="AO99" s="647"/>
      <c r="AP99" s="647"/>
      <c r="AQ99" s="647"/>
    </row>
    <row r="100" spans="1:43" x14ac:dyDescent="0.2">
      <c r="A100" s="527">
        <v>98</v>
      </c>
      <c r="C100" s="744" t="s">
        <v>1307</v>
      </c>
      <c r="D100" s="624"/>
      <c r="E100" s="624"/>
      <c r="F100" s="844"/>
      <c r="G100" s="624"/>
      <c r="H100" s="619"/>
      <c r="I100" s="744"/>
      <c r="J100" s="661">
        <v>2007</v>
      </c>
      <c r="K100" s="661">
        <v>2007</v>
      </c>
      <c r="L100" s="613" t="s">
        <v>336</v>
      </c>
      <c r="M100" s="613">
        <f t="shared" si="13"/>
        <v>0</v>
      </c>
      <c r="N100" s="613">
        <f t="shared" si="14"/>
        <v>0</v>
      </c>
      <c r="O100" s="662">
        <v>1</v>
      </c>
      <c r="P100" s="662"/>
      <c r="Q100" s="662"/>
      <c r="R100" s="662"/>
      <c r="S100" s="662"/>
      <c r="T100" s="662"/>
      <c r="U100" s="613">
        <f t="shared" si="15"/>
        <v>1</v>
      </c>
      <c r="W100" s="613">
        <f t="shared" si="8"/>
        <v>2007</v>
      </c>
      <c r="X100" s="613" t="str">
        <f t="shared" si="9"/>
        <v>I</v>
      </c>
      <c r="Y100" s="613" t="str">
        <f t="shared" si="10"/>
        <v>I</v>
      </c>
      <c r="Z100" s="613" t="str">
        <f t="shared" si="11"/>
        <v>I</v>
      </c>
      <c r="AA100" s="613" t="str">
        <f t="shared" si="12"/>
        <v>I</v>
      </c>
      <c r="AB100" s="613" t="str">
        <f t="shared" si="12"/>
        <v>I</v>
      </c>
      <c r="AD100" s="613"/>
      <c r="AE100" s="740"/>
      <c r="AF100" s="644"/>
      <c r="AM100" s="647"/>
      <c r="AN100" s="647"/>
      <c r="AO100" s="647"/>
      <c r="AP100" s="647"/>
      <c r="AQ100" s="647"/>
    </row>
    <row r="101" spans="1:43" x14ac:dyDescent="0.2">
      <c r="A101" s="527">
        <v>99</v>
      </c>
      <c r="C101" s="744" t="s">
        <v>1895</v>
      </c>
      <c r="D101" s="883"/>
      <c r="E101" s="883">
        <v>38852</v>
      </c>
      <c r="F101" s="844" t="s">
        <v>2694</v>
      </c>
      <c r="G101" s="624">
        <v>39142</v>
      </c>
      <c r="H101" s="530">
        <f>(G101-MAX(D101:E101))/365.25</f>
        <v>0.79397672826830934</v>
      </c>
      <c r="I101" s="744"/>
      <c r="J101" s="661">
        <v>2006</v>
      </c>
      <c r="K101" s="661">
        <v>2007</v>
      </c>
      <c r="L101" s="613" t="s">
        <v>303</v>
      </c>
      <c r="M101" s="613">
        <f t="shared" si="13"/>
        <v>0</v>
      </c>
      <c r="N101" s="613">
        <f t="shared" si="14"/>
        <v>1</v>
      </c>
      <c r="O101" s="662"/>
      <c r="P101" s="662"/>
      <c r="Q101" s="662">
        <v>1</v>
      </c>
      <c r="R101" s="662"/>
      <c r="S101" s="662"/>
      <c r="T101" s="662"/>
      <c r="U101" s="613">
        <f t="shared" si="15"/>
        <v>1</v>
      </c>
      <c r="W101" s="613" t="str">
        <f t="shared" si="8"/>
        <v>I</v>
      </c>
      <c r="X101" s="613" t="str">
        <f t="shared" si="9"/>
        <v>I</v>
      </c>
      <c r="Y101" s="613">
        <f t="shared" si="10"/>
        <v>2006</v>
      </c>
      <c r="Z101" s="613" t="str">
        <f t="shared" si="11"/>
        <v>I</v>
      </c>
      <c r="AA101" s="613" t="str">
        <f t="shared" si="12"/>
        <v>I</v>
      </c>
      <c r="AB101" s="613" t="str">
        <f t="shared" si="12"/>
        <v>I</v>
      </c>
      <c r="AD101" s="613"/>
      <c r="AE101" s="740"/>
      <c r="AF101" s="644"/>
      <c r="AM101" s="647"/>
      <c r="AN101" s="647"/>
      <c r="AO101" s="647"/>
      <c r="AP101" s="647"/>
      <c r="AQ101" s="647"/>
    </row>
    <row r="102" spans="1:43" x14ac:dyDescent="0.2">
      <c r="A102" s="527">
        <v>100</v>
      </c>
      <c r="C102" s="744" t="s">
        <v>1902</v>
      </c>
      <c r="D102" s="624"/>
      <c r="E102" s="624">
        <v>38913</v>
      </c>
      <c r="F102" s="846" t="s">
        <v>2694</v>
      </c>
      <c r="G102" s="624">
        <v>39169</v>
      </c>
      <c r="H102" s="530">
        <f>(G102-MAX(D102:E102))/365.25</f>
        <v>0.70088980150581792</v>
      </c>
      <c r="I102" s="744"/>
      <c r="J102" s="661">
        <v>2006</v>
      </c>
      <c r="K102" s="661">
        <v>2007</v>
      </c>
      <c r="L102" s="613" t="s">
        <v>303</v>
      </c>
      <c r="M102" s="613">
        <f t="shared" si="13"/>
        <v>0</v>
      </c>
      <c r="N102" s="613">
        <f t="shared" si="14"/>
        <v>1</v>
      </c>
      <c r="O102" s="662"/>
      <c r="P102" s="662"/>
      <c r="Q102" s="662">
        <v>1</v>
      </c>
      <c r="R102" s="662"/>
      <c r="S102" s="662"/>
      <c r="T102" s="662"/>
      <c r="U102" s="613">
        <f t="shared" si="15"/>
        <v>1</v>
      </c>
      <c r="W102" s="613" t="str">
        <f t="shared" si="8"/>
        <v>I</v>
      </c>
      <c r="X102" s="613" t="str">
        <f t="shared" si="9"/>
        <v>I</v>
      </c>
      <c r="Y102" s="613">
        <f t="shared" si="10"/>
        <v>2006</v>
      </c>
      <c r="Z102" s="613" t="str">
        <f t="shared" si="11"/>
        <v>I</v>
      </c>
      <c r="AA102" s="613" t="str">
        <f t="shared" si="12"/>
        <v>I</v>
      </c>
      <c r="AB102" s="613" t="str">
        <f t="shared" si="12"/>
        <v>I</v>
      </c>
      <c r="AD102" s="613"/>
      <c r="AE102" s="740"/>
      <c r="AF102" s="644"/>
      <c r="AM102" s="647"/>
      <c r="AN102" s="647"/>
      <c r="AO102" s="647"/>
      <c r="AP102" s="647"/>
      <c r="AQ102" s="647"/>
    </row>
    <row r="103" spans="1:43" x14ac:dyDescent="0.2">
      <c r="A103" s="527">
        <v>101</v>
      </c>
      <c r="C103" s="531" t="s">
        <v>1904</v>
      </c>
      <c r="D103" s="624"/>
      <c r="E103" s="624">
        <v>38975</v>
      </c>
      <c r="F103" s="846" t="s">
        <v>2694</v>
      </c>
      <c r="G103" s="624">
        <v>39169</v>
      </c>
      <c r="H103" s="530">
        <f>(G103-MAX(D103:E103))/365.25</f>
        <v>0.53114305270362761</v>
      </c>
      <c r="I103" s="531"/>
      <c r="J103" s="661">
        <v>2006</v>
      </c>
      <c r="K103" s="661">
        <v>2007</v>
      </c>
      <c r="L103" s="613" t="s">
        <v>303</v>
      </c>
      <c r="M103" s="613">
        <f t="shared" si="13"/>
        <v>0</v>
      </c>
      <c r="N103" s="613">
        <f t="shared" si="14"/>
        <v>1</v>
      </c>
      <c r="O103" s="662"/>
      <c r="P103" s="662"/>
      <c r="Q103" s="662">
        <v>1</v>
      </c>
      <c r="R103" s="662"/>
      <c r="S103" s="662"/>
      <c r="T103" s="662"/>
      <c r="U103" s="613">
        <f t="shared" si="15"/>
        <v>1</v>
      </c>
      <c r="W103" s="613" t="str">
        <f t="shared" si="8"/>
        <v>I</v>
      </c>
      <c r="X103" s="613" t="str">
        <f t="shared" si="9"/>
        <v>I</v>
      </c>
      <c r="Y103" s="613">
        <f t="shared" si="10"/>
        <v>2006</v>
      </c>
      <c r="Z103" s="613" t="str">
        <f t="shared" si="11"/>
        <v>I</v>
      </c>
      <c r="AA103" s="613" t="str">
        <f t="shared" si="12"/>
        <v>I</v>
      </c>
      <c r="AB103" s="613" t="str">
        <f t="shared" si="12"/>
        <v>I</v>
      </c>
      <c r="AD103" s="613"/>
      <c r="AE103" s="740"/>
      <c r="AF103" s="644"/>
      <c r="AM103" s="647"/>
      <c r="AN103" s="647"/>
      <c r="AO103" s="647"/>
      <c r="AP103" s="647"/>
      <c r="AQ103" s="647"/>
    </row>
    <row r="104" spans="1:43" x14ac:dyDescent="0.2">
      <c r="A104" s="527">
        <v>102</v>
      </c>
      <c r="C104" s="616" t="s">
        <v>2</v>
      </c>
      <c r="D104" s="883">
        <v>38840</v>
      </c>
      <c r="E104" s="624"/>
      <c r="F104" s="844" t="s">
        <v>2167</v>
      </c>
      <c r="G104" s="624">
        <v>39461</v>
      </c>
      <c r="H104" s="530">
        <f>(G104-MAX(D104:E104))/365.25</f>
        <v>1.700205338809035</v>
      </c>
      <c r="I104" s="616"/>
      <c r="J104" s="663">
        <v>2006</v>
      </c>
      <c r="K104" s="663">
        <v>2008</v>
      </c>
      <c r="L104" s="613" t="s">
        <v>336</v>
      </c>
      <c r="M104" s="613">
        <f t="shared" si="13"/>
        <v>1</v>
      </c>
      <c r="N104" s="613">
        <f t="shared" si="14"/>
        <v>0</v>
      </c>
      <c r="O104" s="664"/>
      <c r="P104" s="664"/>
      <c r="Q104" s="664">
        <v>1</v>
      </c>
      <c r="R104" s="664"/>
      <c r="S104" s="664"/>
      <c r="T104" s="664"/>
      <c r="U104" s="613">
        <f t="shared" si="15"/>
        <v>1</v>
      </c>
      <c r="W104" s="613" t="str">
        <f t="shared" si="8"/>
        <v>I</v>
      </c>
      <c r="X104" s="613" t="str">
        <f t="shared" si="9"/>
        <v>I</v>
      </c>
      <c r="Y104" s="613">
        <f t="shared" si="10"/>
        <v>2006</v>
      </c>
      <c r="Z104" s="613" t="str">
        <f t="shared" si="11"/>
        <v>I</v>
      </c>
      <c r="AA104" s="613" t="str">
        <f t="shared" si="12"/>
        <v>I</v>
      </c>
      <c r="AB104" s="613" t="str">
        <f t="shared" si="12"/>
        <v>I</v>
      </c>
      <c r="AD104" s="613"/>
      <c r="AE104" s="740"/>
      <c r="AF104" s="644"/>
      <c r="AM104" s="647"/>
      <c r="AN104" s="647"/>
      <c r="AO104" s="647"/>
      <c r="AP104" s="647"/>
      <c r="AQ104" s="647"/>
    </row>
    <row r="105" spans="1:43" x14ac:dyDescent="0.2">
      <c r="A105" s="527">
        <v>103</v>
      </c>
      <c r="C105" s="745" t="s">
        <v>54</v>
      </c>
      <c r="D105" s="624"/>
      <c r="E105" s="624"/>
      <c r="F105" s="844"/>
      <c r="G105" s="624"/>
      <c r="H105" s="619"/>
      <c r="I105" s="745"/>
      <c r="J105" s="663">
        <v>2004</v>
      </c>
      <c r="K105" s="663">
        <v>2008</v>
      </c>
      <c r="L105" s="613" t="s">
        <v>336</v>
      </c>
      <c r="M105" s="613">
        <f t="shared" si="13"/>
        <v>0</v>
      </c>
      <c r="N105" s="613">
        <f t="shared" si="14"/>
        <v>0</v>
      </c>
      <c r="O105" s="664"/>
      <c r="P105" s="664"/>
      <c r="Q105" s="664"/>
      <c r="R105" s="664">
        <v>1</v>
      </c>
      <c r="S105" s="664"/>
      <c r="T105" s="664"/>
      <c r="U105" s="613">
        <f t="shared" si="15"/>
        <v>1</v>
      </c>
      <c r="W105" s="613" t="str">
        <f t="shared" si="8"/>
        <v>I</v>
      </c>
      <c r="X105" s="613" t="str">
        <f t="shared" si="9"/>
        <v>I</v>
      </c>
      <c r="Y105" s="613" t="str">
        <f t="shared" si="10"/>
        <v>I</v>
      </c>
      <c r="Z105" s="613">
        <f t="shared" si="11"/>
        <v>2004</v>
      </c>
      <c r="AA105" s="613" t="str">
        <f t="shared" si="12"/>
        <v>I</v>
      </c>
      <c r="AB105" s="613" t="str">
        <f t="shared" si="12"/>
        <v>I</v>
      </c>
      <c r="AD105" s="613"/>
      <c r="AE105" s="740"/>
      <c r="AF105" s="644"/>
      <c r="AM105" s="647"/>
      <c r="AN105" s="647"/>
      <c r="AO105" s="647"/>
      <c r="AP105" s="647"/>
      <c r="AQ105" s="647"/>
    </row>
    <row r="106" spans="1:43" x14ac:dyDescent="0.2">
      <c r="A106" s="527">
        <v>104</v>
      </c>
      <c r="C106" s="745" t="s">
        <v>62</v>
      </c>
      <c r="D106" s="624"/>
      <c r="E106" s="624"/>
      <c r="F106" s="844"/>
      <c r="G106" s="624"/>
      <c r="H106" s="619"/>
      <c r="I106" s="745"/>
      <c r="J106" s="663">
        <v>2007</v>
      </c>
      <c r="K106" s="663">
        <v>2008</v>
      </c>
      <c r="L106" s="613" t="s">
        <v>336</v>
      </c>
      <c r="M106" s="613">
        <f t="shared" si="13"/>
        <v>0</v>
      </c>
      <c r="N106" s="613">
        <f t="shared" si="14"/>
        <v>0</v>
      </c>
      <c r="O106" s="664">
        <v>1</v>
      </c>
      <c r="P106" s="664"/>
      <c r="Q106" s="664"/>
      <c r="R106" s="664"/>
      <c r="S106" s="664"/>
      <c r="T106" s="664"/>
      <c r="U106" s="613">
        <f t="shared" si="15"/>
        <v>1</v>
      </c>
      <c r="W106" s="613">
        <f t="shared" si="8"/>
        <v>2007</v>
      </c>
      <c r="X106" s="613" t="str">
        <f t="shared" si="9"/>
        <v>I</v>
      </c>
      <c r="Y106" s="613" t="str">
        <f t="shared" si="10"/>
        <v>I</v>
      </c>
      <c r="Z106" s="613" t="str">
        <f t="shared" si="11"/>
        <v>I</v>
      </c>
      <c r="AA106" s="613" t="str">
        <f t="shared" si="12"/>
        <v>I</v>
      </c>
      <c r="AB106" s="613" t="str">
        <f t="shared" si="12"/>
        <v>I</v>
      </c>
      <c r="AD106" s="613"/>
      <c r="AE106" s="740"/>
      <c r="AF106" s="880"/>
      <c r="AM106" s="647"/>
      <c r="AN106" s="647"/>
      <c r="AO106" s="647"/>
      <c r="AP106" s="647"/>
      <c r="AQ106" s="647"/>
    </row>
    <row r="107" spans="1:43" x14ac:dyDescent="0.2">
      <c r="A107" s="527">
        <v>105</v>
      </c>
      <c r="C107" s="616" t="s">
        <v>1894</v>
      </c>
      <c r="D107" s="624"/>
      <c r="E107" s="624">
        <v>39036</v>
      </c>
      <c r="F107" s="846" t="s">
        <v>2694</v>
      </c>
      <c r="G107" s="624">
        <v>39699</v>
      </c>
      <c r="H107" s="530">
        <f t="shared" ref="H107:H113" si="17">(G107-MAX(D107:E107))/365.25</f>
        <v>1.8151950718685832</v>
      </c>
      <c r="I107" s="616"/>
      <c r="J107" s="663">
        <v>2006</v>
      </c>
      <c r="K107" s="663">
        <v>2008</v>
      </c>
      <c r="L107" s="613" t="s">
        <v>303</v>
      </c>
      <c r="M107" s="613">
        <f t="shared" si="13"/>
        <v>0</v>
      </c>
      <c r="N107" s="613">
        <f t="shared" si="14"/>
        <v>1</v>
      </c>
      <c r="O107" s="664"/>
      <c r="P107" s="664"/>
      <c r="Q107" s="664">
        <v>1</v>
      </c>
      <c r="R107" s="664"/>
      <c r="S107" s="664"/>
      <c r="T107" s="664"/>
      <c r="U107" s="613">
        <f t="shared" si="15"/>
        <v>1</v>
      </c>
      <c r="W107" s="613" t="str">
        <f t="shared" si="8"/>
        <v>I</v>
      </c>
      <c r="X107" s="613" t="str">
        <f t="shared" si="9"/>
        <v>I</v>
      </c>
      <c r="Y107" s="613">
        <f t="shared" si="10"/>
        <v>2006</v>
      </c>
      <c r="Z107" s="613" t="str">
        <f t="shared" si="11"/>
        <v>I</v>
      </c>
      <c r="AA107" s="613" t="str">
        <f t="shared" si="12"/>
        <v>I</v>
      </c>
      <c r="AB107" s="613" t="str">
        <f t="shared" si="12"/>
        <v>I</v>
      </c>
      <c r="AD107" s="613"/>
      <c r="AE107" s="740"/>
      <c r="AF107" s="644"/>
      <c r="AM107" s="647"/>
      <c r="AN107" s="647"/>
      <c r="AO107" s="647"/>
      <c r="AP107" s="647"/>
      <c r="AQ107" s="647"/>
    </row>
    <row r="108" spans="1:43" x14ac:dyDescent="0.2">
      <c r="A108" s="527">
        <v>106</v>
      </c>
      <c r="C108" s="616" t="s">
        <v>1900</v>
      </c>
      <c r="D108" s="624"/>
      <c r="E108" s="624">
        <v>39066</v>
      </c>
      <c r="F108" s="846" t="s">
        <v>2694</v>
      </c>
      <c r="G108" s="624">
        <v>39461</v>
      </c>
      <c r="H108" s="530">
        <f t="shared" si="17"/>
        <v>1.0814510609171799</v>
      </c>
      <c r="I108" s="616"/>
      <c r="J108" s="663">
        <v>2006</v>
      </c>
      <c r="K108" s="663">
        <v>2008</v>
      </c>
      <c r="L108" s="613" t="s">
        <v>303</v>
      </c>
      <c r="M108" s="613">
        <f t="shared" si="13"/>
        <v>0</v>
      </c>
      <c r="N108" s="613">
        <f t="shared" si="14"/>
        <v>1</v>
      </c>
      <c r="O108" s="664"/>
      <c r="P108" s="664"/>
      <c r="Q108" s="664">
        <v>1</v>
      </c>
      <c r="R108" s="664"/>
      <c r="S108" s="664"/>
      <c r="T108" s="664"/>
      <c r="U108" s="613">
        <f t="shared" si="15"/>
        <v>1</v>
      </c>
      <c r="W108" s="613" t="str">
        <f t="shared" si="8"/>
        <v>I</v>
      </c>
      <c r="X108" s="613" t="str">
        <f t="shared" si="9"/>
        <v>I</v>
      </c>
      <c r="Y108" s="613">
        <f t="shared" si="10"/>
        <v>2006</v>
      </c>
      <c r="Z108" s="613" t="str">
        <f t="shared" si="11"/>
        <v>I</v>
      </c>
      <c r="AA108" s="613" t="str">
        <f t="shared" si="12"/>
        <v>I</v>
      </c>
      <c r="AB108" s="613" t="str">
        <f t="shared" si="12"/>
        <v>I</v>
      </c>
      <c r="AD108" s="613"/>
      <c r="AE108" s="740"/>
      <c r="AF108" s="644"/>
      <c r="AM108" s="647"/>
      <c r="AN108" s="647"/>
      <c r="AO108" s="647"/>
      <c r="AP108" s="647"/>
      <c r="AQ108" s="647"/>
    </row>
    <row r="109" spans="1:43" x14ac:dyDescent="0.2">
      <c r="A109" s="527">
        <v>107</v>
      </c>
      <c r="C109" s="616" t="s">
        <v>1901</v>
      </c>
      <c r="D109" s="624"/>
      <c r="E109" s="624">
        <v>38487</v>
      </c>
      <c r="F109" s="846" t="s">
        <v>2694</v>
      </c>
      <c r="G109" s="624">
        <v>39678</v>
      </c>
      <c r="H109" s="530">
        <f t="shared" si="17"/>
        <v>3.2607802874743328</v>
      </c>
      <c r="I109" s="616"/>
      <c r="J109" s="663">
        <v>2005</v>
      </c>
      <c r="K109" s="663">
        <v>2008</v>
      </c>
      <c r="L109" s="613" t="s">
        <v>303</v>
      </c>
      <c r="M109" s="613">
        <f t="shared" si="13"/>
        <v>0</v>
      </c>
      <c r="N109" s="613">
        <f t="shared" si="14"/>
        <v>1</v>
      </c>
      <c r="O109" s="664"/>
      <c r="P109" s="664"/>
      <c r="Q109" s="664">
        <v>1</v>
      </c>
      <c r="R109" s="664"/>
      <c r="S109" s="664"/>
      <c r="T109" s="664"/>
      <c r="U109" s="613">
        <f t="shared" si="15"/>
        <v>1</v>
      </c>
      <c r="W109" s="613" t="str">
        <f t="shared" si="8"/>
        <v>I</v>
      </c>
      <c r="X109" s="613" t="str">
        <f t="shared" si="9"/>
        <v>I</v>
      </c>
      <c r="Y109" s="613">
        <f t="shared" si="10"/>
        <v>2005</v>
      </c>
      <c r="Z109" s="613" t="str">
        <f t="shared" si="11"/>
        <v>I</v>
      </c>
      <c r="AA109" s="613" t="str">
        <f t="shared" si="12"/>
        <v>I</v>
      </c>
      <c r="AB109" s="613" t="str">
        <f t="shared" si="12"/>
        <v>I</v>
      </c>
      <c r="AD109" s="613"/>
      <c r="AE109" s="740"/>
      <c r="AF109" s="644"/>
      <c r="AM109" s="647"/>
      <c r="AN109" s="647"/>
      <c r="AO109" s="647"/>
      <c r="AP109" s="647"/>
      <c r="AQ109" s="647"/>
    </row>
    <row r="110" spans="1:43" x14ac:dyDescent="0.2">
      <c r="A110" s="527">
        <v>108</v>
      </c>
      <c r="C110" s="616" t="s">
        <v>1903</v>
      </c>
      <c r="D110" s="624"/>
      <c r="E110" s="883">
        <v>38913</v>
      </c>
      <c r="F110" s="844" t="s">
        <v>2694</v>
      </c>
      <c r="G110" s="624">
        <v>39699</v>
      </c>
      <c r="H110" s="530">
        <f t="shared" si="17"/>
        <v>2.1519507186858315</v>
      </c>
      <c r="I110" s="616"/>
      <c r="J110" s="663">
        <v>2006</v>
      </c>
      <c r="K110" s="663">
        <v>2008</v>
      </c>
      <c r="L110" s="613" t="s">
        <v>303</v>
      </c>
      <c r="M110" s="613">
        <f t="shared" si="13"/>
        <v>0</v>
      </c>
      <c r="N110" s="613">
        <f t="shared" si="14"/>
        <v>1</v>
      </c>
      <c r="O110" s="664"/>
      <c r="P110" s="664"/>
      <c r="Q110" s="664">
        <v>1</v>
      </c>
      <c r="R110" s="664"/>
      <c r="S110" s="664"/>
      <c r="T110" s="664"/>
      <c r="U110" s="613">
        <f t="shared" si="15"/>
        <v>1</v>
      </c>
      <c r="W110" s="613" t="str">
        <f t="shared" si="8"/>
        <v>I</v>
      </c>
      <c r="X110" s="613" t="str">
        <f t="shared" si="9"/>
        <v>I</v>
      </c>
      <c r="Y110" s="613">
        <f t="shared" si="10"/>
        <v>2006</v>
      </c>
      <c r="Z110" s="613" t="str">
        <f t="shared" si="11"/>
        <v>I</v>
      </c>
      <c r="AA110" s="613" t="str">
        <f t="shared" si="12"/>
        <v>I</v>
      </c>
      <c r="AB110" s="613" t="str">
        <f t="shared" si="12"/>
        <v>I</v>
      </c>
      <c r="AD110" s="613"/>
      <c r="AE110" s="740"/>
      <c r="AF110" s="644"/>
      <c r="AM110" s="647"/>
      <c r="AN110" s="647"/>
      <c r="AO110" s="647"/>
      <c r="AP110" s="647"/>
      <c r="AQ110" s="647"/>
    </row>
    <row r="111" spans="1:43" x14ac:dyDescent="0.2">
      <c r="A111" s="527">
        <v>109</v>
      </c>
      <c r="C111" s="616" t="s">
        <v>1905</v>
      </c>
      <c r="D111" s="624"/>
      <c r="E111" s="624">
        <v>39097</v>
      </c>
      <c r="F111" s="846" t="s">
        <v>2694</v>
      </c>
      <c r="G111" s="624">
        <v>39461</v>
      </c>
      <c r="H111" s="530">
        <f t="shared" si="17"/>
        <v>0.99657768651608492</v>
      </c>
      <c r="I111" s="616"/>
      <c r="J111" s="663">
        <v>2007</v>
      </c>
      <c r="K111" s="663">
        <v>2008</v>
      </c>
      <c r="L111" s="613" t="s">
        <v>303</v>
      </c>
      <c r="M111" s="613">
        <f t="shared" si="13"/>
        <v>0</v>
      </c>
      <c r="N111" s="613">
        <f t="shared" si="14"/>
        <v>1</v>
      </c>
      <c r="O111" s="664"/>
      <c r="P111" s="664"/>
      <c r="Q111" s="664">
        <v>1</v>
      </c>
      <c r="R111" s="664"/>
      <c r="S111" s="664"/>
      <c r="T111" s="664"/>
      <c r="U111" s="613">
        <f t="shared" si="15"/>
        <v>1</v>
      </c>
      <c r="W111" s="613" t="str">
        <f t="shared" si="8"/>
        <v>I</v>
      </c>
      <c r="X111" s="613" t="str">
        <f t="shared" si="9"/>
        <v>I</v>
      </c>
      <c r="Y111" s="613">
        <f t="shared" si="10"/>
        <v>2007</v>
      </c>
      <c r="Z111" s="613" t="str">
        <f t="shared" si="11"/>
        <v>I</v>
      </c>
      <c r="AA111" s="613" t="str">
        <f t="shared" si="12"/>
        <v>I</v>
      </c>
      <c r="AB111" s="613" t="str">
        <f t="shared" si="12"/>
        <v>I</v>
      </c>
      <c r="AD111" s="613"/>
      <c r="AE111" s="740"/>
      <c r="AF111" s="644"/>
      <c r="AM111" s="647"/>
      <c r="AN111" s="647"/>
      <c r="AO111" s="647"/>
      <c r="AP111" s="647"/>
      <c r="AQ111" s="647"/>
    </row>
    <row r="112" spans="1:43" x14ac:dyDescent="0.2">
      <c r="A112" s="527">
        <v>110</v>
      </c>
      <c r="C112" s="745" t="s">
        <v>1906</v>
      </c>
      <c r="D112" s="624"/>
      <c r="E112" s="624">
        <v>39005</v>
      </c>
      <c r="F112" s="846" t="s">
        <v>2694</v>
      </c>
      <c r="G112" s="624">
        <v>39461</v>
      </c>
      <c r="H112" s="530">
        <f t="shared" si="17"/>
        <v>1.2484599589322383</v>
      </c>
      <c r="I112" s="745"/>
      <c r="J112" s="663">
        <v>2006</v>
      </c>
      <c r="K112" s="663">
        <v>2008</v>
      </c>
      <c r="L112" s="613" t="s">
        <v>303</v>
      </c>
      <c r="M112" s="613">
        <f t="shared" si="13"/>
        <v>0</v>
      </c>
      <c r="N112" s="613">
        <f t="shared" si="14"/>
        <v>1</v>
      </c>
      <c r="O112" s="664"/>
      <c r="P112" s="664"/>
      <c r="Q112" s="664">
        <v>1</v>
      </c>
      <c r="R112" s="664"/>
      <c r="S112" s="664"/>
      <c r="T112" s="664"/>
      <c r="U112" s="613">
        <f t="shared" si="15"/>
        <v>1</v>
      </c>
      <c r="W112" s="613" t="str">
        <f t="shared" si="8"/>
        <v>I</v>
      </c>
      <c r="X112" s="613" t="str">
        <f t="shared" si="9"/>
        <v>I</v>
      </c>
      <c r="Y112" s="613">
        <f t="shared" si="10"/>
        <v>2006</v>
      </c>
      <c r="Z112" s="613" t="str">
        <f t="shared" si="11"/>
        <v>I</v>
      </c>
      <c r="AA112" s="613" t="str">
        <f t="shared" si="12"/>
        <v>I</v>
      </c>
      <c r="AB112" s="613" t="str">
        <f t="shared" si="12"/>
        <v>I</v>
      </c>
      <c r="AD112" s="613"/>
      <c r="AE112" s="740"/>
      <c r="AF112" s="644"/>
      <c r="AM112" s="647"/>
      <c r="AN112" s="647"/>
      <c r="AO112" s="647"/>
      <c r="AP112" s="647"/>
      <c r="AQ112" s="647"/>
    </row>
    <row r="113" spans="1:43" x14ac:dyDescent="0.2">
      <c r="A113" s="527">
        <v>111</v>
      </c>
      <c r="C113" s="745" t="s">
        <v>1976</v>
      </c>
      <c r="D113" s="624"/>
      <c r="E113" s="624">
        <v>39264</v>
      </c>
      <c r="F113" s="846" t="s">
        <v>316</v>
      </c>
      <c r="G113" s="624">
        <v>39461</v>
      </c>
      <c r="H113" s="530">
        <f t="shared" si="17"/>
        <v>0.53935660506502392</v>
      </c>
      <c r="I113" s="745"/>
      <c r="J113" s="663">
        <v>2007</v>
      </c>
      <c r="K113" s="663">
        <v>2008</v>
      </c>
      <c r="L113" s="613" t="s">
        <v>303</v>
      </c>
      <c r="M113" s="613">
        <f t="shared" si="13"/>
        <v>0</v>
      </c>
      <c r="N113" s="613">
        <f t="shared" si="14"/>
        <v>1</v>
      </c>
      <c r="O113" s="664"/>
      <c r="P113" s="664"/>
      <c r="Q113" s="664">
        <v>1</v>
      </c>
      <c r="R113" s="664"/>
      <c r="S113" s="664"/>
      <c r="T113" s="664"/>
      <c r="U113" s="613">
        <f t="shared" si="15"/>
        <v>1</v>
      </c>
      <c r="W113" s="613" t="str">
        <f t="shared" si="8"/>
        <v>I</v>
      </c>
      <c r="X113" s="613" t="str">
        <f t="shared" si="9"/>
        <v>I</v>
      </c>
      <c r="Y113" s="613">
        <f t="shared" si="10"/>
        <v>2007</v>
      </c>
      <c r="Z113" s="613" t="str">
        <f t="shared" si="11"/>
        <v>I</v>
      </c>
      <c r="AA113" s="613" t="str">
        <f t="shared" si="12"/>
        <v>I</v>
      </c>
      <c r="AB113" s="613" t="str">
        <f t="shared" si="12"/>
        <v>I</v>
      </c>
      <c r="AD113" s="613"/>
      <c r="AE113" s="740"/>
      <c r="AF113" s="644"/>
      <c r="AM113" s="647"/>
      <c r="AN113" s="647"/>
      <c r="AO113" s="647"/>
      <c r="AP113" s="647"/>
      <c r="AQ113" s="647"/>
    </row>
    <row r="114" spans="1:43" x14ac:dyDescent="0.2">
      <c r="A114" s="527">
        <v>112</v>
      </c>
      <c r="C114" s="616" t="s">
        <v>1887</v>
      </c>
      <c r="D114" s="883">
        <v>38534</v>
      </c>
      <c r="F114" s="844" t="s">
        <v>316</v>
      </c>
      <c r="G114" s="624">
        <v>39448</v>
      </c>
      <c r="H114" s="530">
        <f>(G114-MAX(D114:D114))/365.25</f>
        <v>2.5023956194387407</v>
      </c>
      <c r="I114" s="616"/>
      <c r="J114" s="663">
        <v>2005</v>
      </c>
      <c r="K114" s="663">
        <v>2008</v>
      </c>
      <c r="L114" s="613" t="s">
        <v>303</v>
      </c>
      <c r="M114" s="613">
        <f t="shared" si="13"/>
        <v>0</v>
      </c>
      <c r="N114" s="613">
        <f t="shared" si="14"/>
        <v>1</v>
      </c>
      <c r="O114" s="664"/>
      <c r="P114" s="664"/>
      <c r="Q114" s="664">
        <v>1</v>
      </c>
      <c r="R114" s="664"/>
      <c r="S114" s="664"/>
      <c r="T114" s="664"/>
      <c r="U114" s="613">
        <f t="shared" si="15"/>
        <v>1</v>
      </c>
      <c r="W114" s="613" t="str">
        <f t="shared" si="8"/>
        <v>I</v>
      </c>
      <c r="X114" s="613" t="str">
        <f t="shared" si="9"/>
        <v>I</v>
      </c>
      <c r="Y114" s="613">
        <f t="shared" si="10"/>
        <v>2005</v>
      </c>
      <c r="Z114" s="613" t="str">
        <f t="shared" si="11"/>
        <v>I</v>
      </c>
      <c r="AA114" s="613" t="str">
        <f t="shared" si="12"/>
        <v>I</v>
      </c>
      <c r="AB114" s="613" t="str">
        <f t="shared" si="12"/>
        <v>I</v>
      </c>
      <c r="AD114" s="613"/>
      <c r="AE114" s="740"/>
      <c r="AF114" s="644"/>
      <c r="AM114" s="647"/>
      <c r="AN114" s="647"/>
      <c r="AO114" s="647"/>
      <c r="AP114" s="647"/>
      <c r="AQ114" s="647"/>
    </row>
    <row r="115" spans="1:43" x14ac:dyDescent="0.2">
      <c r="A115" s="527">
        <v>113</v>
      </c>
      <c r="C115" s="745" t="s">
        <v>1909</v>
      </c>
      <c r="D115" s="624"/>
      <c r="E115" s="624">
        <v>39278</v>
      </c>
      <c r="F115" s="844" t="s">
        <v>2694</v>
      </c>
      <c r="G115" s="624">
        <v>39461</v>
      </c>
      <c r="H115" s="530">
        <f t="shared" ref="H115:H124" si="18">(G115-MAX(D115:E115))/365.25</f>
        <v>0.50102669404517453</v>
      </c>
      <c r="I115" s="745"/>
      <c r="J115" s="663">
        <v>2007</v>
      </c>
      <c r="K115" s="663">
        <v>2008</v>
      </c>
      <c r="L115" s="613" t="s">
        <v>303</v>
      </c>
      <c r="M115" s="613">
        <f t="shared" si="13"/>
        <v>0</v>
      </c>
      <c r="N115" s="613">
        <f t="shared" si="14"/>
        <v>1</v>
      </c>
      <c r="O115" s="664"/>
      <c r="P115" s="664"/>
      <c r="Q115" s="664">
        <v>1</v>
      </c>
      <c r="R115" s="664"/>
      <c r="S115" s="664"/>
      <c r="T115" s="664"/>
      <c r="U115" s="613">
        <f t="shared" si="15"/>
        <v>1</v>
      </c>
      <c r="W115" s="613" t="str">
        <f t="shared" si="8"/>
        <v>I</v>
      </c>
      <c r="X115" s="613" t="str">
        <f t="shared" si="9"/>
        <v>I</v>
      </c>
      <c r="Y115" s="613">
        <f t="shared" si="10"/>
        <v>2007</v>
      </c>
      <c r="Z115" s="613" t="str">
        <f t="shared" si="11"/>
        <v>I</v>
      </c>
      <c r="AA115" s="613" t="str">
        <f t="shared" si="12"/>
        <v>I</v>
      </c>
      <c r="AB115" s="613" t="str">
        <f t="shared" si="12"/>
        <v>I</v>
      </c>
      <c r="AD115" s="613"/>
      <c r="AE115" s="740"/>
      <c r="AF115" s="644"/>
      <c r="AM115" s="647"/>
      <c r="AN115" s="647"/>
      <c r="AO115" s="647"/>
      <c r="AP115" s="647"/>
      <c r="AQ115" s="647"/>
    </row>
    <row r="116" spans="1:43" x14ac:dyDescent="0.2">
      <c r="A116" s="527">
        <v>114</v>
      </c>
      <c r="C116" s="745" t="s">
        <v>1910</v>
      </c>
      <c r="D116" s="624"/>
      <c r="E116" s="624">
        <v>39264</v>
      </c>
      <c r="F116" s="846" t="s">
        <v>316</v>
      </c>
      <c r="G116" s="624">
        <v>39461</v>
      </c>
      <c r="H116" s="530">
        <f t="shared" si="18"/>
        <v>0.53935660506502392</v>
      </c>
      <c r="I116" s="745"/>
      <c r="J116" s="663">
        <v>2007</v>
      </c>
      <c r="K116" s="663">
        <v>2008</v>
      </c>
      <c r="L116" s="613" t="s">
        <v>303</v>
      </c>
      <c r="M116" s="613">
        <f t="shared" si="13"/>
        <v>0</v>
      </c>
      <c r="N116" s="613">
        <f t="shared" si="14"/>
        <v>1</v>
      </c>
      <c r="O116" s="664"/>
      <c r="P116" s="664"/>
      <c r="Q116" s="664">
        <v>1</v>
      </c>
      <c r="R116" s="664"/>
      <c r="S116" s="664"/>
      <c r="T116" s="664"/>
      <c r="U116" s="613">
        <f t="shared" si="15"/>
        <v>1</v>
      </c>
      <c r="W116" s="613" t="str">
        <f t="shared" si="8"/>
        <v>I</v>
      </c>
      <c r="X116" s="613" t="str">
        <f t="shared" si="9"/>
        <v>I</v>
      </c>
      <c r="Y116" s="613">
        <f t="shared" si="10"/>
        <v>2007</v>
      </c>
      <c r="Z116" s="613" t="str">
        <f t="shared" si="11"/>
        <v>I</v>
      </c>
      <c r="AA116" s="613" t="str">
        <f t="shared" si="12"/>
        <v>I</v>
      </c>
      <c r="AB116" s="613" t="str">
        <f t="shared" si="12"/>
        <v>I</v>
      </c>
      <c r="AD116" s="613"/>
      <c r="AE116" s="740"/>
      <c r="AF116" s="644"/>
      <c r="AM116" s="647"/>
      <c r="AN116" s="647"/>
      <c r="AO116" s="647"/>
      <c r="AP116" s="647"/>
      <c r="AQ116" s="647"/>
    </row>
    <row r="117" spans="1:43" x14ac:dyDescent="0.2">
      <c r="A117" s="527">
        <v>115</v>
      </c>
      <c r="C117" s="745" t="s">
        <v>1911</v>
      </c>
      <c r="D117" s="624"/>
      <c r="E117" s="624">
        <v>39370</v>
      </c>
      <c r="F117" s="846" t="s">
        <v>2694</v>
      </c>
      <c r="G117" s="624">
        <v>39678</v>
      </c>
      <c r="H117" s="530">
        <f t="shared" si="18"/>
        <v>0.84325804243668723</v>
      </c>
      <c r="I117" s="745"/>
      <c r="J117" s="663">
        <v>2007</v>
      </c>
      <c r="K117" s="663">
        <v>2008</v>
      </c>
      <c r="L117" s="613" t="s">
        <v>303</v>
      </c>
      <c r="M117" s="613">
        <f t="shared" si="13"/>
        <v>0</v>
      </c>
      <c r="N117" s="613">
        <f t="shared" si="14"/>
        <v>1</v>
      </c>
      <c r="O117" s="664"/>
      <c r="P117" s="664"/>
      <c r="Q117" s="664">
        <v>1</v>
      </c>
      <c r="R117" s="664"/>
      <c r="S117" s="664"/>
      <c r="T117" s="664"/>
      <c r="U117" s="613">
        <f t="shared" si="15"/>
        <v>1</v>
      </c>
      <c r="W117" s="613" t="str">
        <f t="shared" si="8"/>
        <v>I</v>
      </c>
      <c r="X117" s="613" t="str">
        <f t="shared" si="9"/>
        <v>I</v>
      </c>
      <c r="Y117" s="613">
        <f t="shared" si="10"/>
        <v>2007</v>
      </c>
      <c r="Z117" s="613" t="str">
        <f t="shared" si="11"/>
        <v>I</v>
      </c>
      <c r="AA117" s="613" t="str">
        <f t="shared" si="12"/>
        <v>I</v>
      </c>
      <c r="AB117" s="613" t="str">
        <f t="shared" si="12"/>
        <v>I</v>
      </c>
      <c r="AD117" s="613"/>
      <c r="AE117" s="740"/>
      <c r="AF117" s="644"/>
      <c r="AM117" s="647"/>
      <c r="AN117" s="647"/>
      <c r="AO117" s="647"/>
      <c r="AP117" s="647"/>
      <c r="AQ117" s="647"/>
    </row>
    <row r="118" spans="1:43" x14ac:dyDescent="0.2">
      <c r="A118" s="527">
        <v>116</v>
      </c>
      <c r="C118" s="745" t="s">
        <v>1912</v>
      </c>
      <c r="D118" s="624"/>
      <c r="E118" s="624">
        <v>39340</v>
      </c>
      <c r="F118" s="846" t="s">
        <v>2694</v>
      </c>
      <c r="G118" s="624">
        <v>39678</v>
      </c>
      <c r="H118" s="530">
        <f t="shared" si="18"/>
        <v>0.92539356605065026</v>
      </c>
      <c r="I118" s="745"/>
      <c r="J118" s="663">
        <v>2007</v>
      </c>
      <c r="K118" s="663">
        <v>2008</v>
      </c>
      <c r="L118" s="613" t="s">
        <v>303</v>
      </c>
      <c r="M118" s="613">
        <f t="shared" si="13"/>
        <v>0</v>
      </c>
      <c r="N118" s="613">
        <f t="shared" si="14"/>
        <v>1</v>
      </c>
      <c r="O118" s="664"/>
      <c r="P118" s="664"/>
      <c r="Q118" s="664">
        <v>1</v>
      </c>
      <c r="R118" s="664"/>
      <c r="S118" s="664"/>
      <c r="T118" s="664"/>
      <c r="U118" s="613">
        <f t="shared" si="15"/>
        <v>1</v>
      </c>
      <c r="W118" s="613" t="str">
        <f t="shared" si="8"/>
        <v>I</v>
      </c>
      <c r="X118" s="613" t="str">
        <f t="shared" si="9"/>
        <v>I</v>
      </c>
      <c r="Y118" s="613">
        <f t="shared" si="10"/>
        <v>2007</v>
      </c>
      <c r="Z118" s="613" t="str">
        <f t="shared" si="11"/>
        <v>I</v>
      </c>
      <c r="AA118" s="613" t="str">
        <f t="shared" si="12"/>
        <v>I</v>
      </c>
      <c r="AB118" s="613" t="str">
        <f t="shared" si="12"/>
        <v>I</v>
      </c>
      <c r="AD118" s="613"/>
      <c r="AE118" s="740"/>
      <c r="AF118" s="644"/>
      <c r="AM118" s="647"/>
      <c r="AN118" s="647"/>
      <c r="AO118" s="647"/>
      <c r="AP118" s="647"/>
      <c r="AQ118" s="647"/>
    </row>
    <row r="119" spans="1:43" x14ac:dyDescent="0.2">
      <c r="A119" s="527">
        <v>117</v>
      </c>
      <c r="C119" s="745" t="s">
        <v>1913</v>
      </c>
      <c r="D119" s="883">
        <v>39278</v>
      </c>
      <c r="E119" s="624"/>
      <c r="F119" s="844" t="s">
        <v>2694</v>
      </c>
      <c r="G119" s="624">
        <v>39477</v>
      </c>
      <c r="H119" s="530">
        <f t="shared" si="18"/>
        <v>0.54483230663928817</v>
      </c>
      <c r="I119" s="745"/>
      <c r="J119" s="663">
        <v>2007</v>
      </c>
      <c r="K119" s="663">
        <v>2008</v>
      </c>
      <c r="L119" s="613" t="s">
        <v>336</v>
      </c>
      <c r="M119" s="613">
        <f t="shared" si="13"/>
        <v>1</v>
      </c>
      <c r="N119" s="613">
        <f t="shared" si="14"/>
        <v>0</v>
      </c>
      <c r="O119" s="664"/>
      <c r="P119" s="664"/>
      <c r="Q119" s="664">
        <v>1</v>
      </c>
      <c r="R119" s="664"/>
      <c r="S119" s="664"/>
      <c r="T119" s="664"/>
      <c r="U119" s="613">
        <f t="shared" si="15"/>
        <v>1</v>
      </c>
      <c r="W119" s="613" t="str">
        <f t="shared" si="8"/>
        <v>I</v>
      </c>
      <c r="X119" s="613" t="str">
        <f t="shared" si="9"/>
        <v>I</v>
      </c>
      <c r="Y119" s="613">
        <f t="shared" si="10"/>
        <v>2007</v>
      </c>
      <c r="Z119" s="613" t="str">
        <f t="shared" si="11"/>
        <v>I</v>
      </c>
      <c r="AA119" s="613" t="str">
        <f t="shared" si="12"/>
        <v>I</v>
      </c>
      <c r="AB119" s="613" t="str">
        <f t="shared" si="12"/>
        <v>I</v>
      </c>
      <c r="AD119" s="613"/>
      <c r="AE119" s="740"/>
      <c r="AF119" s="880"/>
      <c r="AM119" s="647"/>
      <c r="AN119" s="647"/>
      <c r="AO119" s="647"/>
      <c r="AP119" s="647"/>
      <c r="AQ119" s="647"/>
    </row>
    <row r="120" spans="1:43" x14ac:dyDescent="0.2">
      <c r="A120" s="527">
        <v>118</v>
      </c>
      <c r="C120" s="616" t="s">
        <v>1914</v>
      </c>
      <c r="D120" s="624"/>
      <c r="E120" s="624">
        <v>39264</v>
      </c>
      <c r="F120" s="846" t="s">
        <v>316</v>
      </c>
      <c r="G120" s="624">
        <v>39694</v>
      </c>
      <c r="H120" s="530">
        <f t="shared" si="18"/>
        <v>1.1772758384668036</v>
      </c>
      <c r="I120" s="616"/>
      <c r="J120" s="663">
        <v>2007</v>
      </c>
      <c r="K120" s="663">
        <v>2008</v>
      </c>
      <c r="L120" s="613" t="s">
        <v>303</v>
      </c>
      <c r="M120" s="613">
        <f t="shared" si="13"/>
        <v>0</v>
      </c>
      <c r="N120" s="613">
        <f t="shared" si="14"/>
        <v>1</v>
      </c>
      <c r="O120" s="664"/>
      <c r="P120" s="664"/>
      <c r="Q120" s="664">
        <v>1</v>
      </c>
      <c r="R120" s="664"/>
      <c r="S120" s="664"/>
      <c r="T120" s="664"/>
      <c r="U120" s="613">
        <f t="shared" si="15"/>
        <v>1</v>
      </c>
      <c r="W120" s="613" t="str">
        <f t="shared" si="8"/>
        <v>I</v>
      </c>
      <c r="X120" s="613" t="str">
        <f t="shared" si="9"/>
        <v>I</v>
      </c>
      <c r="Y120" s="613">
        <f t="shared" si="10"/>
        <v>2007</v>
      </c>
      <c r="Z120" s="613" t="str">
        <f t="shared" si="11"/>
        <v>I</v>
      </c>
      <c r="AA120" s="613" t="str">
        <f t="shared" si="12"/>
        <v>I</v>
      </c>
      <c r="AB120" s="613" t="str">
        <f t="shared" si="12"/>
        <v>I</v>
      </c>
      <c r="AD120" s="613"/>
      <c r="AE120" s="740"/>
      <c r="AF120" s="880"/>
      <c r="AM120" s="647"/>
      <c r="AN120" s="647"/>
      <c r="AO120" s="647"/>
      <c r="AP120" s="647"/>
      <c r="AQ120" s="647"/>
    </row>
    <row r="121" spans="1:43" x14ac:dyDescent="0.2">
      <c r="A121" s="527">
        <v>119</v>
      </c>
      <c r="C121" s="616" t="s">
        <v>1915</v>
      </c>
      <c r="D121" s="624">
        <v>38899</v>
      </c>
      <c r="E121" s="624"/>
      <c r="F121" s="846" t="s">
        <v>316</v>
      </c>
      <c r="G121" s="624">
        <v>39694</v>
      </c>
      <c r="H121" s="530">
        <f t="shared" si="18"/>
        <v>2.1765913757700206</v>
      </c>
      <c r="I121" s="616"/>
      <c r="J121" s="663">
        <v>2006</v>
      </c>
      <c r="K121" s="663">
        <v>2008</v>
      </c>
      <c r="L121" s="613" t="s">
        <v>336</v>
      </c>
      <c r="M121" s="613">
        <f t="shared" si="13"/>
        <v>1</v>
      </c>
      <c r="N121" s="613">
        <f t="shared" si="14"/>
        <v>0</v>
      </c>
      <c r="O121" s="664"/>
      <c r="P121" s="664"/>
      <c r="Q121" s="664">
        <v>1</v>
      </c>
      <c r="R121" s="664"/>
      <c r="S121" s="664"/>
      <c r="T121" s="664"/>
      <c r="U121" s="613">
        <f t="shared" si="15"/>
        <v>1</v>
      </c>
      <c r="W121" s="613" t="str">
        <f t="shared" si="8"/>
        <v>I</v>
      </c>
      <c r="X121" s="613" t="str">
        <f t="shared" si="9"/>
        <v>I</v>
      </c>
      <c r="Y121" s="613">
        <f t="shared" si="10"/>
        <v>2006</v>
      </c>
      <c r="Z121" s="613" t="str">
        <f t="shared" si="11"/>
        <v>I</v>
      </c>
      <c r="AA121" s="613" t="str">
        <f t="shared" si="12"/>
        <v>I</v>
      </c>
      <c r="AB121" s="613" t="str">
        <f t="shared" si="12"/>
        <v>I</v>
      </c>
      <c r="AD121" s="613"/>
      <c r="AE121" s="740"/>
      <c r="AF121" s="880"/>
      <c r="AM121" s="647"/>
      <c r="AN121" s="647"/>
      <c r="AO121" s="647"/>
      <c r="AP121" s="647"/>
      <c r="AQ121" s="647"/>
    </row>
    <row r="122" spans="1:43" x14ac:dyDescent="0.2">
      <c r="A122" s="527">
        <v>120</v>
      </c>
      <c r="C122" s="745" t="s">
        <v>1916</v>
      </c>
      <c r="D122" s="882">
        <v>39083</v>
      </c>
      <c r="E122" s="624"/>
      <c r="F122" s="846" t="s">
        <v>316</v>
      </c>
      <c r="G122" s="624">
        <v>39694</v>
      </c>
      <c r="H122" s="530">
        <f t="shared" si="18"/>
        <v>1.6728268309377139</v>
      </c>
      <c r="I122" s="745"/>
      <c r="J122" s="663">
        <v>2007</v>
      </c>
      <c r="K122" s="663">
        <v>2008</v>
      </c>
      <c r="L122" s="613" t="s">
        <v>336</v>
      </c>
      <c r="M122" s="613">
        <f t="shared" si="13"/>
        <v>1</v>
      </c>
      <c r="N122" s="613">
        <f t="shared" si="14"/>
        <v>0</v>
      </c>
      <c r="O122" s="664"/>
      <c r="P122" s="664"/>
      <c r="Q122" s="664">
        <v>1</v>
      </c>
      <c r="R122" s="664"/>
      <c r="S122" s="664"/>
      <c r="T122" s="664"/>
      <c r="U122" s="613">
        <f t="shared" si="15"/>
        <v>1</v>
      </c>
      <c r="W122" s="613" t="str">
        <f t="shared" si="8"/>
        <v>I</v>
      </c>
      <c r="X122" s="613" t="str">
        <f t="shared" si="9"/>
        <v>I</v>
      </c>
      <c r="Y122" s="613">
        <f t="shared" si="10"/>
        <v>2007</v>
      </c>
      <c r="Z122" s="613" t="str">
        <f t="shared" si="11"/>
        <v>I</v>
      </c>
      <c r="AA122" s="613" t="str">
        <f t="shared" si="12"/>
        <v>I</v>
      </c>
      <c r="AB122" s="613" t="str">
        <f t="shared" si="12"/>
        <v>I</v>
      </c>
      <c r="AD122" s="613"/>
      <c r="AE122" s="740"/>
      <c r="AF122" s="644"/>
      <c r="AM122" s="647"/>
      <c r="AN122" s="647"/>
      <c r="AO122" s="647"/>
      <c r="AP122" s="647"/>
      <c r="AQ122" s="647"/>
    </row>
    <row r="123" spans="1:43" x14ac:dyDescent="0.2">
      <c r="A123" s="527">
        <v>121</v>
      </c>
      <c r="C123" s="745" t="s">
        <v>1917</v>
      </c>
      <c r="D123" s="624"/>
      <c r="E123" s="624">
        <v>39264</v>
      </c>
      <c r="F123" s="846" t="s">
        <v>316</v>
      </c>
      <c r="G123" s="624">
        <v>39694</v>
      </c>
      <c r="H123" s="530">
        <f t="shared" si="18"/>
        <v>1.1772758384668036</v>
      </c>
      <c r="I123" s="745"/>
      <c r="J123" s="663">
        <v>2007</v>
      </c>
      <c r="K123" s="663">
        <v>2008</v>
      </c>
      <c r="L123" s="613" t="s">
        <v>303</v>
      </c>
      <c r="M123" s="613">
        <f t="shared" si="13"/>
        <v>0</v>
      </c>
      <c r="N123" s="613">
        <f t="shared" si="14"/>
        <v>1</v>
      </c>
      <c r="O123" s="664"/>
      <c r="P123" s="664"/>
      <c r="Q123" s="664">
        <v>1</v>
      </c>
      <c r="R123" s="664"/>
      <c r="S123" s="664"/>
      <c r="T123" s="664"/>
      <c r="U123" s="613">
        <f t="shared" si="15"/>
        <v>1</v>
      </c>
      <c r="W123" s="613" t="str">
        <f t="shared" si="8"/>
        <v>I</v>
      </c>
      <c r="X123" s="613" t="str">
        <f t="shared" si="9"/>
        <v>I</v>
      </c>
      <c r="Y123" s="613">
        <f t="shared" si="10"/>
        <v>2007</v>
      </c>
      <c r="Z123" s="613" t="str">
        <f t="shared" si="11"/>
        <v>I</v>
      </c>
      <c r="AA123" s="613" t="str">
        <f t="shared" si="12"/>
        <v>I</v>
      </c>
      <c r="AB123" s="613" t="str">
        <f t="shared" si="12"/>
        <v>I</v>
      </c>
      <c r="AD123" s="613"/>
      <c r="AE123" s="740"/>
      <c r="AF123" s="644"/>
      <c r="AM123" s="647"/>
      <c r="AN123" s="647"/>
      <c r="AO123" s="647"/>
      <c r="AP123" s="647"/>
      <c r="AQ123" s="647"/>
    </row>
    <row r="124" spans="1:43" x14ac:dyDescent="0.2">
      <c r="A124" s="527">
        <v>122</v>
      </c>
      <c r="C124" s="616" t="s">
        <v>1918</v>
      </c>
      <c r="D124" s="624"/>
      <c r="E124" s="624">
        <v>39644</v>
      </c>
      <c r="F124" s="846" t="s">
        <v>2694</v>
      </c>
      <c r="G124" s="624">
        <v>39805</v>
      </c>
      <c r="H124" s="530">
        <f t="shared" si="18"/>
        <v>0.44079397672826831</v>
      </c>
      <c r="I124" s="616"/>
      <c r="J124" s="663">
        <v>2008</v>
      </c>
      <c r="K124" s="663">
        <v>2008</v>
      </c>
      <c r="L124" s="613" t="s">
        <v>303</v>
      </c>
      <c r="M124" s="613">
        <f t="shared" si="13"/>
        <v>0</v>
      </c>
      <c r="N124" s="613">
        <f t="shared" si="14"/>
        <v>1</v>
      </c>
      <c r="O124" s="664"/>
      <c r="P124" s="664"/>
      <c r="Q124" s="664">
        <v>1</v>
      </c>
      <c r="R124" s="664"/>
      <c r="S124" s="664"/>
      <c r="T124" s="664"/>
      <c r="U124" s="613">
        <f t="shared" si="15"/>
        <v>1</v>
      </c>
      <c r="W124" s="613" t="str">
        <f t="shared" si="8"/>
        <v>I</v>
      </c>
      <c r="X124" s="613" t="str">
        <f t="shared" si="9"/>
        <v>I</v>
      </c>
      <c r="Y124" s="613">
        <f t="shared" si="10"/>
        <v>2008</v>
      </c>
      <c r="Z124" s="613" t="str">
        <f t="shared" si="11"/>
        <v>I</v>
      </c>
      <c r="AA124" s="613" t="str">
        <f t="shared" si="12"/>
        <v>I</v>
      </c>
      <c r="AB124" s="613" t="str">
        <f t="shared" si="12"/>
        <v>I</v>
      </c>
      <c r="AD124" s="613"/>
      <c r="AE124" s="740"/>
      <c r="AF124" s="644"/>
      <c r="AM124" s="647"/>
      <c r="AN124" s="647"/>
      <c r="AO124" s="647"/>
      <c r="AP124" s="647"/>
      <c r="AQ124" s="647"/>
    </row>
    <row r="125" spans="1:43" x14ac:dyDescent="0.2">
      <c r="A125" s="527">
        <v>123</v>
      </c>
      <c r="C125" s="745" t="s">
        <v>10</v>
      </c>
      <c r="D125" s="624"/>
      <c r="E125" s="624"/>
      <c r="F125" s="844"/>
      <c r="G125" s="624"/>
      <c r="H125" s="619"/>
      <c r="I125" s="745"/>
      <c r="J125" s="663">
        <v>2006</v>
      </c>
      <c r="K125" s="663">
        <v>2008</v>
      </c>
      <c r="L125" s="613" t="s">
        <v>336</v>
      </c>
      <c r="M125" s="613">
        <f t="shared" si="13"/>
        <v>0</v>
      </c>
      <c r="N125" s="613">
        <f t="shared" si="14"/>
        <v>0</v>
      </c>
      <c r="O125" s="664"/>
      <c r="P125" s="664"/>
      <c r="Q125" s="664"/>
      <c r="R125" s="664">
        <v>1</v>
      </c>
      <c r="S125" s="664"/>
      <c r="T125" s="664"/>
      <c r="U125" s="613">
        <f t="shared" si="15"/>
        <v>1</v>
      </c>
      <c r="W125" s="613" t="str">
        <f t="shared" si="8"/>
        <v>I</v>
      </c>
      <c r="X125" s="613" t="str">
        <f t="shared" si="9"/>
        <v>I</v>
      </c>
      <c r="Y125" s="613" t="str">
        <f t="shared" si="10"/>
        <v>I</v>
      </c>
      <c r="Z125" s="613">
        <f t="shared" si="11"/>
        <v>2006</v>
      </c>
      <c r="AA125" s="613" t="str">
        <f t="shared" si="12"/>
        <v>I</v>
      </c>
      <c r="AB125" s="613" t="str">
        <f t="shared" si="12"/>
        <v>I</v>
      </c>
      <c r="AD125" s="613"/>
      <c r="AE125" s="740"/>
      <c r="AF125" s="644"/>
      <c r="AM125" s="647"/>
      <c r="AN125" s="647"/>
      <c r="AO125" s="647"/>
      <c r="AP125" s="647"/>
      <c r="AQ125" s="647"/>
    </row>
    <row r="126" spans="1:43" x14ac:dyDescent="0.2">
      <c r="A126" s="527">
        <v>124</v>
      </c>
      <c r="C126" s="745" t="s">
        <v>53</v>
      </c>
      <c r="D126" s="624"/>
      <c r="E126" s="624"/>
      <c r="F126" s="844"/>
      <c r="G126" s="624"/>
      <c r="H126" s="619"/>
      <c r="I126" s="745"/>
      <c r="J126" s="663">
        <v>2008</v>
      </c>
      <c r="K126" s="663">
        <v>2008</v>
      </c>
      <c r="L126" s="613" t="s">
        <v>336</v>
      </c>
      <c r="M126" s="613">
        <f t="shared" si="13"/>
        <v>0</v>
      </c>
      <c r="N126" s="613">
        <f t="shared" si="14"/>
        <v>0</v>
      </c>
      <c r="O126" s="664"/>
      <c r="P126" s="664"/>
      <c r="Q126" s="664"/>
      <c r="R126" s="664">
        <v>1</v>
      </c>
      <c r="S126" s="664"/>
      <c r="T126" s="664"/>
      <c r="U126" s="613">
        <f t="shared" si="15"/>
        <v>1</v>
      </c>
      <c r="W126" s="613" t="str">
        <f t="shared" si="8"/>
        <v>I</v>
      </c>
      <c r="X126" s="613" t="str">
        <f t="shared" si="9"/>
        <v>I</v>
      </c>
      <c r="Y126" s="613" t="str">
        <f t="shared" si="10"/>
        <v>I</v>
      </c>
      <c r="Z126" s="613">
        <f t="shared" si="11"/>
        <v>2008</v>
      </c>
      <c r="AA126" s="613" t="str">
        <f t="shared" si="12"/>
        <v>I</v>
      </c>
      <c r="AB126" s="613" t="str">
        <f t="shared" si="12"/>
        <v>I</v>
      </c>
      <c r="AD126" s="613"/>
      <c r="AE126" s="740"/>
      <c r="AF126" s="644"/>
      <c r="AM126" s="647"/>
      <c r="AN126" s="647"/>
      <c r="AO126" s="647"/>
      <c r="AP126" s="647"/>
      <c r="AQ126" s="647"/>
    </row>
    <row r="127" spans="1:43" x14ac:dyDescent="0.2">
      <c r="A127" s="527">
        <v>125</v>
      </c>
      <c r="C127" s="746" t="s">
        <v>69</v>
      </c>
      <c r="D127" s="624"/>
      <c r="E127" s="624"/>
      <c r="F127" s="844"/>
      <c r="G127" s="624"/>
      <c r="H127" s="619"/>
      <c r="I127" s="746"/>
      <c r="J127" s="665">
        <v>2005</v>
      </c>
      <c r="K127" s="665">
        <v>2009</v>
      </c>
      <c r="L127" s="613" t="s">
        <v>336</v>
      </c>
      <c r="M127" s="613">
        <f t="shared" si="13"/>
        <v>0</v>
      </c>
      <c r="N127" s="613">
        <f t="shared" si="14"/>
        <v>0</v>
      </c>
      <c r="O127" s="650"/>
      <c r="P127" s="650"/>
      <c r="Q127" s="650"/>
      <c r="R127" s="650">
        <v>1</v>
      </c>
      <c r="S127" s="650"/>
      <c r="T127" s="650"/>
      <c r="U127" s="613">
        <f t="shared" si="15"/>
        <v>1</v>
      </c>
      <c r="W127" s="613" t="str">
        <f t="shared" si="8"/>
        <v>I</v>
      </c>
      <c r="X127" s="613" t="str">
        <f t="shared" si="9"/>
        <v>I</v>
      </c>
      <c r="Y127" s="613" t="str">
        <f t="shared" si="10"/>
        <v>I</v>
      </c>
      <c r="Z127" s="613">
        <f t="shared" si="11"/>
        <v>2005</v>
      </c>
      <c r="AA127" s="613" t="str">
        <f t="shared" si="12"/>
        <v>I</v>
      </c>
      <c r="AB127" s="613" t="str">
        <f t="shared" si="12"/>
        <v>I</v>
      </c>
      <c r="AD127" s="613"/>
      <c r="AE127" s="740"/>
      <c r="AF127" s="644"/>
      <c r="AM127" s="647"/>
      <c r="AN127" s="647"/>
      <c r="AO127" s="647"/>
      <c r="AP127" s="647"/>
      <c r="AQ127" s="647"/>
    </row>
    <row r="128" spans="1:43" x14ac:dyDescent="0.2">
      <c r="A128" s="527">
        <v>126</v>
      </c>
      <c r="C128" s="528" t="s">
        <v>90</v>
      </c>
      <c r="D128" s="624"/>
      <c r="E128" s="624"/>
      <c r="F128" s="844"/>
      <c r="G128" s="624"/>
      <c r="H128" s="619"/>
      <c r="I128" s="528"/>
      <c r="J128" s="665">
        <v>2001</v>
      </c>
      <c r="K128" s="665">
        <v>2009</v>
      </c>
      <c r="L128" s="613" t="s">
        <v>336</v>
      </c>
      <c r="M128" s="613">
        <f t="shared" si="13"/>
        <v>0</v>
      </c>
      <c r="N128" s="613">
        <f t="shared" si="14"/>
        <v>0</v>
      </c>
      <c r="O128" s="650"/>
      <c r="P128" s="650"/>
      <c r="Q128" s="650"/>
      <c r="R128" s="650">
        <v>1</v>
      </c>
      <c r="S128" s="650"/>
      <c r="T128" s="650"/>
      <c r="U128" s="613">
        <f t="shared" si="15"/>
        <v>1</v>
      </c>
      <c r="W128" s="613" t="str">
        <f t="shared" si="8"/>
        <v>I</v>
      </c>
      <c r="X128" s="613" t="str">
        <f t="shared" si="9"/>
        <v>I</v>
      </c>
      <c r="Y128" s="613" t="str">
        <f t="shared" si="10"/>
        <v>I</v>
      </c>
      <c r="Z128" s="613">
        <f t="shared" si="11"/>
        <v>2001</v>
      </c>
      <c r="AA128" s="613" t="str">
        <f t="shared" si="12"/>
        <v>I</v>
      </c>
      <c r="AB128" s="613" t="str">
        <f t="shared" si="12"/>
        <v>I</v>
      </c>
      <c r="AD128" s="613"/>
      <c r="AE128" s="740"/>
      <c r="AF128" s="644"/>
      <c r="AM128" s="647"/>
      <c r="AN128" s="647"/>
      <c r="AO128" s="647"/>
      <c r="AP128" s="647"/>
      <c r="AQ128" s="647"/>
    </row>
    <row r="129" spans="1:43" x14ac:dyDescent="0.2">
      <c r="A129" s="527">
        <v>127</v>
      </c>
      <c r="C129" s="746" t="s">
        <v>55</v>
      </c>
      <c r="D129" s="624"/>
      <c r="E129" s="624"/>
      <c r="F129" s="844"/>
      <c r="G129" s="624"/>
      <c r="H129" s="619"/>
      <c r="I129" s="746"/>
      <c r="J129" s="665">
        <v>2006</v>
      </c>
      <c r="K129" s="665">
        <v>2009</v>
      </c>
      <c r="L129" s="613" t="s">
        <v>336</v>
      </c>
      <c r="M129" s="613">
        <f t="shared" si="13"/>
        <v>0</v>
      </c>
      <c r="N129" s="613">
        <f t="shared" si="14"/>
        <v>0</v>
      </c>
      <c r="O129" s="650"/>
      <c r="P129" s="650"/>
      <c r="Q129" s="650"/>
      <c r="R129" s="650">
        <v>1</v>
      </c>
      <c r="S129" s="650"/>
      <c r="T129" s="650"/>
      <c r="U129" s="613">
        <f t="shared" si="15"/>
        <v>1</v>
      </c>
      <c r="W129" s="613" t="str">
        <f t="shared" si="8"/>
        <v>I</v>
      </c>
      <c r="X129" s="613" t="str">
        <f t="shared" si="9"/>
        <v>I</v>
      </c>
      <c r="Y129" s="613" t="str">
        <f t="shared" si="10"/>
        <v>I</v>
      </c>
      <c r="Z129" s="613">
        <f t="shared" si="11"/>
        <v>2006</v>
      </c>
      <c r="AA129" s="613" t="str">
        <f t="shared" si="12"/>
        <v>I</v>
      </c>
      <c r="AB129" s="613" t="str">
        <f t="shared" si="12"/>
        <v>I</v>
      </c>
      <c r="AD129" s="613"/>
      <c r="AE129" s="740"/>
      <c r="AF129" s="644"/>
      <c r="AM129" s="647"/>
      <c r="AN129" s="647"/>
      <c r="AO129" s="647"/>
      <c r="AP129" s="647"/>
      <c r="AQ129" s="647"/>
    </row>
    <row r="130" spans="1:43" x14ac:dyDescent="0.2">
      <c r="A130" s="527">
        <v>128</v>
      </c>
      <c r="C130" s="746" t="s">
        <v>1919</v>
      </c>
      <c r="D130" s="883">
        <v>39858</v>
      </c>
      <c r="E130" s="624"/>
      <c r="F130" s="844" t="s">
        <v>2694</v>
      </c>
      <c r="G130" s="624">
        <v>39919</v>
      </c>
      <c r="H130" s="530">
        <f>(G130-MAX(D130:E130))/365.25</f>
        <v>0.16700889801505817</v>
      </c>
      <c r="I130" s="746"/>
      <c r="J130" s="665">
        <v>2009</v>
      </c>
      <c r="K130" s="665">
        <v>2009</v>
      </c>
      <c r="L130" s="613" t="s">
        <v>336</v>
      </c>
      <c r="M130" s="613">
        <f t="shared" si="13"/>
        <v>1</v>
      </c>
      <c r="N130" s="613">
        <f t="shared" si="14"/>
        <v>0</v>
      </c>
      <c r="O130" s="650"/>
      <c r="P130" s="650"/>
      <c r="Q130" s="650">
        <v>1</v>
      </c>
      <c r="R130" s="650"/>
      <c r="S130" s="650"/>
      <c r="T130" s="650"/>
      <c r="U130" s="613">
        <f t="shared" si="15"/>
        <v>1</v>
      </c>
      <c r="W130" s="613" t="str">
        <f t="shared" si="8"/>
        <v>I</v>
      </c>
      <c r="X130" s="613" t="str">
        <f t="shared" si="9"/>
        <v>I</v>
      </c>
      <c r="Y130" s="613">
        <f t="shared" si="10"/>
        <v>2009</v>
      </c>
      <c r="Z130" s="613" t="str">
        <f t="shared" si="11"/>
        <v>I</v>
      </c>
      <c r="AA130" s="613" t="str">
        <f t="shared" si="12"/>
        <v>I</v>
      </c>
      <c r="AB130" s="613" t="str">
        <f t="shared" si="12"/>
        <v>I</v>
      </c>
      <c r="AD130" s="613"/>
      <c r="AE130" s="740"/>
      <c r="AF130" s="644"/>
      <c r="AM130" s="647"/>
      <c r="AN130" s="647"/>
      <c r="AO130" s="647"/>
      <c r="AP130" s="647"/>
      <c r="AQ130" s="647"/>
    </row>
    <row r="131" spans="1:43" x14ac:dyDescent="0.2">
      <c r="A131" s="527">
        <v>129</v>
      </c>
      <c r="C131" s="746" t="s">
        <v>52</v>
      </c>
      <c r="D131" s="624"/>
      <c r="E131" s="624"/>
      <c r="F131" s="844"/>
      <c r="G131" s="624"/>
      <c r="H131" s="619"/>
      <c r="I131" s="746"/>
      <c r="J131" s="665">
        <v>2008</v>
      </c>
      <c r="K131" s="665">
        <v>2009</v>
      </c>
      <c r="L131" s="613" t="s">
        <v>336</v>
      </c>
      <c r="M131" s="613">
        <f t="shared" si="13"/>
        <v>0</v>
      </c>
      <c r="N131" s="613">
        <f t="shared" si="14"/>
        <v>0</v>
      </c>
      <c r="O131" s="650"/>
      <c r="P131" s="650"/>
      <c r="Q131" s="650"/>
      <c r="R131" s="650">
        <v>1</v>
      </c>
      <c r="S131" s="650"/>
      <c r="T131" s="650"/>
      <c r="U131" s="613">
        <f t="shared" si="15"/>
        <v>1</v>
      </c>
      <c r="W131" s="613" t="str">
        <f t="shared" ref="W131:W194" si="19">IF(O131=1,$J131,"I")</f>
        <v>I</v>
      </c>
      <c r="X131" s="613" t="str">
        <f t="shared" ref="X131:X194" si="20">IF(P131=1,$J131,"I")</f>
        <v>I</v>
      </c>
      <c r="Y131" s="613" t="str">
        <f t="shared" ref="Y131:Y194" si="21">IF(Q131=1,$J131,"I")</f>
        <v>I</v>
      </c>
      <c r="Z131" s="613">
        <f t="shared" ref="Z131:Z194" si="22">IF(R131=1,$J131,"I")</f>
        <v>2008</v>
      </c>
      <c r="AA131" s="613" t="str">
        <f t="shared" ref="AA131:AB194" si="23">IF(S131=1,$J131,"I")</f>
        <v>I</v>
      </c>
      <c r="AB131" s="613" t="str">
        <f t="shared" si="23"/>
        <v>I</v>
      </c>
      <c r="AD131" s="613"/>
      <c r="AE131" s="740"/>
      <c r="AF131" s="644"/>
      <c r="AM131" s="647"/>
      <c r="AN131" s="647"/>
      <c r="AO131" s="647"/>
      <c r="AP131" s="647"/>
      <c r="AQ131" s="647"/>
    </row>
    <row r="132" spans="1:43" x14ac:dyDescent="0.2">
      <c r="A132" s="527">
        <v>130</v>
      </c>
      <c r="C132" s="744" t="s">
        <v>242</v>
      </c>
      <c r="D132" s="624"/>
      <c r="E132" s="624"/>
      <c r="F132" s="844"/>
      <c r="G132" s="624"/>
      <c r="H132" s="619"/>
      <c r="I132" s="744"/>
      <c r="J132" s="661">
        <v>2009</v>
      </c>
      <c r="K132" s="661">
        <v>2010</v>
      </c>
      <c r="L132" s="613" t="s">
        <v>336</v>
      </c>
      <c r="M132" s="613">
        <f t="shared" ref="M132:M195" si="24">IF(AND(L132="F",Q132=1),1,0)</f>
        <v>0</v>
      </c>
      <c r="N132" s="613">
        <f t="shared" ref="N132:N195" si="25">IF(AND(L132="P",Q132=1),1,0)</f>
        <v>0</v>
      </c>
      <c r="O132" s="662">
        <v>1</v>
      </c>
      <c r="P132" s="662"/>
      <c r="Q132" s="662"/>
      <c r="R132" s="662"/>
      <c r="S132" s="662"/>
      <c r="T132" s="662"/>
      <c r="U132" s="613">
        <f t="shared" ref="U132:U195" si="26">SUM(O132:T132)</f>
        <v>1</v>
      </c>
      <c r="W132" s="613">
        <f t="shared" si="19"/>
        <v>2009</v>
      </c>
      <c r="X132" s="613" t="str">
        <f t="shared" si="20"/>
        <v>I</v>
      </c>
      <c r="Y132" s="613" t="str">
        <f t="shared" si="21"/>
        <v>I</v>
      </c>
      <c r="Z132" s="613" t="str">
        <f t="shared" si="22"/>
        <v>I</v>
      </c>
      <c r="AA132" s="613" t="str">
        <f t="shared" si="23"/>
        <v>I</v>
      </c>
      <c r="AB132" s="613" t="str">
        <f t="shared" si="23"/>
        <v>I</v>
      </c>
      <c r="AD132" s="613"/>
      <c r="AE132" s="740"/>
      <c r="AF132" s="644"/>
      <c r="AM132" s="647"/>
      <c r="AN132" s="647"/>
      <c r="AO132" s="647"/>
      <c r="AP132" s="647"/>
      <c r="AQ132" s="647"/>
    </row>
    <row r="133" spans="1:43" x14ac:dyDescent="0.2">
      <c r="A133" s="527">
        <v>131</v>
      </c>
      <c r="C133" s="744" t="s">
        <v>243</v>
      </c>
      <c r="D133" s="624"/>
      <c r="E133" s="624"/>
      <c r="F133" s="844"/>
      <c r="G133" s="624"/>
      <c r="H133" s="619"/>
      <c r="I133" s="744"/>
      <c r="J133" s="661">
        <v>2009</v>
      </c>
      <c r="K133" s="661">
        <v>2010</v>
      </c>
      <c r="L133" s="613" t="s">
        <v>336</v>
      </c>
      <c r="M133" s="613">
        <f t="shared" si="24"/>
        <v>0</v>
      </c>
      <c r="N133" s="613">
        <f t="shared" si="25"/>
        <v>0</v>
      </c>
      <c r="O133" s="662">
        <v>1</v>
      </c>
      <c r="P133" s="662"/>
      <c r="Q133" s="662"/>
      <c r="R133" s="662"/>
      <c r="S133" s="662"/>
      <c r="T133" s="662"/>
      <c r="U133" s="613">
        <f t="shared" si="26"/>
        <v>1</v>
      </c>
      <c r="W133" s="613">
        <f t="shared" si="19"/>
        <v>2009</v>
      </c>
      <c r="X133" s="613" t="str">
        <f t="shared" si="20"/>
        <v>I</v>
      </c>
      <c r="Y133" s="613" t="str">
        <f t="shared" si="21"/>
        <v>I</v>
      </c>
      <c r="Z133" s="613" t="str">
        <f t="shared" si="22"/>
        <v>I</v>
      </c>
      <c r="AA133" s="613" t="str">
        <f t="shared" si="23"/>
        <v>I</v>
      </c>
      <c r="AB133" s="613" t="str">
        <f t="shared" si="23"/>
        <v>I</v>
      </c>
      <c r="AD133" s="613"/>
      <c r="AE133" s="740"/>
      <c r="AF133" s="644"/>
      <c r="AM133" s="647"/>
      <c r="AN133" s="647"/>
      <c r="AO133" s="647"/>
      <c r="AP133" s="647"/>
      <c r="AQ133" s="647"/>
    </row>
    <row r="134" spans="1:43" x14ac:dyDescent="0.2">
      <c r="A134" s="527">
        <v>132</v>
      </c>
      <c r="C134" s="531" t="s">
        <v>244</v>
      </c>
      <c r="D134" s="624"/>
      <c r="E134" s="624"/>
      <c r="F134" s="844"/>
      <c r="G134" s="624"/>
      <c r="H134" s="619"/>
      <c r="I134" s="531"/>
      <c r="J134" s="661">
        <v>2009</v>
      </c>
      <c r="K134" s="661">
        <v>2010</v>
      </c>
      <c r="L134" s="613" t="s">
        <v>336</v>
      </c>
      <c r="M134" s="613">
        <f t="shared" si="24"/>
        <v>0</v>
      </c>
      <c r="N134" s="613">
        <f t="shared" si="25"/>
        <v>0</v>
      </c>
      <c r="O134" s="662">
        <v>1</v>
      </c>
      <c r="P134" s="662"/>
      <c r="Q134" s="662"/>
      <c r="R134" s="662"/>
      <c r="S134" s="662"/>
      <c r="T134" s="662"/>
      <c r="U134" s="613">
        <f t="shared" si="26"/>
        <v>1</v>
      </c>
      <c r="W134" s="613">
        <f t="shared" si="19"/>
        <v>2009</v>
      </c>
      <c r="X134" s="613" t="str">
        <f t="shared" si="20"/>
        <v>I</v>
      </c>
      <c r="Y134" s="613" t="str">
        <f t="shared" si="21"/>
        <v>I</v>
      </c>
      <c r="Z134" s="613" t="str">
        <f t="shared" si="22"/>
        <v>I</v>
      </c>
      <c r="AA134" s="613" t="str">
        <f t="shared" si="23"/>
        <v>I</v>
      </c>
      <c r="AB134" s="613" t="str">
        <f t="shared" si="23"/>
        <v>I</v>
      </c>
      <c r="AD134" s="613"/>
      <c r="AE134" s="740"/>
      <c r="AF134" s="644"/>
      <c r="AM134" s="647"/>
      <c r="AN134" s="647"/>
      <c r="AO134" s="647"/>
      <c r="AP134" s="647"/>
      <c r="AQ134" s="647"/>
    </row>
    <row r="135" spans="1:43" x14ac:dyDescent="0.2">
      <c r="A135" s="527">
        <v>133</v>
      </c>
      <c r="C135" s="531" t="s">
        <v>247</v>
      </c>
      <c r="D135" s="624"/>
      <c r="E135" s="624"/>
      <c r="F135" s="844"/>
      <c r="G135" s="624"/>
      <c r="H135" s="619"/>
      <c r="I135" s="531"/>
      <c r="J135" s="661">
        <v>2009</v>
      </c>
      <c r="K135" s="661">
        <v>2010</v>
      </c>
      <c r="L135" s="613" t="s">
        <v>336</v>
      </c>
      <c r="M135" s="613">
        <f t="shared" si="24"/>
        <v>0</v>
      </c>
      <c r="N135" s="613">
        <f t="shared" si="25"/>
        <v>0</v>
      </c>
      <c r="O135" s="662">
        <v>1</v>
      </c>
      <c r="P135" s="662"/>
      <c r="Q135" s="662"/>
      <c r="R135" s="662"/>
      <c r="S135" s="662"/>
      <c r="T135" s="662"/>
      <c r="U135" s="613">
        <f t="shared" si="26"/>
        <v>1</v>
      </c>
      <c r="W135" s="613">
        <f t="shared" si="19"/>
        <v>2009</v>
      </c>
      <c r="X135" s="613" t="str">
        <f t="shared" si="20"/>
        <v>I</v>
      </c>
      <c r="Y135" s="613" t="str">
        <f t="shared" si="21"/>
        <v>I</v>
      </c>
      <c r="Z135" s="613" t="str">
        <f t="shared" si="22"/>
        <v>I</v>
      </c>
      <c r="AA135" s="613" t="str">
        <f t="shared" si="23"/>
        <v>I</v>
      </c>
      <c r="AB135" s="613" t="str">
        <f t="shared" si="23"/>
        <v>I</v>
      </c>
      <c r="AD135" s="613"/>
      <c r="AE135" s="740"/>
      <c r="AF135" s="644"/>
      <c r="AM135" s="647"/>
      <c r="AN135" s="647"/>
      <c r="AO135" s="647"/>
      <c r="AP135" s="647"/>
      <c r="AQ135" s="647"/>
    </row>
    <row r="136" spans="1:43" x14ac:dyDescent="0.2">
      <c r="A136" s="527">
        <v>134</v>
      </c>
      <c r="C136" s="744" t="s">
        <v>127</v>
      </c>
      <c r="D136" s="624"/>
      <c r="E136" s="624"/>
      <c r="F136" s="844"/>
      <c r="G136" s="624"/>
      <c r="H136" s="619"/>
      <c r="I136" s="744"/>
      <c r="J136" s="661">
        <v>2008</v>
      </c>
      <c r="K136" s="661">
        <v>2010</v>
      </c>
      <c r="L136" s="613" t="s">
        <v>336</v>
      </c>
      <c r="M136" s="613">
        <f t="shared" si="24"/>
        <v>0</v>
      </c>
      <c r="N136" s="613">
        <f t="shared" si="25"/>
        <v>0</v>
      </c>
      <c r="O136" s="662"/>
      <c r="P136" s="662"/>
      <c r="Q136" s="662"/>
      <c r="R136" s="662">
        <v>1</v>
      </c>
      <c r="S136" s="662"/>
      <c r="T136" s="662"/>
      <c r="U136" s="613">
        <f t="shared" si="26"/>
        <v>1</v>
      </c>
      <c r="W136" s="613" t="str">
        <f t="shared" si="19"/>
        <v>I</v>
      </c>
      <c r="X136" s="613" t="str">
        <f t="shared" si="20"/>
        <v>I</v>
      </c>
      <c r="Y136" s="613" t="str">
        <f t="shared" si="21"/>
        <v>I</v>
      </c>
      <c r="Z136" s="613">
        <f t="shared" si="22"/>
        <v>2008</v>
      </c>
      <c r="AA136" s="613" t="str">
        <f t="shared" si="23"/>
        <v>I</v>
      </c>
      <c r="AB136" s="613" t="str">
        <f t="shared" si="23"/>
        <v>I</v>
      </c>
      <c r="AD136" s="613"/>
      <c r="AE136" s="740"/>
      <c r="AF136" s="644"/>
      <c r="AM136" s="647"/>
      <c r="AN136" s="647"/>
      <c r="AO136" s="647"/>
      <c r="AP136" s="647"/>
      <c r="AQ136" s="647"/>
    </row>
    <row r="137" spans="1:43" x14ac:dyDescent="0.2">
      <c r="A137" s="527">
        <v>135</v>
      </c>
      <c r="C137" s="666" t="s">
        <v>1921</v>
      </c>
      <c r="D137" s="624"/>
      <c r="E137" s="624">
        <v>40360</v>
      </c>
      <c r="F137" s="846" t="s">
        <v>316</v>
      </c>
      <c r="G137" s="624">
        <v>40661</v>
      </c>
      <c r="H137" s="530">
        <f t="shared" ref="H137:H151" si="27">(G137-MAX(D137:E137))/365.25</f>
        <v>0.82409308692676253</v>
      </c>
      <c r="I137" s="666"/>
      <c r="J137" s="667">
        <v>2010</v>
      </c>
      <c r="K137" s="667">
        <v>2011</v>
      </c>
      <c r="L137" s="613" t="s">
        <v>303</v>
      </c>
      <c r="M137" s="613">
        <f t="shared" si="24"/>
        <v>0</v>
      </c>
      <c r="N137" s="613">
        <f t="shared" si="25"/>
        <v>1</v>
      </c>
      <c r="O137" s="668"/>
      <c r="P137" s="668"/>
      <c r="Q137" s="668">
        <v>1</v>
      </c>
      <c r="R137" s="668"/>
      <c r="S137" s="668"/>
      <c r="T137" s="668"/>
      <c r="U137" s="613">
        <f t="shared" si="26"/>
        <v>1</v>
      </c>
      <c r="W137" s="613" t="str">
        <f t="shared" si="19"/>
        <v>I</v>
      </c>
      <c r="X137" s="613" t="str">
        <f t="shared" si="20"/>
        <v>I</v>
      </c>
      <c r="Y137" s="613">
        <f t="shared" si="21"/>
        <v>2010</v>
      </c>
      <c r="Z137" s="613" t="str">
        <f t="shared" si="22"/>
        <v>I</v>
      </c>
      <c r="AA137" s="613" t="str">
        <f t="shared" si="23"/>
        <v>I</v>
      </c>
      <c r="AB137" s="613" t="str">
        <f t="shared" si="23"/>
        <v>I</v>
      </c>
      <c r="AD137" s="613"/>
      <c r="AE137" s="740"/>
      <c r="AF137" s="644"/>
      <c r="AM137" s="647"/>
      <c r="AN137" s="647"/>
      <c r="AO137" s="647"/>
      <c r="AP137" s="647"/>
      <c r="AQ137" s="647"/>
    </row>
    <row r="138" spans="1:43" x14ac:dyDescent="0.2">
      <c r="A138" s="527">
        <v>136</v>
      </c>
      <c r="C138" s="666" t="s">
        <v>1922</v>
      </c>
      <c r="D138" s="624">
        <v>39995</v>
      </c>
      <c r="E138" s="624"/>
      <c r="F138" s="846" t="s">
        <v>2694</v>
      </c>
      <c r="G138" s="624">
        <v>40648</v>
      </c>
      <c r="H138" s="530">
        <f t="shared" si="27"/>
        <v>1.7878165639972621</v>
      </c>
      <c r="I138" s="666"/>
      <c r="J138" s="667">
        <v>2010</v>
      </c>
      <c r="K138" s="667">
        <v>2011</v>
      </c>
      <c r="L138" s="613" t="s">
        <v>336</v>
      </c>
      <c r="M138" s="613">
        <f t="shared" si="24"/>
        <v>1</v>
      </c>
      <c r="N138" s="613">
        <f t="shared" si="25"/>
        <v>0</v>
      </c>
      <c r="O138" s="668"/>
      <c r="P138" s="668"/>
      <c r="Q138" s="668">
        <v>1</v>
      </c>
      <c r="R138" s="668"/>
      <c r="S138" s="668"/>
      <c r="T138" s="668"/>
      <c r="U138" s="613">
        <f t="shared" si="26"/>
        <v>1</v>
      </c>
      <c r="W138" s="613" t="str">
        <f t="shared" si="19"/>
        <v>I</v>
      </c>
      <c r="X138" s="613" t="str">
        <f t="shared" si="20"/>
        <v>I</v>
      </c>
      <c r="Y138" s="613">
        <f t="shared" si="21"/>
        <v>2010</v>
      </c>
      <c r="Z138" s="613" t="str">
        <f t="shared" si="22"/>
        <v>I</v>
      </c>
      <c r="AA138" s="613" t="str">
        <f t="shared" si="23"/>
        <v>I</v>
      </c>
      <c r="AB138" s="613" t="str">
        <f t="shared" si="23"/>
        <v>I</v>
      </c>
      <c r="AD138" s="613"/>
      <c r="AE138" s="740"/>
      <c r="AF138" s="644"/>
      <c r="AM138" s="647"/>
      <c r="AN138" s="647"/>
      <c r="AO138" s="647"/>
      <c r="AP138" s="647"/>
      <c r="AQ138" s="647"/>
    </row>
    <row r="139" spans="1:43" x14ac:dyDescent="0.2">
      <c r="A139" s="527">
        <v>137</v>
      </c>
      <c r="C139" s="666" t="s">
        <v>1923</v>
      </c>
      <c r="D139" s="883">
        <v>39979</v>
      </c>
      <c r="E139" s="624"/>
      <c r="F139" s="844" t="s">
        <v>2694</v>
      </c>
      <c r="G139" s="624">
        <v>40648</v>
      </c>
      <c r="H139" s="530">
        <f t="shared" si="27"/>
        <v>1.8316221765913758</v>
      </c>
      <c r="I139" s="666"/>
      <c r="J139" s="667">
        <v>2009</v>
      </c>
      <c r="K139" s="667">
        <v>2011</v>
      </c>
      <c r="L139" s="613" t="s">
        <v>336</v>
      </c>
      <c r="M139" s="613">
        <f t="shared" si="24"/>
        <v>1</v>
      </c>
      <c r="N139" s="613">
        <f t="shared" si="25"/>
        <v>0</v>
      </c>
      <c r="O139" s="668"/>
      <c r="P139" s="668"/>
      <c r="Q139" s="668">
        <v>1</v>
      </c>
      <c r="R139" s="668"/>
      <c r="S139" s="668"/>
      <c r="T139" s="668"/>
      <c r="U139" s="613">
        <f t="shared" si="26"/>
        <v>1</v>
      </c>
      <c r="W139" s="613" t="str">
        <f t="shared" si="19"/>
        <v>I</v>
      </c>
      <c r="X139" s="613" t="str">
        <f t="shared" si="20"/>
        <v>I</v>
      </c>
      <c r="Y139" s="613">
        <f t="shared" si="21"/>
        <v>2009</v>
      </c>
      <c r="Z139" s="613" t="str">
        <f t="shared" si="22"/>
        <v>I</v>
      </c>
      <c r="AA139" s="613" t="str">
        <f t="shared" si="23"/>
        <v>I</v>
      </c>
      <c r="AB139" s="613" t="str">
        <f t="shared" si="23"/>
        <v>I</v>
      </c>
      <c r="AD139" s="613"/>
      <c r="AE139" s="740"/>
      <c r="AF139" s="644"/>
      <c r="AM139" s="647"/>
      <c r="AN139" s="647"/>
      <c r="AO139" s="647"/>
      <c r="AP139" s="647"/>
      <c r="AQ139" s="647"/>
    </row>
    <row r="140" spans="1:43" x14ac:dyDescent="0.2">
      <c r="A140" s="527">
        <v>138</v>
      </c>
      <c r="C140" s="666" t="s">
        <v>1924</v>
      </c>
      <c r="D140" s="624">
        <v>39995</v>
      </c>
      <c r="E140" s="734"/>
      <c r="F140" s="844" t="s">
        <v>316</v>
      </c>
      <c r="G140" s="624">
        <v>40648</v>
      </c>
      <c r="H140" s="530">
        <f t="shared" si="27"/>
        <v>1.7878165639972621</v>
      </c>
      <c r="I140" s="666"/>
      <c r="J140" s="667">
        <v>2009</v>
      </c>
      <c r="K140" s="667">
        <v>2011</v>
      </c>
      <c r="L140" s="613" t="s">
        <v>336</v>
      </c>
      <c r="M140" s="613">
        <f t="shared" si="24"/>
        <v>1</v>
      </c>
      <c r="N140" s="613">
        <f t="shared" si="25"/>
        <v>0</v>
      </c>
      <c r="O140" s="668"/>
      <c r="P140" s="668"/>
      <c r="Q140" s="668">
        <v>1</v>
      </c>
      <c r="R140" s="668"/>
      <c r="S140" s="668"/>
      <c r="T140" s="668"/>
      <c r="U140" s="613">
        <f t="shared" si="26"/>
        <v>1</v>
      </c>
      <c r="W140" s="613" t="str">
        <f t="shared" si="19"/>
        <v>I</v>
      </c>
      <c r="X140" s="613" t="str">
        <f t="shared" si="20"/>
        <v>I</v>
      </c>
      <c r="Y140" s="613">
        <f t="shared" si="21"/>
        <v>2009</v>
      </c>
      <c r="Z140" s="613" t="str">
        <f t="shared" si="22"/>
        <v>I</v>
      </c>
      <c r="AA140" s="613" t="str">
        <f t="shared" si="23"/>
        <v>I</v>
      </c>
      <c r="AB140" s="613" t="str">
        <f t="shared" si="23"/>
        <v>I</v>
      </c>
      <c r="AD140" s="613"/>
      <c r="AE140" s="740"/>
      <c r="AF140" s="644"/>
      <c r="AM140" s="647"/>
      <c r="AN140" s="647"/>
      <c r="AO140" s="647"/>
      <c r="AP140" s="647"/>
      <c r="AQ140" s="647"/>
    </row>
    <row r="141" spans="1:43" x14ac:dyDescent="0.2">
      <c r="A141" s="527">
        <v>139</v>
      </c>
      <c r="C141" s="747" t="s">
        <v>1925</v>
      </c>
      <c r="D141" s="883">
        <v>40405</v>
      </c>
      <c r="E141" s="624"/>
      <c r="F141" s="844" t="s">
        <v>2694</v>
      </c>
      <c r="G141" s="624">
        <v>40648</v>
      </c>
      <c r="H141" s="530">
        <f t="shared" si="27"/>
        <v>0.6652977412731006</v>
      </c>
      <c r="I141" s="747"/>
      <c r="J141" s="667">
        <v>2010</v>
      </c>
      <c r="K141" s="667">
        <v>2011</v>
      </c>
      <c r="L141" s="613" t="s">
        <v>336</v>
      </c>
      <c r="M141" s="613">
        <f t="shared" si="24"/>
        <v>1</v>
      </c>
      <c r="N141" s="613">
        <f t="shared" si="25"/>
        <v>0</v>
      </c>
      <c r="O141" s="668"/>
      <c r="P141" s="668"/>
      <c r="Q141" s="668">
        <v>1</v>
      </c>
      <c r="R141" s="668"/>
      <c r="S141" s="668"/>
      <c r="T141" s="668"/>
      <c r="U141" s="613">
        <f t="shared" si="26"/>
        <v>1</v>
      </c>
      <c r="W141" s="613" t="str">
        <f t="shared" si="19"/>
        <v>I</v>
      </c>
      <c r="X141" s="613" t="str">
        <f t="shared" si="20"/>
        <v>I</v>
      </c>
      <c r="Y141" s="613">
        <f t="shared" si="21"/>
        <v>2010</v>
      </c>
      <c r="Z141" s="613" t="str">
        <f t="shared" si="22"/>
        <v>I</v>
      </c>
      <c r="AA141" s="613" t="str">
        <f t="shared" si="23"/>
        <v>I</v>
      </c>
      <c r="AB141" s="613" t="str">
        <f t="shared" si="23"/>
        <v>I</v>
      </c>
      <c r="AD141" s="613"/>
      <c r="AE141" s="740"/>
      <c r="AF141" s="644"/>
      <c r="AM141" s="647"/>
      <c r="AN141" s="647"/>
      <c r="AO141" s="647"/>
      <c r="AP141" s="647"/>
      <c r="AQ141" s="647"/>
    </row>
    <row r="142" spans="1:43" x14ac:dyDescent="0.2">
      <c r="A142" s="527">
        <v>140</v>
      </c>
      <c r="C142" s="666" t="s">
        <v>1926</v>
      </c>
      <c r="D142" s="624"/>
      <c r="E142" s="624">
        <v>40360</v>
      </c>
      <c r="F142" s="846" t="s">
        <v>316</v>
      </c>
      <c r="G142" s="624">
        <v>40661</v>
      </c>
      <c r="H142" s="530">
        <f t="shared" si="27"/>
        <v>0.82409308692676253</v>
      </c>
      <c r="I142" s="666"/>
      <c r="J142" s="667">
        <v>2010</v>
      </c>
      <c r="K142" s="667">
        <v>2011</v>
      </c>
      <c r="L142" s="613" t="s">
        <v>303</v>
      </c>
      <c r="M142" s="613">
        <f t="shared" si="24"/>
        <v>0</v>
      </c>
      <c r="N142" s="613">
        <f t="shared" si="25"/>
        <v>1</v>
      </c>
      <c r="O142" s="668"/>
      <c r="P142" s="668"/>
      <c r="Q142" s="668">
        <v>1</v>
      </c>
      <c r="R142" s="668"/>
      <c r="S142" s="668"/>
      <c r="T142" s="668"/>
      <c r="U142" s="613">
        <f t="shared" si="26"/>
        <v>1</v>
      </c>
      <c r="W142" s="613" t="str">
        <f t="shared" si="19"/>
        <v>I</v>
      </c>
      <c r="X142" s="613" t="str">
        <f t="shared" si="20"/>
        <v>I</v>
      </c>
      <c r="Y142" s="613">
        <f t="shared" si="21"/>
        <v>2010</v>
      </c>
      <c r="Z142" s="613" t="str">
        <f t="shared" si="22"/>
        <v>I</v>
      </c>
      <c r="AA142" s="613" t="str">
        <f t="shared" si="23"/>
        <v>I</v>
      </c>
      <c r="AB142" s="613" t="str">
        <f t="shared" si="23"/>
        <v>I</v>
      </c>
      <c r="AD142" s="613"/>
      <c r="AE142" s="740"/>
      <c r="AF142" s="644"/>
      <c r="AM142" s="647"/>
      <c r="AN142" s="647"/>
      <c r="AO142" s="647"/>
      <c r="AP142" s="647"/>
      <c r="AQ142" s="647"/>
    </row>
    <row r="143" spans="1:43" x14ac:dyDescent="0.2">
      <c r="A143" s="527">
        <v>141</v>
      </c>
      <c r="C143" s="666" t="s">
        <v>1927</v>
      </c>
      <c r="D143" s="624"/>
      <c r="E143" s="624">
        <v>40360</v>
      </c>
      <c r="F143" s="846" t="s">
        <v>316</v>
      </c>
      <c r="G143" s="624">
        <v>40661</v>
      </c>
      <c r="H143" s="530">
        <f t="shared" si="27"/>
        <v>0.82409308692676253</v>
      </c>
      <c r="I143" s="666"/>
      <c r="J143" s="667">
        <v>2010</v>
      </c>
      <c r="K143" s="667">
        <v>2011</v>
      </c>
      <c r="L143" s="613" t="s">
        <v>303</v>
      </c>
      <c r="M143" s="613">
        <f t="shared" si="24"/>
        <v>0</v>
      </c>
      <c r="N143" s="613">
        <f t="shared" si="25"/>
        <v>1</v>
      </c>
      <c r="O143" s="668"/>
      <c r="P143" s="668"/>
      <c r="Q143" s="668">
        <v>1</v>
      </c>
      <c r="R143" s="668"/>
      <c r="S143" s="668"/>
      <c r="T143" s="668"/>
      <c r="U143" s="613">
        <f t="shared" si="26"/>
        <v>1</v>
      </c>
      <c r="W143" s="613" t="str">
        <f t="shared" si="19"/>
        <v>I</v>
      </c>
      <c r="X143" s="613" t="str">
        <f t="shared" si="20"/>
        <v>I</v>
      </c>
      <c r="Y143" s="613">
        <f t="shared" si="21"/>
        <v>2010</v>
      </c>
      <c r="Z143" s="613" t="str">
        <f t="shared" si="22"/>
        <v>I</v>
      </c>
      <c r="AA143" s="613" t="str">
        <f t="shared" si="23"/>
        <v>I</v>
      </c>
      <c r="AB143" s="613" t="str">
        <f t="shared" si="23"/>
        <v>I</v>
      </c>
      <c r="AD143" s="613"/>
      <c r="AE143" s="740"/>
      <c r="AF143" s="644"/>
      <c r="AM143" s="647"/>
      <c r="AN143" s="647"/>
      <c r="AO143" s="647"/>
      <c r="AP143" s="647"/>
      <c r="AQ143" s="647"/>
    </row>
    <row r="144" spans="1:43" x14ac:dyDescent="0.2">
      <c r="A144" s="527">
        <v>142</v>
      </c>
      <c r="C144" s="666" t="s">
        <v>1928</v>
      </c>
      <c r="D144" s="624">
        <v>40360</v>
      </c>
      <c r="E144" s="624"/>
      <c r="F144" s="844" t="s">
        <v>316</v>
      </c>
      <c r="G144" s="624">
        <v>40648</v>
      </c>
      <c r="H144" s="530">
        <f t="shared" si="27"/>
        <v>0.7885010266940452</v>
      </c>
      <c r="I144" s="666"/>
      <c r="J144" s="667">
        <v>2010</v>
      </c>
      <c r="K144" s="667">
        <v>2011</v>
      </c>
      <c r="L144" s="613" t="s">
        <v>336</v>
      </c>
      <c r="M144" s="613">
        <f t="shared" si="24"/>
        <v>1</v>
      </c>
      <c r="N144" s="613">
        <f t="shared" si="25"/>
        <v>0</v>
      </c>
      <c r="O144" s="668"/>
      <c r="P144" s="668"/>
      <c r="Q144" s="668">
        <v>1</v>
      </c>
      <c r="R144" s="668"/>
      <c r="S144" s="668"/>
      <c r="T144" s="668"/>
      <c r="U144" s="613">
        <f t="shared" si="26"/>
        <v>1</v>
      </c>
      <c r="W144" s="613" t="str">
        <f t="shared" si="19"/>
        <v>I</v>
      </c>
      <c r="X144" s="613" t="str">
        <f t="shared" si="20"/>
        <v>I</v>
      </c>
      <c r="Y144" s="613">
        <f t="shared" si="21"/>
        <v>2010</v>
      </c>
      <c r="Z144" s="613" t="str">
        <f t="shared" si="22"/>
        <v>I</v>
      </c>
      <c r="AA144" s="613" t="str">
        <f t="shared" si="23"/>
        <v>I</v>
      </c>
      <c r="AB144" s="613" t="str">
        <f t="shared" si="23"/>
        <v>I</v>
      </c>
      <c r="AD144" s="613"/>
      <c r="AE144" s="740"/>
      <c r="AF144" s="644"/>
      <c r="AM144" s="647"/>
      <c r="AN144" s="647"/>
      <c r="AO144" s="647"/>
      <c r="AP144" s="647"/>
      <c r="AQ144" s="647"/>
    </row>
    <row r="145" spans="1:43" x14ac:dyDescent="0.2">
      <c r="A145" s="527">
        <v>143</v>
      </c>
      <c r="C145" s="747" t="s">
        <v>1929</v>
      </c>
      <c r="D145" s="624"/>
      <c r="E145" s="624">
        <v>40360</v>
      </c>
      <c r="F145" s="846" t="s">
        <v>316</v>
      </c>
      <c r="G145" s="624">
        <v>40661</v>
      </c>
      <c r="H145" s="530">
        <f t="shared" si="27"/>
        <v>0.82409308692676253</v>
      </c>
      <c r="I145" s="747"/>
      <c r="J145" s="667">
        <v>2010</v>
      </c>
      <c r="K145" s="667">
        <v>2011</v>
      </c>
      <c r="L145" s="613" t="s">
        <v>303</v>
      </c>
      <c r="M145" s="613">
        <f t="shared" si="24"/>
        <v>0</v>
      </c>
      <c r="N145" s="613">
        <f t="shared" si="25"/>
        <v>1</v>
      </c>
      <c r="O145" s="668"/>
      <c r="P145" s="668"/>
      <c r="Q145" s="668">
        <v>1</v>
      </c>
      <c r="R145" s="668"/>
      <c r="S145" s="668"/>
      <c r="T145" s="668"/>
      <c r="U145" s="613">
        <f t="shared" si="26"/>
        <v>1</v>
      </c>
      <c r="W145" s="613" t="str">
        <f t="shared" si="19"/>
        <v>I</v>
      </c>
      <c r="X145" s="613" t="str">
        <f t="shared" si="20"/>
        <v>I</v>
      </c>
      <c r="Y145" s="613">
        <f t="shared" si="21"/>
        <v>2010</v>
      </c>
      <c r="Z145" s="613" t="str">
        <f t="shared" si="22"/>
        <v>I</v>
      </c>
      <c r="AA145" s="613" t="str">
        <f t="shared" si="23"/>
        <v>I</v>
      </c>
      <c r="AB145" s="613" t="str">
        <f t="shared" si="23"/>
        <v>I</v>
      </c>
      <c r="AD145" s="613"/>
      <c r="AE145" s="740"/>
      <c r="AF145" s="644"/>
      <c r="AM145" s="647"/>
      <c r="AN145" s="647"/>
      <c r="AO145" s="647"/>
      <c r="AP145" s="647"/>
      <c r="AQ145" s="647"/>
    </row>
    <row r="146" spans="1:43" x14ac:dyDescent="0.2">
      <c r="A146" s="527">
        <v>144</v>
      </c>
      <c r="C146" s="747" t="s">
        <v>1930</v>
      </c>
      <c r="D146" s="624">
        <v>40360</v>
      </c>
      <c r="E146" s="624"/>
      <c r="F146" s="844" t="s">
        <v>316</v>
      </c>
      <c r="G146" s="624">
        <v>40893</v>
      </c>
      <c r="H146" s="530">
        <f t="shared" si="27"/>
        <v>1.4592744695414099</v>
      </c>
      <c r="I146" s="747"/>
      <c r="J146" s="667">
        <v>2010</v>
      </c>
      <c r="K146" s="667">
        <v>2011</v>
      </c>
      <c r="L146" s="613" t="s">
        <v>336</v>
      </c>
      <c r="M146" s="613">
        <f t="shared" si="24"/>
        <v>1</v>
      </c>
      <c r="N146" s="613">
        <f t="shared" si="25"/>
        <v>0</v>
      </c>
      <c r="O146" s="668"/>
      <c r="P146" s="668"/>
      <c r="Q146" s="668">
        <v>1</v>
      </c>
      <c r="R146" s="668"/>
      <c r="S146" s="668"/>
      <c r="T146" s="668"/>
      <c r="U146" s="613">
        <f t="shared" si="26"/>
        <v>1</v>
      </c>
      <c r="W146" s="613" t="str">
        <f t="shared" si="19"/>
        <v>I</v>
      </c>
      <c r="X146" s="613" t="str">
        <f t="shared" si="20"/>
        <v>I</v>
      </c>
      <c r="Y146" s="613">
        <f t="shared" si="21"/>
        <v>2010</v>
      </c>
      <c r="Z146" s="613" t="str">
        <f t="shared" si="22"/>
        <v>I</v>
      </c>
      <c r="AA146" s="613" t="str">
        <f t="shared" si="23"/>
        <v>I</v>
      </c>
      <c r="AB146" s="613" t="str">
        <f t="shared" si="23"/>
        <v>I</v>
      </c>
      <c r="AD146" s="613"/>
      <c r="AE146" s="740"/>
      <c r="AF146" s="644"/>
      <c r="AM146" s="647"/>
      <c r="AN146" s="647"/>
      <c r="AO146" s="647"/>
      <c r="AP146" s="647"/>
      <c r="AQ146" s="647"/>
    </row>
    <row r="147" spans="1:43" x14ac:dyDescent="0.2">
      <c r="A147" s="527">
        <v>145</v>
      </c>
      <c r="C147" s="747" t="s">
        <v>1931</v>
      </c>
      <c r="D147" s="624">
        <v>40422</v>
      </c>
      <c r="E147" s="624"/>
      <c r="F147" s="844" t="s">
        <v>316</v>
      </c>
      <c r="G147" s="624">
        <v>40742</v>
      </c>
      <c r="H147" s="530">
        <f t="shared" si="27"/>
        <v>0.87611225188227237</v>
      </c>
      <c r="I147" s="747"/>
      <c r="J147" s="667">
        <v>2010</v>
      </c>
      <c r="K147" s="667">
        <v>2011</v>
      </c>
      <c r="L147" s="613" t="s">
        <v>336</v>
      </c>
      <c r="M147" s="613">
        <f t="shared" si="24"/>
        <v>1</v>
      </c>
      <c r="N147" s="613">
        <f t="shared" si="25"/>
        <v>0</v>
      </c>
      <c r="O147" s="668"/>
      <c r="P147" s="668"/>
      <c r="Q147" s="668">
        <v>1</v>
      </c>
      <c r="R147" s="668"/>
      <c r="S147" s="668"/>
      <c r="T147" s="668"/>
      <c r="U147" s="613">
        <f t="shared" si="26"/>
        <v>1</v>
      </c>
      <c r="W147" s="613" t="str">
        <f t="shared" si="19"/>
        <v>I</v>
      </c>
      <c r="X147" s="613" t="str">
        <f t="shared" si="20"/>
        <v>I</v>
      </c>
      <c r="Y147" s="613">
        <f t="shared" si="21"/>
        <v>2010</v>
      </c>
      <c r="Z147" s="613" t="str">
        <f t="shared" si="22"/>
        <v>I</v>
      </c>
      <c r="AA147" s="613" t="str">
        <f t="shared" si="23"/>
        <v>I</v>
      </c>
      <c r="AB147" s="613" t="str">
        <f t="shared" si="23"/>
        <v>I</v>
      </c>
      <c r="AD147" s="613"/>
      <c r="AE147" s="740"/>
      <c r="AF147" s="880"/>
      <c r="AM147" s="647"/>
      <c r="AN147" s="647"/>
      <c r="AO147" s="647"/>
      <c r="AP147" s="647"/>
      <c r="AQ147" s="647"/>
    </row>
    <row r="148" spans="1:43" x14ac:dyDescent="0.2">
      <c r="A148" s="527">
        <v>146</v>
      </c>
      <c r="C148" s="747" t="s">
        <v>1932</v>
      </c>
      <c r="D148" s="883">
        <v>40691</v>
      </c>
      <c r="E148" s="624"/>
      <c r="F148" s="844" t="s">
        <v>2167</v>
      </c>
      <c r="G148" s="624">
        <v>40812</v>
      </c>
      <c r="H148" s="530">
        <f t="shared" si="27"/>
        <v>0.33127994524298426</v>
      </c>
      <c r="I148" s="747"/>
      <c r="J148" s="667">
        <v>2011</v>
      </c>
      <c r="K148" s="667">
        <v>2011</v>
      </c>
      <c r="L148" s="613" t="s">
        <v>336</v>
      </c>
      <c r="M148" s="613">
        <f t="shared" si="24"/>
        <v>1</v>
      </c>
      <c r="N148" s="613">
        <f t="shared" si="25"/>
        <v>0</v>
      </c>
      <c r="O148" s="668"/>
      <c r="P148" s="668"/>
      <c r="Q148" s="668">
        <v>1</v>
      </c>
      <c r="R148" s="668"/>
      <c r="S148" s="668"/>
      <c r="T148" s="668"/>
      <c r="U148" s="613">
        <f t="shared" si="26"/>
        <v>1</v>
      </c>
      <c r="W148" s="613" t="str">
        <f t="shared" si="19"/>
        <v>I</v>
      </c>
      <c r="X148" s="613" t="str">
        <f t="shared" si="20"/>
        <v>I</v>
      </c>
      <c r="Y148" s="613">
        <f t="shared" si="21"/>
        <v>2011</v>
      </c>
      <c r="Z148" s="613" t="str">
        <f t="shared" si="22"/>
        <v>I</v>
      </c>
      <c r="AA148" s="613" t="str">
        <f t="shared" si="23"/>
        <v>I</v>
      </c>
      <c r="AB148" s="613" t="str">
        <f t="shared" si="23"/>
        <v>I</v>
      </c>
      <c r="AD148" s="613"/>
      <c r="AE148" s="740"/>
      <c r="AF148" s="644"/>
      <c r="AM148" s="647"/>
      <c r="AN148" s="647"/>
      <c r="AO148" s="647"/>
      <c r="AP148" s="647"/>
      <c r="AQ148" s="647"/>
    </row>
    <row r="149" spans="1:43" x14ac:dyDescent="0.2">
      <c r="A149" s="527">
        <v>147</v>
      </c>
      <c r="C149" s="666" t="s">
        <v>1933</v>
      </c>
      <c r="D149" s="624">
        <v>40709</v>
      </c>
      <c r="E149" s="624"/>
      <c r="F149" s="846" t="s">
        <v>2694</v>
      </c>
      <c r="G149" s="624">
        <v>40893</v>
      </c>
      <c r="H149" s="530">
        <f t="shared" si="27"/>
        <v>0.50376454483230659</v>
      </c>
      <c r="I149" s="666"/>
      <c r="J149" s="667">
        <v>2011</v>
      </c>
      <c r="K149" s="667">
        <v>2011</v>
      </c>
      <c r="L149" s="613" t="s">
        <v>336</v>
      </c>
      <c r="M149" s="613">
        <f t="shared" si="24"/>
        <v>1</v>
      </c>
      <c r="N149" s="613">
        <f t="shared" si="25"/>
        <v>0</v>
      </c>
      <c r="O149" s="668"/>
      <c r="P149" s="668"/>
      <c r="Q149" s="668">
        <v>1</v>
      </c>
      <c r="R149" s="668"/>
      <c r="S149" s="668"/>
      <c r="T149" s="668"/>
      <c r="U149" s="613">
        <f t="shared" si="26"/>
        <v>1</v>
      </c>
      <c r="W149" s="613" t="str">
        <f t="shared" si="19"/>
        <v>I</v>
      </c>
      <c r="X149" s="613" t="str">
        <f t="shared" si="20"/>
        <v>I</v>
      </c>
      <c r="Y149" s="613">
        <f t="shared" si="21"/>
        <v>2011</v>
      </c>
      <c r="Z149" s="613" t="str">
        <f t="shared" si="22"/>
        <v>I</v>
      </c>
      <c r="AA149" s="613" t="str">
        <f t="shared" si="23"/>
        <v>I</v>
      </c>
      <c r="AB149" s="613" t="str">
        <f t="shared" si="23"/>
        <v>I</v>
      </c>
      <c r="AD149" s="613"/>
      <c r="AE149" s="740"/>
      <c r="AF149" s="644"/>
      <c r="AM149" s="647"/>
      <c r="AN149" s="647"/>
      <c r="AO149" s="647"/>
      <c r="AP149" s="647"/>
      <c r="AQ149" s="647"/>
    </row>
    <row r="150" spans="1:43" ht="13.5" customHeight="1" x14ac:dyDescent="0.2">
      <c r="A150" s="527">
        <v>148</v>
      </c>
      <c r="C150" s="666" t="s">
        <v>1934</v>
      </c>
      <c r="D150" s="883">
        <v>40801</v>
      </c>
      <c r="E150" s="624"/>
      <c r="F150" s="844" t="s">
        <v>2694</v>
      </c>
      <c r="G150" s="624">
        <v>40893</v>
      </c>
      <c r="H150" s="530">
        <f t="shared" si="27"/>
        <v>0.2518822724161533</v>
      </c>
      <c r="I150" s="666"/>
      <c r="J150" s="667">
        <v>2011</v>
      </c>
      <c r="K150" s="667">
        <v>2011</v>
      </c>
      <c r="L150" s="613" t="s">
        <v>336</v>
      </c>
      <c r="M150" s="613">
        <f t="shared" si="24"/>
        <v>1</v>
      </c>
      <c r="N150" s="613">
        <f t="shared" si="25"/>
        <v>0</v>
      </c>
      <c r="O150" s="668"/>
      <c r="P150" s="668"/>
      <c r="Q150" s="668">
        <v>1</v>
      </c>
      <c r="R150" s="668"/>
      <c r="S150" s="668"/>
      <c r="T150" s="668"/>
      <c r="U150" s="613">
        <f t="shared" si="26"/>
        <v>1</v>
      </c>
      <c r="W150" s="613" t="str">
        <f t="shared" si="19"/>
        <v>I</v>
      </c>
      <c r="X150" s="613" t="str">
        <f t="shared" si="20"/>
        <v>I</v>
      </c>
      <c r="Y150" s="613">
        <f t="shared" si="21"/>
        <v>2011</v>
      </c>
      <c r="Z150" s="613" t="str">
        <f t="shared" si="22"/>
        <v>I</v>
      </c>
      <c r="AA150" s="613" t="str">
        <f t="shared" si="23"/>
        <v>I</v>
      </c>
      <c r="AB150" s="613" t="str">
        <f t="shared" si="23"/>
        <v>I</v>
      </c>
      <c r="AD150" s="613"/>
      <c r="AE150" s="740"/>
      <c r="AF150" s="644"/>
      <c r="AM150" s="647"/>
      <c r="AN150" s="647"/>
      <c r="AO150" s="647"/>
      <c r="AP150" s="647"/>
      <c r="AQ150" s="647"/>
    </row>
    <row r="151" spans="1:43" x14ac:dyDescent="0.2">
      <c r="A151" s="527">
        <v>149</v>
      </c>
      <c r="C151" s="747" t="s">
        <v>1935</v>
      </c>
      <c r="D151" s="883">
        <v>40589</v>
      </c>
      <c r="E151" s="624"/>
      <c r="F151" s="844" t="s">
        <v>2694</v>
      </c>
      <c r="G151" s="624">
        <v>40893</v>
      </c>
      <c r="H151" s="530">
        <f t="shared" si="27"/>
        <v>0.83230663928815884</v>
      </c>
      <c r="I151" s="747"/>
      <c r="J151" s="667">
        <v>2011</v>
      </c>
      <c r="K151" s="667">
        <v>2011</v>
      </c>
      <c r="L151" s="613" t="s">
        <v>336</v>
      </c>
      <c r="M151" s="613">
        <f t="shared" si="24"/>
        <v>1</v>
      </c>
      <c r="N151" s="613">
        <f t="shared" si="25"/>
        <v>0</v>
      </c>
      <c r="O151" s="668"/>
      <c r="P151" s="668"/>
      <c r="Q151" s="668">
        <v>1</v>
      </c>
      <c r="R151" s="668"/>
      <c r="S151" s="668"/>
      <c r="T151" s="668"/>
      <c r="U151" s="613">
        <f t="shared" si="26"/>
        <v>1</v>
      </c>
      <c r="W151" s="613" t="str">
        <f t="shared" si="19"/>
        <v>I</v>
      </c>
      <c r="X151" s="613" t="str">
        <f t="shared" si="20"/>
        <v>I</v>
      </c>
      <c r="Y151" s="613">
        <f t="shared" si="21"/>
        <v>2011</v>
      </c>
      <c r="Z151" s="613" t="str">
        <f t="shared" si="22"/>
        <v>I</v>
      </c>
      <c r="AA151" s="613" t="str">
        <f t="shared" si="23"/>
        <v>I</v>
      </c>
      <c r="AB151" s="613" t="str">
        <f t="shared" si="23"/>
        <v>I</v>
      </c>
      <c r="AD151" s="613"/>
      <c r="AE151" s="740"/>
      <c r="AF151" s="644"/>
      <c r="AM151" s="647"/>
      <c r="AN151" s="647"/>
      <c r="AO151" s="647"/>
      <c r="AP151" s="647"/>
      <c r="AQ151" s="647"/>
    </row>
    <row r="152" spans="1:43" x14ac:dyDescent="0.2">
      <c r="A152" s="527">
        <v>150</v>
      </c>
      <c r="C152" s="747" t="s">
        <v>89</v>
      </c>
      <c r="D152" s="624"/>
      <c r="E152" s="624"/>
      <c r="F152" s="844"/>
      <c r="G152" s="624"/>
      <c r="H152" s="619"/>
      <c r="I152" s="747"/>
      <c r="J152" s="667">
        <v>2006</v>
      </c>
      <c r="K152" s="667">
        <v>2011</v>
      </c>
      <c r="L152" s="613" t="s">
        <v>336</v>
      </c>
      <c r="M152" s="613">
        <f t="shared" si="24"/>
        <v>0</v>
      </c>
      <c r="N152" s="613">
        <f t="shared" si="25"/>
        <v>0</v>
      </c>
      <c r="O152" s="668"/>
      <c r="P152" s="668"/>
      <c r="Q152" s="668"/>
      <c r="R152" s="668">
        <v>1</v>
      </c>
      <c r="S152" s="668"/>
      <c r="T152" s="668"/>
      <c r="U152" s="613">
        <f t="shared" si="26"/>
        <v>1</v>
      </c>
      <c r="W152" s="613" t="str">
        <f t="shared" si="19"/>
        <v>I</v>
      </c>
      <c r="X152" s="613" t="str">
        <f t="shared" si="20"/>
        <v>I</v>
      </c>
      <c r="Y152" s="613" t="str">
        <f t="shared" si="21"/>
        <v>I</v>
      </c>
      <c r="Z152" s="613">
        <f t="shared" si="22"/>
        <v>2006</v>
      </c>
      <c r="AA152" s="613" t="str">
        <f t="shared" si="23"/>
        <v>I</v>
      </c>
      <c r="AB152" s="613" t="str">
        <f t="shared" si="23"/>
        <v>I</v>
      </c>
      <c r="AD152" s="613"/>
      <c r="AE152" s="740"/>
      <c r="AF152" s="644"/>
      <c r="AM152" s="647"/>
      <c r="AN152" s="647"/>
      <c r="AO152" s="647"/>
      <c r="AP152" s="647"/>
      <c r="AQ152" s="647"/>
    </row>
    <row r="153" spans="1:43" x14ac:dyDescent="0.2">
      <c r="A153" s="527">
        <v>151</v>
      </c>
      <c r="C153" s="649" t="s">
        <v>1552</v>
      </c>
      <c r="D153" s="883">
        <v>36047</v>
      </c>
      <c r="E153" s="624"/>
      <c r="F153" s="844" t="s">
        <v>2167</v>
      </c>
      <c r="G153" s="624">
        <v>41222</v>
      </c>
      <c r="H153" s="530">
        <f>(G153-MAX(D153:E153))/365.25</f>
        <v>14.168377823408624</v>
      </c>
      <c r="I153" s="649"/>
      <c r="J153" s="669">
        <v>1998</v>
      </c>
      <c r="K153" s="669">
        <v>2012</v>
      </c>
      <c r="L153" s="613" t="s">
        <v>336</v>
      </c>
      <c r="M153" s="613">
        <f t="shared" si="24"/>
        <v>1</v>
      </c>
      <c r="N153" s="613">
        <f t="shared" si="25"/>
        <v>0</v>
      </c>
      <c r="O153" s="670"/>
      <c r="P153" s="670"/>
      <c r="Q153" s="670">
        <v>1</v>
      </c>
      <c r="R153" s="670"/>
      <c r="S153" s="670"/>
      <c r="T153" s="670"/>
      <c r="U153" s="613">
        <f t="shared" si="26"/>
        <v>1</v>
      </c>
      <c r="W153" s="613" t="str">
        <f t="shared" si="19"/>
        <v>I</v>
      </c>
      <c r="X153" s="613" t="str">
        <f t="shared" si="20"/>
        <v>I</v>
      </c>
      <c r="Y153" s="613">
        <f t="shared" si="21"/>
        <v>1998</v>
      </c>
      <c r="Z153" s="613" t="str">
        <f t="shared" si="22"/>
        <v>I</v>
      </c>
      <c r="AA153" s="613" t="str">
        <f t="shared" si="23"/>
        <v>I</v>
      </c>
      <c r="AB153" s="613" t="str">
        <f t="shared" si="23"/>
        <v>I</v>
      </c>
      <c r="AD153" s="613"/>
      <c r="AE153" s="740"/>
      <c r="AF153" s="644"/>
      <c r="AM153" s="647"/>
      <c r="AN153" s="647"/>
      <c r="AO153" s="647"/>
      <c r="AP153" s="647"/>
      <c r="AQ153" s="647"/>
    </row>
    <row r="154" spans="1:43" x14ac:dyDescent="0.2">
      <c r="A154" s="527">
        <v>152</v>
      </c>
      <c r="C154" s="727" t="s">
        <v>120</v>
      </c>
      <c r="D154" s="624"/>
      <c r="E154" s="624"/>
      <c r="F154" s="844"/>
      <c r="G154" s="624"/>
      <c r="H154" s="619"/>
      <c r="I154" s="727"/>
      <c r="J154" s="669">
        <v>2009</v>
      </c>
      <c r="K154" s="669">
        <v>2012</v>
      </c>
      <c r="L154" s="613" t="s">
        <v>336</v>
      </c>
      <c r="M154" s="613">
        <f t="shared" si="24"/>
        <v>0</v>
      </c>
      <c r="N154" s="613">
        <f t="shared" si="25"/>
        <v>0</v>
      </c>
      <c r="O154" s="670"/>
      <c r="P154" s="670"/>
      <c r="Q154" s="670"/>
      <c r="R154" s="670">
        <v>1</v>
      </c>
      <c r="S154" s="670"/>
      <c r="T154" s="670"/>
      <c r="U154" s="613">
        <f t="shared" si="26"/>
        <v>1</v>
      </c>
      <c r="W154" s="613" t="str">
        <f t="shared" si="19"/>
        <v>I</v>
      </c>
      <c r="X154" s="613" t="str">
        <f t="shared" si="20"/>
        <v>I</v>
      </c>
      <c r="Y154" s="613" t="str">
        <f t="shared" si="21"/>
        <v>I</v>
      </c>
      <c r="Z154" s="613">
        <f t="shared" si="22"/>
        <v>2009</v>
      </c>
      <c r="AA154" s="613" t="str">
        <f t="shared" si="23"/>
        <v>I</v>
      </c>
      <c r="AB154" s="613" t="str">
        <f t="shared" si="23"/>
        <v>I</v>
      </c>
      <c r="AD154" s="613"/>
      <c r="AE154" s="740"/>
      <c r="AF154" s="644"/>
      <c r="AM154" s="647"/>
      <c r="AN154" s="647"/>
      <c r="AO154" s="647"/>
      <c r="AP154" s="647"/>
      <c r="AQ154" s="647"/>
    </row>
    <row r="155" spans="1:43" x14ac:dyDescent="0.2">
      <c r="A155" s="527">
        <v>153</v>
      </c>
      <c r="C155" s="727" t="s">
        <v>121</v>
      </c>
      <c r="D155" s="624"/>
      <c r="E155" s="624"/>
      <c r="F155" s="844"/>
      <c r="G155" s="624"/>
      <c r="H155" s="619"/>
      <c r="I155" s="727"/>
      <c r="J155" s="669">
        <v>2009</v>
      </c>
      <c r="K155" s="669">
        <v>2012</v>
      </c>
      <c r="L155" s="613" t="s">
        <v>336</v>
      </c>
      <c r="M155" s="613">
        <f t="shared" si="24"/>
        <v>0</v>
      </c>
      <c r="N155" s="613">
        <f t="shared" si="25"/>
        <v>0</v>
      </c>
      <c r="O155" s="670"/>
      <c r="P155" s="670"/>
      <c r="Q155" s="670"/>
      <c r="R155" s="670">
        <v>1</v>
      </c>
      <c r="S155" s="670"/>
      <c r="T155" s="670"/>
      <c r="U155" s="613">
        <f t="shared" si="26"/>
        <v>1</v>
      </c>
      <c r="W155" s="613" t="str">
        <f t="shared" si="19"/>
        <v>I</v>
      </c>
      <c r="X155" s="613" t="str">
        <f t="shared" si="20"/>
        <v>I</v>
      </c>
      <c r="Y155" s="613" t="str">
        <f t="shared" si="21"/>
        <v>I</v>
      </c>
      <c r="Z155" s="613">
        <f t="shared" si="22"/>
        <v>2009</v>
      </c>
      <c r="AA155" s="613" t="str">
        <f t="shared" si="23"/>
        <v>I</v>
      </c>
      <c r="AB155" s="613" t="str">
        <f t="shared" si="23"/>
        <v>I</v>
      </c>
      <c r="AD155" s="613"/>
      <c r="AE155" s="740"/>
      <c r="AF155" s="644"/>
      <c r="AM155" s="647"/>
      <c r="AN155" s="647"/>
      <c r="AO155" s="647"/>
      <c r="AP155" s="647"/>
      <c r="AQ155" s="647"/>
    </row>
    <row r="156" spans="1:43" x14ac:dyDescent="0.2">
      <c r="A156" s="527">
        <v>154</v>
      </c>
      <c r="C156" s="727" t="s">
        <v>1459</v>
      </c>
      <c r="D156" s="624"/>
      <c r="E156" s="624"/>
      <c r="F156" s="844"/>
      <c r="G156" s="624"/>
      <c r="H156" s="619"/>
      <c r="I156" s="727"/>
      <c r="J156" s="669">
        <v>2010</v>
      </c>
      <c r="K156" s="669">
        <v>2012</v>
      </c>
      <c r="L156" s="613" t="s">
        <v>336</v>
      </c>
      <c r="M156" s="613">
        <f t="shared" si="24"/>
        <v>0</v>
      </c>
      <c r="N156" s="613">
        <f t="shared" si="25"/>
        <v>0</v>
      </c>
      <c r="O156" s="670"/>
      <c r="P156" s="670"/>
      <c r="Q156" s="670"/>
      <c r="R156" s="670">
        <v>1</v>
      </c>
      <c r="S156" s="670"/>
      <c r="T156" s="670"/>
      <c r="U156" s="613">
        <f t="shared" si="26"/>
        <v>1</v>
      </c>
      <c r="W156" s="613" t="str">
        <f t="shared" si="19"/>
        <v>I</v>
      </c>
      <c r="X156" s="613" t="str">
        <f t="shared" si="20"/>
        <v>I</v>
      </c>
      <c r="Y156" s="613" t="str">
        <f t="shared" si="21"/>
        <v>I</v>
      </c>
      <c r="Z156" s="613">
        <f t="shared" si="22"/>
        <v>2010</v>
      </c>
      <c r="AA156" s="613" t="str">
        <f t="shared" si="23"/>
        <v>I</v>
      </c>
      <c r="AB156" s="613" t="str">
        <f t="shared" si="23"/>
        <v>I</v>
      </c>
      <c r="AD156" s="613"/>
      <c r="AE156" s="740"/>
      <c r="AF156" s="644"/>
      <c r="AM156" s="647"/>
      <c r="AN156" s="647"/>
      <c r="AO156" s="647"/>
      <c r="AP156" s="647"/>
      <c r="AQ156" s="647"/>
    </row>
    <row r="157" spans="1:43" x14ac:dyDescent="0.2">
      <c r="A157" s="527">
        <v>155</v>
      </c>
      <c r="C157" s="727" t="s">
        <v>1471</v>
      </c>
      <c r="D157" s="624"/>
      <c r="E157" s="624"/>
      <c r="F157" s="844"/>
      <c r="G157" s="624"/>
      <c r="H157" s="619"/>
      <c r="I157" s="727"/>
      <c r="J157" s="669">
        <v>2007</v>
      </c>
      <c r="K157" s="669">
        <v>2012</v>
      </c>
      <c r="L157" s="613" t="s">
        <v>336</v>
      </c>
      <c r="M157" s="613">
        <f t="shared" si="24"/>
        <v>0</v>
      </c>
      <c r="N157" s="613">
        <f t="shared" si="25"/>
        <v>0</v>
      </c>
      <c r="O157" s="670"/>
      <c r="P157" s="670"/>
      <c r="Q157" s="670"/>
      <c r="R157" s="670">
        <v>1</v>
      </c>
      <c r="S157" s="670"/>
      <c r="T157" s="670"/>
      <c r="U157" s="613">
        <f t="shared" si="26"/>
        <v>1</v>
      </c>
      <c r="W157" s="613" t="str">
        <f t="shared" si="19"/>
        <v>I</v>
      </c>
      <c r="X157" s="613" t="str">
        <f t="shared" si="20"/>
        <v>I</v>
      </c>
      <c r="Y157" s="613" t="str">
        <f t="shared" si="21"/>
        <v>I</v>
      </c>
      <c r="Z157" s="613">
        <f t="shared" si="22"/>
        <v>2007</v>
      </c>
      <c r="AA157" s="613" t="str">
        <f t="shared" si="23"/>
        <v>I</v>
      </c>
      <c r="AB157" s="613" t="str">
        <f t="shared" si="23"/>
        <v>I</v>
      </c>
      <c r="AD157" s="613"/>
      <c r="AE157" s="740"/>
      <c r="AF157" s="644"/>
      <c r="AM157" s="647"/>
      <c r="AN157" s="647"/>
      <c r="AO157" s="647"/>
      <c r="AP157" s="647"/>
      <c r="AQ157" s="647"/>
    </row>
    <row r="158" spans="1:43" x14ac:dyDescent="0.2">
      <c r="A158" s="527">
        <v>156</v>
      </c>
      <c r="C158" s="649" t="s">
        <v>1532</v>
      </c>
      <c r="D158" s="624"/>
      <c r="E158" s="624"/>
      <c r="F158" s="844"/>
      <c r="G158" s="624"/>
      <c r="H158" s="619"/>
      <c r="I158" s="649"/>
      <c r="J158" s="669">
        <v>2010</v>
      </c>
      <c r="K158" s="669">
        <v>2012</v>
      </c>
      <c r="L158" s="613" t="s">
        <v>336</v>
      </c>
      <c r="M158" s="613">
        <f t="shared" si="24"/>
        <v>0</v>
      </c>
      <c r="N158" s="613">
        <f t="shared" si="25"/>
        <v>0</v>
      </c>
      <c r="O158" s="670"/>
      <c r="P158" s="670"/>
      <c r="Q158" s="670"/>
      <c r="R158" s="670">
        <v>1</v>
      </c>
      <c r="S158" s="670"/>
      <c r="T158" s="670"/>
      <c r="U158" s="613">
        <f t="shared" si="26"/>
        <v>1</v>
      </c>
      <c r="W158" s="613" t="str">
        <f t="shared" si="19"/>
        <v>I</v>
      </c>
      <c r="X158" s="613" t="str">
        <f t="shared" si="20"/>
        <v>I</v>
      </c>
      <c r="Y158" s="613" t="str">
        <f t="shared" si="21"/>
        <v>I</v>
      </c>
      <c r="Z158" s="613">
        <f t="shared" si="22"/>
        <v>2010</v>
      </c>
      <c r="AA158" s="613" t="str">
        <f t="shared" si="23"/>
        <v>I</v>
      </c>
      <c r="AB158" s="613" t="str">
        <f t="shared" si="23"/>
        <v>I</v>
      </c>
      <c r="AD158" s="613"/>
      <c r="AE158" s="740"/>
      <c r="AF158" s="644"/>
      <c r="AM158" s="647"/>
      <c r="AN158" s="647"/>
      <c r="AO158" s="647"/>
      <c r="AP158" s="647"/>
      <c r="AQ158" s="647"/>
    </row>
    <row r="159" spans="1:43" x14ac:dyDescent="0.2">
      <c r="A159" s="527">
        <v>157</v>
      </c>
      <c r="C159" s="727" t="s">
        <v>1535</v>
      </c>
      <c r="D159" s="624"/>
      <c r="E159" s="624"/>
      <c r="F159" s="844"/>
      <c r="G159" s="624"/>
      <c r="H159" s="619"/>
      <c r="I159" s="727"/>
      <c r="J159" s="669">
        <v>2011</v>
      </c>
      <c r="K159" s="669">
        <v>2012</v>
      </c>
      <c r="L159" s="613" t="s">
        <v>336</v>
      </c>
      <c r="M159" s="613">
        <f t="shared" si="24"/>
        <v>0</v>
      </c>
      <c r="N159" s="613">
        <f t="shared" si="25"/>
        <v>0</v>
      </c>
      <c r="O159" s="670"/>
      <c r="P159" s="670"/>
      <c r="Q159" s="670"/>
      <c r="R159" s="670">
        <v>1</v>
      </c>
      <c r="S159" s="670"/>
      <c r="T159" s="670"/>
      <c r="U159" s="613">
        <f t="shared" si="26"/>
        <v>1</v>
      </c>
      <c r="W159" s="613" t="str">
        <f t="shared" si="19"/>
        <v>I</v>
      </c>
      <c r="X159" s="613" t="str">
        <f t="shared" si="20"/>
        <v>I</v>
      </c>
      <c r="Y159" s="613" t="str">
        <f t="shared" si="21"/>
        <v>I</v>
      </c>
      <c r="Z159" s="613">
        <f t="shared" si="22"/>
        <v>2011</v>
      </c>
      <c r="AA159" s="613" t="str">
        <f t="shared" si="23"/>
        <v>I</v>
      </c>
      <c r="AB159" s="613" t="str">
        <f t="shared" si="23"/>
        <v>I</v>
      </c>
      <c r="AD159" s="613"/>
      <c r="AE159" s="740"/>
      <c r="AF159" s="644"/>
      <c r="AM159" s="647"/>
      <c r="AN159" s="647"/>
      <c r="AO159" s="647"/>
      <c r="AP159" s="647"/>
      <c r="AQ159" s="647"/>
    </row>
    <row r="160" spans="1:43" x14ac:dyDescent="0.2">
      <c r="A160" s="527">
        <v>158</v>
      </c>
      <c r="C160" s="727" t="s">
        <v>1523</v>
      </c>
      <c r="D160" s="624"/>
      <c r="E160" s="624"/>
      <c r="F160" s="844"/>
      <c r="G160" s="624"/>
      <c r="H160" s="619"/>
      <c r="I160" s="727"/>
      <c r="J160" s="669">
        <v>2010</v>
      </c>
      <c r="K160" s="669">
        <v>2012</v>
      </c>
      <c r="L160" s="613" t="s">
        <v>336</v>
      </c>
      <c r="M160" s="613">
        <f t="shared" si="24"/>
        <v>0</v>
      </c>
      <c r="N160" s="613">
        <f t="shared" si="25"/>
        <v>0</v>
      </c>
      <c r="O160" s="670"/>
      <c r="P160" s="670">
        <v>1</v>
      </c>
      <c r="Q160" s="670"/>
      <c r="R160" s="670"/>
      <c r="S160" s="670"/>
      <c r="T160" s="670"/>
      <c r="U160" s="613">
        <f t="shared" si="26"/>
        <v>1</v>
      </c>
      <c r="W160" s="613" t="str">
        <f t="shared" si="19"/>
        <v>I</v>
      </c>
      <c r="X160" s="613">
        <f t="shared" si="20"/>
        <v>2010</v>
      </c>
      <c r="Y160" s="613" t="str">
        <f t="shared" si="21"/>
        <v>I</v>
      </c>
      <c r="Z160" s="613" t="str">
        <f t="shared" si="22"/>
        <v>I</v>
      </c>
      <c r="AA160" s="613" t="str">
        <f t="shared" si="23"/>
        <v>I</v>
      </c>
      <c r="AB160" s="613" t="str">
        <f t="shared" si="23"/>
        <v>I</v>
      </c>
      <c r="AD160" s="613"/>
      <c r="AE160" s="740"/>
      <c r="AF160" s="644"/>
      <c r="AM160" s="647"/>
      <c r="AN160" s="647"/>
      <c r="AO160" s="647"/>
      <c r="AP160" s="647"/>
      <c r="AQ160" s="647"/>
    </row>
    <row r="161" spans="1:43" x14ac:dyDescent="0.2">
      <c r="A161" s="527">
        <v>159</v>
      </c>
      <c r="C161" s="649" t="s">
        <v>1899</v>
      </c>
      <c r="D161" s="624"/>
      <c r="E161" s="624">
        <v>39187</v>
      </c>
      <c r="F161" s="846" t="s">
        <v>2694</v>
      </c>
      <c r="G161" s="624">
        <v>41212</v>
      </c>
      <c r="H161" s="530">
        <f t="shared" ref="H161:H166" si="28">(G161-MAX(D161:E161))/365.25</f>
        <v>5.5441478439425049</v>
      </c>
      <c r="I161" s="649"/>
      <c r="J161" s="669">
        <v>2007</v>
      </c>
      <c r="K161" s="669">
        <v>2012</v>
      </c>
      <c r="L161" s="613" t="s">
        <v>303</v>
      </c>
      <c r="M161" s="613">
        <f t="shared" si="24"/>
        <v>0</v>
      </c>
      <c r="N161" s="613">
        <f t="shared" si="25"/>
        <v>1</v>
      </c>
      <c r="O161" s="670"/>
      <c r="P161" s="670"/>
      <c r="Q161" s="670">
        <v>1</v>
      </c>
      <c r="R161" s="670"/>
      <c r="S161" s="670"/>
      <c r="T161" s="670"/>
      <c r="U161" s="613">
        <f t="shared" si="26"/>
        <v>1</v>
      </c>
      <c r="W161" s="613" t="str">
        <f t="shared" si="19"/>
        <v>I</v>
      </c>
      <c r="X161" s="613" t="str">
        <f t="shared" si="20"/>
        <v>I</v>
      </c>
      <c r="Y161" s="613">
        <f t="shared" si="21"/>
        <v>2007</v>
      </c>
      <c r="Z161" s="613" t="str">
        <f t="shared" si="22"/>
        <v>I</v>
      </c>
      <c r="AA161" s="613" t="str">
        <f t="shared" si="23"/>
        <v>I</v>
      </c>
      <c r="AB161" s="613" t="str">
        <f t="shared" si="23"/>
        <v>I</v>
      </c>
      <c r="AD161" s="613"/>
      <c r="AE161" s="740"/>
      <c r="AF161" s="644"/>
      <c r="AM161" s="647"/>
      <c r="AN161" s="647"/>
      <c r="AO161" s="647"/>
      <c r="AP161" s="647"/>
      <c r="AQ161" s="647"/>
    </row>
    <row r="162" spans="1:43" x14ac:dyDescent="0.2">
      <c r="A162" s="527">
        <v>160</v>
      </c>
      <c r="C162" s="649" t="s">
        <v>1920</v>
      </c>
      <c r="E162" s="624">
        <v>40283</v>
      </c>
      <c r="F162" s="846" t="s">
        <v>2694</v>
      </c>
      <c r="G162" s="624">
        <v>40927</v>
      </c>
      <c r="H162" s="530">
        <f t="shared" si="28"/>
        <v>1.7631759069130732</v>
      </c>
      <c r="I162" s="649"/>
      <c r="J162" s="669">
        <v>2010</v>
      </c>
      <c r="K162" s="669">
        <v>2012</v>
      </c>
      <c r="L162" s="613" t="s">
        <v>303</v>
      </c>
      <c r="M162" s="613">
        <f t="shared" si="24"/>
        <v>0</v>
      </c>
      <c r="N162" s="613">
        <f t="shared" si="25"/>
        <v>1</v>
      </c>
      <c r="O162" s="670"/>
      <c r="P162" s="670"/>
      <c r="Q162" s="670">
        <v>1</v>
      </c>
      <c r="R162" s="670"/>
      <c r="S162" s="670"/>
      <c r="T162" s="670"/>
      <c r="U162" s="613">
        <f t="shared" si="26"/>
        <v>1</v>
      </c>
      <c r="W162" s="613" t="str">
        <f t="shared" si="19"/>
        <v>I</v>
      </c>
      <c r="X162" s="613" t="str">
        <f t="shared" si="20"/>
        <v>I</v>
      </c>
      <c r="Y162" s="613">
        <f t="shared" si="21"/>
        <v>2010</v>
      </c>
      <c r="Z162" s="613" t="str">
        <f t="shared" si="22"/>
        <v>I</v>
      </c>
      <c r="AA162" s="613" t="str">
        <f t="shared" si="23"/>
        <v>I</v>
      </c>
      <c r="AB162" s="613" t="str">
        <f t="shared" si="23"/>
        <v>I</v>
      </c>
      <c r="AD162" s="613"/>
      <c r="AE162" s="740"/>
      <c r="AF162" s="644"/>
      <c r="AM162" s="647"/>
      <c r="AN162" s="647"/>
      <c r="AO162" s="647"/>
      <c r="AP162" s="647"/>
      <c r="AQ162" s="647"/>
    </row>
    <row r="163" spans="1:43" x14ac:dyDescent="0.2">
      <c r="A163" s="527">
        <v>161</v>
      </c>
      <c r="C163" s="649" t="s">
        <v>1936</v>
      </c>
      <c r="D163" s="883">
        <v>40770</v>
      </c>
      <c r="E163" s="624"/>
      <c r="F163" s="844" t="s">
        <v>2694</v>
      </c>
      <c r="G163" s="624">
        <v>41212</v>
      </c>
      <c r="H163" s="530">
        <f t="shared" si="28"/>
        <v>1.2101300479123889</v>
      </c>
      <c r="I163" s="649"/>
      <c r="J163" s="669">
        <v>2011</v>
      </c>
      <c r="K163" s="669">
        <v>2012</v>
      </c>
      <c r="L163" s="613" t="s">
        <v>336</v>
      </c>
      <c r="M163" s="613">
        <f t="shared" si="24"/>
        <v>1</v>
      </c>
      <c r="N163" s="613">
        <f t="shared" si="25"/>
        <v>0</v>
      </c>
      <c r="O163" s="670"/>
      <c r="P163" s="670"/>
      <c r="Q163" s="670">
        <v>1</v>
      </c>
      <c r="R163" s="670"/>
      <c r="S163" s="670"/>
      <c r="T163" s="670"/>
      <c r="U163" s="613">
        <f t="shared" si="26"/>
        <v>1</v>
      </c>
      <c r="W163" s="613" t="str">
        <f t="shared" si="19"/>
        <v>I</v>
      </c>
      <c r="X163" s="613" t="str">
        <f t="shared" si="20"/>
        <v>I</v>
      </c>
      <c r="Y163" s="613">
        <f t="shared" si="21"/>
        <v>2011</v>
      </c>
      <c r="Z163" s="613" t="str">
        <f t="shared" si="22"/>
        <v>I</v>
      </c>
      <c r="AA163" s="613" t="str">
        <f t="shared" si="23"/>
        <v>I</v>
      </c>
      <c r="AB163" s="613" t="str">
        <f t="shared" si="23"/>
        <v>I</v>
      </c>
      <c r="AD163" s="613"/>
      <c r="AE163" s="740"/>
      <c r="AF163" s="644"/>
      <c r="AM163" s="647"/>
      <c r="AN163" s="647"/>
      <c r="AO163" s="647"/>
      <c r="AP163" s="647"/>
      <c r="AQ163" s="647"/>
    </row>
    <row r="164" spans="1:43" x14ac:dyDescent="0.2">
      <c r="A164" s="527">
        <v>162</v>
      </c>
      <c r="C164" s="727" t="s">
        <v>1937</v>
      </c>
      <c r="D164" s="624"/>
      <c r="E164" s="624">
        <v>40954</v>
      </c>
      <c r="F164" s="846" t="s">
        <v>2694</v>
      </c>
      <c r="G164" s="624">
        <v>41212</v>
      </c>
      <c r="H164" s="530">
        <f t="shared" si="28"/>
        <v>0.70636550308008217</v>
      </c>
      <c r="I164" s="727"/>
      <c r="J164" s="669">
        <v>2012</v>
      </c>
      <c r="K164" s="669">
        <v>2012</v>
      </c>
      <c r="L164" s="613" t="s">
        <v>303</v>
      </c>
      <c r="M164" s="613">
        <f t="shared" si="24"/>
        <v>0</v>
      </c>
      <c r="N164" s="613">
        <f t="shared" si="25"/>
        <v>1</v>
      </c>
      <c r="O164" s="670"/>
      <c r="P164" s="670"/>
      <c r="Q164" s="670">
        <v>1</v>
      </c>
      <c r="R164" s="670"/>
      <c r="S164" s="670"/>
      <c r="T164" s="670"/>
      <c r="U164" s="613">
        <f t="shared" si="26"/>
        <v>1</v>
      </c>
      <c r="W164" s="613" t="str">
        <f t="shared" si="19"/>
        <v>I</v>
      </c>
      <c r="X164" s="613" t="str">
        <f t="shared" si="20"/>
        <v>I</v>
      </c>
      <c r="Y164" s="613">
        <f t="shared" si="21"/>
        <v>2012</v>
      </c>
      <c r="Z164" s="613" t="str">
        <f t="shared" si="22"/>
        <v>I</v>
      </c>
      <c r="AA164" s="613" t="str">
        <f t="shared" si="23"/>
        <v>I</v>
      </c>
      <c r="AB164" s="613" t="str">
        <f t="shared" si="23"/>
        <v>I</v>
      </c>
      <c r="AD164" s="613"/>
      <c r="AE164" s="740"/>
      <c r="AF164" s="644"/>
      <c r="AM164" s="647"/>
      <c r="AN164" s="647"/>
      <c r="AO164" s="647"/>
      <c r="AP164" s="647"/>
      <c r="AQ164" s="647"/>
    </row>
    <row r="165" spans="1:43" x14ac:dyDescent="0.2">
      <c r="A165" s="527">
        <v>163</v>
      </c>
      <c r="C165" s="727" t="s">
        <v>1938</v>
      </c>
      <c r="D165" s="624"/>
      <c r="E165" s="624">
        <v>40954</v>
      </c>
      <c r="F165" s="846" t="s">
        <v>2694</v>
      </c>
      <c r="G165" s="624">
        <v>41212</v>
      </c>
      <c r="H165" s="530">
        <f t="shared" si="28"/>
        <v>0.70636550308008217</v>
      </c>
      <c r="I165" s="727"/>
      <c r="J165" s="669">
        <v>2012</v>
      </c>
      <c r="K165" s="669">
        <v>2012</v>
      </c>
      <c r="L165" s="613" t="s">
        <v>303</v>
      </c>
      <c r="M165" s="613">
        <f t="shared" si="24"/>
        <v>0</v>
      </c>
      <c r="N165" s="613">
        <f t="shared" si="25"/>
        <v>1</v>
      </c>
      <c r="O165" s="670"/>
      <c r="P165" s="670"/>
      <c r="Q165" s="670">
        <v>1</v>
      </c>
      <c r="R165" s="670"/>
      <c r="S165" s="670"/>
      <c r="T165" s="670"/>
      <c r="U165" s="613">
        <f t="shared" si="26"/>
        <v>1</v>
      </c>
      <c r="W165" s="613" t="str">
        <f t="shared" si="19"/>
        <v>I</v>
      </c>
      <c r="X165" s="613" t="str">
        <f t="shared" si="20"/>
        <v>I</v>
      </c>
      <c r="Y165" s="613">
        <f t="shared" si="21"/>
        <v>2012</v>
      </c>
      <c r="Z165" s="613" t="str">
        <f t="shared" si="22"/>
        <v>I</v>
      </c>
      <c r="AA165" s="613" t="str">
        <f t="shared" si="23"/>
        <v>I</v>
      </c>
      <c r="AB165" s="613" t="str">
        <f t="shared" si="23"/>
        <v>I</v>
      </c>
      <c r="AD165" s="613"/>
      <c r="AE165" s="740"/>
      <c r="AF165" s="644"/>
      <c r="AM165" s="647"/>
      <c r="AN165" s="647"/>
      <c r="AO165" s="647"/>
      <c r="AP165" s="647"/>
      <c r="AQ165" s="647"/>
    </row>
    <row r="166" spans="1:43" x14ac:dyDescent="0.2">
      <c r="A166" s="527">
        <v>164</v>
      </c>
      <c r="C166" s="727" t="s">
        <v>1939</v>
      </c>
      <c r="D166" s="883">
        <v>40739</v>
      </c>
      <c r="E166" s="624"/>
      <c r="F166" s="844" t="s">
        <v>2694</v>
      </c>
      <c r="G166" s="624">
        <v>41255</v>
      </c>
      <c r="H166" s="530">
        <f t="shared" si="28"/>
        <v>1.4127310061601643</v>
      </c>
      <c r="I166" s="727"/>
      <c r="J166" s="669">
        <v>2011</v>
      </c>
      <c r="K166" s="669">
        <v>2012</v>
      </c>
      <c r="L166" s="613" t="s">
        <v>336</v>
      </c>
      <c r="M166" s="613">
        <f t="shared" si="24"/>
        <v>1</v>
      </c>
      <c r="N166" s="613">
        <f t="shared" si="25"/>
        <v>0</v>
      </c>
      <c r="O166" s="670"/>
      <c r="P166" s="670"/>
      <c r="Q166" s="670">
        <v>1</v>
      </c>
      <c r="R166" s="670"/>
      <c r="S166" s="670"/>
      <c r="T166" s="670"/>
      <c r="U166" s="613">
        <f t="shared" si="26"/>
        <v>1</v>
      </c>
      <c r="W166" s="613" t="str">
        <f t="shared" si="19"/>
        <v>I</v>
      </c>
      <c r="X166" s="613" t="str">
        <f t="shared" si="20"/>
        <v>I</v>
      </c>
      <c r="Y166" s="613">
        <f t="shared" si="21"/>
        <v>2011</v>
      </c>
      <c r="Z166" s="613" t="str">
        <f t="shared" si="22"/>
        <v>I</v>
      </c>
      <c r="AA166" s="613" t="str">
        <f t="shared" si="23"/>
        <v>I</v>
      </c>
      <c r="AB166" s="613" t="str">
        <f t="shared" si="23"/>
        <v>I</v>
      </c>
      <c r="AD166" s="613"/>
      <c r="AE166" s="740"/>
      <c r="AF166" s="644"/>
      <c r="AM166" s="647"/>
      <c r="AN166" s="647"/>
      <c r="AO166" s="647"/>
      <c r="AP166" s="647"/>
      <c r="AQ166" s="647"/>
    </row>
    <row r="167" spans="1:43" x14ac:dyDescent="0.2">
      <c r="A167" s="527">
        <v>165</v>
      </c>
      <c r="C167" s="672" t="s">
        <v>1660</v>
      </c>
      <c r="D167" s="624"/>
      <c r="E167" s="624"/>
      <c r="F167" s="844"/>
      <c r="G167" s="624"/>
      <c r="H167" s="619"/>
      <c r="I167" s="672"/>
      <c r="J167" s="673">
        <v>2011</v>
      </c>
      <c r="K167" s="673">
        <v>2013</v>
      </c>
      <c r="L167" s="613" t="s">
        <v>336</v>
      </c>
      <c r="M167" s="613">
        <f t="shared" si="24"/>
        <v>0</v>
      </c>
      <c r="N167" s="613">
        <f t="shared" si="25"/>
        <v>0</v>
      </c>
      <c r="O167" s="674"/>
      <c r="P167" s="674"/>
      <c r="Q167" s="674"/>
      <c r="R167" s="674">
        <v>1</v>
      </c>
      <c r="S167" s="674"/>
      <c r="T167" s="674"/>
      <c r="U167" s="613">
        <f t="shared" si="26"/>
        <v>1</v>
      </c>
      <c r="W167" s="613" t="str">
        <f t="shared" si="19"/>
        <v>I</v>
      </c>
      <c r="X167" s="613" t="str">
        <f t="shared" si="20"/>
        <v>I</v>
      </c>
      <c r="Y167" s="613" t="str">
        <f t="shared" si="21"/>
        <v>I</v>
      </c>
      <c r="Z167" s="613">
        <f t="shared" si="22"/>
        <v>2011</v>
      </c>
      <c r="AA167" s="613" t="str">
        <f t="shared" si="23"/>
        <v>I</v>
      </c>
      <c r="AB167" s="613" t="str">
        <f t="shared" si="23"/>
        <v>I</v>
      </c>
      <c r="AD167" s="613"/>
      <c r="AE167" s="740"/>
      <c r="AF167" s="644"/>
      <c r="AM167" s="647"/>
      <c r="AN167" s="647"/>
      <c r="AO167" s="647"/>
      <c r="AP167" s="647"/>
      <c r="AQ167" s="647"/>
    </row>
    <row r="168" spans="1:43" x14ac:dyDescent="0.2">
      <c r="A168" s="527">
        <v>166</v>
      </c>
      <c r="C168" s="748" t="s">
        <v>1940</v>
      </c>
      <c r="D168" s="883">
        <v>41044</v>
      </c>
      <c r="E168" s="624"/>
      <c r="F168" s="844" t="s">
        <v>2694</v>
      </c>
      <c r="G168" s="624">
        <v>41275</v>
      </c>
      <c r="H168" s="530">
        <f t="shared" ref="H168:H176" si="29">(G168-MAX(D168:E168))/365.25</f>
        <v>0.63244353182751545</v>
      </c>
      <c r="I168" s="748"/>
      <c r="J168" s="673">
        <v>2012</v>
      </c>
      <c r="K168" s="673">
        <v>2013</v>
      </c>
      <c r="L168" s="613" t="s">
        <v>336</v>
      </c>
      <c r="M168" s="613">
        <f t="shared" si="24"/>
        <v>1</v>
      </c>
      <c r="N168" s="613">
        <f t="shared" si="25"/>
        <v>0</v>
      </c>
      <c r="O168" s="674"/>
      <c r="P168" s="674"/>
      <c r="Q168" s="674">
        <v>1</v>
      </c>
      <c r="R168" s="674"/>
      <c r="S168" s="674"/>
      <c r="T168" s="674"/>
      <c r="U168" s="613">
        <f t="shared" si="26"/>
        <v>1</v>
      </c>
      <c r="W168" s="613" t="str">
        <f t="shared" si="19"/>
        <v>I</v>
      </c>
      <c r="X168" s="613" t="str">
        <f t="shared" si="20"/>
        <v>I</v>
      </c>
      <c r="Y168" s="613">
        <f t="shared" si="21"/>
        <v>2012</v>
      </c>
      <c r="Z168" s="613" t="str">
        <f t="shared" si="22"/>
        <v>I</v>
      </c>
      <c r="AA168" s="613" t="str">
        <f t="shared" si="23"/>
        <v>I</v>
      </c>
      <c r="AB168" s="613" t="str">
        <f t="shared" si="23"/>
        <v>I</v>
      </c>
      <c r="AD168" s="613"/>
      <c r="AE168" s="740"/>
      <c r="AF168" s="644"/>
      <c r="AM168" s="647"/>
      <c r="AN168" s="647"/>
      <c r="AO168" s="647"/>
      <c r="AP168" s="647"/>
      <c r="AQ168" s="647"/>
    </row>
    <row r="169" spans="1:43" x14ac:dyDescent="0.2">
      <c r="A169" s="527">
        <v>167</v>
      </c>
      <c r="C169" s="748" t="s">
        <v>1975</v>
      </c>
      <c r="D169" s="624"/>
      <c r="E169" s="624">
        <v>41320</v>
      </c>
      <c r="F169" s="846" t="s">
        <v>2694</v>
      </c>
      <c r="G169" s="624">
        <v>41608</v>
      </c>
      <c r="H169" s="530">
        <f t="shared" si="29"/>
        <v>0.7885010266940452</v>
      </c>
      <c r="I169" s="748"/>
      <c r="J169" s="673">
        <v>2013</v>
      </c>
      <c r="K169" s="673">
        <v>2013</v>
      </c>
      <c r="L169" s="613" t="s">
        <v>303</v>
      </c>
      <c r="M169" s="613">
        <f t="shared" si="24"/>
        <v>0</v>
      </c>
      <c r="N169" s="613">
        <f t="shared" si="25"/>
        <v>1</v>
      </c>
      <c r="O169" s="674"/>
      <c r="P169" s="674"/>
      <c r="Q169" s="674">
        <v>1</v>
      </c>
      <c r="R169" s="674"/>
      <c r="S169" s="674"/>
      <c r="T169" s="674"/>
      <c r="U169" s="613">
        <f t="shared" si="26"/>
        <v>1</v>
      </c>
      <c r="W169" s="613" t="str">
        <f t="shared" si="19"/>
        <v>I</v>
      </c>
      <c r="X169" s="613" t="str">
        <f t="shared" si="20"/>
        <v>I</v>
      </c>
      <c r="Y169" s="613">
        <f t="shared" si="21"/>
        <v>2013</v>
      </c>
      <c r="Z169" s="613" t="str">
        <f t="shared" si="22"/>
        <v>I</v>
      </c>
      <c r="AA169" s="613" t="str">
        <f t="shared" si="23"/>
        <v>I</v>
      </c>
      <c r="AB169" s="613" t="str">
        <f t="shared" si="23"/>
        <v>I</v>
      </c>
      <c r="AD169" s="613"/>
      <c r="AE169" s="740"/>
      <c r="AF169" s="644"/>
      <c r="AM169" s="647"/>
      <c r="AN169" s="647"/>
      <c r="AO169" s="647"/>
      <c r="AP169" s="647"/>
      <c r="AQ169" s="647"/>
    </row>
    <row r="170" spans="1:43" x14ac:dyDescent="0.2">
      <c r="A170" s="527">
        <v>168</v>
      </c>
      <c r="C170" s="748" t="s">
        <v>1942</v>
      </c>
      <c r="D170" s="624"/>
      <c r="E170" s="624">
        <v>41409</v>
      </c>
      <c r="F170" s="846" t="s">
        <v>2694</v>
      </c>
      <c r="G170" s="624">
        <v>41608</v>
      </c>
      <c r="H170" s="530">
        <f t="shared" si="29"/>
        <v>0.54483230663928817</v>
      </c>
      <c r="I170" s="748"/>
      <c r="J170" s="673">
        <v>2013</v>
      </c>
      <c r="K170" s="673">
        <v>2013</v>
      </c>
      <c r="L170" s="613" t="s">
        <v>303</v>
      </c>
      <c r="M170" s="613">
        <f t="shared" si="24"/>
        <v>0</v>
      </c>
      <c r="N170" s="613">
        <f t="shared" si="25"/>
        <v>1</v>
      </c>
      <c r="O170" s="674"/>
      <c r="P170" s="674"/>
      <c r="Q170" s="674">
        <v>1</v>
      </c>
      <c r="R170" s="674"/>
      <c r="S170" s="674"/>
      <c r="T170" s="674"/>
      <c r="U170" s="613">
        <f t="shared" si="26"/>
        <v>1</v>
      </c>
      <c r="W170" s="613" t="str">
        <f t="shared" si="19"/>
        <v>I</v>
      </c>
      <c r="X170" s="613" t="str">
        <f t="shared" si="20"/>
        <v>I</v>
      </c>
      <c r="Y170" s="613">
        <f t="shared" si="21"/>
        <v>2013</v>
      </c>
      <c r="Z170" s="613" t="str">
        <f t="shared" si="22"/>
        <v>I</v>
      </c>
      <c r="AA170" s="613" t="str">
        <f t="shared" si="23"/>
        <v>I</v>
      </c>
      <c r="AB170" s="613" t="str">
        <f t="shared" si="23"/>
        <v>I</v>
      </c>
      <c r="AD170" s="613"/>
      <c r="AE170" s="740"/>
      <c r="AF170" s="644"/>
      <c r="AM170" s="647"/>
      <c r="AN170" s="647"/>
      <c r="AO170" s="647"/>
      <c r="AP170" s="647"/>
      <c r="AQ170" s="647"/>
    </row>
    <row r="171" spans="1:43" x14ac:dyDescent="0.2">
      <c r="A171" s="527">
        <v>169</v>
      </c>
      <c r="C171" s="672" t="s">
        <v>1943</v>
      </c>
      <c r="D171" s="624"/>
      <c r="E171" s="624">
        <v>41379</v>
      </c>
      <c r="F171" s="846" t="s">
        <v>2694</v>
      </c>
      <c r="G171" s="624">
        <v>41608</v>
      </c>
      <c r="H171" s="530">
        <f t="shared" si="29"/>
        <v>0.6269678302532512</v>
      </c>
      <c r="I171" s="672"/>
      <c r="J171" s="673">
        <v>2013</v>
      </c>
      <c r="K171" s="673">
        <v>2013</v>
      </c>
      <c r="L171" s="613" t="s">
        <v>303</v>
      </c>
      <c r="M171" s="613">
        <f t="shared" si="24"/>
        <v>0</v>
      </c>
      <c r="N171" s="613">
        <f t="shared" si="25"/>
        <v>1</v>
      </c>
      <c r="O171" s="674"/>
      <c r="P171" s="674"/>
      <c r="Q171" s="674">
        <v>1</v>
      </c>
      <c r="R171" s="674"/>
      <c r="S171" s="674"/>
      <c r="T171" s="674"/>
      <c r="U171" s="613">
        <f t="shared" si="26"/>
        <v>1</v>
      </c>
      <c r="W171" s="613" t="str">
        <f t="shared" si="19"/>
        <v>I</v>
      </c>
      <c r="X171" s="613" t="str">
        <f t="shared" si="20"/>
        <v>I</v>
      </c>
      <c r="Y171" s="613">
        <f t="shared" si="21"/>
        <v>2013</v>
      </c>
      <c r="Z171" s="613" t="str">
        <f t="shared" si="22"/>
        <v>I</v>
      </c>
      <c r="AA171" s="613" t="str">
        <f t="shared" si="23"/>
        <v>I</v>
      </c>
      <c r="AB171" s="613" t="str">
        <f t="shared" si="23"/>
        <v>I</v>
      </c>
      <c r="AD171" s="613"/>
      <c r="AE171" s="740"/>
      <c r="AF171" s="644"/>
      <c r="AM171" s="647"/>
      <c r="AN171" s="647"/>
      <c r="AO171" s="647"/>
      <c r="AP171" s="647"/>
      <c r="AQ171" s="647"/>
    </row>
    <row r="172" spans="1:43" x14ac:dyDescent="0.2">
      <c r="A172" s="527">
        <v>170</v>
      </c>
      <c r="C172" s="748" t="s">
        <v>1944</v>
      </c>
      <c r="D172" s="624"/>
      <c r="E172" s="624">
        <v>41440</v>
      </c>
      <c r="F172" s="846" t="s">
        <v>2694</v>
      </c>
      <c r="G172" s="624">
        <v>41608</v>
      </c>
      <c r="H172" s="530">
        <f t="shared" si="29"/>
        <v>0.45995893223819301</v>
      </c>
      <c r="I172" s="748"/>
      <c r="J172" s="673">
        <v>2013</v>
      </c>
      <c r="K172" s="673">
        <v>2013</v>
      </c>
      <c r="L172" s="613" t="s">
        <v>303</v>
      </c>
      <c r="M172" s="613">
        <f t="shared" si="24"/>
        <v>0</v>
      </c>
      <c r="N172" s="613">
        <f t="shared" si="25"/>
        <v>1</v>
      </c>
      <c r="O172" s="674"/>
      <c r="P172" s="674"/>
      <c r="Q172" s="674">
        <v>1</v>
      </c>
      <c r="R172" s="674"/>
      <c r="S172" s="674"/>
      <c r="T172" s="674"/>
      <c r="U172" s="613">
        <f t="shared" si="26"/>
        <v>1</v>
      </c>
      <c r="W172" s="613" t="str">
        <f t="shared" si="19"/>
        <v>I</v>
      </c>
      <c r="X172" s="613" t="str">
        <f t="shared" si="20"/>
        <v>I</v>
      </c>
      <c r="Y172" s="613">
        <f t="shared" si="21"/>
        <v>2013</v>
      </c>
      <c r="Z172" s="613" t="str">
        <f t="shared" si="22"/>
        <v>I</v>
      </c>
      <c r="AA172" s="613" t="str">
        <f t="shared" si="23"/>
        <v>I</v>
      </c>
      <c r="AB172" s="613" t="str">
        <f t="shared" si="23"/>
        <v>I</v>
      </c>
      <c r="AD172" s="613"/>
      <c r="AE172" s="740"/>
      <c r="AF172" s="644"/>
      <c r="AM172" s="647"/>
      <c r="AN172" s="647"/>
      <c r="AO172" s="647"/>
      <c r="AP172" s="647"/>
      <c r="AQ172" s="647"/>
    </row>
    <row r="173" spans="1:43" x14ac:dyDescent="0.2">
      <c r="A173" s="527">
        <v>171</v>
      </c>
      <c r="C173" s="672" t="s">
        <v>1945</v>
      </c>
      <c r="D173" s="624"/>
      <c r="E173" s="624">
        <v>41440</v>
      </c>
      <c r="F173" s="846" t="s">
        <v>2694</v>
      </c>
      <c r="G173" s="624">
        <v>41608</v>
      </c>
      <c r="H173" s="530">
        <f t="shared" si="29"/>
        <v>0.45995893223819301</v>
      </c>
      <c r="I173" s="672"/>
      <c r="J173" s="673">
        <v>2013</v>
      </c>
      <c r="K173" s="673">
        <v>2013</v>
      </c>
      <c r="L173" s="613" t="s">
        <v>303</v>
      </c>
      <c r="M173" s="613">
        <f t="shared" si="24"/>
        <v>0</v>
      </c>
      <c r="N173" s="613">
        <f t="shared" si="25"/>
        <v>1</v>
      </c>
      <c r="O173" s="674"/>
      <c r="P173" s="674"/>
      <c r="Q173" s="674">
        <v>1</v>
      </c>
      <c r="R173" s="674"/>
      <c r="S173" s="674"/>
      <c r="T173" s="674"/>
      <c r="U173" s="613">
        <f t="shared" si="26"/>
        <v>1</v>
      </c>
      <c r="W173" s="613" t="str">
        <f t="shared" si="19"/>
        <v>I</v>
      </c>
      <c r="X173" s="613" t="str">
        <f t="shared" si="20"/>
        <v>I</v>
      </c>
      <c r="Y173" s="613">
        <f t="shared" si="21"/>
        <v>2013</v>
      </c>
      <c r="Z173" s="613" t="str">
        <f t="shared" si="22"/>
        <v>I</v>
      </c>
      <c r="AA173" s="613" t="str">
        <f t="shared" si="23"/>
        <v>I</v>
      </c>
      <c r="AB173" s="613" t="str">
        <f t="shared" si="23"/>
        <v>I</v>
      </c>
      <c r="AD173" s="613"/>
      <c r="AE173" s="740"/>
      <c r="AF173" s="644"/>
      <c r="AM173" s="647"/>
      <c r="AN173" s="647"/>
      <c r="AO173" s="647"/>
      <c r="AP173" s="647"/>
      <c r="AQ173" s="647"/>
    </row>
    <row r="174" spans="1:43" x14ac:dyDescent="0.2">
      <c r="A174" s="527">
        <v>172</v>
      </c>
      <c r="C174" s="748" t="s">
        <v>1946</v>
      </c>
      <c r="D174" s="624"/>
      <c r="E174" s="624">
        <v>41440</v>
      </c>
      <c r="F174" s="846" t="s">
        <v>2694</v>
      </c>
      <c r="G174" s="624">
        <v>41608</v>
      </c>
      <c r="H174" s="530">
        <f t="shared" si="29"/>
        <v>0.45995893223819301</v>
      </c>
      <c r="I174" s="748"/>
      <c r="J174" s="673">
        <v>2013</v>
      </c>
      <c r="K174" s="673">
        <v>2013</v>
      </c>
      <c r="L174" s="613" t="s">
        <v>303</v>
      </c>
      <c r="M174" s="613">
        <f t="shared" si="24"/>
        <v>0</v>
      </c>
      <c r="N174" s="613">
        <f t="shared" si="25"/>
        <v>1</v>
      </c>
      <c r="O174" s="674"/>
      <c r="P174" s="674"/>
      <c r="Q174" s="674">
        <v>1</v>
      </c>
      <c r="R174" s="674"/>
      <c r="S174" s="674"/>
      <c r="T174" s="674"/>
      <c r="U174" s="613">
        <f t="shared" si="26"/>
        <v>1</v>
      </c>
      <c r="W174" s="613" t="str">
        <f t="shared" si="19"/>
        <v>I</v>
      </c>
      <c r="X174" s="613" t="str">
        <f t="shared" si="20"/>
        <v>I</v>
      </c>
      <c r="Y174" s="613">
        <f t="shared" si="21"/>
        <v>2013</v>
      </c>
      <c r="Z174" s="613" t="str">
        <f t="shared" si="22"/>
        <v>I</v>
      </c>
      <c r="AA174" s="613" t="str">
        <f t="shared" si="23"/>
        <v>I</v>
      </c>
      <c r="AB174" s="613" t="str">
        <f t="shared" si="23"/>
        <v>I</v>
      </c>
      <c r="AD174" s="613"/>
      <c r="AE174" s="740"/>
      <c r="AF174" s="644"/>
      <c r="AM174" s="647"/>
      <c r="AN174" s="647"/>
      <c r="AO174" s="647"/>
      <c r="AP174" s="647"/>
      <c r="AQ174" s="647"/>
    </row>
    <row r="175" spans="1:43" x14ac:dyDescent="0.2">
      <c r="A175" s="527">
        <v>173</v>
      </c>
      <c r="C175" s="748" t="s">
        <v>1947</v>
      </c>
      <c r="D175" s="624">
        <v>41456</v>
      </c>
      <c r="E175" s="624"/>
      <c r="F175" s="844" t="s">
        <v>316</v>
      </c>
      <c r="G175" s="624">
        <v>41551</v>
      </c>
      <c r="H175" s="530">
        <f t="shared" si="29"/>
        <v>0.26009582477754961</v>
      </c>
      <c r="I175" s="748"/>
      <c r="J175" s="673">
        <v>2013</v>
      </c>
      <c r="K175" s="673">
        <v>2013</v>
      </c>
      <c r="L175" s="613" t="s">
        <v>336</v>
      </c>
      <c r="M175" s="613">
        <f t="shared" si="24"/>
        <v>1</v>
      </c>
      <c r="N175" s="613">
        <f t="shared" si="25"/>
        <v>0</v>
      </c>
      <c r="O175" s="674"/>
      <c r="P175" s="674"/>
      <c r="Q175" s="674">
        <v>1</v>
      </c>
      <c r="R175" s="674"/>
      <c r="S175" s="674"/>
      <c r="T175" s="674"/>
      <c r="U175" s="613">
        <f t="shared" si="26"/>
        <v>1</v>
      </c>
      <c r="W175" s="613" t="str">
        <f t="shared" si="19"/>
        <v>I</v>
      </c>
      <c r="X175" s="613" t="str">
        <f t="shared" si="20"/>
        <v>I</v>
      </c>
      <c r="Y175" s="613">
        <f t="shared" si="21"/>
        <v>2013</v>
      </c>
      <c r="Z175" s="613" t="str">
        <f t="shared" si="22"/>
        <v>I</v>
      </c>
      <c r="AA175" s="613" t="str">
        <f t="shared" si="23"/>
        <v>I</v>
      </c>
      <c r="AB175" s="613" t="str">
        <f t="shared" si="23"/>
        <v>I</v>
      </c>
      <c r="AD175" s="613"/>
      <c r="AE175" s="740"/>
      <c r="AF175" s="644"/>
      <c r="AM175" s="647"/>
      <c r="AN175" s="647"/>
      <c r="AO175" s="647"/>
      <c r="AP175" s="647"/>
      <c r="AQ175" s="647"/>
    </row>
    <row r="176" spans="1:43" x14ac:dyDescent="0.2">
      <c r="A176" s="527">
        <v>174</v>
      </c>
      <c r="C176" s="748" t="s">
        <v>1948</v>
      </c>
      <c r="D176" s="624"/>
      <c r="E176" s="624">
        <v>41409</v>
      </c>
      <c r="F176" s="846" t="s">
        <v>2694</v>
      </c>
      <c r="G176" s="624">
        <v>41608</v>
      </c>
      <c r="H176" s="530">
        <f t="shared" si="29"/>
        <v>0.54483230663928817</v>
      </c>
      <c r="I176" s="748"/>
      <c r="J176" s="673">
        <v>2013</v>
      </c>
      <c r="K176" s="673">
        <v>2013</v>
      </c>
      <c r="L176" s="613" t="s">
        <v>303</v>
      </c>
      <c r="M176" s="613">
        <f t="shared" si="24"/>
        <v>0</v>
      </c>
      <c r="N176" s="613">
        <f t="shared" si="25"/>
        <v>1</v>
      </c>
      <c r="O176" s="674"/>
      <c r="P176" s="674"/>
      <c r="Q176" s="674">
        <v>1</v>
      </c>
      <c r="R176" s="674"/>
      <c r="S176" s="674"/>
      <c r="T176" s="674"/>
      <c r="U176" s="613">
        <f t="shared" si="26"/>
        <v>1</v>
      </c>
      <c r="W176" s="613" t="str">
        <f t="shared" si="19"/>
        <v>I</v>
      </c>
      <c r="X176" s="613" t="str">
        <f t="shared" si="20"/>
        <v>I</v>
      </c>
      <c r="Y176" s="613">
        <f t="shared" si="21"/>
        <v>2013</v>
      </c>
      <c r="Z176" s="613" t="str">
        <f t="shared" si="22"/>
        <v>I</v>
      </c>
      <c r="AA176" s="613" t="str">
        <f t="shared" si="23"/>
        <v>I</v>
      </c>
      <c r="AB176" s="613" t="str">
        <f t="shared" si="23"/>
        <v>I</v>
      </c>
      <c r="AD176" s="613"/>
      <c r="AE176" s="740"/>
      <c r="AF176" s="644"/>
      <c r="AM176" s="647"/>
      <c r="AN176" s="647"/>
      <c r="AO176" s="647"/>
      <c r="AP176" s="647"/>
      <c r="AQ176" s="647"/>
    </row>
    <row r="177" spans="1:43" x14ac:dyDescent="0.2">
      <c r="A177" s="527">
        <v>175</v>
      </c>
      <c r="C177" s="749" t="s">
        <v>1884</v>
      </c>
      <c r="D177" s="624"/>
      <c r="E177" s="624"/>
      <c r="F177" s="844"/>
      <c r="G177" s="624"/>
      <c r="H177" s="619"/>
      <c r="I177" s="749"/>
      <c r="J177" s="676">
        <v>2012</v>
      </c>
      <c r="K177" s="676">
        <v>2014</v>
      </c>
      <c r="L177" s="613" t="s">
        <v>336</v>
      </c>
      <c r="M177" s="613">
        <f t="shared" si="24"/>
        <v>0</v>
      </c>
      <c r="N177" s="613">
        <f t="shared" si="25"/>
        <v>0</v>
      </c>
      <c r="O177" s="677"/>
      <c r="P177" s="677"/>
      <c r="Q177" s="677"/>
      <c r="R177" s="677">
        <v>1</v>
      </c>
      <c r="S177" s="677"/>
      <c r="T177" s="677"/>
      <c r="U177" s="613">
        <f t="shared" si="26"/>
        <v>1</v>
      </c>
      <c r="W177" s="613" t="str">
        <f t="shared" si="19"/>
        <v>I</v>
      </c>
      <c r="X177" s="613" t="str">
        <f t="shared" si="20"/>
        <v>I</v>
      </c>
      <c r="Y177" s="613" t="str">
        <f t="shared" si="21"/>
        <v>I</v>
      </c>
      <c r="Z177" s="613">
        <f t="shared" si="22"/>
        <v>2012</v>
      </c>
      <c r="AA177" s="613" t="str">
        <f t="shared" si="23"/>
        <v>I</v>
      </c>
      <c r="AB177" s="613" t="str">
        <f t="shared" si="23"/>
        <v>I</v>
      </c>
      <c r="AD177" s="613"/>
      <c r="AE177" s="740"/>
      <c r="AF177" s="644"/>
      <c r="AM177" s="647"/>
      <c r="AN177" s="647"/>
      <c r="AO177" s="647"/>
      <c r="AP177" s="647"/>
      <c r="AQ177" s="647"/>
    </row>
    <row r="178" spans="1:43" x14ac:dyDescent="0.2">
      <c r="A178" s="527">
        <v>176</v>
      </c>
      <c r="C178" s="749" t="s">
        <v>1720</v>
      </c>
      <c r="D178" s="624"/>
      <c r="E178" s="624"/>
      <c r="F178" s="844"/>
      <c r="G178" s="624"/>
      <c r="H178" s="619"/>
      <c r="I178" s="749"/>
      <c r="J178" s="676">
        <v>2013</v>
      </c>
      <c r="K178" s="676">
        <v>2014</v>
      </c>
      <c r="L178" s="613" t="s">
        <v>336</v>
      </c>
      <c r="M178" s="613">
        <f t="shared" si="24"/>
        <v>0</v>
      </c>
      <c r="N178" s="613">
        <f t="shared" si="25"/>
        <v>0</v>
      </c>
      <c r="O178" s="677">
        <v>1</v>
      </c>
      <c r="P178" s="677"/>
      <c r="Q178" s="677"/>
      <c r="R178" s="677"/>
      <c r="S178" s="677"/>
      <c r="T178" s="677"/>
      <c r="U178" s="613">
        <f t="shared" si="26"/>
        <v>1</v>
      </c>
      <c r="W178" s="613">
        <f t="shared" si="19"/>
        <v>2013</v>
      </c>
      <c r="X178" s="613" t="str">
        <f t="shared" si="20"/>
        <v>I</v>
      </c>
      <c r="Y178" s="613" t="str">
        <f t="shared" si="21"/>
        <v>I</v>
      </c>
      <c r="Z178" s="613" t="str">
        <f t="shared" si="22"/>
        <v>I</v>
      </c>
      <c r="AA178" s="613" t="str">
        <f t="shared" si="23"/>
        <v>I</v>
      </c>
      <c r="AB178" s="613" t="str">
        <f t="shared" si="23"/>
        <v>I</v>
      </c>
      <c r="AD178" s="613"/>
      <c r="AE178" s="740"/>
      <c r="AF178" s="644"/>
      <c r="AM178" s="647"/>
      <c r="AN178" s="647"/>
      <c r="AO178" s="647"/>
      <c r="AP178" s="647"/>
      <c r="AQ178" s="647"/>
    </row>
    <row r="179" spans="1:43" x14ac:dyDescent="0.2">
      <c r="A179" s="527">
        <v>177</v>
      </c>
      <c r="C179" s="675" t="s">
        <v>1797</v>
      </c>
      <c r="D179" s="624"/>
      <c r="E179" s="624"/>
      <c r="F179" s="844"/>
      <c r="G179" s="624"/>
      <c r="H179" s="619"/>
      <c r="I179" s="675"/>
      <c r="J179" s="676">
        <v>2012</v>
      </c>
      <c r="K179" s="676">
        <v>2014</v>
      </c>
      <c r="L179" s="613" t="s">
        <v>336</v>
      </c>
      <c r="M179" s="613">
        <f t="shared" si="24"/>
        <v>0</v>
      </c>
      <c r="N179" s="613">
        <f t="shared" si="25"/>
        <v>0</v>
      </c>
      <c r="O179" s="677"/>
      <c r="P179" s="677"/>
      <c r="Q179" s="677"/>
      <c r="R179" s="677">
        <v>1</v>
      </c>
      <c r="S179" s="677"/>
      <c r="T179" s="677"/>
      <c r="U179" s="613">
        <f t="shared" si="26"/>
        <v>1</v>
      </c>
      <c r="W179" s="613" t="str">
        <f t="shared" si="19"/>
        <v>I</v>
      </c>
      <c r="X179" s="613" t="str">
        <f t="shared" si="20"/>
        <v>I</v>
      </c>
      <c r="Y179" s="613" t="str">
        <f t="shared" si="21"/>
        <v>I</v>
      </c>
      <c r="Z179" s="613">
        <f t="shared" si="22"/>
        <v>2012</v>
      </c>
      <c r="AA179" s="613" t="str">
        <f t="shared" si="23"/>
        <v>I</v>
      </c>
      <c r="AB179" s="613" t="str">
        <f t="shared" si="23"/>
        <v>I</v>
      </c>
      <c r="AD179" s="613"/>
      <c r="AE179" s="740"/>
      <c r="AF179" s="880"/>
      <c r="AM179" s="647"/>
      <c r="AN179" s="647"/>
      <c r="AO179" s="647"/>
      <c r="AP179" s="647"/>
      <c r="AQ179" s="647"/>
    </row>
    <row r="180" spans="1:43" x14ac:dyDescent="0.2">
      <c r="A180" s="527">
        <v>178</v>
      </c>
      <c r="C180" s="675" t="s">
        <v>1818</v>
      </c>
      <c r="D180" s="624"/>
      <c r="E180" s="624"/>
      <c r="F180" s="844"/>
      <c r="G180" s="624"/>
      <c r="H180" s="619"/>
      <c r="I180" s="675"/>
      <c r="J180" s="676">
        <v>2011</v>
      </c>
      <c r="K180" s="676">
        <v>2014</v>
      </c>
      <c r="L180" s="613" t="s">
        <v>336</v>
      </c>
      <c r="M180" s="613">
        <f t="shared" si="24"/>
        <v>0</v>
      </c>
      <c r="N180" s="613">
        <f t="shared" si="25"/>
        <v>0</v>
      </c>
      <c r="O180" s="677"/>
      <c r="P180" s="677"/>
      <c r="Q180" s="677"/>
      <c r="R180" s="677">
        <v>1</v>
      </c>
      <c r="S180" s="677"/>
      <c r="T180" s="677"/>
      <c r="U180" s="613">
        <f t="shared" si="26"/>
        <v>1</v>
      </c>
      <c r="W180" s="613" t="str">
        <f t="shared" si="19"/>
        <v>I</v>
      </c>
      <c r="X180" s="613" t="str">
        <f t="shared" si="20"/>
        <v>I</v>
      </c>
      <c r="Y180" s="613" t="str">
        <f t="shared" si="21"/>
        <v>I</v>
      </c>
      <c r="Z180" s="613">
        <f t="shared" si="22"/>
        <v>2011</v>
      </c>
      <c r="AA180" s="613" t="str">
        <f t="shared" si="23"/>
        <v>I</v>
      </c>
      <c r="AB180" s="613" t="str">
        <f t="shared" si="23"/>
        <v>I</v>
      </c>
      <c r="AD180" s="613"/>
      <c r="AE180" s="740"/>
      <c r="AF180" s="880"/>
      <c r="AM180" s="647"/>
      <c r="AN180" s="647"/>
      <c r="AO180" s="647"/>
      <c r="AP180" s="647"/>
      <c r="AQ180" s="647"/>
    </row>
    <row r="181" spans="1:43" x14ac:dyDescent="0.2">
      <c r="A181" s="527">
        <v>179</v>
      </c>
      <c r="C181" s="675" t="s">
        <v>1819</v>
      </c>
      <c r="D181" s="624"/>
      <c r="E181" s="624"/>
      <c r="F181" s="844"/>
      <c r="G181" s="624"/>
      <c r="H181" s="619"/>
      <c r="I181" s="675"/>
      <c r="J181" s="676">
        <v>2011</v>
      </c>
      <c r="K181" s="676">
        <v>2014</v>
      </c>
      <c r="L181" s="613" t="s">
        <v>336</v>
      </c>
      <c r="M181" s="613">
        <f t="shared" si="24"/>
        <v>0</v>
      </c>
      <c r="N181" s="613">
        <f t="shared" si="25"/>
        <v>0</v>
      </c>
      <c r="O181" s="677"/>
      <c r="P181" s="677"/>
      <c r="Q181" s="677"/>
      <c r="R181" s="677">
        <v>1</v>
      </c>
      <c r="S181" s="677"/>
      <c r="T181" s="677"/>
      <c r="U181" s="613">
        <f t="shared" si="26"/>
        <v>1</v>
      </c>
      <c r="W181" s="613" t="str">
        <f t="shared" si="19"/>
        <v>I</v>
      </c>
      <c r="X181" s="613" t="str">
        <f t="shared" si="20"/>
        <v>I</v>
      </c>
      <c r="Y181" s="613" t="str">
        <f t="shared" si="21"/>
        <v>I</v>
      </c>
      <c r="Z181" s="613">
        <f t="shared" si="22"/>
        <v>2011</v>
      </c>
      <c r="AA181" s="613" t="str">
        <f t="shared" si="23"/>
        <v>I</v>
      </c>
      <c r="AB181" s="613" t="str">
        <f t="shared" si="23"/>
        <v>I</v>
      </c>
      <c r="AD181" s="613"/>
      <c r="AE181" s="740"/>
      <c r="AF181" s="880"/>
      <c r="AM181" s="647"/>
      <c r="AN181" s="647"/>
      <c r="AO181" s="647"/>
      <c r="AP181" s="647"/>
      <c r="AQ181" s="647"/>
    </row>
    <row r="182" spans="1:43" x14ac:dyDescent="0.2">
      <c r="A182" s="527">
        <v>180</v>
      </c>
      <c r="C182" s="749" t="s">
        <v>1949</v>
      </c>
      <c r="D182" s="624"/>
      <c r="E182" s="624">
        <v>41044</v>
      </c>
      <c r="F182" s="846" t="s">
        <v>2694</v>
      </c>
      <c r="G182" s="624">
        <v>41649</v>
      </c>
      <c r="H182" s="530">
        <f t="shared" ref="H182:H203" si="30">(G182-MAX(D182:E182))/365.25</f>
        <v>1.6563997262149213</v>
      </c>
      <c r="I182" s="749"/>
      <c r="J182" s="676">
        <v>2012</v>
      </c>
      <c r="K182" s="676">
        <v>2014</v>
      </c>
      <c r="L182" s="613" t="s">
        <v>303</v>
      </c>
      <c r="M182" s="613">
        <f t="shared" si="24"/>
        <v>0</v>
      </c>
      <c r="N182" s="613">
        <f t="shared" si="25"/>
        <v>1</v>
      </c>
      <c r="O182" s="677"/>
      <c r="P182" s="677"/>
      <c r="Q182" s="677">
        <v>1</v>
      </c>
      <c r="R182" s="677"/>
      <c r="S182" s="677"/>
      <c r="T182" s="677"/>
      <c r="U182" s="613">
        <f t="shared" si="26"/>
        <v>1</v>
      </c>
      <c r="W182" s="613" t="str">
        <f t="shared" si="19"/>
        <v>I</v>
      </c>
      <c r="X182" s="613" t="str">
        <f t="shared" si="20"/>
        <v>I</v>
      </c>
      <c r="Y182" s="613">
        <f t="shared" si="21"/>
        <v>2012</v>
      </c>
      <c r="Z182" s="613" t="str">
        <f t="shared" si="22"/>
        <v>I</v>
      </c>
      <c r="AA182" s="613" t="str">
        <f t="shared" si="23"/>
        <v>I</v>
      </c>
      <c r="AB182" s="613" t="str">
        <f t="shared" si="23"/>
        <v>I</v>
      </c>
      <c r="AD182" s="613"/>
      <c r="AE182" s="740"/>
      <c r="AF182" s="880"/>
      <c r="AM182" s="647"/>
      <c r="AN182" s="647"/>
      <c r="AO182" s="647"/>
      <c r="AP182" s="647"/>
      <c r="AQ182" s="647"/>
    </row>
    <row r="183" spans="1:43" x14ac:dyDescent="0.2">
      <c r="A183" s="527">
        <v>181</v>
      </c>
      <c r="C183" s="749" t="s">
        <v>1950</v>
      </c>
      <c r="D183" s="624"/>
      <c r="E183" s="624">
        <v>41532</v>
      </c>
      <c r="F183" s="846" t="s">
        <v>2694</v>
      </c>
      <c r="G183" s="624">
        <v>41649</v>
      </c>
      <c r="H183" s="530">
        <f t="shared" si="30"/>
        <v>0.32032854209445583</v>
      </c>
      <c r="I183" s="749"/>
      <c r="J183" s="676">
        <v>2013</v>
      </c>
      <c r="K183" s="676">
        <v>2014</v>
      </c>
      <c r="L183" s="613" t="s">
        <v>303</v>
      </c>
      <c r="M183" s="613">
        <f t="shared" si="24"/>
        <v>0</v>
      </c>
      <c r="N183" s="613">
        <f t="shared" si="25"/>
        <v>1</v>
      </c>
      <c r="O183" s="677"/>
      <c r="P183" s="677"/>
      <c r="Q183" s="677">
        <v>1</v>
      </c>
      <c r="R183" s="677"/>
      <c r="S183" s="677"/>
      <c r="T183" s="677"/>
      <c r="U183" s="613">
        <f t="shared" si="26"/>
        <v>1</v>
      </c>
      <c r="W183" s="613" t="str">
        <f t="shared" si="19"/>
        <v>I</v>
      </c>
      <c r="X183" s="613" t="str">
        <f t="shared" si="20"/>
        <v>I</v>
      </c>
      <c r="Y183" s="613">
        <f t="shared" si="21"/>
        <v>2013</v>
      </c>
      <c r="Z183" s="613" t="str">
        <f t="shared" si="22"/>
        <v>I</v>
      </c>
      <c r="AA183" s="613" t="str">
        <f t="shared" si="23"/>
        <v>I</v>
      </c>
      <c r="AB183" s="613" t="str">
        <f t="shared" si="23"/>
        <v>I</v>
      </c>
      <c r="AD183" s="613"/>
      <c r="AE183" s="740"/>
      <c r="AF183" s="880"/>
      <c r="AM183" s="647"/>
      <c r="AN183" s="647"/>
      <c r="AO183" s="647"/>
      <c r="AP183" s="647"/>
      <c r="AQ183" s="647"/>
    </row>
    <row r="184" spans="1:43" x14ac:dyDescent="0.2">
      <c r="A184" s="527">
        <v>182</v>
      </c>
      <c r="C184" s="675" t="s">
        <v>1951</v>
      </c>
      <c r="D184" s="624"/>
      <c r="E184" s="624">
        <v>40983</v>
      </c>
      <c r="F184" s="846" t="s">
        <v>2694</v>
      </c>
      <c r="G184" s="624">
        <v>41649</v>
      </c>
      <c r="H184" s="530">
        <f t="shared" si="30"/>
        <v>1.8234086242299794</v>
      </c>
      <c r="I184" s="675"/>
      <c r="J184" s="676">
        <v>2012</v>
      </c>
      <c r="K184" s="676">
        <v>2014</v>
      </c>
      <c r="L184" s="613" t="s">
        <v>303</v>
      </c>
      <c r="M184" s="613">
        <f t="shared" si="24"/>
        <v>0</v>
      </c>
      <c r="N184" s="613">
        <f t="shared" si="25"/>
        <v>1</v>
      </c>
      <c r="O184" s="677"/>
      <c r="P184" s="677"/>
      <c r="Q184" s="677">
        <v>1</v>
      </c>
      <c r="R184" s="677"/>
      <c r="S184" s="677"/>
      <c r="T184" s="677"/>
      <c r="U184" s="613">
        <f t="shared" si="26"/>
        <v>1</v>
      </c>
      <c r="W184" s="613" t="str">
        <f t="shared" si="19"/>
        <v>I</v>
      </c>
      <c r="X184" s="613" t="str">
        <f t="shared" si="20"/>
        <v>I</v>
      </c>
      <c r="Y184" s="613">
        <f t="shared" si="21"/>
        <v>2012</v>
      </c>
      <c r="Z184" s="613" t="str">
        <f t="shared" si="22"/>
        <v>I</v>
      </c>
      <c r="AA184" s="613" t="str">
        <f t="shared" si="23"/>
        <v>I</v>
      </c>
      <c r="AB184" s="613" t="str">
        <f t="shared" si="23"/>
        <v>I</v>
      </c>
      <c r="AD184" s="613"/>
      <c r="AE184" s="740"/>
      <c r="AF184" s="880"/>
      <c r="AM184" s="647"/>
      <c r="AN184" s="647"/>
      <c r="AO184" s="647"/>
      <c r="AP184" s="647"/>
      <c r="AQ184" s="647"/>
    </row>
    <row r="185" spans="1:43" x14ac:dyDescent="0.2">
      <c r="A185" s="527">
        <v>183</v>
      </c>
      <c r="C185" s="675" t="s">
        <v>1952</v>
      </c>
      <c r="D185" s="624"/>
      <c r="E185" s="624">
        <v>41440</v>
      </c>
      <c r="F185" s="846" t="s">
        <v>2694</v>
      </c>
      <c r="G185" s="624">
        <v>41649</v>
      </c>
      <c r="H185" s="530">
        <f t="shared" si="30"/>
        <v>0.57221081451060918</v>
      </c>
      <c r="I185" s="675"/>
      <c r="J185" s="676">
        <v>2013</v>
      </c>
      <c r="K185" s="676">
        <v>2014</v>
      </c>
      <c r="L185" s="613" t="s">
        <v>303</v>
      </c>
      <c r="M185" s="613">
        <f t="shared" si="24"/>
        <v>0</v>
      </c>
      <c r="N185" s="613">
        <f t="shared" si="25"/>
        <v>1</v>
      </c>
      <c r="O185" s="677"/>
      <c r="P185" s="677"/>
      <c r="Q185" s="677">
        <v>1</v>
      </c>
      <c r="R185" s="677"/>
      <c r="S185" s="677"/>
      <c r="T185" s="677"/>
      <c r="U185" s="613">
        <f t="shared" si="26"/>
        <v>1</v>
      </c>
      <c r="W185" s="613" t="str">
        <f t="shared" si="19"/>
        <v>I</v>
      </c>
      <c r="X185" s="613" t="str">
        <f t="shared" si="20"/>
        <v>I</v>
      </c>
      <c r="Y185" s="613">
        <f t="shared" si="21"/>
        <v>2013</v>
      </c>
      <c r="Z185" s="613" t="str">
        <f t="shared" si="22"/>
        <v>I</v>
      </c>
      <c r="AA185" s="613" t="str">
        <f t="shared" si="23"/>
        <v>I</v>
      </c>
      <c r="AB185" s="613" t="str">
        <f t="shared" si="23"/>
        <v>I</v>
      </c>
      <c r="AD185" s="613"/>
      <c r="AE185" s="740"/>
      <c r="AF185" s="880"/>
      <c r="AM185" s="647"/>
      <c r="AN185" s="647"/>
      <c r="AO185" s="647"/>
      <c r="AP185" s="647"/>
      <c r="AQ185" s="647"/>
    </row>
    <row r="186" spans="1:43" x14ac:dyDescent="0.2">
      <c r="A186" s="527">
        <v>184</v>
      </c>
      <c r="C186" s="749" t="s">
        <v>1953</v>
      </c>
      <c r="D186" s="624"/>
      <c r="E186" s="624">
        <v>41456</v>
      </c>
      <c r="F186" s="846" t="s">
        <v>316</v>
      </c>
      <c r="G186" s="624">
        <v>41669</v>
      </c>
      <c r="H186" s="530">
        <f t="shared" si="30"/>
        <v>0.58316221765913756</v>
      </c>
      <c r="I186" s="749"/>
      <c r="J186" s="676">
        <v>2013</v>
      </c>
      <c r="K186" s="676">
        <v>2014</v>
      </c>
      <c r="L186" s="613" t="s">
        <v>303</v>
      </c>
      <c r="M186" s="613">
        <f t="shared" si="24"/>
        <v>0</v>
      </c>
      <c r="N186" s="613">
        <f t="shared" si="25"/>
        <v>1</v>
      </c>
      <c r="O186" s="677"/>
      <c r="P186" s="677"/>
      <c r="Q186" s="677">
        <v>1</v>
      </c>
      <c r="R186" s="677"/>
      <c r="S186" s="677"/>
      <c r="T186" s="677"/>
      <c r="U186" s="613">
        <f t="shared" si="26"/>
        <v>1</v>
      </c>
      <c r="W186" s="613" t="str">
        <f t="shared" si="19"/>
        <v>I</v>
      </c>
      <c r="X186" s="613" t="str">
        <f t="shared" si="20"/>
        <v>I</v>
      </c>
      <c r="Y186" s="613">
        <f t="shared" si="21"/>
        <v>2013</v>
      </c>
      <c r="Z186" s="613" t="str">
        <f t="shared" si="22"/>
        <v>I</v>
      </c>
      <c r="AA186" s="613" t="str">
        <f t="shared" si="23"/>
        <v>I</v>
      </c>
      <c r="AB186" s="613" t="str">
        <f t="shared" si="23"/>
        <v>I</v>
      </c>
      <c r="AD186" s="613"/>
      <c r="AE186" s="740"/>
      <c r="AF186" s="880"/>
      <c r="AM186" s="647"/>
      <c r="AN186" s="647"/>
      <c r="AO186" s="647"/>
      <c r="AP186" s="647"/>
      <c r="AQ186" s="647"/>
    </row>
    <row r="187" spans="1:43" x14ac:dyDescent="0.2">
      <c r="A187" s="527">
        <v>185</v>
      </c>
      <c r="C187" s="749" t="s">
        <v>1954</v>
      </c>
      <c r="D187" s="624"/>
      <c r="E187" s="624">
        <v>41623</v>
      </c>
      <c r="F187" s="846" t="s">
        <v>2694</v>
      </c>
      <c r="G187" s="624">
        <v>41958</v>
      </c>
      <c r="H187" s="530">
        <f t="shared" si="30"/>
        <v>0.91718001368925395</v>
      </c>
      <c r="I187" s="749"/>
      <c r="J187" s="676">
        <v>2013</v>
      </c>
      <c r="K187" s="676">
        <v>2014</v>
      </c>
      <c r="L187" s="613" t="s">
        <v>303</v>
      </c>
      <c r="M187" s="613">
        <f t="shared" si="24"/>
        <v>0</v>
      </c>
      <c r="N187" s="613">
        <f t="shared" si="25"/>
        <v>1</v>
      </c>
      <c r="O187" s="677"/>
      <c r="P187" s="677"/>
      <c r="Q187" s="677">
        <v>1</v>
      </c>
      <c r="R187" s="677"/>
      <c r="S187" s="677"/>
      <c r="T187" s="677"/>
      <c r="U187" s="613">
        <f t="shared" si="26"/>
        <v>1</v>
      </c>
      <c r="W187" s="613" t="str">
        <f t="shared" si="19"/>
        <v>I</v>
      </c>
      <c r="X187" s="613" t="str">
        <f t="shared" si="20"/>
        <v>I</v>
      </c>
      <c r="Y187" s="613">
        <f t="shared" si="21"/>
        <v>2013</v>
      </c>
      <c r="Z187" s="613" t="str">
        <f t="shared" si="22"/>
        <v>I</v>
      </c>
      <c r="AA187" s="613" t="str">
        <f t="shared" si="23"/>
        <v>I</v>
      </c>
      <c r="AB187" s="613" t="str">
        <f t="shared" si="23"/>
        <v>I</v>
      </c>
      <c r="AD187" s="613"/>
      <c r="AE187" s="740"/>
      <c r="AF187" s="880"/>
      <c r="AM187" s="647"/>
      <c r="AN187" s="647"/>
      <c r="AO187" s="647"/>
      <c r="AP187" s="647"/>
      <c r="AQ187" s="647"/>
    </row>
    <row r="188" spans="1:43" x14ac:dyDescent="0.2">
      <c r="A188" s="527">
        <v>186</v>
      </c>
      <c r="C188" s="675" t="s">
        <v>1955</v>
      </c>
      <c r="D188" s="624"/>
      <c r="E188" s="624">
        <v>41456</v>
      </c>
      <c r="F188" s="846" t="s">
        <v>316</v>
      </c>
      <c r="G188" s="624">
        <v>41709</v>
      </c>
      <c r="H188" s="530">
        <f t="shared" si="30"/>
        <v>0.69267624914442161</v>
      </c>
      <c r="I188" s="675"/>
      <c r="J188" s="676">
        <v>2013</v>
      </c>
      <c r="K188" s="676">
        <v>2014</v>
      </c>
      <c r="L188" s="613" t="s">
        <v>303</v>
      </c>
      <c r="M188" s="613">
        <f t="shared" si="24"/>
        <v>0</v>
      </c>
      <c r="N188" s="613">
        <f t="shared" si="25"/>
        <v>1</v>
      </c>
      <c r="O188" s="677"/>
      <c r="P188" s="677"/>
      <c r="Q188" s="677">
        <v>1</v>
      </c>
      <c r="R188" s="677"/>
      <c r="S188" s="677"/>
      <c r="T188" s="677"/>
      <c r="U188" s="613">
        <f t="shared" si="26"/>
        <v>1</v>
      </c>
      <c r="W188" s="613" t="str">
        <f t="shared" si="19"/>
        <v>I</v>
      </c>
      <c r="X188" s="613" t="str">
        <f t="shared" si="20"/>
        <v>I</v>
      </c>
      <c r="Y188" s="613">
        <f t="shared" si="21"/>
        <v>2013</v>
      </c>
      <c r="Z188" s="613" t="str">
        <f t="shared" si="22"/>
        <v>I</v>
      </c>
      <c r="AA188" s="613" t="str">
        <f t="shared" si="23"/>
        <v>I</v>
      </c>
      <c r="AB188" s="613" t="str">
        <f t="shared" si="23"/>
        <v>I</v>
      </c>
      <c r="AD188" s="613"/>
      <c r="AE188" s="740"/>
      <c r="AF188" s="880"/>
      <c r="AM188" s="647"/>
      <c r="AN188" s="647"/>
      <c r="AO188" s="647"/>
      <c r="AP188" s="647"/>
      <c r="AQ188" s="647"/>
    </row>
    <row r="189" spans="1:43" x14ac:dyDescent="0.2">
      <c r="A189" s="527">
        <v>187</v>
      </c>
      <c r="C189" s="675" t="s">
        <v>1956</v>
      </c>
      <c r="D189" s="624"/>
      <c r="E189" s="624">
        <v>41685</v>
      </c>
      <c r="F189" s="846" t="s">
        <v>2694</v>
      </c>
      <c r="G189" s="624">
        <v>41953</v>
      </c>
      <c r="H189" s="530">
        <f t="shared" si="30"/>
        <v>0.73374401095140318</v>
      </c>
      <c r="I189" s="675"/>
      <c r="J189" s="676">
        <v>2014</v>
      </c>
      <c r="K189" s="676">
        <v>2014</v>
      </c>
      <c r="L189" s="613" t="s">
        <v>303</v>
      </c>
      <c r="M189" s="613">
        <f t="shared" si="24"/>
        <v>0</v>
      </c>
      <c r="N189" s="613">
        <f t="shared" si="25"/>
        <v>1</v>
      </c>
      <c r="O189" s="677"/>
      <c r="P189" s="677"/>
      <c r="Q189" s="677">
        <v>1</v>
      </c>
      <c r="R189" s="677"/>
      <c r="S189" s="677"/>
      <c r="T189" s="677"/>
      <c r="U189" s="613">
        <f t="shared" si="26"/>
        <v>1</v>
      </c>
      <c r="W189" s="613" t="str">
        <f t="shared" si="19"/>
        <v>I</v>
      </c>
      <c r="X189" s="613" t="str">
        <f t="shared" si="20"/>
        <v>I</v>
      </c>
      <c r="Y189" s="613">
        <f t="shared" si="21"/>
        <v>2014</v>
      </c>
      <c r="Z189" s="613" t="str">
        <f t="shared" si="22"/>
        <v>I</v>
      </c>
      <c r="AA189" s="613" t="str">
        <f t="shared" si="23"/>
        <v>I</v>
      </c>
      <c r="AB189" s="613" t="str">
        <f t="shared" si="23"/>
        <v>I</v>
      </c>
      <c r="AD189" s="613"/>
      <c r="AE189" s="740"/>
      <c r="AF189" s="880"/>
      <c r="AM189" s="647"/>
      <c r="AN189" s="647"/>
      <c r="AO189" s="647"/>
      <c r="AP189" s="647"/>
      <c r="AQ189" s="647"/>
    </row>
    <row r="190" spans="1:43" x14ac:dyDescent="0.2">
      <c r="A190" s="527">
        <v>188</v>
      </c>
      <c r="C190" s="749" t="s">
        <v>1957</v>
      </c>
      <c r="D190" s="624"/>
      <c r="E190" s="882">
        <v>41685</v>
      </c>
      <c r="F190" s="846" t="s">
        <v>316</v>
      </c>
      <c r="G190" s="624">
        <v>41813</v>
      </c>
      <c r="H190" s="530">
        <f t="shared" si="30"/>
        <v>0.35044490075290896</v>
      </c>
      <c r="I190" s="749"/>
      <c r="J190" s="676">
        <v>2014</v>
      </c>
      <c r="K190" s="676">
        <v>2014</v>
      </c>
      <c r="L190" s="613" t="s">
        <v>303</v>
      </c>
      <c r="M190" s="613">
        <f t="shared" si="24"/>
        <v>0</v>
      </c>
      <c r="N190" s="613">
        <f t="shared" si="25"/>
        <v>1</v>
      </c>
      <c r="O190" s="677"/>
      <c r="P190" s="677"/>
      <c r="Q190" s="677">
        <v>1</v>
      </c>
      <c r="R190" s="677"/>
      <c r="S190" s="677"/>
      <c r="T190" s="677"/>
      <c r="U190" s="613">
        <f t="shared" si="26"/>
        <v>1</v>
      </c>
      <c r="W190" s="613" t="str">
        <f t="shared" si="19"/>
        <v>I</v>
      </c>
      <c r="X190" s="613" t="str">
        <f t="shared" si="20"/>
        <v>I</v>
      </c>
      <c r="Y190" s="613">
        <f t="shared" si="21"/>
        <v>2014</v>
      </c>
      <c r="Z190" s="613" t="str">
        <f t="shared" si="22"/>
        <v>I</v>
      </c>
      <c r="AA190" s="613" t="str">
        <f t="shared" si="23"/>
        <v>I</v>
      </c>
      <c r="AB190" s="613" t="str">
        <f t="shared" si="23"/>
        <v>I</v>
      </c>
      <c r="AD190" s="613"/>
      <c r="AE190" s="740"/>
      <c r="AF190" s="880"/>
      <c r="AM190" s="647"/>
      <c r="AN190" s="647"/>
      <c r="AO190" s="647"/>
      <c r="AP190" s="647"/>
      <c r="AQ190" s="647"/>
    </row>
    <row r="191" spans="1:43" x14ac:dyDescent="0.2">
      <c r="A191" s="527">
        <v>189</v>
      </c>
      <c r="C191" s="749" t="s">
        <v>1958</v>
      </c>
      <c r="D191" s="624"/>
      <c r="E191" s="624">
        <v>41685</v>
      </c>
      <c r="F191" s="846" t="s">
        <v>2694</v>
      </c>
      <c r="G191" s="624">
        <v>41953</v>
      </c>
      <c r="H191" s="530">
        <f t="shared" si="30"/>
        <v>0.73374401095140318</v>
      </c>
      <c r="I191" s="749"/>
      <c r="J191" s="676">
        <v>2014</v>
      </c>
      <c r="K191" s="676">
        <v>2014</v>
      </c>
      <c r="L191" s="613" t="s">
        <v>303</v>
      </c>
      <c r="M191" s="613">
        <f t="shared" si="24"/>
        <v>0</v>
      </c>
      <c r="N191" s="613">
        <f t="shared" si="25"/>
        <v>1</v>
      </c>
      <c r="O191" s="677"/>
      <c r="P191" s="677"/>
      <c r="Q191" s="677">
        <v>1</v>
      </c>
      <c r="R191" s="677"/>
      <c r="S191" s="677"/>
      <c r="T191" s="677"/>
      <c r="U191" s="613">
        <f t="shared" si="26"/>
        <v>1</v>
      </c>
      <c r="W191" s="613" t="str">
        <f t="shared" si="19"/>
        <v>I</v>
      </c>
      <c r="X191" s="613" t="str">
        <f t="shared" si="20"/>
        <v>I</v>
      </c>
      <c r="Y191" s="613">
        <f t="shared" si="21"/>
        <v>2014</v>
      </c>
      <c r="Z191" s="613" t="str">
        <f t="shared" si="22"/>
        <v>I</v>
      </c>
      <c r="AA191" s="613" t="str">
        <f t="shared" si="23"/>
        <v>I</v>
      </c>
      <c r="AB191" s="613" t="str">
        <f t="shared" si="23"/>
        <v>I</v>
      </c>
      <c r="AD191" s="613"/>
      <c r="AE191" s="740"/>
      <c r="AF191" s="880"/>
      <c r="AM191" s="647"/>
      <c r="AN191" s="647"/>
      <c r="AO191" s="647"/>
      <c r="AP191" s="647"/>
      <c r="AQ191" s="647"/>
    </row>
    <row r="192" spans="1:43" x14ac:dyDescent="0.2">
      <c r="A192" s="527">
        <v>190</v>
      </c>
      <c r="C192" s="675" t="s">
        <v>1959</v>
      </c>
      <c r="D192" s="624"/>
      <c r="E192" s="624">
        <v>41805</v>
      </c>
      <c r="F192" s="846" t="s">
        <v>2694</v>
      </c>
      <c r="G192" s="624">
        <v>41942</v>
      </c>
      <c r="H192" s="530">
        <f t="shared" si="30"/>
        <v>0.3750855578370979</v>
      </c>
      <c r="I192" s="675"/>
      <c r="J192" s="676">
        <v>2014</v>
      </c>
      <c r="K192" s="676">
        <v>2014</v>
      </c>
      <c r="L192" s="613" t="s">
        <v>303</v>
      </c>
      <c r="M192" s="613">
        <f t="shared" si="24"/>
        <v>0</v>
      </c>
      <c r="N192" s="613">
        <f t="shared" si="25"/>
        <v>1</v>
      </c>
      <c r="O192" s="677"/>
      <c r="P192" s="677"/>
      <c r="Q192" s="677">
        <v>1</v>
      </c>
      <c r="R192" s="677"/>
      <c r="S192" s="677"/>
      <c r="T192" s="677"/>
      <c r="U192" s="613">
        <f t="shared" si="26"/>
        <v>1</v>
      </c>
      <c r="W192" s="613" t="str">
        <f t="shared" si="19"/>
        <v>I</v>
      </c>
      <c r="X192" s="613" t="str">
        <f t="shared" si="20"/>
        <v>I</v>
      </c>
      <c r="Y192" s="613">
        <f t="shared" si="21"/>
        <v>2014</v>
      </c>
      <c r="Z192" s="613" t="str">
        <f t="shared" si="22"/>
        <v>I</v>
      </c>
      <c r="AA192" s="613" t="str">
        <f t="shared" si="23"/>
        <v>I</v>
      </c>
      <c r="AB192" s="613" t="str">
        <f t="shared" si="23"/>
        <v>I</v>
      </c>
      <c r="AD192" s="613"/>
      <c r="AE192" s="740"/>
      <c r="AF192" s="644"/>
      <c r="AM192" s="647"/>
      <c r="AN192" s="647"/>
      <c r="AO192" s="647"/>
      <c r="AP192" s="647"/>
      <c r="AQ192" s="647"/>
    </row>
    <row r="193" spans="1:43" x14ac:dyDescent="0.2">
      <c r="A193" s="527">
        <v>191</v>
      </c>
      <c r="C193" s="675" t="s">
        <v>1960</v>
      </c>
      <c r="D193" s="624"/>
      <c r="E193" s="882">
        <v>41685</v>
      </c>
      <c r="F193" s="846" t="s">
        <v>2694</v>
      </c>
      <c r="G193" s="624">
        <v>41946</v>
      </c>
      <c r="H193" s="530">
        <f t="shared" si="30"/>
        <v>0.71457905544147848</v>
      </c>
      <c r="I193" s="675"/>
      <c r="J193" s="676">
        <v>2014</v>
      </c>
      <c r="K193" s="676">
        <v>2014</v>
      </c>
      <c r="L193" s="613" t="s">
        <v>303</v>
      </c>
      <c r="M193" s="613">
        <f t="shared" si="24"/>
        <v>0</v>
      </c>
      <c r="N193" s="613">
        <f t="shared" si="25"/>
        <v>1</v>
      </c>
      <c r="O193" s="677"/>
      <c r="P193" s="677"/>
      <c r="Q193" s="677">
        <v>1</v>
      </c>
      <c r="R193" s="677"/>
      <c r="S193" s="677"/>
      <c r="T193" s="677"/>
      <c r="U193" s="613">
        <f t="shared" si="26"/>
        <v>1</v>
      </c>
      <c r="W193" s="613" t="str">
        <f t="shared" si="19"/>
        <v>I</v>
      </c>
      <c r="X193" s="613" t="str">
        <f t="shared" si="20"/>
        <v>I</v>
      </c>
      <c r="Y193" s="613">
        <f t="shared" si="21"/>
        <v>2014</v>
      </c>
      <c r="Z193" s="613" t="str">
        <f t="shared" si="22"/>
        <v>I</v>
      </c>
      <c r="AA193" s="613" t="str">
        <f t="shared" si="23"/>
        <v>I</v>
      </c>
      <c r="AB193" s="613" t="str">
        <f t="shared" si="23"/>
        <v>I</v>
      </c>
      <c r="AD193" s="613"/>
      <c r="AE193" s="740"/>
      <c r="AF193" s="644"/>
      <c r="AM193" s="647"/>
      <c r="AN193" s="647"/>
      <c r="AO193" s="647"/>
      <c r="AP193" s="647"/>
      <c r="AQ193" s="647"/>
    </row>
    <row r="194" spans="1:43" x14ac:dyDescent="0.2">
      <c r="A194" s="527">
        <v>192</v>
      </c>
      <c r="C194" s="675" t="s">
        <v>1961</v>
      </c>
      <c r="D194" s="624"/>
      <c r="E194" s="624">
        <v>41821</v>
      </c>
      <c r="F194" s="846" t="s">
        <v>316</v>
      </c>
      <c r="G194" s="624">
        <v>41946</v>
      </c>
      <c r="H194" s="530">
        <f t="shared" si="30"/>
        <v>0.34223134839151265</v>
      </c>
      <c r="I194" s="675"/>
      <c r="J194" s="676">
        <v>2014</v>
      </c>
      <c r="K194" s="676">
        <v>2014</v>
      </c>
      <c r="L194" s="613" t="s">
        <v>303</v>
      </c>
      <c r="M194" s="613">
        <f t="shared" si="24"/>
        <v>0</v>
      </c>
      <c r="N194" s="613">
        <f t="shared" si="25"/>
        <v>1</v>
      </c>
      <c r="O194" s="677"/>
      <c r="P194" s="677"/>
      <c r="Q194" s="677">
        <v>1</v>
      </c>
      <c r="R194" s="677"/>
      <c r="S194" s="677"/>
      <c r="T194" s="677"/>
      <c r="U194" s="613">
        <f t="shared" si="26"/>
        <v>1</v>
      </c>
      <c r="W194" s="613" t="str">
        <f t="shared" si="19"/>
        <v>I</v>
      </c>
      <c r="X194" s="613" t="str">
        <f t="shared" si="20"/>
        <v>I</v>
      </c>
      <c r="Y194" s="613">
        <f t="shared" si="21"/>
        <v>2014</v>
      </c>
      <c r="Z194" s="613" t="str">
        <f t="shared" si="22"/>
        <v>I</v>
      </c>
      <c r="AA194" s="613" t="str">
        <f t="shared" si="23"/>
        <v>I</v>
      </c>
      <c r="AB194" s="613" t="str">
        <f t="shared" si="23"/>
        <v>I</v>
      </c>
      <c r="AD194" s="613"/>
      <c r="AE194" s="740"/>
      <c r="AF194" s="644"/>
      <c r="AM194" s="647"/>
      <c r="AN194" s="647"/>
      <c r="AO194" s="647"/>
      <c r="AP194" s="647"/>
      <c r="AQ194" s="647"/>
    </row>
    <row r="195" spans="1:43" x14ac:dyDescent="0.2">
      <c r="A195" s="527">
        <v>193</v>
      </c>
      <c r="C195" s="749" t="s">
        <v>1962</v>
      </c>
      <c r="D195" s="624">
        <v>41456</v>
      </c>
      <c r="E195" s="624"/>
      <c r="F195" s="844" t="s">
        <v>316</v>
      </c>
      <c r="G195" s="624">
        <v>41966</v>
      </c>
      <c r="H195" s="530">
        <f t="shared" si="30"/>
        <v>1.3963039014373717</v>
      </c>
      <c r="I195" s="749"/>
      <c r="J195" s="676">
        <v>2013</v>
      </c>
      <c r="K195" s="676">
        <v>2014</v>
      </c>
      <c r="L195" s="613" t="s">
        <v>336</v>
      </c>
      <c r="M195" s="613">
        <f t="shared" si="24"/>
        <v>1</v>
      </c>
      <c r="N195" s="613">
        <f t="shared" si="25"/>
        <v>0</v>
      </c>
      <c r="O195" s="677"/>
      <c r="P195" s="677"/>
      <c r="Q195" s="677">
        <v>1</v>
      </c>
      <c r="R195" s="677"/>
      <c r="S195" s="677"/>
      <c r="T195" s="677"/>
      <c r="U195" s="613">
        <f t="shared" si="26"/>
        <v>1</v>
      </c>
      <c r="W195" s="613" t="str">
        <f t="shared" ref="W195:W258" si="31">IF(O195=1,$J195,"I")</f>
        <v>I</v>
      </c>
      <c r="X195" s="613" t="str">
        <f t="shared" ref="X195:X258" si="32">IF(P195=1,$J195,"I")</f>
        <v>I</v>
      </c>
      <c r="Y195" s="613">
        <f t="shared" ref="Y195:Y258" si="33">IF(Q195=1,$J195,"I")</f>
        <v>2013</v>
      </c>
      <c r="Z195" s="613" t="str">
        <f t="shared" ref="Z195:Z258" si="34">IF(R195=1,$J195,"I")</f>
        <v>I</v>
      </c>
      <c r="AA195" s="613" t="str">
        <f t="shared" ref="AA195:AB258" si="35">IF(S195=1,$J195,"I")</f>
        <v>I</v>
      </c>
      <c r="AB195" s="613" t="str">
        <f t="shared" si="35"/>
        <v>I</v>
      </c>
      <c r="AD195" s="613"/>
      <c r="AE195" s="740"/>
      <c r="AF195" s="644"/>
      <c r="AM195" s="647"/>
      <c r="AN195" s="647"/>
      <c r="AO195" s="647"/>
      <c r="AP195" s="647"/>
      <c r="AQ195" s="647"/>
    </row>
    <row r="196" spans="1:43" x14ac:dyDescent="0.2">
      <c r="A196" s="527">
        <v>194</v>
      </c>
      <c r="C196" s="749" t="s">
        <v>1963</v>
      </c>
      <c r="D196" s="624"/>
      <c r="E196" s="624">
        <v>41764</v>
      </c>
      <c r="F196" s="846" t="s">
        <v>2694</v>
      </c>
      <c r="G196" s="624">
        <v>41968</v>
      </c>
      <c r="H196" s="530">
        <f t="shared" si="30"/>
        <v>0.55852156057494862</v>
      </c>
      <c r="I196" s="749"/>
      <c r="J196" s="676">
        <v>2014</v>
      </c>
      <c r="K196" s="676">
        <v>2014</v>
      </c>
      <c r="L196" s="613" t="s">
        <v>303</v>
      </c>
      <c r="M196" s="613">
        <f t="shared" ref="M196:M259" si="36">IF(AND(L196="F",Q196=1),1,0)</f>
        <v>0</v>
      </c>
      <c r="N196" s="613">
        <f t="shared" ref="N196:N259" si="37">IF(AND(L196="P",Q196=1),1,0)</f>
        <v>1</v>
      </c>
      <c r="O196" s="677"/>
      <c r="P196" s="677"/>
      <c r="Q196" s="677">
        <v>1</v>
      </c>
      <c r="R196" s="677"/>
      <c r="S196" s="677"/>
      <c r="T196" s="677"/>
      <c r="U196" s="613">
        <f t="shared" ref="U196:U259" si="38">SUM(O196:T196)</f>
        <v>1</v>
      </c>
      <c r="W196" s="613" t="str">
        <f t="shared" si="31"/>
        <v>I</v>
      </c>
      <c r="X196" s="613" t="str">
        <f t="shared" si="32"/>
        <v>I</v>
      </c>
      <c r="Y196" s="613">
        <f t="shared" si="33"/>
        <v>2014</v>
      </c>
      <c r="Z196" s="613" t="str">
        <f t="shared" si="34"/>
        <v>I</v>
      </c>
      <c r="AA196" s="613" t="str">
        <f t="shared" si="35"/>
        <v>I</v>
      </c>
      <c r="AB196" s="613" t="str">
        <f t="shared" si="35"/>
        <v>I</v>
      </c>
      <c r="AD196" s="613"/>
      <c r="AE196" s="740"/>
      <c r="AF196" s="644"/>
      <c r="AM196" s="647"/>
      <c r="AN196" s="647"/>
      <c r="AO196" s="647"/>
      <c r="AP196" s="647"/>
      <c r="AQ196" s="647"/>
    </row>
    <row r="197" spans="1:43" x14ac:dyDescent="0.2">
      <c r="A197" s="527">
        <v>195</v>
      </c>
      <c r="C197" s="675" t="s">
        <v>1964</v>
      </c>
      <c r="E197" s="624">
        <v>41744</v>
      </c>
      <c r="F197" s="844" t="s">
        <v>2694</v>
      </c>
      <c r="G197" s="624">
        <v>41984</v>
      </c>
      <c r="H197" s="530">
        <f t="shared" si="30"/>
        <v>0.65708418891170428</v>
      </c>
      <c r="I197" s="675"/>
      <c r="J197" s="676">
        <v>2014</v>
      </c>
      <c r="K197" s="676">
        <v>2014</v>
      </c>
      <c r="L197" s="613" t="s">
        <v>303</v>
      </c>
      <c r="M197" s="613">
        <f t="shared" si="36"/>
        <v>0</v>
      </c>
      <c r="N197" s="613">
        <f t="shared" si="37"/>
        <v>1</v>
      </c>
      <c r="O197" s="677"/>
      <c r="P197" s="677"/>
      <c r="Q197" s="677">
        <v>1</v>
      </c>
      <c r="R197" s="677"/>
      <c r="S197" s="677"/>
      <c r="T197" s="677"/>
      <c r="U197" s="613">
        <f t="shared" si="38"/>
        <v>1</v>
      </c>
      <c r="W197" s="613" t="str">
        <f t="shared" si="31"/>
        <v>I</v>
      </c>
      <c r="X197" s="613" t="str">
        <f t="shared" si="32"/>
        <v>I</v>
      </c>
      <c r="Y197" s="613">
        <f t="shared" si="33"/>
        <v>2014</v>
      </c>
      <c r="Z197" s="613" t="str">
        <f t="shared" si="34"/>
        <v>I</v>
      </c>
      <c r="AA197" s="613" t="str">
        <f t="shared" si="35"/>
        <v>I</v>
      </c>
      <c r="AB197" s="613" t="str">
        <f t="shared" si="35"/>
        <v>I</v>
      </c>
      <c r="AD197" s="613"/>
      <c r="AE197" s="740"/>
      <c r="AF197" s="644"/>
      <c r="AM197" s="647"/>
      <c r="AN197" s="647"/>
      <c r="AO197" s="647"/>
      <c r="AP197" s="647"/>
      <c r="AQ197" s="647"/>
    </row>
    <row r="198" spans="1:43" x14ac:dyDescent="0.2">
      <c r="A198" s="527">
        <v>196</v>
      </c>
      <c r="C198" s="675" t="s">
        <v>1965</v>
      </c>
      <c r="D198" s="624"/>
      <c r="E198" s="624">
        <v>41805</v>
      </c>
      <c r="F198" s="846" t="s">
        <v>2694</v>
      </c>
      <c r="G198" s="624">
        <v>41985</v>
      </c>
      <c r="H198" s="530">
        <f t="shared" si="30"/>
        <v>0.49281314168377821</v>
      </c>
      <c r="I198" s="675"/>
      <c r="J198" s="676">
        <v>2014</v>
      </c>
      <c r="K198" s="676">
        <v>2014</v>
      </c>
      <c r="L198" s="613" t="s">
        <v>303</v>
      </c>
      <c r="M198" s="613">
        <f t="shared" si="36"/>
        <v>0</v>
      </c>
      <c r="N198" s="613">
        <f t="shared" si="37"/>
        <v>1</v>
      </c>
      <c r="O198" s="677"/>
      <c r="P198" s="677"/>
      <c r="Q198" s="677">
        <v>1</v>
      </c>
      <c r="R198" s="677"/>
      <c r="S198" s="677"/>
      <c r="T198" s="677"/>
      <c r="U198" s="613">
        <f t="shared" si="38"/>
        <v>1</v>
      </c>
      <c r="W198" s="613" t="str">
        <f t="shared" si="31"/>
        <v>I</v>
      </c>
      <c r="X198" s="613" t="str">
        <f t="shared" si="32"/>
        <v>I</v>
      </c>
      <c r="Y198" s="613">
        <f t="shared" si="33"/>
        <v>2014</v>
      </c>
      <c r="Z198" s="613" t="str">
        <f t="shared" si="34"/>
        <v>I</v>
      </c>
      <c r="AA198" s="613" t="str">
        <f t="shared" si="35"/>
        <v>I</v>
      </c>
      <c r="AB198" s="613" t="str">
        <f t="shared" si="35"/>
        <v>I</v>
      </c>
      <c r="AD198" s="613"/>
      <c r="AE198" s="740"/>
      <c r="AF198" s="644"/>
      <c r="AM198" s="647"/>
      <c r="AN198" s="647"/>
      <c r="AO198" s="647"/>
      <c r="AP198" s="647"/>
      <c r="AQ198" s="647"/>
    </row>
    <row r="199" spans="1:43" x14ac:dyDescent="0.2">
      <c r="A199" s="527">
        <v>197</v>
      </c>
      <c r="C199" s="749" t="s">
        <v>1966</v>
      </c>
      <c r="D199" s="624"/>
      <c r="E199" s="624">
        <v>41866</v>
      </c>
      <c r="F199" s="846" t="s">
        <v>2694</v>
      </c>
      <c r="G199" s="624">
        <v>41985</v>
      </c>
      <c r="H199" s="530">
        <f t="shared" si="30"/>
        <v>0.32580424366872007</v>
      </c>
      <c r="I199" s="749"/>
      <c r="J199" s="676">
        <v>2014</v>
      </c>
      <c r="K199" s="676">
        <v>2014</v>
      </c>
      <c r="L199" s="613" t="s">
        <v>303</v>
      </c>
      <c r="M199" s="613">
        <f t="shared" si="36"/>
        <v>0</v>
      </c>
      <c r="N199" s="613">
        <f t="shared" si="37"/>
        <v>1</v>
      </c>
      <c r="O199" s="677"/>
      <c r="P199" s="677"/>
      <c r="Q199" s="677">
        <v>1</v>
      </c>
      <c r="R199" s="677"/>
      <c r="S199" s="677"/>
      <c r="T199" s="677"/>
      <c r="U199" s="613">
        <f t="shared" si="38"/>
        <v>1</v>
      </c>
      <c r="W199" s="613" t="str">
        <f t="shared" si="31"/>
        <v>I</v>
      </c>
      <c r="X199" s="613" t="str">
        <f t="shared" si="32"/>
        <v>I</v>
      </c>
      <c r="Y199" s="613">
        <f t="shared" si="33"/>
        <v>2014</v>
      </c>
      <c r="Z199" s="613" t="str">
        <f t="shared" si="34"/>
        <v>I</v>
      </c>
      <c r="AA199" s="613" t="str">
        <f t="shared" si="35"/>
        <v>I</v>
      </c>
      <c r="AB199" s="613" t="str">
        <f t="shared" si="35"/>
        <v>I</v>
      </c>
      <c r="AD199" s="613"/>
      <c r="AE199" s="740"/>
      <c r="AF199" s="644"/>
      <c r="AM199" s="647"/>
      <c r="AN199" s="647"/>
      <c r="AO199" s="647"/>
      <c r="AP199" s="647"/>
      <c r="AQ199" s="647"/>
    </row>
    <row r="200" spans="1:43" x14ac:dyDescent="0.2">
      <c r="A200" s="527">
        <v>198</v>
      </c>
      <c r="C200" s="675" t="s">
        <v>1967</v>
      </c>
      <c r="D200" s="624"/>
      <c r="E200" s="624">
        <v>41866</v>
      </c>
      <c r="F200" s="846" t="s">
        <v>2694</v>
      </c>
      <c r="G200" s="624">
        <v>41985</v>
      </c>
      <c r="H200" s="530">
        <f t="shared" si="30"/>
        <v>0.32580424366872007</v>
      </c>
      <c r="I200" s="675"/>
      <c r="J200" s="676">
        <v>2014</v>
      </c>
      <c r="K200" s="676">
        <v>2014</v>
      </c>
      <c r="L200" s="613" t="s">
        <v>303</v>
      </c>
      <c r="M200" s="613">
        <f t="shared" si="36"/>
        <v>0</v>
      </c>
      <c r="N200" s="613">
        <f t="shared" si="37"/>
        <v>1</v>
      </c>
      <c r="O200" s="677"/>
      <c r="P200" s="677"/>
      <c r="Q200" s="677">
        <v>1</v>
      </c>
      <c r="R200" s="677"/>
      <c r="S200" s="677"/>
      <c r="T200" s="677"/>
      <c r="U200" s="613">
        <f t="shared" si="38"/>
        <v>1</v>
      </c>
      <c r="W200" s="613" t="str">
        <f t="shared" si="31"/>
        <v>I</v>
      </c>
      <c r="X200" s="613" t="str">
        <f t="shared" si="32"/>
        <v>I</v>
      </c>
      <c r="Y200" s="613">
        <f t="shared" si="33"/>
        <v>2014</v>
      </c>
      <c r="Z200" s="613" t="str">
        <f t="shared" si="34"/>
        <v>I</v>
      </c>
      <c r="AA200" s="613" t="str">
        <f t="shared" si="35"/>
        <v>I</v>
      </c>
      <c r="AB200" s="613" t="str">
        <f t="shared" si="35"/>
        <v>I</v>
      </c>
      <c r="AD200" s="613"/>
      <c r="AE200" s="740"/>
      <c r="AF200" s="880"/>
      <c r="AM200" s="647"/>
      <c r="AN200" s="647"/>
      <c r="AO200" s="647"/>
      <c r="AP200" s="647"/>
      <c r="AQ200" s="647"/>
    </row>
    <row r="201" spans="1:43" x14ac:dyDescent="0.2">
      <c r="A201" s="527">
        <v>199</v>
      </c>
      <c r="C201" s="675" t="s">
        <v>1968</v>
      </c>
      <c r="D201" s="624"/>
      <c r="E201" s="624">
        <v>41821</v>
      </c>
      <c r="F201" s="846" t="s">
        <v>316</v>
      </c>
      <c r="G201" s="624">
        <v>41986</v>
      </c>
      <c r="H201" s="530">
        <f t="shared" si="30"/>
        <v>0.45174537987679669</v>
      </c>
      <c r="I201" s="675"/>
      <c r="J201" s="676">
        <v>2014</v>
      </c>
      <c r="K201" s="676">
        <v>2014</v>
      </c>
      <c r="L201" s="613" t="s">
        <v>303</v>
      </c>
      <c r="M201" s="613">
        <f t="shared" si="36"/>
        <v>0</v>
      </c>
      <c r="N201" s="613">
        <f t="shared" si="37"/>
        <v>1</v>
      </c>
      <c r="O201" s="677"/>
      <c r="P201" s="677"/>
      <c r="Q201" s="677">
        <v>1</v>
      </c>
      <c r="R201" s="677"/>
      <c r="S201" s="677"/>
      <c r="T201" s="677"/>
      <c r="U201" s="613">
        <f t="shared" si="38"/>
        <v>1</v>
      </c>
      <c r="W201" s="613" t="str">
        <f t="shared" si="31"/>
        <v>I</v>
      </c>
      <c r="X201" s="613" t="str">
        <f t="shared" si="32"/>
        <v>I</v>
      </c>
      <c r="Y201" s="613">
        <f t="shared" si="33"/>
        <v>2014</v>
      </c>
      <c r="Z201" s="613" t="str">
        <f t="shared" si="34"/>
        <v>I</v>
      </c>
      <c r="AA201" s="613" t="str">
        <f t="shared" si="35"/>
        <v>I</v>
      </c>
      <c r="AB201" s="613" t="str">
        <f t="shared" si="35"/>
        <v>I</v>
      </c>
      <c r="AD201" s="613"/>
      <c r="AE201" s="740"/>
      <c r="AF201" s="880"/>
      <c r="AM201" s="647"/>
      <c r="AN201" s="647"/>
      <c r="AO201" s="647"/>
      <c r="AP201" s="647"/>
      <c r="AQ201" s="647"/>
    </row>
    <row r="202" spans="1:43" x14ac:dyDescent="0.2">
      <c r="A202" s="527">
        <v>200</v>
      </c>
      <c r="C202" s="749" t="s">
        <v>1969</v>
      </c>
      <c r="D202" s="624"/>
      <c r="E202" s="624">
        <v>41897</v>
      </c>
      <c r="F202" s="846" t="s">
        <v>2694</v>
      </c>
      <c r="G202" s="624">
        <v>42001</v>
      </c>
      <c r="H202" s="530">
        <f t="shared" si="30"/>
        <v>0.28473648186173856</v>
      </c>
      <c r="I202" s="749"/>
      <c r="J202" s="676">
        <v>2014</v>
      </c>
      <c r="K202" s="676">
        <v>2014</v>
      </c>
      <c r="L202" s="613" t="s">
        <v>303</v>
      </c>
      <c r="M202" s="613">
        <f t="shared" si="36"/>
        <v>0</v>
      </c>
      <c r="N202" s="613">
        <f t="shared" si="37"/>
        <v>1</v>
      </c>
      <c r="O202" s="677"/>
      <c r="P202" s="677"/>
      <c r="Q202" s="677">
        <v>1</v>
      </c>
      <c r="R202" s="677"/>
      <c r="S202" s="677"/>
      <c r="T202" s="677"/>
      <c r="U202" s="613">
        <f t="shared" si="38"/>
        <v>1</v>
      </c>
      <c r="W202" s="613" t="str">
        <f t="shared" si="31"/>
        <v>I</v>
      </c>
      <c r="X202" s="613" t="str">
        <f t="shared" si="32"/>
        <v>I</v>
      </c>
      <c r="Y202" s="613">
        <f t="shared" si="33"/>
        <v>2014</v>
      </c>
      <c r="Z202" s="613" t="str">
        <f t="shared" si="34"/>
        <v>I</v>
      </c>
      <c r="AA202" s="613" t="str">
        <f t="shared" si="35"/>
        <v>I</v>
      </c>
      <c r="AB202" s="613" t="str">
        <f t="shared" si="35"/>
        <v>I</v>
      </c>
      <c r="AD202" s="613"/>
      <c r="AE202" s="740"/>
      <c r="AF202" s="880"/>
      <c r="AM202" s="647"/>
      <c r="AN202" s="647"/>
      <c r="AO202" s="647"/>
      <c r="AP202" s="647"/>
      <c r="AQ202" s="647"/>
    </row>
    <row r="203" spans="1:43" x14ac:dyDescent="0.2">
      <c r="A203" s="527">
        <v>201</v>
      </c>
      <c r="C203" s="749" t="s">
        <v>1724</v>
      </c>
      <c r="D203" s="883">
        <v>41654</v>
      </c>
      <c r="E203" s="624"/>
      <c r="F203" s="844" t="s">
        <v>2167</v>
      </c>
      <c r="G203" s="624">
        <v>41836</v>
      </c>
      <c r="H203" s="530">
        <f t="shared" si="30"/>
        <v>0.49828884325804246</v>
      </c>
      <c r="I203" s="749"/>
      <c r="J203" s="676">
        <v>2014</v>
      </c>
      <c r="K203" s="676">
        <v>2014</v>
      </c>
      <c r="L203" s="613" t="s">
        <v>336</v>
      </c>
      <c r="M203" s="613">
        <f t="shared" si="36"/>
        <v>1</v>
      </c>
      <c r="N203" s="613">
        <f t="shared" si="37"/>
        <v>0</v>
      </c>
      <c r="O203" s="677"/>
      <c r="P203" s="677"/>
      <c r="Q203" s="677">
        <v>1</v>
      </c>
      <c r="R203" s="677"/>
      <c r="S203" s="677"/>
      <c r="T203" s="677"/>
      <c r="U203" s="613">
        <f t="shared" si="38"/>
        <v>1</v>
      </c>
      <c r="W203" s="613" t="str">
        <f t="shared" si="31"/>
        <v>I</v>
      </c>
      <c r="X203" s="613" t="str">
        <f t="shared" si="32"/>
        <v>I</v>
      </c>
      <c r="Y203" s="613">
        <f t="shared" si="33"/>
        <v>2014</v>
      </c>
      <c r="Z203" s="613" t="str">
        <f t="shared" si="34"/>
        <v>I</v>
      </c>
      <c r="AA203" s="613" t="str">
        <f t="shared" si="35"/>
        <v>I</v>
      </c>
      <c r="AB203" s="613" t="str">
        <f t="shared" si="35"/>
        <v>I</v>
      </c>
      <c r="AD203" s="613"/>
      <c r="AE203" s="740"/>
      <c r="AF203" s="880"/>
      <c r="AM203" s="647"/>
      <c r="AN203" s="647"/>
      <c r="AO203" s="647"/>
      <c r="AP203" s="647"/>
      <c r="AQ203" s="647"/>
    </row>
    <row r="204" spans="1:43" x14ac:dyDescent="0.2">
      <c r="A204" s="527">
        <v>202</v>
      </c>
      <c r="C204" s="727" t="s">
        <v>1859</v>
      </c>
      <c r="D204" s="624"/>
      <c r="E204" s="624"/>
      <c r="F204" s="844"/>
      <c r="G204" s="624"/>
      <c r="H204" s="619"/>
      <c r="I204" s="727"/>
      <c r="J204" s="669">
        <v>2012</v>
      </c>
      <c r="K204" s="669">
        <v>2015</v>
      </c>
      <c r="L204" s="613" t="s">
        <v>336</v>
      </c>
      <c r="M204" s="613">
        <f t="shared" si="36"/>
        <v>0</v>
      </c>
      <c r="N204" s="613">
        <f t="shared" si="37"/>
        <v>0</v>
      </c>
      <c r="O204" s="670"/>
      <c r="P204" s="670"/>
      <c r="Q204" s="670"/>
      <c r="R204" s="670">
        <v>1</v>
      </c>
      <c r="S204" s="670"/>
      <c r="T204" s="670"/>
      <c r="U204" s="613">
        <f t="shared" si="38"/>
        <v>1</v>
      </c>
      <c r="W204" s="613" t="str">
        <f t="shared" si="31"/>
        <v>I</v>
      </c>
      <c r="X204" s="613" t="str">
        <f t="shared" si="32"/>
        <v>I</v>
      </c>
      <c r="Y204" s="613" t="str">
        <f t="shared" si="33"/>
        <v>I</v>
      </c>
      <c r="Z204" s="613">
        <f t="shared" si="34"/>
        <v>2012</v>
      </c>
      <c r="AA204" s="613" t="str">
        <f t="shared" si="35"/>
        <v>I</v>
      </c>
      <c r="AB204" s="613" t="str">
        <f t="shared" si="35"/>
        <v>I</v>
      </c>
      <c r="AD204" s="613"/>
      <c r="AE204" s="740"/>
      <c r="AF204" s="880"/>
      <c r="AM204" s="647"/>
      <c r="AN204" s="647"/>
      <c r="AO204" s="647"/>
      <c r="AP204" s="647"/>
      <c r="AQ204" s="647"/>
    </row>
    <row r="205" spans="1:43" x14ac:dyDescent="0.2">
      <c r="A205" s="527">
        <v>203</v>
      </c>
      <c r="C205" s="727" t="s">
        <v>2035</v>
      </c>
      <c r="D205" s="624"/>
      <c r="E205" s="624"/>
      <c r="F205" s="844"/>
      <c r="G205" s="624"/>
      <c r="H205" s="619"/>
      <c r="I205" s="727"/>
      <c r="J205" s="669">
        <v>2003</v>
      </c>
      <c r="K205" s="669">
        <v>2015</v>
      </c>
      <c r="L205" s="613" t="s">
        <v>336</v>
      </c>
      <c r="M205" s="613">
        <f t="shared" si="36"/>
        <v>0</v>
      </c>
      <c r="N205" s="613">
        <f t="shared" si="37"/>
        <v>0</v>
      </c>
      <c r="O205" s="670"/>
      <c r="P205" s="670"/>
      <c r="Q205" s="670"/>
      <c r="R205" s="670">
        <v>1</v>
      </c>
      <c r="S205" s="670"/>
      <c r="T205" s="670"/>
      <c r="U205" s="613">
        <f t="shared" si="38"/>
        <v>1</v>
      </c>
      <c r="W205" s="613" t="str">
        <f t="shared" si="31"/>
        <v>I</v>
      </c>
      <c r="X205" s="613" t="str">
        <f t="shared" si="32"/>
        <v>I</v>
      </c>
      <c r="Y205" s="613" t="str">
        <f t="shared" si="33"/>
        <v>I</v>
      </c>
      <c r="Z205" s="613">
        <f t="shared" si="34"/>
        <v>2003</v>
      </c>
      <c r="AA205" s="613" t="str">
        <f t="shared" si="35"/>
        <v>I</v>
      </c>
      <c r="AB205" s="613" t="str">
        <f t="shared" si="35"/>
        <v>I</v>
      </c>
      <c r="AD205" s="613"/>
      <c r="AE205" s="740"/>
      <c r="AF205" s="644"/>
      <c r="AM205" s="647"/>
      <c r="AN205" s="647"/>
      <c r="AO205" s="647"/>
      <c r="AP205" s="647"/>
      <c r="AQ205" s="647"/>
    </row>
    <row r="206" spans="1:43" x14ac:dyDescent="0.2">
      <c r="A206" s="527">
        <v>204</v>
      </c>
      <c r="C206" s="727" t="s">
        <v>2002</v>
      </c>
      <c r="D206" s="624"/>
      <c r="E206" s="624"/>
      <c r="F206" s="844"/>
      <c r="G206" s="624"/>
      <c r="H206" s="619"/>
      <c r="I206" s="727"/>
      <c r="J206" s="669">
        <v>2014</v>
      </c>
      <c r="K206" s="669">
        <v>2015</v>
      </c>
      <c r="L206" s="613" t="s">
        <v>336</v>
      </c>
      <c r="M206" s="613">
        <f t="shared" si="36"/>
        <v>0</v>
      </c>
      <c r="N206" s="613">
        <f t="shared" si="37"/>
        <v>0</v>
      </c>
      <c r="O206" s="670">
        <v>1</v>
      </c>
      <c r="P206" s="670"/>
      <c r="Q206" s="670"/>
      <c r="R206" s="670"/>
      <c r="S206" s="670"/>
      <c r="T206" s="670"/>
      <c r="U206" s="613">
        <f t="shared" si="38"/>
        <v>1</v>
      </c>
      <c r="W206" s="613">
        <f t="shared" si="31"/>
        <v>2014</v>
      </c>
      <c r="X206" s="613" t="str">
        <f t="shared" si="32"/>
        <v>I</v>
      </c>
      <c r="Y206" s="613" t="str">
        <f t="shared" si="33"/>
        <v>I</v>
      </c>
      <c r="Z206" s="613" t="str">
        <f t="shared" si="34"/>
        <v>I</v>
      </c>
      <c r="AA206" s="613" t="str">
        <f t="shared" si="35"/>
        <v>I</v>
      </c>
      <c r="AB206" s="613" t="str">
        <f t="shared" si="35"/>
        <v>I</v>
      </c>
      <c r="AD206" s="613"/>
      <c r="AE206" s="740"/>
      <c r="AF206" s="644"/>
      <c r="AM206" s="647"/>
      <c r="AN206" s="647"/>
      <c r="AO206" s="647"/>
      <c r="AP206" s="647"/>
      <c r="AQ206" s="647"/>
    </row>
    <row r="207" spans="1:43" x14ac:dyDescent="0.2">
      <c r="A207" s="527">
        <v>205</v>
      </c>
      <c r="C207" s="649" t="s">
        <v>1970</v>
      </c>
      <c r="D207" s="624"/>
      <c r="E207" s="624">
        <v>41897</v>
      </c>
      <c r="F207" s="846" t="s">
        <v>2694</v>
      </c>
      <c r="G207" s="624">
        <v>42032</v>
      </c>
      <c r="H207" s="530">
        <f t="shared" ref="H207:H241" si="39">(G207-MAX(D207:E207))/365.25</f>
        <v>0.36960985626283366</v>
      </c>
      <c r="I207" s="649"/>
      <c r="J207" s="669">
        <v>2014</v>
      </c>
      <c r="K207" s="649">
        <v>2015</v>
      </c>
      <c r="L207" s="613" t="s">
        <v>303</v>
      </c>
      <c r="M207" s="613">
        <f t="shared" si="36"/>
        <v>0</v>
      </c>
      <c r="N207" s="613">
        <f t="shared" si="37"/>
        <v>1</v>
      </c>
      <c r="O207" s="670"/>
      <c r="P207" s="670"/>
      <c r="Q207" s="670">
        <v>1</v>
      </c>
      <c r="R207" s="670"/>
      <c r="S207" s="670"/>
      <c r="T207" s="670"/>
      <c r="U207" s="613">
        <f t="shared" si="38"/>
        <v>1</v>
      </c>
      <c r="W207" s="613" t="str">
        <f t="shared" si="31"/>
        <v>I</v>
      </c>
      <c r="X207" s="613" t="str">
        <f t="shared" si="32"/>
        <v>I</v>
      </c>
      <c r="Y207" s="613">
        <f t="shared" si="33"/>
        <v>2014</v>
      </c>
      <c r="Z207" s="613" t="str">
        <f t="shared" si="34"/>
        <v>I</v>
      </c>
      <c r="AA207" s="613" t="str">
        <f t="shared" si="35"/>
        <v>I</v>
      </c>
      <c r="AB207" s="613" t="str">
        <f t="shared" si="35"/>
        <v>I</v>
      </c>
      <c r="AD207" s="613"/>
      <c r="AE207" s="740"/>
      <c r="AF207" s="644"/>
      <c r="AM207" s="647"/>
      <c r="AN207" s="647"/>
      <c r="AO207" s="647"/>
      <c r="AP207" s="647"/>
      <c r="AQ207" s="647"/>
    </row>
    <row r="208" spans="1:43" x14ac:dyDescent="0.2">
      <c r="A208" s="527">
        <v>206</v>
      </c>
      <c r="C208" s="649" t="s">
        <v>1971</v>
      </c>
      <c r="D208" s="883">
        <v>41744</v>
      </c>
      <c r="E208" s="624"/>
      <c r="F208" s="844" t="s">
        <v>2694</v>
      </c>
      <c r="G208" s="624">
        <v>42098</v>
      </c>
      <c r="H208" s="530">
        <f t="shared" si="39"/>
        <v>0.9691991786447639</v>
      </c>
      <c r="I208" s="649"/>
      <c r="J208" s="669">
        <v>2014</v>
      </c>
      <c r="K208" s="649">
        <v>2015</v>
      </c>
      <c r="L208" s="613" t="s">
        <v>336</v>
      </c>
      <c r="M208" s="613">
        <f t="shared" si="36"/>
        <v>1</v>
      </c>
      <c r="N208" s="613">
        <f t="shared" si="37"/>
        <v>0</v>
      </c>
      <c r="O208" s="670"/>
      <c r="P208" s="670"/>
      <c r="Q208" s="670">
        <v>1</v>
      </c>
      <c r="R208" s="670"/>
      <c r="S208" s="670"/>
      <c r="T208" s="670"/>
      <c r="U208" s="613">
        <f t="shared" si="38"/>
        <v>1</v>
      </c>
      <c r="W208" s="613" t="str">
        <f t="shared" si="31"/>
        <v>I</v>
      </c>
      <c r="X208" s="613" t="str">
        <f t="shared" si="32"/>
        <v>I</v>
      </c>
      <c r="Y208" s="613">
        <f t="shared" si="33"/>
        <v>2014</v>
      </c>
      <c r="Z208" s="613" t="str">
        <f t="shared" si="34"/>
        <v>I</v>
      </c>
      <c r="AA208" s="613" t="str">
        <f t="shared" si="35"/>
        <v>I</v>
      </c>
      <c r="AB208" s="613" t="str">
        <f t="shared" si="35"/>
        <v>I</v>
      </c>
      <c r="AD208" s="613"/>
      <c r="AE208" s="740"/>
      <c r="AF208" s="644"/>
      <c r="AM208" s="647"/>
      <c r="AN208" s="647"/>
      <c r="AO208" s="647"/>
      <c r="AP208" s="647"/>
      <c r="AQ208" s="647"/>
    </row>
    <row r="209" spans="1:43" x14ac:dyDescent="0.2">
      <c r="A209" s="527">
        <v>207</v>
      </c>
      <c r="C209" s="649" t="s">
        <v>1972</v>
      </c>
      <c r="D209" s="624"/>
      <c r="E209" s="624">
        <v>41835</v>
      </c>
      <c r="F209" s="846" t="s">
        <v>2694</v>
      </c>
      <c r="G209" s="624">
        <v>42045</v>
      </c>
      <c r="H209" s="530">
        <f t="shared" si="39"/>
        <v>0.57494866529774125</v>
      </c>
      <c r="I209" s="649"/>
      <c r="J209" s="669">
        <v>2014</v>
      </c>
      <c r="K209" s="669">
        <v>2015</v>
      </c>
      <c r="L209" s="613" t="s">
        <v>303</v>
      </c>
      <c r="M209" s="613">
        <f t="shared" si="36"/>
        <v>0</v>
      </c>
      <c r="N209" s="613">
        <f t="shared" si="37"/>
        <v>1</v>
      </c>
      <c r="O209" s="670"/>
      <c r="P209" s="670"/>
      <c r="Q209" s="670">
        <v>1</v>
      </c>
      <c r="R209" s="670"/>
      <c r="S209" s="670"/>
      <c r="T209" s="670"/>
      <c r="U209" s="613">
        <f t="shared" si="38"/>
        <v>1</v>
      </c>
      <c r="W209" s="613" t="str">
        <f t="shared" si="31"/>
        <v>I</v>
      </c>
      <c r="X209" s="613" t="str">
        <f t="shared" si="32"/>
        <v>I</v>
      </c>
      <c r="Y209" s="613">
        <f t="shared" si="33"/>
        <v>2014</v>
      </c>
      <c r="Z209" s="613" t="str">
        <f t="shared" si="34"/>
        <v>I</v>
      </c>
      <c r="AA209" s="613" t="str">
        <f t="shared" si="35"/>
        <v>I</v>
      </c>
      <c r="AB209" s="613" t="str">
        <f t="shared" si="35"/>
        <v>I</v>
      </c>
      <c r="AD209" s="613"/>
      <c r="AE209" s="740"/>
      <c r="AF209" s="644"/>
      <c r="AM209" s="647"/>
      <c r="AN209" s="647"/>
      <c r="AO209" s="647"/>
      <c r="AP209" s="647"/>
      <c r="AQ209" s="647"/>
    </row>
    <row r="210" spans="1:43" x14ac:dyDescent="0.2">
      <c r="A210" s="527">
        <v>208</v>
      </c>
      <c r="C210" s="727" t="s">
        <v>1973</v>
      </c>
      <c r="D210" s="624"/>
      <c r="E210" s="624">
        <v>41897</v>
      </c>
      <c r="F210" s="846" t="s">
        <v>2694</v>
      </c>
      <c r="G210" s="624">
        <v>42045</v>
      </c>
      <c r="H210" s="530">
        <f t="shared" si="39"/>
        <v>0.40520191649555098</v>
      </c>
      <c r="I210" s="727"/>
      <c r="J210" s="669">
        <v>2014</v>
      </c>
      <c r="K210" s="669">
        <v>2015</v>
      </c>
      <c r="L210" s="613" t="s">
        <v>303</v>
      </c>
      <c r="M210" s="613">
        <f t="shared" si="36"/>
        <v>0</v>
      </c>
      <c r="N210" s="613">
        <f t="shared" si="37"/>
        <v>1</v>
      </c>
      <c r="O210" s="670"/>
      <c r="P210" s="670"/>
      <c r="Q210" s="670">
        <v>1</v>
      </c>
      <c r="R210" s="670"/>
      <c r="S210" s="670"/>
      <c r="T210" s="670"/>
      <c r="U210" s="613">
        <f t="shared" si="38"/>
        <v>1</v>
      </c>
      <c r="W210" s="613" t="str">
        <f t="shared" si="31"/>
        <v>I</v>
      </c>
      <c r="X210" s="613" t="str">
        <f t="shared" si="32"/>
        <v>I</v>
      </c>
      <c r="Y210" s="613">
        <f t="shared" si="33"/>
        <v>2014</v>
      </c>
      <c r="Z210" s="613" t="str">
        <f t="shared" si="34"/>
        <v>I</v>
      </c>
      <c r="AA210" s="613" t="str">
        <f t="shared" si="35"/>
        <v>I</v>
      </c>
      <c r="AB210" s="613" t="str">
        <f t="shared" si="35"/>
        <v>I</v>
      </c>
      <c r="AD210" s="613"/>
      <c r="AE210" s="740"/>
      <c r="AF210" s="644"/>
      <c r="AM210" s="647"/>
      <c r="AN210" s="647"/>
      <c r="AO210" s="647"/>
      <c r="AP210" s="647"/>
      <c r="AQ210" s="647"/>
    </row>
    <row r="211" spans="1:43" x14ac:dyDescent="0.2">
      <c r="A211" s="527">
        <v>209</v>
      </c>
      <c r="C211" s="649" t="s">
        <v>1974</v>
      </c>
      <c r="D211" s="624"/>
      <c r="E211" s="624">
        <v>41897</v>
      </c>
      <c r="F211" s="846" t="s">
        <v>2694</v>
      </c>
      <c r="G211" s="624">
        <v>42057</v>
      </c>
      <c r="H211" s="530">
        <f t="shared" si="39"/>
        <v>0.43805612594113619</v>
      </c>
      <c r="I211" s="649"/>
      <c r="J211" s="669">
        <v>2014</v>
      </c>
      <c r="K211" s="669">
        <v>2015</v>
      </c>
      <c r="L211" s="613" t="s">
        <v>303</v>
      </c>
      <c r="M211" s="613">
        <f t="shared" si="36"/>
        <v>0</v>
      </c>
      <c r="N211" s="613">
        <f t="shared" si="37"/>
        <v>1</v>
      </c>
      <c r="O211" s="670"/>
      <c r="P211" s="670"/>
      <c r="Q211" s="670">
        <v>1</v>
      </c>
      <c r="R211" s="670"/>
      <c r="S211" s="670"/>
      <c r="T211" s="670"/>
      <c r="U211" s="613">
        <f t="shared" si="38"/>
        <v>1</v>
      </c>
      <c r="W211" s="613" t="str">
        <f t="shared" si="31"/>
        <v>I</v>
      </c>
      <c r="X211" s="613" t="str">
        <f t="shared" si="32"/>
        <v>I</v>
      </c>
      <c r="Y211" s="613">
        <f t="shared" si="33"/>
        <v>2014</v>
      </c>
      <c r="Z211" s="613" t="str">
        <f t="shared" si="34"/>
        <v>I</v>
      </c>
      <c r="AA211" s="613" t="str">
        <f t="shared" si="35"/>
        <v>I</v>
      </c>
      <c r="AB211" s="613" t="str">
        <f t="shared" si="35"/>
        <v>I</v>
      </c>
      <c r="AD211" s="613"/>
      <c r="AE211" s="740"/>
      <c r="AF211" s="644"/>
      <c r="AM211" s="647"/>
      <c r="AN211" s="647"/>
      <c r="AO211" s="647"/>
      <c r="AP211" s="647"/>
      <c r="AQ211" s="647"/>
    </row>
    <row r="212" spans="1:43" x14ac:dyDescent="0.2">
      <c r="A212" s="527">
        <v>210</v>
      </c>
      <c r="C212" s="649" t="s">
        <v>1869</v>
      </c>
      <c r="D212" s="883">
        <v>41988</v>
      </c>
      <c r="E212" s="624"/>
      <c r="F212" s="844" t="s">
        <v>2694</v>
      </c>
      <c r="G212" s="624">
        <v>42101</v>
      </c>
      <c r="H212" s="530">
        <f t="shared" si="39"/>
        <v>0.30937713894592744</v>
      </c>
      <c r="I212" s="649"/>
      <c r="J212" s="669">
        <v>2014</v>
      </c>
      <c r="K212" s="669">
        <v>2015</v>
      </c>
      <c r="L212" s="613" t="s">
        <v>336</v>
      </c>
      <c r="M212" s="613">
        <f t="shared" si="36"/>
        <v>1</v>
      </c>
      <c r="N212" s="613">
        <f t="shared" si="37"/>
        <v>0</v>
      </c>
      <c r="O212" s="670"/>
      <c r="P212" s="670"/>
      <c r="Q212" s="670">
        <v>1</v>
      </c>
      <c r="R212" s="670"/>
      <c r="S212" s="670"/>
      <c r="T212" s="670"/>
      <c r="U212" s="613">
        <f t="shared" si="38"/>
        <v>1</v>
      </c>
      <c r="W212" s="613" t="str">
        <f t="shared" si="31"/>
        <v>I</v>
      </c>
      <c r="X212" s="613" t="str">
        <f t="shared" si="32"/>
        <v>I</v>
      </c>
      <c r="Y212" s="613">
        <f t="shared" si="33"/>
        <v>2014</v>
      </c>
      <c r="Z212" s="613" t="str">
        <f t="shared" si="34"/>
        <v>I</v>
      </c>
      <c r="AA212" s="613" t="str">
        <f t="shared" si="35"/>
        <v>I</v>
      </c>
      <c r="AB212" s="613" t="str">
        <f t="shared" si="35"/>
        <v>I</v>
      </c>
      <c r="AD212" s="613"/>
      <c r="AE212" s="740"/>
      <c r="AF212" s="644"/>
      <c r="AM212" s="647"/>
      <c r="AN212" s="647"/>
      <c r="AO212" s="647"/>
      <c r="AP212" s="647"/>
      <c r="AQ212" s="647"/>
    </row>
    <row r="213" spans="1:43" x14ac:dyDescent="0.2">
      <c r="A213" s="527">
        <v>211</v>
      </c>
      <c r="C213" s="649" t="s">
        <v>1870</v>
      </c>
      <c r="D213" s="624"/>
      <c r="E213" s="624">
        <v>41821</v>
      </c>
      <c r="F213" s="846" t="s">
        <v>316</v>
      </c>
      <c r="G213" s="624">
        <v>42101</v>
      </c>
      <c r="H213" s="530">
        <f t="shared" si="39"/>
        <v>0.76659822039698833</v>
      </c>
      <c r="I213" s="649"/>
      <c r="J213" s="669">
        <v>2014</v>
      </c>
      <c r="K213" s="669">
        <v>2015</v>
      </c>
      <c r="L213" s="613" t="s">
        <v>303</v>
      </c>
      <c r="M213" s="613">
        <f t="shared" si="36"/>
        <v>0</v>
      </c>
      <c r="N213" s="613">
        <f t="shared" si="37"/>
        <v>1</v>
      </c>
      <c r="O213" s="670"/>
      <c r="P213" s="670"/>
      <c r="Q213" s="670">
        <v>1</v>
      </c>
      <c r="R213" s="670"/>
      <c r="S213" s="670"/>
      <c r="T213" s="670"/>
      <c r="U213" s="613">
        <f t="shared" si="38"/>
        <v>1</v>
      </c>
      <c r="W213" s="613" t="str">
        <f t="shared" si="31"/>
        <v>I</v>
      </c>
      <c r="X213" s="613" t="str">
        <f t="shared" si="32"/>
        <v>I</v>
      </c>
      <c r="Y213" s="613">
        <f t="shared" si="33"/>
        <v>2014</v>
      </c>
      <c r="Z213" s="613" t="str">
        <f t="shared" si="34"/>
        <v>I</v>
      </c>
      <c r="AA213" s="613" t="str">
        <f t="shared" si="35"/>
        <v>I</v>
      </c>
      <c r="AB213" s="613" t="str">
        <f t="shared" si="35"/>
        <v>I</v>
      </c>
      <c r="AD213" s="613"/>
      <c r="AE213" s="740"/>
      <c r="AF213" s="644"/>
      <c r="AM213" s="647"/>
      <c r="AN213" s="647"/>
      <c r="AO213" s="647"/>
      <c r="AP213" s="647"/>
      <c r="AQ213" s="647"/>
    </row>
    <row r="214" spans="1:43" x14ac:dyDescent="0.2">
      <c r="A214" s="527">
        <v>212</v>
      </c>
      <c r="C214" s="649" t="s">
        <v>1865</v>
      </c>
      <c r="D214" s="624"/>
      <c r="E214" s="624">
        <v>41805</v>
      </c>
      <c r="F214" s="846" t="s">
        <v>2694</v>
      </c>
      <c r="G214" s="624">
        <v>42125</v>
      </c>
      <c r="H214" s="530">
        <f t="shared" si="39"/>
        <v>0.87611225188227237</v>
      </c>
      <c r="I214" s="649"/>
      <c r="J214" s="669">
        <v>2014</v>
      </c>
      <c r="K214" s="669">
        <v>2015</v>
      </c>
      <c r="L214" s="613" t="s">
        <v>303</v>
      </c>
      <c r="M214" s="613">
        <f t="shared" si="36"/>
        <v>0</v>
      </c>
      <c r="N214" s="613">
        <f t="shared" si="37"/>
        <v>1</v>
      </c>
      <c r="O214" s="670"/>
      <c r="P214" s="670"/>
      <c r="Q214" s="670">
        <v>1</v>
      </c>
      <c r="R214" s="670"/>
      <c r="S214" s="670"/>
      <c r="T214" s="670"/>
      <c r="U214" s="613">
        <f t="shared" si="38"/>
        <v>1</v>
      </c>
      <c r="W214" s="613" t="str">
        <f t="shared" si="31"/>
        <v>I</v>
      </c>
      <c r="X214" s="613" t="str">
        <f t="shared" si="32"/>
        <v>I</v>
      </c>
      <c r="Y214" s="613">
        <f t="shared" si="33"/>
        <v>2014</v>
      </c>
      <c r="Z214" s="613" t="str">
        <f t="shared" si="34"/>
        <v>I</v>
      </c>
      <c r="AA214" s="613" t="str">
        <f t="shared" si="35"/>
        <v>I</v>
      </c>
      <c r="AB214" s="613" t="str">
        <f t="shared" si="35"/>
        <v>I</v>
      </c>
      <c r="AD214" s="613"/>
      <c r="AE214" s="740"/>
      <c r="AF214" s="644"/>
      <c r="AM214" s="647"/>
      <c r="AN214" s="647"/>
      <c r="AO214" s="647"/>
      <c r="AP214" s="647"/>
      <c r="AQ214" s="647"/>
    </row>
    <row r="215" spans="1:43" x14ac:dyDescent="0.2">
      <c r="A215" s="527">
        <v>213</v>
      </c>
      <c r="C215" s="727" t="s">
        <v>1863</v>
      </c>
      <c r="D215" s="624"/>
      <c r="E215" s="624">
        <v>42019</v>
      </c>
      <c r="F215" s="846" t="s">
        <v>2694</v>
      </c>
      <c r="G215" s="624">
        <v>42125</v>
      </c>
      <c r="H215" s="530">
        <f t="shared" si="39"/>
        <v>0.29021218343600275</v>
      </c>
      <c r="I215" s="727"/>
      <c r="J215" s="669">
        <v>2015</v>
      </c>
      <c r="K215" s="669">
        <v>2015</v>
      </c>
      <c r="L215" s="613" t="s">
        <v>303</v>
      </c>
      <c r="M215" s="613">
        <f t="shared" si="36"/>
        <v>0</v>
      </c>
      <c r="N215" s="613">
        <f t="shared" si="37"/>
        <v>1</v>
      </c>
      <c r="O215" s="670"/>
      <c r="P215" s="670"/>
      <c r="Q215" s="670">
        <v>1</v>
      </c>
      <c r="R215" s="670"/>
      <c r="S215" s="670"/>
      <c r="T215" s="670"/>
      <c r="U215" s="613">
        <f t="shared" si="38"/>
        <v>1</v>
      </c>
      <c r="W215" s="613" t="str">
        <f t="shared" si="31"/>
        <v>I</v>
      </c>
      <c r="X215" s="613" t="str">
        <f t="shared" si="32"/>
        <v>I</v>
      </c>
      <c r="Y215" s="613">
        <f t="shared" si="33"/>
        <v>2015</v>
      </c>
      <c r="Z215" s="613" t="str">
        <f t="shared" si="34"/>
        <v>I</v>
      </c>
      <c r="AA215" s="613" t="str">
        <f t="shared" si="35"/>
        <v>I</v>
      </c>
      <c r="AB215" s="613" t="str">
        <f t="shared" si="35"/>
        <v>I</v>
      </c>
      <c r="AD215" s="613"/>
      <c r="AE215" s="740"/>
      <c r="AF215" s="644"/>
      <c r="AM215" s="647"/>
      <c r="AN215" s="647"/>
      <c r="AO215" s="647"/>
      <c r="AP215" s="647"/>
      <c r="AQ215" s="647"/>
    </row>
    <row r="216" spans="1:43" x14ac:dyDescent="0.2">
      <c r="A216" s="527">
        <v>214</v>
      </c>
      <c r="C216" s="649" t="s">
        <v>1866</v>
      </c>
      <c r="D216" s="624"/>
      <c r="E216" s="624">
        <v>41835</v>
      </c>
      <c r="F216" s="846" t="s">
        <v>2694</v>
      </c>
      <c r="G216" s="624">
        <v>42125</v>
      </c>
      <c r="H216" s="530">
        <f t="shared" si="39"/>
        <v>0.79397672826830934</v>
      </c>
      <c r="I216" s="649"/>
      <c r="J216" s="669">
        <v>2014</v>
      </c>
      <c r="K216" s="669">
        <v>2015</v>
      </c>
      <c r="L216" s="613" t="s">
        <v>303</v>
      </c>
      <c r="M216" s="613">
        <f t="shared" si="36"/>
        <v>0</v>
      </c>
      <c r="N216" s="613">
        <f t="shared" si="37"/>
        <v>1</v>
      </c>
      <c r="O216" s="670"/>
      <c r="P216" s="670"/>
      <c r="Q216" s="670">
        <v>1</v>
      </c>
      <c r="R216" s="670"/>
      <c r="S216" s="670"/>
      <c r="T216" s="670"/>
      <c r="U216" s="613">
        <f t="shared" si="38"/>
        <v>1</v>
      </c>
      <c r="W216" s="613" t="str">
        <f t="shared" si="31"/>
        <v>I</v>
      </c>
      <c r="X216" s="613" t="str">
        <f t="shared" si="32"/>
        <v>I</v>
      </c>
      <c r="Y216" s="613">
        <f t="shared" si="33"/>
        <v>2014</v>
      </c>
      <c r="Z216" s="613" t="str">
        <f t="shared" si="34"/>
        <v>I</v>
      </c>
      <c r="AA216" s="613" t="str">
        <f t="shared" si="35"/>
        <v>I</v>
      </c>
      <c r="AB216" s="613" t="str">
        <f t="shared" si="35"/>
        <v>I</v>
      </c>
      <c r="AD216" s="613"/>
      <c r="AE216" s="740"/>
      <c r="AF216" s="880"/>
      <c r="AM216" s="647"/>
      <c r="AN216" s="647"/>
      <c r="AO216" s="647"/>
      <c r="AP216" s="647"/>
      <c r="AQ216" s="647"/>
    </row>
    <row r="217" spans="1:43" x14ac:dyDescent="0.2">
      <c r="A217" s="527">
        <v>215</v>
      </c>
      <c r="C217" s="649" t="s">
        <v>1867</v>
      </c>
      <c r="D217" s="624"/>
      <c r="E217" s="624">
        <v>41866</v>
      </c>
      <c r="F217" s="846" t="s">
        <v>2694</v>
      </c>
      <c r="G217" s="624">
        <v>42125</v>
      </c>
      <c r="H217" s="530">
        <f t="shared" si="39"/>
        <v>0.70910335386721424</v>
      </c>
      <c r="I217" s="649"/>
      <c r="J217" s="669">
        <v>2014</v>
      </c>
      <c r="K217" s="669">
        <v>2015</v>
      </c>
      <c r="L217" s="613" t="s">
        <v>303</v>
      </c>
      <c r="M217" s="613">
        <f t="shared" si="36"/>
        <v>0</v>
      </c>
      <c r="N217" s="613">
        <f t="shared" si="37"/>
        <v>1</v>
      </c>
      <c r="O217" s="670"/>
      <c r="P217" s="670"/>
      <c r="Q217" s="670">
        <v>1</v>
      </c>
      <c r="R217" s="670"/>
      <c r="S217" s="670"/>
      <c r="T217" s="670"/>
      <c r="U217" s="613">
        <f t="shared" si="38"/>
        <v>1</v>
      </c>
      <c r="W217" s="613" t="str">
        <f t="shared" si="31"/>
        <v>I</v>
      </c>
      <c r="X217" s="613" t="str">
        <f t="shared" si="32"/>
        <v>I</v>
      </c>
      <c r="Y217" s="613">
        <f t="shared" si="33"/>
        <v>2014</v>
      </c>
      <c r="Z217" s="613" t="str">
        <f t="shared" si="34"/>
        <v>I</v>
      </c>
      <c r="AA217" s="613" t="str">
        <f t="shared" si="35"/>
        <v>I</v>
      </c>
      <c r="AB217" s="613" t="str">
        <f t="shared" si="35"/>
        <v>I</v>
      </c>
      <c r="AD217" s="613"/>
      <c r="AE217" s="740"/>
      <c r="AF217" s="880"/>
      <c r="AM217" s="647"/>
      <c r="AN217" s="647"/>
      <c r="AO217" s="647"/>
      <c r="AP217" s="647"/>
      <c r="AQ217" s="647"/>
    </row>
    <row r="218" spans="1:43" x14ac:dyDescent="0.2">
      <c r="A218" s="527">
        <v>216</v>
      </c>
      <c r="C218" s="649" t="s">
        <v>1977</v>
      </c>
      <c r="D218" s="624"/>
      <c r="E218" s="624">
        <v>42019</v>
      </c>
      <c r="F218" s="846" t="s">
        <v>2694</v>
      </c>
      <c r="G218" s="624">
        <v>42147</v>
      </c>
      <c r="H218" s="530">
        <f t="shared" si="39"/>
        <v>0.35044490075290896</v>
      </c>
      <c r="I218" s="649"/>
      <c r="J218" s="669">
        <v>2015</v>
      </c>
      <c r="K218" s="669">
        <v>2015</v>
      </c>
      <c r="L218" s="613" t="s">
        <v>303</v>
      </c>
      <c r="M218" s="613">
        <f t="shared" si="36"/>
        <v>0</v>
      </c>
      <c r="N218" s="613">
        <f t="shared" si="37"/>
        <v>1</v>
      </c>
      <c r="O218" s="670"/>
      <c r="P218" s="670"/>
      <c r="Q218" s="670">
        <v>1</v>
      </c>
      <c r="R218" s="670"/>
      <c r="S218" s="670"/>
      <c r="T218" s="670"/>
      <c r="U218" s="613">
        <f t="shared" si="38"/>
        <v>1</v>
      </c>
      <c r="W218" s="613" t="str">
        <f t="shared" si="31"/>
        <v>I</v>
      </c>
      <c r="X218" s="613" t="str">
        <f t="shared" si="32"/>
        <v>I</v>
      </c>
      <c r="Y218" s="613">
        <f t="shared" si="33"/>
        <v>2015</v>
      </c>
      <c r="Z218" s="613" t="str">
        <f t="shared" si="34"/>
        <v>I</v>
      </c>
      <c r="AA218" s="613" t="str">
        <f t="shared" si="35"/>
        <v>I</v>
      </c>
      <c r="AB218" s="613" t="str">
        <f t="shared" si="35"/>
        <v>I</v>
      </c>
      <c r="AD218" s="613"/>
      <c r="AE218" s="740"/>
      <c r="AF218" s="880"/>
      <c r="AM218" s="647"/>
      <c r="AN218" s="647"/>
      <c r="AO218" s="647"/>
      <c r="AP218" s="647"/>
      <c r="AQ218" s="647"/>
    </row>
    <row r="219" spans="1:43" x14ac:dyDescent="0.2">
      <c r="A219" s="527">
        <v>217</v>
      </c>
      <c r="C219" s="649" t="s">
        <v>1978</v>
      </c>
      <c r="D219" s="624"/>
      <c r="E219" s="624">
        <v>42050</v>
      </c>
      <c r="F219" s="846" t="s">
        <v>2694</v>
      </c>
      <c r="G219" s="624">
        <v>42147</v>
      </c>
      <c r="H219" s="530">
        <f t="shared" si="39"/>
        <v>0.2655715263518138</v>
      </c>
      <c r="I219" s="649"/>
      <c r="J219" s="669">
        <v>2015</v>
      </c>
      <c r="K219" s="669">
        <v>2015</v>
      </c>
      <c r="L219" s="613" t="s">
        <v>303</v>
      </c>
      <c r="M219" s="613">
        <f t="shared" si="36"/>
        <v>0</v>
      </c>
      <c r="N219" s="613">
        <f t="shared" si="37"/>
        <v>1</v>
      </c>
      <c r="O219" s="670"/>
      <c r="P219" s="670"/>
      <c r="Q219" s="670">
        <v>1</v>
      </c>
      <c r="R219" s="670"/>
      <c r="S219" s="670"/>
      <c r="T219" s="670"/>
      <c r="U219" s="613">
        <f t="shared" si="38"/>
        <v>1</v>
      </c>
      <c r="W219" s="613" t="str">
        <f t="shared" si="31"/>
        <v>I</v>
      </c>
      <c r="X219" s="613" t="str">
        <f t="shared" si="32"/>
        <v>I</v>
      </c>
      <c r="Y219" s="613">
        <f t="shared" si="33"/>
        <v>2015</v>
      </c>
      <c r="Z219" s="613" t="str">
        <f t="shared" si="34"/>
        <v>I</v>
      </c>
      <c r="AA219" s="613" t="str">
        <f t="shared" si="35"/>
        <v>I</v>
      </c>
      <c r="AB219" s="613" t="str">
        <f t="shared" si="35"/>
        <v>I</v>
      </c>
      <c r="AD219" s="613"/>
      <c r="AE219" s="740"/>
      <c r="AF219" s="880"/>
      <c r="AM219" s="647"/>
      <c r="AN219" s="647"/>
      <c r="AO219" s="647"/>
      <c r="AP219" s="647"/>
      <c r="AQ219" s="647"/>
    </row>
    <row r="220" spans="1:43" x14ac:dyDescent="0.2">
      <c r="A220" s="527">
        <v>218</v>
      </c>
      <c r="C220" s="649" t="s">
        <v>1979</v>
      </c>
      <c r="D220" s="624"/>
      <c r="E220" s="624">
        <v>41744</v>
      </c>
      <c r="F220" s="846" t="s">
        <v>2694</v>
      </c>
      <c r="G220" s="624">
        <v>42127</v>
      </c>
      <c r="H220" s="530">
        <f t="shared" si="39"/>
        <v>1.0485968514715949</v>
      </c>
      <c r="I220" s="649"/>
      <c r="J220" s="669">
        <v>2014</v>
      </c>
      <c r="K220" s="669">
        <v>2015</v>
      </c>
      <c r="L220" s="613" t="s">
        <v>303</v>
      </c>
      <c r="M220" s="613">
        <f t="shared" si="36"/>
        <v>0</v>
      </c>
      <c r="N220" s="613">
        <f t="shared" si="37"/>
        <v>1</v>
      </c>
      <c r="O220" s="670"/>
      <c r="P220" s="670"/>
      <c r="Q220" s="670">
        <v>1</v>
      </c>
      <c r="R220" s="670"/>
      <c r="S220" s="670"/>
      <c r="T220" s="670"/>
      <c r="U220" s="613">
        <f t="shared" si="38"/>
        <v>1</v>
      </c>
      <c r="W220" s="613" t="str">
        <f t="shared" si="31"/>
        <v>I</v>
      </c>
      <c r="X220" s="613" t="str">
        <f t="shared" si="32"/>
        <v>I</v>
      </c>
      <c r="Y220" s="613">
        <f t="shared" si="33"/>
        <v>2014</v>
      </c>
      <c r="Z220" s="613" t="str">
        <f t="shared" si="34"/>
        <v>I</v>
      </c>
      <c r="AA220" s="613" t="str">
        <f t="shared" si="35"/>
        <v>I</v>
      </c>
      <c r="AB220" s="613" t="str">
        <f t="shared" si="35"/>
        <v>I</v>
      </c>
      <c r="AD220" s="613"/>
      <c r="AE220" s="740"/>
      <c r="AF220" s="880"/>
      <c r="AM220" s="647"/>
      <c r="AN220" s="647"/>
      <c r="AO220" s="647"/>
      <c r="AP220" s="647"/>
      <c r="AQ220" s="647"/>
    </row>
    <row r="221" spans="1:43" x14ac:dyDescent="0.2">
      <c r="A221" s="527">
        <v>219</v>
      </c>
      <c r="C221" s="649" t="s">
        <v>1987</v>
      </c>
      <c r="D221" s="624"/>
      <c r="E221" s="624">
        <v>42050</v>
      </c>
      <c r="F221" s="846" t="s">
        <v>2694</v>
      </c>
      <c r="G221" s="624">
        <v>42155</v>
      </c>
      <c r="H221" s="530">
        <f t="shared" si="39"/>
        <v>0.28747433264887062</v>
      </c>
      <c r="I221" s="649"/>
      <c r="J221" s="669">
        <v>2015</v>
      </c>
      <c r="K221" s="669">
        <v>2015</v>
      </c>
      <c r="L221" s="613" t="s">
        <v>303</v>
      </c>
      <c r="M221" s="613">
        <f t="shared" si="36"/>
        <v>0</v>
      </c>
      <c r="N221" s="613">
        <f t="shared" si="37"/>
        <v>1</v>
      </c>
      <c r="O221" s="670"/>
      <c r="P221" s="670"/>
      <c r="Q221" s="670">
        <v>1</v>
      </c>
      <c r="R221" s="670"/>
      <c r="S221" s="670"/>
      <c r="T221" s="670"/>
      <c r="U221" s="613">
        <f t="shared" si="38"/>
        <v>1</v>
      </c>
      <c r="W221" s="613" t="str">
        <f t="shared" si="31"/>
        <v>I</v>
      </c>
      <c r="X221" s="613" t="str">
        <f t="shared" si="32"/>
        <v>I</v>
      </c>
      <c r="Y221" s="613">
        <f t="shared" si="33"/>
        <v>2015</v>
      </c>
      <c r="Z221" s="613" t="str">
        <f t="shared" si="34"/>
        <v>I</v>
      </c>
      <c r="AA221" s="613" t="str">
        <f t="shared" si="35"/>
        <v>I</v>
      </c>
      <c r="AB221" s="613" t="str">
        <f t="shared" si="35"/>
        <v>I</v>
      </c>
      <c r="AD221" s="613"/>
      <c r="AE221" s="740"/>
      <c r="AF221" s="880"/>
      <c r="AM221" s="647"/>
      <c r="AN221" s="647"/>
      <c r="AO221" s="647"/>
      <c r="AP221" s="647"/>
      <c r="AQ221" s="647"/>
    </row>
    <row r="222" spans="1:43" x14ac:dyDescent="0.2">
      <c r="A222" s="527">
        <v>220</v>
      </c>
      <c r="C222" s="727" t="s">
        <v>1989</v>
      </c>
      <c r="D222" s="624"/>
      <c r="E222" s="624">
        <v>42019</v>
      </c>
      <c r="F222" s="846" t="s">
        <v>2694</v>
      </c>
      <c r="G222" s="624">
        <v>42155</v>
      </c>
      <c r="H222" s="530">
        <f t="shared" si="39"/>
        <v>0.37234770704996578</v>
      </c>
      <c r="I222" s="649"/>
      <c r="J222" s="669">
        <v>2015</v>
      </c>
      <c r="K222" s="669">
        <v>2015</v>
      </c>
      <c r="L222" s="613" t="s">
        <v>303</v>
      </c>
      <c r="M222" s="613">
        <f t="shared" si="36"/>
        <v>0</v>
      </c>
      <c r="N222" s="613">
        <f t="shared" si="37"/>
        <v>1</v>
      </c>
      <c r="O222" s="670"/>
      <c r="P222" s="670"/>
      <c r="Q222" s="670">
        <v>1</v>
      </c>
      <c r="R222" s="670"/>
      <c r="S222" s="670"/>
      <c r="T222" s="670"/>
      <c r="U222" s="613">
        <f t="shared" si="38"/>
        <v>1</v>
      </c>
      <c r="W222" s="613" t="str">
        <f t="shared" si="31"/>
        <v>I</v>
      </c>
      <c r="X222" s="613" t="str">
        <f t="shared" si="32"/>
        <v>I</v>
      </c>
      <c r="Y222" s="613">
        <f t="shared" si="33"/>
        <v>2015</v>
      </c>
      <c r="Z222" s="613" t="str">
        <f t="shared" si="34"/>
        <v>I</v>
      </c>
      <c r="AA222" s="613" t="str">
        <f t="shared" si="35"/>
        <v>I</v>
      </c>
      <c r="AB222" s="613" t="str">
        <f t="shared" si="35"/>
        <v>I</v>
      </c>
      <c r="AD222" s="613"/>
      <c r="AE222" s="740"/>
      <c r="AF222" s="880"/>
      <c r="AM222" s="647"/>
      <c r="AN222" s="647"/>
      <c r="AO222" s="647"/>
      <c r="AP222" s="647"/>
      <c r="AQ222" s="647"/>
    </row>
    <row r="223" spans="1:43" x14ac:dyDescent="0.2">
      <c r="A223" s="527">
        <v>221</v>
      </c>
      <c r="C223" s="649" t="s">
        <v>1988</v>
      </c>
      <c r="D223" s="624"/>
      <c r="E223" s="624">
        <v>41821</v>
      </c>
      <c r="F223" s="846" t="s">
        <v>316</v>
      </c>
      <c r="G223" s="624">
        <v>42155</v>
      </c>
      <c r="H223" s="530">
        <f t="shared" si="39"/>
        <v>0.91444216290212188</v>
      </c>
      <c r="I223" s="649"/>
      <c r="J223" s="669">
        <v>2014</v>
      </c>
      <c r="K223" s="669">
        <v>2015</v>
      </c>
      <c r="L223" s="613" t="s">
        <v>303</v>
      </c>
      <c r="M223" s="613">
        <f t="shared" si="36"/>
        <v>0</v>
      </c>
      <c r="N223" s="613">
        <f t="shared" si="37"/>
        <v>1</v>
      </c>
      <c r="O223" s="670"/>
      <c r="P223" s="670"/>
      <c r="Q223" s="670">
        <v>1</v>
      </c>
      <c r="R223" s="670"/>
      <c r="S223" s="670"/>
      <c r="T223" s="670"/>
      <c r="U223" s="613">
        <f t="shared" si="38"/>
        <v>1</v>
      </c>
      <c r="W223" s="613" t="str">
        <f t="shared" si="31"/>
        <v>I</v>
      </c>
      <c r="X223" s="613" t="str">
        <f t="shared" si="32"/>
        <v>I</v>
      </c>
      <c r="Y223" s="613">
        <f t="shared" si="33"/>
        <v>2014</v>
      </c>
      <c r="Z223" s="613" t="str">
        <f t="shared" si="34"/>
        <v>I</v>
      </c>
      <c r="AA223" s="613" t="str">
        <f t="shared" si="35"/>
        <v>I</v>
      </c>
      <c r="AB223" s="613" t="str">
        <f t="shared" si="35"/>
        <v>I</v>
      </c>
      <c r="AD223" s="613"/>
      <c r="AE223" s="740"/>
      <c r="AF223" s="880"/>
      <c r="AM223" s="647"/>
      <c r="AN223" s="647"/>
      <c r="AO223" s="647"/>
      <c r="AP223" s="647"/>
      <c r="AQ223" s="647"/>
    </row>
    <row r="224" spans="1:43" x14ac:dyDescent="0.2">
      <c r="A224" s="527">
        <v>222</v>
      </c>
      <c r="C224" s="727" t="s">
        <v>1980</v>
      </c>
      <c r="D224" s="624"/>
      <c r="E224" s="624">
        <v>42109</v>
      </c>
      <c r="F224" s="846" t="s">
        <v>2694</v>
      </c>
      <c r="G224" s="624">
        <v>42166</v>
      </c>
      <c r="H224" s="530">
        <f t="shared" si="39"/>
        <v>0.15605749486652978</v>
      </c>
      <c r="I224" s="727"/>
      <c r="J224" s="669">
        <v>2015</v>
      </c>
      <c r="K224" s="669">
        <v>2015</v>
      </c>
      <c r="L224" s="613" t="s">
        <v>303</v>
      </c>
      <c r="M224" s="613">
        <f t="shared" si="36"/>
        <v>0</v>
      </c>
      <c r="N224" s="613">
        <f t="shared" si="37"/>
        <v>1</v>
      </c>
      <c r="O224" s="670"/>
      <c r="P224" s="670"/>
      <c r="Q224" s="670">
        <v>1</v>
      </c>
      <c r="R224" s="670"/>
      <c r="S224" s="670"/>
      <c r="T224" s="670"/>
      <c r="U224" s="613">
        <f t="shared" si="38"/>
        <v>1</v>
      </c>
      <c r="W224" s="613" t="str">
        <f t="shared" si="31"/>
        <v>I</v>
      </c>
      <c r="X224" s="613" t="str">
        <f t="shared" si="32"/>
        <v>I</v>
      </c>
      <c r="Y224" s="613">
        <f t="shared" si="33"/>
        <v>2015</v>
      </c>
      <c r="Z224" s="613" t="str">
        <f t="shared" si="34"/>
        <v>I</v>
      </c>
      <c r="AA224" s="613" t="str">
        <f t="shared" si="35"/>
        <v>I</v>
      </c>
      <c r="AB224" s="613" t="str">
        <f t="shared" si="35"/>
        <v>I</v>
      </c>
      <c r="AD224" s="613"/>
      <c r="AE224" s="740"/>
      <c r="AF224" s="880"/>
      <c r="AM224" s="647"/>
      <c r="AN224" s="647"/>
      <c r="AO224" s="647"/>
      <c r="AP224" s="647"/>
      <c r="AQ224" s="647"/>
    </row>
    <row r="225" spans="1:43" x14ac:dyDescent="0.2">
      <c r="A225" s="527">
        <v>223</v>
      </c>
      <c r="C225" s="649" t="s">
        <v>1992</v>
      </c>
      <c r="D225" s="624"/>
      <c r="E225" s="624">
        <v>42109</v>
      </c>
      <c r="F225" s="846" t="s">
        <v>2694</v>
      </c>
      <c r="G225" s="624">
        <v>42172</v>
      </c>
      <c r="H225" s="530">
        <f t="shared" si="39"/>
        <v>0.17248459958932238</v>
      </c>
      <c r="I225" s="649"/>
      <c r="J225" s="669">
        <v>2015</v>
      </c>
      <c r="K225" s="669">
        <v>2015</v>
      </c>
      <c r="L225" s="613" t="s">
        <v>303</v>
      </c>
      <c r="M225" s="613">
        <f t="shared" si="36"/>
        <v>0</v>
      </c>
      <c r="N225" s="613">
        <f t="shared" si="37"/>
        <v>1</v>
      </c>
      <c r="O225" s="670"/>
      <c r="P225" s="670"/>
      <c r="Q225" s="670">
        <v>1</v>
      </c>
      <c r="R225" s="670"/>
      <c r="S225" s="670"/>
      <c r="T225" s="670"/>
      <c r="U225" s="613">
        <f t="shared" si="38"/>
        <v>1</v>
      </c>
      <c r="W225" s="613" t="str">
        <f t="shared" si="31"/>
        <v>I</v>
      </c>
      <c r="X225" s="613" t="str">
        <f t="shared" si="32"/>
        <v>I</v>
      </c>
      <c r="Y225" s="613">
        <f t="shared" si="33"/>
        <v>2015</v>
      </c>
      <c r="Z225" s="613" t="str">
        <f t="shared" si="34"/>
        <v>I</v>
      </c>
      <c r="AA225" s="613" t="str">
        <f t="shared" si="35"/>
        <v>I</v>
      </c>
      <c r="AB225" s="613" t="str">
        <f t="shared" si="35"/>
        <v>I</v>
      </c>
      <c r="AD225" s="613"/>
      <c r="AE225" s="740"/>
      <c r="AF225" s="880"/>
      <c r="AM225" s="647"/>
      <c r="AN225" s="647"/>
      <c r="AO225" s="647"/>
      <c r="AP225" s="647"/>
      <c r="AQ225" s="647"/>
    </row>
    <row r="226" spans="1:43" x14ac:dyDescent="0.2">
      <c r="A226" s="527">
        <v>224</v>
      </c>
      <c r="C226" s="649" t="s">
        <v>1986</v>
      </c>
      <c r="D226" s="624"/>
      <c r="E226" s="624">
        <v>42139</v>
      </c>
      <c r="F226" s="846" t="s">
        <v>2694</v>
      </c>
      <c r="G226" s="624">
        <v>42185</v>
      </c>
      <c r="H226" s="530">
        <f t="shared" si="39"/>
        <v>0.12594113620807665</v>
      </c>
      <c r="I226" s="649"/>
      <c r="J226" s="669">
        <v>2015</v>
      </c>
      <c r="K226" s="669">
        <v>2015</v>
      </c>
      <c r="L226" s="613" t="s">
        <v>303</v>
      </c>
      <c r="M226" s="613">
        <f t="shared" si="36"/>
        <v>0</v>
      </c>
      <c r="N226" s="613">
        <f t="shared" si="37"/>
        <v>1</v>
      </c>
      <c r="O226" s="670"/>
      <c r="P226" s="670"/>
      <c r="Q226" s="670">
        <v>1</v>
      </c>
      <c r="R226" s="670"/>
      <c r="S226" s="670"/>
      <c r="T226" s="670"/>
      <c r="U226" s="613">
        <f t="shared" si="38"/>
        <v>1</v>
      </c>
      <c r="W226" s="613" t="str">
        <f t="shared" si="31"/>
        <v>I</v>
      </c>
      <c r="X226" s="613" t="str">
        <f t="shared" si="32"/>
        <v>I</v>
      </c>
      <c r="Y226" s="613">
        <f t="shared" si="33"/>
        <v>2015</v>
      </c>
      <c r="Z226" s="613" t="str">
        <f t="shared" si="34"/>
        <v>I</v>
      </c>
      <c r="AA226" s="613" t="str">
        <f t="shared" si="35"/>
        <v>I</v>
      </c>
      <c r="AB226" s="613" t="str">
        <f t="shared" si="35"/>
        <v>I</v>
      </c>
      <c r="AD226" s="613"/>
      <c r="AE226" s="740"/>
      <c r="AF226" s="880"/>
      <c r="AM226" s="647"/>
      <c r="AN226" s="647"/>
      <c r="AO226" s="647"/>
      <c r="AP226" s="647"/>
      <c r="AQ226" s="647"/>
    </row>
    <row r="227" spans="1:43" x14ac:dyDescent="0.2">
      <c r="A227" s="527">
        <v>225</v>
      </c>
      <c r="C227" s="649" t="s">
        <v>1999</v>
      </c>
      <c r="D227" s="624"/>
      <c r="E227" s="624">
        <v>42186</v>
      </c>
      <c r="F227" s="846" t="s">
        <v>316</v>
      </c>
      <c r="G227" s="624">
        <v>42203</v>
      </c>
      <c r="H227" s="530">
        <f t="shared" si="39"/>
        <v>4.6543463381245723E-2</v>
      </c>
      <c r="I227" s="649"/>
      <c r="J227" s="669">
        <v>2015</v>
      </c>
      <c r="K227" s="669">
        <v>2015</v>
      </c>
      <c r="L227" s="613" t="s">
        <v>303</v>
      </c>
      <c r="M227" s="613">
        <f t="shared" si="36"/>
        <v>0</v>
      </c>
      <c r="N227" s="613">
        <f t="shared" si="37"/>
        <v>1</v>
      </c>
      <c r="O227" s="670"/>
      <c r="P227" s="670"/>
      <c r="Q227" s="670">
        <v>1</v>
      </c>
      <c r="R227" s="670"/>
      <c r="S227" s="670"/>
      <c r="T227" s="670"/>
      <c r="U227" s="613">
        <f t="shared" si="38"/>
        <v>1</v>
      </c>
      <c r="W227" s="613" t="str">
        <f t="shared" si="31"/>
        <v>I</v>
      </c>
      <c r="X227" s="613" t="str">
        <f t="shared" si="32"/>
        <v>I</v>
      </c>
      <c r="Y227" s="613">
        <f t="shared" si="33"/>
        <v>2015</v>
      </c>
      <c r="Z227" s="613" t="str">
        <f t="shared" si="34"/>
        <v>I</v>
      </c>
      <c r="AA227" s="613" t="str">
        <f t="shared" si="35"/>
        <v>I</v>
      </c>
      <c r="AB227" s="613" t="str">
        <f t="shared" si="35"/>
        <v>I</v>
      </c>
      <c r="AD227" s="613"/>
      <c r="AE227" s="740"/>
      <c r="AF227" s="880"/>
      <c r="AM227" s="647"/>
      <c r="AN227" s="647"/>
      <c r="AO227" s="647"/>
      <c r="AP227" s="647"/>
      <c r="AQ227" s="647"/>
    </row>
    <row r="228" spans="1:43" x14ac:dyDescent="0.2">
      <c r="A228" s="527">
        <v>226</v>
      </c>
      <c r="C228" s="649" t="s">
        <v>1998</v>
      </c>
      <c r="D228" s="624"/>
      <c r="E228" s="624">
        <v>42139</v>
      </c>
      <c r="F228" s="846" t="s">
        <v>2694</v>
      </c>
      <c r="G228" s="624">
        <v>42251</v>
      </c>
      <c r="H228" s="530">
        <f t="shared" si="39"/>
        <v>0.30663928815879532</v>
      </c>
      <c r="I228" s="649"/>
      <c r="J228" s="669">
        <v>2015</v>
      </c>
      <c r="K228" s="669">
        <v>2015</v>
      </c>
      <c r="L228" s="613" t="s">
        <v>303</v>
      </c>
      <c r="M228" s="613">
        <f t="shared" si="36"/>
        <v>0</v>
      </c>
      <c r="N228" s="613">
        <f t="shared" si="37"/>
        <v>1</v>
      </c>
      <c r="O228" s="670"/>
      <c r="P228" s="670"/>
      <c r="Q228" s="670">
        <v>1</v>
      </c>
      <c r="R228" s="670"/>
      <c r="S228" s="670"/>
      <c r="T228" s="670"/>
      <c r="U228" s="613">
        <f t="shared" si="38"/>
        <v>1</v>
      </c>
      <c r="W228" s="613" t="str">
        <f t="shared" si="31"/>
        <v>I</v>
      </c>
      <c r="X228" s="613" t="str">
        <f t="shared" si="32"/>
        <v>I</v>
      </c>
      <c r="Y228" s="613">
        <f t="shared" si="33"/>
        <v>2015</v>
      </c>
      <c r="Z228" s="613" t="str">
        <f t="shared" si="34"/>
        <v>I</v>
      </c>
      <c r="AA228" s="613" t="str">
        <f t="shared" si="35"/>
        <v>I</v>
      </c>
      <c r="AB228" s="613" t="str">
        <f t="shared" si="35"/>
        <v>I</v>
      </c>
      <c r="AD228" s="613"/>
      <c r="AE228" s="740"/>
      <c r="AF228" s="880"/>
      <c r="AM228" s="647"/>
      <c r="AN228" s="647"/>
      <c r="AO228" s="647"/>
      <c r="AP228" s="647"/>
      <c r="AQ228" s="647"/>
    </row>
    <row r="229" spans="1:43" x14ac:dyDescent="0.2">
      <c r="A229" s="527">
        <v>227</v>
      </c>
      <c r="C229" s="649" t="s">
        <v>2008</v>
      </c>
      <c r="D229" s="624"/>
      <c r="E229" s="882">
        <v>42109</v>
      </c>
      <c r="F229" s="846" t="s">
        <v>316</v>
      </c>
      <c r="G229" s="624">
        <v>42251</v>
      </c>
      <c r="H229" s="530">
        <f t="shared" si="39"/>
        <v>0.38877481177275841</v>
      </c>
      <c r="I229" s="649"/>
      <c r="J229" s="669">
        <v>2015</v>
      </c>
      <c r="K229" s="669">
        <v>2015</v>
      </c>
      <c r="L229" s="613" t="s">
        <v>303</v>
      </c>
      <c r="M229" s="613">
        <f t="shared" si="36"/>
        <v>0</v>
      </c>
      <c r="N229" s="613">
        <f t="shared" si="37"/>
        <v>1</v>
      </c>
      <c r="O229" s="670"/>
      <c r="P229" s="670"/>
      <c r="Q229" s="670">
        <v>1</v>
      </c>
      <c r="R229" s="670"/>
      <c r="S229" s="670"/>
      <c r="T229" s="670"/>
      <c r="U229" s="613">
        <f t="shared" si="38"/>
        <v>1</v>
      </c>
      <c r="W229" s="613" t="str">
        <f t="shared" si="31"/>
        <v>I</v>
      </c>
      <c r="X229" s="613" t="str">
        <f t="shared" si="32"/>
        <v>I</v>
      </c>
      <c r="Y229" s="613">
        <f t="shared" si="33"/>
        <v>2015</v>
      </c>
      <c r="Z229" s="613" t="str">
        <f t="shared" si="34"/>
        <v>I</v>
      </c>
      <c r="AA229" s="613" t="str">
        <f t="shared" si="35"/>
        <v>I</v>
      </c>
      <c r="AB229" s="613" t="str">
        <f t="shared" si="35"/>
        <v>I</v>
      </c>
      <c r="AD229" s="613"/>
      <c r="AE229" s="740"/>
      <c r="AF229" s="880"/>
      <c r="AM229" s="647"/>
      <c r="AN229" s="647"/>
      <c r="AO229" s="647"/>
      <c r="AP229" s="647"/>
      <c r="AQ229" s="647"/>
    </row>
    <row r="230" spans="1:43" x14ac:dyDescent="0.2">
      <c r="A230" s="527">
        <v>228</v>
      </c>
      <c r="C230" s="649" t="s">
        <v>2009</v>
      </c>
      <c r="D230" s="958"/>
      <c r="E230" s="882">
        <v>42109</v>
      </c>
      <c r="F230" s="846" t="s">
        <v>316</v>
      </c>
      <c r="G230" s="624">
        <v>42255</v>
      </c>
      <c r="H230" s="530">
        <f t="shared" si="39"/>
        <v>0.39972621492128679</v>
      </c>
      <c r="I230" s="649"/>
      <c r="J230" s="669">
        <v>2015</v>
      </c>
      <c r="K230" s="669">
        <v>2015</v>
      </c>
      <c r="L230" s="613" t="s">
        <v>303</v>
      </c>
      <c r="M230" s="613">
        <f t="shared" si="36"/>
        <v>0</v>
      </c>
      <c r="N230" s="613">
        <f t="shared" si="37"/>
        <v>1</v>
      </c>
      <c r="O230" s="670"/>
      <c r="P230" s="670"/>
      <c r="Q230" s="670">
        <v>1</v>
      </c>
      <c r="R230" s="670"/>
      <c r="S230" s="670"/>
      <c r="T230" s="670"/>
      <c r="U230" s="613">
        <f t="shared" si="38"/>
        <v>1</v>
      </c>
      <c r="W230" s="613" t="str">
        <f t="shared" si="31"/>
        <v>I</v>
      </c>
      <c r="X230" s="613" t="str">
        <f t="shared" si="32"/>
        <v>I</v>
      </c>
      <c r="Y230" s="613">
        <f t="shared" si="33"/>
        <v>2015</v>
      </c>
      <c r="Z230" s="613" t="str">
        <f t="shared" si="34"/>
        <v>I</v>
      </c>
      <c r="AA230" s="613" t="str">
        <f t="shared" si="35"/>
        <v>I</v>
      </c>
      <c r="AB230" s="613" t="str">
        <f t="shared" si="35"/>
        <v>I</v>
      </c>
      <c r="AD230" s="613"/>
      <c r="AE230" s="740"/>
      <c r="AF230" s="644"/>
      <c r="AM230" s="647"/>
      <c r="AN230" s="647"/>
      <c r="AO230" s="647"/>
      <c r="AP230" s="647"/>
      <c r="AQ230" s="647"/>
    </row>
    <row r="231" spans="1:43" x14ac:dyDescent="0.2">
      <c r="A231" s="527">
        <v>229</v>
      </c>
      <c r="C231" s="649" t="s">
        <v>2005</v>
      </c>
      <c r="D231" s="958"/>
      <c r="E231" s="624">
        <v>42139</v>
      </c>
      <c r="F231" s="846" t="s">
        <v>2694</v>
      </c>
      <c r="G231" s="624">
        <v>42280</v>
      </c>
      <c r="H231" s="530">
        <f t="shared" si="39"/>
        <v>0.38603696098562629</v>
      </c>
      <c r="I231" s="649"/>
      <c r="J231" s="669">
        <v>2015</v>
      </c>
      <c r="K231" s="669">
        <v>2015</v>
      </c>
      <c r="L231" s="613" t="s">
        <v>303</v>
      </c>
      <c r="M231" s="613">
        <f t="shared" si="36"/>
        <v>0</v>
      </c>
      <c r="N231" s="613">
        <f t="shared" si="37"/>
        <v>1</v>
      </c>
      <c r="O231" s="670"/>
      <c r="P231" s="670"/>
      <c r="Q231" s="670">
        <v>1</v>
      </c>
      <c r="R231" s="670"/>
      <c r="S231" s="670"/>
      <c r="T231" s="670"/>
      <c r="U231" s="613">
        <f t="shared" si="38"/>
        <v>1</v>
      </c>
      <c r="W231" s="613" t="str">
        <f t="shared" si="31"/>
        <v>I</v>
      </c>
      <c r="X231" s="613" t="str">
        <f t="shared" si="32"/>
        <v>I</v>
      </c>
      <c r="Y231" s="613">
        <f t="shared" si="33"/>
        <v>2015</v>
      </c>
      <c r="Z231" s="613" t="str">
        <f t="shared" si="34"/>
        <v>I</v>
      </c>
      <c r="AA231" s="613" t="str">
        <f t="shared" si="35"/>
        <v>I</v>
      </c>
      <c r="AB231" s="613" t="str">
        <f t="shared" si="35"/>
        <v>I</v>
      </c>
      <c r="AD231" s="613"/>
      <c r="AE231" s="740"/>
      <c r="AF231" s="644"/>
      <c r="AM231" s="647"/>
      <c r="AN231" s="647"/>
      <c r="AO231" s="647"/>
      <c r="AP231" s="647"/>
      <c r="AQ231" s="647"/>
    </row>
    <row r="232" spans="1:43" x14ac:dyDescent="0.2">
      <c r="A232" s="527">
        <v>230</v>
      </c>
      <c r="C232" s="649" t="s">
        <v>2004</v>
      </c>
      <c r="D232" s="958"/>
      <c r="E232" s="624">
        <v>42139</v>
      </c>
      <c r="F232" s="846" t="s">
        <v>2694</v>
      </c>
      <c r="G232" s="624">
        <v>42280</v>
      </c>
      <c r="H232" s="530">
        <f t="shared" si="39"/>
        <v>0.38603696098562629</v>
      </c>
      <c r="I232" s="649"/>
      <c r="J232" s="669">
        <v>2015</v>
      </c>
      <c r="K232" s="669">
        <v>2015</v>
      </c>
      <c r="L232" s="613" t="s">
        <v>303</v>
      </c>
      <c r="M232" s="613">
        <f t="shared" si="36"/>
        <v>0</v>
      </c>
      <c r="N232" s="613">
        <f t="shared" si="37"/>
        <v>1</v>
      </c>
      <c r="O232" s="670"/>
      <c r="P232" s="670"/>
      <c r="Q232" s="670">
        <v>1</v>
      </c>
      <c r="R232" s="670"/>
      <c r="S232" s="670"/>
      <c r="T232" s="670"/>
      <c r="U232" s="613">
        <f t="shared" si="38"/>
        <v>1</v>
      </c>
      <c r="W232" s="613" t="str">
        <f t="shared" si="31"/>
        <v>I</v>
      </c>
      <c r="X232" s="613" t="str">
        <f t="shared" si="32"/>
        <v>I</v>
      </c>
      <c r="Y232" s="613">
        <f t="shared" si="33"/>
        <v>2015</v>
      </c>
      <c r="Z232" s="613" t="str">
        <f t="shared" si="34"/>
        <v>I</v>
      </c>
      <c r="AA232" s="613" t="str">
        <f t="shared" si="35"/>
        <v>I</v>
      </c>
      <c r="AB232" s="613" t="str">
        <f t="shared" si="35"/>
        <v>I</v>
      </c>
      <c r="AD232" s="613"/>
      <c r="AE232" s="740"/>
      <c r="AF232" s="644"/>
      <c r="AM232" s="647"/>
      <c r="AN232" s="647"/>
      <c r="AO232" s="647"/>
      <c r="AP232" s="647"/>
      <c r="AQ232" s="647"/>
    </row>
    <row r="233" spans="1:43" x14ac:dyDescent="0.2">
      <c r="A233" s="527">
        <v>231</v>
      </c>
      <c r="C233" s="649" t="s">
        <v>2003</v>
      </c>
      <c r="D233" s="624"/>
      <c r="E233" s="624">
        <v>42139</v>
      </c>
      <c r="F233" s="846" t="s">
        <v>2694</v>
      </c>
      <c r="G233" s="624">
        <v>42280</v>
      </c>
      <c r="H233" s="530">
        <f t="shared" si="39"/>
        <v>0.38603696098562629</v>
      </c>
      <c r="I233" s="649"/>
      <c r="J233" s="669">
        <v>2015</v>
      </c>
      <c r="K233" s="669">
        <v>2015</v>
      </c>
      <c r="L233" s="613" t="s">
        <v>303</v>
      </c>
      <c r="M233" s="613">
        <f t="shared" si="36"/>
        <v>0</v>
      </c>
      <c r="N233" s="613">
        <f t="shared" si="37"/>
        <v>1</v>
      </c>
      <c r="O233" s="670"/>
      <c r="P233" s="670"/>
      <c r="Q233" s="670">
        <v>1</v>
      </c>
      <c r="R233" s="670"/>
      <c r="S233" s="670"/>
      <c r="T233" s="670"/>
      <c r="U233" s="613">
        <f t="shared" si="38"/>
        <v>1</v>
      </c>
      <c r="W233" s="613" t="str">
        <f t="shared" si="31"/>
        <v>I</v>
      </c>
      <c r="X233" s="613" t="str">
        <f t="shared" si="32"/>
        <v>I</v>
      </c>
      <c r="Y233" s="613">
        <f t="shared" si="33"/>
        <v>2015</v>
      </c>
      <c r="Z233" s="613" t="str">
        <f t="shared" si="34"/>
        <v>I</v>
      </c>
      <c r="AA233" s="613" t="str">
        <f t="shared" si="35"/>
        <v>I</v>
      </c>
      <c r="AB233" s="613" t="str">
        <f t="shared" si="35"/>
        <v>I</v>
      </c>
      <c r="AD233" s="613"/>
      <c r="AE233" s="740"/>
      <c r="AF233" s="644"/>
      <c r="AM233" s="647"/>
      <c r="AN233" s="647"/>
      <c r="AO233" s="647"/>
      <c r="AP233" s="647"/>
      <c r="AQ233" s="647"/>
    </row>
    <row r="234" spans="1:43" x14ac:dyDescent="0.2">
      <c r="A234" s="527">
        <v>232</v>
      </c>
      <c r="C234" s="649" t="s">
        <v>2011</v>
      </c>
      <c r="D234" s="624"/>
      <c r="E234" s="624">
        <v>42231</v>
      </c>
      <c r="F234" s="846" t="s">
        <v>2694</v>
      </c>
      <c r="G234" s="624">
        <v>42299</v>
      </c>
      <c r="H234" s="530">
        <f t="shared" si="39"/>
        <v>0.18617385352498289</v>
      </c>
      <c r="I234" s="649"/>
      <c r="J234" s="669">
        <v>2015</v>
      </c>
      <c r="K234" s="669">
        <v>2015</v>
      </c>
      <c r="L234" s="613" t="s">
        <v>303</v>
      </c>
      <c r="M234" s="613">
        <f t="shared" si="36"/>
        <v>0</v>
      </c>
      <c r="N234" s="613">
        <f t="shared" si="37"/>
        <v>1</v>
      </c>
      <c r="O234" s="670"/>
      <c r="P234" s="670"/>
      <c r="Q234" s="670">
        <v>1</v>
      </c>
      <c r="R234" s="670"/>
      <c r="S234" s="670"/>
      <c r="T234" s="670"/>
      <c r="U234" s="613">
        <f t="shared" si="38"/>
        <v>1</v>
      </c>
      <c r="W234" s="613" t="str">
        <f t="shared" si="31"/>
        <v>I</v>
      </c>
      <c r="X234" s="613" t="str">
        <f t="shared" si="32"/>
        <v>I</v>
      </c>
      <c r="Y234" s="613">
        <f t="shared" si="33"/>
        <v>2015</v>
      </c>
      <c r="Z234" s="613" t="str">
        <f t="shared" si="34"/>
        <v>I</v>
      </c>
      <c r="AA234" s="613" t="str">
        <f t="shared" si="35"/>
        <v>I</v>
      </c>
      <c r="AB234" s="613" t="str">
        <f t="shared" si="35"/>
        <v>I</v>
      </c>
      <c r="AD234" s="613"/>
      <c r="AE234" s="740"/>
      <c r="AF234" s="644"/>
      <c r="AM234" s="647"/>
      <c r="AN234" s="647"/>
      <c r="AO234" s="647"/>
      <c r="AP234" s="647"/>
      <c r="AQ234" s="647"/>
    </row>
    <row r="235" spans="1:43" x14ac:dyDescent="0.2">
      <c r="A235" s="527">
        <v>233</v>
      </c>
      <c r="C235" s="649" t="s">
        <v>2017</v>
      </c>
      <c r="D235" s="624"/>
      <c r="E235" s="624">
        <v>42191</v>
      </c>
      <c r="F235" s="846" t="s">
        <v>2167</v>
      </c>
      <c r="G235" s="624">
        <v>42284</v>
      </c>
      <c r="H235" s="530">
        <f t="shared" si="39"/>
        <v>0.25462012320328542</v>
      </c>
      <c r="I235" s="649"/>
      <c r="J235" s="669">
        <v>2015</v>
      </c>
      <c r="K235" s="669">
        <v>2015</v>
      </c>
      <c r="L235" s="613" t="s">
        <v>303</v>
      </c>
      <c r="M235" s="613">
        <f t="shared" si="36"/>
        <v>0</v>
      </c>
      <c r="N235" s="613">
        <f t="shared" si="37"/>
        <v>1</v>
      </c>
      <c r="O235" s="670"/>
      <c r="P235" s="670"/>
      <c r="Q235" s="670">
        <v>1</v>
      </c>
      <c r="R235" s="670"/>
      <c r="S235" s="670"/>
      <c r="T235" s="670"/>
      <c r="U235" s="613">
        <f t="shared" si="38"/>
        <v>1</v>
      </c>
      <c r="W235" s="613" t="str">
        <f t="shared" si="31"/>
        <v>I</v>
      </c>
      <c r="X235" s="613" t="str">
        <f t="shared" si="32"/>
        <v>I</v>
      </c>
      <c r="Y235" s="613">
        <f t="shared" si="33"/>
        <v>2015</v>
      </c>
      <c r="Z235" s="613" t="str">
        <f t="shared" si="34"/>
        <v>I</v>
      </c>
      <c r="AA235" s="613" t="str">
        <f t="shared" si="35"/>
        <v>I</v>
      </c>
      <c r="AB235" s="613" t="str">
        <f t="shared" si="35"/>
        <v>I</v>
      </c>
      <c r="AD235" s="613"/>
      <c r="AE235" s="740"/>
      <c r="AF235" s="644"/>
      <c r="AM235" s="647"/>
      <c r="AN235" s="647"/>
      <c r="AO235" s="647"/>
      <c r="AP235" s="647"/>
      <c r="AQ235" s="647"/>
    </row>
    <row r="236" spans="1:43" x14ac:dyDescent="0.2">
      <c r="A236" s="527">
        <v>234</v>
      </c>
      <c r="C236" s="649" t="s">
        <v>2018</v>
      </c>
      <c r="D236" s="624"/>
      <c r="E236" s="624">
        <v>42116</v>
      </c>
      <c r="F236" s="846" t="s">
        <v>2167</v>
      </c>
      <c r="G236" s="624">
        <v>42284</v>
      </c>
      <c r="H236" s="530">
        <f t="shared" si="39"/>
        <v>0.45995893223819301</v>
      </c>
      <c r="I236" s="649"/>
      <c r="J236" s="669">
        <v>2015</v>
      </c>
      <c r="K236" s="669">
        <v>2015</v>
      </c>
      <c r="L236" s="613" t="s">
        <v>303</v>
      </c>
      <c r="M236" s="613">
        <f t="shared" si="36"/>
        <v>0</v>
      </c>
      <c r="N236" s="613">
        <f t="shared" si="37"/>
        <v>1</v>
      </c>
      <c r="O236" s="670"/>
      <c r="P236" s="670"/>
      <c r="Q236" s="670">
        <v>1</v>
      </c>
      <c r="R236" s="670"/>
      <c r="S236" s="670"/>
      <c r="T236" s="670"/>
      <c r="U236" s="613">
        <f t="shared" si="38"/>
        <v>1</v>
      </c>
      <c r="W236" s="613" t="str">
        <f t="shared" si="31"/>
        <v>I</v>
      </c>
      <c r="X236" s="613" t="str">
        <f t="shared" si="32"/>
        <v>I</v>
      </c>
      <c r="Y236" s="613">
        <f t="shared" si="33"/>
        <v>2015</v>
      </c>
      <c r="Z236" s="613" t="str">
        <f t="shared" si="34"/>
        <v>I</v>
      </c>
      <c r="AA236" s="613" t="str">
        <f t="shared" si="35"/>
        <v>I</v>
      </c>
      <c r="AB236" s="613" t="str">
        <f t="shared" si="35"/>
        <v>I</v>
      </c>
      <c r="AD236" s="613"/>
      <c r="AE236" s="740"/>
      <c r="AF236" s="644"/>
      <c r="AM236" s="647"/>
      <c r="AN236" s="647"/>
      <c r="AO236" s="647"/>
      <c r="AP236" s="647"/>
      <c r="AQ236" s="647"/>
    </row>
    <row r="237" spans="1:43" x14ac:dyDescent="0.2">
      <c r="A237" s="527">
        <v>235</v>
      </c>
      <c r="C237" s="649" t="s">
        <v>2033</v>
      </c>
      <c r="D237" s="624"/>
      <c r="E237" s="882">
        <v>42095</v>
      </c>
      <c r="F237" s="846" t="s">
        <v>316</v>
      </c>
      <c r="G237" s="624">
        <v>42309</v>
      </c>
      <c r="H237" s="530">
        <f t="shared" si="39"/>
        <v>0.58590006844626963</v>
      </c>
      <c r="I237" s="649"/>
      <c r="J237" s="669">
        <v>2015</v>
      </c>
      <c r="K237" s="669">
        <v>2015</v>
      </c>
      <c r="L237" s="613" t="s">
        <v>303</v>
      </c>
      <c r="M237" s="613">
        <f t="shared" si="36"/>
        <v>0</v>
      </c>
      <c r="N237" s="613">
        <f t="shared" si="37"/>
        <v>1</v>
      </c>
      <c r="O237" s="670"/>
      <c r="P237" s="670"/>
      <c r="Q237" s="670">
        <v>1</v>
      </c>
      <c r="R237" s="670"/>
      <c r="S237" s="670"/>
      <c r="T237" s="670"/>
      <c r="U237" s="613">
        <f t="shared" si="38"/>
        <v>1</v>
      </c>
      <c r="W237" s="613" t="str">
        <f t="shared" si="31"/>
        <v>I</v>
      </c>
      <c r="X237" s="613" t="str">
        <f t="shared" si="32"/>
        <v>I</v>
      </c>
      <c r="Y237" s="613">
        <f t="shared" si="33"/>
        <v>2015</v>
      </c>
      <c r="Z237" s="613" t="str">
        <f t="shared" si="34"/>
        <v>I</v>
      </c>
      <c r="AA237" s="613" t="str">
        <f t="shared" si="35"/>
        <v>I</v>
      </c>
      <c r="AB237" s="613" t="str">
        <f t="shared" si="35"/>
        <v>I</v>
      </c>
      <c r="AD237" s="613"/>
      <c r="AE237" s="740"/>
      <c r="AF237" s="644"/>
      <c r="AM237" s="647"/>
      <c r="AN237" s="647"/>
      <c r="AO237" s="647"/>
      <c r="AP237" s="647"/>
      <c r="AQ237" s="647"/>
    </row>
    <row r="238" spans="1:43" x14ac:dyDescent="0.2">
      <c r="A238" s="527">
        <v>236</v>
      </c>
      <c r="C238" s="649" t="s">
        <v>2095</v>
      </c>
      <c r="D238" s="624"/>
      <c r="E238" s="624">
        <v>42186</v>
      </c>
      <c r="F238" s="846" t="s">
        <v>316</v>
      </c>
      <c r="G238" s="624">
        <v>42364</v>
      </c>
      <c r="H238" s="530">
        <f t="shared" si="39"/>
        <v>0.48733744010951402</v>
      </c>
      <c r="I238" s="649"/>
      <c r="J238" s="669">
        <v>2015</v>
      </c>
      <c r="K238" s="669">
        <v>2015</v>
      </c>
      <c r="L238" s="613" t="s">
        <v>303</v>
      </c>
      <c r="M238" s="613">
        <f t="shared" si="36"/>
        <v>0</v>
      </c>
      <c r="N238" s="613">
        <f t="shared" si="37"/>
        <v>1</v>
      </c>
      <c r="O238" s="670"/>
      <c r="P238" s="670"/>
      <c r="Q238" s="670">
        <v>1</v>
      </c>
      <c r="R238" s="670"/>
      <c r="S238" s="670"/>
      <c r="T238" s="670"/>
      <c r="U238" s="613">
        <f t="shared" si="38"/>
        <v>1</v>
      </c>
      <c r="W238" s="613" t="str">
        <f t="shared" si="31"/>
        <v>I</v>
      </c>
      <c r="X238" s="613" t="str">
        <f t="shared" si="32"/>
        <v>I</v>
      </c>
      <c r="Y238" s="613">
        <f t="shared" si="33"/>
        <v>2015</v>
      </c>
      <c r="Z238" s="613" t="str">
        <f t="shared" si="34"/>
        <v>I</v>
      </c>
      <c r="AA238" s="613" t="str">
        <f t="shared" si="35"/>
        <v>I</v>
      </c>
      <c r="AB238" s="613" t="str">
        <f t="shared" si="35"/>
        <v>I</v>
      </c>
      <c r="AD238" s="613"/>
      <c r="AE238" s="740"/>
      <c r="AF238" s="644"/>
      <c r="AM238" s="647"/>
      <c r="AN238" s="647"/>
      <c r="AO238" s="647"/>
      <c r="AP238" s="647"/>
      <c r="AQ238" s="647"/>
    </row>
    <row r="239" spans="1:43" x14ac:dyDescent="0.2">
      <c r="A239" s="527">
        <v>237</v>
      </c>
      <c r="C239" s="727" t="s">
        <v>2021</v>
      </c>
      <c r="D239" s="624"/>
      <c r="E239" s="624">
        <v>42139</v>
      </c>
      <c r="F239" s="846" t="s">
        <v>2694</v>
      </c>
      <c r="G239" s="624">
        <v>42356</v>
      </c>
      <c r="H239" s="530">
        <f t="shared" si="39"/>
        <v>0.59411362080766594</v>
      </c>
      <c r="I239" s="727"/>
      <c r="J239" s="669">
        <v>2015</v>
      </c>
      <c r="K239" s="669">
        <v>2015</v>
      </c>
      <c r="L239" s="613" t="s">
        <v>303</v>
      </c>
      <c r="M239" s="613">
        <f t="shared" si="36"/>
        <v>0</v>
      </c>
      <c r="N239" s="613">
        <f t="shared" si="37"/>
        <v>1</v>
      </c>
      <c r="O239" s="670"/>
      <c r="P239" s="670"/>
      <c r="Q239" s="670">
        <v>1</v>
      </c>
      <c r="R239" s="670"/>
      <c r="S239" s="670"/>
      <c r="T239" s="670"/>
      <c r="U239" s="613">
        <f t="shared" si="38"/>
        <v>1</v>
      </c>
      <c r="W239" s="613" t="str">
        <f t="shared" si="31"/>
        <v>I</v>
      </c>
      <c r="X239" s="613" t="str">
        <f t="shared" si="32"/>
        <v>I</v>
      </c>
      <c r="Y239" s="613">
        <f t="shared" si="33"/>
        <v>2015</v>
      </c>
      <c r="Z239" s="613" t="str">
        <f t="shared" si="34"/>
        <v>I</v>
      </c>
      <c r="AA239" s="613" t="str">
        <f t="shared" si="35"/>
        <v>I</v>
      </c>
      <c r="AB239" s="613" t="str">
        <f t="shared" si="35"/>
        <v>I</v>
      </c>
      <c r="AD239" s="613"/>
      <c r="AE239" s="740"/>
      <c r="AF239" s="644"/>
      <c r="AM239" s="647"/>
      <c r="AN239" s="647"/>
      <c r="AO239" s="647"/>
      <c r="AP239" s="647"/>
      <c r="AQ239" s="647"/>
    </row>
    <row r="240" spans="1:43" x14ac:dyDescent="0.2">
      <c r="A240" s="527">
        <v>238</v>
      </c>
      <c r="C240" s="649" t="s">
        <v>2027</v>
      </c>
      <c r="D240" s="624"/>
      <c r="E240" s="624">
        <v>42231</v>
      </c>
      <c r="F240" s="846" t="s">
        <v>2694</v>
      </c>
      <c r="G240" s="624">
        <v>42332</v>
      </c>
      <c r="H240" s="530">
        <f t="shared" si="39"/>
        <v>0.27652292950034224</v>
      </c>
      <c r="I240" s="649"/>
      <c r="J240" s="669">
        <v>2015</v>
      </c>
      <c r="K240" s="669">
        <v>2015</v>
      </c>
      <c r="L240" s="613" t="s">
        <v>303</v>
      </c>
      <c r="M240" s="613">
        <f t="shared" si="36"/>
        <v>0</v>
      </c>
      <c r="N240" s="613">
        <f t="shared" si="37"/>
        <v>1</v>
      </c>
      <c r="O240" s="670"/>
      <c r="P240" s="670"/>
      <c r="Q240" s="670">
        <v>1</v>
      </c>
      <c r="R240" s="670"/>
      <c r="S240" s="670"/>
      <c r="T240" s="670"/>
      <c r="U240" s="613">
        <f t="shared" si="38"/>
        <v>1</v>
      </c>
      <c r="W240" s="613" t="str">
        <f t="shared" si="31"/>
        <v>I</v>
      </c>
      <c r="X240" s="613" t="str">
        <f t="shared" si="32"/>
        <v>I</v>
      </c>
      <c r="Y240" s="613">
        <f t="shared" si="33"/>
        <v>2015</v>
      </c>
      <c r="Z240" s="613" t="str">
        <f t="shared" si="34"/>
        <v>I</v>
      </c>
      <c r="AA240" s="613" t="str">
        <f t="shared" si="35"/>
        <v>I</v>
      </c>
      <c r="AB240" s="613" t="str">
        <f t="shared" si="35"/>
        <v>I</v>
      </c>
      <c r="AD240" s="613"/>
      <c r="AE240" s="740"/>
      <c r="AF240" s="644"/>
      <c r="AM240" s="647"/>
      <c r="AN240" s="647"/>
      <c r="AO240" s="647"/>
      <c r="AP240" s="647"/>
      <c r="AQ240" s="647"/>
    </row>
    <row r="241" spans="1:43" x14ac:dyDescent="0.2">
      <c r="A241" s="527">
        <v>239</v>
      </c>
      <c r="C241" s="727" t="s">
        <v>2032</v>
      </c>
      <c r="D241" s="624"/>
      <c r="E241" s="624">
        <v>42139</v>
      </c>
      <c r="F241" s="846" t="s">
        <v>2694</v>
      </c>
      <c r="G241" s="624">
        <v>42369</v>
      </c>
      <c r="H241" s="530">
        <f t="shared" si="39"/>
        <v>0.62970568104038327</v>
      </c>
      <c r="I241" s="727"/>
      <c r="J241" s="669">
        <v>2015</v>
      </c>
      <c r="K241" s="669">
        <v>2015</v>
      </c>
      <c r="L241" s="613" t="s">
        <v>303</v>
      </c>
      <c r="M241" s="613">
        <f t="shared" si="36"/>
        <v>0</v>
      </c>
      <c r="N241" s="613">
        <f t="shared" si="37"/>
        <v>1</v>
      </c>
      <c r="O241" s="670"/>
      <c r="P241" s="670"/>
      <c r="Q241" s="670">
        <v>1</v>
      </c>
      <c r="R241" s="670"/>
      <c r="S241" s="670"/>
      <c r="T241" s="670"/>
      <c r="U241" s="613">
        <f t="shared" si="38"/>
        <v>1</v>
      </c>
      <c r="W241" s="613" t="str">
        <f t="shared" si="31"/>
        <v>I</v>
      </c>
      <c r="X241" s="613" t="str">
        <f t="shared" si="32"/>
        <v>I</v>
      </c>
      <c r="Y241" s="613">
        <f t="shared" si="33"/>
        <v>2015</v>
      </c>
      <c r="Z241" s="613" t="str">
        <f t="shared" si="34"/>
        <v>I</v>
      </c>
      <c r="AA241" s="613" t="str">
        <f t="shared" si="35"/>
        <v>I</v>
      </c>
      <c r="AB241" s="613" t="str">
        <f t="shared" si="35"/>
        <v>I</v>
      </c>
      <c r="AD241" s="613"/>
      <c r="AE241" s="740"/>
      <c r="AF241" s="880"/>
      <c r="AM241" s="647"/>
      <c r="AN241" s="647"/>
      <c r="AO241" s="647"/>
      <c r="AP241" s="647"/>
      <c r="AQ241" s="647"/>
    </row>
    <row r="242" spans="1:43" x14ac:dyDescent="0.2">
      <c r="A242" s="527">
        <v>240</v>
      </c>
      <c r="C242" s="730" t="s">
        <v>2171</v>
      </c>
      <c r="D242" s="624"/>
      <c r="E242" s="624"/>
      <c r="F242" s="844"/>
      <c r="G242" s="624"/>
      <c r="H242" s="619"/>
      <c r="I242" s="730"/>
      <c r="J242" s="731">
        <v>2014</v>
      </c>
      <c r="K242" s="731">
        <v>2016</v>
      </c>
      <c r="L242" s="613" t="s">
        <v>336</v>
      </c>
      <c r="M242" s="613">
        <f t="shared" si="36"/>
        <v>0</v>
      </c>
      <c r="N242" s="613">
        <f t="shared" si="37"/>
        <v>0</v>
      </c>
      <c r="O242" s="732"/>
      <c r="P242" s="732"/>
      <c r="Q242" s="732"/>
      <c r="R242" s="732">
        <v>1</v>
      </c>
      <c r="S242" s="732"/>
      <c r="T242" s="732"/>
      <c r="U242" s="613">
        <f t="shared" si="38"/>
        <v>1</v>
      </c>
      <c r="W242" s="613" t="str">
        <f t="shared" si="31"/>
        <v>I</v>
      </c>
      <c r="X242" s="613" t="str">
        <f t="shared" si="32"/>
        <v>I</v>
      </c>
      <c r="Y242" s="613" t="str">
        <f t="shared" si="33"/>
        <v>I</v>
      </c>
      <c r="Z242" s="613">
        <f t="shared" si="34"/>
        <v>2014</v>
      </c>
      <c r="AA242" s="613" t="str">
        <f t="shared" si="35"/>
        <v>I</v>
      </c>
      <c r="AB242" s="613" t="str">
        <f t="shared" si="35"/>
        <v>I</v>
      </c>
      <c r="AD242" s="613"/>
      <c r="AE242" s="740"/>
      <c r="AF242" s="880"/>
      <c r="AM242" s="647"/>
      <c r="AN242" s="647"/>
      <c r="AO242" s="647"/>
      <c r="AP242" s="647"/>
      <c r="AQ242" s="647"/>
    </row>
    <row r="243" spans="1:43" x14ac:dyDescent="0.2">
      <c r="A243" s="527">
        <v>241</v>
      </c>
      <c r="C243" s="730" t="s">
        <v>2115</v>
      </c>
      <c r="D243" s="883">
        <v>40558</v>
      </c>
      <c r="E243" s="624"/>
      <c r="F243" s="844" t="s">
        <v>2694</v>
      </c>
      <c r="G243" s="624">
        <v>42504</v>
      </c>
      <c r="H243" s="530">
        <f t="shared" ref="H243:H272" si="40">(G243-MAX(D243:E243))/365.25</f>
        <v>5.3278576317590689</v>
      </c>
      <c r="I243" s="730"/>
      <c r="J243" s="731">
        <v>2011</v>
      </c>
      <c r="K243" s="731">
        <v>2016</v>
      </c>
      <c r="L243" s="613" t="s">
        <v>336</v>
      </c>
      <c r="M243" s="613">
        <f t="shared" si="36"/>
        <v>1</v>
      </c>
      <c r="N243" s="613">
        <f t="shared" si="37"/>
        <v>0</v>
      </c>
      <c r="O243" s="732"/>
      <c r="P243" s="732"/>
      <c r="Q243" s="732">
        <v>1</v>
      </c>
      <c r="R243" s="732"/>
      <c r="S243" s="732"/>
      <c r="T243" s="732"/>
      <c r="U243" s="613">
        <f t="shared" si="38"/>
        <v>1</v>
      </c>
      <c r="W243" s="613" t="str">
        <f t="shared" si="31"/>
        <v>I</v>
      </c>
      <c r="X243" s="613" t="str">
        <f t="shared" si="32"/>
        <v>I</v>
      </c>
      <c r="Y243" s="613">
        <f t="shared" si="33"/>
        <v>2011</v>
      </c>
      <c r="Z243" s="613" t="str">
        <f t="shared" si="34"/>
        <v>I</v>
      </c>
      <c r="AA243" s="613" t="str">
        <f t="shared" si="35"/>
        <v>I</v>
      </c>
      <c r="AB243" s="613" t="str">
        <f t="shared" si="35"/>
        <v>I</v>
      </c>
      <c r="AD243" s="613"/>
      <c r="AE243" s="740"/>
      <c r="AF243" s="880"/>
      <c r="AM243" s="647"/>
      <c r="AN243" s="647"/>
      <c r="AO243" s="647"/>
      <c r="AP243" s="647"/>
      <c r="AQ243" s="647"/>
    </row>
    <row r="244" spans="1:43" x14ac:dyDescent="0.2">
      <c r="A244" s="527">
        <v>242</v>
      </c>
      <c r="C244" s="730" t="s">
        <v>2192</v>
      </c>
      <c r="D244" s="883">
        <v>42090</v>
      </c>
      <c r="E244" s="624"/>
      <c r="F244" s="844" t="s">
        <v>2167</v>
      </c>
      <c r="G244" s="624">
        <v>42502</v>
      </c>
      <c r="H244" s="530">
        <f t="shared" si="40"/>
        <v>1.1279945242984257</v>
      </c>
      <c r="I244" s="730"/>
      <c r="J244" s="731">
        <v>2015</v>
      </c>
      <c r="K244" s="731">
        <v>2016</v>
      </c>
      <c r="L244" s="613" t="s">
        <v>336</v>
      </c>
      <c r="M244" s="613">
        <f t="shared" si="36"/>
        <v>1</v>
      </c>
      <c r="N244" s="613">
        <f t="shared" si="37"/>
        <v>0</v>
      </c>
      <c r="O244" s="732"/>
      <c r="P244" s="732"/>
      <c r="Q244" s="732">
        <v>1</v>
      </c>
      <c r="R244" s="732"/>
      <c r="S244" s="732"/>
      <c r="T244" s="732"/>
      <c r="U244" s="613">
        <f t="shared" si="38"/>
        <v>1</v>
      </c>
      <c r="W244" s="613" t="str">
        <f t="shared" si="31"/>
        <v>I</v>
      </c>
      <c r="X244" s="613" t="str">
        <f t="shared" si="32"/>
        <v>I</v>
      </c>
      <c r="Y244" s="613">
        <f t="shared" si="33"/>
        <v>2015</v>
      </c>
      <c r="Z244" s="613" t="str">
        <f t="shared" si="34"/>
        <v>I</v>
      </c>
      <c r="AA244" s="613" t="str">
        <f t="shared" si="35"/>
        <v>I</v>
      </c>
      <c r="AB244" s="613" t="str">
        <f t="shared" si="35"/>
        <v>I</v>
      </c>
      <c r="AD244" s="613"/>
      <c r="AE244" s="740"/>
      <c r="AF244" s="880"/>
      <c r="AM244" s="647"/>
      <c r="AN244" s="647"/>
      <c r="AO244" s="647"/>
      <c r="AP244" s="647"/>
      <c r="AQ244" s="647"/>
    </row>
    <row r="245" spans="1:43" x14ac:dyDescent="0.2">
      <c r="A245" s="527">
        <v>243</v>
      </c>
      <c r="C245" s="730" t="s">
        <v>2104</v>
      </c>
      <c r="D245" s="624"/>
      <c r="E245" s="624">
        <v>42231</v>
      </c>
      <c r="F245" s="846" t="s">
        <v>2694</v>
      </c>
      <c r="G245" s="624">
        <v>42382</v>
      </c>
      <c r="H245" s="530">
        <f t="shared" si="40"/>
        <v>0.4134154688569473</v>
      </c>
      <c r="I245" s="730"/>
      <c r="J245" s="731">
        <v>2015</v>
      </c>
      <c r="K245" s="731">
        <v>2016</v>
      </c>
      <c r="L245" s="613" t="s">
        <v>303</v>
      </c>
      <c r="M245" s="613">
        <f t="shared" si="36"/>
        <v>0</v>
      </c>
      <c r="N245" s="613">
        <f t="shared" si="37"/>
        <v>1</v>
      </c>
      <c r="O245" s="732"/>
      <c r="P245" s="732"/>
      <c r="Q245" s="732">
        <v>1</v>
      </c>
      <c r="R245" s="732"/>
      <c r="S245" s="732"/>
      <c r="T245" s="732"/>
      <c r="U245" s="613">
        <f t="shared" si="38"/>
        <v>1</v>
      </c>
      <c r="W245" s="613" t="str">
        <f t="shared" si="31"/>
        <v>I</v>
      </c>
      <c r="X245" s="613" t="str">
        <f t="shared" si="32"/>
        <v>I</v>
      </c>
      <c r="Y245" s="613">
        <f t="shared" si="33"/>
        <v>2015</v>
      </c>
      <c r="Z245" s="613" t="str">
        <f t="shared" si="34"/>
        <v>I</v>
      </c>
      <c r="AA245" s="613" t="str">
        <f t="shared" si="35"/>
        <v>I</v>
      </c>
      <c r="AB245" s="613" t="str">
        <f t="shared" si="35"/>
        <v>I</v>
      </c>
      <c r="AD245" s="613"/>
      <c r="AE245" s="740"/>
      <c r="AF245" s="880"/>
      <c r="AM245" s="647"/>
      <c r="AN245" s="647"/>
      <c r="AO245" s="647"/>
      <c r="AP245" s="647"/>
      <c r="AQ245" s="647"/>
    </row>
    <row r="246" spans="1:43" x14ac:dyDescent="0.2">
      <c r="A246" s="527">
        <v>244</v>
      </c>
      <c r="C246" s="730" t="s">
        <v>2108</v>
      </c>
      <c r="D246" s="624"/>
      <c r="E246" s="624">
        <v>42309</v>
      </c>
      <c r="F246" s="846" t="s">
        <v>2694</v>
      </c>
      <c r="G246" s="624">
        <v>42393</v>
      </c>
      <c r="H246" s="530">
        <f t="shared" si="40"/>
        <v>0.2299794661190965</v>
      </c>
      <c r="I246" s="730"/>
      <c r="J246" s="731">
        <v>2015</v>
      </c>
      <c r="K246" s="731">
        <v>2016</v>
      </c>
      <c r="L246" s="613" t="s">
        <v>303</v>
      </c>
      <c r="M246" s="613">
        <f t="shared" si="36"/>
        <v>0</v>
      </c>
      <c r="N246" s="613">
        <f t="shared" si="37"/>
        <v>1</v>
      </c>
      <c r="O246" s="732"/>
      <c r="P246" s="732"/>
      <c r="Q246" s="732">
        <v>1</v>
      </c>
      <c r="R246" s="732"/>
      <c r="S246" s="732"/>
      <c r="T246" s="732"/>
      <c r="U246" s="613">
        <f t="shared" si="38"/>
        <v>1</v>
      </c>
      <c r="W246" s="613" t="str">
        <f t="shared" si="31"/>
        <v>I</v>
      </c>
      <c r="X246" s="613" t="str">
        <f t="shared" si="32"/>
        <v>I</v>
      </c>
      <c r="Y246" s="613">
        <f t="shared" si="33"/>
        <v>2015</v>
      </c>
      <c r="Z246" s="613" t="str">
        <f t="shared" si="34"/>
        <v>I</v>
      </c>
      <c r="AA246" s="613" t="str">
        <f t="shared" si="35"/>
        <v>I</v>
      </c>
      <c r="AB246" s="613" t="str">
        <f t="shared" si="35"/>
        <v>I</v>
      </c>
      <c r="AD246" s="613"/>
      <c r="AE246" s="740"/>
      <c r="AF246" s="644"/>
      <c r="AM246" s="647"/>
      <c r="AN246" s="647"/>
      <c r="AO246" s="647"/>
      <c r="AP246" s="647"/>
      <c r="AQ246" s="647"/>
    </row>
    <row r="247" spans="1:43" x14ac:dyDescent="0.2">
      <c r="A247" s="527">
        <v>245</v>
      </c>
      <c r="C247" s="750" t="s">
        <v>2103</v>
      </c>
      <c r="D247" s="624">
        <v>42186</v>
      </c>
      <c r="E247" s="624"/>
      <c r="F247" s="844" t="s">
        <v>316</v>
      </c>
      <c r="G247" s="624">
        <v>42403</v>
      </c>
      <c r="H247" s="530">
        <f t="shared" si="40"/>
        <v>0.59411362080766594</v>
      </c>
      <c r="I247" s="750"/>
      <c r="J247" s="731">
        <v>2015</v>
      </c>
      <c r="K247" s="731">
        <v>2016</v>
      </c>
      <c r="L247" s="613" t="s">
        <v>336</v>
      </c>
      <c r="M247" s="613">
        <f t="shared" si="36"/>
        <v>1</v>
      </c>
      <c r="N247" s="613">
        <f t="shared" si="37"/>
        <v>0</v>
      </c>
      <c r="O247" s="732"/>
      <c r="P247" s="732"/>
      <c r="Q247" s="732">
        <v>1</v>
      </c>
      <c r="R247" s="732"/>
      <c r="S247" s="732"/>
      <c r="T247" s="732"/>
      <c r="U247" s="613">
        <f t="shared" si="38"/>
        <v>1</v>
      </c>
      <c r="W247" s="613" t="str">
        <f t="shared" si="31"/>
        <v>I</v>
      </c>
      <c r="X247" s="613" t="str">
        <f t="shared" si="32"/>
        <v>I</v>
      </c>
      <c r="Y247" s="613">
        <f t="shared" si="33"/>
        <v>2015</v>
      </c>
      <c r="Z247" s="613" t="str">
        <f t="shared" si="34"/>
        <v>I</v>
      </c>
      <c r="AA247" s="613" t="str">
        <f t="shared" si="35"/>
        <v>I</v>
      </c>
      <c r="AB247" s="613" t="str">
        <f t="shared" si="35"/>
        <v>I</v>
      </c>
      <c r="AE247" s="740"/>
      <c r="AF247" s="644"/>
      <c r="AM247" s="647"/>
      <c r="AN247" s="647"/>
      <c r="AO247" s="647"/>
      <c r="AP247" s="647"/>
      <c r="AQ247" s="647"/>
    </row>
    <row r="248" spans="1:43" x14ac:dyDescent="0.2">
      <c r="A248" s="527">
        <v>246</v>
      </c>
      <c r="C248" s="750" t="s">
        <v>2111</v>
      </c>
      <c r="D248" s="624">
        <v>41852</v>
      </c>
      <c r="E248" s="624"/>
      <c r="F248" s="846" t="s">
        <v>2167</v>
      </c>
      <c r="G248" s="624">
        <v>42427</v>
      </c>
      <c r="H248" s="530">
        <f t="shared" si="40"/>
        <v>1.5742642026009583</v>
      </c>
      <c r="I248" s="750"/>
      <c r="J248" s="731">
        <v>2014</v>
      </c>
      <c r="K248" s="731">
        <v>2016</v>
      </c>
      <c r="L248" s="613" t="s">
        <v>336</v>
      </c>
      <c r="M248" s="613">
        <f t="shared" si="36"/>
        <v>1</v>
      </c>
      <c r="N248" s="613">
        <f t="shared" si="37"/>
        <v>0</v>
      </c>
      <c r="O248" s="732"/>
      <c r="P248" s="732"/>
      <c r="Q248" s="732">
        <v>1</v>
      </c>
      <c r="R248" s="732"/>
      <c r="S248" s="732"/>
      <c r="T248" s="732"/>
      <c r="U248" s="613">
        <f t="shared" si="38"/>
        <v>1</v>
      </c>
      <c r="W248" s="613" t="str">
        <f t="shared" si="31"/>
        <v>I</v>
      </c>
      <c r="X248" s="613" t="str">
        <f t="shared" si="32"/>
        <v>I</v>
      </c>
      <c r="Y248" s="613">
        <f t="shared" si="33"/>
        <v>2014</v>
      </c>
      <c r="Z248" s="613" t="str">
        <f t="shared" si="34"/>
        <v>I</v>
      </c>
      <c r="AA248" s="613" t="str">
        <f t="shared" si="35"/>
        <v>I</v>
      </c>
      <c r="AB248" s="613" t="str">
        <f t="shared" si="35"/>
        <v>I</v>
      </c>
      <c r="AD248" s="613"/>
      <c r="AE248" s="740"/>
      <c r="AF248" s="644"/>
      <c r="AM248" s="647"/>
      <c r="AN248" s="647"/>
      <c r="AO248" s="647"/>
      <c r="AP248" s="647"/>
      <c r="AQ248" s="647"/>
    </row>
    <row r="249" spans="1:43" x14ac:dyDescent="0.2">
      <c r="A249" s="527">
        <v>247</v>
      </c>
      <c r="C249" s="730" t="s">
        <v>2110</v>
      </c>
      <c r="D249" s="624"/>
      <c r="E249" s="624">
        <v>42323</v>
      </c>
      <c r="F249" s="846" t="s">
        <v>2694</v>
      </c>
      <c r="G249" s="624">
        <v>42427</v>
      </c>
      <c r="H249" s="530">
        <f t="shared" si="40"/>
        <v>0.28473648186173856</v>
      </c>
      <c r="I249" s="730"/>
      <c r="J249" s="731">
        <v>2015</v>
      </c>
      <c r="K249" s="731">
        <v>2016</v>
      </c>
      <c r="L249" s="613" t="s">
        <v>303</v>
      </c>
      <c r="M249" s="613">
        <f t="shared" si="36"/>
        <v>0</v>
      </c>
      <c r="N249" s="613">
        <f t="shared" si="37"/>
        <v>1</v>
      </c>
      <c r="O249" s="732"/>
      <c r="P249" s="732"/>
      <c r="Q249" s="732">
        <v>1</v>
      </c>
      <c r="R249" s="732"/>
      <c r="S249" s="732"/>
      <c r="T249" s="732"/>
      <c r="U249" s="613">
        <f t="shared" si="38"/>
        <v>1</v>
      </c>
      <c r="W249" s="613" t="str">
        <f t="shared" si="31"/>
        <v>I</v>
      </c>
      <c r="X249" s="613" t="str">
        <f t="shared" si="32"/>
        <v>I</v>
      </c>
      <c r="Y249" s="613">
        <f t="shared" si="33"/>
        <v>2015</v>
      </c>
      <c r="Z249" s="613" t="str">
        <f t="shared" si="34"/>
        <v>I</v>
      </c>
      <c r="AA249" s="613" t="str">
        <f t="shared" si="35"/>
        <v>I</v>
      </c>
      <c r="AB249" s="613" t="str">
        <f t="shared" si="35"/>
        <v>I</v>
      </c>
      <c r="AD249" s="613"/>
      <c r="AE249" s="740"/>
      <c r="AF249" s="644"/>
      <c r="AM249" s="647"/>
      <c r="AN249" s="647"/>
      <c r="AO249" s="647"/>
      <c r="AP249" s="647"/>
      <c r="AQ249" s="647"/>
    </row>
    <row r="250" spans="1:43" x14ac:dyDescent="0.2">
      <c r="A250" s="527">
        <v>248</v>
      </c>
      <c r="C250" s="730" t="s">
        <v>2109</v>
      </c>
      <c r="D250" s="624"/>
      <c r="E250" s="624">
        <v>42019</v>
      </c>
      <c r="F250" s="846" t="s">
        <v>2694</v>
      </c>
      <c r="G250" s="624">
        <v>42455</v>
      </c>
      <c r="H250" s="530">
        <f t="shared" si="40"/>
        <v>1.1937029431895962</v>
      </c>
      <c r="I250" s="730"/>
      <c r="J250" s="731">
        <v>2015</v>
      </c>
      <c r="K250" s="731">
        <v>2016</v>
      </c>
      <c r="L250" s="613" t="s">
        <v>303</v>
      </c>
      <c r="M250" s="613">
        <f t="shared" si="36"/>
        <v>0</v>
      </c>
      <c r="N250" s="613">
        <f t="shared" si="37"/>
        <v>1</v>
      </c>
      <c r="O250" s="732"/>
      <c r="P250" s="732"/>
      <c r="Q250" s="732">
        <v>1</v>
      </c>
      <c r="R250" s="732"/>
      <c r="S250" s="732"/>
      <c r="T250" s="732"/>
      <c r="U250" s="613">
        <f t="shared" si="38"/>
        <v>1</v>
      </c>
      <c r="W250" s="613" t="str">
        <f t="shared" si="31"/>
        <v>I</v>
      </c>
      <c r="X250" s="613" t="str">
        <f t="shared" si="32"/>
        <v>I</v>
      </c>
      <c r="Y250" s="613">
        <f t="shared" si="33"/>
        <v>2015</v>
      </c>
      <c r="Z250" s="613" t="str">
        <f t="shared" si="34"/>
        <v>I</v>
      </c>
      <c r="AA250" s="613" t="str">
        <f t="shared" si="35"/>
        <v>I</v>
      </c>
      <c r="AB250" s="613" t="str">
        <f t="shared" si="35"/>
        <v>I</v>
      </c>
      <c r="AD250" s="613"/>
      <c r="AE250" s="740"/>
      <c r="AF250" s="644"/>
      <c r="AM250" s="647"/>
      <c r="AN250" s="647"/>
      <c r="AO250" s="647"/>
      <c r="AP250" s="647"/>
      <c r="AQ250" s="647"/>
    </row>
    <row r="251" spans="1:43" x14ac:dyDescent="0.2">
      <c r="A251" s="527">
        <v>249</v>
      </c>
      <c r="C251" s="730" t="s">
        <v>2116</v>
      </c>
      <c r="D251" s="624"/>
      <c r="E251" s="624">
        <v>42415</v>
      </c>
      <c r="F251" s="846" t="s">
        <v>2694</v>
      </c>
      <c r="G251" s="624">
        <v>42471</v>
      </c>
      <c r="H251" s="530">
        <f t="shared" si="40"/>
        <v>0.15331964407939766</v>
      </c>
      <c r="I251" s="730"/>
      <c r="J251" s="731">
        <v>2016</v>
      </c>
      <c r="K251" s="731">
        <v>2016</v>
      </c>
      <c r="L251" s="613" t="s">
        <v>303</v>
      </c>
      <c r="M251" s="613">
        <f t="shared" si="36"/>
        <v>0</v>
      </c>
      <c r="N251" s="613">
        <f t="shared" si="37"/>
        <v>1</v>
      </c>
      <c r="O251" s="732"/>
      <c r="P251" s="732"/>
      <c r="Q251" s="732">
        <v>1</v>
      </c>
      <c r="R251" s="732"/>
      <c r="S251" s="732"/>
      <c r="T251" s="732"/>
      <c r="U251" s="613">
        <f t="shared" si="38"/>
        <v>1</v>
      </c>
      <c r="W251" s="613" t="str">
        <f t="shared" si="31"/>
        <v>I</v>
      </c>
      <c r="X251" s="613" t="str">
        <f t="shared" si="32"/>
        <v>I</v>
      </c>
      <c r="Y251" s="613">
        <f t="shared" si="33"/>
        <v>2016</v>
      </c>
      <c r="Z251" s="613" t="str">
        <f t="shared" si="34"/>
        <v>I</v>
      </c>
      <c r="AA251" s="613" t="str">
        <f t="shared" si="35"/>
        <v>I</v>
      </c>
      <c r="AB251" s="613" t="str">
        <f t="shared" si="35"/>
        <v>I</v>
      </c>
      <c r="AD251" s="613"/>
      <c r="AE251" s="740"/>
      <c r="AF251" s="644"/>
      <c r="AM251" s="647"/>
      <c r="AN251" s="647"/>
      <c r="AO251" s="647"/>
      <c r="AP251" s="647"/>
      <c r="AQ251" s="647"/>
    </row>
    <row r="252" spans="1:43" x14ac:dyDescent="0.2">
      <c r="A252" s="527">
        <v>250</v>
      </c>
      <c r="C252" s="730" t="s">
        <v>2119</v>
      </c>
      <c r="D252" s="624"/>
      <c r="E252" s="624">
        <v>42186</v>
      </c>
      <c r="F252" s="846" t="s">
        <v>316</v>
      </c>
      <c r="G252" s="624">
        <v>42471</v>
      </c>
      <c r="H252" s="530">
        <f t="shared" si="40"/>
        <v>0.78028747433264889</v>
      </c>
      <c r="I252" s="730"/>
      <c r="J252" s="731">
        <v>2015</v>
      </c>
      <c r="K252" s="731">
        <v>2016</v>
      </c>
      <c r="L252" s="613" t="s">
        <v>303</v>
      </c>
      <c r="M252" s="613">
        <f t="shared" si="36"/>
        <v>0</v>
      </c>
      <c r="N252" s="613">
        <f t="shared" si="37"/>
        <v>1</v>
      </c>
      <c r="O252" s="732"/>
      <c r="P252" s="732"/>
      <c r="Q252" s="732">
        <v>1</v>
      </c>
      <c r="R252" s="732"/>
      <c r="S252" s="732"/>
      <c r="T252" s="732"/>
      <c r="U252" s="613">
        <f t="shared" si="38"/>
        <v>1</v>
      </c>
      <c r="W252" s="613" t="str">
        <f t="shared" si="31"/>
        <v>I</v>
      </c>
      <c r="X252" s="613" t="str">
        <f t="shared" si="32"/>
        <v>I</v>
      </c>
      <c r="Y252" s="613">
        <f t="shared" si="33"/>
        <v>2015</v>
      </c>
      <c r="Z252" s="613" t="str">
        <f t="shared" si="34"/>
        <v>I</v>
      </c>
      <c r="AA252" s="613" t="str">
        <f t="shared" si="35"/>
        <v>I</v>
      </c>
      <c r="AB252" s="613" t="str">
        <f t="shared" si="35"/>
        <v>I</v>
      </c>
      <c r="AD252" s="613"/>
      <c r="AE252" s="740"/>
      <c r="AF252" s="644"/>
      <c r="AM252" s="647"/>
      <c r="AN252" s="647"/>
      <c r="AO252" s="647"/>
      <c r="AP252" s="647"/>
      <c r="AQ252" s="647"/>
    </row>
    <row r="253" spans="1:43" x14ac:dyDescent="0.2">
      <c r="A253" s="527">
        <v>251</v>
      </c>
      <c r="C253" s="730" t="s">
        <v>2182</v>
      </c>
      <c r="D253" s="624"/>
      <c r="E253" s="882">
        <v>42415</v>
      </c>
      <c r="F253" s="846" t="s">
        <v>316</v>
      </c>
      <c r="G253" s="624">
        <v>42484</v>
      </c>
      <c r="H253" s="530">
        <f t="shared" si="40"/>
        <v>0.18891170431211499</v>
      </c>
      <c r="I253" s="730"/>
      <c r="J253" s="731">
        <v>2016</v>
      </c>
      <c r="K253" s="731">
        <v>2016</v>
      </c>
      <c r="L253" s="613" t="s">
        <v>303</v>
      </c>
      <c r="M253" s="613">
        <f t="shared" si="36"/>
        <v>0</v>
      </c>
      <c r="N253" s="613">
        <f t="shared" si="37"/>
        <v>1</v>
      </c>
      <c r="O253" s="732"/>
      <c r="P253" s="732"/>
      <c r="Q253" s="732">
        <v>1</v>
      </c>
      <c r="R253" s="732"/>
      <c r="S253" s="732"/>
      <c r="T253" s="732"/>
      <c r="U253" s="613">
        <f t="shared" si="38"/>
        <v>1</v>
      </c>
      <c r="W253" s="613" t="str">
        <f t="shared" si="31"/>
        <v>I</v>
      </c>
      <c r="X253" s="613" t="str">
        <f t="shared" si="32"/>
        <v>I</v>
      </c>
      <c r="Y253" s="613">
        <f t="shared" si="33"/>
        <v>2016</v>
      </c>
      <c r="Z253" s="613" t="str">
        <f t="shared" si="34"/>
        <v>I</v>
      </c>
      <c r="AA253" s="613" t="str">
        <f t="shared" si="35"/>
        <v>I</v>
      </c>
      <c r="AB253" s="613" t="str">
        <f t="shared" si="35"/>
        <v>I</v>
      </c>
      <c r="AD253" s="613"/>
      <c r="AE253" s="740"/>
      <c r="AF253" s="644"/>
      <c r="AM253" s="647"/>
      <c r="AN253" s="647"/>
      <c r="AO253" s="647"/>
      <c r="AP253" s="647"/>
      <c r="AQ253" s="647"/>
    </row>
    <row r="254" spans="1:43" x14ac:dyDescent="0.2">
      <c r="A254" s="527">
        <v>252</v>
      </c>
      <c r="C254" s="730" t="s">
        <v>2183</v>
      </c>
      <c r="D254" s="624"/>
      <c r="E254" s="882">
        <v>42415</v>
      </c>
      <c r="F254" s="846" t="s">
        <v>316</v>
      </c>
      <c r="G254" s="624">
        <v>42484</v>
      </c>
      <c r="H254" s="530">
        <f t="shared" si="40"/>
        <v>0.18891170431211499</v>
      </c>
      <c r="I254" s="730"/>
      <c r="J254" s="731">
        <v>2016</v>
      </c>
      <c r="K254" s="731">
        <v>2016</v>
      </c>
      <c r="L254" s="613" t="s">
        <v>303</v>
      </c>
      <c r="M254" s="613">
        <f t="shared" si="36"/>
        <v>0</v>
      </c>
      <c r="N254" s="613">
        <f t="shared" si="37"/>
        <v>1</v>
      </c>
      <c r="O254" s="732"/>
      <c r="P254" s="732"/>
      <c r="Q254" s="732">
        <v>1</v>
      </c>
      <c r="R254" s="732"/>
      <c r="S254" s="732"/>
      <c r="T254" s="732"/>
      <c r="U254" s="613">
        <f t="shared" si="38"/>
        <v>1</v>
      </c>
      <c r="W254" s="613" t="str">
        <f t="shared" si="31"/>
        <v>I</v>
      </c>
      <c r="X254" s="613" t="str">
        <f t="shared" si="32"/>
        <v>I</v>
      </c>
      <c r="Y254" s="613">
        <f t="shared" si="33"/>
        <v>2016</v>
      </c>
      <c r="Z254" s="613" t="str">
        <f t="shared" si="34"/>
        <v>I</v>
      </c>
      <c r="AA254" s="613" t="str">
        <f t="shared" si="35"/>
        <v>I</v>
      </c>
      <c r="AB254" s="613" t="str">
        <f t="shared" si="35"/>
        <v>I</v>
      </c>
      <c r="AD254" s="613"/>
      <c r="AE254" s="740"/>
      <c r="AF254" s="644"/>
      <c r="AM254" s="647"/>
      <c r="AN254" s="647"/>
      <c r="AO254" s="647"/>
      <c r="AP254" s="647"/>
      <c r="AQ254" s="647"/>
    </row>
    <row r="255" spans="1:43" x14ac:dyDescent="0.2">
      <c r="A255" s="527">
        <v>253</v>
      </c>
      <c r="C255" s="730" t="s">
        <v>2120</v>
      </c>
      <c r="D255" s="624"/>
      <c r="E255" s="624">
        <v>42050</v>
      </c>
      <c r="F255" s="846" t="s">
        <v>2694</v>
      </c>
      <c r="G255" s="624">
        <v>42490</v>
      </c>
      <c r="H255" s="530">
        <f t="shared" si="40"/>
        <v>1.2046543463381245</v>
      </c>
      <c r="I255" s="730"/>
      <c r="J255" s="731">
        <v>2015</v>
      </c>
      <c r="K255" s="731">
        <v>2016</v>
      </c>
      <c r="L255" s="613" t="s">
        <v>303</v>
      </c>
      <c r="M255" s="613">
        <f t="shared" si="36"/>
        <v>0</v>
      </c>
      <c r="N255" s="613">
        <f t="shared" si="37"/>
        <v>1</v>
      </c>
      <c r="O255" s="732"/>
      <c r="P255" s="732"/>
      <c r="Q255" s="732">
        <v>1</v>
      </c>
      <c r="R255" s="732"/>
      <c r="S255" s="732"/>
      <c r="T255" s="732"/>
      <c r="U255" s="613">
        <f t="shared" si="38"/>
        <v>1</v>
      </c>
      <c r="W255" s="613" t="str">
        <f t="shared" si="31"/>
        <v>I</v>
      </c>
      <c r="X255" s="613" t="str">
        <f t="shared" si="32"/>
        <v>I</v>
      </c>
      <c r="Y255" s="613">
        <f t="shared" si="33"/>
        <v>2015</v>
      </c>
      <c r="Z255" s="613" t="str">
        <f t="shared" si="34"/>
        <v>I</v>
      </c>
      <c r="AA255" s="613" t="str">
        <f t="shared" si="35"/>
        <v>I</v>
      </c>
      <c r="AB255" s="613" t="str">
        <f t="shared" si="35"/>
        <v>I</v>
      </c>
      <c r="AD255" s="613"/>
      <c r="AE255" s="740"/>
      <c r="AF255" s="644"/>
      <c r="AM255" s="647"/>
      <c r="AN255" s="647"/>
      <c r="AO255" s="647"/>
      <c r="AP255" s="647"/>
      <c r="AQ255" s="647"/>
    </row>
    <row r="256" spans="1:43" x14ac:dyDescent="0.2">
      <c r="A256" s="527">
        <v>254</v>
      </c>
      <c r="C256" s="750" t="s">
        <v>2121</v>
      </c>
      <c r="D256" s="624"/>
      <c r="E256" s="624">
        <v>42323</v>
      </c>
      <c r="F256" s="846" t="s">
        <v>2694</v>
      </c>
      <c r="G256" s="624">
        <v>42490</v>
      </c>
      <c r="H256" s="530">
        <f t="shared" si="40"/>
        <v>0.45722108145106094</v>
      </c>
      <c r="I256" s="750"/>
      <c r="J256" s="731">
        <v>2015</v>
      </c>
      <c r="K256" s="731">
        <v>2016</v>
      </c>
      <c r="L256" s="613" t="s">
        <v>303</v>
      </c>
      <c r="M256" s="613">
        <f t="shared" si="36"/>
        <v>0</v>
      </c>
      <c r="N256" s="613">
        <f t="shared" si="37"/>
        <v>1</v>
      </c>
      <c r="O256" s="732"/>
      <c r="P256" s="732"/>
      <c r="Q256" s="732">
        <v>1</v>
      </c>
      <c r="R256" s="732"/>
      <c r="S256" s="732"/>
      <c r="T256" s="732"/>
      <c r="U256" s="613">
        <f t="shared" si="38"/>
        <v>1</v>
      </c>
      <c r="W256" s="613" t="str">
        <f t="shared" si="31"/>
        <v>I</v>
      </c>
      <c r="X256" s="613" t="str">
        <f t="shared" si="32"/>
        <v>I</v>
      </c>
      <c r="Y256" s="613">
        <f t="shared" si="33"/>
        <v>2015</v>
      </c>
      <c r="Z256" s="613" t="str">
        <f t="shared" si="34"/>
        <v>I</v>
      </c>
      <c r="AA256" s="613" t="str">
        <f t="shared" si="35"/>
        <v>I</v>
      </c>
      <c r="AB256" s="613" t="str">
        <f t="shared" si="35"/>
        <v>I</v>
      </c>
      <c r="AD256" s="613"/>
      <c r="AE256" s="740"/>
      <c r="AF256" s="644"/>
      <c r="AM256" s="647"/>
      <c r="AN256" s="647"/>
      <c r="AO256" s="647"/>
      <c r="AP256" s="647"/>
      <c r="AQ256" s="647"/>
    </row>
    <row r="257" spans="1:44" x14ac:dyDescent="0.2">
      <c r="A257" s="527">
        <v>255</v>
      </c>
      <c r="C257" s="730" t="s">
        <v>2193</v>
      </c>
      <c r="D257" s="624"/>
      <c r="E257" s="624">
        <v>42353</v>
      </c>
      <c r="F257" s="846" t="s">
        <v>2694</v>
      </c>
      <c r="G257" s="624">
        <v>42505</v>
      </c>
      <c r="H257" s="530">
        <f t="shared" si="40"/>
        <v>0.41615331964407942</v>
      </c>
      <c r="I257" s="730"/>
      <c r="J257" s="731">
        <v>2015</v>
      </c>
      <c r="K257" s="731">
        <v>2016</v>
      </c>
      <c r="L257" s="613" t="s">
        <v>303</v>
      </c>
      <c r="M257" s="613">
        <f t="shared" si="36"/>
        <v>0</v>
      </c>
      <c r="N257" s="613">
        <f t="shared" si="37"/>
        <v>1</v>
      </c>
      <c r="O257" s="732"/>
      <c r="P257" s="732"/>
      <c r="Q257" s="732">
        <v>1</v>
      </c>
      <c r="R257" s="732"/>
      <c r="S257" s="732"/>
      <c r="T257" s="732"/>
      <c r="U257" s="613">
        <f t="shared" si="38"/>
        <v>1</v>
      </c>
      <c r="W257" s="613" t="str">
        <f t="shared" si="31"/>
        <v>I</v>
      </c>
      <c r="X257" s="613" t="str">
        <f t="shared" si="32"/>
        <v>I</v>
      </c>
      <c r="Y257" s="613">
        <f t="shared" si="33"/>
        <v>2015</v>
      </c>
      <c r="Z257" s="613" t="str">
        <f t="shared" si="34"/>
        <v>I</v>
      </c>
      <c r="AA257" s="613" t="str">
        <f t="shared" si="35"/>
        <v>I</v>
      </c>
      <c r="AB257" s="613" t="str">
        <f t="shared" si="35"/>
        <v>I</v>
      </c>
      <c r="AD257" s="613"/>
      <c r="AE257" s="740"/>
      <c r="AF257" s="880"/>
      <c r="AM257" s="647"/>
      <c r="AN257" s="647"/>
      <c r="AO257" s="647"/>
      <c r="AP257" s="647"/>
      <c r="AQ257" s="647"/>
    </row>
    <row r="258" spans="1:44" x14ac:dyDescent="0.2">
      <c r="A258" s="527">
        <v>256</v>
      </c>
      <c r="C258" s="730" t="s">
        <v>2194</v>
      </c>
      <c r="D258" s="624"/>
      <c r="E258" s="624">
        <v>42415</v>
      </c>
      <c r="F258" s="846" t="s">
        <v>2694</v>
      </c>
      <c r="G258" s="624">
        <v>42505</v>
      </c>
      <c r="H258" s="530">
        <f t="shared" si="40"/>
        <v>0.24640657084188911</v>
      </c>
      <c r="I258" s="730"/>
      <c r="J258" s="731">
        <v>2016</v>
      </c>
      <c r="K258" s="731">
        <v>2016</v>
      </c>
      <c r="L258" s="613" t="s">
        <v>303</v>
      </c>
      <c r="M258" s="613">
        <f t="shared" si="36"/>
        <v>0</v>
      </c>
      <c r="N258" s="613">
        <f t="shared" si="37"/>
        <v>1</v>
      </c>
      <c r="O258" s="732"/>
      <c r="P258" s="732"/>
      <c r="Q258" s="732">
        <v>1</v>
      </c>
      <c r="R258" s="732"/>
      <c r="S258" s="732"/>
      <c r="T258" s="732"/>
      <c r="U258" s="613">
        <f t="shared" si="38"/>
        <v>1</v>
      </c>
      <c r="W258" s="613" t="str">
        <f t="shared" si="31"/>
        <v>I</v>
      </c>
      <c r="X258" s="613" t="str">
        <f t="shared" si="32"/>
        <v>I</v>
      </c>
      <c r="Y258" s="613">
        <f t="shared" si="33"/>
        <v>2016</v>
      </c>
      <c r="Z258" s="613" t="str">
        <f t="shared" si="34"/>
        <v>I</v>
      </c>
      <c r="AA258" s="613" t="str">
        <f t="shared" si="35"/>
        <v>I</v>
      </c>
      <c r="AB258" s="613" t="str">
        <f t="shared" si="35"/>
        <v>I</v>
      </c>
      <c r="AD258" s="613"/>
      <c r="AE258" s="740"/>
      <c r="AF258" s="880"/>
      <c r="AM258" s="647"/>
      <c r="AN258" s="647"/>
      <c r="AO258" s="647"/>
      <c r="AP258" s="647"/>
      <c r="AQ258" s="647"/>
    </row>
    <row r="259" spans="1:44" x14ac:dyDescent="0.2">
      <c r="A259" s="527">
        <v>257</v>
      </c>
      <c r="C259" s="730" t="s">
        <v>2185</v>
      </c>
      <c r="D259" s="624"/>
      <c r="E259" s="624">
        <v>42353</v>
      </c>
      <c r="F259" s="846" t="s">
        <v>2694</v>
      </c>
      <c r="G259" s="624">
        <v>42514</v>
      </c>
      <c r="H259" s="530">
        <f t="shared" si="40"/>
        <v>0.44079397672826831</v>
      </c>
      <c r="I259" s="730"/>
      <c r="J259" s="731">
        <v>2015</v>
      </c>
      <c r="K259" s="731">
        <v>2016</v>
      </c>
      <c r="L259" s="613" t="s">
        <v>303</v>
      </c>
      <c r="M259" s="613">
        <f t="shared" si="36"/>
        <v>0</v>
      </c>
      <c r="N259" s="613">
        <f t="shared" si="37"/>
        <v>1</v>
      </c>
      <c r="O259" s="732"/>
      <c r="P259" s="732"/>
      <c r="Q259" s="732">
        <v>1</v>
      </c>
      <c r="R259" s="732"/>
      <c r="S259" s="732"/>
      <c r="T259" s="732"/>
      <c r="U259" s="613">
        <f t="shared" si="38"/>
        <v>1</v>
      </c>
      <c r="W259" s="613" t="str">
        <f t="shared" ref="W259:W322" si="41">IF(O259=1,$J259,"I")</f>
        <v>I</v>
      </c>
      <c r="X259" s="613" t="str">
        <f t="shared" ref="X259:X322" si="42">IF(P259=1,$J259,"I")</f>
        <v>I</v>
      </c>
      <c r="Y259" s="613">
        <f t="shared" ref="Y259:Y322" si="43">IF(Q259=1,$J259,"I")</f>
        <v>2015</v>
      </c>
      <c r="Z259" s="613" t="str">
        <f t="shared" ref="Z259:Z322" si="44">IF(R259=1,$J259,"I")</f>
        <v>I</v>
      </c>
      <c r="AA259" s="613" t="str">
        <f t="shared" ref="AA259:AB322" si="45">IF(S259=1,$J259,"I")</f>
        <v>I</v>
      </c>
      <c r="AB259" s="613" t="str">
        <f t="shared" si="45"/>
        <v>I</v>
      </c>
      <c r="AD259" s="613"/>
      <c r="AE259" s="740"/>
      <c r="AF259" s="880"/>
      <c r="AM259" s="647"/>
      <c r="AN259" s="647"/>
      <c r="AO259" s="647"/>
      <c r="AP259" s="647"/>
      <c r="AQ259" s="647"/>
    </row>
    <row r="260" spans="1:44" x14ac:dyDescent="0.2">
      <c r="A260" s="527">
        <v>258</v>
      </c>
      <c r="C260" s="730" t="s">
        <v>2186</v>
      </c>
      <c r="D260" s="624"/>
      <c r="E260" s="624">
        <v>42384</v>
      </c>
      <c r="F260" s="846" t="s">
        <v>2694</v>
      </c>
      <c r="G260" s="624">
        <v>42643</v>
      </c>
      <c r="H260" s="530">
        <f t="shared" si="40"/>
        <v>0.70910335386721424</v>
      </c>
      <c r="I260" s="730"/>
      <c r="J260" s="731">
        <v>2016</v>
      </c>
      <c r="K260" s="731">
        <v>2016</v>
      </c>
      <c r="L260" s="613" t="s">
        <v>303</v>
      </c>
      <c r="M260" s="613">
        <f t="shared" ref="M260:M323" si="46">IF(AND(L260="F",Q260=1),1,0)</f>
        <v>0</v>
      </c>
      <c r="N260" s="613">
        <f t="shared" ref="N260:N323" si="47">IF(AND(L260="P",Q260=1),1,0)</f>
        <v>1</v>
      </c>
      <c r="O260" s="732"/>
      <c r="P260" s="732"/>
      <c r="Q260" s="732">
        <v>1</v>
      </c>
      <c r="R260" s="732"/>
      <c r="S260" s="732"/>
      <c r="T260" s="732"/>
      <c r="U260" s="613">
        <f t="shared" ref="U260:U323" si="48">SUM(O260:T260)</f>
        <v>1</v>
      </c>
      <c r="W260" s="613" t="str">
        <f t="shared" si="41"/>
        <v>I</v>
      </c>
      <c r="X260" s="613" t="str">
        <f t="shared" si="42"/>
        <v>I</v>
      </c>
      <c r="Y260" s="613">
        <f t="shared" si="43"/>
        <v>2016</v>
      </c>
      <c r="Z260" s="613" t="str">
        <f t="shared" si="44"/>
        <v>I</v>
      </c>
      <c r="AA260" s="613" t="str">
        <f t="shared" si="45"/>
        <v>I</v>
      </c>
      <c r="AB260" s="613" t="str">
        <f t="shared" si="45"/>
        <v>I</v>
      </c>
      <c r="AD260" s="613"/>
      <c r="AE260" s="740"/>
      <c r="AF260" s="644"/>
      <c r="AM260" s="647"/>
      <c r="AN260" s="647"/>
      <c r="AO260" s="647"/>
      <c r="AP260" s="647"/>
      <c r="AQ260" s="647"/>
    </row>
    <row r="261" spans="1:44" x14ac:dyDescent="0.2">
      <c r="A261" s="527">
        <v>259</v>
      </c>
      <c r="C261" s="750" t="s">
        <v>2196</v>
      </c>
      <c r="D261" s="624"/>
      <c r="E261" s="624">
        <v>42444</v>
      </c>
      <c r="F261" s="846" t="s">
        <v>2694</v>
      </c>
      <c r="G261" s="624">
        <v>42532</v>
      </c>
      <c r="H261" s="530">
        <f t="shared" si="40"/>
        <v>0.24093086926762491</v>
      </c>
      <c r="I261" s="750"/>
      <c r="J261" s="731">
        <v>2016</v>
      </c>
      <c r="K261" s="731">
        <v>2016</v>
      </c>
      <c r="L261" s="613" t="s">
        <v>303</v>
      </c>
      <c r="M261" s="613">
        <f t="shared" si="46"/>
        <v>0</v>
      </c>
      <c r="N261" s="613">
        <f t="shared" si="47"/>
        <v>1</v>
      </c>
      <c r="O261" s="732"/>
      <c r="P261" s="732"/>
      <c r="Q261" s="732">
        <v>1</v>
      </c>
      <c r="R261" s="732"/>
      <c r="S261" s="732"/>
      <c r="T261" s="732"/>
      <c r="U261" s="613">
        <f t="shared" si="48"/>
        <v>1</v>
      </c>
      <c r="W261" s="613" t="str">
        <f t="shared" si="41"/>
        <v>I</v>
      </c>
      <c r="X261" s="613" t="str">
        <f t="shared" si="42"/>
        <v>I</v>
      </c>
      <c r="Y261" s="613">
        <f t="shared" si="43"/>
        <v>2016</v>
      </c>
      <c r="Z261" s="613" t="str">
        <f t="shared" si="44"/>
        <v>I</v>
      </c>
      <c r="AA261" s="613" t="str">
        <f t="shared" si="45"/>
        <v>I</v>
      </c>
      <c r="AB261" s="613" t="str">
        <f t="shared" si="45"/>
        <v>I</v>
      </c>
      <c r="AD261" s="613"/>
      <c r="AE261" s="740"/>
      <c r="AF261" s="880"/>
      <c r="AM261" s="647"/>
      <c r="AN261" s="647"/>
      <c r="AO261" s="647"/>
      <c r="AP261" s="647"/>
      <c r="AQ261" s="647"/>
    </row>
    <row r="262" spans="1:44" x14ac:dyDescent="0.2">
      <c r="A262" s="527">
        <v>260</v>
      </c>
      <c r="C262" s="750" t="s">
        <v>2199</v>
      </c>
      <c r="D262" s="624"/>
      <c r="E262" s="624">
        <v>42415</v>
      </c>
      <c r="F262" s="846" t="s">
        <v>2694</v>
      </c>
      <c r="G262" s="624">
        <v>42553</v>
      </c>
      <c r="H262" s="530">
        <f t="shared" si="40"/>
        <v>0.37782340862422997</v>
      </c>
      <c r="I262" s="750"/>
      <c r="J262" s="731">
        <v>2016</v>
      </c>
      <c r="K262" s="731">
        <v>2016</v>
      </c>
      <c r="L262" s="613" t="s">
        <v>303</v>
      </c>
      <c r="M262" s="613">
        <f t="shared" si="46"/>
        <v>0</v>
      </c>
      <c r="N262" s="613">
        <f t="shared" si="47"/>
        <v>1</v>
      </c>
      <c r="O262" s="732"/>
      <c r="P262" s="732"/>
      <c r="Q262" s="732">
        <v>1</v>
      </c>
      <c r="R262" s="732"/>
      <c r="S262" s="732"/>
      <c r="T262" s="732"/>
      <c r="U262" s="613">
        <f t="shared" si="48"/>
        <v>1</v>
      </c>
      <c r="W262" s="613" t="str">
        <f t="shared" si="41"/>
        <v>I</v>
      </c>
      <c r="X262" s="613" t="str">
        <f t="shared" si="42"/>
        <v>I</v>
      </c>
      <c r="Y262" s="613">
        <f t="shared" si="43"/>
        <v>2016</v>
      </c>
      <c r="Z262" s="613" t="str">
        <f t="shared" si="44"/>
        <v>I</v>
      </c>
      <c r="AA262" s="613" t="str">
        <f t="shared" si="45"/>
        <v>I</v>
      </c>
      <c r="AB262" s="613" t="str">
        <f t="shared" si="45"/>
        <v>I</v>
      </c>
      <c r="AD262" s="613"/>
      <c r="AE262" s="740"/>
      <c r="AF262" s="880"/>
      <c r="AM262" s="647"/>
      <c r="AN262" s="647"/>
      <c r="AO262" s="647"/>
      <c r="AP262" s="647"/>
      <c r="AQ262" s="647"/>
    </row>
    <row r="263" spans="1:44" x14ac:dyDescent="0.2">
      <c r="A263" s="527">
        <v>261</v>
      </c>
      <c r="C263" s="730" t="s">
        <v>2200</v>
      </c>
      <c r="D263" s="883">
        <v>42323</v>
      </c>
      <c r="E263" s="624"/>
      <c r="F263" s="844" t="s">
        <v>2694</v>
      </c>
      <c r="G263" s="624">
        <v>42541</v>
      </c>
      <c r="H263" s="530">
        <f t="shared" si="40"/>
        <v>0.59685147159479812</v>
      </c>
      <c r="I263" s="730"/>
      <c r="J263" s="731">
        <v>2015</v>
      </c>
      <c r="K263" s="731">
        <v>2016</v>
      </c>
      <c r="L263" s="613" t="s">
        <v>336</v>
      </c>
      <c r="M263" s="613">
        <f t="shared" si="46"/>
        <v>1</v>
      </c>
      <c r="N263" s="613">
        <f t="shared" si="47"/>
        <v>0</v>
      </c>
      <c r="O263" s="732"/>
      <c r="P263" s="732"/>
      <c r="Q263" s="732">
        <v>1</v>
      </c>
      <c r="R263" s="732"/>
      <c r="S263" s="732"/>
      <c r="T263" s="732"/>
      <c r="U263" s="613">
        <f t="shared" si="48"/>
        <v>1</v>
      </c>
      <c r="W263" s="613" t="str">
        <f t="shared" si="41"/>
        <v>I</v>
      </c>
      <c r="X263" s="613" t="str">
        <f t="shared" si="42"/>
        <v>I</v>
      </c>
      <c r="Y263" s="613">
        <f t="shared" si="43"/>
        <v>2015</v>
      </c>
      <c r="Z263" s="613" t="str">
        <f t="shared" si="44"/>
        <v>I</v>
      </c>
      <c r="AA263" s="613" t="str">
        <f t="shared" si="45"/>
        <v>I</v>
      </c>
      <c r="AB263" s="613" t="str">
        <f t="shared" si="45"/>
        <v>I</v>
      </c>
      <c r="AD263" s="613"/>
      <c r="AE263" s="740"/>
      <c r="AF263" s="880"/>
      <c r="AM263" s="647"/>
      <c r="AN263" s="647"/>
      <c r="AO263" s="647"/>
      <c r="AP263" s="647"/>
      <c r="AQ263" s="647"/>
    </row>
    <row r="264" spans="1:44" x14ac:dyDescent="0.2">
      <c r="A264" s="527">
        <v>262</v>
      </c>
      <c r="C264" s="730" t="s">
        <v>2201</v>
      </c>
      <c r="D264" s="624"/>
      <c r="E264" s="624">
        <v>42262</v>
      </c>
      <c r="F264" s="846" t="s">
        <v>2694</v>
      </c>
      <c r="G264" s="624">
        <v>42595</v>
      </c>
      <c r="H264" s="530">
        <f t="shared" si="40"/>
        <v>0.9117043121149897</v>
      </c>
      <c r="I264" s="730"/>
      <c r="J264" s="731">
        <v>2015</v>
      </c>
      <c r="K264" s="731">
        <v>2016</v>
      </c>
      <c r="L264" s="613" t="s">
        <v>303</v>
      </c>
      <c r="M264" s="613">
        <f t="shared" si="46"/>
        <v>0</v>
      </c>
      <c r="N264" s="613">
        <f t="shared" si="47"/>
        <v>1</v>
      </c>
      <c r="O264" s="732"/>
      <c r="P264" s="732"/>
      <c r="Q264" s="732">
        <v>1</v>
      </c>
      <c r="R264" s="732"/>
      <c r="S264" s="732"/>
      <c r="T264" s="732"/>
      <c r="U264" s="613">
        <f t="shared" si="48"/>
        <v>1</v>
      </c>
      <c r="W264" s="613" t="str">
        <f t="shared" si="41"/>
        <v>I</v>
      </c>
      <c r="X264" s="613" t="str">
        <f t="shared" si="42"/>
        <v>I</v>
      </c>
      <c r="Y264" s="613">
        <f t="shared" si="43"/>
        <v>2015</v>
      </c>
      <c r="Z264" s="613" t="str">
        <f t="shared" si="44"/>
        <v>I</v>
      </c>
      <c r="AA264" s="613" t="str">
        <f t="shared" si="45"/>
        <v>I</v>
      </c>
      <c r="AB264" s="613" t="str">
        <f t="shared" si="45"/>
        <v>I</v>
      </c>
      <c r="AD264" s="613"/>
      <c r="AE264" s="740"/>
      <c r="AF264" s="880"/>
      <c r="AM264" s="647"/>
      <c r="AN264" s="647"/>
      <c r="AO264" s="647"/>
      <c r="AP264" s="647"/>
      <c r="AQ264" s="647"/>
    </row>
    <row r="265" spans="1:44" x14ac:dyDescent="0.2">
      <c r="A265" s="527">
        <v>263</v>
      </c>
      <c r="C265" s="730" t="s">
        <v>2231</v>
      </c>
      <c r="D265" s="624"/>
      <c r="E265" s="624">
        <v>42125</v>
      </c>
      <c r="F265" s="846" t="s">
        <v>2167</v>
      </c>
      <c r="G265" s="624">
        <v>42676</v>
      </c>
      <c r="H265" s="530">
        <f t="shared" si="40"/>
        <v>1.5085557837097878</v>
      </c>
      <c r="I265" s="730"/>
      <c r="J265" s="731">
        <v>2015</v>
      </c>
      <c r="K265" s="731">
        <v>2016</v>
      </c>
      <c r="L265" s="613" t="s">
        <v>303</v>
      </c>
      <c r="M265" s="613">
        <f t="shared" si="46"/>
        <v>0</v>
      </c>
      <c r="N265" s="613">
        <f t="shared" si="47"/>
        <v>1</v>
      </c>
      <c r="O265" s="732"/>
      <c r="P265" s="732"/>
      <c r="Q265" s="732">
        <v>1</v>
      </c>
      <c r="R265" s="732"/>
      <c r="S265" s="732"/>
      <c r="T265" s="732"/>
      <c r="U265" s="613">
        <f t="shared" si="48"/>
        <v>1</v>
      </c>
      <c r="W265" s="613" t="str">
        <f t="shared" si="41"/>
        <v>I</v>
      </c>
      <c r="X265" s="613" t="str">
        <f t="shared" si="42"/>
        <v>I</v>
      </c>
      <c r="Y265" s="613">
        <f t="shared" si="43"/>
        <v>2015</v>
      </c>
      <c r="Z265" s="613" t="str">
        <f t="shared" si="44"/>
        <v>I</v>
      </c>
      <c r="AA265" s="613" t="str">
        <f t="shared" si="45"/>
        <v>I</v>
      </c>
      <c r="AB265" s="613" t="str">
        <f t="shared" si="45"/>
        <v>I</v>
      </c>
      <c r="AD265" s="613"/>
      <c r="AE265" s="740"/>
      <c r="AF265" s="880"/>
      <c r="AM265" s="647"/>
      <c r="AN265" s="647"/>
      <c r="AO265" s="647"/>
      <c r="AP265" s="647"/>
      <c r="AQ265" s="647"/>
    </row>
    <row r="266" spans="1:44" x14ac:dyDescent="0.2">
      <c r="A266" s="527">
        <v>264</v>
      </c>
      <c r="C266" s="750" t="s">
        <v>2232</v>
      </c>
      <c r="D266" s="624"/>
      <c r="E266" s="624">
        <v>42125</v>
      </c>
      <c r="F266" s="846" t="s">
        <v>2167</v>
      </c>
      <c r="G266" s="624">
        <v>42676</v>
      </c>
      <c r="H266" s="530">
        <f t="shared" si="40"/>
        <v>1.5085557837097878</v>
      </c>
      <c r="I266" s="750"/>
      <c r="J266" s="731">
        <v>2015</v>
      </c>
      <c r="K266" s="731">
        <v>2016</v>
      </c>
      <c r="L266" s="613" t="s">
        <v>303</v>
      </c>
      <c r="M266" s="613">
        <f t="shared" si="46"/>
        <v>0</v>
      </c>
      <c r="N266" s="613">
        <f t="shared" si="47"/>
        <v>1</v>
      </c>
      <c r="O266" s="732"/>
      <c r="P266" s="732"/>
      <c r="Q266" s="732">
        <v>1</v>
      </c>
      <c r="R266" s="732"/>
      <c r="S266" s="732"/>
      <c r="T266" s="732"/>
      <c r="U266" s="613">
        <f t="shared" si="48"/>
        <v>1</v>
      </c>
      <c r="W266" s="613" t="str">
        <f t="shared" si="41"/>
        <v>I</v>
      </c>
      <c r="X266" s="613" t="str">
        <f t="shared" si="42"/>
        <v>I</v>
      </c>
      <c r="Y266" s="613">
        <f t="shared" si="43"/>
        <v>2015</v>
      </c>
      <c r="Z266" s="613" t="str">
        <f t="shared" si="44"/>
        <v>I</v>
      </c>
      <c r="AA266" s="613" t="str">
        <f t="shared" si="45"/>
        <v>I</v>
      </c>
      <c r="AB266" s="613" t="str">
        <f t="shared" si="45"/>
        <v>I</v>
      </c>
      <c r="AD266" s="613"/>
      <c r="AE266" s="740"/>
      <c r="AF266" s="880"/>
      <c r="AM266" s="647"/>
      <c r="AN266" s="647"/>
      <c r="AO266" s="647"/>
      <c r="AP266" s="647"/>
      <c r="AQ266" s="647"/>
    </row>
    <row r="267" spans="1:44" x14ac:dyDescent="0.2">
      <c r="A267" s="527">
        <v>265</v>
      </c>
      <c r="C267" s="730" t="s">
        <v>2209</v>
      </c>
      <c r="D267" s="624"/>
      <c r="E267" s="624">
        <v>42505</v>
      </c>
      <c r="F267" s="846" t="s">
        <v>2167</v>
      </c>
      <c r="G267" s="624">
        <v>42665</v>
      </c>
      <c r="H267" s="530">
        <f t="shared" si="40"/>
        <v>0.43805612594113619</v>
      </c>
      <c r="I267" s="730"/>
      <c r="J267" s="731">
        <v>2016</v>
      </c>
      <c r="K267" s="731">
        <v>2016</v>
      </c>
      <c r="L267" s="613" t="s">
        <v>303</v>
      </c>
      <c r="M267" s="613">
        <f t="shared" si="46"/>
        <v>0</v>
      </c>
      <c r="N267" s="613">
        <f t="shared" si="47"/>
        <v>1</v>
      </c>
      <c r="O267" s="732"/>
      <c r="P267" s="732"/>
      <c r="Q267" s="732">
        <v>1</v>
      </c>
      <c r="R267" s="732"/>
      <c r="S267" s="732"/>
      <c r="T267" s="732"/>
      <c r="U267" s="613">
        <f t="shared" si="48"/>
        <v>1</v>
      </c>
      <c r="W267" s="613" t="str">
        <f t="shared" si="41"/>
        <v>I</v>
      </c>
      <c r="X267" s="613" t="str">
        <f t="shared" si="42"/>
        <v>I</v>
      </c>
      <c r="Y267" s="613">
        <f t="shared" si="43"/>
        <v>2016</v>
      </c>
      <c r="Z267" s="613" t="str">
        <f t="shared" si="44"/>
        <v>I</v>
      </c>
      <c r="AA267" s="613" t="str">
        <f t="shared" si="45"/>
        <v>I</v>
      </c>
      <c r="AB267" s="613" t="str">
        <f t="shared" si="45"/>
        <v>I</v>
      </c>
      <c r="AD267" s="613"/>
      <c r="AE267" s="740"/>
      <c r="AF267" s="880"/>
      <c r="AM267" s="647"/>
      <c r="AN267" s="647"/>
      <c r="AO267" s="647"/>
      <c r="AP267" s="647"/>
      <c r="AQ267" s="647"/>
    </row>
    <row r="268" spans="1:44" x14ac:dyDescent="0.2">
      <c r="A268" s="527">
        <v>266</v>
      </c>
      <c r="C268" s="730" t="s">
        <v>2217</v>
      </c>
      <c r="D268" s="624"/>
      <c r="E268" s="624">
        <v>42186</v>
      </c>
      <c r="F268" s="846" t="s">
        <v>316</v>
      </c>
      <c r="G268" s="624">
        <v>42626</v>
      </c>
      <c r="H268" s="530">
        <f t="shared" si="40"/>
        <v>1.2046543463381245</v>
      </c>
      <c r="I268" s="730"/>
      <c r="J268" s="731">
        <v>2015</v>
      </c>
      <c r="K268" s="731">
        <v>2016</v>
      </c>
      <c r="L268" s="613" t="s">
        <v>303</v>
      </c>
      <c r="M268" s="613">
        <f t="shared" si="46"/>
        <v>0</v>
      </c>
      <c r="N268" s="613">
        <f t="shared" si="47"/>
        <v>1</v>
      </c>
      <c r="O268" s="732"/>
      <c r="P268" s="732"/>
      <c r="Q268" s="732">
        <v>1</v>
      </c>
      <c r="R268" s="732"/>
      <c r="S268" s="732"/>
      <c r="T268" s="732"/>
      <c r="U268" s="613">
        <f t="shared" si="48"/>
        <v>1</v>
      </c>
      <c r="W268" s="613" t="str">
        <f t="shared" si="41"/>
        <v>I</v>
      </c>
      <c r="X268" s="613" t="str">
        <f t="shared" si="42"/>
        <v>I</v>
      </c>
      <c r="Y268" s="613">
        <f t="shared" si="43"/>
        <v>2015</v>
      </c>
      <c r="Z268" s="613" t="str">
        <f t="shared" si="44"/>
        <v>I</v>
      </c>
      <c r="AA268" s="613" t="str">
        <f t="shared" si="45"/>
        <v>I</v>
      </c>
      <c r="AB268" s="613" t="str">
        <f t="shared" si="45"/>
        <v>I</v>
      </c>
      <c r="AD268" s="613"/>
      <c r="AE268" s="740"/>
      <c r="AF268" s="880"/>
      <c r="AM268" s="647"/>
      <c r="AN268" s="647"/>
      <c r="AO268" s="647"/>
      <c r="AP268" s="647"/>
      <c r="AQ268" s="647"/>
      <c r="AR268" s="679"/>
    </row>
    <row r="269" spans="1:44" x14ac:dyDescent="0.2">
      <c r="A269" s="527">
        <v>267</v>
      </c>
      <c r="C269" s="730" t="s">
        <v>2218</v>
      </c>
      <c r="D269" s="624">
        <v>42186</v>
      </c>
      <c r="E269" s="624"/>
      <c r="F269" s="844" t="s">
        <v>316</v>
      </c>
      <c r="G269" s="624">
        <v>42653</v>
      </c>
      <c r="H269" s="530">
        <f t="shared" si="40"/>
        <v>1.2785763175906912</v>
      </c>
      <c r="I269" s="730"/>
      <c r="J269" s="731">
        <v>2015</v>
      </c>
      <c r="K269" s="731">
        <v>2016</v>
      </c>
      <c r="L269" s="613" t="s">
        <v>336</v>
      </c>
      <c r="M269" s="613">
        <f t="shared" si="46"/>
        <v>1</v>
      </c>
      <c r="N269" s="613">
        <f t="shared" si="47"/>
        <v>0</v>
      </c>
      <c r="O269" s="732"/>
      <c r="P269" s="732"/>
      <c r="Q269" s="732">
        <v>1</v>
      </c>
      <c r="R269" s="732"/>
      <c r="S269" s="732"/>
      <c r="T269" s="732"/>
      <c r="U269" s="613">
        <f t="shared" si="48"/>
        <v>1</v>
      </c>
      <c r="W269" s="613" t="str">
        <f t="shared" si="41"/>
        <v>I</v>
      </c>
      <c r="X269" s="613" t="str">
        <f t="shared" si="42"/>
        <v>I</v>
      </c>
      <c r="Y269" s="613">
        <f t="shared" si="43"/>
        <v>2015</v>
      </c>
      <c r="Z269" s="613" t="str">
        <f t="shared" si="44"/>
        <v>I</v>
      </c>
      <c r="AA269" s="613" t="str">
        <f t="shared" si="45"/>
        <v>I</v>
      </c>
      <c r="AB269" s="613" t="str">
        <f t="shared" si="45"/>
        <v>I</v>
      </c>
      <c r="AD269" s="613"/>
      <c r="AE269" s="740"/>
      <c r="AF269" s="880"/>
      <c r="AM269" s="647"/>
      <c r="AN269" s="647"/>
      <c r="AO269" s="647"/>
      <c r="AP269" s="647"/>
      <c r="AQ269" s="647"/>
    </row>
    <row r="270" spans="1:44" x14ac:dyDescent="0.2">
      <c r="A270" s="527">
        <v>268</v>
      </c>
      <c r="C270" s="730" t="s">
        <v>2219</v>
      </c>
      <c r="D270" s="624"/>
      <c r="E270" s="882">
        <v>42505</v>
      </c>
      <c r="F270" s="846" t="s">
        <v>316</v>
      </c>
      <c r="G270" s="624">
        <v>42653</v>
      </c>
      <c r="H270" s="530">
        <f t="shared" si="40"/>
        <v>0.40520191649555098</v>
      </c>
      <c r="I270" s="730"/>
      <c r="J270" s="731">
        <v>2016</v>
      </c>
      <c r="K270" s="731">
        <v>2016</v>
      </c>
      <c r="L270" s="613" t="s">
        <v>303</v>
      </c>
      <c r="M270" s="613">
        <f t="shared" si="46"/>
        <v>0</v>
      </c>
      <c r="N270" s="613">
        <f t="shared" si="47"/>
        <v>1</v>
      </c>
      <c r="O270" s="732"/>
      <c r="P270" s="732"/>
      <c r="Q270" s="732">
        <v>1</v>
      </c>
      <c r="R270" s="732"/>
      <c r="S270" s="732"/>
      <c r="T270" s="732"/>
      <c r="U270" s="613">
        <f t="shared" si="48"/>
        <v>1</v>
      </c>
      <c r="W270" s="613" t="str">
        <f t="shared" si="41"/>
        <v>I</v>
      </c>
      <c r="X270" s="613" t="str">
        <f t="shared" si="42"/>
        <v>I</v>
      </c>
      <c r="Y270" s="613">
        <f t="shared" si="43"/>
        <v>2016</v>
      </c>
      <c r="Z270" s="613" t="str">
        <f t="shared" si="44"/>
        <v>I</v>
      </c>
      <c r="AA270" s="613" t="str">
        <f t="shared" si="45"/>
        <v>I</v>
      </c>
      <c r="AB270" s="613" t="str">
        <f t="shared" si="45"/>
        <v>I</v>
      </c>
      <c r="AD270" s="613"/>
      <c r="AE270" s="740"/>
      <c r="AF270" s="880"/>
      <c r="AM270" s="647"/>
      <c r="AN270" s="647"/>
      <c r="AO270" s="647"/>
      <c r="AP270" s="647"/>
      <c r="AQ270" s="647"/>
    </row>
    <row r="271" spans="1:44" x14ac:dyDescent="0.2">
      <c r="A271" s="527">
        <v>269</v>
      </c>
      <c r="C271" s="730" t="s">
        <v>2245</v>
      </c>
      <c r="D271" s="624"/>
      <c r="E271" s="624">
        <v>42186</v>
      </c>
      <c r="F271" s="846" t="s">
        <v>316</v>
      </c>
      <c r="G271" s="624">
        <v>42695</v>
      </c>
      <c r="H271" s="530">
        <f t="shared" si="40"/>
        <v>1.3935660506502396</v>
      </c>
      <c r="I271" s="730"/>
      <c r="J271" s="731">
        <v>2015</v>
      </c>
      <c r="K271" s="731">
        <v>2016</v>
      </c>
      <c r="L271" s="613" t="s">
        <v>303</v>
      </c>
      <c r="M271" s="613">
        <f t="shared" si="46"/>
        <v>0</v>
      </c>
      <c r="N271" s="613">
        <f t="shared" si="47"/>
        <v>1</v>
      </c>
      <c r="O271" s="732"/>
      <c r="P271" s="732"/>
      <c r="Q271" s="732">
        <v>1</v>
      </c>
      <c r="R271" s="732"/>
      <c r="S271" s="732"/>
      <c r="T271" s="732"/>
      <c r="U271" s="613">
        <f t="shared" si="48"/>
        <v>1</v>
      </c>
      <c r="W271" s="613" t="str">
        <f t="shared" si="41"/>
        <v>I</v>
      </c>
      <c r="X271" s="613" t="str">
        <f t="shared" si="42"/>
        <v>I</v>
      </c>
      <c r="Y271" s="613">
        <f t="shared" si="43"/>
        <v>2015</v>
      </c>
      <c r="Z271" s="613" t="str">
        <f t="shared" si="44"/>
        <v>I</v>
      </c>
      <c r="AA271" s="613" t="str">
        <f t="shared" si="45"/>
        <v>I</v>
      </c>
      <c r="AB271" s="613" t="str">
        <f t="shared" si="45"/>
        <v>I</v>
      </c>
      <c r="AD271" s="613"/>
      <c r="AE271" s="740"/>
      <c r="AF271" s="880"/>
      <c r="AM271" s="647"/>
      <c r="AN271" s="647"/>
      <c r="AO271" s="647"/>
      <c r="AP271" s="647"/>
      <c r="AQ271" s="647"/>
    </row>
    <row r="272" spans="1:44" x14ac:dyDescent="0.2">
      <c r="A272" s="527">
        <v>270</v>
      </c>
      <c r="C272" s="730" t="s">
        <v>2246</v>
      </c>
      <c r="D272" s="624"/>
      <c r="E272" s="882">
        <v>42139</v>
      </c>
      <c r="F272" s="846" t="s">
        <v>316</v>
      </c>
      <c r="G272" s="624">
        <v>42695</v>
      </c>
      <c r="H272" s="530">
        <f t="shared" si="40"/>
        <v>1.5222450376454484</v>
      </c>
      <c r="I272" s="730"/>
      <c r="J272" s="731">
        <v>2015</v>
      </c>
      <c r="K272" s="731">
        <v>2016</v>
      </c>
      <c r="L272" s="613" t="s">
        <v>303</v>
      </c>
      <c r="M272" s="613">
        <f t="shared" si="46"/>
        <v>0</v>
      </c>
      <c r="N272" s="613">
        <f t="shared" si="47"/>
        <v>1</v>
      </c>
      <c r="O272" s="732"/>
      <c r="P272" s="732"/>
      <c r="Q272" s="732">
        <v>1</v>
      </c>
      <c r="R272" s="732"/>
      <c r="S272" s="732"/>
      <c r="T272" s="732"/>
      <c r="U272" s="613">
        <f t="shared" si="48"/>
        <v>1</v>
      </c>
      <c r="W272" s="613" t="str">
        <f t="shared" si="41"/>
        <v>I</v>
      </c>
      <c r="X272" s="613" t="str">
        <f t="shared" si="42"/>
        <v>I</v>
      </c>
      <c r="Y272" s="613">
        <f t="shared" si="43"/>
        <v>2015</v>
      </c>
      <c r="Z272" s="613" t="str">
        <f t="shared" si="44"/>
        <v>I</v>
      </c>
      <c r="AA272" s="613" t="str">
        <f t="shared" si="45"/>
        <v>I</v>
      </c>
      <c r="AB272" s="613" t="str">
        <f t="shared" si="45"/>
        <v>I</v>
      </c>
      <c r="AD272" s="613"/>
      <c r="AE272" s="740"/>
      <c r="AF272" s="880"/>
      <c r="AM272" s="647"/>
      <c r="AN272" s="647"/>
      <c r="AO272" s="647"/>
      <c r="AP272" s="647"/>
      <c r="AQ272" s="647"/>
    </row>
    <row r="273" spans="1:43" x14ac:dyDescent="0.2">
      <c r="A273" s="527">
        <v>271</v>
      </c>
      <c r="C273" s="730" t="s">
        <v>2258</v>
      </c>
      <c r="D273" s="624">
        <v>42186</v>
      </c>
      <c r="F273" s="846" t="s">
        <v>316</v>
      </c>
      <c r="G273" s="624">
        <v>42721</v>
      </c>
      <c r="H273" s="530">
        <f>(G273-MAX(D273:D273))/365.25</f>
        <v>1.4647501711156743</v>
      </c>
      <c r="I273" s="730"/>
      <c r="J273" s="731">
        <v>2015</v>
      </c>
      <c r="K273" s="731">
        <v>2016</v>
      </c>
      <c r="L273" s="613" t="s">
        <v>303</v>
      </c>
      <c r="M273" s="613">
        <f t="shared" si="46"/>
        <v>0</v>
      </c>
      <c r="N273" s="613">
        <f t="shared" si="47"/>
        <v>1</v>
      </c>
      <c r="O273" s="732"/>
      <c r="P273" s="732"/>
      <c r="Q273" s="732">
        <v>1</v>
      </c>
      <c r="R273" s="732"/>
      <c r="S273" s="732"/>
      <c r="T273" s="732"/>
      <c r="U273" s="613">
        <f t="shared" si="48"/>
        <v>1</v>
      </c>
      <c r="W273" s="613" t="str">
        <f t="shared" si="41"/>
        <v>I</v>
      </c>
      <c r="X273" s="613" t="str">
        <f t="shared" si="42"/>
        <v>I</v>
      </c>
      <c r="Y273" s="613">
        <f t="shared" si="43"/>
        <v>2015</v>
      </c>
      <c r="Z273" s="613" t="str">
        <f t="shared" si="44"/>
        <v>I</v>
      </c>
      <c r="AA273" s="613" t="str">
        <f t="shared" si="45"/>
        <v>I</v>
      </c>
      <c r="AB273" s="613" t="str">
        <f t="shared" si="45"/>
        <v>I</v>
      </c>
      <c r="AD273" s="613"/>
      <c r="AE273" s="740"/>
      <c r="AF273" s="880"/>
      <c r="AM273" s="647"/>
      <c r="AN273" s="647"/>
      <c r="AO273" s="647"/>
      <c r="AP273" s="647"/>
      <c r="AQ273" s="647"/>
    </row>
    <row r="274" spans="1:43" x14ac:dyDescent="0.2">
      <c r="A274" s="527">
        <v>272</v>
      </c>
      <c r="C274" s="750" t="s">
        <v>2252</v>
      </c>
      <c r="D274" s="624"/>
      <c r="E274" s="624">
        <v>42628</v>
      </c>
      <c r="F274" s="846" t="s">
        <v>2694</v>
      </c>
      <c r="G274" s="624">
        <v>42721</v>
      </c>
      <c r="H274" s="530">
        <f t="shared" ref="H274:H305" si="49">(G274-MAX(D274:E274))/365.25</f>
        <v>0.25462012320328542</v>
      </c>
      <c r="I274" s="750"/>
      <c r="J274" s="731">
        <v>2016</v>
      </c>
      <c r="K274" s="731">
        <v>2016</v>
      </c>
      <c r="L274" s="613" t="s">
        <v>303</v>
      </c>
      <c r="M274" s="613">
        <f t="shared" si="46"/>
        <v>0</v>
      </c>
      <c r="N274" s="613">
        <f t="shared" si="47"/>
        <v>1</v>
      </c>
      <c r="O274" s="732"/>
      <c r="P274" s="732"/>
      <c r="Q274" s="732">
        <v>1</v>
      </c>
      <c r="R274" s="732"/>
      <c r="S274" s="732"/>
      <c r="T274" s="732"/>
      <c r="U274" s="613">
        <f t="shared" si="48"/>
        <v>1</v>
      </c>
      <c r="W274" s="613" t="str">
        <f t="shared" si="41"/>
        <v>I</v>
      </c>
      <c r="X274" s="613" t="str">
        <f t="shared" si="42"/>
        <v>I</v>
      </c>
      <c r="Y274" s="613">
        <f t="shared" si="43"/>
        <v>2016</v>
      </c>
      <c r="Z274" s="613" t="str">
        <f t="shared" si="44"/>
        <v>I</v>
      </c>
      <c r="AA274" s="613" t="str">
        <f t="shared" si="45"/>
        <v>I</v>
      </c>
      <c r="AB274" s="613" t="str">
        <f t="shared" si="45"/>
        <v>I</v>
      </c>
      <c r="AD274" s="613"/>
      <c r="AE274" s="740"/>
      <c r="AF274" s="880"/>
      <c r="AM274" s="647"/>
      <c r="AN274" s="647"/>
      <c r="AO274" s="647"/>
      <c r="AP274" s="647"/>
      <c r="AQ274" s="647"/>
    </row>
    <row r="275" spans="1:43" x14ac:dyDescent="0.2">
      <c r="A275" s="527">
        <v>273</v>
      </c>
      <c r="C275" s="730" t="s">
        <v>2259</v>
      </c>
      <c r="D275" s="624"/>
      <c r="E275" s="624">
        <v>42186</v>
      </c>
      <c r="F275" s="846" t="s">
        <v>316</v>
      </c>
      <c r="G275" s="624">
        <v>42711</v>
      </c>
      <c r="H275" s="530">
        <f t="shared" si="49"/>
        <v>1.4373716632443532</v>
      </c>
      <c r="I275" s="730"/>
      <c r="J275" s="731">
        <v>2015</v>
      </c>
      <c r="K275" s="731">
        <v>2016</v>
      </c>
      <c r="L275" s="613" t="s">
        <v>303</v>
      </c>
      <c r="M275" s="613">
        <f t="shared" si="46"/>
        <v>0</v>
      </c>
      <c r="N275" s="613">
        <f t="shared" si="47"/>
        <v>1</v>
      </c>
      <c r="O275" s="732"/>
      <c r="P275" s="732"/>
      <c r="Q275" s="732">
        <v>1</v>
      </c>
      <c r="R275" s="732"/>
      <c r="S275" s="732"/>
      <c r="T275" s="732"/>
      <c r="U275" s="613">
        <f t="shared" si="48"/>
        <v>1</v>
      </c>
      <c r="W275" s="613" t="str">
        <f t="shared" si="41"/>
        <v>I</v>
      </c>
      <c r="X275" s="613" t="str">
        <f t="shared" si="42"/>
        <v>I</v>
      </c>
      <c r="Y275" s="613">
        <f t="shared" si="43"/>
        <v>2015</v>
      </c>
      <c r="Z275" s="613" t="str">
        <f t="shared" si="44"/>
        <v>I</v>
      </c>
      <c r="AA275" s="613" t="str">
        <f t="shared" si="45"/>
        <v>I</v>
      </c>
      <c r="AB275" s="613" t="str">
        <f t="shared" si="45"/>
        <v>I</v>
      </c>
      <c r="AD275" s="613"/>
      <c r="AE275" s="740"/>
      <c r="AF275" s="880"/>
      <c r="AM275" s="647"/>
      <c r="AN275" s="647"/>
      <c r="AO275" s="647"/>
      <c r="AP275" s="647"/>
      <c r="AQ275" s="647"/>
    </row>
    <row r="276" spans="1:43" x14ac:dyDescent="0.2">
      <c r="A276" s="527">
        <v>274</v>
      </c>
      <c r="C276" s="730" t="s">
        <v>2260</v>
      </c>
      <c r="D276" s="624">
        <v>42323</v>
      </c>
      <c r="E276" s="624"/>
      <c r="F276" s="846" t="s">
        <v>2167</v>
      </c>
      <c r="G276" s="624">
        <v>42721</v>
      </c>
      <c r="H276" s="530">
        <f t="shared" si="49"/>
        <v>1.0896646132785763</v>
      </c>
      <c r="I276" s="730"/>
      <c r="J276" s="731">
        <v>2015</v>
      </c>
      <c r="K276" s="731">
        <v>2016</v>
      </c>
      <c r="L276" s="613" t="s">
        <v>336</v>
      </c>
      <c r="M276" s="613">
        <f t="shared" si="46"/>
        <v>1</v>
      </c>
      <c r="N276" s="613">
        <f t="shared" si="47"/>
        <v>0</v>
      </c>
      <c r="O276" s="732"/>
      <c r="P276" s="732"/>
      <c r="Q276" s="732">
        <v>1</v>
      </c>
      <c r="R276" s="732"/>
      <c r="S276" s="732"/>
      <c r="T276" s="732"/>
      <c r="U276" s="613">
        <f t="shared" si="48"/>
        <v>1</v>
      </c>
      <c r="W276" s="613" t="str">
        <f t="shared" si="41"/>
        <v>I</v>
      </c>
      <c r="X276" s="613" t="str">
        <f t="shared" si="42"/>
        <v>I</v>
      </c>
      <c r="Y276" s="613">
        <f t="shared" si="43"/>
        <v>2015</v>
      </c>
      <c r="Z276" s="613" t="str">
        <f t="shared" si="44"/>
        <v>I</v>
      </c>
      <c r="AA276" s="613" t="str">
        <f t="shared" si="45"/>
        <v>I</v>
      </c>
      <c r="AB276" s="613" t="str">
        <f t="shared" si="45"/>
        <v>I</v>
      </c>
      <c r="AD276" s="613"/>
      <c r="AE276" s="740"/>
      <c r="AF276" s="880"/>
      <c r="AM276" s="647"/>
      <c r="AN276" s="647"/>
      <c r="AO276" s="647"/>
      <c r="AP276" s="647"/>
      <c r="AQ276" s="647"/>
    </row>
    <row r="277" spans="1:43" x14ac:dyDescent="0.2">
      <c r="A277" s="527">
        <v>275</v>
      </c>
      <c r="C277" s="730" t="s">
        <v>2261</v>
      </c>
      <c r="D277" s="624"/>
      <c r="E277" s="624">
        <v>42186</v>
      </c>
      <c r="F277" s="846" t="s">
        <v>316</v>
      </c>
      <c r="G277" s="624">
        <v>42721</v>
      </c>
      <c r="H277" s="530">
        <f t="shared" si="49"/>
        <v>1.4647501711156743</v>
      </c>
      <c r="I277" s="730"/>
      <c r="J277" s="731">
        <v>2015</v>
      </c>
      <c r="K277" s="731">
        <v>2016</v>
      </c>
      <c r="L277" s="613" t="s">
        <v>303</v>
      </c>
      <c r="M277" s="613">
        <f t="shared" si="46"/>
        <v>0</v>
      </c>
      <c r="N277" s="613">
        <f t="shared" si="47"/>
        <v>1</v>
      </c>
      <c r="O277" s="732"/>
      <c r="P277" s="732"/>
      <c r="Q277" s="732">
        <v>1</v>
      </c>
      <c r="R277" s="732"/>
      <c r="S277" s="732"/>
      <c r="T277" s="732"/>
      <c r="U277" s="613">
        <f t="shared" si="48"/>
        <v>1</v>
      </c>
      <c r="W277" s="613" t="str">
        <f t="shared" si="41"/>
        <v>I</v>
      </c>
      <c r="X277" s="613" t="str">
        <f t="shared" si="42"/>
        <v>I</v>
      </c>
      <c r="Y277" s="613">
        <f t="shared" si="43"/>
        <v>2015</v>
      </c>
      <c r="Z277" s="613" t="str">
        <f t="shared" si="44"/>
        <v>I</v>
      </c>
      <c r="AA277" s="613" t="str">
        <f t="shared" si="45"/>
        <v>I</v>
      </c>
      <c r="AB277" s="613" t="str">
        <f t="shared" si="45"/>
        <v>I</v>
      </c>
      <c r="AD277" s="613"/>
      <c r="AE277" s="740"/>
      <c r="AF277" s="880"/>
      <c r="AM277" s="647"/>
      <c r="AN277" s="647"/>
      <c r="AO277" s="647"/>
      <c r="AP277" s="647"/>
      <c r="AQ277" s="647"/>
    </row>
    <row r="278" spans="1:43" x14ac:dyDescent="0.2">
      <c r="A278" s="527">
        <v>276</v>
      </c>
      <c r="C278" s="750" t="s">
        <v>2277</v>
      </c>
      <c r="D278" s="624"/>
      <c r="E278" s="624">
        <v>42689</v>
      </c>
      <c r="F278" s="846" t="s">
        <v>2694</v>
      </c>
      <c r="G278" s="624">
        <v>42734</v>
      </c>
      <c r="H278" s="530">
        <f t="shared" si="49"/>
        <v>0.12320328542094455</v>
      </c>
      <c r="I278" s="750"/>
      <c r="J278" s="731">
        <v>2016</v>
      </c>
      <c r="K278" s="731">
        <v>2016</v>
      </c>
      <c r="L278" s="613" t="s">
        <v>303</v>
      </c>
      <c r="M278" s="613">
        <f t="shared" si="46"/>
        <v>0</v>
      </c>
      <c r="N278" s="613">
        <f t="shared" si="47"/>
        <v>1</v>
      </c>
      <c r="O278" s="732"/>
      <c r="P278" s="732"/>
      <c r="Q278" s="732">
        <v>1</v>
      </c>
      <c r="R278" s="732"/>
      <c r="S278" s="732"/>
      <c r="T278" s="732"/>
      <c r="U278" s="613">
        <f t="shared" si="48"/>
        <v>1</v>
      </c>
      <c r="W278" s="613" t="str">
        <f t="shared" si="41"/>
        <v>I</v>
      </c>
      <c r="X278" s="613" t="str">
        <f t="shared" si="42"/>
        <v>I</v>
      </c>
      <c r="Y278" s="613">
        <f t="shared" si="43"/>
        <v>2016</v>
      </c>
      <c r="Z278" s="613" t="str">
        <f t="shared" si="44"/>
        <v>I</v>
      </c>
      <c r="AA278" s="613" t="str">
        <f t="shared" si="45"/>
        <v>I</v>
      </c>
      <c r="AB278" s="613" t="str">
        <f t="shared" si="45"/>
        <v>I</v>
      </c>
      <c r="AD278" s="613"/>
      <c r="AE278" s="740"/>
      <c r="AF278" s="880"/>
      <c r="AM278" s="647"/>
      <c r="AN278" s="647"/>
      <c r="AO278" s="647"/>
      <c r="AP278" s="647"/>
      <c r="AQ278" s="647"/>
    </row>
    <row r="279" spans="1:43" x14ac:dyDescent="0.2">
      <c r="A279" s="527">
        <v>277</v>
      </c>
      <c r="C279" s="666" t="s">
        <v>2244</v>
      </c>
      <c r="D279" s="624"/>
      <c r="E279" s="624">
        <v>42505</v>
      </c>
      <c r="F279" s="846" t="s">
        <v>2694</v>
      </c>
      <c r="G279" s="624">
        <v>42795</v>
      </c>
      <c r="H279" s="530">
        <f t="shared" si="49"/>
        <v>0.79397672826830934</v>
      </c>
      <c r="I279" s="666"/>
      <c r="J279" s="667">
        <v>2016</v>
      </c>
      <c r="K279" s="667">
        <v>2017</v>
      </c>
      <c r="L279" s="613" t="s">
        <v>303</v>
      </c>
      <c r="M279" s="613">
        <f t="shared" si="46"/>
        <v>0</v>
      </c>
      <c r="N279" s="613">
        <f t="shared" si="47"/>
        <v>1</v>
      </c>
      <c r="O279" s="668"/>
      <c r="P279" s="668"/>
      <c r="Q279" s="668">
        <v>1</v>
      </c>
      <c r="R279" s="668"/>
      <c r="S279" s="668"/>
      <c r="T279" s="668"/>
      <c r="U279" s="613">
        <f t="shared" si="48"/>
        <v>1</v>
      </c>
      <c r="W279" s="613" t="str">
        <f t="shared" si="41"/>
        <v>I</v>
      </c>
      <c r="X279" s="613" t="str">
        <f t="shared" si="42"/>
        <v>I</v>
      </c>
      <c r="Y279" s="613">
        <f t="shared" si="43"/>
        <v>2016</v>
      </c>
      <c r="Z279" s="613" t="str">
        <f t="shared" si="44"/>
        <v>I</v>
      </c>
      <c r="AA279" s="613" t="str">
        <f t="shared" si="45"/>
        <v>I</v>
      </c>
      <c r="AB279" s="613" t="str">
        <f t="shared" si="45"/>
        <v>I</v>
      </c>
      <c r="AD279" s="613"/>
      <c r="AE279" s="740"/>
      <c r="AF279" s="880"/>
      <c r="AL279" s="679"/>
      <c r="AM279" s="647"/>
      <c r="AN279" s="647"/>
      <c r="AO279" s="647"/>
      <c r="AP279" s="647"/>
      <c r="AQ279" s="647"/>
    </row>
    <row r="280" spans="1:43" x14ac:dyDescent="0.2">
      <c r="A280" s="527">
        <v>278</v>
      </c>
      <c r="C280" s="666" t="s">
        <v>2253</v>
      </c>
      <c r="D280" s="624"/>
      <c r="E280" s="624">
        <v>42536</v>
      </c>
      <c r="F280" s="846" t="s">
        <v>2694</v>
      </c>
      <c r="G280" s="624">
        <v>42761</v>
      </c>
      <c r="H280" s="530">
        <f t="shared" si="49"/>
        <v>0.61601642710472282</v>
      </c>
      <c r="I280" s="666"/>
      <c r="J280" s="667">
        <v>2016</v>
      </c>
      <c r="K280" s="667">
        <v>2017</v>
      </c>
      <c r="L280" s="613" t="s">
        <v>303</v>
      </c>
      <c r="M280" s="613">
        <f t="shared" si="46"/>
        <v>0</v>
      </c>
      <c r="N280" s="613">
        <f t="shared" si="47"/>
        <v>1</v>
      </c>
      <c r="O280" s="668"/>
      <c r="P280" s="668"/>
      <c r="Q280" s="668">
        <v>1</v>
      </c>
      <c r="R280" s="668"/>
      <c r="S280" s="668"/>
      <c r="T280" s="668"/>
      <c r="U280" s="613">
        <f t="shared" si="48"/>
        <v>1</v>
      </c>
      <c r="W280" s="613" t="str">
        <f t="shared" si="41"/>
        <v>I</v>
      </c>
      <c r="X280" s="613" t="str">
        <f t="shared" si="42"/>
        <v>I</v>
      </c>
      <c r="Y280" s="613">
        <f t="shared" si="43"/>
        <v>2016</v>
      </c>
      <c r="Z280" s="613" t="str">
        <f t="shared" si="44"/>
        <v>I</v>
      </c>
      <c r="AA280" s="613" t="str">
        <f t="shared" si="45"/>
        <v>I</v>
      </c>
      <c r="AB280" s="613" t="str">
        <f t="shared" si="45"/>
        <v>I</v>
      </c>
      <c r="AD280" s="613"/>
      <c r="AE280" s="740"/>
      <c r="AF280" s="644"/>
      <c r="AM280" s="647"/>
      <c r="AN280" s="647"/>
      <c r="AO280" s="647"/>
      <c r="AP280" s="647"/>
      <c r="AQ280" s="647"/>
    </row>
    <row r="281" spans="1:43" x14ac:dyDescent="0.2">
      <c r="A281" s="527">
        <v>279</v>
      </c>
      <c r="C281" s="747" t="s">
        <v>2281</v>
      </c>
      <c r="D281" s="883">
        <v>42658</v>
      </c>
      <c r="E281" s="624"/>
      <c r="F281" s="844" t="s">
        <v>2694</v>
      </c>
      <c r="G281" s="624">
        <v>42780</v>
      </c>
      <c r="H281" s="530">
        <f t="shared" si="49"/>
        <v>0.33401779603011633</v>
      </c>
      <c r="I281" s="666"/>
      <c r="J281" s="667">
        <v>2016</v>
      </c>
      <c r="K281" s="667">
        <v>2017</v>
      </c>
      <c r="L281" s="613" t="s">
        <v>336</v>
      </c>
      <c r="M281" s="613">
        <f t="shared" si="46"/>
        <v>1</v>
      </c>
      <c r="N281" s="613">
        <f t="shared" si="47"/>
        <v>0</v>
      </c>
      <c r="O281" s="668"/>
      <c r="P281" s="668"/>
      <c r="Q281" s="668">
        <v>1</v>
      </c>
      <c r="R281" s="668"/>
      <c r="S281" s="668"/>
      <c r="T281" s="668"/>
      <c r="U281" s="613">
        <f t="shared" si="48"/>
        <v>1</v>
      </c>
      <c r="W281" s="613" t="str">
        <f t="shared" si="41"/>
        <v>I</v>
      </c>
      <c r="X281" s="613" t="str">
        <f t="shared" si="42"/>
        <v>I</v>
      </c>
      <c r="Y281" s="613">
        <f t="shared" si="43"/>
        <v>2016</v>
      </c>
      <c r="Z281" s="613" t="str">
        <f t="shared" si="44"/>
        <v>I</v>
      </c>
      <c r="AA281" s="613" t="str">
        <f t="shared" si="45"/>
        <v>I</v>
      </c>
      <c r="AB281" s="613" t="str">
        <f t="shared" si="45"/>
        <v>I</v>
      </c>
      <c r="AD281" s="613"/>
      <c r="AE281" s="740"/>
      <c r="AF281" s="644"/>
      <c r="AM281" s="647"/>
      <c r="AN281" s="647"/>
      <c r="AO281" s="647"/>
      <c r="AP281" s="647"/>
      <c r="AQ281" s="647"/>
    </row>
    <row r="282" spans="1:43" x14ac:dyDescent="0.2">
      <c r="A282" s="527">
        <v>280</v>
      </c>
      <c r="C282" s="666" t="s">
        <v>2282</v>
      </c>
      <c r="D282" s="883">
        <v>42658</v>
      </c>
      <c r="E282" s="624"/>
      <c r="F282" s="844" t="s">
        <v>2694</v>
      </c>
      <c r="G282" s="624">
        <v>42783</v>
      </c>
      <c r="H282" s="530">
        <f t="shared" si="49"/>
        <v>0.34223134839151265</v>
      </c>
      <c r="I282" s="666"/>
      <c r="J282" s="667">
        <v>2016</v>
      </c>
      <c r="K282" s="667">
        <v>2017</v>
      </c>
      <c r="L282" s="613" t="s">
        <v>336</v>
      </c>
      <c r="M282" s="613">
        <f t="shared" si="46"/>
        <v>1</v>
      </c>
      <c r="N282" s="613">
        <f t="shared" si="47"/>
        <v>0</v>
      </c>
      <c r="O282" s="668"/>
      <c r="P282" s="668"/>
      <c r="Q282" s="668">
        <v>1</v>
      </c>
      <c r="R282" s="668"/>
      <c r="S282" s="668"/>
      <c r="T282" s="668"/>
      <c r="U282" s="613">
        <f t="shared" si="48"/>
        <v>1</v>
      </c>
      <c r="W282" s="613" t="str">
        <f t="shared" si="41"/>
        <v>I</v>
      </c>
      <c r="X282" s="613" t="str">
        <f t="shared" si="42"/>
        <v>I</v>
      </c>
      <c r="Y282" s="613">
        <f t="shared" si="43"/>
        <v>2016</v>
      </c>
      <c r="Z282" s="613" t="str">
        <f t="shared" si="44"/>
        <v>I</v>
      </c>
      <c r="AA282" s="613" t="str">
        <f t="shared" si="45"/>
        <v>I</v>
      </c>
      <c r="AB282" s="613" t="str">
        <f t="shared" si="45"/>
        <v>I</v>
      </c>
      <c r="AD282" s="613"/>
      <c r="AE282" s="740"/>
      <c r="AF282" s="880"/>
      <c r="AM282" s="647"/>
      <c r="AN282" s="647"/>
      <c r="AO282" s="647"/>
      <c r="AP282" s="647"/>
      <c r="AQ282" s="647"/>
    </row>
    <row r="283" spans="1:43" x14ac:dyDescent="0.2">
      <c r="A283" s="527">
        <v>281</v>
      </c>
      <c r="C283" s="666" t="s">
        <v>2386</v>
      </c>
      <c r="D283" s="624"/>
      <c r="E283" s="624">
        <v>42719</v>
      </c>
      <c r="F283" s="846" t="s">
        <v>2694</v>
      </c>
      <c r="G283" s="624">
        <v>42787</v>
      </c>
      <c r="H283" s="530">
        <f t="shared" si="49"/>
        <v>0.18617385352498289</v>
      </c>
      <c r="I283" s="666"/>
      <c r="J283" s="667">
        <v>2016</v>
      </c>
      <c r="K283" s="667">
        <v>2017</v>
      </c>
      <c r="L283" s="613" t="s">
        <v>303</v>
      </c>
      <c r="M283" s="613">
        <f t="shared" si="46"/>
        <v>0</v>
      </c>
      <c r="N283" s="613">
        <f t="shared" si="47"/>
        <v>1</v>
      </c>
      <c r="O283" s="668"/>
      <c r="P283" s="668"/>
      <c r="Q283" s="668">
        <v>1</v>
      </c>
      <c r="R283" s="668"/>
      <c r="S283" s="668"/>
      <c r="T283" s="668"/>
      <c r="U283" s="613">
        <f t="shared" si="48"/>
        <v>1</v>
      </c>
      <c r="W283" s="613" t="str">
        <f t="shared" si="41"/>
        <v>I</v>
      </c>
      <c r="X283" s="613" t="str">
        <f t="shared" si="42"/>
        <v>I</v>
      </c>
      <c r="Y283" s="613">
        <f t="shared" si="43"/>
        <v>2016</v>
      </c>
      <c r="Z283" s="613" t="str">
        <f t="shared" si="44"/>
        <v>I</v>
      </c>
      <c r="AA283" s="613" t="str">
        <f t="shared" si="45"/>
        <v>I</v>
      </c>
      <c r="AB283" s="613" t="str">
        <f t="shared" si="45"/>
        <v>I</v>
      </c>
      <c r="AD283" s="613"/>
      <c r="AE283" s="740"/>
      <c r="AF283" s="880"/>
      <c r="AM283" s="647"/>
      <c r="AN283" s="647"/>
      <c r="AO283" s="647"/>
      <c r="AP283" s="647"/>
      <c r="AQ283" s="647"/>
    </row>
    <row r="284" spans="1:43" x14ac:dyDescent="0.2">
      <c r="A284" s="527">
        <v>282</v>
      </c>
      <c r="C284" s="666" t="s">
        <v>2387</v>
      </c>
      <c r="D284" s="624"/>
      <c r="E284" s="624">
        <v>42719</v>
      </c>
      <c r="F284" s="846" t="s">
        <v>2694</v>
      </c>
      <c r="G284" s="624">
        <v>42787</v>
      </c>
      <c r="H284" s="530">
        <f t="shared" si="49"/>
        <v>0.18617385352498289</v>
      </c>
      <c r="I284" s="666"/>
      <c r="J284" s="667">
        <v>2016</v>
      </c>
      <c r="K284" s="667">
        <v>2017</v>
      </c>
      <c r="L284" s="613" t="s">
        <v>303</v>
      </c>
      <c r="M284" s="613">
        <f t="shared" si="46"/>
        <v>0</v>
      </c>
      <c r="N284" s="613">
        <f t="shared" si="47"/>
        <v>1</v>
      </c>
      <c r="O284" s="668"/>
      <c r="P284" s="668"/>
      <c r="Q284" s="668">
        <v>1</v>
      </c>
      <c r="R284" s="668"/>
      <c r="S284" s="668"/>
      <c r="T284" s="668"/>
      <c r="U284" s="613">
        <f t="shared" si="48"/>
        <v>1</v>
      </c>
      <c r="W284" s="613" t="str">
        <f t="shared" si="41"/>
        <v>I</v>
      </c>
      <c r="X284" s="613" t="str">
        <f t="shared" si="42"/>
        <v>I</v>
      </c>
      <c r="Y284" s="613">
        <f t="shared" si="43"/>
        <v>2016</v>
      </c>
      <c r="Z284" s="613" t="str">
        <f t="shared" si="44"/>
        <v>I</v>
      </c>
      <c r="AA284" s="613" t="str">
        <f t="shared" si="45"/>
        <v>I</v>
      </c>
      <c r="AB284" s="613" t="str">
        <f t="shared" si="45"/>
        <v>I</v>
      </c>
      <c r="AD284" s="613"/>
      <c r="AE284" s="740"/>
      <c r="AF284" s="880"/>
      <c r="AM284" s="647"/>
      <c r="AN284" s="647"/>
      <c r="AO284" s="647"/>
      <c r="AP284" s="647"/>
      <c r="AQ284" s="647"/>
    </row>
    <row r="285" spans="1:43" x14ac:dyDescent="0.2">
      <c r="A285" s="527">
        <v>283</v>
      </c>
      <c r="C285" s="666" t="s">
        <v>2388</v>
      </c>
      <c r="D285" s="624"/>
      <c r="E285" s="624">
        <v>42719</v>
      </c>
      <c r="F285" s="846" t="s">
        <v>2694</v>
      </c>
      <c r="G285" s="624">
        <v>42787</v>
      </c>
      <c r="H285" s="530">
        <f t="shared" si="49"/>
        <v>0.18617385352498289</v>
      </c>
      <c r="I285" s="666"/>
      <c r="J285" s="667">
        <v>2016</v>
      </c>
      <c r="K285" s="667">
        <v>2017</v>
      </c>
      <c r="L285" s="613" t="s">
        <v>303</v>
      </c>
      <c r="M285" s="613">
        <f t="shared" si="46"/>
        <v>0</v>
      </c>
      <c r="N285" s="613">
        <f t="shared" si="47"/>
        <v>1</v>
      </c>
      <c r="O285" s="668"/>
      <c r="P285" s="668"/>
      <c r="Q285" s="668">
        <v>1</v>
      </c>
      <c r="R285" s="668"/>
      <c r="S285" s="668"/>
      <c r="T285" s="668"/>
      <c r="U285" s="613">
        <f t="shared" si="48"/>
        <v>1</v>
      </c>
      <c r="W285" s="613" t="str">
        <f t="shared" si="41"/>
        <v>I</v>
      </c>
      <c r="X285" s="613" t="str">
        <f t="shared" si="42"/>
        <v>I</v>
      </c>
      <c r="Y285" s="613">
        <f t="shared" si="43"/>
        <v>2016</v>
      </c>
      <c r="Z285" s="613" t="str">
        <f t="shared" si="44"/>
        <v>I</v>
      </c>
      <c r="AA285" s="613" t="str">
        <f t="shared" si="45"/>
        <v>I</v>
      </c>
      <c r="AB285" s="613" t="str">
        <f t="shared" si="45"/>
        <v>I</v>
      </c>
      <c r="AD285" s="613"/>
      <c r="AE285" s="740"/>
      <c r="AF285" s="880"/>
      <c r="AM285" s="647"/>
      <c r="AN285" s="647"/>
      <c r="AO285" s="647"/>
      <c r="AP285" s="647"/>
      <c r="AQ285" s="647"/>
    </row>
    <row r="286" spans="1:43" x14ac:dyDescent="0.2">
      <c r="A286" s="527">
        <v>284</v>
      </c>
      <c r="C286" s="666" t="s">
        <v>2381</v>
      </c>
      <c r="D286" s="624"/>
      <c r="E286" s="624">
        <v>42475</v>
      </c>
      <c r="F286" s="846" t="s">
        <v>2694</v>
      </c>
      <c r="G286" s="624">
        <v>42808</v>
      </c>
      <c r="H286" s="530">
        <f t="shared" si="49"/>
        <v>0.9117043121149897</v>
      </c>
      <c r="I286" s="666"/>
      <c r="J286" s="667">
        <v>2016</v>
      </c>
      <c r="K286" s="667">
        <v>2017</v>
      </c>
      <c r="L286" s="613" t="s">
        <v>303</v>
      </c>
      <c r="M286" s="613">
        <f t="shared" si="46"/>
        <v>0</v>
      </c>
      <c r="N286" s="613">
        <f t="shared" si="47"/>
        <v>1</v>
      </c>
      <c r="O286" s="668"/>
      <c r="P286" s="668"/>
      <c r="Q286" s="668">
        <v>1</v>
      </c>
      <c r="R286" s="668"/>
      <c r="S286" s="668"/>
      <c r="T286" s="668"/>
      <c r="U286" s="613">
        <f t="shared" si="48"/>
        <v>1</v>
      </c>
      <c r="W286" s="613" t="str">
        <f t="shared" si="41"/>
        <v>I</v>
      </c>
      <c r="X286" s="613" t="str">
        <f t="shared" si="42"/>
        <v>I</v>
      </c>
      <c r="Y286" s="613">
        <f t="shared" si="43"/>
        <v>2016</v>
      </c>
      <c r="Z286" s="613" t="str">
        <f t="shared" si="44"/>
        <v>I</v>
      </c>
      <c r="AA286" s="613" t="str">
        <f t="shared" si="45"/>
        <v>I</v>
      </c>
      <c r="AB286" s="613" t="str">
        <f t="shared" si="45"/>
        <v>I</v>
      </c>
      <c r="AD286" s="613"/>
      <c r="AE286" s="740"/>
      <c r="AF286" s="880"/>
      <c r="AM286" s="647"/>
      <c r="AN286" s="647"/>
      <c r="AO286" s="647"/>
      <c r="AP286" s="647"/>
      <c r="AQ286" s="647"/>
    </row>
    <row r="287" spans="1:43" x14ac:dyDescent="0.2">
      <c r="A287" s="527">
        <v>285</v>
      </c>
      <c r="C287" s="666" t="s">
        <v>2393</v>
      </c>
      <c r="D287" s="624"/>
      <c r="E287" s="624">
        <v>42552</v>
      </c>
      <c r="F287" s="846" t="s">
        <v>316</v>
      </c>
      <c r="G287" s="624">
        <v>42798</v>
      </c>
      <c r="H287" s="530">
        <f t="shared" si="49"/>
        <v>0.67351129363449691</v>
      </c>
      <c r="I287" s="666"/>
      <c r="J287" s="667">
        <v>2016</v>
      </c>
      <c r="K287" s="667">
        <v>2017</v>
      </c>
      <c r="L287" s="613" t="s">
        <v>303</v>
      </c>
      <c r="M287" s="613">
        <f t="shared" si="46"/>
        <v>0</v>
      </c>
      <c r="N287" s="613">
        <f t="shared" si="47"/>
        <v>1</v>
      </c>
      <c r="O287" s="668"/>
      <c r="P287" s="668"/>
      <c r="Q287" s="668">
        <v>1</v>
      </c>
      <c r="R287" s="668"/>
      <c r="S287" s="668"/>
      <c r="T287" s="668"/>
      <c r="U287" s="613">
        <f t="shared" si="48"/>
        <v>1</v>
      </c>
      <c r="W287" s="613" t="str">
        <f t="shared" si="41"/>
        <v>I</v>
      </c>
      <c r="X287" s="613" t="str">
        <f t="shared" si="42"/>
        <v>I</v>
      </c>
      <c r="Y287" s="613">
        <f t="shared" si="43"/>
        <v>2016</v>
      </c>
      <c r="Z287" s="613" t="str">
        <f t="shared" si="44"/>
        <v>I</v>
      </c>
      <c r="AA287" s="613" t="str">
        <f t="shared" si="45"/>
        <v>I</v>
      </c>
      <c r="AB287" s="613" t="str">
        <f t="shared" si="45"/>
        <v>I</v>
      </c>
      <c r="AD287" s="613"/>
      <c r="AE287" s="740"/>
      <c r="AF287" s="880"/>
      <c r="AM287" s="647"/>
      <c r="AN287" s="647"/>
      <c r="AO287" s="647"/>
      <c r="AP287" s="647"/>
      <c r="AQ287" s="647"/>
    </row>
    <row r="288" spans="1:43" x14ac:dyDescent="0.2">
      <c r="A288" s="527">
        <v>286</v>
      </c>
      <c r="C288" s="666" t="s">
        <v>2399</v>
      </c>
      <c r="D288" s="624"/>
      <c r="E288" s="624">
        <v>42767</v>
      </c>
      <c r="F288" s="846" t="s">
        <v>2694</v>
      </c>
      <c r="G288" s="624">
        <v>42822</v>
      </c>
      <c r="H288" s="530">
        <f t="shared" si="49"/>
        <v>0.15058179329226556</v>
      </c>
      <c r="I288" s="666"/>
      <c r="J288" s="667">
        <v>2017</v>
      </c>
      <c r="K288" s="667">
        <v>2017</v>
      </c>
      <c r="L288" s="613" t="s">
        <v>303</v>
      </c>
      <c r="M288" s="613">
        <f t="shared" si="46"/>
        <v>0</v>
      </c>
      <c r="N288" s="613">
        <f t="shared" si="47"/>
        <v>1</v>
      </c>
      <c r="O288" s="668"/>
      <c r="P288" s="668"/>
      <c r="Q288" s="668">
        <v>1</v>
      </c>
      <c r="R288" s="668"/>
      <c r="S288" s="668"/>
      <c r="T288" s="668"/>
      <c r="U288" s="613">
        <f t="shared" si="48"/>
        <v>1</v>
      </c>
      <c r="W288" s="613" t="str">
        <f t="shared" si="41"/>
        <v>I</v>
      </c>
      <c r="X288" s="613" t="str">
        <f t="shared" si="42"/>
        <v>I</v>
      </c>
      <c r="Y288" s="613">
        <f t="shared" si="43"/>
        <v>2017</v>
      </c>
      <c r="Z288" s="613" t="str">
        <f t="shared" si="44"/>
        <v>I</v>
      </c>
      <c r="AA288" s="613" t="str">
        <f t="shared" si="45"/>
        <v>I</v>
      </c>
      <c r="AB288" s="613" t="str">
        <f t="shared" si="45"/>
        <v>I</v>
      </c>
      <c r="AD288" s="726"/>
      <c r="AE288" s="740"/>
      <c r="AF288" s="880"/>
      <c r="AM288" s="647"/>
      <c r="AN288" s="647"/>
      <c r="AO288" s="647"/>
      <c r="AP288" s="647"/>
      <c r="AQ288" s="647"/>
    </row>
    <row r="289" spans="1:43" x14ac:dyDescent="0.2">
      <c r="A289" s="527">
        <v>287</v>
      </c>
      <c r="C289" s="666" t="s">
        <v>2390</v>
      </c>
      <c r="D289" s="624"/>
      <c r="E289" s="624">
        <v>42536</v>
      </c>
      <c r="F289" s="846" t="s">
        <v>2694</v>
      </c>
      <c r="G289" s="624">
        <v>42835</v>
      </c>
      <c r="H289" s="530">
        <f t="shared" si="49"/>
        <v>0.81861738535249828</v>
      </c>
      <c r="I289" s="666"/>
      <c r="J289" s="667">
        <v>2016</v>
      </c>
      <c r="K289" s="667">
        <v>2017</v>
      </c>
      <c r="L289" s="613" t="s">
        <v>303</v>
      </c>
      <c r="M289" s="613">
        <f t="shared" si="46"/>
        <v>0</v>
      </c>
      <c r="N289" s="613">
        <f t="shared" si="47"/>
        <v>1</v>
      </c>
      <c r="O289" s="668"/>
      <c r="P289" s="668"/>
      <c r="Q289" s="668">
        <v>1</v>
      </c>
      <c r="R289" s="668"/>
      <c r="S289" s="668"/>
      <c r="T289" s="668"/>
      <c r="U289" s="613">
        <f t="shared" si="48"/>
        <v>1</v>
      </c>
      <c r="W289" s="613" t="str">
        <f t="shared" si="41"/>
        <v>I</v>
      </c>
      <c r="X289" s="613" t="str">
        <f t="shared" si="42"/>
        <v>I</v>
      </c>
      <c r="Y289" s="613">
        <f t="shared" si="43"/>
        <v>2016</v>
      </c>
      <c r="Z289" s="613" t="str">
        <f t="shared" si="44"/>
        <v>I</v>
      </c>
      <c r="AA289" s="613" t="str">
        <f t="shared" si="45"/>
        <v>I</v>
      </c>
      <c r="AB289" s="613" t="str">
        <f t="shared" si="45"/>
        <v>I</v>
      </c>
      <c r="AD289" s="613"/>
      <c r="AE289" s="740"/>
      <c r="AF289" s="880"/>
      <c r="AM289" s="647"/>
      <c r="AN289" s="647"/>
      <c r="AO289" s="647"/>
      <c r="AP289" s="647"/>
      <c r="AQ289" s="647"/>
    </row>
    <row r="290" spans="1:43" x14ac:dyDescent="0.2">
      <c r="A290" s="527">
        <v>288</v>
      </c>
      <c r="C290" s="666" t="s">
        <v>2397</v>
      </c>
      <c r="D290" s="624"/>
      <c r="E290" s="624">
        <v>42536</v>
      </c>
      <c r="F290" s="846" t="s">
        <v>2694</v>
      </c>
      <c r="G290" s="624">
        <v>42835</v>
      </c>
      <c r="H290" s="530">
        <f t="shared" si="49"/>
        <v>0.81861738535249828</v>
      </c>
      <c r="I290" s="666"/>
      <c r="J290" s="667">
        <v>2016</v>
      </c>
      <c r="K290" s="667">
        <v>2017</v>
      </c>
      <c r="L290" s="613" t="s">
        <v>303</v>
      </c>
      <c r="M290" s="613">
        <f t="shared" si="46"/>
        <v>0</v>
      </c>
      <c r="N290" s="613">
        <f t="shared" si="47"/>
        <v>1</v>
      </c>
      <c r="O290" s="668"/>
      <c r="P290" s="668"/>
      <c r="Q290" s="668">
        <v>1</v>
      </c>
      <c r="R290" s="668"/>
      <c r="S290" s="668"/>
      <c r="T290" s="668"/>
      <c r="U290" s="613">
        <f t="shared" si="48"/>
        <v>1</v>
      </c>
      <c r="W290" s="613" t="str">
        <f t="shared" si="41"/>
        <v>I</v>
      </c>
      <c r="X290" s="613" t="str">
        <f t="shared" si="42"/>
        <v>I</v>
      </c>
      <c r="Y290" s="613">
        <f t="shared" si="43"/>
        <v>2016</v>
      </c>
      <c r="Z290" s="613" t="str">
        <f t="shared" si="44"/>
        <v>I</v>
      </c>
      <c r="AA290" s="613" t="str">
        <f t="shared" si="45"/>
        <v>I</v>
      </c>
      <c r="AB290" s="613" t="str">
        <f t="shared" si="45"/>
        <v>I</v>
      </c>
      <c r="AD290" s="726"/>
      <c r="AE290" s="740"/>
      <c r="AF290" s="880"/>
      <c r="AM290" s="647"/>
      <c r="AN290" s="647"/>
      <c r="AO290" s="647"/>
      <c r="AP290" s="647"/>
      <c r="AQ290" s="647"/>
    </row>
    <row r="291" spans="1:43" x14ac:dyDescent="0.2">
      <c r="A291" s="527">
        <v>289</v>
      </c>
      <c r="C291" s="666" t="s">
        <v>2405</v>
      </c>
      <c r="D291" s="624"/>
      <c r="E291" s="624">
        <v>42689</v>
      </c>
      <c r="F291" s="846" t="s">
        <v>2694</v>
      </c>
      <c r="G291" s="624">
        <v>42851</v>
      </c>
      <c r="H291" s="530">
        <f t="shared" si="49"/>
        <v>0.44353182751540043</v>
      </c>
      <c r="I291" s="666"/>
      <c r="J291" s="667">
        <v>2016</v>
      </c>
      <c r="K291" s="667">
        <v>2017</v>
      </c>
      <c r="L291" s="613" t="s">
        <v>303</v>
      </c>
      <c r="M291" s="613">
        <f t="shared" si="46"/>
        <v>0</v>
      </c>
      <c r="N291" s="613">
        <f t="shared" si="47"/>
        <v>1</v>
      </c>
      <c r="O291" s="668"/>
      <c r="P291" s="668"/>
      <c r="Q291" s="668">
        <v>1</v>
      </c>
      <c r="R291" s="668"/>
      <c r="S291" s="668"/>
      <c r="T291" s="668"/>
      <c r="U291" s="613">
        <f t="shared" si="48"/>
        <v>1</v>
      </c>
      <c r="W291" s="613" t="str">
        <f t="shared" si="41"/>
        <v>I</v>
      </c>
      <c r="X291" s="613" t="str">
        <f t="shared" si="42"/>
        <v>I</v>
      </c>
      <c r="Y291" s="613">
        <f t="shared" si="43"/>
        <v>2016</v>
      </c>
      <c r="Z291" s="613" t="str">
        <f t="shared" si="44"/>
        <v>I</v>
      </c>
      <c r="AA291" s="613" t="str">
        <f t="shared" si="45"/>
        <v>I</v>
      </c>
      <c r="AB291" s="613" t="str">
        <f t="shared" si="45"/>
        <v>I</v>
      </c>
      <c r="AD291" s="613"/>
      <c r="AE291" s="740"/>
      <c r="AF291" s="880"/>
      <c r="AM291" s="647"/>
      <c r="AN291" s="647"/>
      <c r="AO291" s="647"/>
      <c r="AP291" s="647"/>
      <c r="AQ291" s="647"/>
    </row>
    <row r="292" spans="1:43" x14ac:dyDescent="0.2">
      <c r="A292" s="527">
        <v>290</v>
      </c>
      <c r="C292" s="666" t="s">
        <v>2406</v>
      </c>
      <c r="D292" s="624"/>
      <c r="E292" s="624">
        <v>42781</v>
      </c>
      <c r="F292" s="846" t="s">
        <v>2694</v>
      </c>
      <c r="G292" s="624">
        <v>42851</v>
      </c>
      <c r="H292" s="530">
        <f t="shared" si="49"/>
        <v>0.19164955509924708</v>
      </c>
      <c r="I292" s="666"/>
      <c r="J292" s="667">
        <v>2017</v>
      </c>
      <c r="K292" s="667">
        <v>2017</v>
      </c>
      <c r="L292" s="613" t="s">
        <v>303</v>
      </c>
      <c r="M292" s="613">
        <f t="shared" si="46"/>
        <v>0</v>
      </c>
      <c r="N292" s="613">
        <f t="shared" si="47"/>
        <v>1</v>
      </c>
      <c r="O292" s="668"/>
      <c r="P292" s="668"/>
      <c r="Q292" s="668">
        <v>1</v>
      </c>
      <c r="R292" s="668"/>
      <c r="S292" s="668"/>
      <c r="T292" s="668"/>
      <c r="U292" s="613">
        <f t="shared" si="48"/>
        <v>1</v>
      </c>
      <c r="W292" s="613" t="str">
        <f t="shared" si="41"/>
        <v>I</v>
      </c>
      <c r="X292" s="613" t="str">
        <f t="shared" si="42"/>
        <v>I</v>
      </c>
      <c r="Y292" s="613">
        <f t="shared" si="43"/>
        <v>2017</v>
      </c>
      <c r="Z292" s="613" t="str">
        <f t="shared" si="44"/>
        <v>I</v>
      </c>
      <c r="AA292" s="613" t="str">
        <f t="shared" si="45"/>
        <v>I</v>
      </c>
      <c r="AB292" s="613" t="str">
        <f t="shared" si="45"/>
        <v>I</v>
      </c>
      <c r="AD292" s="613"/>
      <c r="AE292" s="740"/>
      <c r="AF292" s="880"/>
      <c r="AM292" s="647"/>
      <c r="AN292" s="647"/>
      <c r="AO292" s="647"/>
      <c r="AP292" s="647"/>
      <c r="AQ292" s="647"/>
    </row>
    <row r="293" spans="1:43" x14ac:dyDescent="0.2">
      <c r="A293" s="527">
        <v>291</v>
      </c>
      <c r="C293" s="666" t="s">
        <v>2423</v>
      </c>
      <c r="D293" s="624"/>
      <c r="E293" s="624">
        <v>42767</v>
      </c>
      <c r="F293" s="846" t="s">
        <v>2694</v>
      </c>
      <c r="G293" s="624">
        <v>42865</v>
      </c>
      <c r="H293" s="530">
        <f t="shared" si="49"/>
        <v>0.26830937713894593</v>
      </c>
      <c r="I293" s="666"/>
      <c r="J293" s="667">
        <v>2017</v>
      </c>
      <c r="K293" s="667">
        <v>2017</v>
      </c>
      <c r="L293" s="613" t="s">
        <v>303</v>
      </c>
      <c r="M293" s="613">
        <f t="shared" si="46"/>
        <v>0</v>
      </c>
      <c r="N293" s="613">
        <f t="shared" si="47"/>
        <v>1</v>
      </c>
      <c r="O293" s="668"/>
      <c r="P293" s="668"/>
      <c r="Q293" s="668">
        <v>1</v>
      </c>
      <c r="R293" s="668"/>
      <c r="S293" s="668"/>
      <c r="T293" s="668"/>
      <c r="U293" s="613">
        <f t="shared" si="48"/>
        <v>1</v>
      </c>
      <c r="W293" s="613" t="str">
        <f t="shared" si="41"/>
        <v>I</v>
      </c>
      <c r="X293" s="613" t="str">
        <f t="shared" si="42"/>
        <v>I</v>
      </c>
      <c r="Y293" s="613">
        <f t="shared" si="43"/>
        <v>2017</v>
      </c>
      <c r="Z293" s="613" t="str">
        <f t="shared" si="44"/>
        <v>I</v>
      </c>
      <c r="AA293" s="613" t="str">
        <f t="shared" si="45"/>
        <v>I</v>
      </c>
      <c r="AB293" s="613" t="str">
        <f t="shared" si="45"/>
        <v>I</v>
      </c>
      <c r="AD293" s="613"/>
      <c r="AE293" s="740"/>
      <c r="AF293" s="880"/>
      <c r="AM293" s="647"/>
      <c r="AN293" s="647"/>
      <c r="AO293" s="647"/>
      <c r="AP293" s="647"/>
      <c r="AQ293" s="647"/>
    </row>
    <row r="294" spans="1:43" x14ac:dyDescent="0.2">
      <c r="A294" s="527">
        <v>292</v>
      </c>
      <c r="C294" s="666" t="s">
        <v>2424</v>
      </c>
      <c r="D294" s="624"/>
      <c r="E294" s="624">
        <v>42814</v>
      </c>
      <c r="F294" s="846" t="s">
        <v>2167</v>
      </c>
      <c r="G294" s="624">
        <v>42865</v>
      </c>
      <c r="H294" s="530">
        <f t="shared" si="49"/>
        <v>0.13963039014373715</v>
      </c>
      <c r="I294" s="666"/>
      <c r="J294" s="667">
        <v>2017</v>
      </c>
      <c r="K294" s="667">
        <v>2017</v>
      </c>
      <c r="L294" s="613" t="s">
        <v>303</v>
      </c>
      <c r="M294" s="613">
        <f t="shared" si="46"/>
        <v>0</v>
      </c>
      <c r="N294" s="613">
        <f t="shared" si="47"/>
        <v>1</v>
      </c>
      <c r="O294" s="668"/>
      <c r="P294" s="668"/>
      <c r="Q294" s="668">
        <v>1</v>
      </c>
      <c r="R294" s="668"/>
      <c r="S294" s="668"/>
      <c r="T294" s="668"/>
      <c r="U294" s="613">
        <f t="shared" si="48"/>
        <v>1</v>
      </c>
      <c r="W294" s="613" t="str">
        <f t="shared" si="41"/>
        <v>I</v>
      </c>
      <c r="X294" s="613" t="str">
        <f t="shared" si="42"/>
        <v>I</v>
      </c>
      <c r="Y294" s="613">
        <f t="shared" si="43"/>
        <v>2017</v>
      </c>
      <c r="Z294" s="613" t="str">
        <f t="shared" si="44"/>
        <v>I</v>
      </c>
      <c r="AA294" s="613" t="str">
        <f t="shared" si="45"/>
        <v>I</v>
      </c>
      <c r="AB294" s="613" t="str">
        <f t="shared" si="45"/>
        <v>I</v>
      </c>
      <c r="AD294" s="613"/>
      <c r="AE294" s="740"/>
      <c r="AF294" s="880"/>
      <c r="AM294" s="647"/>
      <c r="AN294" s="647"/>
      <c r="AO294" s="647"/>
      <c r="AP294" s="647"/>
      <c r="AQ294" s="647"/>
    </row>
    <row r="295" spans="1:43" x14ac:dyDescent="0.2">
      <c r="A295" s="527">
        <v>293</v>
      </c>
      <c r="C295" s="666" t="s">
        <v>2425</v>
      </c>
      <c r="D295" s="624"/>
      <c r="E295" s="624">
        <v>42767</v>
      </c>
      <c r="F295" s="846" t="s">
        <v>2694</v>
      </c>
      <c r="G295" s="624">
        <v>42866</v>
      </c>
      <c r="H295" s="530">
        <f t="shared" si="49"/>
        <v>0.27104722792607805</v>
      </c>
      <c r="I295" s="666"/>
      <c r="J295" s="667">
        <v>2017</v>
      </c>
      <c r="K295" s="667">
        <v>2017</v>
      </c>
      <c r="L295" s="613" t="s">
        <v>303</v>
      </c>
      <c r="M295" s="613">
        <f t="shared" si="46"/>
        <v>0</v>
      </c>
      <c r="N295" s="613">
        <f t="shared" si="47"/>
        <v>1</v>
      </c>
      <c r="O295" s="668"/>
      <c r="P295" s="668"/>
      <c r="Q295" s="668">
        <v>1</v>
      </c>
      <c r="R295" s="668"/>
      <c r="S295" s="668"/>
      <c r="T295" s="668"/>
      <c r="U295" s="613">
        <f t="shared" si="48"/>
        <v>1</v>
      </c>
      <c r="W295" s="613" t="str">
        <f t="shared" si="41"/>
        <v>I</v>
      </c>
      <c r="X295" s="613" t="str">
        <f t="shared" si="42"/>
        <v>I</v>
      </c>
      <c r="Y295" s="613">
        <f t="shared" si="43"/>
        <v>2017</v>
      </c>
      <c r="Z295" s="613" t="str">
        <f t="shared" si="44"/>
        <v>I</v>
      </c>
      <c r="AA295" s="613" t="str">
        <f t="shared" si="45"/>
        <v>I</v>
      </c>
      <c r="AB295" s="613" t="str">
        <f t="shared" si="45"/>
        <v>I</v>
      </c>
      <c r="AD295" s="613"/>
      <c r="AE295" s="740"/>
      <c r="AF295" s="880"/>
      <c r="AM295" s="647"/>
      <c r="AN295" s="647"/>
      <c r="AO295" s="647"/>
      <c r="AP295" s="647"/>
      <c r="AQ295" s="647"/>
    </row>
    <row r="296" spans="1:43" x14ac:dyDescent="0.2">
      <c r="A296" s="527">
        <v>294</v>
      </c>
      <c r="C296" s="666" t="s">
        <v>2426</v>
      </c>
      <c r="D296" s="624"/>
      <c r="E296" s="624">
        <v>42719</v>
      </c>
      <c r="F296" s="846" t="s">
        <v>2694</v>
      </c>
      <c r="G296" s="624">
        <v>42895</v>
      </c>
      <c r="H296" s="530">
        <f t="shared" si="49"/>
        <v>0.48186173853524983</v>
      </c>
      <c r="I296" s="666"/>
      <c r="J296" s="667">
        <v>2016</v>
      </c>
      <c r="K296" s="667">
        <v>2017</v>
      </c>
      <c r="L296" s="613" t="s">
        <v>303</v>
      </c>
      <c r="M296" s="613">
        <f t="shared" si="46"/>
        <v>0</v>
      </c>
      <c r="N296" s="613">
        <f t="shared" si="47"/>
        <v>1</v>
      </c>
      <c r="O296" s="668"/>
      <c r="P296" s="668"/>
      <c r="Q296" s="668">
        <v>1</v>
      </c>
      <c r="R296" s="668"/>
      <c r="S296" s="668"/>
      <c r="T296" s="668"/>
      <c r="U296" s="613">
        <f t="shared" si="48"/>
        <v>1</v>
      </c>
      <c r="W296" s="613" t="str">
        <f t="shared" si="41"/>
        <v>I</v>
      </c>
      <c r="X296" s="613" t="str">
        <f t="shared" si="42"/>
        <v>I</v>
      </c>
      <c r="Y296" s="613">
        <f t="shared" si="43"/>
        <v>2016</v>
      </c>
      <c r="Z296" s="613" t="str">
        <f t="shared" si="44"/>
        <v>I</v>
      </c>
      <c r="AA296" s="613" t="str">
        <f t="shared" si="45"/>
        <v>I</v>
      </c>
      <c r="AB296" s="613" t="str">
        <f t="shared" si="45"/>
        <v>I</v>
      </c>
      <c r="AD296" s="613"/>
      <c r="AE296" s="740"/>
      <c r="AF296" s="880"/>
      <c r="AM296" s="647"/>
      <c r="AN296" s="647"/>
      <c r="AO296" s="647"/>
      <c r="AP296" s="647"/>
      <c r="AQ296" s="647"/>
    </row>
    <row r="297" spans="1:43" x14ac:dyDescent="0.2">
      <c r="A297" s="527">
        <v>295</v>
      </c>
      <c r="C297" s="666" t="s">
        <v>2427</v>
      </c>
      <c r="D297" s="624"/>
      <c r="E297" s="624">
        <v>42750</v>
      </c>
      <c r="F297" s="846" t="s">
        <v>2694</v>
      </c>
      <c r="G297" s="624">
        <v>42895</v>
      </c>
      <c r="H297" s="530">
        <f t="shared" si="49"/>
        <v>0.39698836413415467</v>
      </c>
      <c r="I297" s="666"/>
      <c r="J297" s="667">
        <v>2017</v>
      </c>
      <c r="K297" s="667">
        <v>2017</v>
      </c>
      <c r="L297" s="613" t="s">
        <v>303</v>
      </c>
      <c r="M297" s="613">
        <f t="shared" si="46"/>
        <v>0</v>
      </c>
      <c r="N297" s="613">
        <f t="shared" si="47"/>
        <v>1</v>
      </c>
      <c r="O297" s="668"/>
      <c r="P297" s="668"/>
      <c r="Q297" s="668">
        <v>1</v>
      </c>
      <c r="R297" s="668"/>
      <c r="S297" s="668"/>
      <c r="T297" s="668"/>
      <c r="U297" s="613">
        <f t="shared" si="48"/>
        <v>1</v>
      </c>
      <c r="W297" s="613" t="str">
        <f t="shared" si="41"/>
        <v>I</v>
      </c>
      <c r="X297" s="613" t="str">
        <f t="shared" si="42"/>
        <v>I</v>
      </c>
      <c r="Y297" s="613">
        <f t="shared" si="43"/>
        <v>2017</v>
      </c>
      <c r="Z297" s="613" t="str">
        <f t="shared" si="44"/>
        <v>I</v>
      </c>
      <c r="AA297" s="613" t="str">
        <f t="shared" si="45"/>
        <v>I</v>
      </c>
      <c r="AB297" s="613" t="str">
        <f t="shared" si="45"/>
        <v>I</v>
      </c>
      <c r="AD297" s="613"/>
      <c r="AE297" s="740"/>
      <c r="AF297" s="880"/>
      <c r="AM297" s="647"/>
      <c r="AN297" s="647"/>
      <c r="AO297" s="647"/>
      <c r="AP297" s="647"/>
      <c r="AQ297" s="647"/>
    </row>
    <row r="298" spans="1:43" x14ac:dyDescent="0.2">
      <c r="A298" s="527">
        <v>296</v>
      </c>
      <c r="C298" s="666" t="s">
        <v>2429</v>
      </c>
      <c r="D298" s="624"/>
      <c r="E298" s="624">
        <v>42750</v>
      </c>
      <c r="F298" s="846" t="s">
        <v>2694</v>
      </c>
      <c r="G298" s="624">
        <v>42895</v>
      </c>
      <c r="H298" s="530">
        <f t="shared" si="49"/>
        <v>0.39698836413415467</v>
      </c>
      <c r="I298" s="666"/>
      <c r="J298" s="667">
        <v>2017</v>
      </c>
      <c r="K298" s="667">
        <v>2017</v>
      </c>
      <c r="L298" s="613" t="s">
        <v>303</v>
      </c>
      <c r="M298" s="613">
        <f t="shared" si="46"/>
        <v>0</v>
      </c>
      <c r="N298" s="613">
        <f t="shared" si="47"/>
        <v>1</v>
      </c>
      <c r="O298" s="668"/>
      <c r="P298" s="668"/>
      <c r="Q298" s="668">
        <v>1</v>
      </c>
      <c r="R298" s="668"/>
      <c r="S298" s="668"/>
      <c r="T298" s="668"/>
      <c r="U298" s="613">
        <f t="shared" si="48"/>
        <v>1</v>
      </c>
      <c r="W298" s="613" t="str">
        <f t="shared" si="41"/>
        <v>I</v>
      </c>
      <c r="X298" s="613" t="str">
        <f t="shared" si="42"/>
        <v>I</v>
      </c>
      <c r="Y298" s="613">
        <f t="shared" si="43"/>
        <v>2017</v>
      </c>
      <c r="Z298" s="613" t="str">
        <f t="shared" si="44"/>
        <v>I</v>
      </c>
      <c r="AA298" s="613" t="str">
        <f t="shared" si="45"/>
        <v>I</v>
      </c>
      <c r="AB298" s="613" t="str">
        <f t="shared" si="45"/>
        <v>I</v>
      </c>
      <c r="AD298" s="613"/>
      <c r="AE298" s="740"/>
      <c r="AF298" s="880"/>
      <c r="AM298" s="647"/>
      <c r="AN298" s="647"/>
      <c r="AO298" s="647"/>
      <c r="AP298" s="647"/>
      <c r="AQ298" s="647"/>
    </row>
    <row r="299" spans="1:43" x14ac:dyDescent="0.2">
      <c r="A299" s="527">
        <v>297</v>
      </c>
      <c r="C299" s="666" t="s">
        <v>2435</v>
      </c>
      <c r="D299" s="624"/>
      <c r="E299" s="624">
        <v>42840</v>
      </c>
      <c r="F299" s="846" t="s">
        <v>2694</v>
      </c>
      <c r="G299" s="624">
        <v>42914</v>
      </c>
      <c r="H299" s="530">
        <f t="shared" si="49"/>
        <v>0.20260095824777549</v>
      </c>
      <c r="I299" s="666"/>
      <c r="J299" s="667">
        <v>2017</v>
      </c>
      <c r="K299" s="667">
        <v>2017</v>
      </c>
      <c r="L299" s="613" t="s">
        <v>303</v>
      </c>
      <c r="M299" s="613">
        <f t="shared" si="46"/>
        <v>0</v>
      </c>
      <c r="N299" s="613">
        <f t="shared" si="47"/>
        <v>1</v>
      </c>
      <c r="O299" s="668"/>
      <c r="P299" s="668"/>
      <c r="Q299" s="668">
        <v>1</v>
      </c>
      <c r="R299" s="668"/>
      <c r="S299" s="668"/>
      <c r="T299" s="668"/>
      <c r="U299" s="613">
        <f t="shared" si="48"/>
        <v>1</v>
      </c>
      <c r="W299" s="613" t="str">
        <f t="shared" si="41"/>
        <v>I</v>
      </c>
      <c r="X299" s="613" t="str">
        <f t="shared" si="42"/>
        <v>I</v>
      </c>
      <c r="Y299" s="613">
        <f t="shared" si="43"/>
        <v>2017</v>
      </c>
      <c r="Z299" s="613" t="str">
        <f t="shared" si="44"/>
        <v>I</v>
      </c>
      <c r="AA299" s="613" t="str">
        <f t="shared" si="45"/>
        <v>I</v>
      </c>
      <c r="AB299" s="613" t="str">
        <f t="shared" si="45"/>
        <v>I</v>
      </c>
      <c r="AD299" s="613"/>
      <c r="AE299" s="740"/>
      <c r="AF299" s="880"/>
      <c r="AM299" s="647"/>
      <c r="AN299" s="647"/>
      <c r="AO299" s="647"/>
      <c r="AP299" s="647"/>
      <c r="AQ299" s="647"/>
    </row>
    <row r="300" spans="1:43" x14ac:dyDescent="0.2">
      <c r="A300" s="527">
        <v>298</v>
      </c>
      <c r="C300" s="666" t="s">
        <v>2438</v>
      </c>
      <c r="D300" s="624"/>
      <c r="E300" s="624">
        <v>42840</v>
      </c>
      <c r="F300" s="846" t="s">
        <v>2694</v>
      </c>
      <c r="G300" s="624">
        <v>42914</v>
      </c>
      <c r="H300" s="530">
        <f t="shared" si="49"/>
        <v>0.20260095824777549</v>
      </c>
      <c r="I300" s="666"/>
      <c r="J300" s="667">
        <v>2017</v>
      </c>
      <c r="K300" s="667">
        <v>2017</v>
      </c>
      <c r="L300" s="613" t="s">
        <v>303</v>
      </c>
      <c r="M300" s="613">
        <f t="shared" si="46"/>
        <v>0</v>
      </c>
      <c r="N300" s="613">
        <f t="shared" si="47"/>
        <v>1</v>
      </c>
      <c r="O300" s="668"/>
      <c r="P300" s="668"/>
      <c r="Q300" s="668">
        <v>1</v>
      </c>
      <c r="R300" s="668"/>
      <c r="S300" s="668"/>
      <c r="T300" s="668"/>
      <c r="U300" s="613">
        <f t="shared" si="48"/>
        <v>1</v>
      </c>
      <c r="W300" s="613" t="str">
        <f t="shared" si="41"/>
        <v>I</v>
      </c>
      <c r="X300" s="613" t="str">
        <f t="shared" si="42"/>
        <v>I</v>
      </c>
      <c r="Y300" s="613">
        <f t="shared" si="43"/>
        <v>2017</v>
      </c>
      <c r="Z300" s="613" t="str">
        <f t="shared" si="44"/>
        <v>I</v>
      </c>
      <c r="AA300" s="613" t="str">
        <f t="shared" si="45"/>
        <v>I</v>
      </c>
      <c r="AB300" s="613" t="str">
        <f t="shared" si="45"/>
        <v>I</v>
      </c>
      <c r="AD300" s="613"/>
      <c r="AE300" s="740"/>
      <c r="AF300" s="880"/>
      <c r="AM300" s="647"/>
      <c r="AN300" s="647"/>
      <c r="AO300" s="647"/>
      <c r="AP300" s="647"/>
      <c r="AQ300" s="647"/>
    </row>
    <row r="301" spans="1:43" x14ac:dyDescent="0.2">
      <c r="A301" s="527">
        <v>299</v>
      </c>
      <c r="C301" s="666" t="s">
        <v>2436</v>
      </c>
      <c r="D301" s="624"/>
      <c r="E301" s="624">
        <v>42840</v>
      </c>
      <c r="F301" s="846" t="s">
        <v>2694</v>
      </c>
      <c r="G301" s="624">
        <v>43021</v>
      </c>
      <c r="H301" s="530">
        <f t="shared" si="49"/>
        <v>0.49555099247091033</v>
      </c>
      <c r="I301" s="666"/>
      <c r="J301" s="667">
        <v>2017</v>
      </c>
      <c r="K301" s="667">
        <v>2017</v>
      </c>
      <c r="L301" s="613" t="s">
        <v>303</v>
      </c>
      <c r="M301" s="613">
        <f t="shared" si="46"/>
        <v>0</v>
      </c>
      <c r="N301" s="613">
        <f t="shared" si="47"/>
        <v>1</v>
      </c>
      <c r="O301" s="668"/>
      <c r="P301" s="668"/>
      <c r="Q301" s="668">
        <v>1</v>
      </c>
      <c r="R301" s="668"/>
      <c r="S301" s="668"/>
      <c r="T301" s="668"/>
      <c r="U301" s="613">
        <f t="shared" si="48"/>
        <v>1</v>
      </c>
      <c r="W301" s="613" t="str">
        <f t="shared" si="41"/>
        <v>I</v>
      </c>
      <c r="X301" s="613" t="str">
        <f t="shared" si="42"/>
        <v>I</v>
      </c>
      <c r="Y301" s="613">
        <f t="shared" si="43"/>
        <v>2017</v>
      </c>
      <c r="Z301" s="613" t="str">
        <f t="shared" si="44"/>
        <v>I</v>
      </c>
      <c r="AA301" s="613" t="str">
        <f t="shared" si="45"/>
        <v>I</v>
      </c>
      <c r="AB301" s="613" t="str">
        <f t="shared" si="45"/>
        <v>I</v>
      </c>
      <c r="AD301" s="613"/>
      <c r="AE301" s="740"/>
      <c r="AF301" s="880"/>
      <c r="AM301" s="647"/>
      <c r="AN301" s="647"/>
      <c r="AO301" s="647"/>
      <c r="AP301" s="647"/>
      <c r="AQ301" s="647"/>
    </row>
    <row r="302" spans="1:43" x14ac:dyDescent="0.2">
      <c r="A302" s="527">
        <v>300</v>
      </c>
      <c r="C302" s="666" t="s">
        <v>2437</v>
      </c>
      <c r="D302" s="624"/>
      <c r="E302" s="624">
        <v>42840</v>
      </c>
      <c r="F302" s="846" t="s">
        <v>2694</v>
      </c>
      <c r="G302" s="624">
        <v>42930</v>
      </c>
      <c r="H302" s="530">
        <f t="shared" si="49"/>
        <v>0.24640657084188911</v>
      </c>
      <c r="I302" s="666"/>
      <c r="J302" s="667">
        <v>2017</v>
      </c>
      <c r="K302" s="667">
        <v>2017</v>
      </c>
      <c r="L302" s="613" t="s">
        <v>303</v>
      </c>
      <c r="M302" s="613">
        <f t="shared" si="46"/>
        <v>0</v>
      </c>
      <c r="N302" s="613">
        <f t="shared" si="47"/>
        <v>1</v>
      </c>
      <c r="O302" s="668"/>
      <c r="P302" s="668"/>
      <c r="Q302" s="668">
        <v>1</v>
      </c>
      <c r="R302" s="668"/>
      <c r="S302" s="668"/>
      <c r="T302" s="668"/>
      <c r="U302" s="613">
        <f t="shared" si="48"/>
        <v>1</v>
      </c>
      <c r="W302" s="613" t="str">
        <f t="shared" si="41"/>
        <v>I</v>
      </c>
      <c r="X302" s="613" t="str">
        <f t="shared" si="42"/>
        <v>I</v>
      </c>
      <c r="Y302" s="613">
        <f t="shared" si="43"/>
        <v>2017</v>
      </c>
      <c r="Z302" s="613" t="str">
        <f t="shared" si="44"/>
        <v>I</v>
      </c>
      <c r="AA302" s="613" t="str">
        <f t="shared" si="45"/>
        <v>I</v>
      </c>
      <c r="AB302" s="613" t="str">
        <f t="shared" si="45"/>
        <v>I</v>
      </c>
      <c r="AD302" s="613"/>
      <c r="AE302" s="740"/>
      <c r="AF302" s="880"/>
      <c r="AM302" s="647"/>
      <c r="AN302" s="647"/>
      <c r="AO302" s="647"/>
      <c r="AP302" s="647"/>
      <c r="AQ302" s="647"/>
    </row>
    <row r="303" spans="1:43" x14ac:dyDescent="0.2">
      <c r="A303" s="527">
        <v>301</v>
      </c>
      <c r="C303" s="666" t="s">
        <v>2440</v>
      </c>
      <c r="D303" s="624"/>
      <c r="E303" s="624">
        <v>42781</v>
      </c>
      <c r="F303" s="846" t="s">
        <v>2694</v>
      </c>
      <c r="G303" s="624">
        <v>42930</v>
      </c>
      <c r="H303" s="530">
        <f t="shared" si="49"/>
        <v>0.40793976728268311</v>
      </c>
      <c r="I303" s="666"/>
      <c r="J303" s="667">
        <v>2017</v>
      </c>
      <c r="K303" s="667">
        <v>2017</v>
      </c>
      <c r="L303" s="613" t="s">
        <v>303</v>
      </c>
      <c r="M303" s="613">
        <f t="shared" si="46"/>
        <v>0</v>
      </c>
      <c r="N303" s="613">
        <f t="shared" si="47"/>
        <v>1</v>
      </c>
      <c r="O303" s="668"/>
      <c r="P303" s="668"/>
      <c r="Q303" s="668">
        <v>1</v>
      </c>
      <c r="R303" s="668"/>
      <c r="S303" s="668"/>
      <c r="T303" s="668"/>
      <c r="U303" s="613">
        <f t="shared" si="48"/>
        <v>1</v>
      </c>
      <c r="W303" s="613" t="str">
        <f t="shared" si="41"/>
        <v>I</v>
      </c>
      <c r="X303" s="613" t="str">
        <f t="shared" si="42"/>
        <v>I</v>
      </c>
      <c r="Y303" s="613">
        <f t="shared" si="43"/>
        <v>2017</v>
      </c>
      <c r="Z303" s="613" t="str">
        <f t="shared" si="44"/>
        <v>I</v>
      </c>
      <c r="AA303" s="613" t="str">
        <f t="shared" si="45"/>
        <v>I</v>
      </c>
      <c r="AB303" s="613" t="str">
        <f t="shared" si="45"/>
        <v>I</v>
      </c>
      <c r="AD303" s="613"/>
      <c r="AE303" s="740"/>
      <c r="AF303" s="644"/>
      <c r="AM303" s="647"/>
      <c r="AN303" s="647"/>
      <c r="AO303" s="647"/>
      <c r="AP303" s="647"/>
      <c r="AQ303" s="647"/>
    </row>
    <row r="304" spans="1:43" x14ac:dyDescent="0.2">
      <c r="A304" s="527">
        <v>302</v>
      </c>
      <c r="C304" s="666" t="s">
        <v>2507</v>
      </c>
      <c r="D304" s="624"/>
      <c r="E304" s="624">
        <v>42840</v>
      </c>
      <c r="F304" s="846" t="s">
        <v>2694</v>
      </c>
      <c r="G304" s="624">
        <v>43021</v>
      </c>
      <c r="H304" s="530">
        <f t="shared" si="49"/>
        <v>0.49555099247091033</v>
      </c>
      <c r="I304" s="666"/>
      <c r="J304" s="667">
        <v>2017</v>
      </c>
      <c r="K304" s="667">
        <v>2017</v>
      </c>
      <c r="L304" s="613" t="s">
        <v>303</v>
      </c>
      <c r="M304" s="613">
        <f t="shared" si="46"/>
        <v>0</v>
      </c>
      <c r="N304" s="613">
        <f t="shared" si="47"/>
        <v>1</v>
      </c>
      <c r="O304" s="668"/>
      <c r="P304" s="668"/>
      <c r="Q304" s="668">
        <v>1</v>
      </c>
      <c r="R304" s="668"/>
      <c r="S304" s="668"/>
      <c r="T304" s="668"/>
      <c r="U304" s="613">
        <f t="shared" si="48"/>
        <v>1</v>
      </c>
      <c r="W304" s="613" t="str">
        <f t="shared" si="41"/>
        <v>I</v>
      </c>
      <c r="X304" s="613" t="str">
        <f t="shared" si="42"/>
        <v>I</v>
      </c>
      <c r="Y304" s="613">
        <f t="shared" si="43"/>
        <v>2017</v>
      </c>
      <c r="Z304" s="613" t="str">
        <f t="shared" si="44"/>
        <v>I</v>
      </c>
      <c r="AA304" s="613" t="str">
        <f t="shared" si="45"/>
        <v>I</v>
      </c>
      <c r="AB304" s="613" t="str">
        <f t="shared" si="45"/>
        <v>I</v>
      </c>
      <c r="AD304" s="613"/>
      <c r="AE304" s="740"/>
      <c r="AF304" s="644"/>
      <c r="AM304" s="647"/>
      <c r="AN304" s="647"/>
      <c r="AO304" s="647"/>
      <c r="AP304" s="647"/>
      <c r="AQ304" s="647"/>
    </row>
    <row r="305" spans="1:43" x14ac:dyDescent="0.2">
      <c r="A305" s="527">
        <v>303</v>
      </c>
      <c r="C305" s="666" t="s">
        <v>2447</v>
      </c>
      <c r="D305" s="624"/>
      <c r="E305" s="624">
        <v>42870</v>
      </c>
      <c r="F305" s="846" t="s">
        <v>2694</v>
      </c>
      <c r="G305" s="624">
        <v>42962</v>
      </c>
      <c r="H305" s="530">
        <f t="shared" si="49"/>
        <v>0.2518822724161533</v>
      </c>
      <c r="I305" s="666"/>
      <c r="J305" s="667">
        <v>2017</v>
      </c>
      <c r="K305" s="667">
        <v>2017</v>
      </c>
      <c r="L305" s="613" t="s">
        <v>303</v>
      </c>
      <c r="M305" s="613">
        <f t="shared" si="46"/>
        <v>0</v>
      </c>
      <c r="N305" s="613">
        <f t="shared" si="47"/>
        <v>1</v>
      </c>
      <c r="O305" s="668"/>
      <c r="P305" s="668"/>
      <c r="Q305" s="668">
        <v>1</v>
      </c>
      <c r="R305" s="668"/>
      <c r="S305" s="668"/>
      <c r="T305" s="668"/>
      <c r="U305" s="613">
        <f t="shared" si="48"/>
        <v>1</v>
      </c>
      <c r="W305" s="613" t="str">
        <f t="shared" si="41"/>
        <v>I</v>
      </c>
      <c r="X305" s="613" t="str">
        <f t="shared" si="42"/>
        <v>I</v>
      </c>
      <c r="Y305" s="613">
        <f t="shared" si="43"/>
        <v>2017</v>
      </c>
      <c r="Z305" s="613" t="str">
        <f t="shared" si="44"/>
        <v>I</v>
      </c>
      <c r="AA305" s="613" t="str">
        <f t="shared" si="45"/>
        <v>I</v>
      </c>
      <c r="AB305" s="613" t="str">
        <f t="shared" si="45"/>
        <v>I</v>
      </c>
      <c r="AD305" s="613"/>
      <c r="AE305" s="740"/>
      <c r="AF305" s="644"/>
      <c r="AM305" s="647"/>
      <c r="AN305" s="647"/>
      <c r="AO305" s="647"/>
      <c r="AP305" s="647"/>
      <c r="AQ305" s="647"/>
    </row>
    <row r="306" spans="1:43" x14ac:dyDescent="0.2">
      <c r="A306" s="527">
        <v>304</v>
      </c>
      <c r="C306" s="666" t="s">
        <v>2493</v>
      </c>
      <c r="D306" s="624"/>
      <c r="E306" s="882">
        <v>42840</v>
      </c>
      <c r="F306" s="846" t="s">
        <v>316</v>
      </c>
      <c r="G306" s="624">
        <v>42989</v>
      </c>
      <c r="H306" s="530">
        <f t="shared" ref="H306:H337" si="50">(G306-MAX(D306:E306))/365.25</f>
        <v>0.40793976728268311</v>
      </c>
      <c r="I306" s="666"/>
      <c r="J306" s="667">
        <v>2017</v>
      </c>
      <c r="K306" s="667">
        <v>2017</v>
      </c>
      <c r="L306" s="613" t="s">
        <v>303</v>
      </c>
      <c r="M306" s="613">
        <f t="shared" si="46"/>
        <v>0</v>
      </c>
      <c r="N306" s="613">
        <f t="shared" si="47"/>
        <v>1</v>
      </c>
      <c r="O306" s="668"/>
      <c r="P306" s="668"/>
      <c r="Q306" s="668">
        <v>1</v>
      </c>
      <c r="R306" s="668"/>
      <c r="S306" s="668"/>
      <c r="T306" s="668"/>
      <c r="U306" s="613">
        <f t="shared" si="48"/>
        <v>1</v>
      </c>
      <c r="W306" s="613" t="str">
        <f t="shared" si="41"/>
        <v>I</v>
      </c>
      <c r="X306" s="613" t="str">
        <f t="shared" si="42"/>
        <v>I</v>
      </c>
      <c r="Y306" s="613">
        <f t="shared" si="43"/>
        <v>2017</v>
      </c>
      <c r="Z306" s="613" t="str">
        <f t="shared" si="44"/>
        <v>I</v>
      </c>
      <c r="AA306" s="613" t="str">
        <f t="shared" si="45"/>
        <v>I</v>
      </c>
      <c r="AB306" s="613" t="str">
        <f t="shared" si="45"/>
        <v>I</v>
      </c>
      <c r="AD306" s="613"/>
      <c r="AE306" s="740"/>
      <c r="AF306" s="880"/>
      <c r="AM306" s="647"/>
      <c r="AN306" s="647"/>
      <c r="AO306" s="647"/>
      <c r="AP306" s="647"/>
      <c r="AQ306" s="647"/>
    </row>
    <row r="307" spans="1:43" x14ac:dyDescent="0.2">
      <c r="A307" s="527">
        <v>305</v>
      </c>
      <c r="C307" s="666" t="s">
        <v>2496</v>
      </c>
      <c r="D307" s="624"/>
      <c r="E307" s="882">
        <v>42840</v>
      </c>
      <c r="F307" s="846" t="s">
        <v>316</v>
      </c>
      <c r="G307" s="624">
        <v>42989</v>
      </c>
      <c r="H307" s="530">
        <f t="shared" si="50"/>
        <v>0.40793976728268311</v>
      </c>
      <c r="I307" s="666"/>
      <c r="J307" s="667">
        <v>2017</v>
      </c>
      <c r="K307" s="667">
        <v>2017</v>
      </c>
      <c r="L307" s="613" t="s">
        <v>303</v>
      </c>
      <c r="M307" s="613">
        <f t="shared" si="46"/>
        <v>0</v>
      </c>
      <c r="N307" s="613">
        <f t="shared" si="47"/>
        <v>1</v>
      </c>
      <c r="O307" s="668"/>
      <c r="P307" s="668"/>
      <c r="Q307" s="668">
        <v>1</v>
      </c>
      <c r="R307" s="668"/>
      <c r="S307" s="668"/>
      <c r="T307" s="668"/>
      <c r="U307" s="613">
        <f t="shared" si="48"/>
        <v>1</v>
      </c>
      <c r="W307" s="613" t="str">
        <f t="shared" si="41"/>
        <v>I</v>
      </c>
      <c r="X307" s="613" t="str">
        <f t="shared" si="42"/>
        <v>I</v>
      </c>
      <c r="Y307" s="613">
        <f t="shared" si="43"/>
        <v>2017</v>
      </c>
      <c r="Z307" s="613" t="str">
        <f t="shared" si="44"/>
        <v>I</v>
      </c>
      <c r="AA307" s="613" t="str">
        <f t="shared" si="45"/>
        <v>I</v>
      </c>
      <c r="AB307" s="613" t="str">
        <f t="shared" si="45"/>
        <v>I</v>
      </c>
      <c r="AD307" s="726"/>
      <c r="AE307" s="740"/>
      <c r="AF307" s="880"/>
      <c r="AM307" s="647"/>
      <c r="AN307" s="647"/>
      <c r="AO307" s="647"/>
      <c r="AP307" s="647"/>
      <c r="AQ307" s="647"/>
    </row>
    <row r="308" spans="1:43" x14ac:dyDescent="0.2">
      <c r="A308" s="527">
        <v>306</v>
      </c>
      <c r="C308" s="666" t="s">
        <v>2491</v>
      </c>
      <c r="D308" s="624"/>
      <c r="E308" s="624">
        <v>42931</v>
      </c>
      <c r="F308" s="846" t="s">
        <v>2694</v>
      </c>
      <c r="G308" s="624">
        <v>43021</v>
      </c>
      <c r="H308" s="530">
        <f t="shared" si="50"/>
        <v>0.24640657084188911</v>
      </c>
      <c r="I308" s="666"/>
      <c r="J308" s="667">
        <v>2017</v>
      </c>
      <c r="K308" s="667">
        <v>2017</v>
      </c>
      <c r="L308" s="613" t="s">
        <v>303</v>
      </c>
      <c r="M308" s="613">
        <f t="shared" si="46"/>
        <v>0</v>
      </c>
      <c r="N308" s="613">
        <f t="shared" si="47"/>
        <v>1</v>
      </c>
      <c r="O308" s="668"/>
      <c r="P308" s="668"/>
      <c r="Q308" s="668">
        <v>1</v>
      </c>
      <c r="R308" s="668"/>
      <c r="S308" s="668"/>
      <c r="T308" s="668"/>
      <c r="U308" s="613">
        <f t="shared" si="48"/>
        <v>1</v>
      </c>
      <c r="W308" s="613" t="str">
        <f t="shared" si="41"/>
        <v>I</v>
      </c>
      <c r="X308" s="613" t="str">
        <f t="shared" si="42"/>
        <v>I</v>
      </c>
      <c r="Y308" s="613">
        <f t="shared" si="43"/>
        <v>2017</v>
      </c>
      <c r="Z308" s="613" t="str">
        <f t="shared" si="44"/>
        <v>I</v>
      </c>
      <c r="AA308" s="613" t="str">
        <f t="shared" si="45"/>
        <v>I</v>
      </c>
      <c r="AB308" s="613" t="str">
        <f t="shared" si="45"/>
        <v>I</v>
      </c>
      <c r="AD308" s="613"/>
      <c r="AE308" s="740"/>
      <c r="AF308" s="880"/>
      <c r="AM308" s="647"/>
      <c r="AN308" s="647"/>
      <c r="AO308" s="647"/>
      <c r="AP308" s="647"/>
      <c r="AQ308" s="647"/>
    </row>
    <row r="309" spans="1:43" x14ac:dyDescent="0.2">
      <c r="A309" s="527">
        <v>307</v>
      </c>
      <c r="C309" s="666" t="s">
        <v>2508</v>
      </c>
      <c r="D309" s="624"/>
      <c r="E309" s="882">
        <v>42870</v>
      </c>
      <c r="F309" s="846" t="s">
        <v>316</v>
      </c>
      <c r="G309" s="624">
        <v>43021</v>
      </c>
      <c r="H309" s="530">
        <f t="shared" si="50"/>
        <v>0.4134154688569473</v>
      </c>
      <c r="I309" s="666"/>
      <c r="J309" s="667">
        <v>2017</v>
      </c>
      <c r="K309" s="667">
        <v>2017</v>
      </c>
      <c r="L309" s="613" t="s">
        <v>303</v>
      </c>
      <c r="M309" s="613">
        <f t="shared" si="46"/>
        <v>0</v>
      </c>
      <c r="N309" s="613">
        <f t="shared" si="47"/>
        <v>1</v>
      </c>
      <c r="O309" s="668"/>
      <c r="P309" s="668"/>
      <c r="Q309" s="668">
        <v>1</v>
      </c>
      <c r="R309" s="668"/>
      <c r="S309" s="668"/>
      <c r="T309" s="668"/>
      <c r="U309" s="613">
        <f t="shared" si="48"/>
        <v>1</v>
      </c>
      <c r="W309" s="613" t="str">
        <f t="shared" si="41"/>
        <v>I</v>
      </c>
      <c r="X309" s="613" t="str">
        <f t="shared" si="42"/>
        <v>I</v>
      </c>
      <c r="Y309" s="613">
        <f t="shared" si="43"/>
        <v>2017</v>
      </c>
      <c r="Z309" s="613" t="str">
        <f t="shared" si="44"/>
        <v>I</v>
      </c>
      <c r="AA309" s="613" t="str">
        <f t="shared" si="45"/>
        <v>I</v>
      </c>
      <c r="AB309" s="613" t="str">
        <f t="shared" si="45"/>
        <v>I</v>
      </c>
      <c r="AD309" s="613"/>
      <c r="AE309" s="740"/>
      <c r="AF309" s="880"/>
      <c r="AM309" s="647"/>
      <c r="AN309" s="647"/>
      <c r="AO309" s="647"/>
      <c r="AP309" s="647"/>
      <c r="AQ309" s="647"/>
    </row>
    <row r="310" spans="1:43" x14ac:dyDescent="0.2">
      <c r="A310" s="527">
        <v>308</v>
      </c>
      <c r="C310" s="666" t="s">
        <v>2509</v>
      </c>
      <c r="D310" s="624"/>
      <c r="E310" s="624">
        <v>42536</v>
      </c>
      <c r="F310" s="846" t="s">
        <v>2694</v>
      </c>
      <c r="G310" s="624">
        <v>43021</v>
      </c>
      <c r="H310" s="530">
        <f t="shared" si="50"/>
        <v>1.3278576317590691</v>
      </c>
      <c r="I310" s="666"/>
      <c r="J310" s="667">
        <v>2016</v>
      </c>
      <c r="K310" s="667">
        <v>2017</v>
      </c>
      <c r="L310" s="613" t="s">
        <v>303</v>
      </c>
      <c r="M310" s="613">
        <f t="shared" si="46"/>
        <v>0</v>
      </c>
      <c r="N310" s="613">
        <f t="shared" si="47"/>
        <v>1</v>
      </c>
      <c r="O310" s="668"/>
      <c r="P310" s="668"/>
      <c r="Q310" s="668">
        <v>1</v>
      </c>
      <c r="R310" s="668"/>
      <c r="S310" s="668"/>
      <c r="T310" s="668"/>
      <c r="U310" s="613">
        <f t="shared" si="48"/>
        <v>1</v>
      </c>
      <c r="W310" s="613" t="str">
        <f t="shared" si="41"/>
        <v>I</v>
      </c>
      <c r="X310" s="613" t="str">
        <f t="shared" si="42"/>
        <v>I</v>
      </c>
      <c r="Y310" s="613">
        <f t="shared" si="43"/>
        <v>2016</v>
      </c>
      <c r="Z310" s="613" t="str">
        <f t="shared" si="44"/>
        <v>I</v>
      </c>
      <c r="AA310" s="613" t="str">
        <f t="shared" si="45"/>
        <v>I</v>
      </c>
      <c r="AB310" s="613" t="str">
        <f t="shared" si="45"/>
        <v>I</v>
      </c>
      <c r="AD310" s="726"/>
      <c r="AE310" s="740"/>
      <c r="AF310" s="880"/>
      <c r="AM310" s="647"/>
      <c r="AN310" s="647"/>
      <c r="AO310" s="647"/>
      <c r="AP310" s="647"/>
      <c r="AQ310" s="647"/>
    </row>
    <row r="311" spans="1:43" x14ac:dyDescent="0.2">
      <c r="A311" s="527">
        <v>309</v>
      </c>
      <c r="C311" s="666" t="s">
        <v>2513</v>
      </c>
      <c r="D311" s="624"/>
      <c r="E311" s="624">
        <v>42901</v>
      </c>
      <c r="F311" s="846" t="s">
        <v>2694</v>
      </c>
      <c r="G311" s="624">
        <v>43038</v>
      </c>
      <c r="H311" s="530">
        <f t="shared" si="50"/>
        <v>0.3750855578370979</v>
      </c>
      <c r="I311" s="666"/>
      <c r="J311" s="667">
        <v>2017</v>
      </c>
      <c r="K311" s="667">
        <v>2017</v>
      </c>
      <c r="L311" s="613" t="s">
        <v>303</v>
      </c>
      <c r="M311" s="613">
        <f t="shared" si="46"/>
        <v>0</v>
      </c>
      <c r="N311" s="613">
        <f t="shared" si="47"/>
        <v>1</v>
      </c>
      <c r="O311" s="668"/>
      <c r="P311" s="668"/>
      <c r="Q311" s="668">
        <v>1</v>
      </c>
      <c r="R311" s="668"/>
      <c r="S311" s="668"/>
      <c r="T311" s="668"/>
      <c r="U311" s="613">
        <f t="shared" si="48"/>
        <v>1</v>
      </c>
      <c r="W311" s="613" t="str">
        <f t="shared" si="41"/>
        <v>I</v>
      </c>
      <c r="X311" s="613" t="str">
        <f t="shared" si="42"/>
        <v>I</v>
      </c>
      <c r="Y311" s="613">
        <f t="shared" si="43"/>
        <v>2017</v>
      </c>
      <c r="Z311" s="613" t="str">
        <f t="shared" si="44"/>
        <v>I</v>
      </c>
      <c r="AA311" s="613" t="str">
        <f t="shared" si="45"/>
        <v>I</v>
      </c>
      <c r="AB311" s="613" t="str">
        <f t="shared" si="45"/>
        <v>I</v>
      </c>
      <c r="AD311" s="726"/>
      <c r="AE311" s="740"/>
      <c r="AF311" s="880"/>
      <c r="AM311" s="647"/>
      <c r="AN311" s="647"/>
      <c r="AO311" s="647"/>
      <c r="AP311" s="647"/>
      <c r="AQ311" s="647"/>
    </row>
    <row r="312" spans="1:43" x14ac:dyDescent="0.2">
      <c r="A312" s="527">
        <v>310</v>
      </c>
      <c r="C312" s="666" t="s">
        <v>2521</v>
      </c>
      <c r="D312" s="883">
        <v>42809</v>
      </c>
      <c r="E312" s="624"/>
      <c r="F312" s="844" t="s">
        <v>2694</v>
      </c>
      <c r="G312" s="624">
        <v>43054</v>
      </c>
      <c r="H312" s="530">
        <f t="shared" si="50"/>
        <v>0.67077344284736484</v>
      </c>
      <c r="I312" s="666"/>
      <c r="J312" s="667">
        <v>2017</v>
      </c>
      <c r="K312" s="667">
        <v>2017</v>
      </c>
      <c r="L312" s="613" t="s">
        <v>336</v>
      </c>
      <c r="M312" s="613">
        <f t="shared" si="46"/>
        <v>1</v>
      </c>
      <c r="N312" s="613">
        <f t="shared" si="47"/>
        <v>0</v>
      </c>
      <c r="O312" s="668"/>
      <c r="P312" s="668"/>
      <c r="Q312" s="668">
        <v>1</v>
      </c>
      <c r="R312" s="668"/>
      <c r="S312" s="668"/>
      <c r="T312" s="668"/>
      <c r="U312" s="613">
        <f t="shared" si="48"/>
        <v>1</v>
      </c>
      <c r="W312" s="613" t="str">
        <f t="shared" si="41"/>
        <v>I</v>
      </c>
      <c r="X312" s="613" t="str">
        <f t="shared" si="42"/>
        <v>I</v>
      </c>
      <c r="Y312" s="613">
        <f t="shared" si="43"/>
        <v>2017</v>
      </c>
      <c r="Z312" s="613" t="str">
        <f t="shared" si="44"/>
        <v>I</v>
      </c>
      <c r="AA312" s="613" t="str">
        <f t="shared" si="45"/>
        <v>I</v>
      </c>
      <c r="AB312" s="613" t="str">
        <f t="shared" si="45"/>
        <v>I</v>
      </c>
      <c r="AD312" s="726"/>
      <c r="AE312" s="740"/>
      <c r="AF312" s="880"/>
      <c r="AM312" s="647"/>
      <c r="AN312" s="647"/>
      <c r="AO312" s="647"/>
      <c r="AP312" s="647"/>
      <c r="AQ312" s="647"/>
    </row>
    <row r="313" spans="1:43" x14ac:dyDescent="0.2">
      <c r="A313" s="527">
        <v>311</v>
      </c>
      <c r="C313" s="666" t="s">
        <v>2522</v>
      </c>
      <c r="D313" s="624"/>
      <c r="E313" s="624">
        <v>42865</v>
      </c>
      <c r="F313" s="846" t="s">
        <v>2167</v>
      </c>
      <c r="G313" s="624">
        <v>43054</v>
      </c>
      <c r="H313" s="530">
        <f t="shared" si="50"/>
        <v>0.51745379876796715</v>
      </c>
      <c r="I313" s="666"/>
      <c r="J313" s="667">
        <v>2017</v>
      </c>
      <c r="K313" s="667">
        <v>2017</v>
      </c>
      <c r="L313" s="613" t="s">
        <v>303</v>
      </c>
      <c r="M313" s="613">
        <f t="shared" si="46"/>
        <v>0</v>
      </c>
      <c r="N313" s="613">
        <f t="shared" si="47"/>
        <v>1</v>
      </c>
      <c r="O313" s="668"/>
      <c r="P313" s="668"/>
      <c r="Q313" s="668">
        <v>1</v>
      </c>
      <c r="R313" s="668"/>
      <c r="S313" s="668"/>
      <c r="T313" s="668"/>
      <c r="U313" s="613">
        <f t="shared" si="48"/>
        <v>1</v>
      </c>
      <c r="W313" s="613" t="str">
        <f t="shared" si="41"/>
        <v>I</v>
      </c>
      <c r="X313" s="613" t="str">
        <f t="shared" si="42"/>
        <v>I</v>
      </c>
      <c r="Y313" s="613">
        <f t="shared" si="43"/>
        <v>2017</v>
      </c>
      <c r="Z313" s="613" t="str">
        <f t="shared" si="44"/>
        <v>I</v>
      </c>
      <c r="AA313" s="613" t="str">
        <f t="shared" si="45"/>
        <v>I</v>
      </c>
      <c r="AB313" s="613" t="str">
        <f t="shared" si="45"/>
        <v>I</v>
      </c>
      <c r="AD313" s="726"/>
      <c r="AE313" s="740"/>
      <c r="AF313" s="880"/>
      <c r="AM313" s="647"/>
      <c r="AN313" s="647"/>
      <c r="AO313" s="647"/>
      <c r="AP313" s="647"/>
      <c r="AQ313" s="647"/>
    </row>
    <row r="314" spans="1:43" x14ac:dyDescent="0.2">
      <c r="A314" s="527">
        <v>312</v>
      </c>
      <c r="C314" s="666" t="s">
        <v>2523</v>
      </c>
      <c r="D314" s="624"/>
      <c r="E314" s="624">
        <v>42993</v>
      </c>
      <c r="F314" s="846" t="s">
        <v>2694</v>
      </c>
      <c r="G314" s="624">
        <v>43060</v>
      </c>
      <c r="H314" s="530">
        <f t="shared" si="50"/>
        <v>0.1834360027378508</v>
      </c>
      <c r="I314" s="666"/>
      <c r="J314" s="667">
        <v>2017</v>
      </c>
      <c r="K314" s="667">
        <v>2017</v>
      </c>
      <c r="L314" s="613" t="s">
        <v>303</v>
      </c>
      <c r="M314" s="613">
        <f t="shared" si="46"/>
        <v>0</v>
      </c>
      <c r="N314" s="613">
        <f t="shared" si="47"/>
        <v>1</v>
      </c>
      <c r="O314" s="668"/>
      <c r="P314" s="668"/>
      <c r="Q314" s="668">
        <v>1</v>
      </c>
      <c r="R314" s="668"/>
      <c r="S314" s="668"/>
      <c r="T314" s="668"/>
      <c r="U314" s="613">
        <f t="shared" si="48"/>
        <v>1</v>
      </c>
      <c r="W314" s="613" t="str">
        <f t="shared" si="41"/>
        <v>I</v>
      </c>
      <c r="X314" s="613" t="str">
        <f t="shared" si="42"/>
        <v>I</v>
      </c>
      <c r="Y314" s="613">
        <f t="shared" si="43"/>
        <v>2017</v>
      </c>
      <c r="Z314" s="613" t="str">
        <f t="shared" si="44"/>
        <v>I</v>
      </c>
      <c r="AA314" s="613" t="str">
        <f t="shared" si="45"/>
        <v>I</v>
      </c>
      <c r="AB314" s="613" t="str">
        <f t="shared" si="45"/>
        <v>I</v>
      </c>
      <c r="AD314" s="613"/>
      <c r="AE314" s="740"/>
      <c r="AF314" s="880"/>
      <c r="AM314" s="647"/>
      <c r="AN314" s="647"/>
      <c r="AO314" s="647"/>
      <c r="AP314" s="647"/>
      <c r="AQ314" s="647"/>
    </row>
    <row r="315" spans="1:43" x14ac:dyDescent="0.2">
      <c r="A315" s="527">
        <v>313</v>
      </c>
      <c r="C315" s="666" t="s">
        <v>2528</v>
      </c>
      <c r="D315" s="624"/>
      <c r="E315" s="882">
        <v>42901</v>
      </c>
      <c r="F315" s="846" t="s">
        <v>316</v>
      </c>
      <c r="G315" s="624">
        <v>43075</v>
      </c>
      <c r="H315" s="530">
        <f t="shared" si="50"/>
        <v>0.47638603696098564</v>
      </c>
      <c r="I315" s="666"/>
      <c r="J315" s="667">
        <v>2017</v>
      </c>
      <c r="K315" s="667">
        <v>2017</v>
      </c>
      <c r="L315" s="613" t="s">
        <v>303</v>
      </c>
      <c r="M315" s="613">
        <f t="shared" si="46"/>
        <v>0</v>
      </c>
      <c r="N315" s="613">
        <f t="shared" si="47"/>
        <v>1</v>
      </c>
      <c r="O315" s="668"/>
      <c r="P315" s="668"/>
      <c r="Q315" s="668">
        <v>1</v>
      </c>
      <c r="R315" s="668"/>
      <c r="S315" s="668"/>
      <c r="T315" s="668"/>
      <c r="U315" s="613">
        <f t="shared" si="48"/>
        <v>1</v>
      </c>
      <c r="W315" s="613" t="str">
        <f t="shared" si="41"/>
        <v>I</v>
      </c>
      <c r="X315" s="613" t="str">
        <f t="shared" si="42"/>
        <v>I</v>
      </c>
      <c r="Y315" s="613">
        <f t="shared" si="43"/>
        <v>2017</v>
      </c>
      <c r="Z315" s="613" t="str">
        <f t="shared" si="44"/>
        <v>I</v>
      </c>
      <c r="AA315" s="613" t="str">
        <f t="shared" si="45"/>
        <v>I</v>
      </c>
      <c r="AB315" s="613" t="str">
        <f t="shared" si="45"/>
        <v>I</v>
      </c>
      <c r="AD315" s="726"/>
      <c r="AE315" s="740"/>
      <c r="AF315" s="880"/>
      <c r="AM315" s="647"/>
      <c r="AN315" s="647"/>
      <c r="AO315" s="647"/>
      <c r="AP315" s="647"/>
      <c r="AQ315" s="647"/>
    </row>
    <row r="316" spans="1:43" x14ac:dyDescent="0.2">
      <c r="A316" s="527">
        <v>314</v>
      </c>
      <c r="C316" s="666" t="s">
        <v>2529</v>
      </c>
      <c r="D316" s="624"/>
      <c r="E316" s="882">
        <v>42901</v>
      </c>
      <c r="F316" s="846" t="s">
        <v>316</v>
      </c>
      <c r="G316" s="624">
        <v>43075</v>
      </c>
      <c r="H316" s="530">
        <f t="shared" si="50"/>
        <v>0.47638603696098564</v>
      </c>
      <c r="I316" s="666"/>
      <c r="J316" s="667">
        <v>2017</v>
      </c>
      <c r="K316" s="667">
        <v>2017</v>
      </c>
      <c r="L316" s="613" t="s">
        <v>303</v>
      </c>
      <c r="M316" s="613">
        <f t="shared" si="46"/>
        <v>0</v>
      </c>
      <c r="N316" s="613">
        <f t="shared" si="47"/>
        <v>1</v>
      </c>
      <c r="O316" s="668"/>
      <c r="P316" s="668"/>
      <c r="Q316" s="668">
        <v>1</v>
      </c>
      <c r="R316" s="668"/>
      <c r="S316" s="668"/>
      <c r="T316" s="668"/>
      <c r="U316" s="613">
        <f t="shared" si="48"/>
        <v>1</v>
      </c>
      <c r="W316" s="613" t="str">
        <f t="shared" si="41"/>
        <v>I</v>
      </c>
      <c r="X316" s="613" t="str">
        <f t="shared" si="42"/>
        <v>I</v>
      </c>
      <c r="Y316" s="613">
        <f t="shared" si="43"/>
        <v>2017</v>
      </c>
      <c r="Z316" s="613" t="str">
        <f t="shared" si="44"/>
        <v>I</v>
      </c>
      <c r="AA316" s="613" t="str">
        <f t="shared" si="45"/>
        <v>I</v>
      </c>
      <c r="AB316" s="613" t="str">
        <f t="shared" si="45"/>
        <v>I</v>
      </c>
      <c r="AD316" s="726"/>
      <c r="AE316" s="740"/>
      <c r="AF316" s="880"/>
      <c r="AM316" s="647"/>
      <c r="AN316" s="647"/>
      <c r="AO316" s="647"/>
      <c r="AP316" s="647"/>
      <c r="AQ316" s="647"/>
    </row>
    <row r="317" spans="1:43" x14ac:dyDescent="0.2">
      <c r="A317" s="527">
        <v>315</v>
      </c>
      <c r="C317" s="666" t="s">
        <v>2530</v>
      </c>
      <c r="D317" s="624"/>
      <c r="E317" s="882">
        <v>42901</v>
      </c>
      <c r="F317" s="846" t="s">
        <v>316</v>
      </c>
      <c r="G317" s="624">
        <v>43075</v>
      </c>
      <c r="H317" s="530">
        <f t="shared" si="50"/>
        <v>0.47638603696098564</v>
      </c>
      <c r="I317" s="666"/>
      <c r="J317" s="667">
        <v>2017</v>
      </c>
      <c r="K317" s="667">
        <v>2017</v>
      </c>
      <c r="L317" s="613" t="s">
        <v>303</v>
      </c>
      <c r="M317" s="613">
        <f t="shared" si="46"/>
        <v>0</v>
      </c>
      <c r="N317" s="613">
        <f t="shared" si="47"/>
        <v>1</v>
      </c>
      <c r="O317" s="668"/>
      <c r="P317" s="668"/>
      <c r="Q317" s="668">
        <v>1</v>
      </c>
      <c r="R317" s="668"/>
      <c r="S317" s="668"/>
      <c r="T317" s="668"/>
      <c r="U317" s="613">
        <f t="shared" si="48"/>
        <v>1</v>
      </c>
      <c r="W317" s="613" t="str">
        <f t="shared" si="41"/>
        <v>I</v>
      </c>
      <c r="X317" s="613" t="str">
        <f t="shared" si="42"/>
        <v>I</v>
      </c>
      <c r="Y317" s="613">
        <f t="shared" si="43"/>
        <v>2017</v>
      </c>
      <c r="Z317" s="613" t="str">
        <f t="shared" si="44"/>
        <v>I</v>
      </c>
      <c r="AA317" s="613" t="str">
        <f t="shared" si="45"/>
        <v>I</v>
      </c>
      <c r="AB317" s="613" t="str">
        <f t="shared" si="45"/>
        <v>I</v>
      </c>
      <c r="AD317" s="726"/>
      <c r="AE317" s="740"/>
      <c r="AF317" s="880"/>
      <c r="AM317" s="647"/>
      <c r="AN317" s="647"/>
      <c r="AO317" s="647"/>
      <c r="AP317" s="647"/>
      <c r="AQ317" s="647"/>
    </row>
    <row r="318" spans="1:43" x14ac:dyDescent="0.2">
      <c r="A318" s="527">
        <v>316</v>
      </c>
      <c r="C318" s="666" t="s">
        <v>2538</v>
      </c>
      <c r="D318" s="624"/>
      <c r="E318" s="882">
        <v>42901</v>
      </c>
      <c r="F318" s="846" t="s">
        <v>316</v>
      </c>
      <c r="G318" s="624">
        <v>43087</v>
      </c>
      <c r="H318" s="530">
        <f t="shared" si="50"/>
        <v>0.50924024640657084</v>
      </c>
      <c r="I318" s="666"/>
      <c r="J318" s="667">
        <v>2017</v>
      </c>
      <c r="K318" s="667">
        <v>2017</v>
      </c>
      <c r="L318" s="613" t="s">
        <v>303</v>
      </c>
      <c r="M318" s="613">
        <f t="shared" si="46"/>
        <v>0</v>
      </c>
      <c r="N318" s="613">
        <f t="shared" si="47"/>
        <v>1</v>
      </c>
      <c r="O318" s="668"/>
      <c r="P318" s="668"/>
      <c r="Q318" s="668">
        <v>1</v>
      </c>
      <c r="R318" s="668"/>
      <c r="S318" s="668"/>
      <c r="T318" s="668"/>
      <c r="U318" s="613">
        <f t="shared" si="48"/>
        <v>1</v>
      </c>
      <c r="W318" s="613" t="str">
        <f t="shared" si="41"/>
        <v>I</v>
      </c>
      <c r="X318" s="613" t="str">
        <f t="shared" si="42"/>
        <v>I</v>
      </c>
      <c r="Y318" s="613">
        <f t="shared" si="43"/>
        <v>2017</v>
      </c>
      <c r="Z318" s="613" t="str">
        <f t="shared" si="44"/>
        <v>I</v>
      </c>
      <c r="AA318" s="613" t="str">
        <f t="shared" si="45"/>
        <v>I</v>
      </c>
      <c r="AB318" s="613" t="str">
        <f t="shared" si="45"/>
        <v>I</v>
      </c>
      <c r="AD318" s="726"/>
      <c r="AE318" s="740"/>
      <c r="AF318" s="880"/>
      <c r="AM318" s="647"/>
      <c r="AN318" s="647"/>
      <c r="AO318" s="647"/>
      <c r="AP318" s="647"/>
      <c r="AQ318" s="647"/>
    </row>
    <row r="319" spans="1:43" x14ac:dyDescent="0.2">
      <c r="A319" s="527">
        <v>317</v>
      </c>
      <c r="C319" s="666" t="s">
        <v>2280</v>
      </c>
      <c r="D319" s="624">
        <v>42597</v>
      </c>
      <c r="E319" s="624"/>
      <c r="F319" s="844" t="s">
        <v>2694</v>
      </c>
      <c r="G319" s="624">
        <v>42780</v>
      </c>
      <c r="H319" s="530">
        <f t="shared" si="50"/>
        <v>0.50102669404517453</v>
      </c>
      <c r="I319" s="666"/>
      <c r="J319" s="667">
        <v>2016</v>
      </c>
      <c r="K319" s="667">
        <v>2017</v>
      </c>
      <c r="L319" s="613" t="s">
        <v>336</v>
      </c>
      <c r="M319" s="613">
        <f t="shared" si="46"/>
        <v>1</v>
      </c>
      <c r="N319" s="613">
        <f t="shared" si="47"/>
        <v>0</v>
      </c>
      <c r="O319" s="668"/>
      <c r="P319" s="668"/>
      <c r="Q319" s="668">
        <v>1</v>
      </c>
      <c r="R319" s="668"/>
      <c r="S319" s="668"/>
      <c r="T319" s="668"/>
      <c r="U319" s="613">
        <f t="shared" si="48"/>
        <v>1</v>
      </c>
      <c r="W319" s="613" t="str">
        <f t="shared" si="41"/>
        <v>I</v>
      </c>
      <c r="X319" s="613" t="str">
        <f t="shared" si="42"/>
        <v>I</v>
      </c>
      <c r="Y319" s="613">
        <f t="shared" si="43"/>
        <v>2016</v>
      </c>
      <c r="Z319" s="613" t="str">
        <f t="shared" si="44"/>
        <v>I</v>
      </c>
      <c r="AA319" s="613" t="str">
        <f t="shared" si="45"/>
        <v>I</v>
      </c>
      <c r="AB319" s="613" t="str">
        <f t="shared" si="45"/>
        <v>I</v>
      </c>
      <c r="AD319" s="613"/>
      <c r="AE319" s="740"/>
      <c r="AF319" s="880"/>
      <c r="AM319" s="647"/>
      <c r="AN319" s="647"/>
      <c r="AO319" s="647"/>
      <c r="AP319" s="647"/>
      <c r="AQ319" s="647"/>
    </row>
    <row r="320" spans="1:43" x14ac:dyDescent="0.2">
      <c r="A320" s="527">
        <v>318</v>
      </c>
      <c r="C320" s="666" t="s">
        <v>2395</v>
      </c>
      <c r="D320" s="624">
        <v>42658</v>
      </c>
      <c r="E320" s="624"/>
      <c r="F320" s="844" t="s">
        <v>2694</v>
      </c>
      <c r="G320" s="624">
        <v>42797</v>
      </c>
      <c r="H320" s="530">
        <f t="shared" si="50"/>
        <v>0.3805612594113621</v>
      </c>
      <c r="I320" s="666"/>
      <c r="J320" s="667">
        <v>2016</v>
      </c>
      <c r="K320" s="667">
        <v>2017</v>
      </c>
      <c r="L320" s="613" t="s">
        <v>336</v>
      </c>
      <c r="M320" s="613">
        <f t="shared" si="46"/>
        <v>1</v>
      </c>
      <c r="N320" s="613">
        <f t="shared" si="47"/>
        <v>0</v>
      </c>
      <c r="O320" s="668"/>
      <c r="P320" s="668"/>
      <c r="Q320" s="668">
        <v>1</v>
      </c>
      <c r="R320" s="668"/>
      <c r="S320" s="668"/>
      <c r="T320" s="668"/>
      <c r="U320" s="613">
        <f t="shared" si="48"/>
        <v>1</v>
      </c>
      <c r="W320" s="613" t="str">
        <f t="shared" si="41"/>
        <v>I</v>
      </c>
      <c r="X320" s="613" t="str">
        <f t="shared" si="42"/>
        <v>I</v>
      </c>
      <c r="Y320" s="613">
        <f t="shared" si="43"/>
        <v>2016</v>
      </c>
      <c r="Z320" s="613" t="str">
        <f t="shared" si="44"/>
        <v>I</v>
      </c>
      <c r="AA320" s="613" t="str">
        <f t="shared" si="45"/>
        <v>I</v>
      </c>
      <c r="AB320" s="613" t="str">
        <f t="shared" si="45"/>
        <v>I</v>
      </c>
      <c r="AD320" s="613"/>
      <c r="AE320" s="740"/>
      <c r="AF320" s="880"/>
      <c r="AM320" s="647"/>
      <c r="AN320" s="647"/>
      <c r="AO320" s="647"/>
      <c r="AP320" s="647"/>
      <c r="AQ320" s="647"/>
    </row>
    <row r="321" spans="1:43" x14ac:dyDescent="0.2">
      <c r="A321" s="527">
        <v>319</v>
      </c>
      <c r="C321" s="666" t="s">
        <v>2416</v>
      </c>
      <c r="D321" s="624">
        <v>42597</v>
      </c>
      <c r="E321" s="624"/>
      <c r="F321" s="844" t="s">
        <v>2694</v>
      </c>
      <c r="G321" s="624">
        <v>42851</v>
      </c>
      <c r="H321" s="530">
        <f t="shared" si="50"/>
        <v>0.69541409993155368</v>
      </c>
      <c r="I321" s="666"/>
      <c r="J321" s="667">
        <v>2016</v>
      </c>
      <c r="K321" s="667">
        <v>2017</v>
      </c>
      <c r="L321" s="613" t="s">
        <v>336</v>
      </c>
      <c r="M321" s="613">
        <f t="shared" si="46"/>
        <v>1</v>
      </c>
      <c r="N321" s="613">
        <f t="shared" si="47"/>
        <v>0</v>
      </c>
      <c r="O321" s="668"/>
      <c r="P321" s="668"/>
      <c r="Q321" s="668">
        <v>1</v>
      </c>
      <c r="R321" s="668"/>
      <c r="S321" s="668"/>
      <c r="T321" s="668"/>
      <c r="U321" s="613">
        <f t="shared" si="48"/>
        <v>1</v>
      </c>
      <c r="W321" s="613" t="str">
        <f t="shared" si="41"/>
        <v>I</v>
      </c>
      <c r="X321" s="613" t="str">
        <f t="shared" si="42"/>
        <v>I</v>
      </c>
      <c r="Y321" s="613">
        <f t="shared" si="43"/>
        <v>2016</v>
      </c>
      <c r="Z321" s="613" t="str">
        <f t="shared" si="44"/>
        <v>I</v>
      </c>
      <c r="AA321" s="613" t="str">
        <f t="shared" si="45"/>
        <v>I</v>
      </c>
      <c r="AB321" s="613" t="str">
        <f t="shared" si="45"/>
        <v>I</v>
      </c>
      <c r="AD321" s="726"/>
      <c r="AE321" s="740"/>
      <c r="AF321" s="880"/>
      <c r="AM321" s="647"/>
      <c r="AN321" s="647"/>
      <c r="AO321" s="647"/>
      <c r="AP321" s="647"/>
      <c r="AQ321" s="647"/>
    </row>
    <row r="322" spans="1:43" x14ac:dyDescent="0.2">
      <c r="A322" s="527">
        <v>320</v>
      </c>
      <c r="C322" s="666" t="s">
        <v>2443</v>
      </c>
      <c r="D322" s="624">
        <v>42552</v>
      </c>
      <c r="E322" s="624"/>
      <c r="F322" s="844" t="s">
        <v>316</v>
      </c>
      <c r="G322" s="624">
        <v>42947</v>
      </c>
      <c r="H322" s="530">
        <f t="shared" si="50"/>
        <v>1.0814510609171799</v>
      </c>
      <c r="I322" s="666"/>
      <c r="J322" s="667">
        <v>2016</v>
      </c>
      <c r="K322" s="667">
        <v>2017</v>
      </c>
      <c r="L322" s="613" t="s">
        <v>336</v>
      </c>
      <c r="M322" s="613">
        <f t="shared" si="46"/>
        <v>1</v>
      </c>
      <c r="N322" s="613">
        <f t="shared" si="47"/>
        <v>0</v>
      </c>
      <c r="O322" s="668"/>
      <c r="P322" s="668"/>
      <c r="Q322" s="668">
        <v>1</v>
      </c>
      <c r="R322" s="668"/>
      <c r="S322" s="668"/>
      <c r="T322" s="668"/>
      <c r="U322" s="613">
        <f t="shared" si="48"/>
        <v>1</v>
      </c>
      <c r="W322" s="613" t="str">
        <f t="shared" si="41"/>
        <v>I</v>
      </c>
      <c r="X322" s="613" t="str">
        <f t="shared" si="42"/>
        <v>I</v>
      </c>
      <c r="Y322" s="613">
        <f t="shared" si="43"/>
        <v>2016</v>
      </c>
      <c r="Z322" s="613" t="str">
        <f t="shared" si="44"/>
        <v>I</v>
      </c>
      <c r="AA322" s="613" t="str">
        <f t="shared" si="45"/>
        <v>I</v>
      </c>
      <c r="AB322" s="613" t="str">
        <f t="shared" si="45"/>
        <v>I</v>
      </c>
      <c r="AD322" s="613"/>
      <c r="AE322" s="740"/>
      <c r="AF322" s="880"/>
      <c r="AM322" s="647"/>
      <c r="AN322" s="647"/>
      <c r="AO322" s="647"/>
      <c r="AP322" s="647"/>
      <c r="AQ322" s="647"/>
    </row>
    <row r="323" spans="1:43" x14ac:dyDescent="0.2">
      <c r="A323" s="527">
        <v>321</v>
      </c>
      <c r="C323" s="666" t="s">
        <v>2450</v>
      </c>
      <c r="D323" s="624">
        <v>42597</v>
      </c>
      <c r="E323" s="624"/>
      <c r="F323" s="844" t="s">
        <v>2694</v>
      </c>
      <c r="G323" s="624">
        <v>42989</v>
      </c>
      <c r="H323" s="530">
        <f t="shared" si="50"/>
        <v>1.0732375085557837</v>
      </c>
      <c r="I323" s="666"/>
      <c r="J323" s="667">
        <v>2016</v>
      </c>
      <c r="K323" s="667">
        <v>2017</v>
      </c>
      <c r="L323" s="613" t="s">
        <v>336</v>
      </c>
      <c r="M323" s="613">
        <f t="shared" si="46"/>
        <v>1</v>
      </c>
      <c r="N323" s="613">
        <f t="shared" si="47"/>
        <v>0</v>
      </c>
      <c r="O323" s="668"/>
      <c r="P323" s="668"/>
      <c r="Q323" s="668">
        <v>1</v>
      </c>
      <c r="R323" s="668"/>
      <c r="S323" s="668"/>
      <c r="T323" s="668"/>
      <c r="U323" s="613">
        <f t="shared" si="48"/>
        <v>1</v>
      </c>
      <c r="W323" s="613" t="str">
        <f t="shared" ref="W323:W386" si="51">IF(O323=1,$J323,"I")</f>
        <v>I</v>
      </c>
      <c r="X323" s="613" t="str">
        <f t="shared" ref="X323:X386" si="52">IF(P323=1,$J323,"I")</f>
        <v>I</v>
      </c>
      <c r="Y323" s="613">
        <f t="shared" ref="Y323:Y386" si="53">IF(Q323=1,$J323,"I")</f>
        <v>2016</v>
      </c>
      <c r="Z323" s="613" t="str">
        <f t="shared" ref="Z323:Z386" si="54">IF(R323=1,$J323,"I")</f>
        <v>I</v>
      </c>
      <c r="AA323" s="613" t="str">
        <f t="shared" ref="AA323:AB386" si="55">IF(S323=1,$J323,"I")</f>
        <v>I</v>
      </c>
      <c r="AB323" s="613" t="str">
        <f t="shared" si="55"/>
        <v>I</v>
      </c>
      <c r="AD323" s="613"/>
      <c r="AE323" s="740"/>
      <c r="AF323" s="880"/>
      <c r="AM323" s="647"/>
      <c r="AN323" s="647"/>
      <c r="AO323" s="647"/>
      <c r="AP323" s="647"/>
      <c r="AQ323" s="647"/>
    </row>
    <row r="324" spans="1:43" x14ac:dyDescent="0.2">
      <c r="A324" s="527">
        <v>322</v>
      </c>
      <c r="C324" s="666" t="s">
        <v>2451</v>
      </c>
      <c r="D324" s="624">
        <v>42689</v>
      </c>
      <c r="E324" s="624"/>
      <c r="F324" s="844" t="s">
        <v>2694</v>
      </c>
      <c r="G324" s="624">
        <v>42989</v>
      </c>
      <c r="H324" s="530">
        <f t="shared" si="50"/>
        <v>0.82135523613963035</v>
      </c>
      <c r="I324" s="666"/>
      <c r="J324" s="667">
        <v>2016</v>
      </c>
      <c r="K324" s="667">
        <v>2017</v>
      </c>
      <c r="L324" s="613" t="s">
        <v>336</v>
      </c>
      <c r="M324" s="613">
        <f t="shared" ref="M324:M387" si="56">IF(AND(L324="F",Q324=1),1,0)</f>
        <v>1</v>
      </c>
      <c r="N324" s="613">
        <f t="shared" ref="N324:N387" si="57">IF(AND(L324="P",Q324=1),1,0)</f>
        <v>0</v>
      </c>
      <c r="O324" s="668"/>
      <c r="P324" s="668"/>
      <c r="Q324" s="668">
        <v>1</v>
      </c>
      <c r="R324" s="668"/>
      <c r="S324" s="668"/>
      <c r="T324" s="668"/>
      <c r="U324" s="613">
        <f t="shared" ref="U324:U387" si="58">SUM(O324:T324)</f>
        <v>1</v>
      </c>
      <c r="W324" s="613" t="str">
        <f t="shared" si="51"/>
        <v>I</v>
      </c>
      <c r="X324" s="613" t="str">
        <f t="shared" si="52"/>
        <v>I</v>
      </c>
      <c r="Y324" s="613">
        <f t="shared" si="53"/>
        <v>2016</v>
      </c>
      <c r="Z324" s="613" t="str">
        <f t="shared" si="54"/>
        <v>I</v>
      </c>
      <c r="AA324" s="613" t="str">
        <f t="shared" si="55"/>
        <v>I</v>
      </c>
      <c r="AB324" s="613" t="str">
        <f t="shared" si="55"/>
        <v>I</v>
      </c>
      <c r="AD324" s="613"/>
      <c r="AE324" s="740"/>
      <c r="AF324" s="880"/>
      <c r="AM324" s="647"/>
      <c r="AN324" s="647"/>
      <c r="AO324" s="647"/>
      <c r="AP324" s="647"/>
      <c r="AQ324" s="647"/>
    </row>
    <row r="325" spans="1:43" x14ac:dyDescent="0.2">
      <c r="A325" s="527">
        <v>323</v>
      </c>
      <c r="C325" s="666" t="s">
        <v>2495</v>
      </c>
      <c r="D325" s="624">
        <v>42597</v>
      </c>
      <c r="E325" s="624"/>
      <c r="F325" s="844" t="s">
        <v>2694</v>
      </c>
      <c r="G325" s="624">
        <v>42989</v>
      </c>
      <c r="H325" s="530">
        <f t="shared" si="50"/>
        <v>1.0732375085557837</v>
      </c>
      <c r="I325" s="666"/>
      <c r="J325" s="667">
        <v>2016</v>
      </c>
      <c r="K325" s="667">
        <v>2017</v>
      </c>
      <c r="L325" s="613" t="s">
        <v>336</v>
      </c>
      <c r="M325" s="613">
        <f t="shared" si="56"/>
        <v>1</v>
      </c>
      <c r="N325" s="613">
        <f t="shared" si="57"/>
        <v>0</v>
      </c>
      <c r="O325" s="668"/>
      <c r="P325" s="668"/>
      <c r="Q325" s="668">
        <v>1</v>
      </c>
      <c r="R325" s="668"/>
      <c r="S325" s="668"/>
      <c r="T325" s="668"/>
      <c r="U325" s="613">
        <f t="shared" si="58"/>
        <v>1</v>
      </c>
      <c r="W325" s="613" t="str">
        <f t="shared" si="51"/>
        <v>I</v>
      </c>
      <c r="X325" s="613" t="str">
        <f t="shared" si="52"/>
        <v>I</v>
      </c>
      <c r="Y325" s="613">
        <f t="shared" si="53"/>
        <v>2016</v>
      </c>
      <c r="Z325" s="613" t="str">
        <f t="shared" si="54"/>
        <v>I</v>
      </c>
      <c r="AA325" s="613" t="str">
        <f t="shared" si="55"/>
        <v>I</v>
      </c>
      <c r="AB325" s="613" t="str">
        <f t="shared" si="55"/>
        <v>I</v>
      </c>
      <c r="AD325" s="613"/>
      <c r="AE325" s="740"/>
      <c r="AF325" s="880"/>
      <c r="AM325" s="647"/>
      <c r="AN325" s="647"/>
      <c r="AO325" s="647"/>
      <c r="AP325" s="647"/>
      <c r="AQ325" s="647"/>
    </row>
    <row r="326" spans="1:43" x14ac:dyDescent="0.2">
      <c r="A326" s="527">
        <v>324</v>
      </c>
      <c r="C326" s="666" t="s">
        <v>2422</v>
      </c>
      <c r="D326" s="624"/>
      <c r="E326" s="624">
        <v>42628</v>
      </c>
      <c r="F326" s="846" t="s">
        <v>2694</v>
      </c>
      <c r="G326" s="624">
        <v>42866</v>
      </c>
      <c r="H326" s="530">
        <f t="shared" si="50"/>
        <v>0.65160848733744015</v>
      </c>
      <c r="I326" s="666"/>
      <c r="J326" s="667">
        <v>2016</v>
      </c>
      <c r="K326" s="667">
        <v>2017</v>
      </c>
      <c r="L326" s="613" t="s">
        <v>303</v>
      </c>
      <c r="M326" s="613">
        <f t="shared" si="56"/>
        <v>0</v>
      </c>
      <c r="N326" s="613">
        <f t="shared" si="57"/>
        <v>1</v>
      </c>
      <c r="O326" s="668"/>
      <c r="P326" s="668"/>
      <c r="Q326" s="668">
        <v>1</v>
      </c>
      <c r="R326" s="668"/>
      <c r="S326" s="668"/>
      <c r="T326" s="668"/>
      <c r="U326" s="613">
        <f t="shared" si="58"/>
        <v>1</v>
      </c>
      <c r="W326" s="613" t="str">
        <f t="shared" si="51"/>
        <v>I</v>
      </c>
      <c r="X326" s="613" t="str">
        <f t="shared" si="52"/>
        <v>I</v>
      </c>
      <c r="Y326" s="613">
        <f t="shared" si="53"/>
        <v>2016</v>
      </c>
      <c r="Z326" s="613" t="str">
        <f t="shared" si="54"/>
        <v>I</v>
      </c>
      <c r="AA326" s="613" t="str">
        <f t="shared" si="55"/>
        <v>I</v>
      </c>
      <c r="AB326" s="613" t="str">
        <f t="shared" si="55"/>
        <v>I</v>
      </c>
      <c r="AD326" s="726"/>
      <c r="AE326" s="740"/>
      <c r="AF326" s="880"/>
      <c r="AM326" s="647"/>
      <c r="AN326" s="647"/>
      <c r="AO326" s="647"/>
      <c r="AP326" s="647"/>
      <c r="AQ326" s="647"/>
    </row>
    <row r="327" spans="1:43" x14ac:dyDescent="0.2">
      <c r="A327" s="527">
        <v>325</v>
      </c>
      <c r="C327" s="730" t="s">
        <v>2566</v>
      </c>
      <c r="D327" s="624"/>
      <c r="E327" s="624">
        <v>42628</v>
      </c>
      <c r="F327" s="846" t="s">
        <v>2694</v>
      </c>
      <c r="G327" s="624">
        <v>43151</v>
      </c>
      <c r="H327" s="530">
        <f t="shared" si="50"/>
        <v>1.431895961670089</v>
      </c>
      <c r="I327" s="730"/>
      <c r="J327" s="731">
        <v>2016</v>
      </c>
      <c r="K327" s="731">
        <v>2018</v>
      </c>
      <c r="L327" s="613" t="s">
        <v>303</v>
      </c>
      <c r="M327" s="613">
        <f t="shared" si="56"/>
        <v>0</v>
      </c>
      <c r="N327" s="613">
        <f t="shared" si="57"/>
        <v>1</v>
      </c>
      <c r="O327" s="732"/>
      <c r="P327" s="732"/>
      <c r="Q327" s="732">
        <v>1</v>
      </c>
      <c r="R327" s="732"/>
      <c r="S327" s="732"/>
      <c r="T327" s="732"/>
      <c r="U327" s="613">
        <f t="shared" si="58"/>
        <v>1</v>
      </c>
      <c r="W327" s="613" t="str">
        <f t="shared" si="51"/>
        <v>I</v>
      </c>
      <c r="X327" s="613" t="str">
        <f t="shared" si="52"/>
        <v>I</v>
      </c>
      <c r="Y327" s="613">
        <f t="shared" si="53"/>
        <v>2016</v>
      </c>
      <c r="Z327" s="613" t="str">
        <f t="shared" si="54"/>
        <v>I</v>
      </c>
      <c r="AA327" s="613" t="str">
        <f t="shared" si="55"/>
        <v>I</v>
      </c>
      <c r="AB327" s="613" t="str">
        <f t="shared" si="55"/>
        <v>I</v>
      </c>
      <c r="AD327" s="726"/>
      <c r="AE327" s="740"/>
      <c r="AF327" s="880"/>
      <c r="AM327" s="647"/>
      <c r="AN327" s="647"/>
      <c r="AO327" s="647"/>
      <c r="AP327" s="647"/>
      <c r="AQ327" s="647"/>
    </row>
    <row r="328" spans="1:43" x14ac:dyDescent="0.2">
      <c r="A328" s="527">
        <v>326</v>
      </c>
      <c r="C328" s="730" t="s">
        <v>2562</v>
      </c>
      <c r="D328" s="883">
        <v>42475</v>
      </c>
      <c r="E328" s="624"/>
      <c r="F328" s="844" t="s">
        <v>2694</v>
      </c>
      <c r="G328" s="624">
        <v>43122</v>
      </c>
      <c r="H328" s="530">
        <f t="shared" si="50"/>
        <v>1.7713894592744694</v>
      </c>
      <c r="I328" s="730"/>
      <c r="J328" s="731">
        <v>2016</v>
      </c>
      <c r="K328" s="731">
        <v>2018</v>
      </c>
      <c r="L328" s="613" t="s">
        <v>336</v>
      </c>
      <c r="M328" s="613">
        <f t="shared" si="56"/>
        <v>1</v>
      </c>
      <c r="N328" s="613">
        <f t="shared" si="57"/>
        <v>0</v>
      </c>
      <c r="O328" s="732"/>
      <c r="P328" s="732"/>
      <c r="Q328" s="732">
        <v>1</v>
      </c>
      <c r="R328" s="732"/>
      <c r="S328" s="732"/>
      <c r="T328" s="732"/>
      <c r="U328" s="613">
        <f t="shared" si="58"/>
        <v>1</v>
      </c>
      <c r="W328" s="613" t="str">
        <f t="shared" si="51"/>
        <v>I</v>
      </c>
      <c r="X328" s="613" t="str">
        <f t="shared" si="52"/>
        <v>I</v>
      </c>
      <c r="Y328" s="613">
        <f t="shared" si="53"/>
        <v>2016</v>
      </c>
      <c r="Z328" s="613" t="str">
        <f t="shared" si="54"/>
        <v>I</v>
      </c>
      <c r="AA328" s="613" t="str">
        <f t="shared" si="55"/>
        <v>I</v>
      </c>
      <c r="AB328" s="613" t="str">
        <f t="shared" si="55"/>
        <v>I</v>
      </c>
      <c r="AD328" s="726"/>
      <c r="AE328" s="740"/>
      <c r="AF328" s="880"/>
      <c r="AM328" s="647"/>
      <c r="AN328" s="647"/>
      <c r="AO328" s="647"/>
      <c r="AP328" s="647"/>
      <c r="AQ328" s="647"/>
    </row>
    <row r="329" spans="1:43" x14ac:dyDescent="0.2">
      <c r="A329" s="527">
        <v>327</v>
      </c>
      <c r="C329" s="730" t="s">
        <v>2614</v>
      </c>
      <c r="D329" s="624"/>
      <c r="E329" s="841">
        <v>42552</v>
      </c>
      <c r="F329" s="846" t="s">
        <v>316</v>
      </c>
      <c r="G329" s="624">
        <v>43231</v>
      </c>
      <c r="H329" s="530">
        <f t="shared" si="50"/>
        <v>1.8590006844626967</v>
      </c>
      <c r="I329" s="730"/>
      <c r="J329" s="731">
        <v>2016</v>
      </c>
      <c r="K329" s="731">
        <v>2018</v>
      </c>
      <c r="L329" s="613" t="s">
        <v>303</v>
      </c>
      <c r="M329" s="613">
        <f t="shared" si="56"/>
        <v>0</v>
      </c>
      <c r="N329" s="613">
        <f t="shared" si="57"/>
        <v>1</v>
      </c>
      <c r="O329" s="732"/>
      <c r="P329" s="732"/>
      <c r="Q329" s="732">
        <v>1</v>
      </c>
      <c r="R329" s="732"/>
      <c r="S329" s="732"/>
      <c r="T329" s="732"/>
      <c r="U329" s="613">
        <f t="shared" si="58"/>
        <v>1</v>
      </c>
      <c r="W329" s="613" t="str">
        <f t="shared" si="51"/>
        <v>I</v>
      </c>
      <c r="X329" s="613" t="str">
        <f t="shared" si="52"/>
        <v>I</v>
      </c>
      <c r="Y329" s="613">
        <f t="shared" si="53"/>
        <v>2016</v>
      </c>
      <c r="Z329" s="613" t="str">
        <f t="shared" si="54"/>
        <v>I</v>
      </c>
      <c r="AA329" s="613" t="str">
        <f t="shared" si="55"/>
        <v>I</v>
      </c>
      <c r="AB329" s="613" t="str">
        <f t="shared" si="55"/>
        <v>I</v>
      </c>
      <c r="AD329" s="613"/>
      <c r="AE329" s="740"/>
      <c r="AF329" s="880"/>
      <c r="AM329" s="647"/>
      <c r="AN329" s="647"/>
      <c r="AO329" s="647"/>
      <c r="AP329" s="647"/>
      <c r="AQ329" s="647"/>
    </row>
    <row r="330" spans="1:43" x14ac:dyDescent="0.2">
      <c r="A330" s="527">
        <v>328</v>
      </c>
      <c r="C330" s="730" t="s">
        <v>2453</v>
      </c>
      <c r="D330" s="624"/>
      <c r="E330" s="624">
        <v>42809</v>
      </c>
      <c r="F330" s="846" t="s">
        <v>2694</v>
      </c>
      <c r="G330" s="624">
        <v>43155</v>
      </c>
      <c r="H330" s="530">
        <f t="shared" si="50"/>
        <v>0.94729637234770703</v>
      </c>
      <c r="I330" s="730"/>
      <c r="J330" s="731">
        <v>2017</v>
      </c>
      <c r="K330" s="731">
        <v>2018</v>
      </c>
      <c r="L330" s="613" t="s">
        <v>303</v>
      </c>
      <c r="M330" s="613">
        <f t="shared" si="56"/>
        <v>0</v>
      </c>
      <c r="N330" s="613">
        <f t="shared" si="57"/>
        <v>1</v>
      </c>
      <c r="O330" s="732"/>
      <c r="P330" s="732"/>
      <c r="Q330" s="732">
        <v>1</v>
      </c>
      <c r="R330" s="732"/>
      <c r="S330" s="732"/>
      <c r="T330" s="732"/>
      <c r="U330" s="613">
        <f t="shared" si="58"/>
        <v>1</v>
      </c>
      <c r="W330" s="613" t="str">
        <f t="shared" si="51"/>
        <v>I</v>
      </c>
      <c r="X330" s="613" t="str">
        <f t="shared" si="52"/>
        <v>I</v>
      </c>
      <c r="Y330" s="613">
        <f t="shared" si="53"/>
        <v>2017</v>
      </c>
      <c r="Z330" s="613" t="str">
        <f t="shared" si="54"/>
        <v>I</v>
      </c>
      <c r="AA330" s="613" t="str">
        <f t="shared" si="55"/>
        <v>I</v>
      </c>
      <c r="AB330" s="613" t="str">
        <f t="shared" si="55"/>
        <v>I</v>
      </c>
      <c r="AD330" s="726"/>
      <c r="AE330" s="740"/>
      <c r="AF330" s="880"/>
      <c r="AM330" s="647"/>
      <c r="AN330" s="647"/>
      <c r="AO330" s="647"/>
      <c r="AP330" s="647"/>
      <c r="AQ330" s="647"/>
    </row>
    <row r="331" spans="1:43" x14ac:dyDescent="0.2">
      <c r="A331" s="527">
        <v>329</v>
      </c>
      <c r="C331" s="730" t="s">
        <v>2568</v>
      </c>
      <c r="D331" s="624"/>
      <c r="E331" s="624">
        <v>42901</v>
      </c>
      <c r="F331" s="846" t="s">
        <v>2694</v>
      </c>
      <c r="G331" s="624">
        <v>43155</v>
      </c>
      <c r="H331" s="530">
        <f t="shared" si="50"/>
        <v>0.69541409993155368</v>
      </c>
      <c r="I331" s="730"/>
      <c r="J331" s="731">
        <v>2017</v>
      </c>
      <c r="K331" s="731">
        <v>2018</v>
      </c>
      <c r="L331" s="613" t="s">
        <v>303</v>
      </c>
      <c r="M331" s="613">
        <f t="shared" si="56"/>
        <v>0</v>
      </c>
      <c r="N331" s="613">
        <f t="shared" si="57"/>
        <v>1</v>
      </c>
      <c r="O331" s="732"/>
      <c r="P331" s="732"/>
      <c r="Q331" s="732">
        <v>1</v>
      </c>
      <c r="R331" s="732"/>
      <c r="S331" s="732"/>
      <c r="T331" s="732"/>
      <c r="U331" s="613">
        <f t="shared" si="58"/>
        <v>1</v>
      </c>
      <c r="W331" s="613" t="str">
        <f t="shared" si="51"/>
        <v>I</v>
      </c>
      <c r="X331" s="613" t="str">
        <f t="shared" si="52"/>
        <v>I</v>
      </c>
      <c r="Y331" s="613">
        <f t="shared" si="53"/>
        <v>2017</v>
      </c>
      <c r="Z331" s="613" t="str">
        <f t="shared" si="54"/>
        <v>I</v>
      </c>
      <c r="AA331" s="613" t="str">
        <f t="shared" si="55"/>
        <v>I</v>
      </c>
      <c r="AB331" s="613" t="str">
        <f t="shared" si="55"/>
        <v>I</v>
      </c>
      <c r="AD331" s="726"/>
      <c r="AE331" s="740"/>
      <c r="AF331" s="880"/>
      <c r="AM331" s="647"/>
      <c r="AN331" s="647"/>
      <c r="AO331" s="647"/>
      <c r="AP331" s="647"/>
      <c r="AQ331" s="647"/>
    </row>
    <row r="332" spans="1:43" x14ac:dyDescent="0.2">
      <c r="A332" s="527">
        <v>330</v>
      </c>
      <c r="C332" s="730" t="s">
        <v>2561</v>
      </c>
      <c r="D332" s="624"/>
      <c r="E332" s="624">
        <v>42536</v>
      </c>
      <c r="F332" s="846" t="s">
        <v>2694</v>
      </c>
      <c r="G332" s="624">
        <v>43112</v>
      </c>
      <c r="H332" s="530">
        <f t="shared" si="50"/>
        <v>1.5770020533880904</v>
      </c>
      <c r="I332" s="730"/>
      <c r="J332" s="731">
        <v>2016</v>
      </c>
      <c r="K332" s="731">
        <v>2018</v>
      </c>
      <c r="L332" s="613" t="s">
        <v>303</v>
      </c>
      <c r="M332" s="613">
        <f t="shared" si="56"/>
        <v>0</v>
      </c>
      <c r="N332" s="613">
        <f t="shared" si="57"/>
        <v>1</v>
      </c>
      <c r="O332" s="732"/>
      <c r="P332" s="732"/>
      <c r="Q332" s="732">
        <v>1</v>
      </c>
      <c r="R332" s="732"/>
      <c r="S332" s="732"/>
      <c r="T332" s="732"/>
      <c r="U332" s="613">
        <f t="shared" si="58"/>
        <v>1</v>
      </c>
      <c r="W332" s="613" t="str">
        <f t="shared" si="51"/>
        <v>I</v>
      </c>
      <c r="X332" s="613" t="str">
        <f t="shared" si="52"/>
        <v>I</v>
      </c>
      <c r="Y332" s="613">
        <f t="shared" si="53"/>
        <v>2016</v>
      </c>
      <c r="Z332" s="613" t="str">
        <f t="shared" si="54"/>
        <v>I</v>
      </c>
      <c r="AA332" s="613" t="str">
        <f t="shared" si="55"/>
        <v>I</v>
      </c>
      <c r="AB332" s="613" t="str">
        <f t="shared" si="55"/>
        <v>I</v>
      </c>
      <c r="AD332" s="726"/>
      <c r="AE332" s="740"/>
      <c r="AF332" s="880"/>
      <c r="AM332" s="647"/>
      <c r="AN332" s="647"/>
      <c r="AO332" s="647"/>
      <c r="AP332" s="647"/>
      <c r="AQ332" s="647"/>
    </row>
    <row r="333" spans="1:43" x14ac:dyDescent="0.2">
      <c r="A333" s="527">
        <v>331</v>
      </c>
      <c r="C333" s="730" t="s">
        <v>2564</v>
      </c>
      <c r="D333" s="624"/>
      <c r="E333" s="624">
        <v>42444</v>
      </c>
      <c r="F333" s="846" t="s">
        <v>2694</v>
      </c>
      <c r="G333" s="624">
        <v>43151</v>
      </c>
      <c r="H333" s="530">
        <f t="shared" si="50"/>
        <v>1.9356605065023955</v>
      </c>
      <c r="I333" s="730"/>
      <c r="J333" s="731">
        <v>2016</v>
      </c>
      <c r="K333" s="731">
        <v>2018</v>
      </c>
      <c r="L333" s="613" t="s">
        <v>303</v>
      </c>
      <c r="M333" s="613">
        <f t="shared" si="56"/>
        <v>0</v>
      </c>
      <c r="N333" s="613">
        <f t="shared" si="57"/>
        <v>1</v>
      </c>
      <c r="O333" s="732"/>
      <c r="P333" s="732"/>
      <c r="Q333" s="732">
        <v>1</v>
      </c>
      <c r="R333" s="732"/>
      <c r="S333" s="732"/>
      <c r="T333" s="732"/>
      <c r="U333" s="613">
        <f t="shared" si="58"/>
        <v>1</v>
      </c>
      <c r="W333" s="613" t="str">
        <f t="shared" si="51"/>
        <v>I</v>
      </c>
      <c r="X333" s="613" t="str">
        <f t="shared" si="52"/>
        <v>I</v>
      </c>
      <c r="Y333" s="613">
        <f t="shared" si="53"/>
        <v>2016</v>
      </c>
      <c r="Z333" s="613" t="str">
        <f t="shared" si="54"/>
        <v>I</v>
      </c>
      <c r="AA333" s="613" t="str">
        <f t="shared" si="55"/>
        <v>I</v>
      </c>
      <c r="AB333" s="613" t="str">
        <f t="shared" si="55"/>
        <v>I</v>
      </c>
      <c r="AD333" s="726"/>
      <c r="AE333" s="740"/>
      <c r="AF333" s="880"/>
      <c r="AM333" s="647"/>
      <c r="AN333" s="647"/>
      <c r="AO333" s="647"/>
      <c r="AP333" s="647"/>
      <c r="AQ333" s="647"/>
    </row>
    <row r="334" spans="1:43" x14ac:dyDescent="0.2">
      <c r="A334" s="527">
        <v>332</v>
      </c>
      <c r="C334" s="730" t="s">
        <v>2570</v>
      </c>
      <c r="D334" s="883">
        <v>42809</v>
      </c>
      <c r="E334" s="624"/>
      <c r="F334" s="844" t="s">
        <v>2694</v>
      </c>
      <c r="G334" s="624">
        <v>43186</v>
      </c>
      <c r="H334" s="530">
        <f t="shared" si="50"/>
        <v>1.0321697467488022</v>
      </c>
      <c r="I334" s="730"/>
      <c r="J334" s="731">
        <v>2017</v>
      </c>
      <c r="K334" s="731">
        <v>2018</v>
      </c>
      <c r="L334" s="613" t="s">
        <v>336</v>
      </c>
      <c r="M334" s="613">
        <f t="shared" si="56"/>
        <v>1</v>
      </c>
      <c r="N334" s="613">
        <f t="shared" si="57"/>
        <v>0</v>
      </c>
      <c r="O334" s="732"/>
      <c r="P334" s="732"/>
      <c r="Q334" s="732">
        <v>1</v>
      </c>
      <c r="R334" s="732"/>
      <c r="S334" s="732"/>
      <c r="T334" s="732"/>
      <c r="U334" s="613">
        <f t="shared" si="58"/>
        <v>1</v>
      </c>
      <c r="W334" s="613" t="str">
        <f t="shared" si="51"/>
        <v>I</v>
      </c>
      <c r="X334" s="613" t="str">
        <f t="shared" si="52"/>
        <v>I</v>
      </c>
      <c r="Y334" s="613">
        <f t="shared" si="53"/>
        <v>2017</v>
      </c>
      <c r="Z334" s="613" t="str">
        <f t="shared" si="54"/>
        <v>I</v>
      </c>
      <c r="AA334" s="613" t="str">
        <f t="shared" si="55"/>
        <v>I</v>
      </c>
      <c r="AB334" s="613" t="str">
        <f t="shared" si="55"/>
        <v>I</v>
      </c>
      <c r="AD334" s="726"/>
      <c r="AE334" s="740"/>
      <c r="AF334" s="880"/>
      <c r="AM334" s="647"/>
      <c r="AN334" s="647"/>
      <c r="AO334" s="647"/>
      <c r="AP334" s="647"/>
      <c r="AQ334" s="647"/>
    </row>
    <row r="335" spans="1:43" x14ac:dyDescent="0.2">
      <c r="A335" s="527">
        <v>333</v>
      </c>
      <c r="C335" s="730" t="s">
        <v>2571</v>
      </c>
      <c r="D335" s="624"/>
      <c r="E335" s="624">
        <v>42139</v>
      </c>
      <c r="F335" s="846" t="s">
        <v>2694</v>
      </c>
      <c r="G335" s="624">
        <v>43186</v>
      </c>
      <c r="H335" s="530">
        <f t="shared" si="50"/>
        <v>2.8665297741273101</v>
      </c>
      <c r="I335" s="730"/>
      <c r="J335" s="731">
        <v>2015</v>
      </c>
      <c r="K335" s="731">
        <v>2018</v>
      </c>
      <c r="L335" s="613" t="s">
        <v>303</v>
      </c>
      <c r="M335" s="613">
        <f t="shared" si="56"/>
        <v>0</v>
      </c>
      <c r="N335" s="613">
        <f t="shared" si="57"/>
        <v>1</v>
      </c>
      <c r="O335" s="732"/>
      <c r="P335" s="732"/>
      <c r="Q335" s="732">
        <v>1</v>
      </c>
      <c r="R335" s="732"/>
      <c r="S335" s="732"/>
      <c r="T335" s="732"/>
      <c r="U335" s="613">
        <f t="shared" si="58"/>
        <v>1</v>
      </c>
      <c r="W335" s="613" t="str">
        <f t="shared" si="51"/>
        <v>I</v>
      </c>
      <c r="X335" s="613" t="str">
        <f t="shared" si="52"/>
        <v>I</v>
      </c>
      <c r="Y335" s="613">
        <f t="shared" si="53"/>
        <v>2015</v>
      </c>
      <c r="Z335" s="613" t="str">
        <f t="shared" si="54"/>
        <v>I</v>
      </c>
      <c r="AA335" s="613" t="str">
        <f t="shared" si="55"/>
        <v>I</v>
      </c>
      <c r="AB335" s="613" t="str">
        <f t="shared" si="55"/>
        <v>I</v>
      </c>
      <c r="AD335" s="726"/>
      <c r="AE335" s="740"/>
      <c r="AF335" s="644"/>
      <c r="AM335" s="647"/>
      <c r="AN335" s="647"/>
      <c r="AO335" s="647"/>
      <c r="AP335" s="647"/>
      <c r="AQ335" s="647"/>
    </row>
    <row r="336" spans="1:43" x14ac:dyDescent="0.2">
      <c r="A336" s="527">
        <v>334</v>
      </c>
      <c r="C336" s="730" t="s">
        <v>2581</v>
      </c>
      <c r="D336" s="624"/>
      <c r="E336" s="624">
        <v>41091</v>
      </c>
      <c r="F336" s="846" t="s">
        <v>2694</v>
      </c>
      <c r="G336" s="624">
        <v>43231</v>
      </c>
      <c r="H336" s="530">
        <f t="shared" si="50"/>
        <v>5.8590006844626972</v>
      </c>
      <c r="I336" s="730"/>
      <c r="J336" s="731">
        <v>2012</v>
      </c>
      <c r="K336" s="731">
        <v>2018</v>
      </c>
      <c r="L336" s="613" t="s">
        <v>303</v>
      </c>
      <c r="M336" s="613">
        <f t="shared" si="56"/>
        <v>0</v>
      </c>
      <c r="N336" s="613">
        <f t="shared" si="57"/>
        <v>1</v>
      </c>
      <c r="O336" s="732"/>
      <c r="P336" s="732"/>
      <c r="Q336" s="732">
        <v>1</v>
      </c>
      <c r="R336" s="732"/>
      <c r="S336" s="732"/>
      <c r="T336" s="732"/>
      <c r="U336" s="613">
        <f t="shared" si="58"/>
        <v>1</v>
      </c>
      <c r="W336" s="613" t="str">
        <f t="shared" si="51"/>
        <v>I</v>
      </c>
      <c r="X336" s="613" t="str">
        <f t="shared" si="52"/>
        <v>I</v>
      </c>
      <c r="Y336" s="613">
        <f t="shared" si="53"/>
        <v>2012</v>
      </c>
      <c r="Z336" s="613" t="str">
        <f t="shared" si="54"/>
        <v>I</v>
      </c>
      <c r="AA336" s="613" t="str">
        <f t="shared" si="55"/>
        <v>I</v>
      </c>
      <c r="AB336" s="613" t="str">
        <f t="shared" si="55"/>
        <v>I</v>
      </c>
      <c r="AD336" s="613"/>
      <c r="AE336" s="740"/>
      <c r="AF336" s="644"/>
      <c r="AM336" s="647"/>
      <c r="AN336" s="647"/>
      <c r="AO336" s="647"/>
      <c r="AP336" s="647"/>
      <c r="AQ336" s="647"/>
    </row>
    <row r="337" spans="1:43" x14ac:dyDescent="0.2">
      <c r="A337" s="527">
        <v>335</v>
      </c>
      <c r="C337" s="730" t="s">
        <v>2592</v>
      </c>
      <c r="D337" s="624"/>
      <c r="E337" s="624">
        <v>41902</v>
      </c>
      <c r="F337" s="846" t="s">
        <v>2167</v>
      </c>
      <c r="G337" s="624">
        <v>43246</v>
      </c>
      <c r="H337" s="530">
        <f t="shared" si="50"/>
        <v>3.6796714579055441</v>
      </c>
      <c r="I337" s="730"/>
      <c r="J337" s="731">
        <v>2014</v>
      </c>
      <c r="K337" s="731">
        <v>2018</v>
      </c>
      <c r="L337" s="613" t="s">
        <v>303</v>
      </c>
      <c r="M337" s="613">
        <f t="shared" si="56"/>
        <v>0</v>
      </c>
      <c r="N337" s="613">
        <f t="shared" si="57"/>
        <v>1</v>
      </c>
      <c r="O337" s="732"/>
      <c r="P337" s="732"/>
      <c r="Q337" s="732">
        <v>1</v>
      </c>
      <c r="R337" s="732"/>
      <c r="S337" s="732"/>
      <c r="T337" s="732"/>
      <c r="U337" s="613">
        <f t="shared" si="58"/>
        <v>1</v>
      </c>
      <c r="W337" s="613" t="str">
        <f t="shared" si="51"/>
        <v>I</v>
      </c>
      <c r="X337" s="613" t="str">
        <f t="shared" si="52"/>
        <v>I</v>
      </c>
      <c r="Y337" s="613">
        <f t="shared" si="53"/>
        <v>2014</v>
      </c>
      <c r="Z337" s="613" t="str">
        <f t="shared" si="54"/>
        <v>I</v>
      </c>
      <c r="AA337" s="613" t="str">
        <f t="shared" si="55"/>
        <v>I</v>
      </c>
      <c r="AB337" s="613" t="str">
        <f t="shared" si="55"/>
        <v>I</v>
      </c>
      <c r="AD337" s="613"/>
      <c r="AE337" s="740"/>
      <c r="AF337" s="644"/>
      <c r="AM337" s="647"/>
      <c r="AN337" s="647"/>
      <c r="AO337" s="647"/>
      <c r="AP337" s="647"/>
      <c r="AQ337" s="647"/>
    </row>
    <row r="338" spans="1:43" x14ac:dyDescent="0.2">
      <c r="A338" s="527">
        <v>336</v>
      </c>
      <c r="C338" s="730" t="s">
        <v>2593</v>
      </c>
      <c r="D338" s="624"/>
      <c r="E338" s="624">
        <v>42917</v>
      </c>
      <c r="F338" s="846" t="s">
        <v>316</v>
      </c>
      <c r="G338" s="624">
        <v>43246</v>
      </c>
      <c r="H338" s="530">
        <f t="shared" ref="H338:H355" si="59">(G338-MAX(D338:E338))/365.25</f>
        <v>0.90075290896646132</v>
      </c>
      <c r="I338" s="730"/>
      <c r="J338" s="731">
        <v>2017</v>
      </c>
      <c r="K338" s="731">
        <v>2018</v>
      </c>
      <c r="L338" s="613" t="s">
        <v>303</v>
      </c>
      <c r="M338" s="613">
        <f t="shared" si="56"/>
        <v>0</v>
      </c>
      <c r="N338" s="613">
        <f t="shared" si="57"/>
        <v>1</v>
      </c>
      <c r="O338" s="732"/>
      <c r="P338" s="732"/>
      <c r="Q338" s="732">
        <v>1</v>
      </c>
      <c r="R338" s="732"/>
      <c r="S338" s="732"/>
      <c r="T338" s="732"/>
      <c r="U338" s="613">
        <f t="shared" si="58"/>
        <v>1</v>
      </c>
      <c r="W338" s="613" t="str">
        <f t="shared" si="51"/>
        <v>I</v>
      </c>
      <c r="X338" s="613" t="str">
        <f t="shared" si="52"/>
        <v>I</v>
      </c>
      <c r="Y338" s="613">
        <f t="shared" si="53"/>
        <v>2017</v>
      </c>
      <c r="Z338" s="613" t="str">
        <f t="shared" si="54"/>
        <v>I</v>
      </c>
      <c r="AA338" s="613" t="str">
        <f t="shared" si="55"/>
        <v>I</v>
      </c>
      <c r="AB338" s="613" t="str">
        <f t="shared" si="55"/>
        <v>I</v>
      </c>
      <c r="AD338" s="613"/>
      <c r="AE338" s="740"/>
      <c r="AF338" s="880"/>
      <c r="AM338" s="647"/>
      <c r="AN338" s="647"/>
      <c r="AO338" s="647"/>
      <c r="AP338" s="647"/>
      <c r="AQ338" s="647"/>
    </row>
    <row r="339" spans="1:43" x14ac:dyDescent="0.2">
      <c r="A339" s="527">
        <v>337</v>
      </c>
      <c r="C339" s="730" t="s">
        <v>2594</v>
      </c>
      <c r="D339" s="624"/>
      <c r="E339" s="624">
        <v>42917</v>
      </c>
      <c r="F339" s="846" t="s">
        <v>316</v>
      </c>
      <c r="G339" s="624">
        <v>43246</v>
      </c>
      <c r="H339" s="530">
        <f t="shared" si="59"/>
        <v>0.90075290896646132</v>
      </c>
      <c r="I339" s="730"/>
      <c r="J339" s="731">
        <v>2017</v>
      </c>
      <c r="K339" s="731">
        <v>2018</v>
      </c>
      <c r="L339" s="613" t="s">
        <v>303</v>
      </c>
      <c r="M339" s="613">
        <f t="shared" si="56"/>
        <v>0</v>
      </c>
      <c r="N339" s="613">
        <f t="shared" si="57"/>
        <v>1</v>
      </c>
      <c r="O339" s="732"/>
      <c r="P339" s="732"/>
      <c r="Q339" s="732">
        <v>1</v>
      </c>
      <c r="R339" s="732"/>
      <c r="S339" s="732"/>
      <c r="T339" s="732"/>
      <c r="U339" s="613">
        <f t="shared" si="58"/>
        <v>1</v>
      </c>
      <c r="W339" s="613" t="str">
        <f t="shared" si="51"/>
        <v>I</v>
      </c>
      <c r="X339" s="613" t="str">
        <f t="shared" si="52"/>
        <v>I</v>
      </c>
      <c r="Y339" s="613">
        <f t="shared" si="53"/>
        <v>2017</v>
      </c>
      <c r="Z339" s="613" t="str">
        <f t="shared" si="54"/>
        <v>I</v>
      </c>
      <c r="AA339" s="613" t="str">
        <f t="shared" si="55"/>
        <v>I</v>
      </c>
      <c r="AB339" s="613" t="str">
        <f t="shared" si="55"/>
        <v>I</v>
      </c>
      <c r="AD339" s="613"/>
      <c r="AE339" s="740"/>
      <c r="AF339" s="880"/>
      <c r="AM339" s="647"/>
      <c r="AN339" s="647"/>
      <c r="AO339" s="647"/>
      <c r="AP339" s="647"/>
      <c r="AQ339" s="647"/>
    </row>
    <row r="340" spans="1:43" x14ac:dyDescent="0.2">
      <c r="A340" s="527">
        <v>338</v>
      </c>
      <c r="C340" s="730" t="s">
        <v>2595</v>
      </c>
      <c r="D340" s="624"/>
      <c r="E340" s="624">
        <v>42917</v>
      </c>
      <c r="F340" s="846" t="s">
        <v>316</v>
      </c>
      <c r="G340" s="624">
        <v>43246</v>
      </c>
      <c r="H340" s="530">
        <f t="shared" si="59"/>
        <v>0.90075290896646132</v>
      </c>
      <c r="I340" s="730"/>
      <c r="J340" s="731">
        <v>2017</v>
      </c>
      <c r="K340" s="731">
        <v>2018</v>
      </c>
      <c r="L340" s="613" t="s">
        <v>303</v>
      </c>
      <c r="M340" s="613">
        <f t="shared" si="56"/>
        <v>0</v>
      </c>
      <c r="N340" s="613">
        <f t="shared" si="57"/>
        <v>1</v>
      </c>
      <c r="O340" s="732"/>
      <c r="P340" s="732"/>
      <c r="Q340" s="732">
        <v>1</v>
      </c>
      <c r="R340" s="732"/>
      <c r="S340" s="732"/>
      <c r="T340" s="732"/>
      <c r="U340" s="613">
        <f t="shared" si="58"/>
        <v>1</v>
      </c>
      <c r="W340" s="613" t="str">
        <f t="shared" si="51"/>
        <v>I</v>
      </c>
      <c r="X340" s="613" t="str">
        <f t="shared" si="52"/>
        <v>I</v>
      </c>
      <c r="Y340" s="613">
        <f t="shared" si="53"/>
        <v>2017</v>
      </c>
      <c r="Z340" s="613" t="str">
        <f t="shared" si="54"/>
        <v>I</v>
      </c>
      <c r="AA340" s="613" t="str">
        <f t="shared" si="55"/>
        <v>I</v>
      </c>
      <c r="AB340" s="613" t="str">
        <f t="shared" si="55"/>
        <v>I</v>
      </c>
      <c r="AD340" s="726"/>
      <c r="AE340" s="740"/>
      <c r="AF340" s="880"/>
      <c r="AM340" s="647"/>
      <c r="AN340" s="647"/>
      <c r="AO340" s="647"/>
      <c r="AP340" s="647"/>
      <c r="AQ340" s="647"/>
    </row>
    <row r="341" spans="1:43" x14ac:dyDescent="0.2">
      <c r="A341" s="527">
        <v>339</v>
      </c>
      <c r="C341" s="730" t="s">
        <v>2601</v>
      </c>
      <c r="D341" s="624"/>
      <c r="E341" s="624">
        <v>42491</v>
      </c>
      <c r="F341" s="846" t="s">
        <v>2167</v>
      </c>
      <c r="G341" s="624">
        <v>43258</v>
      </c>
      <c r="H341" s="530">
        <f t="shared" si="59"/>
        <v>2.0999315537303218</v>
      </c>
      <c r="I341" s="730"/>
      <c r="J341" s="731">
        <v>2016</v>
      </c>
      <c r="K341" s="731">
        <v>2018</v>
      </c>
      <c r="L341" s="613" t="s">
        <v>303</v>
      </c>
      <c r="M341" s="613">
        <f t="shared" si="56"/>
        <v>0</v>
      </c>
      <c r="N341" s="613">
        <f t="shared" si="57"/>
        <v>1</v>
      </c>
      <c r="O341" s="732"/>
      <c r="P341" s="732"/>
      <c r="Q341" s="732">
        <v>1</v>
      </c>
      <c r="R341" s="732"/>
      <c r="S341" s="732"/>
      <c r="T341" s="732"/>
      <c r="U341" s="613">
        <f t="shared" si="58"/>
        <v>1</v>
      </c>
      <c r="W341" s="613" t="str">
        <f t="shared" si="51"/>
        <v>I</v>
      </c>
      <c r="X341" s="613" t="str">
        <f t="shared" si="52"/>
        <v>I</v>
      </c>
      <c r="Y341" s="613">
        <f t="shared" si="53"/>
        <v>2016</v>
      </c>
      <c r="Z341" s="613" t="str">
        <f t="shared" si="54"/>
        <v>I</v>
      </c>
      <c r="AA341" s="613" t="str">
        <f t="shared" si="55"/>
        <v>I</v>
      </c>
      <c r="AB341" s="613" t="str">
        <f t="shared" si="55"/>
        <v>I</v>
      </c>
      <c r="AD341" s="613"/>
      <c r="AE341" s="740"/>
      <c r="AF341" s="880"/>
      <c r="AM341" s="647"/>
      <c r="AN341" s="647"/>
      <c r="AO341" s="647"/>
      <c r="AP341" s="647"/>
      <c r="AQ341" s="647"/>
    </row>
    <row r="342" spans="1:43" x14ac:dyDescent="0.2">
      <c r="A342" s="527">
        <v>340</v>
      </c>
      <c r="C342" s="730" t="s">
        <v>2596</v>
      </c>
      <c r="D342" s="624"/>
      <c r="E342" s="624">
        <v>42993</v>
      </c>
      <c r="F342" s="846" t="s">
        <v>2694</v>
      </c>
      <c r="G342" s="624">
        <v>43248</v>
      </c>
      <c r="H342" s="530">
        <f t="shared" si="59"/>
        <v>0.69815195071868585</v>
      </c>
      <c r="I342" s="730"/>
      <c r="J342" s="731">
        <v>2017</v>
      </c>
      <c r="K342" s="731">
        <v>2018</v>
      </c>
      <c r="L342" s="613" t="s">
        <v>303</v>
      </c>
      <c r="M342" s="613">
        <f t="shared" si="56"/>
        <v>0</v>
      </c>
      <c r="N342" s="613">
        <f t="shared" si="57"/>
        <v>1</v>
      </c>
      <c r="O342" s="732"/>
      <c r="P342" s="732"/>
      <c r="Q342" s="732">
        <v>1</v>
      </c>
      <c r="R342" s="732"/>
      <c r="S342" s="732"/>
      <c r="T342" s="732"/>
      <c r="U342" s="613">
        <f t="shared" si="58"/>
        <v>1</v>
      </c>
      <c r="W342" s="613" t="str">
        <f t="shared" si="51"/>
        <v>I</v>
      </c>
      <c r="X342" s="613" t="str">
        <f t="shared" si="52"/>
        <v>I</v>
      </c>
      <c r="Y342" s="613">
        <f t="shared" si="53"/>
        <v>2017</v>
      </c>
      <c r="Z342" s="613" t="str">
        <f t="shared" si="54"/>
        <v>I</v>
      </c>
      <c r="AA342" s="613" t="str">
        <f t="shared" si="55"/>
        <v>I</v>
      </c>
      <c r="AB342" s="613" t="str">
        <f t="shared" si="55"/>
        <v>I</v>
      </c>
      <c r="AD342" s="613"/>
      <c r="AE342" s="740"/>
      <c r="AF342" s="880"/>
      <c r="AM342" s="647"/>
      <c r="AN342" s="647"/>
      <c r="AO342" s="647"/>
      <c r="AP342" s="647"/>
      <c r="AQ342" s="647"/>
    </row>
    <row r="343" spans="1:43" x14ac:dyDescent="0.2">
      <c r="A343" s="527">
        <v>341</v>
      </c>
      <c r="C343" s="730" t="s">
        <v>2615</v>
      </c>
      <c r="D343" s="624"/>
      <c r="E343" s="624">
        <v>42917</v>
      </c>
      <c r="F343" s="846" t="s">
        <v>316</v>
      </c>
      <c r="G343" s="624">
        <v>43273</v>
      </c>
      <c r="H343" s="530">
        <f t="shared" si="59"/>
        <v>0.97467488021902804</v>
      </c>
      <c r="I343" s="730"/>
      <c r="J343" s="731">
        <v>2017</v>
      </c>
      <c r="K343" s="731">
        <v>2018</v>
      </c>
      <c r="L343" s="613" t="s">
        <v>303</v>
      </c>
      <c r="M343" s="613">
        <f t="shared" si="56"/>
        <v>0</v>
      </c>
      <c r="N343" s="613">
        <f t="shared" si="57"/>
        <v>1</v>
      </c>
      <c r="O343" s="732"/>
      <c r="P343" s="732"/>
      <c r="Q343" s="732">
        <v>1</v>
      </c>
      <c r="R343" s="732"/>
      <c r="S343" s="732"/>
      <c r="T343" s="732"/>
      <c r="U343" s="613">
        <f t="shared" si="58"/>
        <v>1</v>
      </c>
      <c r="W343" s="613" t="str">
        <f t="shared" si="51"/>
        <v>I</v>
      </c>
      <c r="X343" s="613" t="str">
        <f t="shared" si="52"/>
        <v>I</v>
      </c>
      <c r="Y343" s="613">
        <f t="shared" si="53"/>
        <v>2017</v>
      </c>
      <c r="Z343" s="613" t="str">
        <f t="shared" si="54"/>
        <v>I</v>
      </c>
      <c r="AA343" s="613" t="str">
        <f t="shared" si="55"/>
        <v>I</v>
      </c>
      <c r="AB343" s="613" t="str">
        <f t="shared" si="55"/>
        <v>I</v>
      </c>
      <c r="AD343" s="726"/>
      <c r="AE343" s="740"/>
      <c r="AF343" s="880"/>
      <c r="AM343" s="647"/>
      <c r="AN343" s="647"/>
      <c r="AO343" s="647"/>
      <c r="AP343" s="647"/>
      <c r="AQ343" s="647"/>
    </row>
    <row r="344" spans="1:43" x14ac:dyDescent="0.2">
      <c r="A344" s="527">
        <v>342</v>
      </c>
      <c r="C344" s="730" t="s">
        <v>2602</v>
      </c>
      <c r="D344" s="624"/>
      <c r="E344" s="624">
        <v>43174</v>
      </c>
      <c r="F344" s="846" t="s">
        <v>2694</v>
      </c>
      <c r="G344" s="624">
        <v>43285</v>
      </c>
      <c r="H344" s="530">
        <f t="shared" si="59"/>
        <v>0.30390143737166325</v>
      </c>
      <c r="I344" s="730"/>
      <c r="J344" s="731">
        <v>2018</v>
      </c>
      <c r="K344" s="731">
        <v>2018</v>
      </c>
      <c r="L344" s="613" t="s">
        <v>303</v>
      </c>
      <c r="M344" s="613">
        <f t="shared" si="56"/>
        <v>0</v>
      </c>
      <c r="N344" s="613">
        <f t="shared" si="57"/>
        <v>1</v>
      </c>
      <c r="O344" s="732"/>
      <c r="P344" s="732"/>
      <c r="Q344" s="732">
        <v>1</v>
      </c>
      <c r="R344" s="732"/>
      <c r="S344" s="732"/>
      <c r="T344" s="732"/>
      <c r="U344" s="613">
        <f t="shared" si="58"/>
        <v>1</v>
      </c>
      <c r="W344" s="613" t="str">
        <f t="shared" si="51"/>
        <v>I</v>
      </c>
      <c r="X344" s="613" t="str">
        <f t="shared" si="52"/>
        <v>I</v>
      </c>
      <c r="Y344" s="613">
        <f t="shared" si="53"/>
        <v>2018</v>
      </c>
      <c r="Z344" s="613" t="str">
        <f t="shared" si="54"/>
        <v>I</v>
      </c>
      <c r="AA344" s="613" t="str">
        <f t="shared" si="55"/>
        <v>I</v>
      </c>
      <c r="AB344" s="613" t="str">
        <f t="shared" si="55"/>
        <v>I</v>
      </c>
      <c r="AD344" s="613"/>
      <c r="AE344" s="740"/>
      <c r="AF344" s="880"/>
      <c r="AM344" s="647"/>
      <c r="AN344" s="647"/>
      <c r="AO344" s="647"/>
      <c r="AP344" s="647"/>
      <c r="AQ344" s="647"/>
    </row>
    <row r="345" spans="1:43" x14ac:dyDescent="0.2">
      <c r="A345" s="527">
        <v>343</v>
      </c>
      <c r="C345" s="730" t="s">
        <v>2603</v>
      </c>
      <c r="D345" s="624"/>
      <c r="E345" s="624">
        <v>43235</v>
      </c>
      <c r="F345" s="846" t="s">
        <v>2694</v>
      </c>
      <c r="G345" s="624">
        <v>43298</v>
      </c>
      <c r="H345" s="530">
        <f t="shared" si="59"/>
        <v>0.17248459958932238</v>
      </c>
      <c r="I345" s="730"/>
      <c r="J345" s="731">
        <v>2018</v>
      </c>
      <c r="K345" s="731">
        <v>2018</v>
      </c>
      <c r="L345" s="613" t="s">
        <v>303</v>
      </c>
      <c r="M345" s="613">
        <f t="shared" si="56"/>
        <v>0</v>
      </c>
      <c r="N345" s="613">
        <f t="shared" si="57"/>
        <v>1</v>
      </c>
      <c r="O345" s="732"/>
      <c r="P345" s="732"/>
      <c r="Q345" s="732">
        <v>1</v>
      </c>
      <c r="R345" s="732"/>
      <c r="S345" s="732"/>
      <c r="T345" s="732"/>
      <c r="U345" s="613">
        <f t="shared" si="58"/>
        <v>1</v>
      </c>
      <c r="W345" s="613" t="str">
        <f t="shared" si="51"/>
        <v>I</v>
      </c>
      <c r="X345" s="613" t="str">
        <f t="shared" si="52"/>
        <v>I</v>
      </c>
      <c r="Y345" s="613">
        <f t="shared" si="53"/>
        <v>2018</v>
      </c>
      <c r="Z345" s="613" t="str">
        <f t="shared" si="54"/>
        <v>I</v>
      </c>
      <c r="AA345" s="613" t="str">
        <f t="shared" si="55"/>
        <v>I</v>
      </c>
      <c r="AB345" s="613" t="str">
        <f t="shared" si="55"/>
        <v>I</v>
      </c>
      <c r="AD345" s="613"/>
      <c r="AE345" s="740"/>
      <c r="AF345" s="880"/>
      <c r="AM345" s="647"/>
      <c r="AN345" s="647"/>
      <c r="AO345" s="647"/>
      <c r="AP345" s="647"/>
      <c r="AQ345" s="647"/>
    </row>
    <row r="346" spans="1:43" x14ac:dyDescent="0.2">
      <c r="A346" s="527">
        <v>344</v>
      </c>
      <c r="C346" s="730" t="s">
        <v>2619</v>
      </c>
      <c r="D346" s="624"/>
      <c r="E346" s="624">
        <v>43174</v>
      </c>
      <c r="F346" s="846" t="s">
        <v>2694</v>
      </c>
      <c r="G346" s="624">
        <v>43315</v>
      </c>
      <c r="H346" s="530">
        <f t="shared" si="59"/>
        <v>0.38603696098562629</v>
      </c>
      <c r="I346" s="730"/>
      <c r="J346" s="731">
        <v>2018</v>
      </c>
      <c r="K346" s="731">
        <v>2018</v>
      </c>
      <c r="L346" s="613" t="s">
        <v>303</v>
      </c>
      <c r="M346" s="613">
        <f t="shared" si="56"/>
        <v>0</v>
      </c>
      <c r="N346" s="613">
        <f t="shared" si="57"/>
        <v>1</v>
      </c>
      <c r="O346" s="732"/>
      <c r="P346" s="732"/>
      <c r="Q346" s="732">
        <v>1</v>
      </c>
      <c r="R346" s="732"/>
      <c r="S346" s="732"/>
      <c r="T346" s="732"/>
      <c r="U346" s="613">
        <f t="shared" si="58"/>
        <v>1</v>
      </c>
      <c r="W346" s="613" t="str">
        <f t="shared" si="51"/>
        <v>I</v>
      </c>
      <c r="X346" s="613" t="str">
        <f t="shared" si="52"/>
        <v>I</v>
      </c>
      <c r="Y346" s="613">
        <f t="shared" si="53"/>
        <v>2018</v>
      </c>
      <c r="Z346" s="613" t="str">
        <f t="shared" si="54"/>
        <v>I</v>
      </c>
      <c r="AA346" s="613" t="str">
        <f t="shared" si="55"/>
        <v>I</v>
      </c>
      <c r="AB346" s="613" t="str">
        <f t="shared" si="55"/>
        <v>I</v>
      </c>
      <c r="AD346" s="613"/>
      <c r="AE346" s="740"/>
      <c r="AF346" s="880"/>
      <c r="AM346" s="647"/>
      <c r="AN346" s="647"/>
      <c r="AO346" s="647"/>
      <c r="AP346" s="647"/>
      <c r="AQ346" s="647"/>
    </row>
    <row r="347" spans="1:43" x14ac:dyDescent="0.2">
      <c r="A347" s="527">
        <v>345</v>
      </c>
      <c r="C347" s="730" t="s">
        <v>2622</v>
      </c>
      <c r="D347" s="624"/>
      <c r="E347" s="624">
        <v>43282</v>
      </c>
      <c r="F347" s="846" t="s">
        <v>316</v>
      </c>
      <c r="G347" s="624">
        <v>43343</v>
      </c>
      <c r="H347" s="530">
        <f t="shared" si="59"/>
        <v>0.16700889801505817</v>
      </c>
      <c r="I347" s="730"/>
      <c r="J347" s="731">
        <v>2018</v>
      </c>
      <c r="K347" s="731">
        <v>2018</v>
      </c>
      <c r="L347" s="613" t="s">
        <v>303</v>
      </c>
      <c r="M347" s="613">
        <f t="shared" si="56"/>
        <v>0</v>
      </c>
      <c r="N347" s="613">
        <f t="shared" si="57"/>
        <v>1</v>
      </c>
      <c r="O347" s="732"/>
      <c r="P347" s="732"/>
      <c r="Q347" s="732">
        <v>1</v>
      </c>
      <c r="R347" s="732"/>
      <c r="S347" s="732"/>
      <c r="T347" s="732"/>
      <c r="U347" s="613">
        <f t="shared" si="58"/>
        <v>1</v>
      </c>
      <c r="W347" s="613" t="str">
        <f t="shared" si="51"/>
        <v>I</v>
      </c>
      <c r="X347" s="613" t="str">
        <f t="shared" si="52"/>
        <v>I</v>
      </c>
      <c r="Y347" s="613">
        <f t="shared" si="53"/>
        <v>2018</v>
      </c>
      <c r="Z347" s="613" t="str">
        <f t="shared" si="54"/>
        <v>I</v>
      </c>
      <c r="AA347" s="613" t="str">
        <f t="shared" si="55"/>
        <v>I</v>
      </c>
      <c r="AB347" s="613" t="str">
        <f t="shared" si="55"/>
        <v>I</v>
      </c>
      <c r="AD347" s="613"/>
      <c r="AE347" s="740"/>
      <c r="AF347" s="880"/>
      <c r="AM347" s="647"/>
      <c r="AN347" s="647"/>
      <c r="AO347" s="647"/>
      <c r="AP347" s="647"/>
      <c r="AQ347" s="647"/>
    </row>
    <row r="348" spans="1:43" x14ac:dyDescent="0.2">
      <c r="A348" s="527">
        <v>346</v>
      </c>
      <c r="C348" s="730" t="s">
        <v>2625</v>
      </c>
      <c r="D348" s="624"/>
      <c r="E348" s="624">
        <v>41456</v>
      </c>
      <c r="F348" s="846" t="s">
        <v>316</v>
      </c>
      <c r="G348" s="624">
        <v>43366</v>
      </c>
      <c r="H348" s="530">
        <f t="shared" si="59"/>
        <v>5.2292950034223136</v>
      </c>
      <c r="I348" s="730"/>
      <c r="J348" s="731">
        <v>2013</v>
      </c>
      <c r="K348" s="731">
        <v>2018</v>
      </c>
      <c r="L348" s="613" t="s">
        <v>303</v>
      </c>
      <c r="M348" s="613">
        <f t="shared" si="56"/>
        <v>0</v>
      </c>
      <c r="N348" s="613">
        <f t="shared" si="57"/>
        <v>1</v>
      </c>
      <c r="O348" s="732"/>
      <c r="P348" s="732"/>
      <c r="Q348" s="732">
        <v>1</v>
      </c>
      <c r="R348" s="732"/>
      <c r="S348" s="732"/>
      <c r="T348" s="732"/>
      <c r="U348" s="613">
        <f t="shared" si="58"/>
        <v>1</v>
      </c>
      <c r="W348" s="613" t="str">
        <f t="shared" si="51"/>
        <v>I</v>
      </c>
      <c r="X348" s="613" t="str">
        <f t="shared" si="52"/>
        <v>I</v>
      </c>
      <c r="Y348" s="613">
        <f t="shared" si="53"/>
        <v>2013</v>
      </c>
      <c r="Z348" s="613" t="str">
        <f t="shared" si="54"/>
        <v>I</v>
      </c>
      <c r="AA348" s="613" t="str">
        <f t="shared" si="55"/>
        <v>I</v>
      </c>
      <c r="AB348" s="613" t="str">
        <f t="shared" si="55"/>
        <v>I</v>
      </c>
      <c r="AD348" s="613"/>
      <c r="AE348" s="740"/>
      <c r="AF348" s="880"/>
      <c r="AM348" s="647"/>
      <c r="AN348" s="647"/>
      <c r="AO348" s="647"/>
      <c r="AP348" s="647"/>
      <c r="AQ348" s="647"/>
    </row>
    <row r="349" spans="1:43" x14ac:dyDescent="0.2">
      <c r="A349" s="527">
        <v>347</v>
      </c>
      <c r="C349" s="730" t="s">
        <v>2627</v>
      </c>
      <c r="D349" s="624"/>
      <c r="E349" s="624">
        <v>42121</v>
      </c>
      <c r="F349" s="846" t="s">
        <v>2167</v>
      </c>
      <c r="G349" s="624">
        <v>43366</v>
      </c>
      <c r="H349" s="530">
        <f t="shared" si="59"/>
        <v>3.4086242299794662</v>
      </c>
      <c r="I349" s="730"/>
      <c r="J349" s="731">
        <v>2015</v>
      </c>
      <c r="K349" s="731">
        <v>2018</v>
      </c>
      <c r="L349" s="613" t="s">
        <v>303</v>
      </c>
      <c r="M349" s="613">
        <f t="shared" si="56"/>
        <v>0</v>
      </c>
      <c r="N349" s="613">
        <f t="shared" si="57"/>
        <v>1</v>
      </c>
      <c r="O349" s="732"/>
      <c r="P349" s="732"/>
      <c r="Q349" s="732">
        <v>1</v>
      </c>
      <c r="R349" s="732"/>
      <c r="S349" s="732"/>
      <c r="T349" s="732"/>
      <c r="U349" s="613">
        <f t="shared" si="58"/>
        <v>1</v>
      </c>
      <c r="W349" s="613" t="str">
        <f t="shared" si="51"/>
        <v>I</v>
      </c>
      <c r="X349" s="613" t="str">
        <f t="shared" si="52"/>
        <v>I</v>
      </c>
      <c r="Y349" s="613">
        <f t="shared" si="53"/>
        <v>2015</v>
      </c>
      <c r="Z349" s="613" t="str">
        <f t="shared" si="54"/>
        <v>I</v>
      </c>
      <c r="AA349" s="613" t="str">
        <f t="shared" si="55"/>
        <v>I</v>
      </c>
      <c r="AB349" s="613" t="str">
        <f t="shared" si="55"/>
        <v>I</v>
      </c>
      <c r="AD349" s="613"/>
      <c r="AE349" s="740"/>
      <c r="AF349" s="880"/>
      <c r="AM349" s="647"/>
      <c r="AN349" s="647"/>
      <c r="AO349" s="647"/>
      <c r="AP349" s="647"/>
      <c r="AQ349" s="647"/>
    </row>
    <row r="350" spans="1:43" x14ac:dyDescent="0.2">
      <c r="A350" s="527">
        <v>348</v>
      </c>
      <c r="C350" s="730" t="s">
        <v>2629</v>
      </c>
      <c r="D350" s="624"/>
      <c r="E350" s="624">
        <v>42109</v>
      </c>
      <c r="F350" s="846" t="s">
        <v>2694</v>
      </c>
      <c r="G350" s="624">
        <v>43366</v>
      </c>
      <c r="H350" s="530">
        <f t="shared" si="59"/>
        <v>3.4414784394250515</v>
      </c>
      <c r="I350" s="730"/>
      <c r="J350" s="731">
        <v>2015</v>
      </c>
      <c r="K350" s="731">
        <v>2018</v>
      </c>
      <c r="L350" s="613" t="s">
        <v>303</v>
      </c>
      <c r="M350" s="613">
        <f t="shared" si="56"/>
        <v>0</v>
      </c>
      <c r="N350" s="613">
        <f t="shared" si="57"/>
        <v>1</v>
      </c>
      <c r="O350" s="732"/>
      <c r="P350" s="732"/>
      <c r="Q350" s="732">
        <v>1</v>
      </c>
      <c r="R350" s="732"/>
      <c r="S350" s="732"/>
      <c r="T350" s="732"/>
      <c r="U350" s="613">
        <f t="shared" si="58"/>
        <v>1</v>
      </c>
      <c r="W350" s="613" t="str">
        <f t="shared" si="51"/>
        <v>I</v>
      </c>
      <c r="X350" s="613" t="str">
        <f t="shared" si="52"/>
        <v>I</v>
      </c>
      <c r="Y350" s="613">
        <f t="shared" si="53"/>
        <v>2015</v>
      </c>
      <c r="Z350" s="613" t="str">
        <f t="shared" si="54"/>
        <v>I</v>
      </c>
      <c r="AA350" s="613" t="str">
        <f t="shared" si="55"/>
        <v>I</v>
      </c>
      <c r="AB350" s="613" t="str">
        <f t="shared" si="55"/>
        <v>I</v>
      </c>
      <c r="AD350" s="613"/>
      <c r="AE350" s="740"/>
      <c r="AF350" s="880"/>
      <c r="AM350" s="647"/>
      <c r="AN350" s="647"/>
      <c r="AO350" s="647"/>
      <c r="AP350" s="647"/>
      <c r="AQ350" s="647"/>
    </row>
    <row r="351" spans="1:43" x14ac:dyDescent="0.2">
      <c r="A351" s="527">
        <v>349</v>
      </c>
      <c r="C351" s="730" t="s">
        <v>2649</v>
      </c>
      <c r="D351" s="624"/>
      <c r="E351" s="624">
        <v>43327</v>
      </c>
      <c r="F351" s="846" t="s">
        <v>2694</v>
      </c>
      <c r="G351" s="624">
        <v>43400</v>
      </c>
      <c r="H351" s="530">
        <f t="shared" si="59"/>
        <v>0.1998631074606434</v>
      </c>
      <c r="I351" s="730"/>
      <c r="J351" s="731">
        <v>2018</v>
      </c>
      <c r="K351" s="731">
        <v>2018</v>
      </c>
      <c r="L351" s="613" t="s">
        <v>303</v>
      </c>
      <c r="M351" s="613">
        <f t="shared" si="56"/>
        <v>0</v>
      </c>
      <c r="N351" s="613">
        <f t="shared" si="57"/>
        <v>1</v>
      </c>
      <c r="O351" s="732"/>
      <c r="P351" s="732"/>
      <c r="Q351" s="732">
        <v>1</v>
      </c>
      <c r="R351" s="732"/>
      <c r="S351" s="732"/>
      <c r="T351" s="732"/>
      <c r="U351" s="613">
        <f t="shared" si="58"/>
        <v>1</v>
      </c>
      <c r="W351" s="613" t="str">
        <f t="shared" si="51"/>
        <v>I</v>
      </c>
      <c r="X351" s="613" t="str">
        <f t="shared" si="52"/>
        <v>I</v>
      </c>
      <c r="Y351" s="613">
        <f t="shared" si="53"/>
        <v>2018</v>
      </c>
      <c r="Z351" s="613" t="str">
        <f t="shared" si="54"/>
        <v>I</v>
      </c>
      <c r="AA351" s="613" t="str">
        <f t="shared" si="55"/>
        <v>I</v>
      </c>
      <c r="AB351" s="613" t="str">
        <f t="shared" si="55"/>
        <v>I</v>
      </c>
      <c r="AD351" s="613"/>
      <c r="AE351" s="740"/>
      <c r="AF351" s="880"/>
      <c r="AM351" s="647"/>
      <c r="AN351" s="647"/>
      <c r="AO351" s="647"/>
      <c r="AP351" s="647"/>
      <c r="AQ351" s="647"/>
    </row>
    <row r="352" spans="1:43" x14ac:dyDescent="0.2">
      <c r="A352" s="527">
        <v>350</v>
      </c>
      <c r="C352" s="730" t="s">
        <v>2650</v>
      </c>
      <c r="D352" s="624"/>
      <c r="E352" s="624">
        <v>43235</v>
      </c>
      <c r="F352" s="846" t="s">
        <v>2694</v>
      </c>
      <c r="G352" s="624">
        <v>43428</v>
      </c>
      <c r="H352" s="530">
        <f t="shared" si="59"/>
        <v>0.52840520191649554</v>
      </c>
      <c r="I352" s="730"/>
      <c r="J352" s="731">
        <v>2018</v>
      </c>
      <c r="K352" s="731">
        <v>2018</v>
      </c>
      <c r="L352" s="613" t="s">
        <v>303</v>
      </c>
      <c r="M352" s="613">
        <f t="shared" si="56"/>
        <v>0</v>
      </c>
      <c r="N352" s="613">
        <f t="shared" si="57"/>
        <v>1</v>
      </c>
      <c r="O352" s="732"/>
      <c r="P352" s="732"/>
      <c r="Q352" s="732">
        <v>1</v>
      </c>
      <c r="R352" s="732"/>
      <c r="S352" s="732"/>
      <c r="T352" s="732"/>
      <c r="U352" s="613">
        <f t="shared" si="58"/>
        <v>1</v>
      </c>
      <c r="W352" s="613" t="str">
        <f t="shared" si="51"/>
        <v>I</v>
      </c>
      <c r="X352" s="613" t="str">
        <f t="shared" si="52"/>
        <v>I</v>
      </c>
      <c r="Y352" s="613">
        <f t="shared" si="53"/>
        <v>2018</v>
      </c>
      <c r="Z352" s="613" t="str">
        <f t="shared" si="54"/>
        <v>I</v>
      </c>
      <c r="AA352" s="613" t="str">
        <f t="shared" si="55"/>
        <v>I</v>
      </c>
      <c r="AB352" s="613" t="str">
        <f t="shared" si="55"/>
        <v>I</v>
      </c>
      <c r="AD352" s="613"/>
      <c r="AE352" s="740"/>
      <c r="AF352" s="880"/>
      <c r="AM352" s="647"/>
      <c r="AN352" s="647"/>
      <c r="AO352" s="647"/>
      <c r="AP352" s="647"/>
      <c r="AQ352" s="647"/>
    </row>
    <row r="353" spans="1:43" x14ac:dyDescent="0.2">
      <c r="A353" s="527">
        <v>351</v>
      </c>
      <c r="C353" s="730" t="s">
        <v>2655</v>
      </c>
      <c r="D353" s="624"/>
      <c r="E353" s="882">
        <v>43221</v>
      </c>
      <c r="F353" s="846" t="s">
        <v>316</v>
      </c>
      <c r="G353" s="624">
        <v>43436</v>
      </c>
      <c r="H353" s="530">
        <f t="shared" si="59"/>
        <v>0.58863791923340181</v>
      </c>
      <c r="I353" s="730"/>
      <c r="J353" s="731">
        <v>2018</v>
      </c>
      <c r="K353" s="731">
        <v>2018</v>
      </c>
      <c r="L353" s="613" t="s">
        <v>303</v>
      </c>
      <c r="M353" s="613">
        <f t="shared" si="56"/>
        <v>0</v>
      </c>
      <c r="N353" s="613">
        <f t="shared" si="57"/>
        <v>1</v>
      </c>
      <c r="O353" s="732"/>
      <c r="P353" s="732"/>
      <c r="Q353" s="732">
        <v>1</v>
      </c>
      <c r="R353" s="732"/>
      <c r="S353" s="732"/>
      <c r="T353" s="732"/>
      <c r="U353" s="613">
        <f t="shared" si="58"/>
        <v>1</v>
      </c>
      <c r="W353" s="613" t="str">
        <f t="shared" si="51"/>
        <v>I</v>
      </c>
      <c r="X353" s="613" t="str">
        <f t="shared" si="52"/>
        <v>I</v>
      </c>
      <c r="Y353" s="613">
        <f t="shared" si="53"/>
        <v>2018</v>
      </c>
      <c r="Z353" s="613" t="str">
        <f t="shared" si="54"/>
        <v>I</v>
      </c>
      <c r="AA353" s="613" t="str">
        <f t="shared" si="55"/>
        <v>I</v>
      </c>
      <c r="AB353" s="613" t="str">
        <f t="shared" si="55"/>
        <v>I</v>
      </c>
      <c r="AD353" s="613"/>
      <c r="AE353" s="740"/>
      <c r="AF353" s="880"/>
      <c r="AM353" s="647"/>
      <c r="AN353" s="647"/>
      <c r="AO353" s="647"/>
      <c r="AP353" s="647"/>
      <c r="AQ353" s="647"/>
    </row>
    <row r="354" spans="1:43" x14ac:dyDescent="0.2">
      <c r="A354" s="527">
        <v>352</v>
      </c>
      <c r="C354" s="730" t="s">
        <v>2659</v>
      </c>
      <c r="D354" s="883">
        <v>42653</v>
      </c>
      <c r="E354" s="624"/>
      <c r="F354" s="844" t="s">
        <v>2167</v>
      </c>
      <c r="G354" s="624">
        <v>43445</v>
      </c>
      <c r="H354" s="530">
        <f t="shared" si="59"/>
        <v>2.1683778234086244</v>
      </c>
      <c r="I354" s="730"/>
      <c r="J354" s="731">
        <v>2016</v>
      </c>
      <c r="K354" s="731">
        <v>2018</v>
      </c>
      <c r="L354" s="613" t="s">
        <v>336</v>
      </c>
      <c r="M354" s="613">
        <f t="shared" si="56"/>
        <v>1</v>
      </c>
      <c r="N354" s="613">
        <f t="shared" si="57"/>
        <v>0</v>
      </c>
      <c r="O354" s="732"/>
      <c r="P354" s="732"/>
      <c r="Q354" s="732">
        <v>1</v>
      </c>
      <c r="R354" s="732"/>
      <c r="S354" s="732"/>
      <c r="T354" s="732"/>
      <c r="U354" s="613">
        <f t="shared" si="58"/>
        <v>1</v>
      </c>
      <c r="W354" s="613" t="str">
        <f t="shared" si="51"/>
        <v>I</v>
      </c>
      <c r="X354" s="613" t="str">
        <f t="shared" si="52"/>
        <v>I</v>
      </c>
      <c r="Y354" s="613">
        <f t="shared" si="53"/>
        <v>2016</v>
      </c>
      <c r="Z354" s="613" t="str">
        <f t="shared" si="54"/>
        <v>I</v>
      </c>
      <c r="AA354" s="613" t="str">
        <f t="shared" si="55"/>
        <v>I</v>
      </c>
      <c r="AB354" s="613" t="str">
        <f t="shared" si="55"/>
        <v>I</v>
      </c>
      <c r="AD354" s="613"/>
      <c r="AE354" s="740"/>
      <c r="AF354" s="880"/>
      <c r="AM354" s="647"/>
      <c r="AN354" s="647"/>
      <c r="AO354" s="647"/>
      <c r="AP354" s="647"/>
      <c r="AQ354" s="647"/>
    </row>
    <row r="355" spans="1:43" x14ac:dyDescent="0.2">
      <c r="A355" s="527">
        <v>353</v>
      </c>
      <c r="C355" s="730" t="s">
        <v>2657</v>
      </c>
      <c r="D355" s="624">
        <v>42840</v>
      </c>
      <c r="E355" s="624"/>
      <c r="F355" s="844" t="s">
        <v>316</v>
      </c>
      <c r="G355" s="624">
        <v>43440</v>
      </c>
      <c r="H355" s="530">
        <f t="shared" si="59"/>
        <v>1.6427104722792607</v>
      </c>
      <c r="I355" s="730"/>
      <c r="J355" s="731">
        <v>2017</v>
      </c>
      <c r="K355" s="731">
        <v>2018</v>
      </c>
      <c r="L355" s="613" t="s">
        <v>336</v>
      </c>
      <c r="M355" s="613">
        <f t="shared" si="56"/>
        <v>1</v>
      </c>
      <c r="N355" s="613">
        <f t="shared" si="57"/>
        <v>0</v>
      </c>
      <c r="O355" s="732"/>
      <c r="P355" s="732"/>
      <c r="Q355" s="732">
        <v>1</v>
      </c>
      <c r="R355" s="732"/>
      <c r="S355" s="732"/>
      <c r="T355" s="732"/>
      <c r="U355" s="613">
        <f t="shared" si="58"/>
        <v>1</v>
      </c>
      <c r="W355" s="613" t="str">
        <f t="shared" si="51"/>
        <v>I</v>
      </c>
      <c r="X355" s="613" t="str">
        <f t="shared" si="52"/>
        <v>I</v>
      </c>
      <c r="Y355" s="613">
        <f t="shared" si="53"/>
        <v>2017</v>
      </c>
      <c r="Z355" s="613" t="str">
        <f t="shared" si="54"/>
        <v>I</v>
      </c>
      <c r="AA355" s="613" t="str">
        <f t="shared" si="55"/>
        <v>I</v>
      </c>
      <c r="AB355" s="613" t="str">
        <f t="shared" si="55"/>
        <v>I</v>
      </c>
      <c r="AD355" s="613"/>
      <c r="AE355" s="740"/>
      <c r="AF355" s="880"/>
      <c r="AM355" s="647"/>
      <c r="AN355" s="647"/>
      <c r="AO355" s="647"/>
      <c r="AP355" s="647"/>
      <c r="AQ355" s="647"/>
    </row>
    <row r="356" spans="1:43" x14ac:dyDescent="0.2">
      <c r="A356" s="527">
        <v>354</v>
      </c>
      <c r="C356" s="834" t="s">
        <v>2683</v>
      </c>
      <c r="D356" s="624"/>
      <c r="E356" s="624"/>
      <c r="F356" s="844"/>
      <c r="G356" s="624">
        <v>43600</v>
      </c>
      <c r="H356" s="619"/>
      <c r="I356" s="834"/>
      <c r="J356" s="835">
        <v>2015</v>
      </c>
      <c r="K356" s="835">
        <v>2019</v>
      </c>
      <c r="L356" s="613" t="s">
        <v>336</v>
      </c>
      <c r="M356" s="613">
        <f t="shared" si="56"/>
        <v>0</v>
      </c>
      <c r="N356" s="613">
        <f t="shared" si="57"/>
        <v>0</v>
      </c>
      <c r="O356" s="836"/>
      <c r="P356" s="836"/>
      <c r="Q356" s="836"/>
      <c r="R356" s="836">
        <v>1</v>
      </c>
      <c r="S356" s="836"/>
      <c r="T356" s="836"/>
      <c r="U356" s="613">
        <f t="shared" si="58"/>
        <v>1</v>
      </c>
      <c r="W356" s="613" t="str">
        <f t="shared" si="51"/>
        <v>I</v>
      </c>
      <c r="X356" s="613" t="str">
        <f t="shared" si="52"/>
        <v>I</v>
      </c>
      <c r="Y356" s="613" t="str">
        <f t="shared" si="53"/>
        <v>I</v>
      </c>
      <c r="Z356" s="613">
        <f t="shared" si="54"/>
        <v>2015</v>
      </c>
      <c r="AA356" s="613" t="str">
        <f t="shared" si="55"/>
        <v>I</v>
      </c>
      <c r="AB356" s="613" t="str">
        <f t="shared" si="55"/>
        <v>I</v>
      </c>
      <c r="AD356" s="613"/>
      <c r="AE356" s="740"/>
      <c r="AF356" s="880"/>
      <c r="AM356" s="647"/>
      <c r="AN356" s="647"/>
      <c r="AO356" s="647"/>
      <c r="AP356" s="647"/>
      <c r="AQ356" s="647"/>
    </row>
    <row r="357" spans="1:43" x14ac:dyDescent="0.2">
      <c r="A357" s="527">
        <v>355</v>
      </c>
      <c r="C357" s="834" t="s">
        <v>2677</v>
      </c>
      <c r="D357" s="883">
        <v>42186</v>
      </c>
      <c r="E357" s="624"/>
      <c r="F357" s="844" t="s">
        <v>316</v>
      </c>
      <c r="G357" s="624">
        <v>43577</v>
      </c>
      <c r="H357" s="530">
        <f t="shared" ref="H357:H375" si="60">(G357-MAX(D357:E357))/365.25</f>
        <v>3.808350444900753</v>
      </c>
      <c r="I357" s="834"/>
      <c r="J357" s="835">
        <v>2015</v>
      </c>
      <c r="K357" s="835">
        <v>2019</v>
      </c>
      <c r="L357" s="613" t="s">
        <v>336</v>
      </c>
      <c r="M357" s="613">
        <f t="shared" si="56"/>
        <v>1</v>
      </c>
      <c r="N357" s="613">
        <f t="shared" si="57"/>
        <v>0</v>
      </c>
      <c r="O357" s="836"/>
      <c r="P357" s="836"/>
      <c r="Q357" s="836">
        <v>1</v>
      </c>
      <c r="R357" s="836"/>
      <c r="S357" s="836"/>
      <c r="T357" s="836"/>
      <c r="U357" s="613">
        <f t="shared" si="58"/>
        <v>1</v>
      </c>
      <c r="W357" s="613" t="str">
        <f t="shared" si="51"/>
        <v>I</v>
      </c>
      <c r="X357" s="613" t="str">
        <f t="shared" si="52"/>
        <v>I</v>
      </c>
      <c r="Y357" s="613">
        <f t="shared" si="53"/>
        <v>2015</v>
      </c>
      <c r="Z357" s="613" t="str">
        <f t="shared" si="54"/>
        <v>I</v>
      </c>
      <c r="AA357" s="613" t="str">
        <f t="shared" si="55"/>
        <v>I</v>
      </c>
      <c r="AB357" s="613" t="str">
        <f t="shared" si="55"/>
        <v>I</v>
      </c>
      <c r="AD357" s="613"/>
      <c r="AE357" s="740"/>
      <c r="AF357" s="880"/>
      <c r="AM357" s="647"/>
      <c r="AN357" s="647"/>
      <c r="AO357" s="647"/>
      <c r="AP357" s="647"/>
      <c r="AQ357" s="647"/>
    </row>
    <row r="358" spans="1:43" x14ac:dyDescent="0.2">
      <c r="A358" s="527">
        <v>356</v>
      </c>
      <c r="C358" s="834" t="s">
        <v>2666</v>
      </c>
      <c r="D358" s="883">
        <v>43419</v>
      </c>
      <c r="E358" s="624"/>
      <c r="F358" s="844" t="s">
        <v>2694</v>
      </c>
      <c r="G358" s="624">
        <v>43505</v>
      </c>
      <c r="H358" s="530">
        <f t="shared" si="60"/>
        <v>0.23545516769336072</v>
      </c>
      <c r="I358" s="834"/>
      <c r="J358" s="835">
        <v>2018</v>
      </c>
      <c r="K358" s="835">
        <v>2019</v>
      </c>
      <c r="L358" s="613" t="s">
        <v>336</v>
      </c>
      <c r="M358" s="613">
        <f t="shared" si="56"/>
        <v>1</v>
      </c>
      <c r="N358" s="613">
        <f t="shared" si="57"/>
        <v>0</v>
      </c>
      <c r="O358" s="836"/>
      <c r="P358" s="836"/>
      <c r="Q358" s="836">
        <v>1</v>
      </c>
      <c r="R358" s="836"/>
      <c r="S358" s="836"/>
      <c r="T358" s="836"/>
      <c r="U358" s="613">
        <f t="shared" si="58"/>
        <v>1</v>
      </c>
      <c r="W358" s="613" t="str">
        <f t="shared" si="51"/>
        <v>I</v>
      </c>
      <c r="X358" s="613" t="str">
        <f t="shared" si="52"/>
        <v>I</v>
      </c>
      <c r="Y358" s="613">
        <f t="shared" si="53"/>
        <v>2018</v>
      </c>
      <c r="Z358" s="613" t="str">
        <f t="shared" si="54"/>
        <v>I</v>
      </c>
      <c r="AA358" s="613" t="str">
        <f t="shared" si="55"/>
        <v>I</v>
      </c>
      <c r="AB358" s="613" t="str">
        <f t="shared" si="55"/>
        <v>I</v>
      </c>
      <c r="AD358" s="613"/>
      <c r="AE358" s="740"/>
      <c r="AF358" s="880"/>
      <c r="AM358" s="647"/>
      <c r="AN358" s="647"/>
      <c r="AO358" s="647"/>
      <c r="AP358" s="647"/>
      <c r="AQ358" s="647"/>
    </row>
    <row r="359" spans="1:43" x14ac:dyDescent="0.2">
      <c r="A359" s="527">
        <v>357</v>
      </c>
      <c r="C359" s="834" t="s">
        <v>2732</v>
      </c>
      <c r="D359" s="883">
        <v>43384</v>
      </c>
      <c r="E359" s="624"/>
      <c r="F359" s="844" t="s">
        <v>2167</v>
      </c>
      <c r="G359" s="624">
        <v>43654</v>
      </c>
      <c r="H359" s="530">
        <f t="shared" si="60"/>
        <v>0.73921971252566732</v>
      </c>
      <c r="I359" s="834"/>
      <c r="J359" s="835">
        <v>2018</v>
      </c>
      <c r="K359" s="835">
        <v>2019</v>
      </c>
      <c r="L359" s="613" t="s">
        <v>336</v>
      </c>
      <c r="M359" s="613">
        <f t="shared" si="56"/>
        <v>1</v>
      </c>
      <c r="N359" s="613">
        <f t="shared" si="57"/>
        <v>0</v>
      </c>
      <c r="O359" s="836"/>
      <c r="P359" s="836"/>
      <c r="Q359" s="836">
        <v>1</v>
      </c>
      <c r="R359" s="836"/>
      <c r="S359" s="836"/>
      <c r="T359" s="836"/>
      <c r="U359" s="613">
        <f t="shared" si="58"/>
        <v>1</v>
      </c>
      <c r="W359" s="613" t="str">
        <f t="shared" si="51"/>
        <v>I</v>
      </c>
      <c r="X359" s="613" t="str">
        <f t="shared" si="52"/>
        <v>I</v>
      </c>
      <c r="Y359" s="613">
        <f t="shared" si="53"/>
        <v>2018</v>
      </c>
      <c r="Z359" s="613" t="str">
        <f t="shared" si="54"/>
        <v>I</v>
      </c>
      <c r="AA359" s="613" t="str">
        <f t="shared" si="55"/>
        <v>I</v>
      </c>
      <c r="AB359" s="613" t="str">
        <f t="shared" si="55"/>
        <v>I</v>
      </c>
      <c r="AD359" s="613"/>
      <c r="AE359" s="740"/>
      <c r="AF359" s="880"/>
      <c r="AM359" s="647"/>
      <c r="AN359" s="647"/>
      <c r="AO359" s="647"/>
      <c r="AP359" s="647"/>
      <c r="AQ359" s="647"/>
    </row>
    <row r="360" spans="1:43" x14ac:dyDescent="0.2">
      <c r="A360" s="527">
        <v>358</v>
      </c>
      <c r="C360" s="834" t="s">
        <v>2693</v>
      </c>
      <c r="D360" s="624"/>
      <c r="E360" s="624">
        <v>39995</v>
      </c>
      <c r="F360" s="846" t="s">
        <v>316</v>
      </c>
      <c r="G360" s="624">
        <v>43534</v>
      </c>
      <c r="H360" s="530">
        <f t="shared" si="60"/>
        <v>9.6892539356605063</v>
      </c>
      <c r="I360" s="834"/>
      <c r="J360" s="835">
        <v>2009</v>
      </c>
      <c r="K360" s="835">
        <v>2019</v>
      </c>
      <c r="L360" s="613" t="s">
        <v>303</v>
      </c>
      <c r="M360" s="613">
        <f t="shared" si="56"/>
        <v>0</v>
      </c>
      <c r="N360" s="613">
        <f t="shared" si="57"/>
        <v>1</v>
      </c>
      <c r="O360" s="836"/>
      <c r="P360" s="836"/>
      <c r="Q360" s="836">
        <v>1</v>
      </c>
      <c r="R360" s="836"/>
      <c r="S360" s="836"/>
      <c r="T360" s="836"/>
      <c r="U360" s="613">
        <f t="shared" si="58"/>
        <v>1</v>
      </c>
      <c r="W360" s="613" t="str">
        <f t="shared" si="51"/>
        <v>I</v>
      </c>
      <c r="X360" s="613" t="str">
        <f t="shared" si="52"/>
        <v>I</v>
      </c>
      <c r="Y360" s="613">
        <f t="shared" si="53"/>
        <v>2009</v>
      </c>
      <c r="Z360" s="613" t="str">
        <f t="shared" si="54"/>
        <v>I</v>
      </c>
      <c r="AA360" s="613" t="str">
        <f t="shared" si="55"/>
        <v>I</v>
      </c>
      <c r="AB360" s="613" t="str">
        <f t="shared" si="55"/>
        <v>I</v>
      </c>
      <c r="AD360" s="726"/>
      <c r="AE360" s="740"/>
      <c r="AF360" s="880"/>
      <c r="AM360" s="647"/>
      <c r="AN360" s="647"/>
      <c r="AO360" s="647"/>
      <c r="AP360" s="647"/>
      <c r="AQ360" s="647"/>
    </row>
    <row r="361" spans="1:43" x14ac:dyDescent="0.2">
      <c r="A361" s="527">
        <v>359</v>
      </c>
      <c r="C361" s="834" t="s">
        <v>2663</v>
      </c>
      <c r="D361" s="624"/>
      <c r="E361" s="624">
        <v>43235</v>
      </c>
      <c r="F361" s="846" t="s">
        <v>2694</v>
      </c>
      <c r="G361" s="624">
        <v>43470</v>
      </c>
      <c r="H361" s="530">
        <f t="shared" si="60"/>
        <v>0.64339493497604383</v>
      </c>
      <c r="I361" s="834"/>
      <c r="J361" s="835">
        <v>2018</v>
      </c>
      <c r="K361" s="835">
        <v>2019</v>
      </c>
      <c r="L361" s="613" t="s">
        <v>303</v>
      </c>
      <c r="M361" s="613">
        <f t="shared" si="56"/>
        <v>0</v>
      </c>
      <c r="N361" s="613">
        <f t="shared" si="57"/>
        <v>1</v>
      </c>
      <c r="O361" s="836"/>
      <c r="P361" s="836"/>
      <c r="Q361" s="836">
        <v>1</v>
      </c>
      <c r="R361" s="836"/>
      <c r="S361" s="836"/>
      <c r="T361" s="836"/>
      <c r="U361" s="613">
        <f t="shared" si="58"/>
        <v>1</v>
      </c>
      <c r="W361" s="613" t="str">
        <f t="shared" si="51"/>
        <v>I</v>
      </c>
      <c r="X361" s="613" t="str">
        <f t="shared" si="52"/>
        <v>I</v>
      </c>
      <c r="Y361" s="613">
        <f t="shared" si="53"/>
        <v>2018</v>
      </c>
      <c r="Z361" s="613" t="str">
        <f t="shared" si="54"/>
        <v>I</v>
      </c>
      <c r="AA361" s="613" t="str">
        <f t="shared" si="55"/>
        <v>I</v>
      </c>
      <c r="AB361" s="613" t="str">
        <f t="shared" si="55"/>
        <v>I</v>
      </c>
      <c r="AD361" s="613"/>
      <c r="AE361" s="740"/>
      <c r="AF361" s="880"/>
      <c r="AM361" s="647"/>
      <c r="AN361" s="647"/>
      <c r="AO361" s="647"/>
      <c r="AP361" s="647"/>
      <c r="AQ361" s="647"/>
    </row>
    <row r="362" spans="1:43" x14ac:dyDescent="0.2">
      <c r="A362" s="527">
        <v>360</v>
      </c>
      <c r="C362" s="834" t="s">
        <v>2661</v>
      </c>
      <c r="D362" s="624"/>
      <c r="E362" s="624">
        <v>43419</v>
      </c>
      <c r="F362" s="846" t="s">
        <v>2694</v>
      </c>
      <c r="G362" s="624">
        <v>43466</v>
      </c>
      <c r="H362" s="530">
        <f t="shared" si="60"/>
        <v>0.12867898699520877</v>
      </c>
      <c r="I362" s="834"/>
      <c r="J362" s="835">
        <v>2018</v>
      </c>
      <c r="K362" s="835">
        <v>2019</v>
      </c>
      <c r="L362" s="613" t="s">
        <v>303</v>
      </c>
      <c r="M362" s="613">
        <f t="shared" si="56"/>
        <v>0</v>
      </c>
      <c r="N362" s="613">
        <f t="shared" si="57"/>
        <v>1</v>
      </c>
      <c r="O362" s="836"/>
      <c r="P362" s="836"/>
      <c r="Q362" s="836">
        <v>1</v>
      </c>
      <c r="R362" s="836"/>
      <c r="S362" s="836"/>
      <c r="T362" s="836"/>
      <c r="U362" s="613">
        <f t="shared" si="58"/>
        <v>1</v>
      </c>
      <c r="W362" s="613" t="str">
        <f t="shared" si="51"/>
        <v>I</v>
      </c>
      <c r="X362" s="613" t="str">
        <f t="shared" si="52"/>
        <v>I</v>
      </c>
      <c r="Y362" s="613">
        <f t="shared" si="53"/>
        <v>2018</v>
      </c>
      <c r="Z362" s="613" t="str">
        <f t="shared" si="54"/>
        <v>I</v>
      </c>
      <c r="AA362" s="613" t="str">
        <f t="shared" si="55"/>
        <v>I</v>
      </c>
      <c r="AB362" s="613" t="str">
        <f t="shared" si="55"/>
        <v>I</v>
      </c>
      <c r="AD362" s="726"/>
      <c r="AE362" s="740"/>
      <c r="AF362" s="880"/>
      <c r="AM362" s="647"/>
      <c r="AN362" s="647"/>
      <c r="AO362" s="647"/>
      <c r="AP362" s="647"/>
      <c r="AQ362" s="647"/>
    </row>
    <row r="363" spans="1:43" x14ac:dyDescent="0.2">
      <c r="A363" s="527">
        <v>361</v>
      </c>
      <c r="C363" s="834" t="s">
        <v>2667</v>
      </c>
      <c r="D363" s="624"/>
      <c r="E363" s="624">
        <v>42422</v>
      </c>
      <c r="F363" s="846" t="s">
        <v>2167</v>
      </c>
      <c r="G363" s="624">
        <v>43505</v>
      </c>
      <c r="H363" s="530">
        <f t="shared" si="60"/>
        <v>2.9650924024640659</v>
      </c>
      <c r="I363" s="834"/>
      <c r="J363" s="835">
        <v>2016</v>
      </c>
      <c r="K363" s="835">
        <v>2019</v>
      </c>
      <c r="L363" s="613" t="s">
        <v>303</v>
      </c>
      <c r="M363" s="613">
        <f t="shared" si="56"/>
        <v>0</v>
      </c>
      <c r="N363" s="613">
        <f t="shared" si="57"/>
        <v>1</v>
      </c>
      <c r="O363" s="836"/>
      <c r="P363" s="836"/>
      <c r="Q363" s="836">
        <v>1</v>
      </c>
      <c r="R363" s="836"/>
      <c r="S363" s="836"/>
      <c r="T363" s="836"/>
      <c r="U363" s="613">
        <f t="shared" si="58"/>
        <v>1</v>
      </c>
      <c r="W363" s="613" t="str">
        <f t="shared" si="51"/>
        <v>I</v>
      </c>
      <c r="X363" s="613" t="str">
        <f t="shared" si="52"/>
        <v>I</v>
      </c>
      <c r="Y363" s="613">
        <f t="shared" si="53"/>
        <v>2016</v>
      </c>
      <c r="Z363" s="613" t="str">
        <f t="shared" si="54"/>
        <v>I</v>
      </c>
      <c r="AA363" s="613" t="str">
        <f t="shared" si="55"/>
        <v>I</v>
      </c>
      <c r="AB363" s="613" t="str">
        <f t="shared" si="55"/>
        <v>I</v>
      </c>
      <c r="AD363" s="613"/>
      <c r="AE363" s="740"/>
      <c r="AF363" s="880"/>
      <c r="AM363" s="647"/>
      <c r="AN363" s="647"/>
      <c r="AO363" s="647"/>
      <c r="AP363" s="647"/>
      <c r="AQ363" s="647"/>
    </row>
    <row r="364" spans="1:43" x14ac:dyDescent="0.2">
      <c r="A364" s="527">
        <v>362</v>
      </c>
      <c r="C364" s="834" t="s">
        <v>2668</v>
      </c>
      <c r="D364" s="883">
        <v>43388</v>
      </c>
      <c r="E364" s="624"/>
      <c r="F364" s="844" t="s">
        <v>2694</v>
      </c>
      <c r="G364" s="624">
        <v>43505</v>
      </c>
      <c r="H364" s="530">
        <f t="shared" si="60"/>
        <v>0.32032854209445583</v>
      </c>
      <c r="I364" s="834"/>
      <c r="J364" s="835">
        <v>2018</v>
      </c>
      <c r="K364" s="835">
        <v>2019</v>
      </c>
      <c r="L364" s="613" t="s">
        <v>336</v>
      </c>
      <c r="M364" s="613">
        <f t="shared" si="56"/>
        <v>1</v>
      </c>
      <c r="N364" s="613">
        <f t="shared" si="57"/>
        <v>0</v>
      </c>
      <c r="O364" s="836"/>
      <c r="P364" s="836"/>
      <c r="Q364" s="836">
        <v>1</v>
      </c>
      <c r="R364" s="836"/>
      <c r="S364" s="836"/>
      <c r="T364" s="836"/>
      <c r="U364" s="613">
        <f t="shared" si="58"/>
        <v>1</v>
      </c>
      <c r="W364" s="613" t="str">
        <f t="shared" si="51"/>
        <v>I</v>
      </c>
      <c r="X364" s="613" t="str">
        <f t="shared" si="52"/>
        <v>I</v>
      </c>
      <c r="Y364" s="613">
        <f t="shared" si="53"/>
        <v>2018</v>
      </c>
      <c r="Z364" s="613" t="str">
        <f t="shared" si="54"/>
        <v>I</v>
      </c>
      <c r="AA364" s="613" t="str">
        <f t="shared" si="55"/>
        <v>I</v>
      </c>
      <c r="AB364" s="613" t="str">
        <f t="shared" si="55"/>
        <v>I</v>
      </c>
      <c r="AD364" s="613"/>
      <c r="AE364" s="740"/>
      <c r="AF364" s="880"/>
      <c r="AM364" s="647"/>
      <c r="AN364" s="647"/>
      <c r="AO364" s="647"/>
      <c r="AP364" s="647"/>
      <c r="AQ364" s="647"/>
    </row>
    <row r="365" spans="1:43" x14ac:dyDescent="0.2">
      <c r="A365" s="527">
        <v>363</v>
      </c>
      <c r="C365" s="834" t="s">
        <v>2669</v>
      </c>
      <c r="D365" s="883">
        <v>42993</v>
      </c>
      <c r="E365" s="624"/>
      <c r="F365" s="844" t="s">
        <v>2694</v>
      </c>
      <c r="G365" s="624">
        <v>43505</v>
      </c>
      <c r="H365" s="530">
        <f t="shared" si="60"/>
        <v>1.4017796030116358</v>
      </c>
      <c r="I365" s="834"/>
      <c r="J365" s="835">
        <v>2017</v>
      </c>
      <c r="K365" s="835">
        <v>2019</v>
      </c>
      <c r="L365" s="613" t="s">
        <v>336</v>
      </c>
      <c r="M365" s="613">
        <f t="shared" si="56"/>
        <v>1</v>
      </c>
      <c r="N365" s="613">
        <f t="shared" si="57"/>
        <v>0</v>
      </c>
      <c r="O365" s="836"/>
      <c r="P365" s="836"/>
      <c r="Q365" s="836">
        <v>1</v>
      </c>
      <c r="R365" s="836"/>
      <c r="S365" s="836"/>
      <c r="T365" s="836"/>
      <c r="U365" s="613">
        <f t="shared" si="58"/>
        <v>1</v>
      </c>
      <c r="W365" s="613" t="str">
        <f t="shared" si="51"/>
        <v>I</v>
      </c>
      <c r="X365" s="613" t="str">
        <f t="shared" si="52"/>
        <v>I</v>
      </c>
      <c r="Y365" s="613">
        <f t="shared" si="53"/>
        <v>2017</v>
      </c>
      <c r="Z365" s="613" t="str">
        <f t="shared" si="54"/>
        <v>I</v>
      </c>
      <c r="AA365" s="613" t="str">
        <f t="shared" si="55"/>
        <v>I</v>
      </c>
      <c r="AB365" s="613" t="str">
        <f t="shared" si="55"/>
        <v>I</v>
      </c>
      <c r="AD365" s="613"/>
      <c r="AE365" s="740"/>
      <c r="AF365" s="880"/>
      <c r="AM365" s="647"/>
      <c r="AN365" s="647"/>
      <c r="AO365" s="647"/>
      <c r="AP365" s="647"/>
      <c r="AQ365" s="647"/>
    </row>
    <row r="366" spans="1:43" x14ac:dyDescent="0.2">
      <c r="A366" s="527">
        <v>364</v>
      </c>
      <c r="C366" s="834" t="s">
        <v>2670</v>
      </c>
      <c r="D366" s="883">
        <v>43388</v>
      </c>
      <c r="E366" s="624"/>
      <c r="F366" s="844" t="s">
        <v>2694</v>
      </c>
      <c r="G366" s="624">
        <v>43505</v>
      </c>
      <c r="H366" s="530">
        <f t="shared" si="60"/>
        <v>0.32032854209445583</v>
      </c>
      <c r="I366" s="834"/>
      <c r="J366" s="835">
        <v>2017</v>
      </c>
      <c r="K366" s="835">
        <v>2019</v>
      </c>
      <c r="L366" s="613" t="s">
        <v>336</v>
      </c>
      <c r="M366" s="613">
        <f t="shared" si="56"/>
        <v>1</v>
      </c>
      <c r="N366" s="613">
        <f t="shared" si="57"/>
        <v>0</v>
      </c>
      <c r="O366" s="836"/>
      <c r="P366" s="836"/>
      <c r="Q366" s="836">
        <v>1</v>
      </c>
      <c r="R366" s="836"/>
      <c r="S366" s="836"/>
      <c r="T366" s="836"/>
      <c r="U366" s="613">
        <f t="shared" si="58"/>
        <v>1</v>
      </c>
      <c r="W366" s="613" t="str">
        <f t="shared" si="51"/>
        <v>I</v>
      </c>
      <c r="X366" s="613" t="str">
        <f t="shared" si="52"/>
        <v>I</v>
      </c>
      <c r="Y366" s="613">
        <f t="shared" si="53"/>
        <v>2017</v>
      </c>
      <c r="Z366" s="613" t="str">
        <f t="shared" si="54"/>
        <v>I</v>
      </c>
      <c r="AA366" s="613" t="str">
        <f t="shared" si="55"/>
        <v>I</v>
      </c>
      <c r="AB366" s="613" t="str">
        <f t="shared" si="55"/>
        <v>I</v>
      </c>
      <c r="AD366" s="613"/>
      <c r="AE366" s="740"/>
      <c r="AF366" s="880"/>
      <c r="AM366" s="647"/>
      <c r="AN366" s="647"/>
      <c r="AO366" s="647"/>
      <c r="AP366" s="647"/>
      <c r="AQ366" s="647"/>
    </row>
    <row r="367" spans="1:43" x14ac:dyDescent="0.2">
      <c r="A367" s="527">
        <v>365</v>
      </c>
      <c r="C367" s="834" t="s">
        <v>2684</v>
      </c>
      <c r="D367" s="624"/>
      <c r="E367" s="883">
        <v>42917</v>
      </c>
      <c r="F367" s="846" t="s">
        <v>316</v>
      </c>
      <c r="G367" s="624">
        <v>43600</v>
      </c>
      <c r="H367" s="530">
        <f t="shared" si="60"/>
        <v>1.8699520876112252</v>
      </c>
      <c r="I367" s="834"/>
      <c r="J367" s="835">
        <v>2017</v>
      </c>
      <c r="K367" s="835">
        <v>2019</v>
      </c>
      <c r="L367" s="613" t="s">
        <v>303</v>
      </c>
      <c r="M367" s="613">
        <f t="shared" si="56"/>
        <v>0</v>
      </c>
      <c r="N367" s="613">
        <f t="shared" si="57"/>
        <v>1</v>
      </c>
      <c r="O367" s="836"/>
      <c r="P367" s="836"/>
      <c r="Q367" s="836">
        <v>1</v>
      </c>
      <c r="R367" s="836"/>
      <c r="S367" s="836"/>
      <c r="T367" s="836"/>
      <c r="U367" s="613">
        <f t="shared" si="58"/>
        <v>1</v>
      </c>
      <c r="W367" s="613" t="str">
        <f t="shared" si="51"/>
        <v>I</v>
      </c>
      <c r="X367" s="613" t="str">
        <f t="shared" si="52"/>
        <v>I</v>
      </c>
      <c r="Y367" s="613">
        <f t="shared" si="53"/>
        <v>2017</v>
      </c>
      <c r="Z367" s="613" t="str">
        <f t="shared" si="54"/>
        <v>I</v>
      </c>
      <c r="AA367" s="613" t="str">
        <f t="shared" si="55"/>
        <v>I</v>
      </c>
      <c r="AB367" s="613" t="str">
        <f t="shared" si="55"/>
        <v>I</v>
      </c>
      <c r="AD367" s="613"/>
      <c r="AE367" s="740"/>
      <c r="AF367" s="880"/>
      <c r="AM367" s="647"/>
      <c r="AN367" s="647"/>
      <c r="AO367" s="647"/>
      <c r="AP367" s="647"/>
      <c r="AQ367" s="647"/>
    </row>
    <row r="368" spans="1:43" x14ac:dyDescent="0.2">
      <c r="A368" s="527">
        <v>366</v>
      </c>
      <c r="C368" s="834" t="s">
        <v>2685</v>
      </c>
      <c r="D368" s="624"/>
      <c r="E368" s="883">
        <v>42917</v>
      </c>
      <c r="F368" s="846" t="s">
        <v>316</v>
      </c>
      <c r="G368" s="624">
        <v>43600</v>
      </c>
      <c r="H368" s="530">
        <f t="shared" si="60"/>
        <v>1.8699520876112252</v>
      </c>
      <c r="I368" s="834"/>
      <c r="J368" s="835">
        <v>2017</v>
      </c>
      <c r="K368" s="835">
        <v>2019</v>
      </c>
      <c r="L368" s="613" t="s">
        <v>303</v>
      </c>
      <c r="M368" s="613">
        <f t="shared" si="56"/>
        <v>0</v>
      </c>
      <c r="N368" s="613">
        <f t="shared" si="57"/>
        <v>1</v>
      </c>
      <c r="O368" s="836"/>
      <c r="P368" s="836"/>
      <c r="Q368" s="836">
        <v>1</v>
      </c>
      <c r="R368" s="836"/>
      <c r="S368" s="836"/>
      <c r="T368" s="836"/>
      <c r="U368" s="613">
        <f t="shared" si="58"/>
        <v>1</v>
      </c>
      <c r="W368" s="613" t="str">
        <f t="shared" si="51"/>
        <v>I</v>
      </c>
      <c r="X368" s="613" t="str">
        <f t="shared" si="52"/>
        <v>I</v>
      </c>
      <c r="Y368" s="613">
        <f t="shared" si="53"/>
        <v>2017</v>
      </c>
      <c r="Z368" s="613" t="str">
        <f t="shared" si="54"/>
        <v>I</v>
      </c>
      <c r="AA368" s="613" t="str">
        <f t="shared" si="55"/>
        <v>I</v>
      </c>
      <c r="AB368" s="613" t="str">
        <f t="shared" si="55"/>
        <v>I</v>
      </c>
      <c r="AD368" s="613"/>
      <c r="AE368" s="740"/>
      <c r="AF368" s="880"/>
      <c r="AM368" s="647"/>
      <c r="AN368" s="647"/>
      <c r="AO368" s="647"/>
      <c r="AP368" s="647"/>
      <c r="AQ368" s="647"/>
    </row>
    <row r="369" spans="1:43" x14ac:dyDescent="0.2">
      <c r="A369" s="527">
        <v>367</v>
      </c>
      <c r="C369" s="834" t="s">
        <v>2686</v>
      </c>
      <c r="D369" s="624"/>
      <c r="E369" s="883">
        <v>43449</v>
      </c>
      <c r="F369" s="846" t="s">
        <v>2694</v>
      </c>
      <c r="G369" s="624">
        <v>43600</v>
      </c>
      <c r="H369" s="530">
        <f t="shared" si="60"/>
        <v>0.4134154688569473</v>
      </c>
      <c r="I369" s="834"/>
      <c r="J369" s="835">
        <v>2018</v>
      </c>
      <c r="K369" s="835">
        <v>2019</v>
      </c>
      <c r="L369" s="613" t="s">
        <v>303</v>
      </c>
      <c r="M369" s="613">
        <f t="shared" si="56"/>
        <v>0</v>
      </c>
      <c r="N369" s="613">
        <f t="shared" si="57"/>
        <v>1</v>
      </c>
      <c r="O369" s="836"/>
      <c r="P369" s="836"/>
      <c r="Q369" s="836">
        <v>1</v>
      </c>
      <c r="R369" s="836"/>
      <c r="S369" s="836"/>
      <c r="T369" s="836"/>
      <c r="U369" s="613">
        <f t="shared" si="58"/>
        <v>1</v>
      </c>
      <c r="W369" s="613" t="str">
        <f t="shared" si="51"/>
        <v>I</v>
      </c>
      <c r="X369" s="613" t="str">
        <f t="shared" si="52"/>
        <v>I</v>
      </c>
      <c r="Y369" s="613">
        <f t="shared" si="53"/>
        <v>2018</v>
      </c>
      <c r="Z369" s="613" t="str">
        <f t="shared" si="54"/>
        <v>I</v>
      </c>
      <c r="AA369" s="613" t="str">
        <f t="shared" si="55"/>
        <v>I</v>
      </c>
      <c r="AB369" s="613" t="str">
        <f t="shared" si="55"/>
        <v>I</v>
      </c>
      <c r="AD369" s="613"/>
      <c r="AE369" s="740"/>
      <c r="AF369" s="880"/>
      <c r="AM369" s="647"/>
      <c r="AN369" s="647"/>
      <c r="AO369" s="647"/>
      <c r="AP369" s="647"/>
      <c r="AQ369" s="647"/>
    </row>
    <row r="370" spans="1:43" x14ac:dyDescent="0.2">
      <c r="A370" s="527">
        <v>368</v>
      </c>
      <c r="C370" s="834" t="s">
        <v>2687</v>
      </c>
      <c r="D370" s="624"/>
      <c r="E370" s="883">
        <v>43037</v>
      </c>
      <c r="F370" s="846" t="s">
        <v>2167</v>
      </c>
      <c r="G370" s="624">
        <v>43600</v>
      </c>
      <c r="H370" s="530">
        <f t="shared" si="60"/>
        <v>1.5414099931553731</v>
      </c>
      <c r="I370" s="834"/>
      <c r="J370" s="835">
        <v>2017</v>
      </c>
      <c r="K370" s="835">
        <v>2019</v>
      </c>
      <c r="L370" s="613" t="s">
        <v>303</v>
      </c>
      <c r="M370" s="613">
        <f t="shared" si="56"/>
        <v>0</v>
      </c>
      <c r="N370" s="613">
        <f t="shared" si="57"/>
        <v>1</v>
      </c>
      <c r="O370" s="836"/>
      <c r="P370" s="836"/>
      <c r="Q370" s="836">
        <v>1</v>
      </c>
      <c r="R370" s="836"/>
      <c r="S370" s="836"/>
      <c r="T370" s="836"/>
      <c r="U370" s="613">
        <f t="shared" si="58"/>
        <v>1</v>
      </c>
      <c r="W370" s="613" t="str">
        <f t="shared" si="51"/>
        <v>I</v>
      </c>
      <c r="X370" s="613" t="str">
        <f t="shared" si="52"/>
        <v>I</v>
      </c>
      <c r="Y370" s="613">
        <f t="shared" si="53"/>
        <v>2017</v>
      </c>
      <c r="Z370" s="613" t="str">
        <f t="shared" si="54"/>
        <v>I</v>
      </c>
      <c r="AA370" s="613" t="str">
        <f t="shared" si="55"/>
        <v>I</v>
      </c>
      <c r="AB370" s="613" t="str">
        <f t="shared" si="55"/>
        <v>I</v>
      </c>
      <c r="AD370" s="613"/>
      <c r="AE370" s="740"/>
      <c r="AF370" s="880"/>
      <c r="AM370" s="647"/>
      <c r="AN370" s="647"/>
      <c r="AO370" s="647"/>
      <c r="AP370" s="647"/>
      <c r="AQ370" s="647"/>
    </row>
    <row r="371" spans="1:43" x14ac:dyDescent="0.2">
      <c r="A371" s="527">
        <v>369</v>
      </c>
      <c r="C371" s="834" t="s">
        <v>2691</v>
      </c>
      <c r="D371" s="624"/>
      <c r="E371" s="883">
        <v>43510</v>
      </c>
      <c r="F371" s="846" t="s">
        <v>2694</v>
      </c>
      <c r="G371" s="624">
        <v>43616</v>
      </c>
      <c r="H371" s="530">
        <f t="shared" si="60"/>
        <v>0.29021218343600275</v>
      </c>
      <c r="I371" s="834"/>
      <c r="J371" s="835">
        <v>2019</v>
      </c>
      <c r="K371" s="835">
        <v>2019</v>
      </c>
      <c r="L371" s="613" t="s">
        <v>303</v>
      </c>
      <c r="M371" s="613">
        <f t="shared" si="56"/>
        <v>0</v>
      </c>
      <c r="N371" s="613">
        <f t="shared" si="57"/>
        <v>1</v>
      </c>
      <c r="O371" s="836"/>
      <c r="P371" s="836"/>
      <c r="Q371" s="836">
        <v>1</v>
      </c>
      <c r="R371" s="836"/>
      <c r="S371" s="836"/>
      <c r="T371" s="836"/>
      <c r="U371" s="613">
        <f t="shared" si="58"/>
        <v>1</v>
      </c>
      <c r="W371" s="613" t="str">
        <f t="shared" si="51"/>
        <v>I</v>
      </c>
      <c r="X371" s="613" t="str">
        <f t="shared" si="52"/>
        <v>I</v>
      </c>
      <c r="Y371" s="613">
        <f t="shared" si="53"/>
        <v>2019</v>
      </c>
      <c r="Z371" s="613" t="str">
        <f t="shared" si="54"/>
        <v>I</v>
      </c>
      <c r="AA371" s="613" t="str">
        <f t="shared" si="55"/>
        <v>I</v>
      </c>
      <c r="AB371" s="613" t="str">
        <f t="shared" si="55"/>
        <v>I</v>
      </c>
      <c r="AD371" s="613"/>
      <c r="AE371" s="740"/>
      <c r="AF371" s="880"/>
      <c r="AM371" s="647"/>
      <c r="AN371" s="647"/>
      <c r="AO371" s="647"/>
      <c r="AP371" s="647"/>
      <c r="AQ371" s="647"/>
    </row>
    <row r="372" spans="1:43" x14ac:dyDescent="0.2">
      <c r="A372" s="527">
        <v>370</v>
      </c>
      <c r="C372" s="834" t="s">
        <v>2733</v>
      </c>
      <c r="D372" s="624"/>
      <c r="E372" s="883">
        <v>42078</v>
      </c>
      <c r="F372" s="846" t="s">
        <v>2694</v>
      </c>
      <c r="G372" s="624">
        <v>43655</v>
      </c>
      <c r="H372" s="530">
        <f t="shared" si="60"/>
        <v>4.3175906913073234</v>
      </c>
      <c r="I372" s="834"/>
      <c r="J372" s="835">
        <v>2015</v>
      </c>
      <c r="K372" s="835">
        <v>2019</v>
      </c>
      <c r="L372" s="613" t="s">
        <v>303</v>
      </c>
      <c r="M372" s="613">
        <f t="shared" si="56"/>
        <v>0</v>
      </c>
      <c r="N372" s="613">
        <f t="shared" si="57"/>
        <v>1</v>
      </c>
      <c r="O372" s="836"/>
      <c r="P372" s="836"/>
      <c r="Q372" s="836">
        <v>1</v>
      </c>
      <c r="R372" s="836"/>
      <c r="S372" s="836"/>
      <c r="T372" s="836"/>
      <c r="U372" s="613">
        <f t="shared" si="58"/>
        <v>1</v>
      </c>
      <c r="W372" s="613" t="str">
        <f t="shared" si="51"/>
        <v>I</v>
      </c>
      <c r="X372" s="613" t="str">
        <f t="shared" si="52"/>
        <v>I</v>
      </c>
      <c r="Y372" s="613">
        <f t="shared" si="53"/>
        <v>2015</v>
      </c>
      <c r="Z372" s="613" t="str">
        <f t="shared" si="54"/>
        <v>I</v>
      </c>
      <c r="AA372" s="613" t="str">
        <f t="shared" si="55"/>
        <v>I</v>
      </c>
      <c r="AB372" s="613" t="str">
        <f t="shared" si="55"/>
        <v>I</v>
      </c>
      <c r="AD372" s="613"/>
      <c r="AE372" s="740"/>
      <c r="AF372" s="880"/>
      <c r="AM372" s="647"/>
      <c r="AN372" s="647"/>
      <c r="AO372" s="647"/>
      <c r="AP372" s="647"/>
      <c r="AQ372" s="647"/>
    </row>
    <row r="373" spans="1:43" x14ac:dyDescent="0.2">
      <c r="A373" s="527">
        <v>371</v>
      </c>
      <c r="C373" s="834" t="s">
        <v>2730</v>
      </c>
      <c r="D373" s="624"/>
      <c r="E373" s="883">
        <v>43266</v>
      </c>
      <c r="F373" s="846" t="s">
        <v>2694</v>
      </c>
      <c r="G373" s="624">
        <v>43650</v>
      </c>
      <c r="H373" s="530">
        <f t="shared" si="60"/>
        <v>1.0513347022587269</v>
      </c>
      <c r="I373" s="834"/>
      <c r="J373" s="835">
        <v>2018</v>
      </c>
      <c r="K373" s="835">
        <v>2019</v>
      </c>
      <c r="L373" s="613" t="s">
        <v>303</v>
      </c>
      <c r="M373" s="613">
        <f t="shared" si="56"/>
        <v>0</v>
      </c>
      <c r="N373" s="613">
        <f t="shared" si="57"/>
        <v>1</v>
      </c>
      <c r="O373" s="836"/>
      <c r="P373" s="836"/>
      <c r="Q373" s="836">
        <v>1</v>
      </c>
      <c r="R373" s="836"/>
      <c r="S373" s="836"/>
      <c r="T373" s="836"/>
      <c r="U373" s="613">
        <f t="shared" si="58"/>
        <v>1</v>
      </c>
      <c r="W373" s="613" t="str">
        <f t="shared" si="51"/>
        <v>I</v>
      </c>
      <c r="X373" s="613" t="str">
        <f t="shared" si="52"/>
        <v>I</v>
      </c>
      <c r="Y373" s="613">
        <f t="shared" si="53"/>
        <v>2018</v>
      </c>
      <c r="Z373" s="613" t="str">
        <f t="shared" si="54"/>
        <v>I</v>
      </c>
      <c r="AA373" s="613" t="str">
        <f t="shared" si="55"/>
        <v>I</v>
      </c>
      <c r="AB373" s="613" t="str">
        <f t="shared" si="55"/>
        <v>I</v>
      </c>
      <c r="AD373" s="613"/>
      <c r="AE373" s="740"/>
      <c r="AF373" s="880"/>
      <c r="AM373" s="647"/>
      <c r="AN373" s="647"/>
      <c r="AO373" s="647"/>
      <c r="AP373" s="647"/>
      <c r="AQ373" s="647"/>
    </row>
    <row r="374" spans="1:43" x14ac:dyDescent="0.2">
      <c r="A374" s="527">
        <v>372</v>
      </c>
      <c r="C374" s="834" t="s">
        <v>2737</v>
      </c>
      <c r="D374" s="883">
        <v>42840</v>
      </c>
      <c r="F374" s="846" t="s">
        <v>2694</v>
      </c>
      <c r="G374" s="624">
        <v>43680</v>
      </c>
      <c r="H374" s="530">
        <f t="shared" si="60"/>
        <v>2.299794661190965</v>
      </c>
      <c r="I374" s="834"/>
      <c r="J374" s="835">
        <v>2015</v>
      </c>
      <c r="K374" s="835">
        <v>2019</v>
      </c>
      <c r="L374" s="613" t="s">
        <v>336</v>
      </c>
      <c r="M374" s="613">
        <f t="shared" si="56"/>
        <v>1</v>
      </c>
      <c r="N374" s="613">
        <f t="shared" si="57"/>
        <v>0</v>
      </c>
      <c r="O374" s="836"/>
      <c r="P374" s="836"/>
      <c r="Q374" s="836">
        <v>1</v>
      </c>
      <c r="R374" s="836"/>
      <c r="S374" s="836"/>
      <c r="T374" s="836"/>
      <c r="U374" s="613">
        <f t="shared" si="58"/>
        <v>1</v>
      </c>
      <c r="W374" s="613" t="str">
        <f t="shared" si="51"/>
        <v>I</v>
      </c>
      <c r="X374" s="613" t="str">
        <f t="shared" si="52"/>
        <v>I</v>
      </c>
      <c r="Y374" s="613">
        <f t="shared" si="53"/>
        <v>2015</v>
      </c>
      <c r="Z374" s="613" t="str">
        <f t="shared" si="54"/>
        <v>I</v>
      </c>
      <c r="AA374" s="613" t="str">
        <f t="shared" si="55"/>
        <v>I</v>
      </c>
      <c r="AB374" s="613" t="str">
        <f t="shared" si="55"/>
        <v>I</v>
      </c>
      <c r="AD374" s="613"/>
      <c r="AE374" s="740"/>
      <c r="AF374" s="880"/>
      <c r="AM374" s="647"/>
      <c r="AN374" s="647"/>
      <c r="AO374" s="647"/>
      <c r="AP374" s="647"/>
      <c r="AQ374" s="647"/>
    </row>
    <row r="375" spans="1:43" x14ac:dyDescent="0.2">
      <c r="A375" s="527">
        <v>373</v>
      </c>
      <c r="C375" s="834" t="s">
        <v>2739</v>
      </c>
      <c r="D375" s="624"/>
      <c r="E375" s="883">
        <v>43539</v>
      </c>
      <c r="F375" s="846" t="s">
        <v>2694</v>
      </c>
      <c r="G375" s="624">
        <v>43680</v>
      </c>
      <c r="H375" s="530">
        <f t="shared" si="60"/>
        <v>0.38603696098562629</v>
      </c>
      <c r="I375" s="834"/>
      <c r="J375" s="835">
        <v>2015</v>
      </c>
      <c r="K375" s="835">
        <v>2019</v>
      </c>
      <c r="L375" s="613" t="s">
        <v>303</v>
      </c>
      <c r="M375" s="613">
        <f t="shared" si="56"/>
        <v>0</v>
      </c>
      <c r="N375" s="613">
        <f t="shared" si="57"/>
        <v>1</v>
      </c>
      <c r="O375" s="836"/>
      <c r="P375" s="836"/>
      <c r="Q375" s="836">
        <v>1</v>
      </c>
      <c r="R375" s="836"/>
      <c r="S375" s="836"/>
      <c r="T375" s="836"/>
      <c r="U375" s="613">
        <f t="shared" si="58"/>
        <v>1</v>
      </c>
      <c r="W375" s="613" t="str">
        <f t="shared" si="51"/>
        <v>I</v>
      </c>
      <c r="X375" s="613" t="str">
        <f t="shared" si="52"/>
        <v>I</v>
      </c>
      <c r="Y375" s="613">
        <f t="shared" si="53"/>
        <v>2015</v>
      </c>
      <c r="Z375" s="613" t="str">
        <f t="shared" si="54"/>
        <v>I</v>
      </c>
      <c r="AA375" s="613" t="str">
        <f t="shared" si="55"/>
        <v>I</v>
      </c>
      <c r="AB375" s="613" t="str">
        <f t="shared" si="55"/>
        <v>I</v>
      </c>
      <c r="AD375" s="613"/>
      <c r="AE375" s="740"/>
      <c r="AF375" s="880"/>
      <c r="AM375" s="647"/>
      <c r="AN375" s="647"/>
      <c r="AO375" s="647"/>
      <c r="AP375" s="647"/>
      <c r="AQ375" s="647"/>
    </row>
    <row r="376" spans="1:43" x14ac:dyDescent="0.2">
      <c r="A376" s="527">
        <v>374</v>
      </c>
      <c r="C376" s="834" t="s">
        <v>2741</v>
      </c>
      <c r="D376" s="624">
        <v>43101</v>
      </c>
      <c r="G376" s="624">
        <v>43691</v>
      </c>
      <c r="J376" s="835">
        <v>2018</v>
      </c>
      <c r="K376" s="835">
        <v>2019</v>
      </c>
      <c r="L376" s="613" t="s">
        <v>336</v>
      </c>
      <c r="M376" s="613">
        <f t="shared" si="56"/>
        <v>0</v>
      </c>
      <c r="N376" s="613">
        <f t="shared" si="57"/>
        <v>0</v>
      </c>
      <c r="O376" s="836">
        <v>1</v>
      </c>
      <c r="P376" s="836"/>
      <c r="Q376" s="836"/>
      <c r="R376" s="836"/>
      <c r="S376" s="836"/>
      <c r="T376" s="836"/>
      <c r="U376" s="613">
        <f t="shared" si="58"/>
        <v>1</v>
      </c>
      <c r="W376" s="613">
        <f t="shared" si="51"/>
        <v>2018</v>
      </c>
      <c r="X376" s="613" t="str">
        <f t="shared" si="52"/>
        <v>I</v>
      </c>
      <c r="Y376" s="613" t="str">
        <f t="shared" si="53"/>
        <v>I</v>
      </c>
      <c r="Z376" s="613" t="str">
        <f t="shared" si="54"/>
        <v>I</v>
      </c>
      <c r="AA376" s="613" t="str">
        <f t="shared" si="55"/>
        <v>I</v>
      </c>
      <c r="AB376" s="613" t="str">
        <f t="shared" si="55"/>
        <v>I</v>
      </c>
      <c r="AD376" s="613"/>
      <c r="AE376" s="740"/>
      <c r="AF376" s="880"/>
      <c r="AM376" s="647"/>
      <c r="AN376" s="647"/>
      <c r="AO376" s="647"/>
      <c r="AP376" s="647"/>
      <c r="AQ376" s="647"/>
    </row>
    <row r="377" spans="1:43" x14ac:dyDescent="0.2">
      <c r="A377" s="527">
        <v>375</v>
      </c>
      <c r="C377" s="834" t="s">
        <v>2742</v>
      </c>
      <c r="D377" s="624">
        <v>43101</v>
      </c>
      <c r="G377" s="624">
        <v>43691</v>
      </c>
      <c r="J377" s="835">
        <v>2018</v>
      </c>
      <c r="K377" s="835">
        <v>2019</v>
      </c>
      <c r="L377" s="613" t="s">
        <v>336</v>
      </c>
      <c r="M377" s="613">
        <f t="shared" si="56"/>
        <v>0</v>
      </c>
      <c r="N377" s="613">
        <f t="shared" si="57"/>
        <v>0</v>
      </c>
      <c r="O377" s="836">
        <v>1</v>
      </c>
      <c r="P377" s="836"/>
      <c r="Q377" s="836"/>
      <c r="R377" s="836"/>
      <c r="S377" s="836"/>
      <c r="T377" s="836"/>
      <c r="U377" s="613">
        <f t="shared" si="58"/>
        <v>1</v>
      </c>
      <c r="W377" s="613">
        <f t="shared" si="51"/>
        <v>2018</v>
      </c>
      <c r="X377" s="613" t="str">
        <f t="shared" si="52"/>
        <v>I</v>
      </c>
      <c r="Y377" s="613" t="str">
        <f t="shared" si="53"/>
        <v>I</v>
      </c>
      <c r="Z377" s="613" t="str">
        <f t="shared" si="54"/>
        <v>I</v>
      </c>
      <c r="AA377" s="613" t="str">
        <f t="shared" si="55"/>
        <v>I</v>
      </c>
      <c r="AB377" s="613" t="str">
        <f t="shared" si="55"/>
        <v>I</v>
      </c>
      <c r="AD377" s="613"/>
      <c r="AE377" s="740"/>
      <c r="AF377" s="880"/>
      <c r="AM377" s="647"/>
      <c r="AN377" s="647"/>
      <c r="AO377" s="647"/>
      <c r="AP377" s="647"/>
      <c r="AQ377" s="647"/>
    </row>
    <row r="378" spans="1:43" x14ac:dyDescent="0.2">
      <c r="A378" s="527">
        <v>376</v>
      </c>
      <c r="C378" s="834" t="s">
        <v>2743</v>
      </c>
      <c r="D378" s="624">
        <v>43101</v>
      </c>
      <c r="G378" s="624">
        <v>43691</v>
      </c>
      <c r="J378" s="835">
        <v>2018</v>
      </c>
      <c r="K378" s="835">
        <v>2019</v>
      </c>
      <c r="L378" s="613" t="s">
        <v>336</v>
      </c>
      <c r="M378" s="613">
        <f t="shared" si="56"/>
        <v>0</v>
      </c>
      <c r="N378" s="613">
        <f t="shared" si="57"/>
        <v>0</v>
      </c>
      <c r="O378" s="836">
        <v>1</v>
      </c>
      <c r="P378" s="836"/>
      <c r="Q378" s="836"/>
      <c r="R378" s="836"/>
      <c r="S378" s="836"/>
      <c r="T378" s="836"/>
      <c r="U378" s="613">
        <f t="shared" si="58"/>
        <v>1</v>
      </c>
      <c r="W378" s="613">
        <f t="shared" si="51"/>
        <v>2018</v>
      </c>
      <c r="X378" s="613" t="str">
        <f t="shared" si="52"/>
        <v>I</v>
      </c>
      <c r="Y378" s="613" t="str">
        <f t="shared" si="53"/>
        <v>I</v>
      </c>
      <c r="Z378" s="613" t="str">
        <f t="shared" si="54"/>
        <v>I</v>
      </c>
      <c r="AA378" s="613" t="str">
        <f t="shared" si="55"/>
        <v>I</v>
      </c>
      <c r="AB378" s="613" t="str">
        <f t="shared" si="55"/>
        <v>I</v>
      </c>
      <c r="AD378" s="613"/>
      <c r="AE378" s="740"/>
      <c r="AF378" s="880"/>
      <c r="AM378" s="647"/>
      <c r="AN378" s="647"/>
      <c r="AO378" s="647"/>
      <c r="AP378" s="647"/>
      <c r="AQ378" s="647"/>
    </row>
    <row r="379" spans="1:43" x14ac:dyDescent="0.2">
      <c r="A379" s="527">
        <v>377</v>
      </c>
      <c r="C379" s="834" t="s">
        <v>2744</v>
      </c>
      <c r="D379" s="624">
        <v>43101</v>
      </c>
      <c r="G379" s="624">
        <v>43691</v>
      </c>
      <c r="J379" s="835">
        <v>2018</v>
      </c>
      <c r="K379" s="835">
        <v>2019</v>
      </c>
      <c r="L379" s="613" t="s">
        <v>336</v>
      </c>
      <c r="M379" s="613">
        <f t="shared" si="56"/>
        <v>0</v>
      </c>
      <c r="N379" s="613">
        <f t="shared" si="57"/>
        <v>0</v>
      </c>
      <c r="O379" s="836">
        <v>1</v>
      </c>
      <c r="P379" s="836"/>
      <c r="Q379" s="836"/>
      <c r="R379" s="836"/>
      <c r="S379" s="836"/>
      <c r="T379" s="836"/>
      <c r="U379" s="613">
        <f t="shared" si="58"/>
        <v>1</v>
      </c>
      <c r="W379" s="613">
        <f t="shared" si="51"/>
        <v>2018</v>
      </c>
      <c r="X379" s="613" t="str">
        <f t="shared" si="52"/>
        <v>I</v>
      </c>
      <c r="Y379" s="613" t="str">
        <f t="shared" si="53"/>
        <v>I</v>
      </c>
      <c r="Z379" s="613" t="str">
        <f t="shared" si="54"/>
        <v>I</v>
      </c>
      <c r="AA379" s="613" t="str">
        <f t="shared" si="55"/>
        <v>I</v>
      </c>
      <c r="AB379" s="613" t="str">
        <f t="shared" si="55"/>
        <v>I</v>
      </c>
      <c r="AD379" s="613"/>
      <c r="AE379" s="740"/>
      <c r="AF379" s="644"/>
      <c r="AM379" s="647"/>
      <c r="AN379" s="647"/>
      <c r="AO379" s="647"/>
      <c r="AP379" s="647"/>
      <c r="AQ379" s="647"/>
    </row>
    <row r="380" spans="1:43" x14ac:dyDescent="0.2">
      <c r="A380" s="527">
        <v>378</v>
      </c>
      <c r="C380" s="834" t="s">
        <v>2745</v>
      </c>
      <c r="D380" s="624">
        <v>43101</v>
      </c>
      <c r="G380" s="624">
        <v>43691</v>
      </c>
      <c r="J380" s="835">
        <v>2018</v>
      </c>
      <c r="K380" s="835">
        <v>2019</v>
      </c>
      <c r="L380" s="613" t="s">
        <v>336</v>
      </c>
      <c r="M380" s="613">
        <f t="shared" si="56"/>
        <v>0</v>
      </c>
      <c r="N380" s="613">
        <f t="shared" si="57"/>
        <v>0</v>
      </c>
      <c r="O380" s="836">
        <v>1</v>
      </c>
      <c r="P380" s="836"/>
      <c r="Q380" s="836"/>
      <c r="R380" s="836"/>
      <c r="S380" s="836"/>
      <c r="T380" s="836"/>
      <c r="U380" s="613">
        <f t="shared" si="58"/>
        <v>1</v>
      </c>
      <c r="W380" s="613">
        <f t="shared" si="51"/>
        <v>2018</v>
      </c>
      <c r="X380" s="613" t="str">
        <f t="shared" si="52"/>
        <v>I</v>
      </c>
      <c r="Y380" s="613" t="str">
        <f t="shared" si="53"/>
        <v>I</v>
      </c>
      <c r="Z380" s="613" t="str">
        <f t="shared" si="54"/>
        <v>I</v>
      </c>
      <c r="AA380" s="613" t="str">
        <f t="shared" si="55"/>
        <v>I</v>
      </c>
      <c r="AB380" s="613" t="str">
        <f t="shared" si="55"/>
        <v>I</v>
      </c>
      <c r="AD380" s="613"/>
      <c r="AE380" s="740"/>
      <c r="AF380" s="644"/>
      <c r="AM380" s="647"/>
      <c r="AN380" s="647"/>
      <c r="AO380" s="647"/>
      <c r="AP380" s="647"/>
      <c r="AQ380" s="647"/>
    </row>
    <row r="381" spans="1:43" x14ac:dyDescent="0.2">
      <c r="A381" s="527">
        <v>379</v>
      </c>
      <c r="C381" s="834" t="s">
        <v>2746</v>
      </c>
      <c r="D381" s="624"/>
      <c r="G381" s="624">
        <v>43691</v>
      </c>
      <c r="J381" s="835">
        <v>2016</v>
      </c>
      <c r="K381" s="835">
        <v>2019</v>
      </c>
      <c r="L381" s="613" t="s">
        <v>336</v>
      </c>
      <c r="M381" s="613">
        <f t="shared" si="56"/>
        <v>0</v>
      </c>
      <c r="N381" s="613">
        <f t="shared" si="57"/>
        <v>0</v>
      </c>
      <c r="O381" s="836"/>
      <c r="P381" s="836"/>
      <c r="Q381" s="836"/>
      <c r="R381" s="836">
        <v>1</v>
      </c>
      <c r="S381" s="836"/>
      <c r="T381" s="836"/>
      <c r="U381" s="613">
        <f t="shared" si="58"/>
        <v>1</v>
      </c>
      <c r="W381" s="613" t="str">
        <f t="shared" si="51"/>
        <v>I</v>
      </c>
      <c r="X381" s="613" t="str">
        <f t="shared" si="52"/>
        <v>I</v>
      </c>
      <c r="Y381" s="613" t="str">
        <f t="shared" si="53"/>
        <v>I</v>
      </c>
      <c r="Z381" s="613">
        <f t="shared" si="54"/>
        <v>2016</v>
      </c>
      <c r="AA381" s="613" t="str">
        <f t="shared" si="55"/>
        <v>I</v>
      </c>
      <c r="AB381" s="613" t="str">
        <f t="shared" si="55"/>
        <v>I</v>
      </c>
      <c r="AD381" s="613"/>
      <c r="AE381" s="740"/>
      <c r="AF381" s="644"/>
      <c r="AM381" s="647"/>
      <c r="AN381" s="647"/>
      <c r="AO381" s="647"/>
      <c r="AP381" s="647"/>
      <c r="AQ381" s="647"/>
    </row>
    <row r="382" spans="1:43" x14ac:dyDescent="0.2">
      <c r="A382" s="527">
        <v>380</v>
      </c>
      <c r="C382" s="834" t="s">
        <v>2740</v>
      </c>
      <c r="D382" s="883">
        <v>42750</v>
      </c>
      <c r="E382" s="624"/>
      <c r="F382" s="846" t="s">
        <v>2694</v>
      </c>
      <c r="G382" s="624">
        <v>43708</v>
      </c>
      <c r="H382" s="530">
        <f>(G382-MAX(D382:E382))/365.25</f>
        <v>2.622861054072553</v>
      </c>
      <c r="J382" s="835">
        <v>2017</v>
      </c>
      <c r="K382" s="835">
        <v>2019</v>
      </c>
      <c r="L382" s="613" t="s">
        <v>336</v>
      </c>
      <c r="M382" s="613">
        <f t="shared" si="56"/>
        <v>1</v>
      </c>
      <c r="N382" s="613">
        <f t="shared" si="57"/>
        <v>0</v>
      </c>
      <c r="O382" s="836"/>
      <c r="P382" s="836"/>
      <c r="Q382" s="836">
        <v>1</v>
      </c>
      <c r="R382" s="836"/>
      <c r="S382" s="836"/>
      <c r="T382" s="836"/>
      <c r="U382" s="613">
        <f t="shared" si="58"/>
        <v>1</v>
      </c>
      <c r="W382" s="613" t="str">
        <f t="shared" si="51"/>
        <v>I</v>
      </c>
      <c r="X382" s="613" t="str">
        <f t="shared" si="52"/>
        <v>I</v>
      </c>
      <c r="Y382" s="613">
        <f t="shared" si="53"/>
        <v>2017</v>
      </c>
      <c r="Z382" s="613" t="str">
        <f t="shared" si="54"/>
        <v>I</v>
      </c>
      <c r="AA382" s="613" t="str">
        <f t="shared" si="55"/>
        <v>I</v>
      </c>
      <c r="AB382" s="613" t="str">
        <f t="shared" si="55"/>
        <v>I</v>
      </c>
      <c r="AD382" s="613"/>
      <c r="AE382" s="740"/>
      <c r="AF382" s="644"/>
      <c r="AM382" s="647"/>
      <c r="AN382" s="647"/>
      <c r="AO382" s="647"/>
      <c r="AP382" s="647"/>
      <c r="AQ382" s="647"/>
    </row>
    <row r="383" spans="1:43" x14ac:dyDescent="0.2">
      <c r="A383" s="527">
        <v>381</v>
      </c>
      <c r="C383" s="834" t="s">
        <v>2755</v>
      </c>
      <c r="D383" s="624"/>
      <c r="E383" s="883">
        <v>43647</v>
      </c>
      <c r="F383" s="846" t="s">
        <v>316</v>
      </c>
      <c r="G383" s="624">
        <v>43729</v>
      </c>
      <c r="H383" s="530">
        <f t="shared" ref="H383:H400" si="61">(G383-MAX(D383:E383))/365.25</f>
        <v>0.22450376454483231</v>
      </c>
      <c r="J383" s="835">
        <v>2019</v>
      </c>
      <c r="K383" s="835">
        <v>2019</v>
      </c>
      <c r="L383" s="613" t="s">
        <v>303</v>
      </c>
      <c r="M383" s="613">
        <f t="shared" si="56"/>
        <v>0</v>
      </c>
      <c r="N383" s="613">
        <f t="shared" si="57"/>
        <v>1</v>
      </c>
      <c r="O383" s="836"/>
      <c r="P383" s="836"/>
      <c r="Q383" s="836">
        <v>1</v>
      </c>
      <c r="R383" s="836"/>
      <c r="S383" s="836"/>
      <c r="T383" s="836"/>
      <c r="U383" s="613">
        <f t="shared" si="58"/>
        <v>1</v>
      </c>
      <c r="W383" s="613" t="str">
        <f t="shared" si="51"/>
        <v>I</v>
      </c>
      <c r="X383" s="613" t="str">
        <f t="shared" si="52"/>
        <v>I</v>
      </c>
      <c r="Y383" s="613">
        <f t="shared" si="53"/>
        <v>2019</v>
      </c>
      <c r="Z383" s="613" t="str">
        <f t="shared" si="54"/>
        <v>I</v>
      </c>
      <c r="AA383" s="613" t="str">
        <f t="shared" si="55"/>
        <v>I</v>
      </c>
      <c r="AB383" s="613" t="str">
        <f t="shared" si="55"/>
        <v>I</v>
      </c>
      <c r="AD383" s="613"/>
      <c r="AE383" s="740"/>
      <c r="AF383" s="644"/>
      <c r="AM383" s="647"/>
      <c r="AN383" s="647"/>
      <c r="AO383" s="647"/>
      <c r="AP383" s="647"/>
      <c r="AQ383" s="647"/>
    </row>
    <row r="384" spans="1:43" x14ac:dyDescent="0.2">
      <c r="A384" s="527">
        <v>382</v>
      </c>
      <c r="C384" s="834" t="s">
        <v>2757</v>
      </c>
      <c r="D384" s="624"/>
      <c r="E384" s="883">
        <v>42917</v>
      </c>
      <c r="F384" s="846" t="s">
        <v>316</v>
      </c>
      <c r="G384" s="624">
        <v>43729</v>
      </c>
      <c r="H384" s="530">
        <f t="shared" si="61"/>
        <v>2.2231348391512662</v>
      </c>
      <c r="J384" s="835">
        <v>2017</v>
      </c>
      <c r="K384" s="835">
        <v>2019</v>
      </c>
      <c r="L384" s="613" t="s">
        <v>303</v>
      </c>
      <c r="M384" s="613">
        <f t="shared" si="56"/>
        <v>0</v>
      </c>
      <c r="N384" s="613">
        <f t="shared" si="57"/>
        <v>1</v>
      </c>
      <c r="O384" s="836"/>
      <c r="P384" s="836"/>
      <c r="Q384" s="836">
        <v>1</v>
      </c>
      <c r="R384" s="836"/>
      <c r="S384" s="836"/>
      <c r="T384" s="836"/>
      <c r="U384" s="613">
        <f t="shared" si="58"/>
        <v>1</v>
      </c>
      <c r="W384" s="613" t="str">
        <f t="shared" si="51"/>
        <v>I</v>
      </c>
      <c r="X384" s="613" t="str">
        <f t="shared" si="52"/>
        <v>I</v>
      </c>
      <c r="Y384" s="613">
        <f t="shared" si="53"/>
        <v>2017</v>
      </c>
      <c r="Z384" s="613" t="str">
        <f t="shared" si="54"/>
        <v>I</v>
      </c>
      <c r="AA384" s="613" t="str">
        <f t="shared" si="55"/>
        <v>I</v>
      </c>
      <c r="AB384" s="613" t="str">
        <f t="shared" si="55"/>
        <v>I</v>
      </c>
      <c r="AD384" s="613"/>
      <c r="AE384" s="740"/>
      <c r="AF384" s="644"/>
      <c r="AM384" s="647"/>
      <c r="AN384" s="647"/>
      <c r="AO384" s="647"/>
      <c r="AP384" s="647"/>
      <c r="AQ384" s="647"/>
    </row>
    <row r="385" spans="1:43" x14ac:dyDescent="0.2">
      <c r="A385" s="527">
        <v>383</v>
      </c>
      <c r="C385" s="834" t="s">
        <v>2758</v>
      </c>
      <c r="D385" s="624"/>
      <c r="E385" s="883">
        <v>43647</v>
      </c>
      <c r="F385" s="846" t="s">
        <v>316</v>
      </c>
      <c r="G385" s="624">
        <v>43734</v>
      </c>
      <c r="H385" s="530">
        <f t="shared" si="61"/>
        <v>0.23819301848049282</v>
      </c>
      <c r="J385" s="835">
        <v>2019</v>
      </c>
      <c r="K385" s="835">
        <v>2019</v>
      </c>
      <c r="L385" s="613" t="s">
        <v>303</v>
      </c>
      <c r="M385" s="613">
        <f t="shared" si="56"/>
        <v>0</v>
      </c>
      <c r="N385" s="613">
        <f t="shared" si="57"/>
        <v>1</v>
      </c>
      <c r="O385" s="836"/>
      <c r="P385" s="836"/>
      <c r="Q385" s="836">
        <v>1</v>
      </c>
      <c r="R385" s="836"/>
      <c r="S385" s="836"/>
      <c r="T385" s="836"/>
      <c r="U385" s="613">
        <f t="shared" si="58"/>
        <v>1</v>
      </c>
      <c r="W385" s="613" t="str">
        <f t="shared" si="51"/>
        <v>I</v>
      </c>
      <c r="X385" s="613" t="str">
        <f t="shared" si="52"/>
        <v>I</v>
      </c>
      <c r="Y385" s="613">
        <f t="shared" si="53"/>
        <v>2019</v>
      </c>
      <c r="Z385" s="613" t="str">
        <f t="shared" si="54"/>
        <v>I</v>
      </c>
      <c r="AA385" s="613" t="str">
        <f t="shared" si="55"/>
        <v>I</v>
      </c>
      <c r="AB385" s="613" t="str">
        <f t="shared" si="55"/>
        <v>I</v>
      </c>
      <c r="AD385" s="613"/>
      <c r="AE385" s="740"/>
      <c r="AF385" s="880"/>
      <c r="AM385" s="647"/>
      <c r="AN385" s="647"/>
      <c r="AO385" s="647"/>
      <c r="AP385" s="647"/>
      <c r="AQ385" s="647"/>
    </row>
    <row r="386" spans="1:43" x14ac:dyDescent="0.2">
      <c r="A386" s="527">
        <v>384</v>
      </c>
      <c r="C386" s="834" t="s">
        <v>2760</v>
      </c>
      <c r="D386" s="624"/>
      <c r="E386" s="883">
        <v>43510</v>
      </c>
      <c r="F386" s="846" t="s">
        <v>2694</v>
      </c>
      <c r="G386" s="624">
        <v>43749</v>
      </c>
      <c r="H386" s="530">
        <f t="shared" si="61"/>
        <v>0.65434633812457221</v>
      </c>
      <c r="J386" s="835">
        <v>2019</v>
      </c>
      <c r="K386" s="835">
        <v>2019</v>
      </c>
      <c r="L386" s="613" t="s">
        <v>303</v>
      </c>
      <c r="M386" s="613">
        <f t="shared" si="56"/>
        <v>0</v>
      </c>
      <c r="N386" s="613">
        <f t="shared" si="57"/>
        <v>1</v>
      </c>
      <c r="O386" s="836"/>
      <c r="P386" s="836"/>
      <c r="Q386" s="836">
        <v>1</v>
      </c>
      <c r="R386" s="836"/>
      <c r="S386" s="836"/>
      <c r="T386" s="836"/>
      <c r="U386" s="613">
        <f t="shared" si="58"/>
        <v>1</v>
      </c>
      <c r="W386" s="613" t="str">
        <f t="shared" si="51"/>
        <v>I</v>
      </c>
      <c r="X386" s="613" t="str">
        <f t="shared" si="52"/>
        <v>I</v>
      </c>
      <c r="Y386" s="613">
        <f t="shared" si="53"/>
        <v>2019</v>
      </c>
      <c r="Z386" s="613" t="str">
        <f t="shared" si="54"/>
        <v>I</v>
      </c>
      <c r="AA386" s="613" t="str">
        <f t="shared" si="55"/>
        <v>I</v>
      </c>
      <c r="AB386" s="613" t="str">
        <f t="shared" si="55"/>
        <v>I</v>
      </c>
      <c r="AD386" s="613"/>
      <c r="AE386" s="740"/>
      <c r="AF386" s="880"/>
      <c r="AM386" s="647"/>
      <c r="AN386" s="647"/>
      <c r="AO386" s="647"/>
      <c r="AP386" s="647"/>
      <c r="AQ386" s="647"/>
    </row>
    <row r="387" spans="1:43" x14ac:dyDescent="0.2">
      <c r="A387" s="527">
        <v>385</v>
      </c>
      <c r="C387" s="834" t="s">
        <v>2761</v>
      </c>
      <c r="D387" s="624"/>
      <c r="E387" s="883">
        <v>43600</v>
      </c>
      <c r="F387" s="846" t="s">
        <v>2694</v>
      </c>
      <c r="G387" s="624">
        <v>43749</v>
      </c>
      <c r="H387" s="530">
        <f t="shared" si="61"/>
        <v>0.40793976728268311</v>
      </c>
      <c r="J387" s="835">
        <v>2019</v>
      </c>
      <c r="K387" s="835">
        <v>2019</v>
      </c>
      <c r="L387" s="613" t="s">
        <v>303</v>
      </c>
      <c r="M387" s="613">
        <f t="shared" si="56"/>
        <v>0</v>
      </c>
      <c r="N387" s="613">
        <f t="shared" si="57"/>
        <v>1</v>
      </c>
      <c r="O387" s="836"/>
      <c r="P387" s="836"/>
      <c r="Q387" s="836">
        <v>1</v>
      </c>
      <c r="R387" s="836"/>
      <c r="S387" s="836"/>
      <c r="T387" s="836"/>
      <c r="U387" s="613">
        <f t="shared" si="58"/>
        <v>1</v>
      </c>
      <c r="W387" s="613" t="str">
        <f t="shared" ref="W387:W396" si="62">IF(O387=1,$J387,"I")</f>
        <v>I</v>
      </c>
      <c r="X387" s="613" t="str">
        <f t="shared" ref="X387:X396" si="63">IF(P387=1,$J387,"I")</f>
        <v>I</v>
      </c>
      <c r="Y387" s="613">
        <f t="shared" ref="Y387:Y396" si="64">IF(Q387=1,$J387,"I")</f>
        <v>2019</v>
      </c>
      <c r="Z387" s="613" t="str">
        <f t="shared" ref="Z387:Z396" si="65">IF(R387=1,$J387,"I")</f>
        <v>I</v>
      </c>
      <c r="AA387" s="613" t="str">
        <f t="shared" ref="AA387:AB396" si="66">IF(S387=1,$J387,"I")</f>
        <v>I</v>
      </c>
      <c r="AB387" s="613" t="str">
        <f t="shared" si="66"/>
        <v>I</v>
      </c>
      <c r="AD387" s="613"/>
      <c r="AE387" s="740"/>
      <c r="AF387" s="880"/>
      <c r="AM387" s="647"/>
      <c r="AN387" s="647"/>
      <c r="AO387" s="647"/>
      <c r="AP387" s="647"/>
      <c r="AQ387" s="647"/>
    </row>
    <row r="388" spans="1:43" x14ac:dyDescent="0.2">
      <c r="A388" s="527">
        <v>386</v>
      </c>
      <c r="C388" s="834" t="s">
        <v>2762</v>
      </c>
      <c r="D388" s="624"/>
      <c r="E388" s="883">
        <v>43631</v>
      </c>
      <c r="F388" s="846" t="s">
        <v>2694</v>
      </c>
      <c r="G388" s="624">
        <v>43749</v>
      </c>
      <c r="H388" s="530">
        <f t="shared" si="61"/>
        <v>0.32306639288158795</v>
      </c>
      <c r="J388" s="835">
        <v>2019</v>
      </c>
      <c r="K388" s="835">
        <v>2019</v>
      </c>
      <c r="L388" s="613" t="s">
        <v>303</v>
      </c>
      <c r="M388" s="613">
        <f t="shared" ref="M388:M451" si="67">IF(AND(L388="F",Q388=1),1,0)</f>
        <v>0</v>
      </c>
      <c r="N388" s="613">
        <f t="shared" ref="N388:N451" si="68">IF(AND(L388="P",Q388=1),1,0)</f>
        <v>1</v>
      </c>
      <c r="O388" s="836"/>
      <c r="P388" s="836"/>
      <c r="Q388" s="836">
        <v>1</v>
      </c>
      <c r="R388" s="836"/>
      <c r="S388" s="836"/>
      <c r="T388" s="836"/>
      <c r="U388" s="613">
        <f t="shared" ref="U388:U451" si="69">SUM(O388:T388)</f>
        <v>1</v>
      </c>
      <c r="W388" s="613" t="str">
        <f t="shared" si="62"/>
        <v>I</v>
      </c>
      <c r="X388" s="613" t="str">
        <f t="shared" si="63"/>
        <v>I</v>
      </c>
      <c r="Y388" s="613">
        <f t="shared" si="64"/>
        <v>2019</v>
      </c>
      <c r="Z388" s="613" t="str">
        <f t="shared" si="65"/>
        <v>I</v>
      </c>
      <c r="AA388" s="613" t="str">
        <f t="shared" si="66"/>
        <v>I</v>
      </c>
      <c r="AB388" s="613" t="str">
        <f t="shared" si="66"/>
        <v>I</v>
      </c>
      <c r="AD388" s="613"/>
      <c r="AE388" s="740"/>
      <c r="AF388" s="880"/>
      <c r="AM388" s="647"/>
      <c r="AN388" s="647"/>
      <c r="AO388" s="647"/>
      <c r="AP388" s="647"/>
      <c r="AQ388" s="647"/>
    </row>
    <row r="389" spans="1:43" x14ac:dyDescent="0.2">
      <c r="A389" s="527">
        <v>387</v>
      </c>
      <c r="C389" s="834" t="s">
        <v>2777</v>
      </c>
      <c r="D389" s="624"/>
      <c r="E389" s="883">
        <v>43419</v>
      </c>
      <c r="F389" s="846" t="s">
        <v>2694</v>
      </c>
      <c r="G389" s="624">
        <v>43749</v>
      </c>
      <c r="H389" s="530">
        <f t="shared" si="61"/>
        <v>0.90349075975359339</v>
      </c>
      <c r="J389" s="835">
        <v>2018</v>
      </c>
      <c r="K389" s="835">
        <v>2019</v>
      </c>
      <c r="L389" s="613" t="s">
        <v>303</v>
      </c>
      <c r="M389" s="613">
        <f t="shared" si="67"/>
        <v>0</v>
      </c>
      <c r="N389" s="613">
        <f t="shared" si="68"/>
        <v>1</v>
      </c>
      <c r="O389" s="836"/>
      <c r="P389" s="836"/>
      <c r="Q389" s="836">
        <v>1</v>
      </c>
      <c r="R389" s="836"/>
      <c r="S389" s="836"/>
      <c r="T389" s="836"/>
      <c r="U389" s="613">
        <f t="shared" si="69"/>
        <v>1</v>
      </c>
      <c r="W389" s="613" t="str">
        <f t="shared" si="62"/>
        <v>I</v>
      </c>
      <c r="X389" s="613" t="str">
        <f t="shared" si="63"/>
        <v>I</v>
      </c>
      <c r="Y389" s="613">
        <f t="shared" si="64"/>
        <v>2018</v>
      </c>
      <c r="Z389" s="613" t="str">
        <f t="shared" si="65"/>
        <v>I</v>
      </c>
      <c r="AA389" s="613" t="str">
        <f t="shared" si="66"/>
        <v>I</v>
      </c>
      <c r="AB389" s="613" t="str">
        <f t="shared" si="66"/>
        <v>I</v>
      </c>
      <c r="AD389" s="613"/>
      <c r="AE389" s="740"/>
      <c r="AF389" s="880"/>
      <c r="AM389" s="647"/>
      <c r="AN389" s="647"/>
      <c r="AO389" s="647"/>
      <c r="AP389" s="647"/>
      <c r="AQ389" s="647"/>
    </row>
    <row r="390" spans="1:43" x14ac:dyDescent="0.2">
      <c r="A390" s="527">
        <v>388</v>
      </c>
      <c r="C390" s="834" t="s">
        <v>2778</v>
      </c>
      <c r="D390" s="624"/>
      <c r="E390" s="883">
        <v>42870</v>
      </c>
      <c r="F390" s="846" t="s">
        <v>2694</v>
      </c>
      <c r="G390" s="624">
        <v>43776</v>
      </c>
      <c r="H390" s="530">
        <f t="shared" si="61"/>
        <v>2.4804928131416837</v>
      </c>
      <c r="J390" s="835">
        <v>2017</v>
      </c>
      <c r="K390" s="835">
        <v>2019</v>
      </c>
      <c r="L390" s="613" t="s">
        <v>303</v>
      </c>
      <c r="M390" s="613">
        <f t="shared" si="67"/>
        <v>0</v>
      </c>
      <c r="N390" s="613">
        <f t="shared" si="68"/>
        <v>1</v>
      </c>
      <c r="O390" s="836"/>
      <c r="P390" s="836"/>
      <c r="Q390" s="836">
        <v>1</v>
      </c>
      <c r="R390" s="836"/>
      <c r="S390" s="836"/>
      <c r="T390" s="836"/>
      <c r="U390" s="613">
        <f t="shared" si="69"/>
        <v>1</v>
      </c>
      <c r="W390" s="613" t="str">
        <f t="shared" si="62"/>
        <v>I</v>
      </c>
      <c r="X390" s="613" t="str">
        <f t="shared" si="63"/>
        <v>I</v>
      </c>
      <c r="Y390" s="613">
        <f t="shared" si="64"/>
        <v>2017</v>
      </c>
      <c r="Z390" s="613" t="str">
        <f t="shared" si="65"/>
        <v>I</v>
      </c>
      <c r="AA390" s="613" t="str">
        <f t="shared" si="66"/>
        <v>I</v>
      </c>
      <c r="AB390" s="613" t="str">
        <f t="shared" si="66"/>
        <v>I</v>
      </c>
      <c r="AD390" s="613"/>
      <c r="AE390" s="740"/>
      <c r="AF390" s="880"/>
      <c r="AM390" s="647"/>
      <c r="AN390" s="647"/>
      <c r="AO390" s="647"/>
      <c r="AP390" s="647"/>
      <c r="AQ390" s="647"/>
    </row>
    <row r="391" spans="1:43" x14ac:dyDescent="0.2">
      <c r="A391" s="527">
        <v>389</v>
      </c>
      <c r="C391" s="834" t="s">
        <v>2779</v>
      </c>
      <c r="D391" s="624"/>
      <c r="E391" s="883">
        <v>42750</v>
      </c>
      <c r="F391" s="846" t="s">
        <v>2694</v>
      </c>
      <c r="G391" s="624">
        <v>43776</v>
      </c>
      <c r="H391" s="530">
        <f t="shared" si="61"/>
        <v>2.8090349075975358</v>
      </c>
      <c r="J391" s="835">
        <v>2017</v>
      </c>
      <c r="K391" s="835">
        <v>2019</v>
      </c>
      <c r="L391" s="613" t="s">
        <v>303</v>
      </c>
      <c r="M391" s="613">
        <f t="shared" si="67"/>
        <v>0</v>
      </c>
      <c r="N391" s="613">
        <f t="shared" si="68"/>
        <v>1</v>
      </c>
      <c r="O391" s="836"/>
      <c r="P391" s="836"/>
      <c r="Q391" s="836">
        <v>1</v>
      </c>
      <c r="R391" s="836"/>
      <c r="S391" s="836"/>
      <c r="T391" s="836"/>
      <c r="U391" s="613">
        <f t="shared" si="69"/>
        <v>1</v>
      </c>
      <c r="W391" s="613" t="str">
        <f t="shared" si="62"/>
        <v>I</v>
      </c>
      <c r="X391" s="613" t="str">
        <f t="shared" si="63"/>
        <v>I</v>
      </c>
      <c r="Y391" s="613">
        <f t="shared" si="64"/>
        <v>2017</v>
      </c>
      <c r="Z391" s="613" t="str">
        <f t="shared" si="65"/>
        <v>I</v>
      </c>
      <c r="AA391" s="613" t="str">
        <f t="shared" si="66"/>
        <v>I</v>
      </c>
      <c r="AB391" s="613" t="str">
        <f t="shared" si="66"/>
        <v>I</v>
      </c>
      <c r="AD391" s="613"/>
      <c r="AE391" s="740"/>
      <c r="AF391" s="880"/>
      <c r="AM391" s="647"/>
      <c r="AN391" s="647"/>
      <c r="AO391" s="647"/>
      <c r="AP391" s="647"/>
      <c r="AQ391" s="647"/>
    </row>
    <row r="392" spans="1:43" x14ac:dyDescent="0.2">
      <c r="A392" s="527">
        <v>390</v>
      </c>
      <c r="C392" s="834" t="s">
        <v>2772</v>
      </c>
      <c r="D392" s="624"/>
      <c r="E392" s="883">
        <v>43600</v>
      </c>
      <c r="F392" s="846" t="s">
        <v>2694</v>
      </c>
      <c r="G392" s="624">
        <v>43776</v>
      </c>
      <c r="H392" s="530">
        <f t="shared" si="61"/>
        <v>0.48186173853524983</v>
      </c>
      <c r="J392" s="835">
        <v>2019</v>
      </c>
      <c r="K392" s="835">
        <v>2019</v>
      </c>
      <c r="L392" s="613" t="s">
        <v>303</v>
      </c>
      <c r="M392" s="613">
        <f t="shared" si="67"/>
        <v>0</v>
      </c>
      <c r="N392" s="613">
        <f t="shared" si="68"/>
        <v>1</v>
      </c>
      <c r="O392" s="836"/>
      <c r="P392" s="836"/>
      <c r="Q392" s="836">
        <v>1</v>
      </c>
      <c r="R392" s="836"/>
      <c r="S392" s="836"/>
      <c r="T392" s="836"/>
      <c r="U392" s="613">
        <f t="shared" si="69"/>
        <v>1</v>
      </c>
      <c r="W392" s="613" t="str">
        <f t="shared" si="62"/>
        <v>I</v>
      </c>
      <c r="X392" s="613" t="str">
        <f t="shared" si="63"/>
        <v>I</v>
      </c>
      <c r="Y392" s="613">
        <f t="shared" si="64"/>
        <v>2019</v>
      </c>
      <c r="Z392" s="613" t="str">
        <f t="shared" si="65"/>
        <v>I</v>
      </c>
      <c r="AA392" s="613" t="str">
        <f t="shared" si="66"/>
        <v>I</v>
      </c>
      <c r="AB392" s="613" t="str">
        <f t="shared" si="66"/>
        <v>I</v>
      </c>
      <c r="AD392" s="613"/>
      <c r="AE392" s="740"/>
      <c r="AF392" s="880"/>
      <c r="AM392" s="647"/>
      <c r="AN392" s="647"/>
      <c r="AO392" s="647"/>
      <c r="AP392" s="647"/>
      <c r="AQ392" s="647"/>
    </row>
    <row r="393" spans="1:43" x14ac:dyDescent="0.2">
      <c r="A393" s="527">
        <v>391</v>
      </c>
      <c r="C393" s="834" t="s">
        <v>2773</v>
      </c>
      <c r="D393" s="883">
        <v>40725</v>
      </c>
      <c r="E393" s="624"/>
      <c r="F393" s="846" t="s">
        <v>316</v>
      </c>
      <c r="G393" s="624">
        <v>43776</v>
      </c>
      <c r="H393" s="530">
        <f t="shared" si="61"/>
        <v>8.3531827515400412</v>
      </c>
      <c r="J393" s="835">
        <v>2011</v>
      </c>
      <c r="K393" s="835">
        <v>2019</v>
      </c>
      <c r="L393" s="613" t="s">
        <v>336</v>
      </c>
      <c r="M393" s="613">
        <f t="shared" si="67"/>
        <v>1</v>
      </c>
      <c r="N393" s="613">
        <f t="shared" si="68"/>
        <v>0</v>
      </c>
      <c r="O393" s="836"/>
      <c r="P393" s="836"/>
      <c r="Q393" s="836">
        <v>1</v>
      </c>
      <c r="R393" s="836"/>
      <c r="S393" s="836"/>
      <c r="T393" s="836"/>
      <c r="U393" s="613">
        <f t="shared" si="69"/>
        <v>1</v>
      </c>
      <c r="W393" s="613" t="str">
        <f t="shared" si="62"/>
        <v>I</v>
      </c>
      <c r="X393" s="613" t="str">
        <f t="shared" si="63"/>
        <v>I</v>
      </c>
      <c r="Y393" s="613">
        <f t="shared" si="64"/>
        <v>2011</v>
      </c>
      <c r="Z393" s="613" t="str">
        <f t="shared" si="65"/>
        <v>I</v>
      </c>
      <c r="AA393" s="613" t="str">
        <f t="shared" si="66"/>
        <v>I</v>
      </c>
      <c r="AB393" s="613" t="str">
        <f t="shared" si="66"/>
        <v>I</v>
      </c>
      <c r="AD393" s="613"/>
      <c r="AE393" s="740"/>
      <c r="AF393" s="880"/>
      <c r="AM393" s="647"/>
      <c r="AN393" s="647"/>
      <c r="AO393" s="647"/>
      <c r="AP393" s="647"/>
      <c r="AQ393" s="647"/>
    </row>
    <row r="394" spans="1:43" x14ac:dyDescent="0.2">
      <c r="A394" s="527">
        <v>392</v>
      </c>
      <c r="C394" s="834" t="s">
        <v>2751</v>
      </c>
      <c r="D394" s="883">
        <v>42109</v>
      </c>
      <c r="E394" s="624"/>
      <c r="F394" s="846" t="s">
        <v>2694</v>
      </c>
      <c r="G394" s="624">
        <v>43776</v>
      </c>
      <c r="H394" s="530">
        <f t="shared" si="61"/>
        <v>4.5639972621492131</v>
      </c>
      <c r="J394" s="835">
        <v>2015</v>
      </c>
      <c r="K394" s="835">
        <v>2019</v>
      </c>
      <c r="L394" s="613" t="s">
        <v>336</v>
      </c>
      <c r="M394" s="613">
        <f t="shared" si="67"/>
        <v>1</v>
      </c>
      <c r="N394" s="613">
        <f t="shared" si="68"/>
        <v>0</v>
      </c>
      <c r="O394" s="836"/>
      <c r="P394" s="836"/>
      <c r="Q394" s="836">
        <v>1</v>
      </c>
      <c r="R394" s="836"/>
      <c r="S394" s="836"/>
      <c r="T394" s="836"/>
      <c r="U394" s="613">
        <f t="shared" si="69"/>
        <v>1</v>
      </c>
      <c r="W394" s="613" t="str">
        <f t="shared" si="62"/>
        <v>I</v>
      </c>
      <c r="X394" s="613" t="str">
        <f t="shared" si="63"/>
        <v>I</v>
      </c>
      <c r="Y394" s="613">
        <f t="shared" si="64"/>
        <v>2015</v>
      </c>
      <c r="Z394" s="613" t="str">
        <f t="shared" si="65"/>
        <v>I</v>
      </c>
      <c r="AA394" s="613" t="str">
        <f t="shared" si="66"/>
        <v>I</v>
      </c>
      <c r="AB394" s="613" t="str">
        <f t="shared" si="66"/>
        <v>I</v>
      </c>
      <c r="AD394" s="613"/>
      <c r="AE394" s="740"/>
      <c r="AF394" s="880"/>
      <c r="AM394" s="647"/>
      <c r="AN394" s="647"/>
      <c r="AO394" s="647"/>
      <c r="AP394" s="647"/>
      <c r="AQ394" s="647"/>
    </row>
    <row r="395" spans="1:43" x14ac:dyDescent="0.2">
      <c r="A395" s="527">
        <v>393</v>
      </c>
      <c r="C395" s="834" t="s">
        <v>2780</v>
      </c>
      <c r="D395" s="883">
        <v>43282</v>
      </c>
      <c r="E395" s="624"/>
      <c r="F395" s="846" t="s">
        <v>316</v>
      </c>
      <c r="G395" s="624">
        <v>43785</v>
      </c>
      <c r="H395" s="530">
        <f t="shared" si="61"/>
        <v>1.377138945927447</v>
      </c>
      <c r="J395" s="835">
        <v>2018</v>
      </c>
      <c r="K395" s="835">
        <v>2019</v>
      </c>
      <c r="L395" s="613" t="s">
        <v>336</v>
      </c>
      <c r="M395" s="613">
        <f t="shared" si="67"/>
        <v>1</v>
      </c>
      <c r="N395" s="613">
        <f t="shared" si="68"/>
        <v>0</v>
      </c>
      <c r="O395" s="836"/>
      <c r="P395" s="836"/>
      <c r="Q395" s="836">
        <v>1</v>
      </c>
      <c r="R395" s="836"/>
      <c r="S395" s="836"/>
      <c r="T395" s="836"/>
      <c r="U395" s="613">
        <f t="shared" si="69"/>
        <v>1</v>
      </c>
      <c r="W395" s="613" t="str">
        <f t="shared" si="62"/>
        <v>I</v>
      </c>
      <c r="X395" s="613" t="str">
        <f t="shared" si="63"/>
        <v>I</v>
      </c>
      <c r="Y395" s="613">
        <f t="shared" si="64"/>
        <v>2018</v>
      </c>
      <c r="Z395" s="613" t="str">
        <f t="shared" si="65"/>
        <v>I</v>
      </c>
      <c r="AA395" s="613" t="str">
        <f t="shared" si="66"/>
        <v>I</v>
      </c>
      <c r="AB395" s="613" t="str">
        <f t="shared" si="66"/>
        <v>I</v>
      </c>
      <c r="AD395" s="613"/>
      <c r="AE395" s="740"/>
      <c r="AF395" s="880"/>
      <c r="AM395" s="647"/>
      <c r="AN395" s="647"/>
      <c r="AO395" s="647"/>
      <c r="AP395" s="647"/>
      <c r="AQ395" s="647"/>
    </row>
    <row r="396" spans="1:43" x14ac:dyDescent="0.2">
      <c r="A396" s="527">
        <v>394</v>
      </c>
      <c r="C396" s="834" t="s">
        <v>2781</v>
      </c>
      <c r="D396" s="624"/>
      <c r="E396" s="883">
        <v>43647</v>
      </c>
      <c r="F396" s="846" t="s">
        <v>316</v>
      </c>
      <c r="G396" s="624">
        <v>43798</v>
      </c>
      <c r="H396" s="530">
        <f t="shared" si="61"/>
        <v>0.4134154688569473</v>
      </c>
      <c r="J396" s="835">
        <v>2019</v>
      </c>
      <c r="K396" s="835">
        <v>2019</v>
      </c>
      <c r="L396" s="613" t="s">
        <v>303</v>
      </c>
      <c r="M396" s="613">
        <f t="shared" si="67"/>
        <v>0</v>
      </c>
      <c r="N396" s="613">
        <f t="shared" si="68"/>
        <v>1</v>
      </c>
      <c r="Q396" s="836">
        <v>1</v>
      </c>
      <c r="U396" s="613">
        <f t="shared" si="69"/>
        <v>1</v>
      </c>
      <c r="W396" s="613" t="str">
        <f t="shared" si="62"/>
        <v>I</v>
      </c>
      <c r="X396" s="613" t="str">
        <f t="shared" si="63"/>
        <v>I</v>
      </c>
      <c r="Y396" s="613">
        <f t="shared" si="64"/>
        <v>2019</v>
      </c>
      <c r="Z396" s="613" t="str">
        <f t="shared" si="65"/>
        <v>I</v>
      </c>
      <c r="AA396" s="613" t="str">
        <f t="shared" si="66"/>
        <v>I</v>
      </c>
      <c r="AB396" s="613" t="str">
        <f t="shared" si="66"/>
        <v>I</v>
      </c>
      <c r="AD396" s="613"/>
      <c r="AE396" s="740"/>
      <c r="AF396" s="880"/>
      <c r="AM396" s="647"/>
      <c r="AN396" s="647"/>
      <c r="AO396" s="647"/>
      <c r="AP396" s="647"/>
      <c r="AQ396" s="647"/>
    </row>
    <row r="397" spans="1:43" x14ac:dyDescent="0.2">
      <c r="A397" s="527">
        <v>395</v>
      </c>
      <c r="C397" s="834" t="s">
        <v>2782</v>
      </c>
      <c r="D397" s="624"/>
      <c r="E397" s="883">
        <v>43570</v>
      </c>
      <c r="F397" s="846" t="s">
        <v>2694</v>
      </c>
      <c r="G397" s="624">
        <v>43822</v>
      </c>
      <c r="H397" s="530">
        <f t="shared" si="61"/>
        <v>0.68993839835728954</v>
      </c>
      <c r="J397" s="835">
        <v>2019</v>
      </c>
      <c r="K397" s="835">
        <v>2019</v>
      </c>
      <c r="L397" s="613" t="s">
        <v>303</v>
      </c>
      <c r="M397" s="613">
        <f t="shared" si="67"/>
        <v>0</v>
      </c>
      <c r="N397" s="613">
        <f t="shared" si="68"/>
        <v>1</v>
      </c>
      <c r="Q397" s="836">
        <v>1</v>
      </c>
      <c r="U397" s="613">
        <f t="shared" si="69"/>
        <v>1</v>
      </c>
      <c r="W397" s="613" t="str">
        <f t="shared" ref="W397:AB400" si="70">IF(O397=1,$J397,"I")</f>
        <v>I</v>
      </c>
      <c r="X397" s="613" t="str">
        <f t="shared" si="70"/>
        <v>I</v>
      </c>
      <c r="Y397" s="613">
        <f t="shared" si="70"/>
        <v>2019</v>
      </c>
      <c r="Z397" s="613" t="str">
        <f t="shared" si="70"/>
        <v>I</v>
      </c>
      <c r="AA397" s="613" t="str">
        <f t="shared" si="70"/>
        <v>I</v>
      </c>
      <c r="AB397" s="613" t="str">
        <f t="shared" si="70"/>
        <v>I</v>
      </c>
      <c r="AD397" s="613"/>
      <c r="AE397" s="740"/>
      <c r="AF397" s="880"/>
      <c r="AM397" s="647"/>
      <c r="AN397" s="647"/>
      <c r="AO397" s="647"/>
      <c r="AP397" s="647"/>
      <c r="AQ397" s="647"/>
    </row>
    <row r="398" spans="1:43" x14ac:dyDescent="0.2">
      <c r="A398" s="527">
        <v>396</v>
      </c>
      <c r="C398" s="834" t="s">
        <v>2783</v>
      </c>
      <c r="D398" s="883">
        <v>43419</v>
      </c>
      <c r="E398" s="883"/>
      <c r="F398" s="846" t="s">
        <v>316</v>
      </c>
      <c r="G398" s="624">
        <v>43822</v>
      </c>
      <c r="H398" s="530">
        <f t="shared" si="61"/>
        <v>1.1033538672142369</v>
      </c>
      <c r="J398" s="835">
        <v>2018</v>
      </c>
      <c r="K398" s="835">
        <v>2019</v>
      </c>
      <c r="L398" s="613" t="s">
        <v>336</v>
      </c>
      <c r="M398" s="613">
        <f t="shared" si="67"/>
        <v>1</v>
      </c>
      <c r="N398" s="613">
        <f t="shared" si="68"/>
        <v>0</v>
      </c>
      <c r="Q398" s="836">
        <v>1</v>
      </c>
      <c r="U398" s="613">
        <f t="shared" si="69"/>
        <v>1</v>
      </c>
      <c r="W398" s="613" t="str">
        <f t="shared" si="70"/>
        <v>I</v>
      </c>
      <c r="X398" s="613" t="str">
        <f t="shared" si="70"/>
        <v>I</v>
      </c>
      <c r="Y398" s="613">
        <f t="shared" si="70"/>
        <v>2018</v>
      </c>
      <c r="Z398" s="613" t="str">
        <f t="shared" si="70"/>
        <v>I</v>
      </c>
      <c r="AA398" s="613" t="str">
        <f t="shared" si="70"/>
        <v>I</v>
      </c>
      <c r="AB398" s="613" t="str">
        <f t="shared" si="70"/>
        <v>I</v>
      </c>
      <c r="AD398" s="613"/>
      <c r="AE398" s="740"/>
      <c r="AF398" s="880"/>
      <c r="AM398" s="647"/>
      <c r="AN398" s="647"/>
      <c r="AO398" s="647"/>
      <c r="AP398" s="647"/>
      <c r="AQ398" s="647"/>
    </row>
    <row r="399" spans="1:43" x14ac:dyDescent="0.2">
      <c r="A399" s="527">
        <v>397</v>
      </c>
      <c r="C399" s="834" t="s">
        <v>2784</v>
      </c>
      <c r="D399" s="883">
        <v>42552</v>
      </c>
      <c r="E399" s="883"/>
      <c r="F399" s="846" t="s">
        <v>316</v>
      </c>
      <c r="G399" s="624">
        <v>43822</v>
      </c>
      <c r="H399" s="530">
        <f t="shared" si="61"/>
        <v>3.4770704996577688</v>
      </c>
      <c r="J399" s="835">
        <v>2016</v>
      </c>
      <c r="K399" s="835">
        <v>2019</v>
      </c>
      <c r="L399" s="613" t="s">
        <v>336</v>
      </c>
      <c r="M399" s="613">
        <f t="shared" si="67"/>
        <v>1</v>
      </c>
      <c r="N399" s="613">
        <f t="shared" si="68"/>
        <v>0</v>
      </c>
      <c r="Q399" s="836">
        <v>1</v>
      </c>
      <c r="U399" s="613">
        <f t="shared" si="69"/>
        <v>1</v>
      </c>
      <c r="W399" s="613" t="str">
        <f t="shared" si="70"/>
        <v>I</v>
      </c>
      <c r="X399" s="613" t="str">
        <f t="shared" si="70"/>
        <v>I</v>
      </c>
      <c r="Y399" s="613">
        <f t="shared" si="70"/>
        <v>2016</v>
      </c>
      <c r="Z399" s="613" t="str">
        <f t="shared" si="70"/>
        <v>I</v>
      </c>
      <c r="AA399" s="613" t="str">
        <f t="shared" si="70"/>
        <v>I</v>
      </c>
      <c r="AB399" s="613" t="str">
        <f t="shared" si="70"/>
        <v>I</v>
      </c>
      <c r="AD399" s="613"/>
      <c r="AE399" s="740"/>
      <c r="AF399" s="880"/>
      <c r="AM399" s="647"/>
      <c r="AN399" s="647"/>
      <c r="AO399" s="647"/>
      <c r="AP399" s="647"/>
      <c r="AQ399" s="647"/>
    </row>
    <row r="400" spans="1:43" x14ac:dyDescent="0.2">
      <c r="A400" s="527">
        <v>398</v>
      </c>
      <c r="C400" s="834" t="s">
        <v>2785</v>
      </c>
      <c r="D400" s="624"/>
      <c r="E400" s="883">
        <v>42186</v>
      </c>
      <c r="F400" s="846" t="s">
        <v>316</v>
      </c>
      <c r="G400" s="624">
        <v>43822</v>
      </c>
      <c r="H400" s="530">
        <f t="shared" si="61"/>
        <v>4.4791238877481181</v>
      </c>
      <c r="J400" s="835">
        <v>2015</v>
      </c>
      <c r="K400" s="835">
        <v>2019</v>
      </c>
      <c r="L400" s="613" t="s">
        <v>303</v>
      </c>
      <c r="M400" s="613">
        <f t="shared" si="67"/>
        <v>0</v>
      </c>
      <c r="N400" s="613">
        <f t="shared" si="68"/>
        <v>1</v>
      </c>
      <c r="Q400" s="836">
        <v>1</v>
      </c>
      <c r="U400" s="613">
        <f t="shared" si="69"/>
        <v>1</v>
      </c>
      <c r="W400" s="613" t="str">
        <f t="shared" si="70"/>
        <v>I</v>
      </c>
      <c r="X400" s="613" t="str">
        <f t="shared" si="70"/>
        <v>I</v>
      </c>
      <c r="Y400" s="613">
        <f t="shared" si="70"/>
        <v>2015</v>
      </c>
      <c r="Z400" s="613" t="str">
        <f t="shared" si="70"/>
        <v>I</v>
      </c>
      <c r="AA400" s="613" t="str">
        <f t="shared" si="70"/>
        <v>I</v>
      </c>
      <c r="AB400" s="613" t="str">
        <f t="shared" si="70"/>
        <v>I</v>
      </c>
      <c r="AD400" s="613"/>
      <c r="AE400" s="740"/>
      <c r="AF400" s="880"/>
      <c r="AM400" s="647"/>
      <c r="AN400" s="647"/>
      <c r="AO400" s="647"/>
      <c r="AP400" s="647"/>
      <c r="AQ400" s="647"/>
    </row>
    <row r="401" spans="1:45" x14ac:dyDescent="0.2">
      <c r="A401" s="527">
        <v>399</v>
      </c>
      <c r="C401" s="834" t="s">
        <v>2798</v>
      </c>
      <c r="D401" s="883">
        <v>42186</v>
      </c>
      <c r="F401" s="846" t="s">
        <v>316</v>
      </c>
      <c r="G401" s="624">
        <v>43861</v>
      </c>
      <c r="H401" s="530"/>
      <c r="J401" s="835">
        <v>2015</v>
      </c>
      <c r="K401" s="835">
        <v>2020</v>
      </c>
      <c r="L401" s="613" t="s">
        <v>336</v>
      </c>
      <c r="M401" s="613">
        <f t="shared" si="67"/>
        <v>1</v>
      </c>
      <c r="N401" s="613">
        <f t="shared" si="68"/>
        <v>0</v>
      </c>
      <c r="Q401" s="836">
        <v>1</v>
      </c>
      <c r="U401" s="613">
        <f t="shared" si="69"/>
        <v>1</v>
      </c>
      <c r="W401" s="613" t="str">
        <f t="shared" ref="W401:W464" si="71">IF(O401=1,$J401,"I")</f>
        <v>I</v>
      </c>
      <c r="X401" s="613" t="str">
        <f t="shared" ref="X401:X464" si="72">IF(P401=1,$J401,"I")</f>
        <v>I</v>
      </c>
      <c r="Y401" s="613">
        <f t="shared" ref="Y401:Y464" si="73">IF(Q401=1,$J401,"I")</f>
        <v>2015</v>
      </c>
      <c r="Z401" s="613" t="str">
        <f t="shared" ref="Z401:Z464" si="74">IF(R401=1,$J401,"I")</f>
        <v>I</v>
      </c>
      <c r="AA401" s="613" t="str">
        <f t="shared" ref="AA401:AB464" si="75">IF(S401=1,$J401,"I")</f>
        <v>I</v>
      </c>
      <c r="AB401" s="613" t="str">
        <f t="shared" si="75"/>
        <v>I</v>
      </c>
      <c r="AD401" s="613"/>
      <c r="AE401" s="740"/>
      <c r="AF401" s="880"/>
      <c r="AM401" s="647"/>
      <c r="AN401" s="647"/>
      <c r="AO401" s="647"/>
      <c r="AP401" s="647"/>
      <c r="AQ401" s="647"/>
    </row>
    <row r="402" spans="1:45" x14ac:dyDescent="0.2">
      <c r="A402" s="527">
        <v>400</v>
      </c>
      <c r="C402" s="834" t="s">
        <v>2808</v>
      </c>
      <c r="D402" s="883">
        <v>42186</v>
      </c>
      <c r="F402" s="846" t="s">
        <v>316</v>
      </c>
      <c r="G402" s="624">
        <v>43870</v>
      </c>
      <c r="H402" s="530"/>
      <c r="J402" s="835">
        <v>2015</v>
      </c>
      <c r="K402" s="835">
        <v>2020</v>
      </c>
      <c r="L402" s="613" t="s">
        <v>336</v>
      </c>
      <c r="M402" s="613">
        <f t="shared" si="67"/>
        <v>1</v>
      </c>
      <c r="N402" s="613">
        <f t="shared" si="68"/>
        <v>0</v>
      </c>
      <c r="Q402" s="836">
        <v>1</v>
      </c>
      <c r="U402" s="613">
        <f t="shared" si="69"/>
        <v>1</v>
      </c>
      <c r="W402" s="613" t="str">
        <f t="shared" si="71"/>
        <v>I</v>
      </c>
      <c r="X402" s="613" t="str">
        <f t="shared" si="72"/>
        <v>I</v>
      </c>
      <c r="Y402" s="613">
        <f t="shared" si="73"/>
        <v>2015</v>
      </c>
      <c r="Z402" s="613" t="str">
        <f t="shared" si="74"/>
        <v>I</v>
      </c>
      <c r="AA402" s="613" t="str">
        <f t="shared" si="75"/>
        <v>I</v>
      </c>
      <c r="AB402" s="613" t="str">
        <f t="shared" si="75"/>
        <v>I</v>
      </c>
      <c r="AD402" s="613"/>
      <c r="AE402" s="740"/>
      <c r="AF402" s="880"/>
      <c r="AM402" s="647"/>
      <c r="AN402" s="647"/>
      <c r="AO402" s="647"/>
      <c r="AP402" s="647"/>
      <c r="AQ402" s="647"/>
    </row>
    <row r="403" spans="1:45" x14ac:dyDescent="0.2">
      <c r="A403" s="527">
        <v>401</v>
      </c>
      <c r="C403" s="834" t="s">
        <v>2806</v>
      </c>
      <c r="D403" s="883">
        <v>42750</v>
      </c>
      <c r="F403" s="846" t="s">
        <v>2694</v>
      </c>
      <c r="G403" s="624">
        <v>43870</v>
      </c>
      <c r="H403" s="530"/>
      <c r="J403" s="835">
        <v>2017</v>
      </c>
      <c r="K403" s="835">
        <v>2020</v>
      </c>
      <c r="L403" s="613" t="s">
        <v>336</v>
      </c>
      <c r="M403" s="613">
        <f t="shared" si="67"/>
        <v>1</v>
      </c>
      <c r="N403" s="613">
        <f t="shared" si="68"/>
        <v>0</v>
      </c>
      <c r="Q403" s="836">
        <v>1</v>
      </c>
      <c r="U403" s="613">
        <f t="shared" si="69"/>
        <v>1</v>
      </c>
      <c r="W403" s="613" t="str">
        <f t="shared" si="71"/>
        <v>I</v>
      </c>
      <c r="X403" s="613" t="str">
        <f t="shared" si="72"/>
        <v>I</v>
      </c>
      <c r="Y403" s="613">
        <f t="shared" si="73"/>
        <v>2017</v>
      </c>
      <c r="Z403" s="613" t="str">
        <f t="shared" si="74"/>
        <v>I</v>
      </c>
      <c r="AA403" s="613" t="str">
        <f t="shared" si="75"/>
        <v>I</v>
      </c>
      <c r="AB403" s="613" t="str">
        <f t="shared" si="75"/>
        <v>I</v>
      </c>
      <c r="AD403" s="613"/>
      <c r="AE403" s="740"/>
      <c r="AF403" s="880"/>
      <c r="AM403" s="647"/>
      <c r="AN403" s="647"/>
      <c r="AO403" s="647"/>
      <c r="AP403" s="647"/>
      <c r="AQ403" s="647"/>
    </row>
    <row r="404" spans="1:45" x14ac:dyDescent="0.2">
      <c r="A404" s="527">
        <v>402</v>
      </c>
      <c r="C404" s="834" t="s">
        <v>2804</v>
      </c>
      <c r="D404" s="624"/>
      <c r="E404" s="883">
        <v>43631</v>
      </c>
      <c r="F404" s="846" t="s">
        <v>2694</v>
      </c>
      <c r="G404" s="624">
        <v>43870</v>
      </c>
      <c r="H404" s="530"/>
      <c r="J404" s="835">
        <v>2019</v>
      </c>
      <c r="K404" s="835">
        <v>2020</v>
      </c>
      <c r="L404" s="613" t="s">
        <v>303</v>
      </c>
      <c r="M404" s="613">
        <f t="shared" si="67"/>
        <v>0</v>
      </c>
      <c r="N404" s="613">
        <f t="shared" si="68"/>
        <v>1</v>
      </c>
      <c r="Q404" s="836">
        <v>1</v>
      </c>
      <c r="U404" s="613">
        <f t="shared" si="69"/>
        <v>1</v>
      </c>
      <c r="W404" s="613" t="str">
        <f t="shared" si="71"/>
        <v>I</v>
      </c>
      <c r="X404" s="613" t="str">
        <f t="shared" si="72"/>
        <v>I</v>
      </c>
      <c r="Y404" s="613">
        <f t="shared" si="73"/>
        <v>2019</v>
      </c>
      <c r="Z404" s="613" t="str">
        <f t="shared" si="74"/>
        <v>I</v>
      </c>
      <c r="AA404" s="613" t="str">
        <f t="shared" si="75"/>
        <v>I</v>
      </c>
      <c r="AB404" s="613" t="str">
        <f t="shared" si="75"/>
        <v>I</v>
      </c>
      <c r="AD404" s="613"/>
      <c r="AE404" s="740"/>
      <c r="AF404" s="880"/>
      <c r="AM404" s="647"/>
      <c r="AN404" s="647"/>
      <c r="AO404" s="647"/>
      <c r="AP404" s="647"/>
      <c r="AQ404" s="647"/>
    </row>
    <row r="405" spans="1:45" x14ac:dyDescent="0.2">
      <c r="A405" s="527">
        <v>403</v>
      </c>
      <c r="C405" s="834" t="s">
        <v>2803</v>
      </c>
      <c r="D405" s="624"/>
      <c r="E405" s="883">
        <v>43692</v>
      </c>
      <c r="F405" s="846" t="s">
        <v>2694</v>
      </c>
      <c r="G405" s="624">
        <v>43870</v>
      </c>
      <c r="H405" s="530"/>
      <c r="J405" s="835">
        <v>2019</v>
      </c>
      <c r="K405" s="835">
        <v>2020</v>
      </c>
      <c r="L405" s="613" t="s">
        <v>303</v>
      </c>
      <c r="M405" s="613">
        <f t="shared" si="67"/>
        <v>0</v>
      </c>
      <c r="N405" s="613">
        <f t="shared" si="68"/>
        <v>1</v>
      </c>
      <c r="Q405" s="836">
        <v>1</v>
      </c>
      <c r="U405" s="613">
        <f t="shared" si="69"/>
        <v>1</v>
      </c>
      <c r="W405" s="613" t="str">
        <f t="shared" si="71"/>
        <v>I</v>
      </c>
      <c r="X405" s="613" t="str">
        <f t="shared" si="72"/>
        <v>I</v>
      </c>
      <c r="Y405" s="613">
        <f t="shared" si="73"/>
        <v>2019</v>
      </c>
      <c r="Z405" s="613" t="str">
        <f t="shared" si="74"/>
        <v>I</v>
      </c>
      <c r="AA405" s="613" t="str">
        <f t="shared" si="75"/>
        <v>I</v>
      </c>
      <c r="AB405" s="613" t="str">
        <f t="shared" si="75"/>
        <v>I</v>
      </c>
      <c r="AD405" s="613"/>
      <c r="AE405" s="740"/>
      <c r="AF405" s="880"/>
      <c r="AM405" s="647"/>
      <c r="AN405" s="647"/>
      <c r="AO405" s="647"/>
      <c r="AP405" s="647"/>
      <c r="AQ405" s="647"/>
    </row>
    <row r="406" spans="1:45" x14ac:dyDescent="0.2">
      <c r="A406" s="527">
        <v>404</v>
      </c>
      <c r="C406" s="834" t="s">
        <v>2800</v>
      </c>
      <c r="D406" s="624"/>
      <c r="E406" s="883">
        <v>43647</v>
      </c>
      <c r="F406" s="846" t="s">
        <v>316</v>
      </c>
      <c r="G406" s="624">
        <v>43878</v>
      </c>
      <c r="H406" s="530"/>
      <c r="J406" s="835">
        <v>2019</v>
      </c>
      <c r="K406" s="835">
        <v>2020</v>
      </c>
      <c r="L406" s="613" t="s">
        <v>303</v>
      </c>
      <c r="M406" s="613">
        <f t="shared" si="67"/>
        <v>0</v>
      </c>
      <c r="N406" s="613">
        <f t="shared" si="68"/>
        <v>1</v>
      </c>
      <c r="Q406" s="836">
        <v>1</v>
      </c>
      <c r="U406" s="613">
        <f t="shared" si="69"/>
        <v>1</v>
      </c>
      <c r="W406" s="613" t="str">
        <f t="shared" si="71"/>
        <v>I</v>
      </c>
      <c r="X406" s="613" t="str">
        <f t="shared" si="72"/>
        <v>I</v>
      </c>
      <c r="Y406" s="613">
        <f t="shared" si="73"/>
        <v>2019</v>
      </c>
      <c r="Z406" s="613" t="str">
        <f t="shared" si="74"/>
        <v>I</v>
      </c>
      <c r="AA406" s="613" t="str">
        <f t="shared" si="75"/>
        <v>I</v>
      </c>
      <c r="AB406" s="613" t="str">
        <f t="shared" si="75"/>
        <v>I</v>
      </c>
      <c r="AD406" s="613"/>
      <c r="AE406" s="740"/>
      <c r="AF406" s="880"/>
      <c r="AM406" s="647"/>
      <c r="AN406" s="647"/>
      <c r="AO406" s="647"/>
      <c r="AP406" s="647"/>
      <c r="AQ406" s="647"/>
    </row>
    <row r="407" spans="1:45" x14ac:dyDescent="0.2">
      <c r="A407" s="527">
        <v>405</v>
      </c>
      <c r="C407" s="834" t="s">
        <v>2801</v>
      </c>
      <c r="D407" s="624"/>
      <c r="F407" s="844"/>
      <c r="G407" s="624">
        <v>43882</v>
      </c>
      <c r="H407" s="530"/>
      <c r="J407" s="628">
        <v>2018</v>
      </c>
      <c r="K407" s="835">
        <v>2020</v>
      </c>
      <c r="L407" s="613"/>
      <c r="M407" s="613">
        <f t="shared" si="67"/>
        <v>0</v>
      </c>
      <c r="N407" s="613">
        <f t="shared" si="68"/>
        <v>0</v>
      </c>
      <c r="O407" s="836">
        <v>1</v>
      </c>
      <c r="U407" s="613">
        <f t="shared" si="69"/>
        <v>1</v>
      </c>
      <c r="W407" s="613">
        <f t="shared" si="71"/>
        <v>2018</v>
      </c>
      <c r="X407" s="613" t="str">
        <f t="shared" si="72"/>
        <v>I</v>
      </c>
      <c r="Y407" s="613" t="str">
        <f t="shared" si="73"/>
        <v>I</v>
      </c>
      <c r="Z407" s="613" t="str">
        <f t="shared" si="74"/>
        <v>I</v>
      </c>
      <c r="AA407" s="613" t="str">
        <f t="shared" si="75"/>
        <v>I</v>
      </c>
      <c r="AB407" s="613" t="str">
        <f t="shared" si="75"/>
        <v>I</v>
      </c>
      <c r="AD407" s="613"/>
      <c r="AE407" s="740"/>
      <c r="AF407" s="880"/>
      <c r="AM407" s="647"/>
      <c r="AN407" s="647"/>
      <c r="AO407" s="647"/>
      <c r="AP407" s="647"/>
      <c r="AQ407" s="647"/>
    </row>
    <row r="408" spans="1:45" x14ac:dyDescent="0.2">
      <c r="A408" s="527">
        <v>406</v>
      </c>
      <c r="C408" s="834" t="s">
        <v>2802</v>
      </c>
      <c r="D408" s="624"/>
      <c r="F408" s="844"/>
      <c r="G408" s="624">
        <v>43882</v>
      </c>
      <c r="H408" s="530"/>
      <c r="J408" s="628">
        <v>2018</v>
      </c>
      <c r="K408" s="835">
        <v>2020</v>
      </c>
      <c r="L408" s="613"/>
      <c r="M408" s="613">
        <f t="shared" si="67"/>
        <v>0</v>
      </c>
      <c r="N408" s="613">
        <f t="shared" si="68"/>
        <v>0</v>
      </c>
      <c r="O408" s="836">
        <v>1</v>
      </c>
      <c r="U408" s="613">
        <f t="shared" si="69"/>
        <v>1</v>
      </c>
      <c r="W408" s="613">
        <f t="shared" si="71"/>
        <v>2018</v>
      </c>
      <c r="X408" s="613" t="str">
        <f t="shared" si="72"/>
        <v>I</v>
      </c>
      <c r="Y408" s="613" t="str">
        <f t="shared" si="73"/>
        <v>I</v>
      </c>
      <c r="Z408" s="613" t="str">
        <f t="shared" si="74"/>
        <v>I</v>
      </c>
      <c r="AA408" s="613" t="str">
        <f t="shared" si="75"/>
        <v>I</v>
      </c>
      <c r="AB408" s="613" t="str">
        <f t="shared" si="75"/>
        <v>I</v>
      </c>
      <c r="AD408" s="613"/>
      <c r="AE408" s="740"/>
      <c r="AF408" s="880"/>
      <c r="AM408" s="647"/>
      <c r="AN408" s="647"/>
      <c r="AO408" s="647"/>
      <c r="AP408" s="647"/>
      <c r="AQ408" s="647"/>
    </row>
    <row r="409" spans="1:45" x14ac:dyDescent="0.2">
      <c r="A409" s="527">
        <v>407</v>
      </c>
      <c r="C409" s="834" t="s">
        <v>2811</v>
      </c>
      <c r="D409" s="624"/>
      <c r="E409" s="883">
        <v>43539</v>
      </c>
      <c r="F409" s="846" t="s">
        <v>2694</v>
      </c>
      <c r="G409" s="624">
        <v>43890</v>
      </c>
      <c r="H409" s="530"/>
      <c r="J409" s="835">
        <v>2019</v>
      </c>
      <c r="K409" s="835">
        <v>2020</v>
      </c>
      <c r="L409" s="613" t="s">
        <v>303</v>
      </c>
      <c r="M409" s="613">
        <f t="shared" si="67"/>
        <v>0</v>
      </c>
      <c r="N409" s="613">
        <f t="shared" si="68"/>
        <v>1</v>
      </c>
      <c r="Q409" s="836">
        <v>1</v>
      </c>
      <c r="U409" s="613">
        <f t="shared" si="69"/>
        <v>1</v>
      </c>
      <c r="W409" s="613" t="str">
        <f t="shared" si="71"/>
        <v>I</v>
      </c>
      <c r="X409" s="613" t="str">
        <f t="shared" si="72"/>
        <v>I</v>
      </c>
      <c r="Y409" s="613">
        <f t="shared" si="73"/>
        <v>2019</v>
      </c>
      <c r="Z409" s="613" t="str">
        <f t="shared" si="74"/>
        <v>I</v>
      </c>
      <c r="AA409" s="613" t="str">
        <f t="shared" si="75"/>
        <v>I</v>
      </c>
      <c r="AB409" s="613" t="str">
        <f t="shared" si="75"/>
        <v>I</v>
      </c>
      <c r="AD409" s="613"/>
      <c r="AE409" s="740"/>
      <c r="AF409" s="880"/>
      <c r="AM409" s="647"/>
      <c r="AN409" s="647"/>
      <c r="AO409" s="647"/>
      <c r="AP409" s="647"/>
      <c r="AQ409" s="647"/>
    </row>
    <row r="410" spans="1:45" x14ac:dyDescent="0.2">
      <c r="A410" s="527">
        <v>408</v>
      </c>
      <c r="C410" s="834" t="s">
        <v>2812</v>
      </c>
      <c r="D410" s="883">
        <v>42750</v>
      </c>
      <c r="F410" s="846" t="s">
        <v>316</v>
      </c>
      <c r="G410" s="624">
        <v>43890</v>
      </c>
      <c r="H410" s="530"/>
      <c r="J410" s="835">
        <v>2015</v>
      </c>
      <c r="K410" s="835">
        <v>2020</v>
      </c>
      <c r="L410" s="613" t="s">
        <v>336</v>
      </c>
      <c r="M410" s="613">
        <f t="shared" si="67"/>
        <v>1</v>
      </c>
      <c r="N410" s="613">
        <f t="shared" si="68"/>
        <v>0</v>
      </c>
      <c r="Q410" s="836">
        <v>1</v>
      </c>
      <c r="U410" s="613">
        <f t="shared" si="69"/>
        <v>1</v>
      </c>
      <c r="W410" s="613" t="str">
        <f t="shared" si="71"/>
        <v>I</v>
      </c>
      <c r="X410" s="613" t="str">
        <f t="shared" si="72"/>
        <v>I</v>
      </c>
      <c r="Y410" s="613">
        <f t="shared" si="73"/>
        <v>2015</v>
      </c>
      <c r="Z410" s="613" t="str">
        <f t="shared" si="74"/>
        <v>I</v>
      </c>
      <c r="AA410" s="613" t="str">
        <f t="shared" si="75"/>
        <v>I</v>
      </c>
      <c r="AB410" s="613" t="str">
        <f t="shared" si="75"/>
        <v>I</v>
      </c>
      <c r="AD410" s="613"/>
      <c r="AE410" s="740"/>
      <c r="AF410" s="880"/>
      <c r="AM410" s="647"/>
      <c r="AN410" s="647"/>
      <c r="AO410" s="647"/>
      <c r="AP410" s="647"/>
      <c r="AQ410" s="647"/>
    </row>
    <row r="411" spans="1:45" x14ac:dyDescent="0.2">
      <c r="A411" s="527">
        <v>409</v>
      </c>
      <c r="C411" s="527" t="s">
        <v>2816</v>
      </c>
      <c r="E411" s="883">
        <v>43647</v>
      </c>
      <c r="F411" s="846" t="s">
        <v>316</v>
      </c>
      <c r="G411" s="624">
        <v>43926</v>
      </c>
      <c r="J411" s="835">
        <v>2019</v>
      </c>
      <c r="K411" s="835">
        <v>2020</v>
      </c>
      <c r="L411" s="613" t="s">
        <v>303</v>
      </c>
      <c r="M411" s="613">
        <f t="shared" si="67"/>
        <v>0</v>
      </c>
      <c r="N411" s="613">
        <f t="shared" si="68"/>
        <v>1</v>
      </c>
      <c r="Q411" s="836">
        <v>1</v>
      </c>
      <c r="U411" s="613">
        <f t="shared" si="69"/>
        <v>1</v>
      </c>
      <c r="W411" s="613" t="str">
        <f t="shared" si="71"/>
        <v>I</v>
      </c>
      <c r="X411" s="613" t="str">
        <f t="shared" si="72"/>
        <v>I</v>
      </c>
      <c r="Y411" s="613">
        <f t="shared" si="73"/>
        <v>2019</v>
      </c>
      <c r="Z411" s="613" t="str">
        <f t="shared" si="74"/>
        <v>I</v>
      </c>
      <c r="AA411" s="613" t="str">
        <f t="shared" si="75"/>
        <v>I</v>
      </c>
      <c r="AB411" s="613" t="str">
        <f t="shared" si="75"/>
        <v>I</v>
      </c>
      <c r="AD411" s="613"/>
      <c r="AE411" s="740"/>
      <c r="AF411" s="880"/>
      <c r="AM411" s="647"/>
      <c r="AN411" s="647"/>
      <c r="AO411" s="647"/>
      <c r="AP411" s="647"/>
      <c r="AQ411" s="647"/>
    </row>
    <row r="412" spans="1:45" x14ac:dyDescent="0.2">
      <c r="A412" s="527">
        <v>410</v>
      </c>
      <c r="C412" s="527" t="s">
        <v>2817</v>
      </c>
      <c r="E412" s="883">
        <v>42186</v>
      </c>
      <c r="F412" s="846" t="s">
        <v>316</v>
      </c>
      <c r="G412" s="624">
        <v>43926</v>
      </c>
      <c r="J412" s="835">
        <v>2015</v>
      </c>
      <c r="K412" s="835">
        <v>2020</v>
      </c>
      <c r="L412" s="613" t="s">
        <v>303</v>
      </c>
      <c r="M412" s="613">
        <f t="shared" si="67"/>
        <v>0</v>
      </c>
      <c r="N412" s="613">
        <f t="shared" si="68"/>
        <v>1</v>
      </c>
      <c r="Q412" s="836">
        <v>1</v>
      </c>
      <c r="U412" s="613">
        <f t="shared" si="69"/>
        <v>1</v>
      </c>
      <c r="W412" s="613" t="str">
        <f t="shared" si="71"/>
        <v>I</v>
      </c>
      <c r="X412" s="613" t="str">
        <f t="shared" si="72"/>
        <v>I</v>
      </c>
      <c r="Y412" s="613">
        <f t="shared" si="73"/>
        <v>2015</v>
      </c>
      <c r="Z412" s="613" t="str">
        <f t="shared" si="74"/>
        <v>I</v>
      </c>
      <c r="AA412" s="613" t="str">
        <f t="shared" si="75"/>
        <v>I</v>
      </c>
      <c r="AB412" s="613" t="str">
        <f t="shared" si="75"/>
        <v>I</v>
      </c>
      <c r="AD412" s="613"/>
      <c r="AE412" s="740"/>
      <c r="AF412" s="880"/>
      <c r="AM412" s="647"/>
      <c r="AN412" s="647"/>
      <c r="AO412" s="647"/>
      <c r="AP412" s="647"/>
      <c r="AQ412" s="647"/>
    </row>
    <row r="413" spans="1:45" x14ac:dyDescent="0.2">
      <c r="A413" s="527">
        <v>411</v>
      </c>
      <c r="C413" s="527" t="s">
        <v>2818</v>
      </c>
      <c r="G413" s="624">
        <v>43926</v>
      </c>
      <c r="J413" s="835">
        <v>2019</v>
      </c>
      <c r="K413" s="835">
        <v>2020</v>
      </c>
      <c r="L413" s="613" t="s">
        <v>336</v>
      </c>
      <c r="M413" s="613">
        <f t="shared" si="67"/>
        <v>1</v>
      </c>
      <c r="N413" s="613">
        <f t="shared" si="68"/>
        <v>0</v>
      </c>
      <c r="Q413" s="836">
        <v>1</v>
      </c>
      <c r="U413" s="613">
        <f t="shared" si="69"/>
        <v>1</v>
      </c>
      <c r="W413" s="613" t="str">
        <f t="shared" si="71"/>
        <v>I</v>
      </c>
      <c r="X413" s="613" t="str">
        <f t="shared" si="72"/>
        <v>I</v>
      </c>
      <c r="Y413" s="613">
        <f t="shared" si="73"/>
        <v>2019</v>
      </c>
      <c r="Z413" s="613" t="str">
        <f t="shared" si="74"/>
        <v>I</v>
      </c>
      <c r="AA413" s="613" t="str">
        <f t="shared" si="75"/>
        <v>I</v>
      </c>
      <c r="AB413" s="613" t="str">
        <f t="shared" si="75"/>
        <v>I</v>
      </c>
      <c r="AD413" s="613"/>
      <c r="AE413" s="740"/>
      <c r="AF413" s="880"/>
      <c r="AM413" s="647"/>
      <c r="AN413" s="647"/>
      <c r="AO413" s="647"/>
      <c r="AP413" s="647"/>
      <c r="AQ413" s="647"/>
    </row>
    <row r="414" spans="1:45" x14ac:dyDescent="0.2">
      <c r="A414" s="527">
        <v>412</v>
      </c>
      <c r="B414" s="879"/>
      <c r="C414" s="879" t="s">
        <v>2819</v>
      </c>
      <c r="D414" s="879"/>
      <c r="E414" s="879"/>
      <c r="F414" s="879"/>
      <c r="G414" s="624">
        <v>43926</v>
      </c>
      <c r="H414" s="879"/>
      <c r="I414" s="879"/>
      <c r="J414" s="835">
        <v>2018</v>
      </c>
      <c r="K414" s="835">
        <v>2020</v>
      </c>
      <c r="L414" s="613" t="s">
        <v>303</v>
      </c>
      <c r="M414" s="613">
        <f t="shared" si="67"/>
        <v>0</v>
      </c>
      <c r="N414" s="613">
        <f t="shared" si="68"/>
        <v>1</v>
      </c>
      <c r="O414" s="880"/>
      <c r="P414" s="880"/>
      <c r="Q414" s="836">
        <v>1</v>
      </c>
      <c r="R414" s="880"/>
      <c r="S414" s="880"/>
      <c r="T414" s="880"/>
      <c r="U414" s="613">
        <f t="shared" si="69"/>
        <v>1</v>
      </c>
      <c r="V414" s="879"/>
      <c r="W414" s="613" t="str">
        <f t="shared" si="71"/>
        <v>I</v>
      </c>
      <c r="X414" s="613" t="str">
        <f t="shared" si="72"/>
        <v>I</v>
      </c>
      <c r="Y414" s="613">
        <f t="shared" si="73"/>
        <v>2018</v>
      </c>
      <c r="Z414" s="613" t="str">
        <f t="shared" si="74"/>
        <v>I</v>
      </c>
      <c r="AA414" s="613" t="str">
        <f t="shared" si="75"/>
        <v>I</v>
      </c>
      <c r="AB414" s="613" t="str">
        <f t="shared" si="75"/>
        <v>I</v>
      </c>
      <c r="AC414" s="879"/>
      <c r="AD414" s="880"/>
      <c r="AE414" s="881"/>
      <c r="AF414" s="880"/>
      <c r="AG414" s="879"/>
      <c r="AH414" s="879"/>
      <c r="AI414" s="879"/>
      <c r="AJ414" s="879"/>
      <c r="AK414" s="879"/>
      <c r="AL414" s="879"/>
      <c r="AM414" s="879"/>
      <c r="AN414" s="879"/>
      <c r="AO414" s="879"/>
      <c r="AP414" s="879"/>
      <c r="AQ414" s="879"/>
      <c r="AR414" s="879"/>
      <c r="AS414" s="879"/>
    </row>
    <row r="415" spans="1:45" x14ac:dyDescent="0.2">
      <c r="A415" s="527">
        <v>413</v>
      </c>
      <c r="B415" s="879"/>
      <c r="C415" s="879" t="s">
        <v>2824</v>
      </c>
      <c r="D415" s="879"/>
      <c r="E415" s="879"/>
      <c r="F415" s="879"/>
      <c r="G415" s="624">
        <v>43995</v>
      </c>
      <c r="H415" s="879"/>
      <c r="I415" s="879"/>
      <c r="J415" s="835">
        <v>2020</v>
      </c>
      <c r="K415" s="835">
        <v>2020</v>
      </c>
      <c r="L415" s="613" t="s">
        <v>303</v>
      </c>
      <c r="M415" s="613">
        <f t="shared" si="67"/>
        <v>0</v>
      </c>
      <c r="N415" s="613">
        <f t="shared" si="68"/>
        <v>1</v>
      </c>
      <c r="O415" s="880"/>
      <c r="P415" s="880"/>
      <c r="Q415" s="836">
        <v>1</v>
      </c>
      <c r="R415" s="880"/>
      <c r="S415" s="880"/>
      <c r="T415" s="880"/>
      <c r="U415" s="613">
        <f t="shared" si="69"/>
        <v>1</v>
      </c>
      <c r="V415" s="879"/>
      <c r="W415" s="613" t="str">
        <f t="shared" si="71"/>
        <v>I</v>
      </c>
      <c r="X415" s="613" t="str">
        <f t="shared" si="72"/>
        <v>I</v>
      </c>
      <c r="Y415" s="613">
        <f t="shared" si="73"/>
        <v>2020</v>
      </c>
      <c r="Z415" s="613" t="str">
        <f t="shared" si="74"/>
        <v>I</v>
      </c>
      <c r="AA415" s="613" t="str">
        <f t="shared" si="75"/>
        <v>I</v>
      </c>
      <c r="AB415" s="613" t="str">
        <f t="shared" si="75"/>
        <v>I</v>
      </c>
      <c r="AC415" s="879"/>
      <c r="AD415" s="880"/>
      <c r="AE415" s="881"/>
      <c r="AF415" s="880"/>
      <c r="AG415" s="879"/>
      <c r="AH415" s="879"/>
      <c r="AI415" s="879"/>
      <c r="AJ415" s="879"/>
      <c r="AK415" s="879"/>
      <c r="AL415" s="879"/>
      <c r="AM415" s="879"/>
      <c r="AN415" s="879"/>
      <c r="AO415" s="879"/>
      <c r="AP415" s="879"/>
      <c r="AQ415" s="879"/>
      <c r="AR415" s="879"/>
      <c r="AS415" s="879"/>
    </row>
    <row r="416" spans="1:45" x14ac:dyDescent="0.2">
      <c r="A416" s="527">
        <v>414</v>
      </c>
      <c r="B416" s="879"/>
      <c r="C416" s="879" t="s">
        <v>2825</v>
      </c>
      <c r="D416" s="879"/>
      <c r="E416" s="879"/>
      <c r="F416" s="879"/>
      <c r="G416" s="624">
        <v>43995</v>
      </c>
      <c r="H416" s="879"/>
      <c r="I416" s="879"/>
      <c r="J416" s="835">
        <v>2019</v>
      </c>
      <c r="K416" s="835">
        <v>2020</v>
      </c>
      <c r="L416" s="613" t="s">
        <v>336</v>
      </c>
      <c r="M416" s="613">
        <f t="shared" si="67"/>
        <v>1</v>
      </c>
      <c r="N416" s="613">
        <f t="shared" si="68"/>
        <v>0</v>
      </c>
      <c r="O416" s="880"/>
      <c r="P416" s="880"/>
      <c r="Q416" s="836">
        <v>1</v>
      </c>
      <c r="R416" s="880"/>
      <c r="S416" s="880"/>
      <c r="T416" s="880"/>
      <c r="U416" s="613">
        <f t="shared" si="69"/>
        <v>1</v>
      </c>
      <c r="V416" s="879"/>
      <c r="W416" s="613" t="str">
        <f t="shared" si="71"/>
        <v>I</v>
      </c>
      <c r="X416" s="613" t="str">
        <f t="shared" si="72"/>
        <v>I</v>
      </c>
      <c r="Y416" s="613">
        <f t="shared" si="73"/>
        <v>2019</v>
      </c>
      <c r="Z416" s="613" t="str">
        <f t="shared" si="74"/>
        <v>I</v>
      </c>
      <c r="AA416" s="613" t="str">
        <f t="shared" si="75"/>
        <v>I</v>
      </c>
      <c r="AB416" s="613" t="str">
        <f t="shared" si="75"/>
        <v>I</v>
      </c>
      <c r="AC416" s="879"/>
      <c r="AD416" s="880"/>
      <c r="AE416" s="881"/>
      <c r="AF416" s="880"/>
      <c r="AG416" s="879"/>
      <c r="AH416" s="879"/>
      <c r="AI416" s="879"/>
      <c r="AJ416" s="879"/>
      <c r="AK416" s="879"/>
      <c r="AL416" s="879"/>
      <c r="AM416" s="879"/>
      <c r="AN416" s="879"/>
      <c r="AO416" s="879"/>
      <c r="AP416" s="879"/>
      <c r="AQ416" s="879"/>
      <c r="AR416" s="879"/>
      <c r="AS416" s="879"/>
    </row>
    <row r="417" spans="1:45" x14ac:dyDescent="0.2">
      <c r="A417" s="527">
        <v>415</v>
      </c>
      <c r="B417" s="879"/>
      <c r="C417" s="879" t="s">
        <v>2841</v>
      </c>
      <c r="D417" s="879"/>
      <c r="E417" s="879"/>
      <c r="F417" s="879"/>
      <c r="G417" s="624">
        <v>44019</v>
      </c>
      <c r="H417" s="879"/>
      <c r="I417" s="879"/>
      <c r="J417" s="835">
        <v>2020</v>
      </c>
      <c r="K417" s="835">
        <v>2020</v>
      </c>
      <c r="L417" s="613" t="s">
        <v>303</v>
      </c>
      <c r="M417" s="613">
        <f t="shared" si="67"/>
        <v>0</v>
      </c>
      <c r="N417" s="613">
        <f t="shared" si="68"/>
        <v>1</v>
      </c>
      <c r="O417" s="880"/>
      <c r="P417" s="880"/>
      <c r="Q417" s="836">
        <v>1</v>
      </c>
      <c r="R417" s="880"/>
      <c r="S417" s="880"/>
      <c r="T417" s="880"/>
      <c r="U417" s="613">
        <f t="shared" si="69"/>
        <v>1</v>
      </c>
      <c r="V417" s="879"/>
      <c r="W417" s="613" t="str">
        <f t="shared" si="71"/>
        <v>I</v>
      </c>
      <c r="X417" s="613" t="str">
        <f t="shared" si="72"/>
        <v>I</v>
      </c>
      <c r="Y417" s="613">
        <f t="shared" si="73"/>
        <v>2020</v>
      </c>
      <c r="Z417" s="613" t="str">
        <f t="shared" si="74"/>
        <v>I</v>
      </c>
      <c r="AA417" s="613" t="str">
        <f t="shared" si="75"/>
        <v>I</v>
      </c>
      <c r="AB417" s="613" t="str">
        <f t="shared" si="75"/>
        <v>I</v>
      </c>
      <c r="AC417" s="879"/>
      <c r="AD417" s="880"/>
      <c r="AE417" s="881"/>
      <c r="AF417" s="880"/>
      <c r="AG417" s="879"/>
      <c r="AH417" s="879"/>
      <c r="AI417" s="879"/>
      <c r="AJ417" s="879"/>
      <c r="AK417" s="879"/>
      <c r="AL417" s="879"/>
      <c r="AM417" s="879"/>
      <c r="AN417" s="879"/>
      <c r="AO417" s="879"/>
      <c r="AP417" s="879"/>
      <c r="AQ417" s="879"/>
      <c r="AR417" s="879"/>
      <c r="AS417" s="879"/>
    </row>
    <row r="418" spans="1:45" x14ac:dyDescent="0.2">
      <c r="A418" s="527">
        <v>416</v>
      </c>
      <c r="B418" s="879"/>
      <c r="C418" s="879" t="s">
        <v>3376</v>
      </c>
      <c r="D418" s="879"/>
      <c r="E418" s="879"/>
      <c r="F418" s="879"/>
      <c r="G418" s="624">
        <v>44079</v>
      </c>
      <c r="H418" s="879"/>
      <c r="I418" s="879"/>
      <c r="J418" s="835">
        <v>2020</v>
      </c>
      <c r="K418" s="835">
        <v>2020</v>
      </c>
      <c r="L418" s="613" t="s">
        <v>336</v>
      </c>
      <c r="M418" s="613">
        <f t="shared" si="67"/>
        <v>1</v>
      </c>
      <c r="N418" s="613">
        <f t="shared" si="68"/>
        <v>0</v>
      </c>
      <c r="O418" s="880"/>
      <c r="P418" s="880"/>
      <c r="Q418" s="836">
        <v>1</v>
      </c>
      <c r="R418" s="880"/>
      <c r="S418" s="880"/>
      <c r="T418" s="880"/>
      <c r="U418" s="613">
        <f t="shared" si="69"/>
        <v>1</v>
      </c>
      <c r="V418" s="879"/>
      <c r="W418" s="613" t="str">
        <f t="shared" si="71"/>
        <v>I</v>
      </c>
      <c r="X418" s="613" t="str">
        <f t="shared" si="72"/>
        <v>I</v>
      </c>
      <c r="Y418" s="613">
        <f t="shared" si="73"/>
        <v>2020</v>
      </c>
      <c r="Z418" s="613" t="str">
        <f t="shared" si="74"/>
        <v>I</v>
      </c>
      <c r="AA418" s="613" t="str">
        <f t="shared" si="75"/>
        <v>I</v>
      </c>
      <c r="AB418" s="613" t="str">
        <f t="shared" si="75"/>
        <v>I</v>
      </c>
      <c r="AC418" s="879"/>
      <c r="AD418" s="880"/>
      <c r="AE418" s="881"/>
      <c r="AF418" s="880"/>
      <c r="AG418" s="879"/>
      <c r="AH418" s="879"/>
      <c r="AI418" s="879"/>
      <c r="AJ418" s="879"/>
      <c r="AK418" s="879"/>
      <c r="AL418" s="879"/>
      <c r="AM418" s="879"/>
      <c r="AN418" s="879"/>
      <c r="AO418" s="879"/>
      <c r="AP418" s="879"/>
      <c r="AQ418" s="879"/>
      <c r="AR418" s="879"/>
      <c r="AS418" s="879"/>
    </row>
    <row r="419" spans="1:45" x14ac:dyDescent="0.2">
      <c r="A419" s="527">
        <v>417</v>
      </c>
      <c r="B419" s="879"/>
      <c r="C419" s="879" t="s">
        <v>2829</v>
      </c>
      <c r="D419" s="879"/>
      <c r="E419" s="879"/>
      <c r="F419" s="879"/>
      <c r="G419" s="624">
        <v>44079</v>
      </c>
      <c r="H419" s="879"/>
      <c r="I419" s="879"/>
      <c r="J419" s="835">
        <v>2018</v>
      </c>
      <c r="K419" s="835">
        <v>2020</v>
      </c>
      <c r="L419" s="613" t="s">
        <v>336</v>
      </c>
      <c r="M419" s="613">
        <f t="shared" si="67"/>
        <v>1</v>
      </c>
      <c r="N419" s="613">
        <f t="shared" si="68"/>
        <v>0</v>
      </c>
      <c r="O419" s="880"/>
      <c r="P419" s="880"/>
      <c r="Q419" s="836">
        <v>1</v>
      </c>
      <c r="R419" s="880"/>
      <c r="S419" s="880"/>
      <c r="T419" s="880"/>
      <c r="U419" s="613">
        <f t="shared" si="69"/>
        <v>1</v>
      </c>
      <c r="V419" s="879"/>
      <c r="W419" s="613" t="str">
        <f t="shared" si="71"/>
        <v>I</v>
      </c>
      <c r="X419" s="613" t="str">
        <f t="shared" si="72"/>
        <v>I</v>
      </c>
      <c r="Y419" s="613">
        <f t="shared" si="73"/>
        <v>2018</v>
      </c>
      <c r="Z419" s="613" t="str">
        <f t="shared" si="74"/>
        <v>I</v>
      </c>
      <c r="AA419" s="613" t="str">
        <f t="shared" si="75"/>
        <v>I</v>
      </c>
      <c r="AB419" s="613" t="str">
        <f t="shared" si="75"/>
        <v>I</v>
      </c>
      <c r="AC419" s="879"/>
      <c r="AD419" s="880"/>
      <c r="AE419" s="881"/>
      <c r="AF419" s="880"/>
      <c r="AG419" s="879"/>
      <c r="AH419" s="879"/>
      <c r="AI419" s="879"/>
      <c r="AJ419" s="879"/>
      <c r="AK419" s="879"/>
      <c r="AL419" s="879"/>
      <c r="AM419" s="879"/>
      <c r="AN419" s="879"/>
      <c r="AO419" s="879"/>
      <c r="AP419" s="879"/>
      <c r="AQ419" s="879"/>
      <c r="AR419" s="879"/>
      <c r="AS419" s="879"/>
    </row>
    <row r="420" spans="1:45" x14ac:dyDescent="0.2">
      <c r="A420" s="527">
        <v>418</v>
      </c>
      <c r="B420" s="879"/>
      <c r="C420" s="879" t="s">
        <v>2830</v>
      </c>
      <c r="D420" s="879"/>
      <c r="E420" s="879"/>
      <c r="F420" s="879"/>
      <c r="G420" s="624">
        <v>44093</v>
      </c>
      <c r="H420" s="879"/>
      <c r="I420" s="879"/>
      <c r="J420" s="835">
        <v>2020</v>
      </c>
      <c r="K420" s="835">
        <v>2020</v>
      </c>
      <c r="L420" s="613" t="s">
        <v>303</v>
      </c>
      <c r="M420" s="613">
        <f t="shared" si="67"/>
        <v>0</v>
      </c>
      <c r="N420" s="613">
        <f t="shared" si="68"/>
        <v>1</v>
      </c>
      <c r="O420" s="880"/>
      <c r="P420" s="880"/>
      <c r="Q420" s="836">
        <v>1</v>
      </c>
      <c r="R420" s="880"/>
      <c r="S420" s="880"/>
      <c r="T420" s="880"/>
      <c r="U420" s="613">
        <f t="shared" si="69"/>
        <v>1</v>
      </c>
      <c r="V420" s="879"/>
      <c r="W420" s="613" t="str">
        <f t="shared" si="71"/>
        <v>I</v>
      </c>
      <c r="X420" s="613" t="str">
        <f t="shared" si="72"/>
        <v>I</v>
      </c>
      <c r="Y420" s="613">
        <f t="shared" si="73"/>
        <v>2020</v>
      </c>
      <c r="Z420" s="613" t="str">
        <f t="shared" si="74"/>
        <v>I</v>
      </c>
      <c r="AA420" s="613" t="str">
        <f t="shared" si="75"/>
        <v>I</v>
      </c>
      <c r="AB420" s="613" t="str">
        <f t="shared" si="75"/>
        <v>I</v>
      </c>
      <c r="AC420" s="879"/>
      <c r="AD420" s="880"/>
      <c r="AE420" s="881"/>
      <c r="AF420" s="880"/>
      <c r="AG420" s="879"/>
      <c r="AH420" s="879"/>
      <c r="AI420" s="879"/>
      <c r="AJ420" s="879"/>
      <c r="AK420" s="879"/>
      <c r="AL420" s="879"/>
      <c r="AM420" s="879"/>
      <c r="AN420" s="879"/>
      <c r="AO420" s="879"/>
      <c r="AP420" s="879"/>
      <c r="AQ420" s="879"/>
      <c r="AR420" s="879"/>
      <c r="AS420" s="879"/>
    </row>
    <row r="421" spans="1:45" x14ac:dyDescent="0.2">
      <c r="A421" s="527">
        <v>419</v>
      </c>
      <c r="B421" s="879"/>
      <c r="C421" s="879" t="s">
        <v>2831</v>
      </c>
      <c r="D421" s="879"/>
      <c r="E421" s="879"/>
      <c r="F421" s="879"/>
      <c r="G421" s="624">
        <v>44102</v>
      </c>
      <c r="H421" s="879"/>
      <c r="I421" s="879"/>
      <c r="J421" s="835">
        <v>2020</v>
      </c>
      <c r="K421" s="835">
        <v>2020</v>
      </c>
      <c r="L421" s="613" t="s">
        <v>303</v>
      </c>
      <c r="M421" s="613">
        <f t="shared" si="67"/>
        <v>0</v>
      </c>
      <c r="N421" s="613">
        <f t="shared" si="68"/>
        <v>1</v>
      </c>
      <c r="O421" s="880"/>
      <c r="P421" s="880"/>
      <c r="Q421" s="836">
        <v>1</v>
      </c>
      <c r="R421" s="880"/>
      <c r="S421" s="880"/>
      <c r="T421" s="880"/>
      <c r="U421" s="613">
        <f t="shared" si="69"/>
        <v>1</v>
      </c>
      <c r="V421" s="879"/>
      <c r="W421" s="613" t="str">
        <f t="shared" si="71"/>
        <v>I</v>
      </c>
      <c r="X421" s="613" t="str">
        <f t="shared" si="72"/>
        <v>I</v>
      </c>
      <c r="Y421" s="613">
        <f t="shared" si="73"/>
        <v>2020</v>
      </c>
      <c r="Z421" s="613" t="str">
        <f t="shared" si="74"/>
        <v>I</v>
      </c>
      <c r="AA421" s="613" t="str">
        <f t="shared" si="75"/>
        <v>I</v>
      </c>
      <c r="AB421" s="613" t="str">
        <f t="shared" si="75"/>
        <v>I</v>
      </c>
      <c r="AC421" s="879"/>
      <c r="AD421" s="880"/>
      <c r="AE421" s="881"/>
      <c r="AF421" s="880"/>
      <c r="AG421" s="879"/>
      <c r="AH421" s="879"/>
      <c r="AI421" s="879"/>
      <c r="AJ421" s="879"/>
      <c r="AK421" s="879"/>
      <c r="AL421" s="879"/>
      <c r="AM421" s="879"/>
      <c r="AN421" s="879"/>
      <c r="AO421" s="879"/>
      <c r="AP421" s="879"/>
      <c r="AQ421" s="879"/>
      <c r="AR421" s="879"/>
      <c r="AS421" s="879"/>
    </row>
    <row r="422" spans="1:45" x14ac:dyDescent="0.2">
      <c r="A422" s="527">
        <v>420</v>
      </c>
      <c r="B422" s="879"/>
      <c r="C422" s="879" t="s">
        <v>2840</v>
      </c>
      <c r="D422" s="879"/>
      <c r="E422" s="879"/>
      <c r="F422" s="879"/>
      <c r="G422" s="624">
        <v>44114</v>
      </c>
      <c r="H422" s="879"/>
      <c r="I422" s="879"/>
      <c r="J422" s="835">
        <v>2017</v>
      </c>
      <c r="K422" s="835">
        <v>2020</v>
      </c>
      <c r="L422" s="613" t="s">
        <v>303</v>
      </c>
      <c r="M422" s="613">
        <f t="shared" si="67"/>
        <v>0</v>
      </c>
      <c r="N422" s="613">
        <f t="shared" si="68"/>
        <v>1</v>
      </c>
      <c r="O422" s="880"/>
      <c r="P422" s="880"/>
      <c r="Q422" s="836">
        <v>1</v>
      </c>
      <c r="R422" s="880"/>
      <c r="S422" s="880"/>
      <c r="T422" s="880"/>
      <c r="U422" s="613">
        <f t="shared" si="69"/>
        <v>1</v>
      </c>
      <c r="V422" s="879"/>
      <c r="W422" s="613" t="str">
        <f t="shared" si="71"/>
        <v>I</v>
      </c>
      <c r="X422" s="613" t="str">
        <f t="shared" si="72"/>
        <v>I</v>
      </c>
      <c r="Y422" s="613">
        <f t="shared" si="73"/>
        <v>2017</v>
      </c>
      <c r="Z422" s="613" t="str">
        <f t="shared" si="74"/>
        <v>I</v>
      </c>
      <c r="AA422" s="613" t="str">
        <f t="shared" si="75"/>
        <v>I</v>
      </c>
      <c r="AB422" s="613" t="str">
        <f t="shared" si="75"/>
        <v>I</v>
      </c>
      <c r="AC422" s="879"/>
      <c r="AD422" s="880"/>
      <c r="AE422" s="881"/>
      <c r="AF422" s="880"/>
      <c r="AG422" s="879"/>
      <c r="AH422" s="879"/>
      <c r="AI422" s="879"/>
      <c r="AJ422" s="879"/>
      <c r="AK422" s="879"/>
      <c r="AL422" s="879"/>
      <c r="AM422" s="879"/>
      <c r="AN422" s="879"/>
      <c r="AO422" s="879"/>
      <c r="AP422" s="879"/>
      <c r="AQ422" s="879"/>
      <c r="AR422" s="879"/>
      <c r="AS422" s="879"/>
    </row>
    <row r="423" spans="1:45" x14ac:dyDescent="0.2">
      <c r="A423" s="527">
        <v>421</v>
      </c>
      <c r="B423" s="879"/>
      <c r="C423" s="879" t="s">
        <v>2834</v>
      </c>
      <c r="D423" s="879"/>
      <c r="E423" s="879"/>
      <c r="F423" s="879"/>
      <c r="G423" s="624">
        <v>44136</v>
      </c>
      <c r="H423" s="879"/>
      <c r="I423" s="879"/>
      <c r="J423" s="835">
        <v>2019</v>
      </c>
      <c r="K423" s="835">
        <v>2020</v>
      </c>
      <c r="L423" s="613" t="s">
        <v>303</v>
      </c>
      <c r="M423" s="613">
        <f t="shared" si="67"/>
        <v>0</v>
      </c>
      <c r="N423" s="613">
        <f t="shared" si="68"/>
        <v>1</v>
      </c>
      <c r="O423" s="880"/>
      <c r="P423" s="880"/>
      <c r="Q423" s="836">
        <v>1</v>
      </c>
      <c r="R423" s="880"/>
      <c r="S423" s="880"/>
      <c r="T423" s="880"/>
      <c r="U423" s="613">
        <f t="shared" si="69"/>
        <v>1</v>
      </c>
      <c r="V423" s="879"/>
      <c r="W423" s="613" t="str">
        <f t="shared" si="71"/>
        <v>I</v>
      </c>
      <c r="X423" s="613" t="str">
        <f t="shared" si="72"/>
        <v>I</v>
      </c>
      <c r="Y423" s="613">
        <f t="shared" si="73"/>
        <v>2019</v>
      </c>
      <c r="Z423" s="613" t="str">
        <f t="shared" si="74"/>
        <v>I</v>
      </c>
      <c r="AA423" s="613" t="str">
        <f t="shared" si="75"/>
        <v>I</v>
      </c>
      <c r="AB423" s="613" t="str">
        <f t="shared" si="75"/>
        <v>I</v>
      </c>
      <c r="AC423" s="879"/>
      <c r="AD423" s="880"/>
      <c r="AE423" s="881"/>
      <c r="AF423" s="880"/>
      <c r="AG423" s="879"/>
      <c r="AH423" s="879"/>
      <c r="AI423" s="879"/>
      <c r="AJ423" s="879"/>
      <c r="AK423" s="879"/>
      <c r="AL423" s="879"/>
      <c r="AM423" s="879"/>
      <c r="AN423" s="879"/>
      <c r="AO423" s="879"/>
      <c r="AP423" s="879"/>
      <c r="AQ423" s="879"/>
      <c r="AR423" s="879"/>
      <c r="AS423" s="879"/>
    </row>
    <row r="424" spans="1:45" x14ac:dyDescent="0.2">
      <c r="A424" s="527">
        <v>422</v>
      </c>
      <c r="B424" s="879"/>
      <c r="C424" s="879" t="s">
        <v>2836</v>
      </c>
      <c r="D424" s="879"/>
      <c r="E424" s="879"/>
      <c r="F424" s="879"/>
      <c r="G424" s="624">
        <v>44136</v>
      </c>
      <c r="H424" s="879"/>
      <c r="I424" s="879"/>
      <c r="J424" s="835">
        <v>2020</v>
      </c>
      <c r="K424" s="835">
        <v>2020</v>
      </c>
      <c r="L424" s="613" t="s">
        <v>303</v>
      </c>
      <c r="M424" s="613">
        <f t="shared" si="67"/>
        <v>0</v>
      </c>
      <c r="N424" s="613">
        <f t="shared" si="68"/>
        <v>1</v>
      </c>
      <c r="O424" s="880"/>
      <c r="P424" s="880"/>
      <c r="Q424" s="836">
        <v>1</v>
      </c>
      <c r="R424" s="880"/>
      <c r="S424" s="880"/>
      <c r="T424" s="880"/>
      <c r="U424" s="613">
        <f t="shared" si="69"/>
        <v>1</v>
      </c>
      <c r="V424" s="879"/>
      <c r="W424" s="613" t="str">
        <f t="shared" si="71"/>
        <v>I</v>
      </c>
      <c r="X424" s="613" t="str">
        <f t="shared" si="72"/>
        <v>I</v>
      </c>
      <c r="Y424" s="613">
        <f t="shared" si="73"/>
        <v>2020</v>
      </c>
      <c r="Z424" s="613" t="str">
        <f t="shared" si="74"/>
        <v>I</v>
      </c>
      <c r="AA424" s="613" t="str">
        <f t="shared" si="75"/>
        <v>I</v>
      </c>
      <c r="AB424" s="613" t="str">
        <f t="shared" si="75"/>
        <v>I</v>
      </c>
      <c r="AC424" s="879"/>
      <c r="AD424" s="880"/>
      <c r="AE424" s="881"/>
      <c r="AF424" s="880"/>
      <c r="AG424" s="879"/>
      <c r="AH424" s="879"/>
      <c r="AI424" s="879"/>
      <c r="AJ424" s="879"/>
      <c r="AK424" s="879"/>
      <c r="AL424" s="879"/>
      <c r="AM424" s="879"/>
      <c r="AN424" s="879"/>
      <c r="AO424" s="879"/>
      <c r="AP424" s="879"/>
      <c r="AQ424" s="879"/>
      <c r="AR424" s="879"/>
      <c r="AS424" s="879"/>
    </row>
    <row r="425" spans="1:45" x14ac:dyDescent="0.2">
      <c r="A425" s="527">
        <v>423</v>
      </c>
      <c r="B425" s="879"/>
      <c r="C425" s="879" t="s">
        <v>2837</v>
      </c>
      <c r="D425" s="879"/>
      <c r="E425" s="879"/>
      <c r="F425" s="879"/>
      <c r="G425" s="624">
        <v>44137</v>
      </c>
      <c r="H425" s="879"/>
      <c r="I425" s="879"/>
      <c r="J425" s="835">
        <v>2019</v>
      </c>
      <c r="K425" s="835">
        <v>2020</v>
      </c>
      <c r="L425" s="613" t="s">
        <v>336</v>
      </c>
      <c r="M425" s="613">
        <f t="shared" si="67"/>
        <v>1</v>
      </c>
      <c r="N425" s="613">
        <f t="shared" si="68"/>
        <v>0</v>
      </c>
      <c r="O425" s="880"/>
      <c r="P425" s="880"/>
      <c r="Q425" s="836">
        <v>1</v>
      </c>
      <c r="R425" s="880"/>
      <c r="S425" s="880"/>
      <c r="T425" s="880"/>
      <c r="U425" s="613">
        <f t="shared" si="69"/>
        <v>1</v>
      </c>
      <c r="V425" s="879"/>
      <c r="W425" s="613" t="str">
        <f t="shared" si="71"/>
        <v>I</v>
      </c>
      <c r="X425" s="613" t="str">
        <f t="shared" si="72"/>
        <v>I</v>
      </c>
      <c r="Y425" s="613">
        <f t="shared" si="73"/>
        <v>2019</v>
      </c>
      <c r="Z425" s="613" t="str">
        <f t="shared" si="74"/>
        <v>I</v>
      </c>
      <c r="AA425" s="613" t="str">
        <f t="shared" si="75"/>
        <v>I</v>
      </c>
      <c r="AB425" s="613" t="str">
        <f t="shared" si="75"/>
        <v>I</v>
      </c>
      <c r="AC425" s="879"/>
      <c r="AD425" s="880"/>
      <c r="AE425" s="881"/>
      <c r="AF425" s="880"/>
      <c r="AG425" s="879"/>
      <c r="AH425" s="879"/>
      <c r="AI425" s="879"/>
      <c r="AJ425" s="879"/>
      <c r="AK425" s="879"/>
      <c r="AL425" s="879"/>
      <c r="AM425" s="879"/>
      <c r="AN425" s="879"/>
      <c r="AO425" s="879"/>
      <c r="AP425" s="879"/>
      <c r="AQ425" s="879"/>
      <c r="AR425" s="879"/>
      <c r="AS425" s="879"/>
    </row>
    <row r="426" spans="1:45" x14ac:dyDescent="0.2">
      <c r="A426" s="527">
        <v>424</v>
      </c>
      <c r="B426" s="879"/>
      <c r="C426" s="879" t="s">
        <v>2838</v>
      </c>
      <c r="D426" s="879"/>
      <c r="E426" s="879"/>
      <c r="F426" s="879"/>
      <c r="G426" s="624">
        <v>44146</v>
      </c>
      <c r="H426" s="879"/>
      <c r="I426" s="879"/>
      <c r="J426" s="835">
        <v>2020</v>
      </c>
      <c r="K426" s="835">
        <v>2020</v>
      </c>
      <c r="L426" s="613" t="s">
        <v>303</v>
      </c>
      <c r="M426" s="613">
        <f t="shared" si="67"/>
        <v>0</v>
      </c>
      <c r="N426" s="613">
        <f t="shared" si="68"/>
        <v>1</v>
      </c>
      <c r="O426" s="880"/>
      <c r="P426" s="880"/>
      <c r="Q426" s="836">
        <v>1</v>
      </c>
      <c r="R426" s="880"/>
      <c r="S426" s="880"/>
      <c r="T426" s="880"/>
      <c r="U426" s="613">
        <f t="shared" si="69"/>
        <v>1</v>
      </c>
      <c r="V426" s="879"/>
      <c r="W426" s="613" t="str">
        <f t="shared" si="71"/>
        <v>I</v>
      </c>
      <c r="X426" s="613" t="str">
        <f t="shared" si="72"/>
        <v>I</v>
      </c>
      <c r="Y426" s="613">
        <f t="shared" si="73"/>
        <v>2020</v>
      </c>
      <c r="Z426" s="613" t="str">
        <f t="shared" si="74"/>
        <v>I</v>
      </c>
      <c r="AA426" s="613" t="str">
        <f t="shared" si="75"/>
        <v>I</v>
      </c>
      <c r="AB426" s="613" t="str">
        <f t="shared" si="75"/>
        <v>I</v>
      </c>
      <c r="AC426" s="879"/>
      <c r="AD426" s="880"/>
      <c r="AE426" s="881"/>
      <c r="AF426" s="880"/>
      <c r="AG426" s="879"/>
      <c r="AH426" s="879"/>
      <c r="AI426" s="879"/>
      <c r="AJ426" s="879"/>
      <c r="AK426" s="879"/>
      <c r="AL426" s="879"/>
      <c r="AM426" s="879"/>
      <c r="AN426" s="879"/>
      <c r="AO426" s="879"/>
      <c r="AP426" s="879"/>
      <c r="AQ426" s="879"/>
      <c r="AR426" s="879"/>
      <c r="AS426" s="879"/>
    </row>
    <row r="427" spans="1:45" x14ac:dyDescent="0.2">
      <c r="A427" s="527">
        <v>425</v>
      </c>
      <c r="B427" s="879"/>
      <c r="C427" s="879" t="s">
        <v>2843</v>
      </c>
      <c r="D427" s="879"/>
      <c r="E427" s="879"/>
      <c r="F427" s="879"/>
      <c r="G427" s="624">
        <v>44149</v>
      </c>
      <c r="H427" s="879"/>
      <c r="I427" s="879"/>
      <c r="J427" s="835">
        <v>2017</v>
      </c>
      <c r="K427" s="835">
        <v>2020</v>
      </c>
      <c r="L427" s="613" t="s">
        <v>336</v>
      </c>
      <c r="M427" s="613">
        <f t="shared" si="67"/>
        <v>1</v>
      </c>
      <c r="N427" s="613">
        <f t="shared" si="68"/>
        <v>0</v>
      </c>
      <c r="O427" s="880"/>
      <c r="P427" s="880"/>
      <c r="Q427" s="836">
        <v>1</v>
      </c>
      <c r="R427" s="880"/>
      <c r="S427" s="880"/>
      <c r="T427" s="880"/>
      <c r="U427" s="613">
        <f t="shared" si="69"/>
        <v>1</v>
      </c>
      <c r="V427" s="879"/>
      <c r="W427" s="613" t="str">
        <f t="shared" si="71"/>
        <v>I</v>
      </c>
      <c r="X427" s="613" t="str">
        <f t="shared" si="72"/>
        <v>I</v>
      </c>
      <c r="Y427" s="613">
        <f t="shared" si="73"/>
        <v>2017</v>
      </c>
      <c r="Z427" s="613" t="str">
        <f t="shared" si="74"/>
        <v>I</v>
      </c>
      <c r="AA427" s="613" t="str">
        <f t="shared" si="75"/>
        <v>I</v>
      </c>
      <c r="AB427" s="613" t="str">
        <f t="shared" si="75"/>
        <v>I</v>
      </c>
      <c r="AC427" s="879"/>
      <c r="AD427" s="880"/>
      <c r="AE427" s="881"/>
      <c r="AF427" s="880"/>
      <c r="AG427" s="879"/>
      <c r="AH427" s="879"/>
      <c r="AI427" s="879"/>
      <c r="AJ427" s="879"/>
      <c r="AK427" s="879"/>
      <c r="AL427" s="879"/>
      <c r="AM427" s="879"/>
      <c r="AN427" s="879"/>
      <c r="AO427" s="879"/>
      <c r="AP427" s="879"/>
      <c r="AQ427" s="879"/>
      <c r="AR427" s="879"/>
      <c r="AS427" s="879"/>
    </row>
    <row r="428" spans="1:45" x14ac:dyDescent="0.2">
      <c r="A428" s="527">
        <v>426</v>
      </c>
      <c r="B428" s="879"/>
      <c r="C428" s="879" t="s">
        <v>2844</v>
      </c>
      <c r="D428" s="879"/>
      <c r="E428" s="879"/>
      <c r="F428" s="879"/>
      <c r="G428" s="624">
        <v>44154</v>
      </c>
      <c r="H428" s="879"/>
      <c r="I428" s="879"/>
      <c r="J428" s="835">
        <v>2017</v>
      </c>
      <c r="K428" s="835">
        <v>2020</v>
      </c>
      <c r="L428" s="613" t="s">
        <v>303</v>
      </c>
      <c r="M428" s="613">
        <f t="shared" si="67"/>
        <v>0</v>
      </c>
      <c r="N428" s="613">
        <f t="shared" si="68"/>
        <v>1</v>
      </c>
      <c r="O428" s="880"/>
      <c r="P428" s="880"/>
      <c r="Q428" s="836">
        <v>1</v>
      </c>
      <c r="R428" s="880"/>
      <c r="S428" s="880"/>
      <c r="T428" s="880"/>
      <c r="U428" s="613">
        <f t="shared" si="69"/>
        <v>1</v>
      </c>
      <c r="V428" s="879"/>
      <c r="W428" s="613" t="str">
        <f t="shared" si="71"/>
        <v>I</v>
      </c>
      <c r="X428" s="613" t="str">
        <f t="shared" si="72"/>
        <v>I</v>
      </c>
      <c r="Y428" s="613">
        <f t="shared" si="73"/>
        <v>2017</v>
      </c>
      <c r="Z428" s="613" t="str">
        <f t="shared" si="74"/>
        <v>I</v>
      </c>
      <c r="AA428" s="613" t="str">
        <f t="shared" si="75"/>
        <v>I</v>
      </c>
      <c r="AB428" s="613" t="str">
        <f t="shared" si="75"/>
        <v>I</v>
      </c>
      <c r="AC428" s="879"/>
      <c r="AD428" s="880"/>
      <c r="AE428" s="881"/>
      <c r="AF428" s="880"/>
      <c r="AG428" s="879"/>
      <c r="AH428" s="879"/>
      <c r="AI428" s="879"/>
      <c r="AJ428" s="879"/>
      <c r="AK428" s="879"/>
      <c r="AL428" s="879"/>
      <c r="AM428" s="879"/>
      <c r="AN428" s="879"/>
      <c r="AO428" s="879"/>
      <c r="AP428" s="879"/>
      <c r="AQ428" s="879"/>
      <c r="AR428" s="879"/>
      <c r="AS428" s="879"/>
    </row>
    <row r="429" spans="1:45" x14ac:dyDescent="0.2">
      <c r="A429" s="527">
        <v>427</v>
      </c>
      <c r="B429" s="879"/>
      <c r="C429" s="879" t="s">
        <v>2846</v>
      </c>
      <c r="D429" s="879"/>
      <c r="E429" s="879"/>
      <c r="F429" s="879"/>
      <c r="G429" s="624">
        <v>44154</v>
      </c>
      <c r="H429" s="879"/>
      <c r="I429" s="879"/>
      <c r="J429" s="835">
        <v>2019</v>
      </c>
      <c r="K429" s="835">
        <v>2020</v>
      </c>
      <c r="L429" s="613" t="s">
        <v>303</v>
      </c>
      <c r="M429" s="613">
        <f t="shared" si="67"/>
        <v>0</v>
      </c>
      <c r="N429" s="613">
        <f t="shared" si="68"/>
        <v>1</v>
      </c>
      <c r="O429" s="880"/>
      <c r="P429" s="880"/>
      <c r="Q429" s="836">
        <v>1</v>
      </c>
      <c r="R429" s="880"/>
      <c r="S429" s="880"/>
      <c r="T429" s="880"/>
      <c r="U429" s="613">
        <f t="shared" si="69"/>
        <v>1</v>
      </c>
      <c r="V429" s="879"/>
      <c r="W429" s="613" t="str">
        <f t="shared" si="71"/>
        <v>I</v>
      </c>
      <c r="X429" s="613" t="str">
        <f t="shared" si="72"/>
        <v>I</v>
      </c>
      <c r="Y429" s="613">
        <f t="shared" si="73"/>
        <v>2019</v>
      </c>
      <c r="Z429" s="613" t="str">
        <f t="shared" si="74"/>
        <v>I</v>
      </c>
      <c r="AA429" s="613" t="str">
        <f t="shared" si="75"/>
        <v>I</v>
      </c>
      <c r="AB429" s="613" t="str">
        <f t="shared" si="75"/>
        <v>I</v>
      </c>
      <c r="AC429" s="879"/>
      <c r="AD429" s="880"/>
      <c r="AE429" s="881"/>
      <c r="AF429" s="644"/>
      <c r="AG429" s="879"/>
      <c r="AH429" s="879"/>
      <c r="AI429" s="879"/>
      <c r="AJ429" s="879"/>
      <c r="AK429" s="879"/>
      <c r="AL429" s="879"/>
      <c r="AM429" s="879"/>
      <c r="AN429" s="879"/>
      <c r="AO429" s="879"/>
      <c r="AP429" s="879"/>
      <c r="AQ429" s="879"/>
      <c r="AR429" s="879"/>
      <c r="AS429" s="879"/>
    </row>
    <row r="430" spans="1:45" x14ac:dyDescent="0.2">
      <c r="A430" s="527">
        <v>428</v>
      </c>
      <c r="B430" s="879"/>
      <c r="C430" s="879" t="s">
        <v>2845</v>
      </c>
      <c r="D430" s="879"/>
      <c r="E430" s="879"/>
      <c r="F430" s="879"/>
      <c r="G430" s="624">
        <v>44154</v>
      </c>
      <c r="H430" s="879"/>
      <c r="I430" s="879"/>
      <c r="J430" s="835">
        <v>2020</v>
      </c>
      <c r="K430" s="835">
        <v>2020</v>
      </c>
      <c r="L430" s="613" t="s">
        <v>336</v>
      </c>
      <c r="M430" s="613">
        <f t="shared" si="67"/>
        <v>1</v>
      </c>
      <c r="N430" s="613">
        <f t="shared" si="68"/>
        <v>0</v>
      </c>
      <c r="O430" s="880"/>
      <c r="P430" s="880"/>
      <c r="Q430" s="836">
        <v>1</v>
      </c>
      <c r="R430" s="880"/>
      <c r="S430" s="880"/>
      <c r="T430" s="880"/>
      <c r="U430" s="613">
        <f t="shared" si="69"/>
        <v>1</v>
      </c>
      <c r="V430" s="879"/>
      <c r="W430" s="613" t="str">
        <f t="shared" si="71"/>
        <v>I</v>
      </c>
      <c r="X430" s="613" t="str">
        <f t="shared" si="72"/>
        <v>I</v>
      </c>
      <c r="Y430" s="613">
        <f t="shared" si="73"/>
        <v>2020</v>
      </c>
      <c r="Z430" s="613" t="str">
        <f t="shared" si="74"/>
        <v>I</v>
      </c>
      <c r="AA430" s="613" t="str">
        <f t="shared" si="75"/>
        <v>I</v>
      </c>
      <c r="AB430" s="613" t="str">
        <f t="shared" si="75"/>
        <v>I</v>
      </c>
      <c r="AC430" s="879"/>
      <c r="AD430" s="880"/>
      <c r="AE430" s="881"/>
      <c r="AF430" s="644"/>
      <c r="AG430" s="879"/>
      <c r="AH430" s="879"/>
      <c r="AI430" s="879"/>
      <c r="AJ430" s="879"/>
      <c r="AK430" s="879"/>
      <c r="AL430" s="879"/>
      <c r="AM430" s="879"/>
      <c r="AN430" s="879"/>
      <c r="AO430" s="879"/>
      <c r="AP430" s="879"/>
      <c r="AQ430" s="879"/>
      <c r="AR430" s="879"/>
      <c r="AS430" s="879"/>
    </row>
    <row r="431" spans="1:45" x14ac:dyDescent="0.2">
      <c r="A431" s="527">
        <v>429</v>
      </c>
      <c r="B431" s="879"/>
      <c r="C431" s="879" t="s">
        <v>2866</v>
      </c>
      <c r="D431" s="879"/>
      <c r="E431" s="879"/>
      <c r="F431" s="879"/>
      <c r="G431" s="624">
        <v>44170</v>
      </c>
      <c r="H431" s="879"/>
      <c r="I431" s="879"/>
      <c r="J431" s="835">
        <v>2020</v>
      </c>
      <c r="K431" s="835">
        <v>2020</v>
      </c>
      <c r="L431" s="613" t="s">
        <v>303</v>
      </c>
      <c r="M431" s="613">
        <f t="shared" si="67"/>
        <v>0</v>
      </c>
      <c r="N431" s="613">
        <f t="shared" si="68"/>
        <v>1</v>
      </c>
      <c r="O431" s="880"/>
      <c r="P431" s="880"/>
      <c r="Q431" s="836">
        <v>1</v>
      </c>
      <c r="R431" s="880"/>
      <c r="S431" s="880"/>
      <c r="T431" s="880"/>
      <c r="U431" s="613">
        <f t="shared" si="69"/>
        <v>1</v>
      </c>
      <c r="V431" s="879"/>
      <c r="W431" s="613" t="str">
        <f t="shared" si="71"/>
        <v>I</v>
      </c>
      <c r="X431" s="613" t="str">
        <f t="shared" si="72"/>
        <v>I</v>
      </c>
      <c r="Y431" s="613">
        <f t="shared" si="73"/>
        <v>2020</v>
      </c>
      <c r="Z431" s="613" t="str">
        <f t="shared" si="74"/>
        <v>I</v>
      </c>
      <c r="AA431" s="613" t="str">
        <f t="shared" si="75"/>
        <v>I</v>
      </c>
      <c r="AB431" s="613" t="str">
        <f t="shared" si="75"/>
        <v>I</v>
      </c>
      <c r="AC431" s="879"/>
      <c r="AD431" s="880"/>
      <c r="AE431" s="881"/>
      <c r="AF431" s="644"/>
      <c r="AG431" s="879"/>
      <c r="AH431" s="879"/>
      <c r="AI431" s="879"/>
      <c r="AJ431" s="879"/>
      <c r="AK431" s="879"/>
      <c r="AL431" s="879"/>
      <c r="AM431" s="879"/>
      <c r="AN431" s="879"/>
      <c r="AO431" s="879"/>
      <c r="AP431" s="879"/>
      <c r="AQ431" s="879"/>
      <c r="AR431" s="879"/>
      <c r="AS431" s="879"/>
    </row>
    <row r="432" spans="1:45" x14ac:dyDescent="0.2">
      <c r="A432" s="527">
        <v>430</v>
      </c>
      <c r="B432" s="879"/>
      <c r="C432" s="879" t="s">
        <v>2867</v>
      </c>
      <c r="D432" s="879"/>
      <c r="E432" s="879"/>
      <c r="F432" s="879"/>
      <c r="G432" s="624">
        <v>44170</v>
      </c>
      <c r="H432" s="879"/>
      <c r="I432" s="879"/>
      <c r="J432" s="835">
        <v>2020</v>
      </c>
      <c r="K432" s="835">
        <v>2020</v>
      </c>
      <c r="L432" s="613" t="s">
        <v>303</v>
      </c>
      <c r="M432" s="613">
        <f t="shared" si="67"/>
        <v>0</v>
      </c>
      <c r="N432" s="613">
        <f t="shared" si="68"/>
        <v>1</v>
      </c>
      <c r="O432" s="880"/>
      <c r="P432" s="880"/>
      <c r="Q432" s="836">
        <v>1</v>
      </c>
      <c r="R432" s="880"/>
      <c r="S432" s="880"/>
      <c r="T432" s="880"/>
      <c r="U432" s="613">
        <f t="shared" si="69"/>
        <v>1</v>
      </c>
      <c r="V432" s="879"/>
      <c r="W432" s="613" t="str">
        <f t="shared" si="71"/>
        <v>I</v>
      </c>
      <c r="X432" s="613" t="str">
        <f t="shared" si="72"/>
        <v>I</v>
      </c>
      <c r="Y432" s="613">
        <f t="shared" si="73"/>
        <v>2020</v>
      </c>
      <c r="Z432" s="613" t="str">
        <f t="shared" si="74"/>
        <v>I</v>
      </c>
      <c r="AA432" s="613" t="str">
        <f t="shared" si="75"/>
        <v>I</v>
      </c>
      <c r="AB432" s="613" t="str">
        <f t="shared" si="75"/>
        <v>I</v>
      </c>
      <c r="AC432" s="879"/>
      <c r="AD432" s="880"/>
      <c r="AE432" s="881"/>
      <c r="AF432" s="644"/>
      <c r="AG432" s="879"/>
      <c r="AH432" s="879"/>
      <c r="AI432" s="879"/>
      <c r="AJ432" s="879"/>
      <c r="AK432" s="879"/>
      <c r="AL432" s="879"/>
      <c r="AM432" s="879"/>
      <c r="AN432" s="879"/>
      <c r="AO432" s="879"/>
      <c r="AP432" s="879"/>
      <c r="AQ432" s="879"/>
      <c r="AR432" s="879"/>
      <c r="AS432" s="879"/>
    </row>
    <row r="433" spans="1:45" x14ac:dyDescent="0.2">
      <c r="A433" s="527">
        <v>431</v>
      </c>
      <c r="B433" s="879"/>
      <c r="C433" s="879" t="s">
        <v>3377</v>
      </c>
      <c r="D433" s="879"/>
      <c r="E433" s="879"/>
      <c r="F433" s="879"/>
      <c r="G433" s="624">
        <v>44174</v>
      </c>
      <c r="H433" s="879"/>
      <c r="I433" s="879"/>
      <c r="J433" s="835">
        <v>2019</v>
      </c>
      <c r="K433" s="835">
        <v>2020</v>
      </c>
      <c r="L433" s="613" t="s">
        <v>362</v>
      </c>
      <c r="M433" s="613">
        <f t="shared" si="67"/>
        <v>1</v>
      </c>
      <c r="N433" s="613">
        <f t="shared" si="68"/>
        <v>0</v>
      </c>
      <c r="O433" s="880"/>
      <c r="P433" s="880"/>
      <c r="Q433" s="836">
        <v>1</v>
      </c>
      <c r="R433" s="880"/>
      <c r="S433" s="880"/>
      <c r="T433" s="880"/>
      <c r="U433" s="613">
        <f t="shared" si="69"/>
        <v>1</v>
      </c>
      <c r="V433" s="879"/>
      <c r="W433" s="613" t="str">
        <f t="shared" si="71"/>
        <v>I</v>
      </c>
      <c r="X433" s="613" t="str">
        <f t="shared" si="72"/>
        <v>I</v>
      </c>
      <c r="Y433" s="613">
        <f t="shared" si="73"/>
        <v>2019</v>
      </c>
      <c r="Z433" s="613" t="str">
        <f t="shared" si="74"/>
        <v>I</v>
      </c>
      <c r="AA433" s="613" t="str">
        <f t="shared" si="75"/>
        <v>I</v>
      </c>
      <c r="AB433" s="613" t="str">
        <f t="shared" si="75"/>
        <v>I</v>
      </c>
      <c r="AC433" s="879"/>
      <c r="AD433" s="880"/>
      <c r="AE433" s="881"/>
      <c r="AF433" s="644"/>
      <c r="AG433" s="879"/>
      <c r="AH433" s="879"/>
      <c r="AI433" s="879"/>
      <c r="AJ433" s="879"/>
      <c r="AK433" s="879"/>
      <c r="AL433" s="879"/>
      <c r="AM433" s="879"/>
      <c r="AN433" s="879"/>
      <c r="AO433" s="879"/>
      <c r="AP433" s="879"/>
      <c r="AQ433" s="879"/>
      <c r="AR433" s="879"/>
      <c r="AS433" s="879"/>
    </row>
    <row r="434" spans="1:45" x14ac:dyDescent="0.2">
      <c r="A434" s="527">
        <v>432</v>
      </c>
      <c r="B434" s="879"/>
      <c r="C434" s="879" t="s">
        <v>2871</v>
      </c>
      <c r="D434" s="879"/>
      <c r="E434" s="879"/>
      <c r="F434" s="879"/>
      <c r="G434" s="624">
        <v>44180</v>
      </c>
      <c r="H434" s="879"/>
      <c r="I434" s="879"/>
      <c r="J434" s="835">
        <v>2020</v>
      </c>
      <c r="K434" s="835">
        <v>2020</v>
      </c>
      <c r="L434" s="613" t="s">
        <v>303</v>
      </c>
      <c r="M434" s="613">
        <f t="shared" si="67"/>
        <v>0</v>
      </c>
      <c r="N434" s="613">
        <f t="shared" si="68"/>
        <v>1</v>
      </c>
      <c r="O434" s="880"/>
      <c r="P434" s="880"/>
      <c r="Q434" s="836">
        <v>1</v>
      </c>
      <c r="R434" s="880"/>
      <c r="S434" s="880"/>
      <c r="T434" s="880"/>
      <c r="U434" s="613">
        <f t="shared" si="69"/>
        <v>1</v>
      </c>
      <c r="V434" s="879"/>
      <c r="W434" s="613" t="str">
        <f t="shared" si="71"/>
        <v>I</v>
      </c>
      <c r="X434" s="613" t="str">
        <f t="shared" si="72"/>
        <v>I</v>
      </c>
      <c r="Y434" s="613">
        <f t="shared" si="73"/>
        <v>2020</v>
      </c>
      <c r="Z434" s="613" t="str">
        <f t="shared" si="74"/>
        <v>I</v>
      </c>
      <c r="AA434" s="613" t="str">
        <f t="shared" si="75"/>
        <v>I</v>
      </c>
      <c r="AB434" s="613" t="str">
        <f t="shared" si="75"/>
        <v>I</v>
      </c>
      <c r="AC434" s="879"/>
      <c r="AD434" s="880"/>
      <c r="AE434" s="881"/>
      <c r="AF434" s="644"/>
      <c r="AG434" s="879"/>
      <c r="AH434" s="879"/>
      <c r="AI434" s="879"/>
      <c r="AJ434" s="879"/>
      <c r="AK434" s="879"/>
      <c r="AL434" s="879"/>
      <c r="AM434" s="879"/>
      <c r="AN434" s="879"/>
      <c r="AO434" s="879"/>
      <c r="AP434" s="879"/>
      <c r="AQ434" s="879"/>
      <c r="AR434" s="879"/>
      <c r="AS434" s="879"/>
    </row>
    <row r="435" spans="1:45" x14ac:dyDescent="0.2">
      <c r="A435" s="527">
        <v>433</v>
      </c>
      <c r="B435" s="879"/>
      <c r="C435" s="879" t="s">
        <v>2872</v>
      </c>
      <c r="D435" s="879"/>
      <c r="E435" s="879"/>
      <c r="F435" s="879"/>
      <c r="G435" s="624">
        <v>44180</v>
      </c>
      <c r="H435" s="879"/>
      <c r="I435" s="879"/>
      <c r="J435" s="835">
        <v>2020</v>
      </c>
      <c r="K435" s="835">
        <v>2020</v>
      </c>
      <c r="L435" s="613" t="s">
        <v>303</v>
      </c>
      <c r="M435" s="613">
        <f t="shared" si="67"/>
        <v>0</v>
      </c>
      <c r="N435" s="613">
        <f t="shared" si="68"/>
        <v>1</v>
      </c>
      <c r="O435" s="880"/>
      <c r="P435" s="880"/>
      <c r="Q435" s="836">
        <v>1</v>
      </c>
      <c r="R435" s="880"/>
      <c r="S435" s="880"/>
      <c r="T435" s="880"/>
      <c r="U435" s="613">
        <f t="shared" si="69"/>
        <v>1</v>
      </c>
      <c r="V435" s="879"/>
      <c r="W435" s="613" t="str">
        <f t="shared" si="71"/>
        <v>I</v>
      </c>
      <c r="X435" s="613" t="str">
        <f t="shared" si="72"/>
        <v>I</v>
      </c>
      <c r="Y435" s="613">
        <f t="shared" si="73"/>
        <v>2020</v>
      </c>
      <c r="Z435" s="613" t="str">
        <f t="shared" si="74"/>
        <v>I</v>
      </c>
      <c r="AA435" s="613" t="str">
        <f t="shared" si="75"/>
        <v>I</v>
      </c>
      <c r="AB435" s="613" t="str">
        <f t="shared" si="75"/>
        <v>I</v>
      </c>
      <c r="AC435" s="879"/>
      <c r="AD435" s="880"/>
      <c r="AE435" s="881"/>
      <c r="AF435" s="644"/>
      <c r="AG435" s="879"/>
      <c r="AH435" s="879"/>
      <c r="AI435" s="879"/>
      <c r="AJ435" s="879"/>
      <c r="AK435" s="879"/>
      <c r="AL435" s="879"/>
      <c r="AM435" s="879"/>
      <c r="AN435" s="879"/>
      <c r="AO435" s="879"/>
      <c r="AP435" s="879"/>
      <c r="AQ435" s="879"/>
      <c r="AR435" s="879"/>
      <c r="AS435" s="879"/>
    </row>
    <row r="436" spans="1:45" x14ac:dyDescent="0.2">
      <c r="A436" s="527">
        <v>434</v>
      </c>
      <c r="B436" s="879"/>
      <c r="C436" s="879" t="s">
        <v>2877</v>
      </c>
      <c r="D436" s="879"/>
      <c r="E436" s="879"/>
      <c r="F436" s="879"/>
      <c r="G436" s="624">
        <v>44214</v>
      </c>
      <c r="H436" s="879"/>
      <c r="I436" s="879"/>
      <c r="J436" s="835">
        <v>2020</v>
      </c>
      <c r="K436" s="952">
        <v>2021</v>
      </c>
      <c r="L436" s="613" t="s">
        <v>303</v>
      </c>
      <c r="M436" s="613">
        <f t="shared" si="67"/>
        <v>0</v>
      </c>
      <c r="N436" s="613">
        <f t="shared" si="68"/>
        <v>1</v>
      </c>
      <c r="O436" s="880"/>
      <c r="P436" s="880"/>
      <c r="Q436" s="836">
        <v>1</v>
      </c>
      <c r="R436" s="880"/>
      <c r="S436" s="880"/>
      <c r="T436" s="880"/>
      <c r="U436" s="613">
        <f t="shared" si="69"/>
        <v>1</v>
      </c>
      <c r="V436" s="879"/>
      <c r="W436" s="613" t="str">
        <f t="shared" si="71"/>
        <v>I</v>
      </c>
      <c r="X436" s="613" t="str">
        <f t="shared" si="72"/>
        <v>I</v>
      </c>
      <c r="Y436" s="613">
        <f t="shared" si="73"/>
        <v>2020</v>
      </c>
      <c r="Z436" s="613" t="str">
        <f t="shared" si="74"/>
        <v>I</v>
      </c>
      <c r="AA436" s="613" t="str">
        <f t="shared" si="75"/>
        <v>I</v>
      </c>
      <c r="AB436" s="613" t="str">
        <f t="shared" si="75"/>
        <v>I</v>
      </c>
      <c r="AC436" s="879"/>
      <c r="AD436" s="880"/>
      <c r="AE436" s="881"/>
      <c r="AF436" s="644"/>
      <c r="AG436" s="879"/>
      <c r="AH436" s="879"/>
      <c r="AI436" s="879"/>
      <c r="AJ436" s="879"/>
      <c r="AK436" s="879"/>
      <c r="AL436" s="879"/>
      <c r="AM436" s="879"/>
      <c r="AN436" s="879"/>
      <c r="AO436" s="879"/>
      <c r="AP436" s="879"/>
      <c r="AQ436" s="879"/>
      <c r="AR436" s="879"/>
      <c r="AS436" s="879"/>
    </row>
    <row r="437" spans="1:45" x14ac:dyDescent="0.2">
      <c r="A437" s="527">
        <v>435</v>
      </c>
      <c r="B437" s="879"/>
      <c r="C437" s="879" t="s">
        <v>2878</v>
      </c>
      <c r="D437" s="879"/>
      <c r="E437" s="879"/>
      <c r="F437" s="879"/>
      <c r="G437" s="624">
        <v>44214</v>
      </c>
      <c r="H437" s="879"/>
      <c r="I437" s="879"/>
      <c r="J437" s="835">
        <v>2020</v>
      </c>
      <c r="K437" s="952">
        <v>2021</v>
      </c>
      <c r="L437" s="613" t="s">
        <v>336</v>
      </c>
      <c r="M437" s="613">
        <f t="shared" si="67"/>
        <v>1</v>
      </c>
      <c r="N437" s="613">
        <f t="shared" si="68"/>
        <v>0</v>
      </c>
      <c r="O437" s="880"/>
      <c r="P437" s="880"/>
      <c r="Q437" s="836">
        <v>1</v>
      </c>
      <c r="R437" s="880"/>
      <c r="S437" s="880"/>
      <c r="T437" s="880"/>
      <c r="U437" s="613">
        <f t="shared" si="69"/>
        <v>1</v>
      </c>
      <c r="V437" s="879"/>
      <c r="W437" s="613" t="str">
        <f t="shared" si="71"/>
        <v>I</v>
      </c>
      <c r="X437" s="613" t="str">
        <f t="shared" si="72"/>
        <v>I</v>
      </c>
      <c r="Y437" s="613">
        <f t="shared" si="73"/>
        <v>2020</v>
      </c>
      <c r="Z437" s="613" t="str">
        <f t="shared" si="74"/>
        <v>I</v>
      </c>
      <c r="AA437" s="613" t="str">
        <f t="shared" si="75"/>
        <v>I</v>
      </c>
      <c r="AB437" s="613" t="str">
        <f t="shared" si="75"/>
        <v>I</v>
      </c>
      <c r="AC437" s="879"/>
      <c r="AD437" s="880"/>
      <c r="AE437" s="881"/>
      <c r="AF437" s="644"/>
      <c r="AG437" s="879"/>
      <c r="AH437" s="879"/>
      <c r="AI437" s="879"/>
      <c r="AJ437" s="879"/>
      <c r="AK437" s="879"/>
      <c r="AL437" s="879"/>
      <c r="AM437" s="879"/>
      <c r="AN437" s="879"/>
      <c r="AO437" s="879"/>
      <c r="AP437" s="879"/>
      <c r="AQ437" s="879"/>
      <c r="AR437" s="879"/>
      <c r="AS437" s="879"/>
    </row>
    <row r="438" spans="1:45" x14ac:dyDescent="0.2">
      <c r="A438" s="527">
        <v>436</v>
      </c>
      <c r="B438" s="879"/>
      <c r="C438" s="879" t="s">
        <v>2874</v>
      </c>
      <c r="D438" s="879"/>
      <c r="E438" s="879"/>
      <c r="F438" s="879"/>
      <c r="G438" s="624">
        <v>44219</v>
      </c>
      <c r="H438" s="879"/>
      <c r="I438" s="879"/>
      <c r="J438" s="835">
        <v>2020</v>
      </c>
      <c r="K438" s="952">
        <v>2021</v>
      </c>
      <c r="L438" s="613" t="s">
        <v>336</v>
      </c>
      <c r="M438" s="613">
        <f t="shared" si="67"/>
        <v>1</v>
      </c>
      <c r="N438" s="613">
        <f t="shared" si="68"/>
        <v>0</v>
      </c>
      <c r="O438" s="880"/>
      <c r="P438" s="880"/>
      <c r="Q438" s="836">
        <v>1</v>
      </c>
      <c r="R438" s="880"/>
      <c r="S438" s="880"/>
      <c r="T438" s="880"/>
      <c r="U438" s="613">
        <f t="shared" si="69"/>
        <v>1</v>
      </c>
      <c r="V438" s="879"/>
      <c r="W438" s="613" t="str">
        <f t="shared" si="71"/>
        <v>I</v>
      </c>
      <c r="X438" s="613" t="str">
        <f t="shared" si="72"/>
        <v>I</v>
      </c>
      <c r="Y438" s="613">
        <f t="shared" si="73"/>
        <v>2020</v>
      </c>
      <c r="Z438" s="613" t="str">
        <f t="shared" si="74"/>
        <v>I</v>
      </c>
      <c r="AA438" s="613" t="str">
        <f t="shared" si="75"/>
        <v>I</v>
      </c>
      <c r="AB438" s="613" t="str">
        <f t="shared" si="75"/>
        <v>I</v>
      </c>
      <c r="AC438" s="879"/>
      <c r="AD438" s="880"/>
      <c r="AE438" s="881"/>
      <c r="AF438" s="644"/>
      <c r="AG438" s="879"/>
      <c r="AH438" s="879"/>
      <c r="AI438" s="879"/>
      <c r="AJ438" s="879"/>
      <c r="AK438" s="879"/>
      <c r="AL438" s="879"/>
      <c r="AM438" s="879"/>
      <c r="AN438" s="879"/>
      <c r="AO438" s="879"/>
      <c r="AP438" s="879"/>
      <c r="AQ438" s="879"/>
      <c r="AR438" s="879"/>
      <c r="AS438" s="879"/>
    </row>
    <row r="439" spans="1:45" x14ac:dyDescent="0.2">
      <c r="A439" s="527">
        <v>437</v>
      </c>
      <c r="B439" s="879"/>
      <c r="C439" s="879" t="s">
        <v>2885</v>
      </c>
      <c r="D439" s="879"/>
      <c r="E439" s="879"/>
      <c r="F439" s="879"/>
      <c r="G439" s="624">
        <v>44275</v>
      </c>
      <c r="H439" s="879"/>
      <c r="I439" s="879"/>
      <c r="J439" s="835">
        <v>2020</v>
      </c>
      <c r="K439" s="952">
        <v>2021</v>
      </c>
      <c r="L439" s="613" t="s">
        <v>303</v>
      </c>
      <c r="M439" s="613">
        <f t="shared" si="67"/>
        <v>0</v>
      </c>
      <c r="N439" s="613">
        <f t="shared" si="68"/>
        <v>1</v>
      </c>
      <c r="O439" s="880"/>
      <c r="P439" s="880"/>
      <c r="Q439" s="836">
        <v>1</v>
      </c>
      <c r="R439" s="880"/>
      <c r="S439" s="880"/>
      <c r="T439" s="880"/>
      <c r="U439" s="613">
        <f t="shared" si="69"/>
        <v>1</v>
      </c>
      <c r="V439" s="879"/>
      <c r="W439" s="613" t="str">
        <f t="shared" si="71"/>
        <v>I</v>
      </c>
      <c r="X439" s="613" t="str">
        <f t="shared" si="72"/>
        <v>I</v>
      </c>
      <c r="Y439" s="613">
        <f t="shared" si="73"/>
        <v>2020</v>
      </c>
      <c r="Z439" s="613" t="str">
        <f t="shared" si="74"/>
        <v>I</v>
      </c>
      <c r="AA439" s="613" t="str">
        <f t="shared" si="75"/>
        <v>I</v>
      </c>
      <c r="AB439" s="613" t="str">
        <f t="shared" si="75"/>
        <v>I</v>
      </c>
      <c r="AC439" s="879"/>
      <c r="AD439" s="880"/>
      <c r="AE439" s="881"/>
      <c r="AF439" s="644"/>
      <c r="AG439" s="879"/>
      <c r="AH439" s="879"/>
      <c r="AI439" s="879"/>
      <c r="AJ439" s="879"/>
      <c r="AK439" s="879"/>
      <c r="AL439" s="879"/>
      <c r="AM439" s="879"/>
      <c r="AN439" s="879"/>
      <c r="AO439" s="879"/>
      <c r="AP439" s="879"/>
      <c r="AQ439" s="879"/>
      <c r="AR439" s="879"/>
      <c r="AS439" s="879"/>
    </row>
    <row r="440" spans="1:45" x14ac:dyDescent="0.2">
      <c r="A440" s="527">
        <v>438</v>
      </c>
      <c r="B440" s="879"/>
      <c r="C440" s="879" t="s">
        <v>2886</v>
      </c>
      <c r="D440" s="879"/>
      <c r="E440" s="879"/>
      <c r="F440" s="879"/>
      <c r="G440" s="624">
        <v>44275</v>
      </c>
      <c r="H440" s="879"/>
      <c r="I440" s="879"/>
      <c r="J440" s="835">
        <v>2020</v>
      </c>
      <c r="K440" s="952">
        <v>2021</v>
      </c>
      <c r="L440" s="613" t="s">
        <v>303</v>
      </c>
      <c r="M440" s="613">
        <f t="shared" si="67"/>
        <v>0</v>
      </c>
      <c r="N440" s="613">
        <f t="shared" si="68"/>
        <v>1</v>
      </c>
      <c r="O440" s="880"/>
      <c r="P440" s="880"/>
      <c r="Q440" s="836">
        <v>1</v>
      </c>
      <c r="R440" s="880"/>
      <c r="S440" s="880"/>
      <c r="T440" s="880"/>
      <c r="U440" s="613">
        <f t="shared" si="69"/>
        <v>1</v>
      </c>
      <c r="V440" s="879"/>
      <c r="W440" s="613" t="str">
        <f t="shared" si="71"/>
        <v>I</v>
      </c>
      <c r="X440" s="613" t="str">
        <f t="shared" si="72"/>
        <v>I</v>
      </c>
      <c r="Y440" s="613">
        <f t="shared" si="73"/>
        <v>2020</v>
      </c>
      <c r="Z440" s="613" t="str">
        <f t="shared" si="74"/>
        <v>I</v>
      </c>
      <c r="AA440" s="613" t="str">
        <f t="shared" si="75"/>
        <v>I</v>
      </c>
      <c r="AB440" s="613" t="str">
        <f t="shared" si="75"/>
        <v>I</v>
      </c>
      <c r="AC440" s="879"/>
      <c r="AD440" s="880"/>
      <c r="AE440" s="881"/>
      <c r="AF440" s="644"/>
      <c r="AG440" s="879"/>
      <c r="AH440" s="879"/>
      <c r="AI440" s="879"/>
      <c r="AJ440" s="879"/>
      <c r="AK440" s="879"/>
      <c r="AL440" s="879"/>
      <c r="AM440" s="879"/>
      <c r="AN440" s="879"/>
      <c r="AO440" s="879"/>
      <c r="AP440" s="879"/>
      <c r="AQ440" s="879"/>
      <c r="AR440" s="879"/>
      <c r="AS440" s="879"/>
    </row>
    <row r="441" spans="1:45" x14ac:dyDescent="0.2">
      <c r="A441" s="527">
        <v>439</v>
      </c>
      <c r="B441" s="879"/>
      <c r="C441" s="879" t="s">
        <v>2887</v>
      </c>
      <c r="D441" s="879"/>
      <c r="E441" s="879"/>
      <c r="F441" s="879"/>
      <c r="G441" s="624">
        <v>44275</v>
      </c>
      <c r="H441" s="879"/>
      <c r="I441" s="879"/>
      <c r="J441" s="835">
        <v>2020</v>
      </c>
      <c r="K441" s="952">
        <v>2021</v>
      </c>
      <c r="L441" s="613" t="s">
        <v>303</v>
      </c>
      <c r="M441" s="613">
        <f t="shared" si="67"/>
        <v>0</v>
      </c>
      <c r="N441" s="613">
        <f t="shared" si="68"/>
        <v>1</v>
      </c>
      <c r="O441" s="880"/>
      <c r="P441" s="880"/>
      <c r="Q441" s="836">
        <v>1</v>
      </c>
      <c r="R441" s="880"/>
      <c r="S441" s="880"/>
      <c r="T441" s="880"/>
      <c r="U441" s="613">
        <f t="shared" si="69"/>
        <v>1</v>
      </c>
      <c r="V441" s="879"/>
      <c r="W441" s="613" t="str">
        <f t="shared" si="71"/>
        <v>I</v>
      </c>
      <c r="X441" s="613" t="str">
        <f t="shared" si="72"/>
        <v>I</v>
      </c>
      <c r="Y441" s="613">
        <f t="shared" si="73"/>
        <v>2020</v>
      </c>
      <c r="Z441" s="613" t="str">
        <f t="shared" si="74"/>
        <v>I</v>
      </c>
      <c r="AA441" s="613" t="str">
        <f t="shared" si="75"/>
        <v>I</v>
      </c>
      <c r="AB441" s="613" t="str">
        <f t="shared" si="75"/>
        <v>I</v>
      </c>
      <c r="AC441" s="879"/>
      <c r="AD441" s="880"/>
      <c r="AE441" s="881"/>
      <c r="AF441" s="644"/>
      <c r="AG441" s="879"/>
      <c r="AH441" s="879"/>
      <c r="AI441" s="879"/>
      <c r="AJ441" s="879"/>
      <c r="AK441" s="879"/>
      <c r="AL441" s="879"/>
      <c r="AM441" s="879"/>
      <c r="AN441" s="879"/>
      <c r="AO441" s="879"/>
      <c r="AP441" s="879"/>
      <c r="AQ441" s="879"/>
      <c r="AR441" s="879"/>
      <c r="AS441" s="879"/>
    </row>
    <row r="442" spans="1:45" x14ac:dyDescent="0.2">
      <c r="A442" s="527">
        <v>440</v>
      </c>
      <c r="B442" s="879"/>
      <c r="C442" s="879" t="s">
        <v>2895</v>
      </c>
      <c r="D442" s="879"/>
      <c r="E442" s="879"/>
      <c r="F442" s="879"/>
      <c r="G442" s="624">
        <v>44283</v>
      </c>
      <c r="H442" s="879"/>
      <c r="I442" s="879"/>
      <c r="J442" s="835">
        <v>2020</v>
      </c>
      <c r="K442" s="952">
        <v>2021</v>
      </c>
      <c r="L442" s="613" t="s">
        <v>303</v>
      </c>
      <c r="M442" s="613">
        <f t="shared" si="67"/>
        <v>0</v>
      </c>
      <c r="N442" s="613">
        <f t="shared" si="68"/>
        <v>1</v>
      </c>
      <c r="O442" s="880"/>
      <c r="P442" s="880"/>
      <c r="Q442" s="836">
        <v>1</v>
      </c>
      <c r="R442" s="880"/>
      <c r="S442" s="880"/>
      <c r="T442" s="880"/>
      <c r="U442" s="613">
        <f t="shared" si="69"/>
        <v>1</v>
      </c>
      <c r="V442" s="879"/>
      <c r="W442" s="613" t="str">
        <f t="shared" si="71"/>
        <v>I</v>
      </c>
      <c r="X442" s="613" t="str">
        <f t="shared" si="72"/>
        <v>I</v>
      </c>
      <c r="Y442" s="613">
        <f t="shared" si="73"/>
        <v>2020</v>
      </c>
      <c r="Z442" s="613" t="str">
        <f t="shared" si="74"/>
        <v>I</v>
      </c>
      <c r="AA442" s="613" t="str">
        <f t="shared" si="75"/>
        <v>I</v>
      </c>
      <c r="AB442" s="613" t="str">
        <f t="shared" si="75"/>
        <v>I</v>
      </c>
      <c r="AC442" s="879"/>
      <c r="AD442" s="880"/>
      <c r="AE442" s="881"/>
      <c r="AF442" s="644"/>
      <c r="AG442" s="879"/>
      <c r="AH442" s="879"/>
      <c r="AI442" s="879"/>
      <c r="AJ442" s="879"/>
      <c r="AK442" s="879"/>
      <c r="AL442" s="879"/>
      <c r="AM442" s="879"/>
      <c r="AN442" s="879"/>
      <c r="AO442" s="879"/>
      <c r="AP442" s="879"/>
      <c r="AQ442" s="879"/>
      <c r="AR442" s="879"/>
      <c r="AS442" s="879"/>
    </row>
    <row r="443" spans="1:45" x14ac:dyDescent="0.2">
      <c r="A443" s="527">
        <v>441</v>
      </c>
      <c r="B443" s="879"/>
      <c r="C443" s="879" t="s">
        <v>2896</v>
      </c>
      <c r="D443" s="879"/>
      <c r="E443" s="879"/>
      <c r="F443" s="879"/>
      <c r="G443" s="624">
        <v>44283</v>
      </c>
      <c r="H443" s="879"/>
      <c r="I443" s="879"/>
      <c r="J443" s="835">
        <v>2021</v>
      </c>
      <c r="K443" s="952">
        <v>2021</v>
      </c>
      <c r="L443" s="613" t="s">
        <v>303</v>
      </c>
      <c r="M443" s="613">
        <f t="shared" si="67"/>
        <v>0</v>
      </c>
      <c r="N443" s="613">
        <f t="shared" si="68"/>
        <v>1</v>
      </c>
      <c r="O443" s="880"/>
      <c r="P443" s="880"/>
      <c r="Q443" s="836">
        <v>1</v>
      </c>
      <c r="R443" s="880"/>
      <c r="S443" s="880"/>
      <c r="T443" s="880"/>
      <c r="U443" s="613">
        <f t="shared" si="69"/>
        <v>1</v>
      </c>
      <c r="V443" s="879"/>
      <c r="W443" s="613" t="str">
        <f t="shared" si="71"/>
        <v>I</v>
      </c>
      <c r="X443" s="613" t="str">
        <f t="shared" si="72"/>
        <v>I</v>
      </c>
      <c r="Y443" s="613">
        <f t="shared" si="73"/>
        <v>2021</v>
      </c>
      <c r="Z443" s="613" t="str">
        <f t="shared" si="74"/>
        <v>I</v>
      </c>
      <c r="AA443" s="613" t="str">
        <f t="shared" si="75"/>
        <v>I</v>
      </c>
      <c r="AB443" s="613" t="str">
        <f t="shared" si="75"/>
        <v>I</v>
      </c>
      <c r="AC443" s="879"/>
      <c r="AD443" s="880"/>
      <c r="AE443" s="881"/>
      <c r="AF443" s="644"/>
      <c r="AG443" s="879"/>
      <c r="AH443" s="879"/>
      <c r="AI443" s="879"/>
      <c r="AJ443" s="879"/>
      <c r="AK443" s="879"/>
      <c r="AL443" s="879"/>
      <c r="AM443" s="879"/>
      <c r="AN443" s="879"/>
      <c r="AO443" s="879"/>
      <c r="AP443" s="879"/>
      <c r="AQ443" s="879"/>
      <c r="AR443" s="879"/>
      <c r="AS443" s="879"/>
    </row>
    <row r="444" spans="1:45" x14ac:dyDescent="0.2">
      <c r="A444" s="527">
        <v>442</v>
      </c>
      <c r="B444" s="879"/>
      <c r="C444" s="879" t="s">
        <v>2897</v>
      </c>
      <c r="D444" s="879"/>
      <c r="E444" s="879"/>
      <c r="F444" s="879"/>
      <c r="G444" s="624">
        <v>44283</v>
      </c>
      <c r="H444" s="879"/>
      <c r="I444" s="879"/>
      <c r="J444" s="835">
        <v>2020</v>
      </c>
      <c r="K444" s="952">
        <v>2021</v>
      </c>
      <c r="L444" s="613" t="s">
        <v>336</v>
      </c>
      <c r="M444" s="613">
        <f t="shared" si="67"/>
        <v>1</v>
      </c>
      <c r="N444" s="613">
        <f t="shared" si="68"/>
        <v>0</v>
      </c>
      <c r="O444" s="880"/>
      <c r="P444" s="880"/>
      <c r="Q444" s="836">
        <v>1</v>
      </c>
      <c r="R444" s="880"/>
      <c r="S444" s="880"/>
      <c r="T444" s="880"/>
      <c r="U444" s="613">
        <f t="shared" si="69"/>
        <v>1</v>
      </c>
      <c r="V444" s="879"/>
      <c r="W444" s="613" t="str">
        <f t="shared" si="71"/>
        <v>I</v>
      </c>
      <c r="X444" s="613" t="str">
        <f t="shared" si="72"/>
        <v>I</v>
      </c>
      <c r="Y444" s="613">
        <f t="shared" si="73"/>
        <v>2020</v>
      </c>
      <c r="Z444" s="613" t="str">
        <f t="shared" si="74"/>
        <v>I</v>
      </c>
      <c r="AA444" s="613" t="str">
        <f t="shared" si="75"/>
        <v>I</v>
      </c>
      <c r="AB444" s="613" t="str">
        <f t="shared" si="75"/>
        <v>I</v>
      </c>
      <c r="AC444" s="879"/>
      <c r="AD444" s="880"/>
      <c r="AE444" s="881"/>
      <c r="AF444" s="644"/>
      <c r="AG444" s="879"/>
      <c r="AH444" s="879"/>
      <c r="AI444" s="879"/>
      <c r="AJ444" s="879"/>
      <c r="AK444" s="879"/>
      <c r="AL444" s="879"/>
      <c r="AM444" s="879"/>
      <c r="AN444" s="879"/>
      <c r="AO444" s="879"/>
      <c r="AP444" s="879"/>
      <c r="AQ444" s="879"/>
      <c r="AR444" s="879"/>
      <c r="AS444" s="879"/>
    </row>
    <row r="445" spans="1:45" x14ac:dyDescent="0.2">
      <c r="A445" s="527">
        <v>443</v>
      </c>
      <c r="B445" s="879"/>
      <c r="C445" s="879" t="s">
        <v>2959</v>
      </c>
      <c r="D445" s="879"/>
      <c r="E445" s="879"/>
      <c r="F445" s="879"/>
      <c r="G445" s="624">
        <v>44294</v>
      </c>
      <c r="H445" s="879"/>
      <c r="I445" s="879"/>
      <c r="J445" s="835">
        <v>2020</v>
      </c>
      <c r="K445" s="952">
        <v>2021</v>
      </c>
      <c r="L445" s="613" t="s">
        <v>303</v>
      </c>
      <c r="M445" s="613">
        <f t="shared" si="67"/>
        <v>0</v>
      </c>
      <c r="N445" s="613">
        <f t="shared" si="68"/>
        <v>1</v>
      </c>
      <c r="O445" s="880"/>
      <c r="P445" s="880"/>
      <c r="Q445" s="836">
        <v>1</v>
      </c>
      <c r="R445" s="880"/>
      <c r="S445" s="880"/>
      <c r="T445" s="880"/>
      <c r="U445" s="613">
        <f t="shared" si="69"/>
        <v>1</v>
      </c>
      <c r="V445" s="879"/>
      <c r="W445" s="613" t="str">
        <f t="shared" si="71"/>
        <v>I</v>
      </c>
      <c r="X445" s="613" t="str">
        <f t="shared" si="72"/>
        <v>I</v>
      </c>
      <c r="Y445" s="613">
        <f t="shared" si="73"/>
        <v>2020</v>
      </c>
      <c r="Z445" s="613" t="str">
        <f t="shared" si="74"/>
        <v>I</v>
      </c>
      <c r="AA445" s="613" t="str">
        <f t="shared" si="75"/>
        <v>I</v>
      </c>
      <c r="AB445" s="613" t="str">
        <f t="shared" si="75"/>
        <v>I</v>
      </c>
      <c r="AC445" s="879"/>
      <c r="AD445" s="880"/>
      <c r="AE445" s="881"/>
      <c r="AF445" s="644"/>
      <c r="AG445" s="879"/>
      <c r="AH445" s="879"/>
      <c r="AI445" s="879"/>
      <c r="AJ445" s="879"/>
      <c r="AK445" s="879"/>
      <c r="AL445" s="879"/>
      <c r="AM445" s="879"/>
      <c r="AN445" s="879"/>
      <c r="AO445" s="879"/>
      <c r="AP445" s="879"/>
      <c r="AQ445" s="879"/>
      <c r="AR445" s="879"/>
      <c r="AS445" s="879"/>
    </row>
    <row r="446" spans="1:45" x14ac:dyDescent="0.2">
      <c r="A446" s="527">
        <v>444</v>
      </c>
      <c r="B446" s="879"/>
      <c r="C446" s="879" t="s">
        <v>2960</v>
      </c>
      <c r="D446" s="879"/>
      <c r="E446" s="879"/>
      <c r="F446" s="879"/>
      <c r="G446" s="624">
        <v>44294</v>
      </c>
      <c r="H446" s="879"/>
      <c r="I446" s="879"/>
      <c r="J446" s="835">
        <v>2020</v>
      </c>
      <c r="K446" s="952">
        <v>2021</v>
      </c>
      <c r="L446" s="613" t="s">
        <v>303</v>
      </c>
      <c r="M446" s="613">
        <f t="shared" si="67"/>
        <v>0</v>
      </c>
      <c r="N446" s="613">
        <f t="shared" si="68"/>
        <v>1</v>
      </c>
      <c r="O446" s="880"/>
      <c r="P446" s="880"/>
      <c r="Q446" s="836">
        <v>1</v>
      </c>
      <c r="R446" s="880"/>
      <c r="S446" s="880"/>
      <c r="T446" s="880"/>
      <c r="U446" s="613">
        <f t="shared" si="69"/>
        <v>1</v>
      </c>
      <c r="V446" s="879"/>
      <c r="W446" s="613" t="str">
        <f t="shared" si="71"/>
        <v>I</v>
      </c>
      <c r="X446" s="613" t="str">
        <f t="shared" si="72"/>
        <v>I</v>
      </c>
      <c r="Y446" s="613">
        <f t="shared" si="73"/>
        <v>2020</v>
      </c>
      <c r="Z446" s="613" t="str">
        <f t="shared" si="74"/>
        <v>I</v>
      </c>
      <c r="AA446" s="613" t="str">
        <f t="shared" si="75"/>
        <v>I</v>
      </c>
      <c r="AB446" s="613" t="str">
        <f t="shared" si="75"/>
        <v>I</v>
      </c>
      <c r="AC446" s="879"/>
      <c r="AD446" s="880"/>
      <c r="AE446" s="881"/>
      <c r="AF446" s="644"/>
      <c r="AG446" s="879"/>
      <c r="AH446" s="879"/>
      <c r="AI446" s="879"/>
      <c r="AJ446" s="879"/>
      <c r="AK446" s="879"/>
      <c r="AL446" s="879"/>
      <c r="AM446" s="879"/>
      <c r="AN446" s="879"/>
      <c r="AO446" s="879"/>
      <c r="AP446" s="879"/>
      <c r="AQ446" s="879"/>
      <c r="AR446" s="879"/>
      <c r="AS446" s="879"/>
    </row>
    <row r="447" spans="1:45" x14ac:dyDescent="0.2">
      <c r="A447" s="527">
        <v>445</v>
      </c>
      <c r="B447" s="879"/>
      <c r="C447" s="879" t="s">
        <v>3264</v>
      </c>
      <c r="D447" s="879"/>
      <c r="E447" s="879"/>
      <c r="F447" s="879"/>
      <c r="G447" s="624">
        <v>44311</v>
      </c>
      <c r="H447" s="879"/>
      <c r="I447" s="879"/>
      <c r="J447" s="835">
        <v>2020</v>
      </c>
      <c r="K447" s="952">
        <v>2021</v>
      </c>
      <c r="L447" s="613" t="s">
        <v>303</v>
      </c>
      <c r="M447" s="613">
        <f t="shared" si="67"/>
        <v>0</v>
      </c>
      <c r="N447" s="613">
        <f t="shared" si="68"/>
        <v>1</v>
      </c>
      <c r="O447" s="880"/>
      <c r="P447" s="880"/>
      <c r="Q447" s="836">
        <v>1</v>
      </c>
      <c r="R447" s="880"/>
      <c r="S447" s="880"/>
      <c r="T447" s="880"/>
      <c r="U447" s="613">
        <f t="shared" si="69"/>
        <v>1</v>
      </c>
      <c r="V447" s="879"/>
      <c r="W447" s="613" t="str">
        <f t="shared" si="71"/>
        <v>I</v>
      </c>
      <c r="X447" s="613" t="str">
        <f t="shared" si="72"/>
        <v>I</v>
      </c>
      <c r="Y447" s="613">
        <f t="shared" si="73"/>
        <v>2020</v>
      </c>
      <c r="Z447" s="613" t="str">
        <f t="shared" si="74"/>
        <v>I</v>
      </c>
      <c r="AA447" s="613" t="str">
        <f t="shared" si="75"/>
        <v>I</v>
      </c>
      <c r="AB447" s="613" t="str">
        <f t="shared" si="75"/>
        <v>I</v>
      </c>
      <c r="AC447" s="879"/>
      <c r="AD447" s="880"/>
      <c r="AE447" s="881"/>
      <c r="AF447" s="644"/>
      <c r="AG447" s="879"/>
      <c r="AH447" s="879"/>
      <c r="AI447" s="879"/>
      <c r="AJ447" s="879"/>
      <c r="AK447" s="879"/>
      <c r="AL447" s="879"/>
      <c r="AM447" s="879"/>
      <c r="AN447" s="879"/>
      <c r="AO447" s="879"/>
      <c r="AP447" s="879"/>
      <c r="AQ447" s="879"/>
      <c r="AR447" s="879"/>
      <c r="AS447" s="879"/>
    </row>
    <row r="448" spans="1:45" x14ac:dyDescent="0.2">
      <c r="A448" s="527">
        <v>446</v>
      </c>
      <c r="B448" s="879"/>
      <c r="C448" s="879" t="s">
        <v>3265</v>
      </c>
      <c r="D448" s="879"/>
      <c r="E448" s="879"/>
      <c r="F448" s="879"/>
      <c r="G448" s="624">
        <v>44311</v>
      </c>
      <c r="H448" s="879"/>
      <c r="I448" s="879"/>
      <c r="J448" s="835">
        <v>2020</v>
      </c>
      <c r="K448" s="952">
        <v>2021</v>
      </c>
      <c r="L448" s="613" t="s">
        <v>303</v>
      </c>
      <c r="M448" s="613">
        <f t="shared" si="67"/>
        <v>0</v>
      </c>
      <c r="N448" s="613">
        <f t="shared" si="68"/>
        <v>1</v>
      </c>
      <c r="O448" s="880"/>
      <c r="P448" s="880"/>
      <c r="Q448" s="836">
        <v>1</v>
      </c>
      <c r="R448" s="880"/>
      <c r="S448" s="880"/>
      <c r="T448" s="880"/>
      <c r="U448" s="613">
        <f t="shared" si="69"/>
        <v>1</v>
      </c>
      <c r="V448" s="879"/>
      <c r="W448" s="613" t="str">
        <f t="shared" si="71"/>
        <v>I</v>
      </c>
      <c r="X448" s="613" t="str">
        <f t="shared" si="72"/>
        <v>I</v>
      </c>
      <c r="Y448" s="613">
        <f t="shared" si="73"/>
        <v>2020</v>
      </c>
      <c r="Z448" s="613" t="str">
        <f t="shared" si="74"/>
        <v>I</v>
      </c>
      <c r="AA448" s="613" t="str">
        <f t="shared" si="75"/>
        <v>I</v>
      </c>
      <c r="AB448" s="613" t="str">
        <f t="shared" si="75"/>
        <v>I</v>
      </c>
      <c r="AC448" s="879"/>
      <c r="AD448" s="880"/>
      <c r="AE448" s="881"/>
      <c r="AF448" s="644"/>
      <c r="AG448" s="879"/>
      <c r="AH448" s="879"/>
      <c r="AI448" s="879"/>
      <c r="AJ448" s="879"/>
      <c r="AK448" s="879"/>
      <c r="AL448" s="879"/>
      <c r="AM448" s="879"/>
      <c r="AN448" s="879"/>
      <c r="AO448" s="879"/>
      <c r="AP448" s="879"/>
      <c r="AQ448" s="879"/>
      <c r="AR448" s="879"/>
      <c r="AS448" s="879"/>
    </row>
    <row r="449" spans="1:45" x14ac:dyDescent="0.2">
      <c r="A449" s="527">
        <v>447</v>
      </c>
      <c r="B449" s="879"/>
      <c r="C449" s="879" t="s">
        <v>3266</v>
      </c>
      <c r="D449" s="879"/>
      <c r="E449" s="879"/>
      <c r="F449" s="879"/>
      <c r="G449" s="624">
        <v>44311</v>
      </c>
      <c r="H449" s="879"/>
      <c r="I449" s="879"/>
      <c r="J449" s="835">
        <v>2020</v>
      </c>
      <c r="K449" s="952">
        <v>2021</v>
      </c>
      <c r="L449" s="613" t="s">
        <v>303</v>
      </c>
      <c r="M449" s="613">
        <f t="shared" si="67"/>
        <v>0</v>
      </c>
      <c r="N449" s="613">
        <f t="shared" si="68"/>
        <v>1</v>
      </c>
      <c r="O449" s="880"/>
      <c r="P449" s="880"/>
      <c r="Q449" s="836">
        <v>1</v>
      </c>
      <c r="R449" s="880"/>
      <c r="S449" s="880"/>
      <c r="T449" s="880"/>
      <c r="U449" s="613">
        <f t="shared" si="69"/>
        <v>1</v>
      </c>
      <c r="V449" s="879"/>
      <c r="W449" s="613" t="str">
        <f t="shared" si="71"/>
        <v>I</v>
      </c>
      <c r="X449" s="613" t="str">
        <f t="shared" si="72"/>
        <v>I</v>
      </c>
      <c r="Y449" s="613">
        <f t="shared" si="73"/>
        <v>2020</v>
      </c>
      <c r="Z449" s="613" t="str">
        <f t="shared" si="74"/>
        <v>I</v>
      </c>
      <c r="AA449" s="613" t="str">
        <f t="shared" si="75"/>
        <v>I</v>
      </c>
      <c r="AB449" s="613" t="str">
        <f t="shared" si="75"/>
        <v>I</v>
      </c>
      <c r="AC449" s="879"/>
      <c r="AD449" s="880"/>
      <c r="AE449" s="881"/>
      <c r="AF449" s="644"/>
      <c r="AG449" s="879"/>
      <c r="AH449" s="879"/>
      <c r="AI449" s="879"/>
      <c r="AJ449" s="879"/>
      <c r="AK449" s="879"/>
      <c r="AL449" s="879"/>
      <c r="AM449" s="879"/>
      <c r="AN449" s="879"/>
      <c r="AO449" s="879"/>
      <c r="AP449" s="879"/>
      <c r="AQ449" s="879"/>
      <c r="AR449" s="879"/>
      <c r="AS449" s="879"/>
    </row>
    <row r="450" spans="1:45" x14ac:dyDescent="0.2">
      <c r="A450" s="527">
        <v>448</v>
      </c>
      <c r="B450" s="879"/>
      <c r="C450" s="879" t="s">
        <v>3268</v>
      </c>
      <c r="D450" s="879"/>
      <c r="E450" s="879"/>
      <c r="F450" s="879"/>
      <c r="G450" s="624">
        <v>44322</v>
      </c>
      <c r="H450" s="879"/>
      <c r="I450" s="879"/>
      <c r="J450" s="835">
        <v>2020</v>
      </c>
      <c r="K450" s="952">
        <v>2021</v>
      </c>
      <c r="L450" s="613" t="s">
        <v>303</v>
      </c>
      <c r="M450" s="613">
        <f t="shared" si="67"/>
        <v>0</v>
      </c>
      <c r="N450" s="613">
        <f t="shared" si="68"/>
        <v>1</v>
      </c>
      <c r="O450" s="880"/>
      <c r="P450" s="880"/>
      <c r="Q450" s="836">
        <v>1</v>
      </c>
      <c r="R450" s="880"/>
      <c r="S450" s="880"/>
      <c r="T450" s="880"/>
      <c r="U450" s="613">
        <f t="shared" si="69"/>
        <v>1</v>
      </c>
      <c r="V450" s="879"/>
      <c r="W450" s="613" t="str">
        <f t="shared" si="71"/>
        <v>I</v>
      </c>
      <c r="X450" s="613" t="str">
        <f t="shared" si="72"/>
        <v>I</v>
      </c>
      <c r="Y450" s="613">
        <f t="shared" si="73"/>
        <v>2020</v>
      </c>
      <c r="Z450" s="613" t="str">
        <f t="shared" si="74"/>
        <v>I</v>
      </c>
      <c r="AA450" s="613" t="str">
        <f t="shared" si="75"/>
        <v>I</v>
      </c>
      <c r="AB450" s="613" t="str">
        <f t="shared" si="75"/>
        <v>I</v>
      </c>
      <c r="AC450" s="879"/>
      <c r="AD450" s="880"/>
      <c r="AE450" s="881"/>
      <c r="AF450" s="644"/>
      <c r="AG450" s="879"/>
      <c r="AH450" s="879"/>
      <c r="AI450" s="879"/>
      <c r="AJ450" s="879"/>
      <c r="AK450" s="879"/>
      <c r="AL450" s="879"/>
      <c r="AM450" s="879"/>
      <c r="AN450" s="879"/>
      <c r="AO450" s="879"/>
      <c r="AP450" s="879"/>
      <c r="AQ450" s="879"/>
      <c r="AR450" s="879"/>
      <c r="AS450" s="879"/>
    </row>
    <row r="451" spans="1:45" x14ac:dyDescent="0.2">
      <c r="A451" s="527">
        <v>449</v>
      </c>
      <c r="B451" s="879"/>
      <c r="C451" s="879" t="s">
        <v>3269</v>
      </c>
      <c r="D451" s="879"/>
      <c r="E451" s="879"/>
      <c r="F451" s="879"/>
      <c r="G451" s="624">
        <v>44322</v>
      </c>
      <c r="H451" s="879"/>
      <c r="I451" s="879"/>
      <c r="J451" s="835">
        <v>2021</v>
      </c>
      <c r="K451" s="952">
        <v>2021</v>
      </c>
      <c r="L451" s="613" t="s">
        <v>303</v>
      </c>
      <c r="M451" s="613">
        <f t="shared" si="67"/>
        <v>0</v>
      </c>
      <c r="N451" s="613">
        <f t="shared" si="68"/>
        <v>1</v>
      </c>
      <c r="O451" s="880"/>
      <c r="P451" s="880"/>
      <c r="Q451" s="836">
        <v>1</v>
      </c>
      <c r="R451" s="880"/>
      <c r="S451" s="880"/>
      <c r="T451" s="880"/>
      <c r="U451" s="613">
        <f t="shared" si="69"/>
        <v>1</v>
      </c>
      <c r="V451" s="879"/>
      <c r="W451" s="613" t="str">
        <f t="shared" si="71"/>
        <v>I</v>
      </c>
      <c r="X451" s="613" t="str">
        <f t="shared" si="72"/>
        <v>I</v>
      </c>
      <c r="Y451" s="613">
        <f t="shared" si="73"/>
        <v>2021</v>
      </c>
      <c r="Z451" s="613" t="str">
        <f t="shared" si="74"/>
        <v>I</v>
      </c>
      <c r="AA451" s="613" t="str">
        <f t="shared" si="75"/>
        <v>I</v>
      </c>
      <c r="AB451" s="613" t="str">
        <f t="shared" si="75"/>
        <v>I</v>
      </c>
      <c r="AC451" s="879"/>
      <c r="AD451" s="880"/>
      <c r="AE451" s="881"/>
      <c r="AF451" s="644"/>
      <c r="AG451" s="879"/>
      <c r="AH451" s="879"/>
      <c r="AI451" s="879"/>
      <c r="AJ451" s="879"/>
      <c r="AK451" s="879"/>
      <c r="AL451" s="879"/>
      <c r="AM451" s="879"/>
      <c r="AN451" s="879"/>
      <c r="AO451" s="879"/>
      <c r="AP451" s="879"/>
      <c r="AQ451" s="879"/>
      <c r="AR451" s="879"/>
      <c r="AS451" s="879"/>
    </row>
    <row r="452" spans="1:45" x14ac:dyDescent="0.2">
      <c r="A452" s="527">
        <v>450</v>
      </c>
      <c r="B452" s="879"/>
      <c r="C452" s="879" t="s">
        <v>3270</v>
      </c>
      <c r="D452" s="879"/>
      <c r="E452" s="879"/>
      <c r="F452" s="879"/>
      <c r="G452" s="624">
        <v>44322</v>
      </c>
      <c r="H452" s="879"/>
      <c r="I452" s="879"/>
      <c r="J452" s="835">
        <v>2020</v>
      </c>
      <c r="K452" s="952">
        <v>2021</v>
      </c>
      <c r="L452" s="613" t="s">
        <v>336</v>
      </c>
      <c r="M452" s="613">
        <f t="shared" ref="M452:M504" si="76">IF(AND(L452="F",Q452=1),1,0)</f>
        <v>1</v>
      </c>
      <c r="N452" s="613">
        <f t="shared" ref="N452:N504" si="77">IF(AND(L452="P",Q452=1),1,0)</f>
        <v>0</v>
      </c>
      <c r="O452" s="880"/>
      <c r="P452" s="880"/>
      <c r="Q452" s="836">
        <v>1</v>
      </c>
      <c r="R452" s="880"/>
      <c r="S452" s="880"/>
      <c r="T452" s="880"/>
      <c r="U452" s="613">
        <f t="shared" ref="U452:U515" si="78">SUM(O452:T452)</f>
        <v>1</v>
      </c>
      <c r="V452" s="879"/>
      <c r="W452" s="613" t="str">
        <f t="shared" si="71"/>
        <v>I</v>
      </c>
      <c r="X452" s="613" t="str">
        <f t="shared" si="72"/>
        <v>I</v>
      </c>
      <c r="Y452" s="613">
        <f t="shared" si="73"/>
        <v>2020</v>
      </c>
      <c r="Z452" s="613" t="str">
        <f t="shared" si="74"/>
        <v>I</v>
      </c>
      <c r="AA452" s="613" t="str">
        <f t="shared" si="75"/>
        <v>I</v>
      </c>
      <c r="AB452" s="613" t="str">
        <f t="shared" si="75"/>
        <v>I</v>
      </c>
      <c r="AC452" s="879"/>
      <c r="AD452" s="880"/>
      <c r="AE452" s="881"/>
      <c r="AF452" s="644"/>
      <c r="AG452" s="879"/>
      <c r="AH452" s="879"/>
      <c r="AI452" s="879"/>
      <c r="AJ452" s="879"/>
      <c r="AK452" s="879"/>
      <c r="AL452" s="879"/>
      <c r="AM452" s="879"/>
      <c r="AN452" s="879"/>
      <c r="AO452" s="879"/>
      <c r="AP452" s="879"/>
      <c r="AQ452" s="879"/>
      <c r="AR452" s="879"/>
      <c r="AS452" s="879"/>
    </row>
    <row r="453" spans="1:45" x14ac:dyDescent="0.2">
      <c r="A453" s="527">
        <v>451</v>
      </c>
      <c r="B453" s="879"/>
      <c r="C453" s="879" t="s">
        <v>3271</v>
      </c>
      <c r="D453" s="879"/>
      <c r="E453" s="879"/>
      <c r="F453" s="879"/>
      <c r="G453" s="624">
        <v>44322</v>
      </c>
      <c r="H453" s="879"/>
      <c r="I453" s="879"/>
      <c r="J453" s="835">
        <v>2021</v>
      </c>
      <c r="K453" s="952">
        <v>2021</v>
      </c>
      <c r="L453" s="613" t="s">
        <v>303</v>
      </c>
      <c r="M453" s="613">
        <f t="shared" si="76"/>
        <v>0</v>
      </c>
      <c r="N453" s="613">
        <f t="shared" si="77"/>
        <v>1</v>
      </c>
      <c r="O453" s="880"/>
      <c r="P453" s="880"/>
      <c r="Q453" s="836">
        <v>1</v>
      </c>
      <c r="R453" s="880"/>
      <c r="S453" s="880"/>
      <c r="T453" s="880"/>
      <c r="U453" s="613">
        <f t="shared" si="78"/>
        <v>1</v>
      </c>
      <c r="V453" s="879"/>
      <c r="W453" s="613" t="str">
        <f t="shared" si="71"/>
        <v>I</v>
      </c>
      <c r="X453" s="613" t="str">
        <f t="shared" si="72"/>
        <v>I</v>
      </c>
      <c r="Y453" s="613">
        <f t="shared" si="73"/>
        <v>2021</v>
      </c>
      <c r="Z453" s="613" t="str">
        <f t="shared" si="74"/>
        <v>I</v>
      </c>
      <c r="AA453" s="613" t="str">
        <f t="shared" si="75"/>
        <v>I</v>
      </c>
      <c r="AB453" s="613" t="str">
        <f t="shared" si="75"/>
        <v>I</v>
      </c>
      <c r="AC453" s="879"/>
      <c r="AD453" s="880"/>
      <c r="AE453" s="881"/>
      <c r="AF453" s="644"/>
      <c r="AG453" s="879"/>
      <c r="AH453" s="879"/>
      <c r="AI453" s="879"/>
      <c r="AJ453" s="879"/>
      <c r="AK453" s="879"/>
      <c r="AL453" s="879"/>
      <c r="AM453" s="879"/>
      <c r="AN453" s="879"/>
      <c r="AO453" s="879"/>
      <c r="AP453" s="879"/>
      <c r="AQ453" s="879"/>
      <c r="AR453" s="879"/>
      <c r="AS453" s="879"/>
    </row>
    <row r="454" spans="1:45" x14ac:dyDescent="0.2">
      <c r="A454" s="527">
        <v>452</v>
      </c>
      <c r="B454" s="879"/>
      <c r="C454" s="879" t="s">
        <v>3272</v>
      </c>
      <c r="D454" s="879"/>
      <c r="E454" s="879"/>
      <c r="F454" s="879"/>
      <c r="G454" s="624">
        <v>44322</v>
      </c>
      <c r="H454" s="879"/>
      <c r="I454" s="879"/>
      <c r="J454" s="835">
        <v>2020</v>
      </c>
      <c r="K454" s="952">
        <v>2021</v>
      </c>
      <c r="L454" s="613" t="s">
        <v>336</v>
      </c>
      <c r="M454" s="613">
        <f t="shared" si="76"/>
        <v>1</v>
      </c>
      <c r="N454" s="613">
        <f t="shared" si="77"/>
        <v>0</v>
      </c>
      <c r="O454" s="880"/>
      <c r="P454" s="880"/>
      <c r="Q454" s="836">
        <v>1</v>
      </c>
      <c r="R454" s="880"/>
      <c r="S454" s="880"/>
      <c r="T454" s="880"/>
      <c r="U454" s="613">
        <f t="shared" si="78"/>
        <v>1</v>
      </c>
      <c r="V454" s="879"/>
      <c r="W454" s="613" t="str">
        <f t="shared" si="71"/>
        <v>I</v>
      </c>
      <c r="X454" s="613" t="str">
        <f t="shared" si="72"/>
        <v>I</v>
      </c>
      <c r="Y454" s="613">
        <f t="shared" si="73"/>
        <v>2020</v>
      </c>
      <c r="Z454" s="613" t="str">
        <f t="shared" si="74"/>
        <v>I</v>
      </c>
      <c r="AA454" s="613" t="str">
        <f t="shared" si="75"/>
        <v>I</v>
      </c>
      <c r="AB454" s="613" t="str">
        <f t="shared" si="75"/>
        <v>I</v>
      </c>
      <c r="AC454" s="879"/>
      <c r="AD454" s="880"/>
      <c r="AE454" s="881"/>
      <c r="AF454" s="644"/>
      <c r="AG454" s="879"/>
      <c r="AH454" s="879"/>
      <c r="AI454" s="879"/>
      <c r="AJ454" s="879"/>
      <c r="AK454" s="879"/>
      <c r="AL454" s="879"/>
      <c r="AM454" s="879"/>
      <c r="AN454" s="879"/>
      <c r="AO454" s="879"/>
      <c r="AP454" s="879"/>
      <c r="AQ454" s="879"/>
      <c r="AR454" s="879"/>
      <c r="AS454" s="879"/>
    </row>
    <row r="455" spans="1:45" x14ac:dyDescent="0.2">
      <c r="A455" s="527">
        <v>453</v>
      </c>
      <c r="B455" s="879"/>
      <c r="C455" s="879" t="s">
        <v>3346</v>
      </c>
      <c r="D455" s="879"/>
      <c r="E455" s="879"/>
      <c r="F455" s="879"/>
      <c r="G455" s="624">
        <v>44345</v>
      </c>
      <c r="H455" s="879"/>
      <c r="I455" s="879"/>
      <c r="J455" s="835">
        <v>2020</v>
      </c>
      <c r="K455" s="952">
        <v>2021</v>
      </c>
      <c r="L455" s="613" t="s">
        <v>336</v>
      </c>
      <c r="M455" s="613">
        <f t="shared" si="76"/>
        <v>1</v>
      </c>
      <c r="N455" s="613">
        <f t="shared" si="77"/>
        <v>0</v>
      </c>
      <c r="O455" s="880"/>
      <c r="P455" s="880"/>
      <c r="Q455" s="836">
        <v>1</v>
      </c>
      <c r="R455" s="880"/>
      <c r="S455" s="880"/>
      <c r="T455" s="880"/>
      <c r="U455" s="613">
        <f t="shared" si="78"/>
        <v>1</v>
      </c>
      <c r="V455" s="879"/>
      <c r="W455" s="613" t="str">
        <f t="shared" si="71"/>
        <v>I</v>
      </c>
      <c r="X455" s="613" t="str">
        <f t="shared" si="72"/>
        <v>I</v>
      </c>
      <c r="Y455" s="613">
        <f t="shared" si="73"/>
        <v>2020</v>
      </c>
      <c r="Z455" s="613" t="str">
        <f t="shared" si="74"/>
        <v>I</v>
      </c>
      <c r="AA455" s="613" t="str">
        <f t="shared" si="75"/>
        <v>I</v>
      </c>
      <c r="AB455" s="613" t="str">
        <f t="shared" si="75"/>
        <v>I</v>
      </c>
      <c r="AC455" s="879"/>
      <c r="AD455" s="880"/>
      <c r="AE455" s="881"/>
      <c r="AF455" s="644"/>
      <c r="AG455" s="879"/>
      <c r="AH455" s="879"/>
      <c r="AI455" s="879"/>
      <c r="AJ455" s="879"/>
      <c r="AK455" s="879"/>
      <c r="AL455" s="879"/>
      <c r="AM455" s="879"/>
      <c r="AN455" s="879"/>
      <c r="AO455" s="879"/>
      <c r="AP455" s="879"/>
      <c r="AQ455" s="879"/>
      <c r="AR455" s="879"/>
      <c r="AS455" s="879"/>
    </row>
    <row r="456" spans="1:45" x14ac:dyDescent="0.2">
      <c r="A456" s="527">
        <v>454</v>
      </c>
      <c r="B456" s="879"/>
      <c r="C456" s="879" t="s">
        <v>3337</v>
      </c>
      <c r="D456" s="879"/>
      <c r="E456" s="879"/>
      <c r="F456" s="879"/>
      <c r="G456" s="624">
        <v>44345</v>
      </c>
      <c r="H456" s="879"/>
      <c r="I456" s="879"/>
      <c r="J456" s="835">
        <v>2020</v>
      </c>
      <c r="K456" s="952">
        <v>2021</v>
      </c>
      <c r="L456" s="613" t="s">
        <v>336</v>
      </c>
      <c r="M456" s="613">
        <f t="shared" si="76"/>
        <v>1</v>
      </c>
      <c r="N456" s="613">
        <f t="shared" si="77"/>
        <v>0</v>
      </c>
      <c r="O456" s="880"/>
      <c r="P456" s="880"/>
      <c r="Q456" s="836">
        <v>1</v>
      </c>
      <c r="R456" s="880"/>
      <c r="S456" s="880"/>
      <c r="T456" s="880"/>
      <c r="U456" s="613">
        <f t="shared" si="78"/>
        <v>1</v>
      </c>
      <c r="V456" s="879"/>
      <c r="W456" s="613" t="str">
        <f t="shared" si="71"/>
        <v>I</v>
      </c>
      <c r="X456" s="613" t="str">
        <f t="shared" si="72"/>
        <v>I</v>
      </c>
      <c r="Y456" s="613">
        <f t="shared" si="73"/>
        <v>2020</v>
      </c>
      <c r="Z456" s="613" t="str">
        <f t="shared" si="74"/>
        <v>I</v>
      </c>
      <c r="AA456" s="613" t="str">
        <f t="shared" si="75"/>
        <v>I</v>
      </c>
      <c r="AB456" s="613" t="str">
        <f t="shared" si="75"/>
        <v>I</v>
      </c>
      <c r="AC456" s="879"/>
      <c r="AD456" s="880"/>
      <c r="AE456" s="881"/>
      <c r="AF456" s="644"/>
      <c r="AG456" s="879"/>
      <c r="AH456" s="879"/>
      <c r="AI456" s="879"/>
      <c r="AJ456" s="879"/>
      <c r="AK456" s="879"/>
      <c r="AL456" s="879"/>
      <c r="AM456" s="879"/>
      <c r="AN456" s="879"/>
      <c r="AO456" s="879"/>
      <c r="AP456" s="879"/>
      <c r="AQ456" s="879"/>
      <c r="AR456" s="879"/>
      <c r="AS456" s="879"/>
    </row>
    <row r="457" spans="1:45" x14ac:dyDescent="0.2">
      <c r="A457" s="527">
        <v>455</v>
      </c>
      <c r="B457" s="879"/>
      <c r="C457" s="879" t="s">
        <v>3338</v>
      </c>
      <c r="D457" s="879"/>
      <c r="E457" s="879"/>
      <c r="F457" s="879"/>
      <c r="G457" s="624">
        <v>44345</v>
      </c>
      <c r="H457" s="879"/>
      <c r="I457" s="879"/>
      <c r="J457" s="835">
        <v>2021</v>
      </c>
      <c r="K457" s="952">
        <v>2021</v>
      </c>
      <c r="L457" s="613" t="s">
        <v>303</v>
      </c>
      <c r="M457" s="613">
        <f t="shared" si="76"/>
        <v>0</v>
      </c>
      <c r="N457" s="613">
        <f t="shared" si="77"/>
        <v>1</v>
      </c>
      <c r="O457" s="880"/>
      <c r="P457" s="880"/>
      <c r="Q457" s="836">
        <v>1</v>
      </c>
      <c r="R457" s="880"/>
      <c r="S457" s="880"/>
      <c r="T457" s="880"/>
      <c r="U457" s="613">
        <f t="shared" si="78"/>
        <v>1</v>
      </c>
      <c r="V457" s="879"/>
      <c r="W457" s="613" t="str">
        <f t="shared" si="71"/>
        <v>I</v>
      </c>
      <c r="X457" s="613" t="str">
        <f t="shared" si="72"/>
        <v>I</v>
      </c>
      <c r="Y457" s="613">
        <f t="shared" si="73"/>
        <v>2021</v>
      </c>
      <c r="Z457" s="613" t="str">
        <f t="shared" si="74"/>
        <v>I</v>
      </c>
      <c r="AA457" s="613" t="str">
        <f t="shared" si="75"/>
        <v>I</v>
      </c>
      <c r="AB457" s="613" t="str">
        <f t="shared" si="75"/>
        <v>I</v>
      </c>
      <c r="AC457" s="879"/>
      <c r="AD457" s="880"/>
      <c r="AE457" s="881"/>
      <c r="AF457" s="644"/>
      <c r="AG457" s="879"/>
      <c r="AH457" s="879"/>
      <c r="AI457" s="879"/>
      <c r="AJ457" s="879"/>
      <c r="AK457" s="879"/>
      <c r="AL457" s="879"/>
      <c r="AM457" s="879"/>
      <c r="AN457" s="879"/>
      <c r="AO457" s="879"/>
      <c r="AP457" s="879"/>
      <c r="AQ457" s="879"/>
      <c r="AR457" s="879"/>
      <c r="AS457" s="879"/>
    </row>
    <row r="458" spans="1:45" x14ac:dyDescent="0.2">
      <c r="A458" s="527">
        <v>456</v>
      </c>
      <c r="B458" s="879"/>
      <c r="C458" s="879" t="s">
        <v>3339</v>
      </c>
      <c r="D458" s="879"/>
      <c r="E458" s="879"/>
      <c r="F458" s="879"/>
      <c r="G458" s="624">
        <v>44345</v>
      </c>
      <c r="H458" s="879"/>
      <c r="I458" s="879"/>
      <c r="J458" s="835">
        <v>2021</v>
      </c>
      <c r="K458" s="952">
        <v>2021</v>
      </c>
      <c r="L458" s="613" t="s">
        <v>303</v>
      </c>
      <c r="M458" s="613">
        <f t="shared" si="76"/>
        <v>0</v>
      </c>
      <c r="N458" s="613">
        <f t="shared" si="77"/>
        <v>1</v>
      </c>
      <c r="O458" s="880"/>
      <c r="P458" s="880"/>
      <c r="Q458" s="836">
        <v>1</v>
      </c>
      <c r="R458" s="880"/>
      <c r="S458" s="880"/>
      <c r="T458" s="880"/>
      <c r="U458" s="613">
        <f t="shared" si="78"/>
        <v>1</v>
      </c>
      <c r="V458" s="879"/>
      <c r="W458" s="613" t="str">
        <f t="shared" si="71"/>
        <v>I</v>
      </c>
      <c r="X458" s="613" t="str">
        <f t="shared" si="72"/>
        <v>I</v>
      </c>
      <c r="Y458" s="613">
        <f t="shared" si="73"/>
        <v>2021</v>
      </c>
      <c r="Z458" s="613" t="str">
        <f t="shared" si="74"/>
        <v>I</v>
      </c>
      <c r="AA458" s="613" t="str">
        <f t="shared" si="75"/>
        <v>I</v>
      </c>
      <c r="AB458" s="613" t="str">
        <f t="shared" si="75"/>
        <v>I</v>
      </c>
      <c r="AC458" s="879"/>
      <c r="AD458" s="880"/>
      <c r="AE458" s="881"/>
      <c r="AF458" s="644"/>
      <c r="AG458" s="879"/>
      <c r="AH458" s="879"/>
      <c r="AI458" s="879"/>
      <c r="AJ458" s="879"/>
      <c r="AK458" s="879"/>
      <c r="AL458" s="879"/>
      <c r="AM458" s="879"/>
      <c r="AN458" s="879"/>
      <c r="AO458" s="879"/>
      <c r="AP458" s="879"/>
      <c r="AQ458" s="879"/>
      <c r="AR458" s="879"/>
      <c r="AS458" s="879"/>
    </row>
    <row r="459" spans="1:45" x14ac:dyDescent="0.2">
      <c r="A459" s="527">
        <v>457</v>
      </c>
      <c r="B459" s="879"/>
      <c r="C459" s="879" t="s">
        <v>3340</v>
      </c>
      <c r="D459" s="879"/>
      <c r="E459" s="879"/>
      <c r="F459" s="879"/>
      <c r="G459" s="624">
        <v>44345</v>
      </c>
      <c r="H459" s="879"/>
      <c r="I459" s="879"/>
      <c r="J459" s="835">
        <v>2019</v>
      </c>
      <c r="K459" s="952">
        <v>2021</v>
      </c>
      <c r="L459" s="613" t="s">
        <v>303</v>
      </c>
      <c r="M459" s="613">
        <f t="shared" si="76"/>
        <v>0</v>
      </c>
      <c r="N459" s="613">
        <f t="shared" si="77"/>
        <v>1</v>
      </c>
      <c r="O459" s="880"/>
      <c r="P459" s="880"/>
      <c r="Q459" s="836">
        <v>1</v>
      </c>
      <c r="R459" s="880"/>
      <c r="S459" s="880"/>
      <c r="T459" s="880"/>
      <c r="U459" s="613">
        <f t="shared" si="78"/>
        <v>1</v>
      </c>
      <c r="V459" s="879"/>
      <c r="W459" s="613" t="str">
        <f t="shared" si="71"/>
        <v>I</v>
      </c>
      <c r="X459" s="613" t="str">
        <f t="shared" si="72"/>
        <v>I</v>
      </c>
      <c r="Y459" s="613">
        <f t="shared" si="73"/>
        <v>2019</v>
      </c>
      <c r="Z459" s="613" t="str">
        <f t="shared" si="74"/>
        <v>I</v>
      </c>
      <c r="AA459" s="613" t="str">
        <f t="shared" si="75"/>
        <v>I</v>
      </c>
      <c r="AB459" s="613" t="str">
        <f t="shared" si="75"/>
        <v>I</v>
      </c>
      <c r="AC459" s="879"/>
      <c r="AD459" s="880"/>
      <c r="AE459" s="881"/>
      <c r="AF459" s="644"/>
      <c r="AG459" s="879"/>
      <c r="AH459" s="879"/>
      <c r="AI459" s="879"/>
      <c r="AJ459" s="879"/>
      <c r="AK459" s="879"/>
      <c r="AL459" s="879"/>
      <c r="AM459" s="879"/>
      <c r="AN459" s="879"/>
      <c r="AO459" s="879"/>
      <c r="AP459" s="879"/>
      <c r="AQ459" s="879"/>
      <c r="AR459" s="879"/>
      <c r="AS459" s="879"/>
    </row>
    <row r="460" spans="1:45" x14ac:dyDescent="0.2">
      <c r="A460" s="527">
        <v>458</v>
      </c>
      <c r="B460" s="879"/>
      <c r="C460" s="879" t="s">
        <v>3347</v>
      </c>
      <c r="D460" s="879"/>
      <c r="E460" s="879"/>
      <c r="F460" s="879"/>
      <c r="G460" s="624">
        <v>44345</v>
      </c>
      <c r="H460" s="879"/>
      <c r="I460" s="879"/>
      <c r="J460" s="835">
        <v>2020</v>
      </c>
      <c r="K460" s="952">
        <v>2021</v>
      </c>
      <c r="L460" s="613" t="s">
        <v>336</v>
      </c>
      <c r="M460" s="613">
        <f t="shared" si="76"/>
        <v>1</v>
      </c>
      <c r="N460" s="613">
        <f t="shared" si="77"/>
        <v>0</v>
      </c>
      <c r="O460" s="880"/>
      <c r="P460" s="880"/>
      <c r="Q460" s="836">
        <v>1</v>
      </c>
      <c r="R460" s="880"/>
      <c r="S460" s="880"/>
      <c r="T460" s="880"/>
      <c r="U460" s="613">
        <f t="shared" si="78"/>
        <v>1</v>
      </c>
      <c r="V460" s="879"/>
      <c r="W460" s="613" t="str">
        <f t="shared" si="71"/>
        <v>I</v>
      </c>
      <c r="X460" s="613" t="str">
        <f t="shared" si="72"/>
        <v>I</v>
      </c>
      <c r="Y460" s="613">
        <f t="shared" si="73"/>
        <v>2020</v>
      </c>
      <c r="Z460" s="613" t="str">
        <f t="shared" si="74"/>
        <v>I</v>
      </c>
      <c r="AA460" s="613" t="str">
        <f t="shared" si="75"/>
        <v>I</v>
      </c>
      <c r="AB460" s="613" t="str">
        <f t="shared" si="75"/>
        <v>I</v>
      </c>
      <c r="AC460" s="879"/>
      <c r="AD460" s="880"/>
      <c r="AE460" s="881"/>
      <c r="AF460" s="644"/>
      <c r="AG460" s="879"/>
      <c r="AH460" s="879"/>
      <c r="AI460" s="879"/>
      <c r="AJ460" s="879"/>
      <c r="AK460" s="879"/>
      <c r="AL460" s="879"/>
      <c r="AM460" s="879"/>
      <c r="AN460" s="879"/>
      <c r="AO460" s="879"/>
      <c r="AP460" s="879"/>
      <c r="AQ460" s="879"/>
      <c r="AR460" s="879"/>
      <c r="AS460" s="879"/>
    </row>
    <row r="461" spans="1:45" x14ac:dyDescent="0.2">
      <c r="A461" s="527">
        <v>459</v>
      </c>
      <c r="B461" s="879"/>
      <c r="C461" s="879" t="s">
        <v>3349</v>
      </c>
      <c r="D461" s="879"/>
      <c r="E461" s="879"/>
      <c r="F461" s="879"/>
      <c r="G461" s="624">
        <v>44365</v>
      </c>
      <c r="H461" s="879"/>
      <c r="I461" s="879"/>
      <c r="J461" s="835">
        <v>2021</v>
      </c>
      <c r="K461" s="952">
        <v>2021</v>
      </c>
      <c r="L461" s="613" t="s">
        <v>303</v>
      </c>
      <c r="M461" s="613">
        <f t="shared" si="76"/>
        <v>0</v>
      </c>
      <c r="N461" s="613">
        <f t="shared" si="77"/>
        <v>1</v>
      </c>
      <c r="O461" s="880"/>
      <c r="P461" s="880"/>
      <c r="Q461" s="836">
        <v>1</v>
      </c>
      <c r="R461" s="880"/>
      <c r="S461" s="880"/>
      <c r="T461" s="880"/>
      <c r="U461" s="613">
        <f t="shared" si="78"/>
        <v>1</v>
      </c>
      <c r="V461" s="879"/>
      <c r="W461" s="613" t="str">
        <f t="shared" si="71"/>
        <v>I</v>
      </c>
      <c r="X461" s="613" t="str">
        <f t="shared" si="72"/>
        <v>I</v>
      </c>
      <c r="Y461" s="613">
        <f t="shared" si="73"/>
        <v>2021</v>
      </c>
      <c r="Z461" s="613" t="str">
        <f t="shared" si="74"/>
        <v>I</v>
      </c>
      <c r="AA461" s="613" t="str">
        <f t="shared" si="75"/>
        <v>I</v>
      </c>
      <c r="AB461" s="613" t="str">
        <f t="shared" si="75"/>
        <v>I</v>
      </c>
      <c r="AC461" s="879"/>
      <c r="AD461" s="880"/>
      <c r="AE461" s="881"/>
      <c r="AF461" s="644"/>
      <c r="AG461" s="879"/>
      <c r="AH461" s="879"/>
      <c r="AI461" s="879"/>
      <c r="AJ461" s="879"/>
      <c r="AK461" s="879"/>
      <c r="AL461" s="879"/>
      <c r="AM461" s="879"/>
      <c r="AN461" s="879"/>
      <c r="AO461" s="879"/>
      <c r="AP461" s="879"/>
      <c r="AQ461" s="879"/>
      <c r="AR461" s="879"/>
      <c r="AS461" s="879"/>
    </row>
    <row r="462" spans="1:45" x14ac:dyDescent="0.2">
      <c r="A462" s="527">
        <v>460</v>
      </c>
      <c r="B462" s="879"/>
      <c r="C462" s="879" t="s">
        <v>3350</v>
      </c>
      <c r="D462" s="879"/>
      <c r="E462" s="879"/>
      <c r="F462" s="879"/>
      <c r="G462" s="624">
        <v>44365</v>
      </c>
      <c r="H462" s="879"/>
      <c r="I462" s="879"/>
      <c r="J462" s="835">
        <v>2021</v>
      </c>
      <c r="K462" s="952">
        <v>2021</v>
      </c>
      <c r="L462" s="613" t="s">
        <v>303</v>
      </c>
      <c r="M462" s="613">
        <f t="shared" si="76"/>
        <v>0</v>
      </c>
      <c r="N462" s="613">
        <f t="shared" si="77"/>
        <v>1</v>
      </c>
      <c r="O462" s="880"/>
      <c r="P462" s="880"/>
      <c r="Q462" s="836">
        <v>1</v>
      </c>
      <c r="R462" s="880"/>
      <c r="S462" s="880"/>
      <c r="T462" s="880"/>
      <c r="U462" s="613">
        <f t="shared" si="78"/>
        <v>1</v>
      </c>
      <c r="V462" s="879"/>
      <c r="W462" s="613" t="str">
        <f t="shared" si="71"/>
        <v>I</v>
      </c>
      <c r="X462" s="613" t="str">
        <f t="shared" si="72"/>
        <v>I</v>
      </c>
      <c r="Y462" s="613">
        <f t="shared" si="73"/>
        <v>2021</v>
      </c>
      <c r="Z462" s="613" t="str">
        <f t="shared" si="74"/>
        <v>I</v>
      </c>
      <c r="AA462" s="613" t="str">
        <f t="shared" si="75"/>
        <v>I</v>
      </c>
      <c r="AB462" s="613" t="str">
        <f t="shared" si="75"/>
        <v>I</v>
      </c>
      <c r="AC462" s="879"/>
      <c r="AD462" s="880"/>
      <c r="AE462" s="881"/>
      <c r="AF462" s="644"/>
      <c r="AG462" s="879"/>
      <c r="AH462" s="879"/>
      <c r="AI462" s="879"/>
      <c r="AJ462" s="879"/>
      <c r="AK462" s="879"/>
      <c r="AL462" s="879"/>
      <c r="AM462" s="879"/>
      <c r="AN462" s="879"/>
      <c r="AO462" s="879"/>
      <c r="AP462" s="879"/>
      <c r="AQ462" s="879"/>
      <c r="AR462" s="879"/>
      <c r="AS462" s="879"/>
    </row>
    <row r="463" spans="1:45" x14ac:dyDescent="0.2">
      <c r="A463" s="527">
        <v>461</v>
      </c>
      <c r="B463" s="879"/>
      <c r="C463" s="879" t="s">
        <v>3351</v>
      </c>
      <c r="D463" s="879"/>
      <c r="E463" s="879"/>
      <c r="F463" s="879"/>
      <c r="G463" s="624">
        <v>44365</v>
      </c>
      <c r="H463" s="879"/>
      <c r="I463" s="879"/>
      <c r="J463" s="835">
        <v>2013</v>
      </c>
      <c r="K463" s="952">
        <v>2021</v>
      </c>
      <c r="L463" s="613" t="s">
        <v>303</v>
      </c>
      <c r="M463" s="613">
        <f t="shared" si="76"/>
        <v>0</v>
      </c>
      <c r="N463" s="613">
        <f t="shared" si="77"/>
        <v>1</v>
      </c>
      <c r="O463" s="880"/>
      <c r="P463" s="880"/>
      <c r="Q463" s="836">
        <v>1</v>
      </c>
      <c r="R463" s="880"/>
      <c r="S463" s="880"/>
      <c r="T463" s="880"/>
      <c r="U463" s="613">
        <f t="shared" si="78"/>
        <v>1</v>
      </c>
      <c r="V463" s="879"/>
      <c r="W463" s="613" t="str">
        <f t="shared" si="71"/>
        <v>I</v>
      </c>
      <c r="X463" s="613" t="str">
        <f t="shared" si="72"/>
        <v>I</v>
      </c>
      <c r="Y463" s="613">
        <f t="shared" si="73"/>
        <v>2013</v>
      </c>
      <c r="Z463" s="613" t="str">
        <f t="shared" si="74"/>
        <v>I</v>
      </c>
      <c r="AA463" s="613" t="str">
        <f t="shared" si="75"/>
        <v>I</v>
      </c>
      <c r="AB463" s="613" t="str">
        <f t="shared" si="75"/>
        <v>I</v>
      </c>
      <c r="AC463" s="879"/>
      <c r="AD463" s="880"/>
      <c r="AE463" s="881"/>
      <c r="AF463" s="644"/>
      <c r="AG463" s="879"/>
      <c r="AH463" s="879"/>
      <c r="AI463" s="879"/>
      <c r="AJ463" s="879"/>
      <c r="AK463" s="879"/>
      <c r="AL463" s="879"/>
      <c r="AM463" s="879"/>
      <c r="AN463" s="879"/>
      <c r="AO463" s="879"/>
      <c r="AP463" s="879"/>
      <c r="AQ463" s="879"/>
      <c r="AR463" s="879"/>
      <c r="AS463" s="879"/>
    </row>
    <row r="464" spans="1:45" x14ac:dyDescent="0.2">
      <c r="A464" s="527">
        <v>462</v>
      </c>
      <c r="B464" s="879"/>
      <c r="C464" s="879" t="s">
        <v>3352</v>
      </c>
      <c r="D464" s="879"/>
      <c r="E464" s="879"/>
      <c r="F464" s="879"/>
      <c r="G464" s="624">
        <v>44365</v>
      </c>
      <c r="H464" s="879"/>
      <c r="I464" s="879"/>
      <c r="J464" s="835">
        <v>2021</v>
      </c>
      <c r="K464" s="952">
        <v>2021</v>
      </c>
      <c r="L464" s="613" t="s">
        <v>303</v>
      </c>
      <c r="M464" s="613">
        <f t="shared" si="76"/>
        <v>0</v>
      </c>
      <c r="N464" s="613">
        <f t="shared" si="77"/>
        <v>1</v>
      </c>
      <c r="O464" s="880"/>
      <c r="P464" s="880"/>
      <c r="Q464" s="836">
        <v>1</v>
      </c>
      <c r="R464" s="880"/>
      <c r="S464" s="880"/>
      <c r="T464" s="880"/>
      <c r="U464" s="613">
        <f t="shared" si="78"/>
        <v>1</v>
      </c>
      <c r="V464" s="879"/>
      <c r="W464" s="613" t="str">
        <f t="shared" si="71"/>
        <v>I</v>
      </c>
      <c r="X464" s="613" t="str">
        <f t="shared" si="72"/>
        <v>I</v>
      </c>
      <c r="Y464" s="613">
        <f t="shared" si="73"/>
        <v>2021</v>
      </c>
      <c r="Z464" s="613" t="str">
        <f t="shared" si="74"/>
        <v>I</v>
      </c>
      <c r="AA464" s="613" t="str">
        <f t="shared" si="75"/>
        <v>I</v>
      </c>
      <c r="AB464" s="613" t="str">
        <f t="shared" si="75"/>
        <v>I</v>
      </c>
      <c r="AC464" s="879"/>
      <c r="AD464" s="880"/>
      <c r="AE464" s="881"/>
      <c r="AF464" s="644"/>
      <c r="AG464" s="879"/>
      <c r="AH464" s="879"/>
      <c r="AI464" s="879"/>
      <c r="AJ464" s="879"/>
      <c r="AK464" s="879"/>
      <c r="AL464" s="879"/>
      <c r="AM464" s="879"/>
      <c r="AN464" s="879"/>
      <c r="AO464" s="879"/>
      <c r="AP464" s="879"/>
      <c r="AQ464" s="879"/>
      <c r="AR464" s="879"/>
      <c r="AS464" s="879"/>
    </row>
    <row r="465" spans="1:45" x14ac:dyDescent="0.2">
      <c r="A465" s="527">
        <v>463</v>
      </c>
      <c r="B465" s="879"/>
      <c r="C465" s="879" t="s">
        <v>3353</v>
      </c>
      <c r="D465" s="879"/>
      <c r="E465" s="879"/>
      <c r="F465" s="879"/>
      <c r="G465" s="624">
        <v>44365</v>
      </c>
      <c r="H465" s="879"/>
      <c r="I465" s="879"/>
      <c r="J465" s="835">
        <v>2021</v>
      </c>
      <c r="K465" s="952">
        <v>2021</v>
      </c>
      <c r="L465" s="613" t="s">
        <v>303</v>
      </c>
      <c r="M465" s="613">
        <f t="shared" si="76"/>
        <v>0</v>
      </c>
      <c r="N465" s="613">
        <f t="shared" si="77"/>
        <v>1</v>
      </c>
      <c r="O465" s="880"/>
      <c r="P465" s="880"/>
      <c r="Q465" s="836">
        <v>1</v>
      </c>
      <c r="R465" s="880"/>
      <c r="S465" s="880"/>
      <c r="T465" s="880"/>
      <c r="U465" s="613">
        <f t="shared" si="78"/>
        <v>1</v>
      </c>
      <c r="V465" s="879"/>
      <c r="W465" s="613" t="str">
        <f t="shared" ref="W465:W472" si="79">IF(O465=1,$J465,"I")</f>
        <v>I</v>
      </c>
      <c r="X465" s="613" t="str">
        <f t="shared" ref="X465:X472" si="80">IF(P465=1,$J465,"I")</f>
        <v>I</v>
      </c>
      <c r="Y465" s="613">
        <f t="shared" ref="Y465:Y472" si="81">IF(Q465=1,$J465,"I")</f>
        <v>2021</v>
      </c>
      <c r="Z465" s="613" t="str">
        <f t="shared" ref="Z465:Z472" si="82">IF(R465=1,$J465,"I")</f>
        <v>I</v>
      </c>
      <c r="AA465" s="613" t="str">
        <f t="shared" ref="AA465:AB472" si="83">IF(S465=1,$J465,"I")</f>
        <v>I</v>
      </c>
      <c r="AB465" s="613" t="str">
        <f t="shared" si="83"/>
        <v>I</v>
      </c>
      <c r="AC465" s="879"/>
      <c r="AD465" s="880"/>
      <c r="AE465" s="881"/>
      <c r="AF465" s="644"/>
      <c r="AG465" s="879"/>
      <c r="AH465" s="879"/>
      <c r="AI465" s="879"/>
      <c r="AJ465" s="879"/>
      <c r="AK465" s="879"/>
      <c r="AL465" s="879"/>
      <c r="AM465" s="879"/>
      <c r="AN465" s="879"/>
      <c r="AO465" s="879"/>
      <c r="AP465" s="879"/>
      <c r="AQ465" s="879"/>
      <c r="AR465" s="879"/>
      <c r="AS465" s="879"/>
    </row>
    <row r="466" spans="1:45" x14ac:dyDescent="0.2">
      <c r="A466" s="527">
        <v>464</v>
      </c>
      <c r="B466" s="879"/>
      <c r="C466" s="879" t="s">
        <v>3354</v>
      </c>
      <c r="D466" s="879"/>
      <c r="E466" s="879"/>
      <c r="F466" s="879"/>
      <c r="G466" s="624">
        <v>44365</v>
      </c>
      <c r="H466" s="879"/>
      <c r="I466" s="879"/>
      <c r="J466" s="835">
        <v>2020</v>
      </c>
      <c r="K466" s="952">
        <v>2021</v>
      </c>
      <c r="L466" s="613" t="s">
        <v>336</v>
      </c>
      <c r="M466" s="613">
        <f t="shared" si="76"/>
        <v>1</v>
      </c>
      <c r="N466" s="613">
        <f t="shared" si="77"/>
        <v>0</v>
      </c>
      <c r="O466" s="880"/>
      <c r="P466" s="880"/>
      <c r="Q466" s="836">
        <v>1</v>
      </c>
      <c r="R466" s="880"/>
      <c r="S466" s="880"/>
      <c r="T466" s="880"/>
      <c r="U466" s="613">
        <f t="shared" si="78"/>
        <v>1</v>
      </c>
      <c r="V466" s="879"/>
      <c r="W466" s="613" t="str">
        <f t="shared" si="79"/>
        <v>I</v>
      </c>
      <c r="X466" s="613" t="str">
        <f t="shared" si="80"/>
        <v>I</v>
      </c>
      <c r="Y466" s="613">
        <f t="shared" si="81"/>
        <v>2020</v>
      </c>
      <c r="Z466" s="613" t="str">
        <f t="shared" si="82"/>
        <v>I</v>
      </c>
      <c r="AA466" s="613" t="str">
        <f t="shared" si="83"/>
        <v>I</v>
      </c>
      <c r="AB466" s="613" t="str">
        <f t="shared" si="83"/>
        <v>I</v>
      </c>
      <c r="AC466" s="879"/>
      <c r="AD466" s="880"/>
      <c r="AE466" s="881"/>
      <c r="AF466" s="644"/>
      <c r="AG466" s="879"/>
      <c r="AH466" s="879"/>
      <c r="AI466" s="879"/>
      <c r="AJ466" s="879"/>
      <c r="AK466" s="879"/>
      <c r="AL466" s="879"/>
      <c r="AM466" s="879"/>
      <c r="AN466" s="879"/>
      <c r="AO466" s="879"/>
      <c r="AP466" s="879"/>
      <c r="AQ466" s="879"/>
      <c r="AR466" s="879"/>
      <c r="AS466" s="879"/>
    </row>
    <row r="467" spans="1:45" x14ac:dyDescent="0.2">
      <c r="A467" s="527">
        <v>465</v>
      </c>
      <c r="B467" s="879"/>
      <c r="C467" s="879" t="s">
        <v>3361</v>
      </c>
      <c r="D467" s="879"/>
      <c r="E467" s="879"/>
      <c r="F467" s="879"/>
      <c r="G467" s="624">
        <v>44368</v>
      </c>
      <c r="H467" s="879"/>
      <c r="I467" s="879"/>
      <c r="J467" s="835">
        <v>2021</v>
      </c>
      <c r="K467" s="952">
        <v>2021</v>
      </c>
      <c r="L467" s="613" t="s">
        <v>303</v>
      </c>
      <c r="M467" s="613">
        <f t="shared" si="76"/>
        <v>0</v>
      </c>
      <c r="N467" s="613">
        <f t="shared" si="77"/>
        <v>1</v>
      </c>
      <c r="O467" s="880"/>
      <c r="P467" s="880"/>
      <c r="Q467" s="836">
        <v>1</v>
      </c>
      <c r="R467" s="880"/>
      <c r="S467" s="880"/>
      <c r="T467" s="880"/>
      <c r="U467" s="613">
        <f t="shared" si="78"/>
        <v>1</v>
      </c>
      <c r="V467" s="879"/>
      <c r="W467" s="613" t="str">
        <f t="shared" si="79"/>
        <v>I</v>
      </c>
      <c r="X467" s="613" t="str">
        <f t="shared" si="80"/>
        <v>I</v>
      </c>
      <c r="Y467" s="613">
        <f t="shared" si="81"/>
        <v>2021</v>
      </c>
      <c r="Z467" s="613" t="str">
        <f t="shared" si="82"/>
        <v>I</v>
      </c>
      <c r="AA467" s="613" t="str">
        <f t="shared" si="83"/>
        <v>I</v>
      </c>
      <c r="AB467" s="613" t="str">
        <f t="shared" si="83"/>
        <v>I</v>
      </c>
      <c r="AC467" s="879"/>
      <c r="AD467" s="880"/>
      <c r="AE467" s="881"/>
      <c r="AF467" s="644"/>
      <c r="AG467" s="879"/>
      <c r="AH467" s="879"/>
      <c r="AI467" s="879"/>
      <c r="AJ467" s="879"/>
      <c r="AK467" s="879"/>
      <c r="AL467" s="879"/>
      <c r="AM467" s="879"/>
      <c r="AN467" s="879"/>
      <c r="AO467" s="879"/>
      <c r="AP467" s="879"/>
      <c r="AQ467" s="879"/>
      <c r="AR467" s="879"/>
      <c r="AS467" s="879"/>
    </row>
    <row r="468" spans="1:45" x14ac:dyDescent="0.2">
      <c r="A468" s="527">
        <v>466</v>
      </c>
      <c r="B468" s="879"/>
      <c r="C468" s="879" t="s">
        <v>3363</v>
      </c>
      <c r="D468" s="879"/>
      <c r="E468" s="879"/>
      <c r="F468" s="879"/>
      <c r="G468" s="624">
        <v>44383</v>
      </c>
      <c r="H468" s="879"/>
      <c r="I468" s="879"/>
      <c r="J468" s="835">
        <v>2020</v>
      </c>
      <c r="K468" s="952">
        <v>2021</v>
      </c>
      <c r="L468" s="613" t="s">
        <v>303</v>
      </c>
      <c r="M468" s="613">
        <f t="shared" si="76"/>
        <v>0</v>
      </c>
      <c r="N468" s="613">
        <f t="shared" si="77"/>
        <v>1</v>
      </c>
      <c r="O468" s="880"/>
      <c r="P468" s="880"/>
      <c r="Q468" s="836">
        <v>1</v>
      </c>
      <c r="R468" s="880"/>
      <c r="S468" s="880"/>
      <c r="T468" s="880"/>
      <c r="U468" s="613">
        <f t="shared" si="78"/>
        <v>1</v>
      </c>
      <c r="V468" s="879"/>
      <c r="W468" s="613" t="str">
        <f t="shared" si="79"/>
        <v>I</v>
      </c>
      <c r="X468" s="613" t="str">
        <f t="shared" si="80"/>
        <v>I</v>
      </c>
      <c r="Y468" s="613">
        <f t="shared" si="81"/>
        <v>2020</v>
      </c>
      <c r="Z468" s="613" t="str">
        <f t="shared" si="82"/>
        <v>I</v>
      </c>
      <c r="AA468" s="613" t="str">
        <f t="shared" si="83"/>
        <v>I</v>
      </c>
      <c r="AB468" s="613" t="str">
        <f t="shared" si="83"/>
        <v>I</v>
      </c>
      <c r="AC468" s="879"/>
      <c r="AD468" s="880"/>
      <c r="AE468" s="881"/>
      <c r="AF468" s="644"/>
      <c r="AG468" s="879"/>
      <c r="AH468" s="879"/>
      <c r="AI468" s="879"/>
      <c r="AJ468" s="879"/>
      <c r="AK468" s="879"/>
      <c r="AL468" s="879"/>
      <c r="AM468" s="879"/>
      <c r="AN468" s="879"/>
      <c r="AO468" s="879"/>
      <c r="AP468" s="879"/>
      <c r="AQ468" s="879"/>
      <c r="AR468" s="879"/>
      <c r="AS468" s="879"/>
    </row>
    <row r="469" spans="1:45" x14ac:dyDescent="0.2">
      <c r="A469" s="527">
        <v>467</v>
      </c>
      <c r="B469" s="879"/>
      <c r="C469" s="879" t="s">
        <v>3365</v>
      </c>
      <c r="D469" s="879"/>
      <c r="E469" s="879"/>
      <c r="F469" s="879"/>
      <c r="G469" s="624">
        <v>44383</v>
      </c>
      <c r="H469" s="879"/>
      <c r="I469" s="879"/>
      <c r="J469" s="835">
        <v>2021</v>
      </c>
      <c r="K469" s="952">
        <v>2021</v>
      </c>
      <c r="L469" s="613" t="s">
        <v>303</v>
      </c>
      <c r="M469" s="613">
        <f t="shared" si="76"/>
        <v>0</v>
      </c>
      <c r="N469" s="613">
        <f t="shared" si="77"/>
        <v>1</v>
      </c>
      <c r="O469" s="880"/>
      <c r="P469" s="880"/>
      <c r="Q469" s="836">
        <v>1</v>
      </c>
      <c r="R469" s="880"/>
      <c r="S469" s="880"/>
      <c r="T469" s="880"/>
      <c r="U469" s="613">
        <f t="shared" si="78"/>
        <v>1</v>
      </c>
      <c r="V469" s="879"/>
      <c r="W469" s="613" t="str">
        <f t="shared" si="79"/>
        <v>I</v>
      </c>
      <c r="X469" s="613" t="str">
        <f t="shared" si="80"/>
        <v>I</v>
      </c>
      <c r="Y469" s="613">
        <f t="shared" si="81"/>
        <v>2021</v>
      </c>
      <c r="Z469" s="613" t="str">
        <f t="shared" si="82"/>
        <v>I</v>
      </c>
      <c r="AA469" s="613" t="str">
        <f t="shared" si="83"/>
        <v>I</v>
      </c>
      <c r="AB469" s="613" t="str">
        <f t="shared" si="83"/>
        <v>I</v>
      </c>
      <c r="AC469" s="879"/>
      <c r="AD469" s="880"/>
      <c r="AE469" s="881"/>
      <c r="AF469" s="644"/>
      <c r="AG469" s="879"/>
      <c r="AH469" s="879"/>
      <c r="AI469" s="879"/>
      <c r="AJ469" s="879"/>
      <c r="AK469" s="879"/>
      <c r="AL469" s="879"/>
      <c r="AM469" s="879"/>
      <c r="AN469" s="879"/>
      <c r="AO469" s="879"/>
      <c r="AP469" s="879"/>
      <c r="AQ469" s="879"/>
      <c r="AR469" s="879"/>
      <c r="AS469" s="879"/>
    </row>
    <row r="470" spans="1:45" x14ac:dyDescent="0.2">
      <c r="A470" s="527">
        <v>468</v>
      </c>
      <c r="B470" s="879"/>
      <c r="C470" s="879" t="s">
        <v>3364</v>
      </c>
      <c r="D470" s="879"/>
      <c r="E470" s="879"/>
      <c r="F470" s="879"/>
      <c r="G470" s="624">
        <v>44383</v>
      </c>
      <c r="H470" s="879"/>
      <c r="I470" s="879"/>
      <c r="J470" s="835">
        <v>2020</v>
      </c>
      <c r="K470" s="952">
        <v>2021</v>
      </c>
      <c r="L470" s="613" t="s">
        <v>303</v>
      </c>
      <c r="M470" s="613">
        <f t="shared" si="76"/>
        <v>0</v>
      </c>
      <c r="N470" s="613">
        <f t="shared" si="77"/>
        <v>1</v>
      </c>
      <c r="O470" s="880"/>
      <c r="P470" s="880"/>
      <c r="Q470" s="836">
        <v>1</v>
      </c>
      <c r="R470" s="880"/>
      <c r="S470" s="880"/>
      <c r="T470" s="880"/>
      <c r="U470" s="613">
        <f t="shared" si="78"/>
        <v>1</v>
      </c>
      <c r="V470" s="879"/>
      <c r="W470" s="613" t="str">
        <f t="shared" si="79"/>
        <v>I</v>
      </c>
      <c r="X470" s="613" t="str">
        <f t="shared" si="80"/>
        <v>I</v>
      </c>
      <c r="Y470" s="613">
        <f t="shared" si="81"/>
        <v>2020</v>
      </c>
      <c r="Z470" s="613" t="str">
        <f t="shared" si="82"/>
        <v>I</v>
      </c>
      <c r="AA470" s="613" t="str">
        <f t="shared" si="83"/>
        <v>I</v>
      </c>
      <c r="AB470" s="613" t="str">
        <f t="shared" si="83"/>
        <v>I</v>
      </c>
      <c r="AC470" s="879"/>
      <c r="AD470" s="880"/>
      <c r="AE470" s="881"/>
      <c r="AF470" s="644"/>
      <c r="AG470" s="879"/>
      <c r="AH470" s="879"/>
      <c r="AI470" s="879"/>
      <c r="AJ470" s="879"/>
      <c r="AK470" s="879"/>
      <c r="AL470" s="879"/>
      <c r="AM470" s="879"/>
      <c r="AN470" s="879"/>
      <c r="AO470" s="879"/>
      <c r="AP470" s="879"/>
      <c r="AQ470" s="879"/>
      <c r="AR470" s="879"/>
      <c r="AS470" s="879"/>
    </row>
    <row r="471" spans="1:45" x14ac:dyDescent="0.2">
      <c r="A471" s="527">
        <v>469</v>
      </c>
      <c r="B471" s="879"/>
      <c r="C471" s="879" t="s">
        <v>3370</v>
      </c>
      <c r="D471" s="879"/>
      <c r="E471" s="879"/>
      <c r="F471" s="879"/>
      <c r="G471" s="624">
        <v>44394</v>
      </c>
      <c r="H471" s="879"/>
      <c r="I471" s="879"/>
      <c r="J471" s="835">
        <v>2015</v>
      </c>
      <c r="K471" s="952">
        <v>2021</v>
      </c>
      <c r="L471" s="613" t="s">
        <v>336</v>
      </c>
      <c r="M471" s="613">
        <f t="shared" si="76"/>
        <v>1</v>
      </c>
      <c r="N471" s="613">
        <f t="shared" si="77"/>
        <v>0</v>
      </c>
      <c r="O471" s="880"/>
      <c r="P471" s="880"/>
      <c r="Q471" s="836">
        <v>1</v>
      </c>
      <c r="R471" s="880"/>
      <c r="S471" s="880"/>
      <c r="T471" s="880"/>
      <c r="U471" s="613">
        <f t="shared" si="78"/>
        <v>1</v>
      </c>
      <c r="V471" s="879"/>
      <c r="W471" s="613" t="str">
        <f t="shared" si="79"/>
        <v>I</v>
      </c>
      <c r="X471" s="613" t="str">
        <f t="shared" si="80"/>
        <v>I</v>
      </c>
      <c r="Y471" s="613">
        <f t="shared" si="81"/>
        <v>2015</v>
      </c>
      <c r="Z471" s="613" t="str">
        <f t="shared" si="82"/>
        <v>I</v>
      </c>
      <c r="AA471" s="613" t="str">
        <f t="shared" si="83"/>
        <v>I</v>
      </c>
      <c r="AB471" s="613" t="str">
        <f t="shared" si="83"/>
        <v>I</v>
      </c>
      <c r="AC471" s="879"/>
      <c r="AD471" s="880"/>
      <c r="AE471" s="881"/>
      <c r="AF471" s="644"/>
      <c r="AG471" s="879"/>
      <c r="AH471" s="879"/>
      <c r="AI471" s="879"/>
      <c r="AJ471" s="879"/>
      <c r="AK471" s="879"/>
      <c r="AL471" s="879"/>
      <c r="AM471" s="879"/>
      <c r="AN471" s="879"/>
      <c r="AO471" s="879"/>
      <c r="AP471" s="879"/>
      <c r="AQ471" s="879"/>
      <c r="AR471" s="879"/>
      <c r="AS471" s="879"/>
    </row>
    <row r="472" spans="1:45" x14ac:dyDescent="0.2">
      <c r="A472" s="527">
        <v>470</v>
      </c>
      <c r="B472" s="879"/>
      <c r="C472" s="879" t="s">
        <v>3371</v>
      </c>
      <c r="D472" s="879"/>
      <c r="E472" s="879"/>
      <c r="F472" s="879"/>
      <c r="G472" s="624">
        <v>44394</v>
      </c>
      <c r="H472" s="879"/>
      <c r="I472" s="879"/>
      <c r="J472" s="835">
        <v>2018</v>
      </c>
      <c r="K472" s="952">
        <v>2021</v>
      </c>
      <c r="L472" s="613" t="s">
        <v>303</v>
      </c>
      <c r="M472" s="613">
        <f t="shared" si="76"/>
        <v>0</v>
      </c>
      <c r="N472" s="613">
        <f t="shared" si="77"/>
        <v>1</v>
      </c>
      <c r="O472" s="880"/>
      <c r="P472" s="880"/>
      <c r="Q472" s="836">
        <v>1</v>
      </c>
      <c r="R472" s="880"/>
      <c r="S472" s="880"/>
      <c r="T472" s="880"/>
      <c r="U472" s="613">
        <f t="shared" si="78"/>
        <v>1</v>
      </c>
      <c r="V472" s="879"/>
      <c r="W472" s="613" t="str">
        <f t="shared" si="79"/>
        <v>I</v>
      </c>
      <c r="X472" s="613" t="str">
        <f t="shared" si="80"/>
        <v>I</v>
      </c>
      <c r="Y472" s="613">
        <f t="shared" si="81"/>
        <v>2018</v>
      </c>
      <c r="Z472" s="613" t="str">
        <f t="shared" si="82"/>
        <v>I</v>
      </c>
      <c r="AA472" s="613" t="str">
        <f t="shared" si="83"/>
        <v>I</v>
      </c>
      <c r="AB472" s="613" t="str">
        <f t="shared" si="83"/>
        <v>I</v>
      </c>
      <c r="AC472" s="879"/>
      <c r="AD472" s="880"/>
      <c r="AE472" s="881"/>
      <c r="AF472" s="644"/>
      <c r="AG472" s="879"/>
      <c r="AH472" s="879"/>
      <c r="AI472" s="879"/>
      <c r="AJ472" s="879"/>
      <c r="AK472" s="879"/>
      <c r="AL472" s="879"/>
      <c r="AM472" s="879"/>
      <c r="AN472" s="879"/>
      <c r="AO472" s="879"/>
      <c r="AP472" s="879"/>
      <c r="AQ472" s="879"/>
      <c r="AR472" s="879"/>
      <c r="AS472" s="879"/>
    </row>
    <row r="473" spans="1:45" x14ac:dyDescent="0.2">
      <c r="A473" s="527">
        <v>471</v>
      </c>
      <c r="B473" s="879"/>
      <c r="C473" s="879" t="s">
        <v>3372</v>
      </c>
      <c r="D473" s="879"/>
      <c r="E473" s="879"/>
      <c r="F473" s="879"/>
      <c r="G473" s="624">
        <v>44394</v>
      </c>
      <c r="H473" s="879"/>
      <c r="I473" s="879"/>
      <c r="J473" s="835">
        <v>2021</v>
      </c>
      <c r="K473" s="952">
        <v>2021</v>
      </c>
      <c r="L473" s="613" t="s">
        <v>303</v>
      </c>
      <c r="M473" s="613">
        <f t="shared" si="76"/>
        <v>0</v>
      </c>
      <c r="N473" s="613">
        <f t="shared" si="77"/>
        <v>1</v>
      </c>
      <c r="O473" s="880"/>
      <c r="P473" s="880"/>
      <c r="Q473" s="836">
        <v>1</v>
      </c>
      <c r="R473" s="880"/>
      <c r="S473" s="880"/>
      <c r="T473" s="880"/>
      <c r="U473" s="613">
        <f t="shared" si="78"/>
        <v>1</v>
      </c>
      <c r="V473" s="879"/>
      <c r="W473" s="613" t="str">
        <f t="shared" ref="W473:W504" si="84">IF(O473=1,$J473,"I")</f>
        <v>I</v>
      </c>
      <c r="X473" s="613" t="str">
        <f t="shared" ref="X473:X504" si="85">IF(P473=1,$J473,"I")</f>
        <v>I</v>
      </c>
      <c r="Y473" s="613">
        <f t="shared" ref="Y473:Y504" si="86">IF(Q473=1,$J473,"I")</f>
        <v>2021</v>
      </c>
      <c r="Z473" s="613" t="str">
        <f t="shared" ref="Z473:Z504" si="87">IF(R473=1,$J473,"I")</f>
        <v>I</v>
      </c>
      <c r="AA473" s="613" t="str">
        <f t="shared" ref="AA473:AB504" si="88">IF(S473=1,$J473,"I")</f>
        <v>I</v>
      </c>
      <c r="AB473" s="613" t="str">
        <f t="shared" si="88"/>
        <v>I</v>
      </c>
      <c r="AC473" s="879"/>
      <c r="AD473" s="880"/>
      <c r="AE473" s="881"/>
      <c r="AF473" s="644"/>
      <c r="AG473" s="879"/>
      <c r="AH473" s="879"/>
      <c r="AI473" s="879"/>
      <c r="AJ473" s="879"/>
      <c r="AK473" s="879"/>
      <c r="AL473" s="879"/>
      <c r="AM473" s="879"/>
      <c r="AN473" s="879"/>
      <c r="AO473" s="879"/>
      <c r="AP473" s="879"/>
      <c r="AQ473" s="879"/>
      <c r="AR473" s="879"/>
      <c r="AS473" s="879"/>
    </row>
    <row r="474" spans="1:45" x14ac:dyDescent="0.2">
      <c r="A474" s="527">
        <v>472</v>
      </c>
      <c r="B474" s="879"/>
      <c r="C474" s="879" t="s">
        <v>3398</v>
      </c>
      <c r="D474" s="879"/>
      <c r="E474" s="879"/>
      <c r="F474" s="879"/>
      <c r="G474" s="624">
        <v>44401</v>
      </c>
      <c r="H474" s="879"/>
      <c r="I474" s="879"/>
      <c r="J474" s="835">
        <v>2021</v>
      </c>
      <c r="K474" s="952">
        <v>2021</v>
      </c>
      <c r="L474" s="613" t="s">
        <v>303</v>
      </c>
      <c r="M474" s="613">
        <f t="shared" si="76"/>
        <v>0</v>
      </c>
      <c r="N474" s="613">
        <f t="shared" si="77"/>
        <v>1</v>
      </c>
      <c r="O474" s="880"/>
      <c r="P474" s="880"/>
      <c r="Q474" s="836">
        <v>1</v>
      </c>
      <c r="R474" s="880"/>
      <c r="S474" s="880"/>
      <c r="T474" s="880"/>
      <c r="U474" s="613">
        <f t="shared" si="78"/>
        <v>1</v>
      </c>
      <c r="V474" s="879"/>
      <c r="W474" s="613" t="str">
        <f t="shared" si="84"/>
        <v>I</v>
      </c>
      <c r="X474" s="613" t="str">
        <f t="shared" si="85"/>
        <v>I</v>
      </c>
      <c r="Y474" s="613">
        <f t="shared" si="86"/>
        <v>2021</v>
      </c>
      <c r="Z474" s="613" t="str">
        <f t="shared" si="87"/>
        <v>I</v>
      </c>
      <c r="AA474" s="613" t="str">
        <f t="shared" si="88"/>
        <v>I</v>
      </c>
      <c r="AB474" s="613" t="str">
        <f t="shared" si="88"/>
        <v>I</v>
      </c>
      <c r="AC474" s="879"/>
      <c r="AD474" s="880"/>
      <c r="AE474" s="881"/>
      <c r="AF474" s="644"/>
      <c r="AG474" s="879"/>
      <c r="AH474" s="879"/>
      <c r="AI474" s="879"/>
      <c r="AJ474" s="879"/>
      <c r="AK474" s="879"/>
      <c r="AL474" s="879"/>
      <c r="AM474" s="879"/>
      <c r="AN474" s="879"/>
      <c r="AO474" s="879"/>
      <c r="AP474" s="879"/>
      <c r="AQ474" s="879"/>
      <c r="AR474" s="879"/>
      <c r="AS474" s="879"/>
    </row>
    <row r="475" spans="1:45" x14ac:dyDescent="0.2">
      <c r="A475" s="527">
        <v>473</v>
      </c>
      <c r="B475" s="879"/>
      <c r="C475" s="879" t="s">
        <v>3399</v>
      </c>
      <c r="D475" s="879"/>
      <c r="E475" s="879"/>
      <c r="F475" s="879"/>
      <c r="G475" s="624">
        <v>44401</v>
      </c>
      <c r="H475" s="879"/>
      <c r="I475" s="879"/>
      <c r="J475" s="835">
        <v>2021</v>
      </c>
      <c r="K475" s="952">
        <v>2021</v>
      </c>
      <c r="L475" s="613" t="s">
        <v>303</v>
      </c>
      <c r="M475" s="613">
        <f t="shared" si="76"/>
        <v>0</v>
      </c>
      <c r="N475" s="613">
        <f t="shared" si="77"/>
        <v>1</v>
      </c>
      <c r="O475" s="880"/>
      <c r="P475" s="880"/>
      <c r="Q475" s="836">
        <v>1</v>
      </c>
      <c r="R475" s="880"/>
      <c r="S475" s="880"/>
      <c r="T475" s="880"/>
      <c r="U475" s="613">
        <f t="shared" si="78"/>
        <v>1</v>
      </c>
      <c r="V475" s="879"/>
      <c r="W475" s="613" t="str">
        <f t="shared" si="84"/>
        <v>I</v>
      </c>
      <c r="X475" s="613" t="str">
        <f t="shared" si="85"/>
        <v>I</v>
      </c>
      <c r="Y475" s="613">
        <f t="shared" si="86"/>
        <v>2021</v>
      </c>
      <c r="Z475" s="613" t="str">
        <f t="shared" si="87"/>
        <v>I</v>
      </c>
      <c r="AA475" s="613" t="str">
        <f t="shared" si="88"/>
        <v>I</v>
      </c>
      <c r="AB475" s="613" t="str">
        <f t="shared" si="88"/>
        <v>I</v>
      </c>
      <c r="AC475" s="879"/>
      <c r="AD475" s="880"/>
      <c r="AE475" s="881"/>
      <c r="AF475" s="880"/>
      <c r="AG475" s="879"/>
      <c r="AH475" s="879"/>
      <c r="AI475" s="879"/>
      <c r="AJ475" s="879"/>
      <c r="AK475" s="879"/>
      <c r="AL475" s="879"/>
      <c r="AM475" s="879"/>
      <c r="AN475" s="879"/>
      <c r="AO475" s="879"/>
      <c r="AP475" s="879"/>
      <c r="AQ475" s="879"/>
      <c r="AR475" s="879"/>
      <c r="AS475" s="879"/>
    </row>
    <row r="476" spans="1:45" x14ac:dyDescent="0.2">
      <c r="A476" s="527">
        <v>474</v>
      </c>
      <c r="B476" s="879"/>
      <c r="C476" s="879" t="s">
        <v>3400</v>
      </c>
      <c r="D476" s="879"/>
      <c r="E476" s="879"/>
      <c r="F476" s="879"/>
      <c r="G476" s="624">
        <v>44401</v>
      </c>
      <c r="H476" s="879"/>
      <c r="I476" s="879"/>
      <c r="J476" s="835">
        <v>2019</v>
      </c>
      <c r="K476" s="952">
        <v>2021</v>
      </c>
      <c r="L476" s="613" t="s">
        <v>336</v>
      </c>
      <c r="M476" s="613">
        <f t="shared" si="76"/>
        <v>1</v>
      </c>
      <c r="N476" s="613">
        <f t="shared" si="77"/>
        <v>0</v>
      </c>
      <c r="O476" s="880"/>
      <c r="P476" s="880"/>
      <c r="Q476" s="836">
        <v>1</v>
      </c>
      <c r="R476" s="880"/>
      <c r="S476" s="880"/>
      <c r="T476" s="880"/>
      <c r="U476" s="613">
        <f t="shared" si="78"/>
        <v>1</v>
      </c>
      <c r="V476" s="879"/>
      <c r="W476" s="613" t="str">
        <f t="shared" si="84"/>
        <v>I</v>
      </c>
      <c r="X476" s="613" t="str">
        <f t="shared" si="85"/>
        <v>I</v>
      </c>
      <c r="Y476" s="613">
        <f t="shared" si="86"/>
        <v>2019</v>
      </c>
      <c r="Z476" s="613" t="str">
        <f t="shared" si="87"/>
        <v>I</v>
      </c>
      <c r="AA476" s="613" t="str">
        <f t="shared" si="88"/>
        <v>I</v>
      </c>
      <c r="AB476" s="613" t="str">
        <f t="shared" si="88"/>
        <v>I</v>
      </c>
      <c r="AC476" s="879"/>
      <c r="AD476" s="880"/>
      <c r="AE476" s="881"/>
      <c r="AF476" s="880"/>
      <c r="AG476" s="879"/>
      <c r="AH476" s="879"/>
      <c r="AI476" s="879"/>
      <c r="AJ476" s="879"/>
      <c r="AK476" s="879"/>
      <c r="AL476" s="879"/>
      <c r="AM476" s="879"/>
      <c r="AN476" s="879"/>
      <c r="AO476" s="879"/>
      <c r="AP476" s="879"/>
      <c r="AQ476" s="879"/>
      <c r="AR476" s="879"/>
      <c r="AS476" s="879"/>
    </row>
    <row r="477" spans="1:45" x14ac:dyDescent="0.2">
      <c r="A477" s="527">
        <v>475</v>
      </c>
      <c r="B477" s="879"/>
      <c r="C477" s="879" t="s">
        <v>3401</v>
      </c>
      <c r="D477" s="879"/>
      <c r="E477" s="879"/>
      <c r="F477" s="879"/>
      <c r="G477" s="624">
        <v>44401</v>
      </c>
      <c r="H477" s="879"/>
      <c r="I477" s="879"/>
      <c r="J477" s="835">
        <v>2019</v>
      </c>
      <c r="K477" s="952">
        <v>2021</v>
      </c>
      <c r="L477" s="613" t="s">
        <v>336</v>
      </c>
      <c r="M477" s="613">
        <f t="shared" si="76"/>
        <v>1</v>
      </c>
      <c r="N477" s="613">
        <f t="shared" si="77"/>
        <v>0</v>
      </c>
      <c r="O477" s="880"/>
      <c r="P477" s="880"/>
      <c r="Q477" s="836">
        <v>1</v>
      </c>
      <c r="R477" s="880"/>
      <c r="S477" s="880"/>
      <c r="T477" s="880"/>
      <c r="U477" s="613">
        <f t="shared" si="78"/>
        <v>1</v>
      </c>
      <c r="V477" s="879"/>
      <c r="W477" s="613" t="str">
        <f t="shared" si="84"/>
        <v>I</v>
      </c>
      <c r="X477" s="613" t="str">
        <f t="shared" si="85"/>
        <v>I</v>
      </c>
      <c r="Y477" s="613">
        <f t="shared" si="86"/>
        <v>2019</v>
      </c>
      <c r="Z477" s="613" t="str">
        <f t="shared" si="87"/>
        <v>I</v>
      </c>
      <c r="AA477" s="613" t="str">
        <f t="shared" si="88"/>
        <v>I</v>
      </c>
      <c r="AB477" s="613" t="str">
        <f t="shared" si="88"/>
        <v>I</v>
      </c>
      <c r="AC477" s="879"/>
      <c r="AD477" s="880"/>
      <c r="AE477" s="881"/>
      <c r="AF477" s="644"/>
      <c r="AG477" s="879"/>
      <c r="AH477" s="879"/>
      <c r="AI477" s="879"/>
      <c r="AJ477" s="879"/>
      <c r="AK477" s="879"/>
      <c r="AL477" s="879"/>
      <c r="AM477" s="879"/>
      <c r="AN477" s="879"/>
      <c r="AO477" s="879"/>
      <c r="AP477" s="879"/>
      <c r="AQ477" s="879"/>
      <c r="AR477" s="879"/>
      <c r="AS477" s="879"/>
    </row>
    <row r="478" spans="1:45" x14ac:dyDescent="0.2">
      <c r="A478" s="527">
        <v>476</v>
      </c>
      <c r="B478" s="879"/>
      <c r="C478" s="879" t="s">
        <v>3404</v>
      </c>
      <c r="D478" s="879"/>
      <c r="E478" s="879"/>
      <c r="F478" s="879"/>
      <c r="G478" s="624">
        <v>44431</v>
      </c>
      <c r="H478" s="879"/>
      <c r="I478" s="879"/>
      <c r="J478" s="835">
        <v>2021</v>
      </c>
      <c r="K478" s="952">
        <v>2021</v>
      </c>
      <c r="L478" s="613" t="s">
        <v>336</v>
      </c>
      <c r="M478" s="613">
        <f t="shared" si="76"/>
        <v>1</v>
      </c>
      <c r="N478" s="613">
        <f t="shared" si="77"/>
        <v>0</v>
      </c>
      <c r="O478" s="880"/>
      <c r="P478" s="880"/>
      <c r="Q478" s="836">
        <v>1</v>
      </c>
      <c r="R478" s="880"/>
      <c r="S478" s="880"/>
      <c r="T478" s="880"/>
      <c r="U478" s="613">
        <f t="shared" si="78"/>
        <v>1</v>
      </c>
      <c r="V478" s="879"/>
      <c r="W478" s="613" t="str">
        <f t="shared" si="84"/>
        <v>I</v>
      </c>
      <c r="X478" s="613" t="str">
        <f t="shared" si="85"/>
        <v>I</v>
      </c>
      <c r="Y478" s="613">
        <f t="shared" si="86"/>
        <v>2021</v>
      </c>
      <c r="Z478" s="613" t="str">
        <f t="shared" si="87"/>
        <v>I</v>
      </c>
      <c r="AA478" s="613" t="str">
        <f t="shared" si="88"/>
        <v>I</v>
      </c>
      <c r="AB478" s="613" t="str">
        <f t="shared" si="88"/>
        <v>I</v>
      </c>
      <c r="AC478" s="879"/>
      <c r="AD478" s="880"/>
      <c r="AE478" s="881"/>
      <c r="AF478" s="644"/>
      <c r="AG478" s="879"/>
      <c r="AH478" s="879"/>
      <c r="AI478" s="879"/>
      <c r="AJ478" s="879"/>
      <c r="AK478" s="879"/>
      <c r="AL478" s="879"/>
      <c r="AM478" s="879"/>
      <c r="AN478" s="879"/>
      <c r="AO478" s="879"/>
      <c r="AP478" s="879"/>
      <c r="AQ478" s="879"/>
      <c r="AR478" s="879"/>
      <c r="AS478" s="879"/>
    </row>
    <row r="479" spans="1:45" x14ac:dyDescent="0.2">
      <c r="A479" s="527">
        <v>477</v>
      </c>
      <c r="B479" s="879"/>
      <c r="C479" s="889" t="s">
        <v>3406</v>
      </c>
      <c r="D479" s="879"/>
      <c r="E479" s="879"/>
      <c r="F479" s="879"/>
      <c r="G479" s="624">
        <v>44438</v>
      </c>
      <c r="H479" s="879"/>
      <c r="I479" s="879"/>
      <c r="J479" s="835">
        <v>2018</v>
      </c>
      <c r="K479" s="952">
        <v>2021</v>
      </c>
      <c r="L479" s="613" t="s">
        <v>336</v>
      </c>
      <c r="M479" s="613">
        <f t="shared" si="76"/>
        <v>0</v>
      </c>
      <c r="N479" s="613">
        <f t="shared" si="77"/>
        <v>0</v>
      </c>
      <c r="O479" s="880"/>
      <c r="P479" s="880"/>
      <c r="Q479" s="880"/>
      <c r="R479" s="836">
        <v>1</v>
      </c>
      <c r="S479" s="880"/>
      <c r="T479" s="880"/>
      <c r="U479" s="613">
        <f t="shared" si="78"/>
        <v>1</v>
      </c>
      <c r="V479" s="879"/>
      <c r="W479" s="613" t="str">
        <f t="shared" ref="W479:W481" si="89">IF(O479=1,$J479,"I")</f>
        <v>I</v>
      </c>
      <c r="X479" s="613" t="str">
        <f t="shared" ref="X479:X481" si="90">IF(P479=1,$J479,"I")</f>
        <v>I</v>
      </c>
      <c r="Y479" s="613" t="str">
        <f t="shared" ref="Y479:Y481" si="91">IF(Q479=1,$J479,"I")</f>
        <v>I</v>
      </c>
      <c r="Z479" s="613">
        <f t="shared" ref="Z479:Z481" si="92">IF(R479=1,$J479,"I")</f>
        <v>2018</v>
      </c>
      <c r="AA479" s="613" t="str">
        <f t="shared" ref="AA479:AB481" si="93">IF(S479=1,$J479,"I")</f>
        <v>I</v>
      </c>
      <c r="AB479" s="613" t="str">
        <f t="shared" si="93"/>
        <v>I</v>
      </c>
      <c r="AC479" s="879"/>
      <c r="AD479" s="880"/>
      <c r="AE479" s="881"/>
      <c r="AF479" s="644"/>
      <c r="AG479" s="879"/>
      <c r="AH479" s="879"/>
      <c r="AI479" s="879"/>
      <c r="AJ479" s="879"/>
      <c r="AK479" s="879"/>
      <c r="AL479" s="879"/>
      <c r="AM479" s="879"/>
      <c r="AN479" s="879"/>
      <c r="AO479" s="879"/>
      <c r="AP479" s="879"/>
      <c r="AQ479" s="879"/>
      <c r="AR479" s="879"/>
      <c r="AS479" s="879"/>
    </row>
    <row r="480" spans="1:45" x14ac:dyDescent="0.2">
      <c r="A480" s="527">
        <v>478</v>
      </c>
      <c r="B480" s="879"/>
      <c r="C480" s="879" t="s">
        <v>3407</v>
      </c>
      <c r="D480" s="879"/>
      <c r="E480" s="879"/>
      <c r="F480" s="879"/>
      <c r="G480" s="624">
        <v>44438</v>
      </c>
      <c r="H480" s="879"/>
      <c r="I480" s="879"/>
      <c r="J480" s="835">
        <v>2018</v>
      </c>
      <c r="K480" s="952">
        <v>2021</v>
      </c>
      <c r="L480" s="613" t="s">
        <v>336</v>
      </c>
      <c r="M480" s="613">
        <f>IF(AND(L480="F",R480=1),1,0)</f>
        <v>1</v>
      </c>
      <c r="N480" s="613">
        <f>IF(AND(L480="P",R480=1),1,0)</f>
        <v>0</v>
      </c>
      <c r="O480" s="880"/>
      <c r="P480" s="880"/>
      <c r="Q480" s="880"/>
      <c r="R480" s="836">
        <v>1</v>
      </c>
      <c r="S480" s="880"/>
      <c r="T480" s="880"/>
      <c r="U480" s="613">
        <f t="shared" si="78"/>
        <v>1</v>
      </c>
      <c r="V480" s="879"/>
      <c r="W480" s="613" t="str">
        <f t="shared" si="89"/>
        <v>I</v>
      </c>
      <c r="X480" s="613" t="str">
        <f t="shared" si="90"/>
        <v>I</v>
      </c>
      <c r="Y480" s="613" t="str">
        <f t="shared" si="91"/>
        <v>I</v>
      </c>
      <c r="Z480" s="613">
        <f t="shared" si="92"/>
        <v>2018</v>
      </c>
      <c r="AA480" s="613" t="str">
        <f t="shared" si="93"/>
        <v>I</v>
      </c>
      <c r="AB480" s="613" t="str">
        <f t="shared" si="93"/>
        <v>I</v>
      </c>
      <c r="AC480" s="879"/>
      <c r="AD480" s="880"/>
      <c r="AE480" s="881"/>
      <c r="AF480" s="644"/>
      <c r="AG480" s="879"/>
      <c r="AH480" s="879"/>
      <c r="AI480" s="879"/>
      <c r="AJ480" s="879"/>
      <c r="AK480" s="879"/>
      <c r="AL480" s="879"/>
      <c r="AM480" s="879"/>
      <c r="AN480" s="879"/>
      <c r="AO480" s="879"/>
      <c r="AP480" s="879"/>
      <c r="AQ480" s="879"/>
      <c r="AR480" s="879"/>
      <c r="AS480" s="879"/>
    </row>
    <row r="481" spans="1:45" x14ac:dyDescent="0.2">
      <c r="A481" s="527">
        <v>479</v>
      </c>
      <c r="B481" s="879"/>
      <c r="C481" s="879" t="s">
        <v>3414</v>
      </c>
      <c r="D481" s="879"/>
      <c r="E481" s="879"/>
      <c r="F481" s="879"/>
      <c r="G481" s="624">
        <v>44439</v>
      </c>
      <c r="H481" s="879"/>
      <c r="I481" s="879"/>
      <c r="J481" s="835">
        <v>2012</v>
      </c>
      <c r="K481" s="952">
        <v>2021</v>
      </c>
      <c r="L481" s="613" t="s">
        <v>303</v>
      </c>
      <c r="M481" s="613">
        <f t="shared" si="76"/>
        <v>0</v>
      </c>
      <c r="N481" s="613">
        <f t="shared" si="77"/>
        <v>1</v>
      </c>
      <c r="O481" s="880"/>
      <c r="P481" s="880"/>
      <c r="Q481" s="836">
        <v>1</v>
      </c>
      <c r="R481" s="880"/>
      <c r="S481" s="880"/>
      <c r="T481" s="880"/>
      <c r="U481" s="613">
        <f t="shared" si="78"/>
        <v>1</v>
      </c>
      <c r="V481" s="879"/>
      <c r="W481" s="613" t="str">
        <f t="shared" si="89"/>
        <v>I</v>
      </c>
      <c r="X481" s="613" t="str">
        <f t="shared" si="90"/>
        <v>I</v>
      </c>
      <c r="Y481" s="613">
        <f t="shared" si="91"/>
        <v>2012</v>
      </c>
      <c r="Z481" s="613" t="str">
        <f t="shared" si="92"/>
        <v>I</v>
      </c>
      <c r="AA481" s="613" t="str">
        <f t="shared" si="93"/>
        <v>I</v>
      </c>
      <c r="AB481" s="613" t="str">
        <f t="shared" si="93"/>
        <v>I</v>
      </c>
      <c r="AC481" s="879"/>
      <c r="AD481" s="880"/>
      <c r="AE481" s="881"/>
      <c r="AF481" s="644"/>
      <c r="AG481" s="879"/>
      <c r="AH481" s="879"/>
      <c r="AI481" s="879"/>
      <c r="AJ481" s="879"/>
      <c r="AK481" s="879"/>
      <c r="AL481" s="879"/>
      <c r="AM481" s="879"/>
      <c r="AN481" s="879"/>
      <c r="AO481" s="879"/>
      <c r="AP481" s="879"/>
      <c r="AQ481" s="879"/>
      <c r="AR481" s="879"/>
      <c r="AS481" s="879"/>
    </row>
    <row r="482" spans="1:45" x14ac:dyDescent="0.2">
      <c r="A482" s="527">
        <v>480</v>
      </c>
      <c r="B482" s="879"/>
      <c r="C482" s="879" t="s">
        <v>3415</v>
      </c>
      <c r="D482" s="879"/>
      <c r="E482" s="879"/>
      <c r="F482" s="879"/>
      <c r="G482" s="624">
        <v>44439</v>
      </c>
      <c r="H482" s="879"/>
      <c r="I482" s="879"/>
      <c r="J482" s="835">
        <v>2021</v>
      </c>
      <c r="K482" s="952">
        <v>2021</v>
      </c>
      <c r="L482" s="613" t="s">
        <v>303</v>
      </c>
      <c r="M482" s="613">
        <f t="shared" si="76"/>
        <v>0</v>
      </c>
      <c r="N482" s="613">
        <f t="shared" si="77"/>
        <v>1</v>
      </c>
      <c r="O482" s="880"/>
      <c r="P482" s="880"/>
      <c r="Q482" s="836">
        <v>1</v>
      </c>
      <c r="R482" s="880"/>
      <c r="S482" s="880"/>
      <c r="T482" s="880"/>
      <c r="U482" s="613">
        <f t="shared" si="78"/>
        <v>1</v>
      </c>
      <c r="V482" s="879"/>
      <c r="W482" s="613" t="str">
        <f t="shared" si="84"/>
        <v>I</v>
      </c>
      <c r="X482" s="613" t="str">
        <f t="shared" si="85"/>
        <v>I</v>
      </c>
      <c r="Y482" s="613">
        <f t="shared" si="86"/>
        <v>2021</v>
      </c>
      <c r="Z482" s="613" t="str">
        <f t="shared" si="87"/>
        <v>I</v>
      </c>
      <c r="AA482" s="613" t="str">
        <f t="shared" si="88"/>
        <v>I</v>
      </c>
      <c r="AB482" s="613" t="str">
        <f t="shared" si="88"/>
        <v>I</v>
      </c>
      <c r="AC482" s="879"/>
      <c r="AD482" s="880"/>
      <c r="AE482" s="881"/>
      <c r="AF482" s="644"/>
      <c r="AG482" s="879"/>
      <c r="AH482" s="879"/>
      <c r="AI482" s="879"/>
      <c r="AJ482" s="879"/>
      <c r="AK482" s="879"/>
      <c r="AL482" s="879"/>
      <c r="AM482" s="879"/>
      <c r="AN482" s="879"/>
      <c r="AO482" s="879"/>
      <c r="AP482" s="879"/>
      <c r="AQ482" s="879"/>
      <c r="AR482" s="879"/>
      <c r="AS482" s="879"/>
    </row>
    <row r="483" spans="1:45" x14ac:dyDescent="0.2">
      <c r="A483" s="527">
        <v>481</v>
      </c>
      <c r="B483" s="879"/>
      <c r="C483" s="879" t="s">
        <v>3416</v>
      </c>
      <c r="D483" s="879"/>
      <c r="E483" s="879"/>
      <c r="F483" s="879"/>
      <c r="G483" s="624">
        <v>44439</v>
      </c>
      <c r="H483" s="879"/>
      <c r="I483" s="879"/>
      <c r="J483" s="835">
        <v>2021</v>
      </c>
      <c r="K483" s="952">
        <v>2021</v>
      </c>
      <c r="L483" s="613" t="s">
        <v>303</v>
      </c>
      <c r="M483" s="613">
        <f t="shared" si="76"/>
        <v>0</v>
      </c>
      <c r="N483" s="613">
        <f t="shared" si="77"/>
        <v>1</v>
      </c>
      <c r="O483" s="880"/>
      <c r="P483" s="880"/>
      <c r="Q483" s="836">
        <v>1</v>
      </c>
      <c r="R483" s="880"/>
      <c r="S483" s="880"/>
      <c r="T483" s="880"/>
      <c r="U483" s="613">
        <f t="shared" si="78"/>
        <v>1</v>
      </c>
      <c r="V483" s="879"/>
      <c r="W483" s="613" t="str">
        <f t="shared" si="84"/>
        <v>I</v>
      </c>
      <c r="X483" s="613" t="str">
        <f t="shared" si="85"/>
        <v>I</v>
      </c>
      <c r="Y483" s="613">
        <f t="shared" si="86"/>
        <v>2021</v>
      </c>
      <c r="Z483" s="613" t="str">
        <f t="shared" si="87"/>
        <v>I</v>
      </c>
      <c r="AA483" s="613" t="str">
        <f t="shared" si="88"/>
        <v>I</v>
      </c>
      <c r="AB483" s="613" t="str">
        <f t="shared" si="88"/>
        <v>I</v>
      </c>
      <c r="AC483" s="879"/>
      <c r="AD483" s="880"/>
      <c r="AE483" s="881"/>
      <c r="AF483" s="644"/>
      <c r="AG483" s="879"/>
      <c r="AH483" s="879"/>
      <c r="AI483" s="879"/>
      <c r="AJ483" s="879"/>
      <c r="AK483" s="879"/>
      <c r="AL483" s="879"/>
      <c r="AM483" s="879"/>
      <c r="AN483" s="879"/>
      <c r="AO483" s="879"/>
      <c r="AP483" s="879"/>
      <c r="AQ483" s="879"/>
      <c r="AR483" s="879"/>
      <c r="AS483" s="879"/>
    </row>
    <row r="484" spans="1:45" x14ac:dyDescent="0.2">
      <c r="A484" s="527">
        <v>482</v>
      </c>
      <c r="B484" s="879"/>
      <c r="C484" s="879" t="s">
        <v>3420</v>
      </c>
      <c r="D484" s="879"/>
      <c r="E484" s="879"/>
      <c r="F484" s="879"/>
      <c r="G484" s="624">
        <v>44475</v>
      </c>
      <c r="H484" s="879"/>
      <c r="I484" s="879"/>
      <c r="J484" s="835">
        <v>2020</v>
      </c>
      <c r="K484" s="952">
        <v>2021</v>
      </c>
      <c r="L484" s="613" t="s">
        <v>303</v>
      </c>
      <c r="M484" s="613">
        <f t="shared" si="76"/>
        <v>0</v>
      </c>
      <c r="N484" s="613">
        <f t="shared" si="77"/>
        <v>1</v>
      </c>
      <c r="O484" s="880"/>
      <c r="P484" s="880"/>
      <c r="Q484" s="836">
        <v>1</v>
      </c>
      <c r="R484" s="880"/>
      <c r="S484" s="880"/>
      <c r="T484" s="880"/>
      <c r="U484" s="613">
        <f t="shared" si="78"/>
        <v>1</v>
      </c>
      <c r="V484" s="879"/>
      <c r="W484" s="613" t="str">
        <f t="shared" si="84"/>
        <v>I</v>
      </c>
      <c r="X484" s="613" t="str">
        <f t="shared" si="85"/>
        <v>I</v>
      </c>
      <c r="Y484" s="613">
        <f t="shared" si="86"/>
        <v>2020</v>
      </c>
      <c r="Z484" s="613" t="str">
        <f t="shared" si="87"/>
        <v>I</v>
      </c>
      <c r="AA484" s="613" t="str">
        <f t="shared" si="88"/>
        <v>I</v>
      </c>
      <c r="AB484" s="613" t="str">
        <f t="shared" si="88"/>
        <v>I</v>
      </c>
      <c r="AC484" s="879"/>
      <c r="AD484" s="880"/>
      <c r="AE484" s="881"/>
      <c r="AF484" s="644"/>
      <c r="AG484" s="879"/>
      <c r="AH484" s="879"/>
      <c r="AI484" s="879"/>
      <c r="AJ484" s="879"/>
      <c r="AK484" s="879"/>
      <c r="AL484" s="879"/>
      <c r="AM484" s="879"/>
      <c r="AN484" s="879"/>
      <c r="AO484" s="879"/>
      <c r="AP484" s="879"/>
      <c r="AQ484" s="879"/>
      <c r="AR484" s="879"/>
      <c r="AS484" s="879"/>
    </row>
    <row r="485" spans="1:45" x14ac:dyDescent="0.2">
      <c r="A485" s="527">
        <v>483</v>
      </c>
      <c r="B485" s="879"/>
      <c r="C485" s="879" t="s">
        <v>3421</v>
      </c>
      <c r="D485" s="879"/>
      <c r="E485" s="879"/>
      <c r="F485" s="879"/>
      <c r="G485" s="624">
        <v>44486</v>
      </c>
      <c r="H485" s="879"/>
      <c r="I485" s="879"/>
      <c r="J485" s="835">
        <v>2021</v>
      </c>
      <c r="K485" s="952">
        <v>2021</v>
      </c>
      <c r="L485" s="613" t="s">
        <v>303</v>
      </c>
      <c r="M485" s="613">
        <f t="shared" si="76"/>
        <v>0</v>
      </c>
      <c r="N485" s="613">
        <f t="shared" si="77"/>
        <v>1</v>
      </c>
      <c r="O485" s="880"/>
      <c r="P485" s="880"/>
      <c r="Q485" s="836">
        <v>1</v>
      </c>
      <c r="R485" s="880"/>
      <c r="S485" s="880"/>
      <c r="T485" s="880"/>
      <c r="U485" s="613">
        <f t="shared" si="78"/>
        <v>1</v>
      </c>
      <c r="V485" s="879"/>
      <c r="W485" s="613" t="str">
        <f t="shared" si="84"/>
        <v>I</v>
      </c>
      <c r="X485" s="613" t="str">
        <f t="shared" si="85"/>
        <v>I</v>
      </c>
      <c r="Y485" s="613">
        <f t="shared" si="86"/>
        <v>2021</v>
      </c>
      <c r="Z485" s="613" t="str">
        <f t="shared" si="87"/>
        <v>I</v>
      </c>
      <c r="AA485" s="613" t="str">
        <f t="shared" si="88"/>
        <v>I</v>
      </c>
      <c r="AB485" s="613" t="str">
        <f t="shared" si="88"/>
        <v>I</v>
      </c>
      <c r="AC485" s="879"/>
      <c r="AD485" s="880"/>
      <c r="AE485" s="881"/>
      <c r="AF485" s="644"/>
      <c r="AG485" s="879"/>
      <c r="AH485" s="879"/>
      <c r="AI485" s="879"/>
      <c r="AJ485" s="879"/>
      <c r="AK485" s="879"/>
      <c r="AL485" s="879"/>
      <c r="AM485" s="879"/>
      <c r="AN485" s="879"/>
      <c r="AO485" s="879"/>
      <c r="AP485" s="879"/>
      <c r="AQ485" s="879"/>
      <c r="AR485" s="879"/>
      <c r="AS485" s="879"/>
    </row>
    <row r="486" spans="1:45" x14ac:dyDescent="0.2">
      <c r="A486" s="527">
        <v>484</v>
      </c>
      <c r="B486" s="879"/>
      <c r="C486" s="879" t="s">
        <v>3423</v>
      </c>
      <c r="D486" s="879"/>
      <c r="E486" s="879"/>
      <c r="F486" s="879"/>
      <c r="G486" s="624">
        <v>44500</v>
      </c>
      <c r="H486" s="879"/>
      <c r="I486" s="879"/>
      <c r="J486" s="835">
        <v>2020</v>
      </c>
      <c r="K486" s="952">
        <v>2021</v>
      </c>
      <c r="L486" s="613" t="s">
        <v>336</v>
      </c>
      <c r="M486" s="613">
        <f t="shared" si="76"/>
        <v>1</v>
      </c>
      <c r="N486" s="613">
        <f t="shared" si="77"/>
        <v>0</v>
      </c>
      <c r="O486" s="880"/>
      <c r="P486" s="880"/>
      <c r="Q486" s="836">
        <v>1</v>
      </c>
      <c r="R486" s="880"/>
      <c r="S486" s="880"/>
      <c r="T486" s="880"/>
      <c r="U486" s="613">
        <f t="shared" si="78"/>
        <v>1</v>
      </c>
      <c r="V486" s="879"/>
      <c r="W486" s="613" t="str">
        <f t="shared" si="84"/>
        <v>I</v>
      </c>
      <c r="X486" s="613" t="str">
        <f t="shared" si="85"/>
        <v>I</v>
      </c>
      <c r="Y486" s="613">
        <f t="shared" si="86"/>
        <v>2020</v>
      </c>
      <c r="Z486" s="613" t="str">
        <f t="shared" si="87"/>
        <v>I</v>
      </c>
      <c r="AA486" s="613" t="str">
        <f t="shared" si="88"/>
        <v>I</v>
      </c>
      <c r="AB486" s="613" t="str">
        <f t="shared" si="88"/>
        <v>I</v>
      </c>
      <c r="AC486" s="879"/>
      <c r="AD486" s="880"/>
      <c r="AE486" s="881"/>
      <c r="AF486" s="644"/>
      <c r="AG486" s="879"/>
      <c r="AH486" s="879"/>
      <c r="AI486" s="879"/>
      <c r="AJ486" s="879"/>
      <c r="AK486" s="879"/>
      <c r="AL486" s="879"/>
      <c r="AM486" s="879"/>
      <c r="AN486" s="879"/>
      <c r="AO486" s="879"/>
      <c r="AP486" s="879"/>
      <c r="AQ486" s="879"/>
      <c r="AR486" s="879"/>
      <c r="AS486" s="879"/>
    </row>
    <row r="487" spans="1:45" x14ac:dyDescent="0.2">
      <c r="A487" s="527">
        <v>485</v>
      </c>
      <c r="B487" s="879"/>
      <c r="C487" s="879" t="s">
        <v>3424</v>
      </c>
      <c r="D487" s="879"/>
      <c r="E487" s="879"/>
      <c r="F487" s="879"/>
      <c r="G487" s="624">
        <v>44500</v>
      </c>
      <c r="H487" s="879"/>
      <c r="I487" s="879"/>
      <c r="J487" s="835">
        <v>2021</v>
      </c>
      <c r="K487" s="952">
        <v>2021</v>
      </c>
      <c r="L487" s="613" t="s">
        <v>303</v>
      </c>
      <c r="M487" s="613">
        <f t="shared" si="76"/>
        <v>0</v>
      </c>
      <c r="N487" s="613">
        <f t="shared" si="77"/>
        <v>1</v>
      </c>
      <c r="O487" s="880"/>
      <c r="P487" s="880"/>
      <c r="Q487" s="836">
        <v>1</v>
      </c>
      <c r="R487" s="880"/>
      <c r="S487" s="880"/>
      <c r="T487" s="880"/>
      <c r="U487" s="613">
        <f t="shared" si="78"/>
        <v>1</v>
      </c>
      <c r="V487" s="879"/>
      <c r="W487" s="613" t="str">
        <f t="shared" si="84"/>
        <v>I</v>
      </c>
      <c r="X487" s="613" t="str">
        <f t="shared" si="85"/>
        <v>I</v>
      </c>
      <c r="Y487" s="613">
        <f t="shared" si="86"/>
        <v>2021</v>
      </c>
      <c r="Z487" s="613" t="str">
        <f t="shared" si="87"/>
        <v>I</v>
      </c>
      <c r="AA487" s="613" t="str">
        <f t="shared" si="88"/>
        <v>I</v>
      </c>
      <c r="AB487" s="613" t="str">
        <f t="shared" si="88"/>
        <v>I</v>
      </c>
      <c r="AC487" s="879"/>
      <c r="AD487" s="880"/>
      <c r="AE487" s="881"/>
      <c r="AF487" s="644"/>
      <c r="AG487" s="879"/>
      <c r="AH487" s="879"/>
      <c r="AI487" s="879"/>
      <c r="AJ487" s="879"/>
      <c r="AK487" s="879"/>
      <c r="AL487" s="879"/>
      <c r="AM487" s="879"/>
      <c r="AN487" s="879"/>
      <c r="AO487" s="879"/>
      <c r="AP487" s="879"/>
      <c r="AQ487" s="879"/>
      <c r="AR487" s="879"/>
      <c r="AS487" s="879"/>
    </row>
    <row r="488" spans="1:45" x14ac:dyDescent="0.2">
      <c r="A488" s="527">
        <v>486</v>
      </c>
      <c r="B488" s="879"/>
      <c r="C488" s="879" t="s">
        <v>3425</v>
      </c>
      <c r="D488" s="879"/>
      <c r="E488" s="879"/>
      <c r="F488" s="879"/>
      <c r="G488" s="624">
        <v>44500</v>
      </c>
      <c r="H488" s="879"/>
      <c r="I488" s="879"/>
      <c r="J488" s="835">
        <v>2020</v>
      </c>
      <c r="K488" s="952">
        <v>2021</v>
      </c>
      <c r="L488" s="613" t="s">
        <v>336</v>
      </c>
      <c r="M488" s="613">
        <f t="shared" si="76"/>
        <v>1</v>
      </c>
      <c r="N488" s="613">
        <f t="shared" si="77"/>
        <v>0</v>
      </c>
      <c r="O488" s="880"/>
      <c r="P488" s="880"/>
      <c r="Q488" s="836">
        <v>1</v>
      </c>
      <c r="R488" s="880"/>
      <c r="S488" s="880"/>
      <c r="T488" s="880"/>
      <c r="U488" s="613">
        <f t="shared" si="78"/>
        <v>1</v>
      </c>
      <c r="V488" s="879"/>
      <c r="W488" s="613" t="str">
        <f t="shared" si="84"/>
        <v>I</v>
      </c>
      <c r="X488" s="613" t="str">
        <f t="shared" si="85"/>
        <v>I</v>
      </c>
      <c r="Y488" s="613">
        <f t="shared" si="86"/>
        <v>2020</v>
      </c>
      <c r="Z488" s="613" t="str">
        <f t="shared" si="87"/>
        <v>I</v>
      </c>
      <c r="AA488" s="613" t="str">
        <f t="shared" si="88"/>
        <v>I</v>
      </c>
      <c r="AB488" s="613" t="str">
        <f t="shared" si="88"/>
        <v>I</v>
      </c>
      <c r="AC488" s="879"/>
      <c r="AD488" s="880"/>
      <c r="AE488" s="881"/>
      <c r="AF488" s="644"/>
      <c r="AG488" s="879"/>
      <c r="AH488" s="879"/>
      <c r="AI488" s="879"/>
      <c r="AJ488" s="879"/>
      <c r="AK488" s="879"/>
      <c r="AL488" s="879"/>
      <c r="AM488" s="879"/>
      <c r="AN488" s="879"/>
      <c r="AO488" s="879"/>
      <c r="AP488" s="879"/>
      <c r="AQ488" s="879"/>
      <c r="AR488" s="879"/>
      <c r="AS488" s="879"/>
    </row>
    <row r="489" spans="1:45" x14ac:dyDescent="0.2">
      <c r="A489" s="527">
        <v>487</v>
      </c>
      <c r="B489" s="879"/>
      <c r="C489" s="879" t="s">
        <v>3426</v>
      </c>
      <c r="D489" s="879"/>
      <c r="E489" s="879"/>
      <c r="F489" s="879"/>
      <c r="G489" s="624">
        <v>44500</v>
      </c>
      <c r="H489" s="879"/>
      <c r="I489" s="879"/>
      <c r="J489" s="835">
        <v>2017</v>
      </c>
      <c r="K489" s="952">
        <v>2021</v>
      </c>
      <c r="L489" s="613" t="s">
        <v>303</v>
      </c>
      <c r="M489" s="613">
        <f t="shared" si="76"/>
        <v>0</v>
      </c>
      <c r="N489" s="613">
        <f t="shared" si="77"/>
        <v>1</v>
      </c>
      <c r="O489" s="880"/>
      <c r="P489" s="880"/>
      <c r="Q489" s="836">
        <v>1</v>
      </c>
      <c r="R489" s="880"/>
      <c r="S489" s="880"/>
      <c r="T489" s="880"/>
      <c r="U489" s="613">
        <f t="shared" si="78"/>
        <v>1</v>
      </c>
      <c r="V489" s="879"/>
      <c r="W489" s="613" t="str">
        <f t="shared" si="84"/>
        <v>I</v>
      </c>
      <c r="X489" s="613" t="str">
        <f t="shared" si="85"/>
        <v>I</v>
      </c>
      <c r="Y489" s="613">
        <f t="shared" si="86"/>
        <v>2017</v>
      </c>
      <c r="Z489" s="613" t="str">
        <f t="shared" si="87"/>
        <v>I</v>
      </c>
      <c r="AA489" s="613" t="str">
        <f t="shared" si="88"/>
        <v>I</v>
      </c>
      <c r="AB489" s="613" t="str">
        <f t="shared" si="88"/>
        <v>I</v>
      </c>
      <c r="AC489" s="879"/>
      <c r="AD489" s="880"/>
      <c r="AE489" s="881"/>
      <c r="AF489" s="644"/>
      <c r="AG489" s="879"/>
      <c r="AH489" s="879"/>
      <c r="AI489" s="879"/>
      <c r="AJ489" s="879"/>
      <c r="AK489" s="879"/>
      <c r="AL489" s="879"/>
      <c r="AM489" s="879"/>
      <c r="AN489" s="879"/>
      <c r="AO489" s="879"/>
      <c r="AP489" s="879"/>
      <c r="AQ489" s="879"/>
      <c r="AR489" s="879"/>
      <c r="AS489" s="879"/>
    </row>
    <row r="490" spans="1:45" x14ac:dyDescent="0.2">
      <c r="A490" s="527">
        <v>488</v>
      </c>
      <c r="B490" s="879"/>
      <c r="C490" s="879" t="s">
        <v>3427</v>
      </c>
      <c r="D490" s="879"/>
      <c r="E490" s="879"/>
      <c r="F490" s="879"/>
      <c r="G490" s="624">
        <v>44500</v>
      </c>
      <c r="H490" s="879"/>
      <c r="I490" s="879"/>
      <c r="J490" s="835">
        <v>2021</v>
      </c>
      <c r="K490" s="952">
        <v>2021</v>
      </c>
      <c r="L490" s="613" t="s">
        <v>303</v>
      </c>
      <c r="M490" s="613">
        <f t="shared" si="76"/>
        <v>0</v>
      </c>
      <c r="N490" s="613">
        <f t="shared" si="77"/>
        <v>1</v>
      </c>
      <c r="O490" s="880"/>
      <c r="P490" s="880"/>
      <c r="Q490" s="836">
        <v>1</v>
      </c>
      <c r="R490" s="880"/>
      <c r="S490" s="880"/>
      <c r="T490" s="880"/>
      <c r="U490" s="613">
        <f t="shared" si="78"/>
        <v>1</v>
      </c>
      <c r="V490" s="879"/>
      <c r="W490" s="613" t="str">
        <f t="shared" si="84"/>
        <v>I</v>
      </c>
      <c r="X490" s="613" t="str">
        <f t="shared" si="85"/>
        <v>I</v>
      </c>
      <c r="Y490" s="613">
        <f t="shared" si="86"/>
        <v>2021</v>
      </c>
      <c r="Z490" s="613" t="str">
        <f t="shared" si="87"/>
        <v>I</v>
      </c>
      <c r="AA490" s="613" t="str">
        <f t="shared" si="88"/>
        <v>I</v>
      </c>
      <c r="AB490" s="613" t="str">
        <f t="shared" si="88"/>
        <v>I</v>
      </c>
      <c r="AC490" s="879"/>
      <c r="AD490" s="880"/>
      <c r="AE490" s="881"/>
      <c r="AF490" s="644"/>
      <c r="AG490" s="879"/>
      <c r="AH490" s="879"/>
      <c r="AI490" s="879"/>
      <c r="AJ490" s="879"/>
      <c r="AK490" s="879"/>
      <c r="AL490" s="879"/>
      <c r="AM490" s="879"/>
      <c r="AN490" s="879"/>
      <c r="AO490" s="879"/>
      <c r="AP490" s="879"/>
      <c r="AQ490" s="879"/>
      <c r="AR490" s="879"/>
      <c r="AS490" s="879"/>
    </row>
    <row r="491" spans="1:45" x14ac:dyDescent="0.2">
      <c r="A491" s="527">
        <v>489</v>
      </c>
      <c r="B491" s="879"/>
      <c r="C491" s="879" t="s">
        <v>3432</v>
      </c>
      <c r="D491" s="879"/>
      <c r="E491" s="879"/>
      <c r="F491" s="879"/>
      <c r="G491" s="624">
        <v>44511</v>
      </c>
      <c r="H491" s="879"/>
      <c r="I491" s="879"/>
      <c r="J491" s="835">
        <v>2019</v>
      </c>
      <c r="K491" s="952">
        <v>2021</v>
      </c>
      <c r="L491" s="613" t="s">
        <v>303</v>
      </c>
      <c r="M491" s="613">
        <f t="shared" si="76"/>
        <v>0</v>
      </c>
      <c r="N491" s="613">
        <f t="shared" si="77"/>
        <v>1</v>
      </c>
      <c r="O491" s="880"/>
      <c r="P491" s="880"/>
      <c r="Q491" s="836">
        <v>1</v>
      </c>
      <c r="R491" s="880"/>
      <c r="S491" s="880"/>
      <c r="T491" s="880"/>
      <c r="U491" s="613">
        <f t="shared" si="78"/>
        <v>1</v>
      </c>
      <c r="V491" s="879"/>
      <c r="W491" s="613" t="str">
        <f t="shared" si="84"/>
        <v>I</v>
      </c>
      <c r="X491" s="613" t="str">
        <f t="shared" si="85"/>
        <v>I</v>
      </c>
      <c r="Y491" s="613">
        <f t="shared" si="86"/>
        <v>2019</v>
      </c>
      <c r="Z491" s="613" t="str">
        <f t="shared" si="87"/>
        <v>I</v>
      </c>
      <c r="AA491" s="613" t="str">
        <f t="shared" si="88"/>
        <v>I</v>
      </c>
      <c r="AB491" s="613" t="str">
        <f t="shared" si="88"/>
        <v>I</v>
      </c>
      <c r="AC491" s="879"/>
      <c r="AD491" s="880"/>
      <c r="AE491" s="881"/>
      <c r="AF491" s="644"/>
      <c r="AG491" s="879"/>
      <c r="AH491" s="879"/>
      <c r="AI491" s="879"/>
      <c r="AJ491" s="879"/>
      <c r="AK491" s="879"/>
      <c r="AL491" s="879"/>
      <c r="AM491" s="879"/>
      <c r="AN491" s="879"/>
      <c r="AO491" s="879"/>
      <c r="AP491" s="879"/>
      <c r="AQ491" s="879"/>
      <c r="AR491" s="879"/>
      <c r="AS491" s="879"/>
    </row>
    <row r="492" spans="1:45" x14ac:dyDescent="0.2">
      <c r="A492" s="527">
        <v>490</v>
      </c>
      <c r="B492" s="879"/>
      <c r="C492" s="879" t="s">
        <v>3433</v>
      </c>
      <c r="D492" s="879"/>
      <c r="E492" s="879"/>
      <c r="F492" s="879"/>
      <c r="G492" s="624">
        <v>44511</v>
      </c>
      <c r="H492" s="879"/>
      <c r="I492" s="879"/>
      <c r="J492" s="835">
        <v>2019</v>
      </c>
      <c r="K492" s="952">
        <v>2021</v>
      </c>
      <c r="L492" s="613" t="s">
        <v>303</v>
      </c>
      <c r="M492" s="613">
        <f t="shared" si="76"/>
        <v>0</v>
      </c>
      <c r="N492" s="613">
        <f t="shared" si="77"/>
        <v>1</v>
      </c>
      <c r="O492" s="880"/>
      <c r="P492" s="880"/>
      <c r="Q492" s="836">
        <v>1</v>
      </c>
      <c r="R492" s="880"/>
      <c r="S492" s="880"/>
      <c r="T492" s="880"/>
      <c r="U492" s="613">
        <f t="shared" si="78"/>
        <v>1</v>
      </c>
      <c r="V492" s="879"/>
      <c r="W492" s="613" t="str">
        <f t="shared" si="84"/>
        <v>I</v>
      </c>
      <c r="X492" s="613" t="str">
        <f t="shared" si="85"/>
        <v>I</v>
      </c>
      <c r="Y492" s="613">
        <f t="shared" si="86"/>
        <v>2019</v>
      </c>
      <c r="Z492" s="613" t="str">
        <f t="shared" si="87"/>
        <v>I</v>
      </c>
      <c r="AA492" s="613" t="str">
        <f t="shared" si="88"/>
        <v>I</v>
      </c>
      <c r="AB492" s="613" t="str">
        <f t="shared" si="88"/>
        <v>I</v>
      </c>
      <c r="AC492" s="879"/>
      <c r="AD492" s="880"/>
      <c r="AE492" s="881"/>
      <c r="AF492" s="644"/>
      <c r="AG492" s="879"/>
      <c r="AH492" s="879"/>
      <c r="AI492" s="879"/>
      <c r="AJ492" s="879"/>
      <c r="AK492" s="879"/>
      <c r="AL492" s="879"/>
      <c r="AM492" s="879"/>
      <c r="AN492" s="879"/>
      <c r="AO492" s="879"/>
      <c r="AP492" s="879"/>
      <c r="AQ492" s="879"/>
      <c r="AR492" s="879"/>
      <c r="AS492" s="879"/>
    </row>
    <row r="493" spans="1:45" x14ac:dyDescent="0.2">
      <c r="A493" s="527">
        <v>491</v>
      </c>
      <c r="B493" s="879"/>
      <c r="C493" s="879" t="s">
        <v>3434</v>
      </c>
      <c r="D493" s="879"/>
      <c r="E493" s="879"/>
      <c r="F493" s="879"/>
      <c r="G493" s="624">
        <v>44511</v>
      </c>
      <c r="H493" s="879"/>
      <c r="I493" s="879"/>
      <c r="J493" s="835">
        <v>2019</v>
      </c>
      <c r="K493" s="952">
        <v>2021</v>
      </c>
      <c r="L493" s="613" t="s">
        <v>303</v>
      </c>
      <c r="M493" s="613">
        <f t="shared" si="76"/>
        <v>0</v>
      </c>
      <c r="N493" s="613">
        <f t="shared" si="77"/>
        <v>1</v>
      </c>
      <c r="O493" s="880"/>
      <c r="P493" s="880"/>
      <c r="Q493" s="836">
        <v>1</v>
      </c>
      <c r="R493" s="880"/>
      <c r="S493" s="880"/>
      <c r="T493" s="880"/>
      <c r="U493" s="613">
        <f t="shared" si="78"/>
        <v>1</v>
      </c>
      <c r="V493" s="879"/>
      <c r="W493" s="613" t="str">
        <f t="shared" si="84"/>
        <v>I</v>
      </c>
      <c r="X493" s="613" t="str">
        <f t="shared" si="85"/>
        <v>I</v>
      </c>
      <c r="Y493" s="613">
        <f t="shared" si="86"/>
        <v>2019</v>
      </c>
      <c r="Z493" s="613" t="str">
        <f t="shared" si="87"/>
        <v>I</v>
      </c>
      <c r="AA493" s="613" t="str">
        <f t="shared" si="88"/>
        <v>I</v>
      </c>
      <c r="AB493" s="613" t="str">
        <f t="shared" si="88"/>
        <v>I</v>
      </c>
      <c r="AC493" s="879"/>
      <c r="AD493" s="880"/>
      <c r="AE493" s="881"/>
      <c r="AF493" s="644"/>
      <c r="AG493" s="879"/>
      <c r="AH493" s="879"/>
      <c r="AI493" s="879"/>
      <c r="AJ493" s="879"/>
      <c r="AK493" s="879"/>
      <c r="AL493" s="879"/>
      <c r="AM493" s="879"/>
      <c r="AN493" s="879"/>
      <c r="AO493" s="879"/>
      <c r="AP493" s="879"/>
      <c r="AQ493" s="879"/>
      <c r="AR493" s="879"/>
      <c r="AS493" s="879"/>
    </row>
    <row r="494" spans="1:45" x14ac:dyDescent="0.2">
      <c r="A494" s="527">
        <v>492</v>
      </c>
      <c r="B494" s="879"/>
      <c r="C494" s="879" t="s">
        <v>3435</v>
      </c>
      <c r="D494" s="879"/>
      <c r="E494" s="879"/>
      <c r="F494" s="879"/>
      <c r="G494" s="624">
        <v>44511</v>
      </c>
      <c r="H494" s="879"/>
      <c r="I494" s="879"/>
      <c r="J494" s="835">
        <v>2019</v>
      </c>
      <c r="K494" s="952">
        <v>2021</v>
      </c>
      <c r="L494" s="613" t="s">
        <v>303</v>
      </c>
      <c r="M494" s="613">
        <f t="shared" si="76"/>
        <v>0</v>
      </c>
      <c r="N494" s="613">
        <f t="shared" si="77"/>
        <v>1</v>
      </c>
      <c r="O494" s="880"/>
      <c r="P494" s="880"/>
      <c r="Q494" s="836">
        <v>1</v>
      </c>
      <c r="R494" s="880"/>
      <c r="S494" s="880"/>
      <c r="T494" s="880"/>
      <c r="U494" s="613">
        <f t="shared" si="78"/>
        <v>1</v>
      </c>
      <c r="V494" s="879"/>
      <c r="W494" s="613" t="str">
        <f t="shared" si="84"/>
        <v>I</v>
      </c>
      <c r="X494" s="613" t="str">
        <f t="shared" si="85"/>
        <v>I</v>
      </c>
      <c r="Y494" s="613">
        <f t="shared" si="86"/>
        <v>2019</v>
      </c>
      <c r="Z494" s="613" t="str">
        <f t="shared" si="87"/>
        <v>I</v>
      </c>
      <c r="AA494" s="613" t="str">
        <f t="shared" si="88"/>
        <v>I</v>
      </c>
      <c r="AB494" s="613" t="str">
        <f t="shared" si="88"/>
        <v>I</v>
      </c>
      <c r="AC494" s="879"/>
      <c r="AD494" s="880"/>
      <c r="AE494" s="881"/>
      <c r="AF494" s="644"/>
      <c r="AG494" s="879"/>
      <c r="AH494" s="879"/>
      <c r="AI494" s="879"/>
      <c r="AJ494" s="879"/>
      <c r="AK494" s="879"/>
      <c r="AL494" s="879"/>
      <c r="AM494" s="879"/>
      <c r="AN494" s="879"/>
      <c r="AO494" s="879"/>
      <c r="AP494" s="879"/>
      <c r="AQ494" s="879"/>
      <c r="AR494" s="879"/>
      <c r="AS494" s="879"/>
    </row>
    <row r="495" spans="1:45" x14ac:dyDescent="0.2">
      <c r="A495" s="527">
        <v>493</v>
      </c>
      <c r="B495" s="879"/>
      <c r="C495" s="879" t="s">
        <v>3436</v>
      </c>
      <c r="D495" s="879"/>
      <c r="E495" s="879"/>
      <c r="F495" s="879"/>
      <c r="G495" s="624">
        <v>44511</v>
      </c>
      <c r="H495" s="879"/>
      <c r="I495" s="879"/>
      <c r="J495" s="835">
        <v>2021</v>
      </c>
      <c r="K495" s="952">
        <v>2021</v>
      </c>
      <c r="L495" s="613" t="s">
        <v>303</v>
      </c>
      <c r="M495" s="613">
        <f t="shared" si="76"/>
        <v>0</v>
      </c>
      <c r="N495" s="613">
        <f t="shared" si="77"/>
        <v>1</v>
      </c>
      <c r="O495" s="880"/>
      <c r="P495" s="880"/>
      <c r="Q495" s="836">
        <v>1</v>
      </c>
      <c r="R495" s="880"/>
      <c r="S495" s="880"/>
      <c r="T495" s="880"/>
      <c r="U495" s="613">
        <f t="shared" si="78"/>
        <v>1</v>
      </c>
      <c r="V495" s="879"/>
      <c r="W495" s="613" t="str">
        <f t="shared" si="84"/>
        <v>I</v>
      </c>
      <c r="X495" s="613" t="str">
        <f t="shared" si="85"/>
        <v>I</v>
      </c>
      <c r="Y495" s="613">
        <f t="shared" si="86"/>
        <v>2021</v>
      </c>
      <c r="Z495" s="613" t="str">
        <f t="shared" si="87"/>
        <v>I</v>
      </c>
      <c r="AA495" s="613" t="str">
        <f t="shared" si="88"/>
        <v>I</v>
      </c>
      <c r="AB495" s="613" t="str">
        <f t="shared" si="88"/>
        <v>I</v>
      </c>
      <c r="AC495" s="879"/>
      <c r="AD495" s="880"/>
      <c r="AE495" s="881"/>
      <c r="AF495" s="644"/>
      <c r="AG495" s="879"/>
      <c r="AH495" s="879"/>
      <c r="AI495" s="879"/>
      <c r="AJ495" s="879"/>
      <c r="AK495" s="879"/>
      <c r="AL495" s="879"/>
      <c r="AM495" s="879"/>
      <c r="AN495" s="879"/>
      <c r="AO495" s="879"/>
      <c r="AP495" s="879"/>
      <c r="AQ495" s="879"/>
      <c r="AR495" s="879"/>
      <c r="AS495" s="879"/>
    </row>
    <row r="496" spans="1:45" x14ac:dyDescent="0.2">
      <c r="A496" s="527">
        <v>494</v>
      </c>
      <c r="B496" s="879"/>
      <c r="C496" s="879" t="s">
        <v>3437</v>
      </c>
      <c r="D496" s="879"/>
      <c r="E496" s="879"/>
      <c r="F496" s="879"/>
      <c r="G496" s="624">
        <v>44511</v>
      </c>
      <c r="H496" s="879"/>
      <c r="I496" s="879"/>
      <c r="J496" s="835">
        <v>2021</v>
      </c>
      <c r="K496" s="952">
        <v>2021</v>
      </c>
      <c r="L496" s="613" t="s">
        <v>336</v>
      </c>
      <c r="M496" s="613">
        <f t="shared" si="76"/>
        <v>1</v>
      </c>
      <c r="N496" s="613">
        <f t="shared" si="77"/>
        <v>0</v>
      </c>
      <c r="O496" s="880"/>
      <c r="P496" s="880"/>
      <c r="Q496" s="836">
        <v>1</v>
      </c>
      <c r="R496" s="880"/>
      <c r="S496" s="880"/>
      <c r="T496" s="880"/>
      <c r="U496" s="613">
        <f t="shared" si="78"/>
        <v>1</v>
      </c>
      <c r="V496" s="879"/>
      <c r="W496" s="613" t="str">
        <f t="shared" si="84"/>
        <v>I</v>
      </c>
      <c r="X496" s="613" t="str">
        <f t="shared" si="85"/>
        <v>I</v>
      </c>
      <c r="Y496" s="613">
        <f t="shared" si="86"/>
        <v>2021</v>
      </c>
      <c r="Z496" s="613" t="str">
        <f t="shared" si="87"/>
        <v>I</v>
      </c>
      <c r="AA496" s="613" t="str">
        <f t="shared" si="88"/>
        <v>I</v>
      </c>
      <c r="AB496" s="613" t="str">
        <f t="shared" si="88"/>
        <v>I</v>
      </c>
      <c r="AC496" s="879"/>
      <c r="AD496" s="880"/>
      <c r="AE496" s="881"/>
      <c r="AF496" s="644"/>
      <c r="AG496" s="879"/>
      <c r="AH496" s="879"/>
      <c r="AI496" s="879"/>
      <c r="AJ496" s="879"/>
      <c r="AK496" s="879"/>
      <c r="AL496" s="879"/>
      <c r="AM496" s="879"/>
      <c r="AN496" s="879"/>
      <c r="AO496" s="879"/>
      <c r="AP496" s="879"/>
      <c r="AQ496" s="879"/>
      <c r="AR496" s="879"/>
      <c r="AS496" s="879"/>
    </row>
    <row r="497" spans="1:45" x14ac:dyDescent="0.2">
      <c r="A497" s="527">
        <v>495</v>
      </c>
      <c r="B497" s="879"/>
      <c r="C497" s="879" t="s">
        <v>3444</v>
      </c>
      <c r="D497" s="879"/>
      <c r="E497" s="879"/>
      <c r="F497" s="879"/>
      <c r="G497" s="624">
        <v>44535</v>
      </c>
      <c r="H497" s="879"/>
      <c r="I497" s="879"/>
      <c r="J497" s="835">
        <v>2021</v>
      </c>
      <c r="K497" s="952">
        <v>2021</v>
      </c>
      <c r="L497" s="613" t="s">
        <v>303</v>
      </c>
      <c r="M497" s="613">
        <f t="shared" si="76"/>
        <v>0</v>
      </c>
      <c r="N497" s="613">
        <f t="shared" si="77"/>
        <v>1</v>
      </c>
      <c r="O497" s="880"/>
      <c r="P497" s="880"/>
      <c r="Q497" s="836">
        <v>1</v>
      </c>
      <c r="R497" s="880"/>
      <c r="S497" s="880"/>
      <c r="T497" s="880"/>
      <c r="U497" s="613">
        <f t="shared" si="78"/>
        <v>1</v>
      </c>
      <c r="V497" s="879"/>
      <c r="W497" s="613" t="str">
        <f t="shared" si="84"/>
        <v>I</v>
      </c>
      <c r="X497" s="613" t="str">
        <f t="shared" si="85"/>
        <v>I</v>
      </c>
      <c r="Y497" s="613">
        <f t="shared" si="86"/>
        <v>2021</v>
      </c>
      <c r="Z497" s="613" t="str">
        <f t="shared" si="87"/>
        <v>I</v>
      </c>
      <c r="AA497" s="613" t="str">
        <f t="shared" si="88"/>
        <v>I</v>
      </c>
      <c r="AB497" s="613" t="str">
        <f t="shared" si="88"/>
        <v>I</v>
      </c>
      <c r="AC497" s="879"/>
      <c r="AD497" s="880"/>
      <c r="AE497" s="881"/>
      <c r="AF497" s="644"/>
      <c r="AG497" s="879"/>
      <c r="AH497" s="879"/>
      <c r="AI497" s="879"/>
      <c r="AJ497" s="879"/>
      <c r="AK497" s="879"/>
      <c r="AL497" s="879"/>
      <c r="AM497" s="879"/>
      <c r="AN497" s="879"/>
      <c r="AO497" s="879"/>
      <c r="AP497" s="879"/>
      <c r="AQ497" s="879"/>
      <c r="AR497" s="879"/>
      <c r="AS497" s="879"/>
    </row>
    <row r="498" spans="1:45" x14ac:dyDescent="0.2">
      <c r="A498" s="527">
        <v>496</v>
      </c>
      <c r="B498" s="879"/>
      <c r="C498" s="879" t="s">
        <v>3445</v>
      </c>
      <c r="D498" s="879"/>
      <c r="E498" s="879"/>
      <c r="F498" s="879"/>
      <c r="G498" s="624">
        <v>44535</v>
      </c>
      <c r="H498" s="879"/>
      <c r="I498" s="879"/>
      <c r="J498" s="835">
        <v>2021</v>
      </c>
      <c r="K498" s="952">
        <v>2021</v>
      </c>
      <c r="L498" s="613" t="s">
        <v>303</v>
      </c>
      <c r="M498" s="613">
        <f t="shared" si="76"/>
        <v>0</v>
      </c>
      <c r="N498" s="613">
        <f t="shared" si="77"/>
        <v>1</v>
      </c>
      <c r="O498" s="880"/>
      <c r="P498" s="880"/>
      <c r="Q498" s="836">
        <v>1</v>
      </c>
      <c r="R498" s="880"/>
      <c r="S498" s="880"/>
      <c r="T498" s="880"/>
      <c r="U498" s="613">
        <f t="shared" si="78"/>
        <v>1</v>
      </c>
      <c r="V498" s="879"/>
      <c r="W498" s="613" t="str">
        <f t="shared" si="84"/>
        <v>I</v>
      </c>
      <c r="X498" s="613" t="str">
        <f t="shared" si="85"/>
        <v>I</v>
      </c>
      <c r="Y498" s="613">
        <f t="shared" si="86"/>
        <v>2021</v>
      </c>
      <c r="Z498" s="613" t="str">
        <f t="shared" si="87"/>
        <v>I</v>
      </c>
      <c r="AA498" s="613" t="str">
        <f t="shared" si="88"/>
        <v>I</v>
      </c>
      <c r="AB498" s="613" t="str">
        <f t="shared" si="88"/>
        <v>I</v>
      </c>
      <c r="AC498" s="879"/>
      <c r="AD498" s="880"/>
      <c r="AE498" s="881"/>
      <c r="AF498" s="644"/>
      <c r="AG498" s="879"/>
      <c r="AH498" s="879"/>
      <c r="AI498" s="879"/>
      <c r="AJ498" s="879"/>
      <c r="AK498" s="879"/>
      <c r="AL498" s="879"/>
      <c r="AM498" s="879"/>
      <c r="AN498" s="879"/>
      <c r="AO498" s="879"/>
      <c r="AP498" s="879"/>
      <c r="AQ498" s="879"/>
      <c r="AR498" s="879"/>
      <c r="AS498" s="879"/>
    </row>
    <row r="499" spans="1:45" x14ac:dyDescent="0.2">
      <c r="A499" s="527">
        <v>497</v>
      </c>
      <c r="B499" s="879"/>
      <c r="C499" s="879" t="s">
        <v>3448</v>
      </c>
      <c r="D499" s="879"/>
      <c r="E499" s="879"/>
      <c r="F499" s="879"/>
      <c r="G499" s="624">
        <v>44545</v>
      </c>
      <c r="H499" s="879"/>
      <c r="I499" s="879"/>
      <c r="J499" s="835">
        <v>2021</v>
      </c>
      <c r="K499" s="952">
        <v>2021</v>
      </c>
      <c r="L499" s="613" t="s">
        <v>336</v>
      </c>
      <c r="M499" s="613">
        <f t="shared" si="76"/>
        <v>1</v>
      </c>
      <c r="N499" s="613">
        <f t="shared" si="77"/>
        <v>0</v>
      </c>
      <c r="O499" s="880"/>
      <c r="P499" s="880"/>
      <c r="Q499" s="836">
        <v>1</v>
      </c>
      <c r="R499" s="880"/>
      <c r="S499" s="880"/>
      <c r="T499" s="880"/>
      <c r="U499" s="613">
        <f t="shared" si="78"/>
        <v>1</v>
      </c>
      <c r="V499" s="879"/>
      <c r="W499" s="613" t="str">
        <f t="shared" si="84"/>
        <v>I</v>
      </c>
      <c r="X499" s="613" t="str">
        <f t="shared" si="85"/>
        <v>I</v>
      </c>
      <c r="Y499" s="613">
        <f t="shared" si="86"/>
        <v>2021</v>
      </c>
      <c r="Z499" s="613" t="str">
        <f t="shared" si="87"/>
        <v>I</v>
      </c>
      <c r="AA499" s="613" t="str">
        <f t="shared" si="88"/>
        <v>I</v>
      </c>
      <c r="AB499" s="613" t="str">
        <f t="shared" si="88"/>
        <v>I</v>
      </c>
      <c r="AC499" s="879"/>
      <c r="AD499" s="880"/>
      <c r="AE499" s="881"/>
      <c r="AF499" s="644"/>
      <c r="AG499" s="879"/>
      <c r="AH499" s="879"/>
      <c r="AI499" s="879"/>
      <c r="AJ499" s="879"/>
      <c r="AK499" s="879"/>
      <c r="AL499" s="879"/>
      <c r="AM499" s="879"/>
      <c r="AN499" s="879"/>
      <c r="AO499" s="879"/>
      <c r="AP499" s="879"/>
      <c r="AQ499" s="879"/>
      <c r="AR499" s="879"/>
      <c r="AS499" s="879"/>
    </row>
    <row r="500" spans="1:45" x14ac:dyDescent="0.2">
      <c r="A500" s="527">
        <v>498</v>
      </c>
      <c r="B500" s="879"/>
      <c r="C500" s="879" t="s">
        <v>3449</v>
      </c>
      <c r="D500" s="879"/>
      <c r="E500" s="879"/>
      <c r="F500" s="879"/>
      <c r="G500" s="624">
        <v>44545</v>
      </c>
      <c r="H500" s="879"/>
      <c r="I500" s="879"/>
      <c r="J500" s="835">
        <v>2021</v>
      </c>
      <c r="K500" s="952">
        <v>2021</v>
      </c>
      <c r="L500" s="613" t="s">
        <v>303</v>
      </c>
      <c r="M500" s="613">
        <f t="shared" si="76"/>
        <v>0</v>
      </c>
      <c r="N500" s="613">
        <f t="shared" si="77"/>
        <v>1</v>
      </c>
      <c r="O500" s="880"/>
      <c r="P500" s="880"/>
      <c r="Q500" s="836">
        <v>1</v>
      </c>
      <c r="R500" s="880"/>
      <c r="S500" s="880"/>
      <c r="T500" s="880"/>
      <c r="U500" s="613">
        <f t="shared" si="78"/>
        <v>1</v>
      </c>
      <c r="V500" s="879"/>
      <c r="W500" s="613" t="str">
        <f t="shared" si="84"/>
        <v>I</v>
      </c>
      <c r="X500" s="613" t="str">
        <f t="shared" si="85"/>
        <v>I</v>
      </c>
      <c r="Y500" s="613">
        <f t="shared" si="86"/>
        <v>2021</v>
      </c>
      <c r="Z500" s="613" t="str">
        <f t="shared" si="87"/>
        <v>I</v>
      </c>
      <c r="AA500" s="613" t="str">
        <f t="shared" si="88"/>
        <v>I</v>
      </c>
      <c r="AB500" s="613" t="str">
        <f t="shared" si="88"/>
        <v>I</v>
      </c>
      <c r="AC500" s="879"/>
      <c r="AD500" s="880"/>
      <c r="AE500" s="881"/>
      <c r="AF500" s="644"/>
      <c r="AG500" s="879"/>
      <c r="AH500" s="879"/>
      <c r="AI500" s="879"/>
      <c r="AJ500" s="879"/>
      <c r="AK500" s="879"/>
      <c r="AL500" s="879"/>
      <c r="AM500" s="879"/>
      <c r="AN500" s="879"/>
      <c r="AO500" s="879"/>
      <c r="AP500" s="879"/>
      <c r="AQ500" s="879"/>
      <c r="AR500" s="879"/>
      <c r="AS500" s="879"/>
    </row>
    <row r="501" spans="1:45" x14ac:dyDescent="0.2">
      <c r="A501" s="527">
        <v>499</v>
      </c>
      <c r="B501" s="879"/>
      <c r="C501" s="879" t="s">
        <v>3450</v>
      </c>
      <c r="D501" s="879"/>
      <c r="E501" s="879"/>
      <c r="F501" s="879"/>
      <c r="G501" s="624">
        <v>44545</v>
      </c>
      <c r="H501" s="879"/>
      <c r="I501" s="879"/>
      <c r="J501" s="835">
        <v>2020</v>
      </c>
      <c r="K501" s="952">
        <v>2021</v>
      </c>
      <c r="L501" s="613" t="s">
        <v>303</v>
      </c>
      <c r="M501" s="613">
        <f t="shared" si="76"/>
        <v>0</v>
      </c>
      <c r="N501" s="613">
        <f t="shared" si="77"/>
        <v>1</v>
      </c>
      <c r="O501" s="880"/>
      <c r="P501" s="880"/>
      <c r="Q501" s="836">
        <v>1</v>
      </c>
      <c r="R501" s="880"/>
      <c r="S501" s="880"/>
      <c r="T501" s="880"/>
      <c r="U501" s="613">
        <f t="shared" si="78"/>
        <v>1</v>
      </c>
      <c r="V501" s="879"/>
      <c r="W501" s="613" t="str">
        <f t="shared" si="84"/>
        <v>I</v>
      </c>
      <c r="X501" s="613" t="str">
        <f t="shared" si="85"/>
        <v>I</v>
      </c>
      <c r="Y501" s="613">
        <f t="shared" si="86"/>
        <v>2020</v>
      </c>
      <c r="Z501" s="613" t="str">
        <f t="shared" si="87"/>
        <v>I</v>
      </c>
      <c r="AA501" s="613" t="str">
        <f t="shared" si="88"/>
        <v>I</v>
      </c>
      <c r="AB501" s="613" t="str">
        <f t="shared" si="88"/>
        <v>I</v>
      </c>
      <c r="AC501" s="879"/>
      <c r="AD501" s="880"/>
      <c r="AE501" s="881"/>
      <c r="AF501" s="644"/>
      <c r="AG501" s="879"/>
      <c r="AH501" s="879"/>
      <c r="AI501" s="879"/>
      <c r="AJ501" s="879"/>
      <c r="AK501" s="879"/>
      <c r="AL501" s="879"/>
      <c r="AM501" s="879"/>
      <c r="AN501" s="879"/>
      <c r="AO501" s="879"/>
      <c r="AP501" s="879"/>
      <c r="AQ501" s="879"/>
      <c r="AR501" s="879"/>
      <c r="AS501" s="879"/>
    </row>
    <row r="502" spans="1:45" x14ac:dyDescent="0.2">
      <c r="A502" s="527">
        <v>500</v>
      </c>
      <c r="B502" s="879"/>
      <c r="C502" s="879" t="s">
        <v>3451</v>
      </c>
      <c r="D502" s="879"/>
      <c r="E502" s="879"/>
      <c r="F502" s="879"/>
      <c r="G502" s="624">
        <v>44545</v>
      </c>
      <c r="H502" s="879"/>
      <c r="I502" s="879"/>
      <c r="J502" s="835">
        <v>2020</v>
      </c>
      <c r="K502" s="952">
        <v>2021</v>
      </c>
      <c r="L502" s="613" t="s">
        <v>303</v>
      </c>
      <c r="M502" s="613">
        <f t="shared" si="76"/>
        <v>0</v>
      </c>
      <c r="N502" s="613">
        <f t="shared" si="77"/>
        <v>1</v>
      </c>
      <c r="O502" s="880"/>
      <c r="P502" s="880"/>
      <c r="Q502" s="836">
        <v>1</v>
      </c>
      <c r="R502" s="880"/>
      <c r="S502" s="880"/>
      <c r="T502" s="880"/>
      <c r="U502" s="613">
        <f t="shared" si="78"/>
        <v>1</v>
      </c>
      <c r="V502" s="879"/>
      <c r="W502" s="613" t="str">
        <f t="shared" si="84"/>
        <v>I</v>
      </c>
      <c r="X502" s="613" t="str">
        <f t="shared" si="85"/>
        <v>I</v>
      </c>
      <c r="Y502" s="613">
        <f t="shared" si="86"/>
        <v>2020</v>
      </c>
      <c r="Z502" s="613" t="str">
        <f t="shared" si="87"/>
        <v>I</v>
      </c>
      <c r="AA502" s="613" t="str">
        <f t="shared" si="88"/>
        <v>I</v>
      </c>
      <c r="AB502" s="613" t="str">
        <f t="shared" si="88"/>
        <v>I</v>
      </c>
      <c r="AC502" s="879"/>
      <c r="AD502" s="880"/>
      <c r="AE502" s="881"/>
      <c r="AF502" s="644"/>
      <c r="AG502" s="879"/>
      <c r="AH502" s="879"/>
      <c r="AI502" s="879"/>
      <c r="AJ502" s="879"/>
      <c r="AK502" s="879"/>
      <c r="AL502" s="879"/>
      <c r="AM502" s="879"/>
      <c r="AN502" s="879"/>
      <c r="AO502" s="879"/>
      <c r="AP502" s="879"/>
      <c r="AQ502" s="879"/>
      <c r="AR502" s="879"/>
      <c r="AS502" s="879"/>
    </row>
    <row r="503" spans="1:45" x14ac:dyDescent="0.2">
      <c r="A503" s="527">
        <v>501</v>
      </c>
      <c r="B503" s="879"/>
      <c r="C503" s="879" t="s">
        <v>3452</v>
      </c>
      <c r="D503" s="879"/>
      <c r="E503" s="879"/>
      <c r="F503" s="879"/>
      <c r="G503" s="624">
        <v>44545</v>
      </c>
      <c r="H503" s="879"/>
      <c r="I503" s="879"/>
      <c r="J503" s="835">
        <v>2021</v>
      </c>
      <c r="K503" s="952">
        <v>2021</v>
      </c>
      <c r="L503" s="613" t="s">
        <v>303</v>
      </c>
      <c r="M503" s="613">
        <f t="shared" si="76"/>
        <v>0</v>
      </c>
      <c r="N503" s="613">
        <f t="shared" si="77"/>
        <v>1</v>
      </c>
      <c r="O503" s="880"/>
      <c r="P503" s="880"/>
      <c r="Q503" s="836">
        <v>1</v>
      </c>
      <c r="R503" s="880"/>
      <c r="S503" s="880"/>
      <c r="T503" s="880"/>
      <c r="U503" s="613">
        <f t="shared" si="78"/>
        <v>1</v>
      </c>
      <c r="V503" s="879"/>
      <c r="W503" s="613" t="str">
        <f t="shared" si="84"/>
        <v>I</v>
      </c>
      <c r="X503" s="613" t="str">
        <f t="shared" si="85"/>
        <v>I</v>
      </c>
      <c r="Y503" s="613">
        <f t="shared" si="86"/>
        <v>2021</v>
      </c>
      <c r="Z503" s="613" t="str">
        <f t="shared" si="87"/>
        <v>I</v>
      </c>
      <c r="AA503" s="613" t="str">
        <f t="shared" si="88"/>
        <v>I</v>
      </c>
      <c r="AB503" s="613" t="str">
        <f t="shared" si="88"/>
        <v>I</v>
      </c>
      <c r="AC503" s="879"/>
      <c r="AD503" s="880"/>
      <c r="AE503" s="881"/>
      <c r="AF503" s="644"/>
      <c r="AG503" s="879"/>
      <c r="AH503" s="879"/>
      <c r="AI503" s="879"/>
      <c r="AJ503" s="879"/>
      <c r="AK503" s="879"/>
      <c r="AL503" s="879"/>
      <c r="AM503" s="879"/>
      <c r="AN503" s="879"/>
      <c r="AO503" s="879"/>
      <c r="AP503" s="879"/>
      <c r="AQ503" s="879"/>
      <c r="AR503" s="879"/>
      <c r="AS503" s="879"/>
    </row>
    <row r="504" spans="1:45" x14ac:dyDescent="0.2">
      <c r="A504" s="527">
        <v>502</v>
      </c>
      <c r="B504" s="879"/>
      <c r="C504" s="879" t="s">
        <v>3453</v>
      </c>
      <c r="D504" s="879"/>
      <c r="E504" s="879"/>
      <c r="F504" s="879"/>
      <c r="G504" s="624">
        <v>44545</v>
      </c>
      <c r="H504" s="879"/>
      <c r="I504" s="879"/>
      <c r="J504" s="835">
        <v>2021</v>
      </c>
      <c r="K504" s="952">
        <v>2021</v>
      </c>
      <c r="L504" s="613" t="s">
        <v>303</v>
      </c>
      <c r="M504" s="613">
        <f t="shared" si="76"/>
        <v>0</v>
      </c>
      <c r="N504" s="613">
        <f t="shared" si="77"/>
        <v>1</v>
      </c>
      <c r="O504" s="880"/>
      <c r="P504" s="880"/>
      <c r="Q504" s="836">
        <v>1</v>
      </c>
      <c r="R504" s="880"/>
      <c r="S504" s="880"/>
      <c r="T504" s="880"/>
      <c r="U504" s="613">
        <f t="shared" si="78"/>
        <v>1</v>
      </c>
      <c r="V504" s="879"/>
      <c r="W504" s="613" t="str">
        <f t="shared" si="84"/>
        <v>I</v>
      </c>
      <c r="X504" s="613" t="str">
        <f t="shared" si="85"/>
        <v>I</v>
      </c>
      <c r="Y504" s="613">
        <f t="shared" si="86"/>
        <v>2021</v>
      </c>
      <c r="Z504" s="613" t="str">
        <f t="shared" si="87"/>
        <v>I</v>
      </c>
      <c r="AA504" s="613" t="str">
        <f t="shared" si="88"/>
        <v>I</v>
      </c>
      <c r="AB504" s="613" t="str">
        <f t="shared" si="88"/>
        <v>I</v>
      </c>
      <c r="AC504" s="879"/>
      <c r="AD504" s="880"/>
      <c r="AE504" s="881"/>
      <c r="AF504" s="644"/>
      <c r="AG504" s="879"/>
      <c r="AH504" s="879"/>
      <c r="AI504" s="879"/>
      <c r="AJ504" s="879"/>
      <c r="AK504" s="879"/>
      <c r="AL504" s="879"/>
      <c r="AM504" s="879"/>
      <c r="AN504" s="879"/>
      <c r="AO504" s="879"/>
      <c r="AP504" s="879"/>
      <c r="AQ504" s="879"/>
      <c r="AR504" s="879"/>
      <c r="AS504" s="879"/>
    </row>
    <row r="505" spans="1:45" x14ac:dyDescent="0.2">
      <c r="A505" s="527">
        <v>503</v>
      </c>
      <c r="B505" s="879"/>
      <c r="C505" s="879" t="s">
        <v>3463</v>
      </c>
      <c r="D505" s="879"/>
      <c r="E505" s="879"/>
      <c r="F505" s="879"/>
      <c r="G505" s="624">
        <v>44582</v>
      </c>
      <c r="H505" s="879"/>
      <c r="I505" s="879"/>
      <c r="J505" s="835">
        <v>2021</v>
      </c>
      <c r="K505" s="669">
        <v>2022</v>
      </c>
      <c r="L505" s="613" t="s">
        <v>336</v>
      </c>
      <c r="M505" s="613">
        <f t="shared" ref="M505:M536" si="94">IF(AND(L505="F",Q505=1),1,0)</f>
        <v>1</v>
      </c>
      <c r="N505" s="613">
        <f t="shared" ref="N505:N536" si="95">IF(AND(L505="P",Q505=1),1,0)</f>
        <v>0</v>
      </c>
      <c r="O505" s="880"/>
      <c r="P505" s="880"/>
      <c r="Q505" s="836">
        <v>1</v>
      </c>
      <c r="R505" s="880"/>
      <c r="S505" s="880"/>
      <c r="T505" s="880"/>
      <c r="U505" s="613">
        <f t="shared" si="78"/>
        <v>1</v>
      </c>
      <c r="V505" s="879"/>
      <c r="W505" s="613" t="str">
        <f t="shared" ref="W505:AB505" si="96">IF(O505=1,$J505,"I")</f>
        <v>I</v>
      </c>
      <c r="X505" s="613" t="str">
        <f t="shared" si="96"/>
        <v>I</v>
      </c>
      <c r="Y505" s="613">
        <f t="shared" si="96"/>
        <v>2021</v>
      </c>
      <c r="Z505" s="613" t="str">
        <f t="shared" si="96"/>
        <v>I</v>
      </c>
      <c r="AA505" s="613" t="str">
        <f t="shared" si="96"/>
        <v>I</v>
      </c>
      <c r="AB505" s="613" t="str">
        <f t="shared" si="96"/>
        <v>I</v>
      </c>
      <c r="AC505" s="879"/>
      <c r="AD505" s="880"/>
      <c r="AE505" s="881"/>
      <c r="AF505" s="644"/>
      <c r="AG505" s="879"/>
      <c r="AH505" s="879"/>
      <c r="AI505" s="879"/>
      <c r="AJ505" s="879"/>
      <c r="AK505" s="879"/>
      <c r="AL505" s="879"/>
      <c r="AM505" s="879"/>
      <c r="AN505" s="879"/>
      <c r="AO505" s="879"/>
      <c r="AP505" s="879"/>
      <c r="AQ505" s="879"/>
      <c r="AR505" s="879"/>
      <c r="AS505" s="879"/>
    </row>
    <row r="506" spans="1:45" x14ac:dyDescent="0.2">
      <c r="A506" s="527">
        <v>504</v>
      </c>
      <c r="B506" s="879"/>
      <c r="C506" s="879" t="s">
        <v>3468</v>
      </c>
      <c r="D506" s="879"/>
      <c r="E506" s="879"/>
      <c r="F506" s="879"/>
      <c r="G506" s="624">
        <v>44590</v>
      </c>
      <c r="H506" s="879"/>
      <c r="I506" s="879"/>
      <c r="J506" s="835">
        <v>2021</v>
      </c>
      <c r="K506" s="669">
        <v>2022</v>
      </c>
      <c r="L506" s="613" t="s">
        <v>303</v>
      </c>
      <c r="M506" s="613">
        <f t="shared" si="94"/>
        <v>0</v>
      </c>
      <c r="N506" s="613">
        <f t="shared" si="95"/>
        <v>1</v>
      </c>
      <c r="O506" s="880"/>
      <c r="P506" s="880"/>
      <c r="Q506" s="836">
        <v>1</v>
      </c>
      <c r="R506" s="880"/>
      <c r="S506" s="880"/>
      <c r="T506" s="880"/>
      <c r="U506" s="613">
        <f t="shared" si="78"/>
        <v>1</v>
      </c>
      <c r="V506" s="879"/>
      <c r="W506" s="613" t="str">
        <f t="shared" ref="W506:W569" si="97">IF(O506=1,$J506,"I")</f>
        <v>I</v>
      </c>
      <c r="X506" s="613" t="str">
        <f t="shared" ref="X506:X569" si="98">IF(P506=1,$J506,"I")</f>
        <v>I</v>
      </c>
      <c r="Y506" s="613">
        <f t="shared" ref="Y506:Y569" si="99">IF(Q506=1,$J506,"I")</f>
        <v>2021</v>
      </c>
      <c r="Z506" s="613" t="str">
        <f t="shared" ref="Z506:Z569" si="100">IF(R506=1,$J506,"I")</f>
        <v>I</v>
      </c>
      <c r="AA506" s="613" t="str">
        <f t="shared" ref="AA506:AB569" si="101">IF(S506=1,$J506,"I")</f>
        <v>I</v>
      </c>
      <c r="AB506" s="613" t="str">
        <f t="shared" si="101"/>
        <v>I</v>
      </c>
      <c r="AC506" s="879"/>
      <c r="AD506" s="880"/>
      <c r="AE506" s="881"/>
      <c r="AF506" s="644"/>
      <c r="AG506" s="879"/>
      <c r="AH506" s="879"/>
      <c r="AI506" s="879"/>
      <c r="AJ506" s="879"/>
      <c r="AK506" s="879"/>
      <c r="AL506" s="879"/>
      <c r="AM506" s="879"/>
      <c r="AN506" s="879"/>
      <c r="AO506" s="879"/>
      <c r="AP506" s="879"/>
      <c r="AQ506" s="879"/>
      <c r="AR506" s="879"/>
      <c r="AS506" s="879"/>
    </row>
    <row r="507" spans="1:45" x14ac:dyDescent="0.2">
      <c r="A507" s="527">
        <v>505</v>
      </c>
      <c r="B507" s="879"/>
      <c r="C507" s="879" t="s">
        <v>3470</v>
      </c>
      <c r="D507" s="879"/>
      <c r="E507" s="879"/>
      <c r="F507" s="879"/>
      <c r="G507" s="624">
        <v>44590</v>
      </c>
      <c r="H507" s="879"/>
      <c r="I507" s="879"/>
      <c r="J507" s="835">
        <v>2021</v>
      </c>
      <c r="K507" s="669">
        <v>2022</v>
      </c>
      <c r="L507" s="613" t="s">
        <v>303</v>
      </c>
      <c r="M507" s="613">
        <f t="shared" si="94"/>
        <v>0</v>
      </c>
      <c r="N507" s="613">
        <f t="shared" si="95"/>
        <v>1</v>
      </c>
      <c r="O507" s="880"/>
      <c r="P507" s="880"/>
      <c r="Q507" s="836">
        <v>1</v>
      </c>
      <c r="R507" s="880"/>
      <c r="S507" s="880"/>
      <c r="T507" s="880"/>
      <c r="U507" s="613">
        <f t="shared" si="78"/>
        <v>1</v>
      </c>
      <c r="V507" s="879"/>
      <c r="W507" s="613" t="str">
        <f t="shared" si="97"/>
        <v>I</v>
      </c>
      <c r="X507" s="613" t="str">
        <f t="shared" si="98"/>
        <v>I</v>
      </c>
      <c r="Y507" s="613">
        <f t="shared" si="99"/>
        <v>2021</v>
      </c>
      <c r="Z507" s="613" t="str">
        <f t="shared" si="100"/>
        <v>I</v>
      </c>
      <c r="AA507" s="613" t="str">
        <f t="shared" si="101"/>
        <v>I</v>
      </c>
      <c r="AB507" s="613" t="str">
        <f t="shared" si="101"/>
        <v>I</v>
      </c>
      <c r="AC507" s="879"/>
      <c r="AD507" s="880"/>
      <c r="AE507" s="881"/>
      <c r="AF507" s="644"/>
      <c r="AG507" s="879"/>
      <c r="AH507" s="879"/>
      <c r="AI507" s="879"/>
      <c r="AJ507" s="879"/>
      <c r="AK507" s="879"/>
      <c r="AL507" s="879"/>
      <c r="AM507" s="879"/>
      <c r="AN507" s="879"/>
      <c r="AO507" s="879"/>
      <c r="AP507" s="879"/>
      <c r="AQ507" s="879"/>
      <c r="AR507" s="879"/>
      <c r="AS507" s="879"/>
    </row>
    <row r="508" spans="1:45" x14ac:dyDescent="0.2">
      <c r="A508" s="527">
        <v>506</v>
      </c>
      <c r="B508" s="879"/>
      <c r="C508" s="879" t="s">
        <v>3471</v>
      </c>
      <c r="D508" s="879"/>
      <c r="E508" s="879"/>
      <c r="F508" s="879"/>
      <c r="G508" s="624">
        <v>44590</v>
      </c>
      <c r="H508" s="879"/>
      <c r="I508" s="879"/>
      <c r="J508" s="835">
        <v>2021</v>
      </c>
      <c r="K508" s="669">
        <v>2022</v>
      </c>
      <c r="L508" s="613" t="s">
        <v>303</v>
      </c>
      <c r="M508" s="613">
        <f t="shared" si="94"/>
        <v>0</v>
      </c>
      <c r="N508" s="613">
        <f t="shared" si="95"/>
        <v>1</v>
      </c>
      <c r="O508" s="880"/>
      <c r="P508" s="880"/>
      <c r="Q508" s="836">
        <v>1</v>
      </c>
      <c r="R508" s="880"/>
      <c r="S508" s="880"/>
      <c r="T508" s="880"/>
      <c r="U508" s="613">
        <f t="shared" si="78"/>
        <v>1</v>
      </c>
      <c r="V508" s="879"/>
      <c r="W508" s="613" t="str">
        <f t="shared" si="97"/>
        <v>I</v>
      </c>
      <c r="X508" s="613" t="str">
        <f t="shared" si="98"/>
        <v>I</v>
      </c>
      <c r="Y508" s="613">
        <f t="shared" si="99"/>
        <v>2021</v>
      </c>
      <c r="Z508" s="613" t="str">
        <f t="shared" si="100"/>
        <v>I</v>
      </c>
      <c r="AA508" s="613" t="str">
        <f t="shared" si="101"/>
        <v>I</v>
      </c>
      <c r="AB508" s="613" t="str">
        <f t="shared" si="101"/>
        <v>I</v>
      </c>
      <c r="AC508" s="879"/>
      <c r="AD508" s="880"/>
      <c r="AE508" s="881"/>
      <c r="AF508" s="644"/>
      <c r="AG508" s="879"/>
      <c r="AH508" s="879"/>
      <c r="AI508" s="879"/>
      <c r="AJ508" s="879"/>
      <c r="AK508" s="879"/>
      <c r="AL508" s="879"/>
      <c r="AM508" s="879"/>
      <c r="AN508" s="879"/>
      <c r="AO508" s="879"/>
      <c r="AP508" s="879"/>
      <c r="AQ508" s="879"/>
      <c r="AR508" s="879"/>
      <c r="AS508" s="879"/>
    </row>
    <row r="509" spans="1:45" x14ac:dyDescent="0.2">
      <c r="A509" s="527">
        <v>507</v>
      </c>
      <c r="B509" s="879"/>
      <c r="C509" s="879" t="s">
        <v>3473</v>
      </c>
      <c r="D509" s="879"/>
      <c r="E509" s="879"/>
      <c r="F509" s="879"/>
      <c r="G509" s="624">
        <v>44611</v>
      </c>
      <c r="H509" s="879"/>
      <c r="I509" s="879"/>
      <c r="J509" s="835">
        <v>2021</v>
      </c>
      <c r="K509" s="669">
        <v>2022</v>
      </c>
      <c r="L509" s="613" t="s">
        <v>336</v>
      </c>
      <c r="M509" s="613">
        <f t="shared" si="94"/>
        <v>1</v>
      </c>
      <c r="N509" s="613">
        <f t="shared" si="95"/>
        <v>0</v>
      </c>
      <c r="O509" s="880"/>
      <c r="P509" s="880"/>
      <c r="Q509" s="836">
        <v>1</v>
      </c>
      <c r="R509" s="880"/>
      <c r="S509" s="880"/>
      <c r="T509" s="880"/>
      <c r="U509" s="613">
        <f t="shared" si="78"/>
        <v>1</v>
      </c>
      <c r="V509" s="879"/>
      <c r="W509" s="613" t="str">
        <f t="shared" si="97"/>
        <v>I</v>
      </c>
      <c r="X509" s="613" t="str">
        <f t="shared" si="98"/>
        <v>I</v>
      </c>
      <c r="Y509" s="613">
        <f t="shared" si="99"/>
        <v>2021</v>
      </c>
      <c r="Z509" s="613" t="str">
        <f t="shared" si="100"/>
        <v>I</v>
      </c>
      <c r="AA509" s="613" t="str">
        <f t="shared" si="101"/>
        <v>I</v>
      </c>
      <c r="AB509" s="613" t="str">
        <f t="shared" si="101"/>
        <v>I</v>
      </c>
      <c r="AC509" s="879"/>
      <c r="AD509" s="880"/>
      <c r="AE509" s="881"/>
      <c r="AF509" s="644"/>
      <c r="AG509" s="879"/>
      <c r="AH509" s="879"/>
      <c r="AI509" s="879"/>
      <c r="AJ509" s="879"/>
      <c r="AK509" s="879"/>
      <c r="AL509" s="879"/>
      <c r="AM509" s="879"/>
      <c r="AN509" s="879"/>
      <c r="AO509" s="879"/>
      <c r="AP509" s="879"/>
      <c r="AQ509" s="879"/>
      <c r="AR509" s="879"/>
      <c r="AS509" s="879"/>
    </row>
    <row r="510" spans="1:45" x14ac:dyDescent="0.2">
      <c r="A510" s="527">
        <v>508</v>
      </c>
      <c r="B510" s="879"/>
      <c r="C510" s="879" t="s">
        <v>3474</v>
      </c>
      <c r="D510" s="879"/>
      <c r="E510" s="879"/>
      <c r="F510" s="879"/>
      <c r="G510" s="624">
        <v>44611</v>
      </c>
      <c r="H510" s="879"/>
      <c r="I510" s="879"/>
      <c r="J510" s="835">
        <v>2021</v>
      </c>
      <c r="K510" s="669">
        <v>2022</v>
      </c>
      <c r="L510" s="613" t="s">
        <v>303</v>
      </c>
      <c r="M510" s="613">
        <f t="shared" si="94"/>
        <v>0</v>
      </c>
      <c r="N510" s="613">
        <f t="shared" si="95"/>
        <v>1</v>
      </c>
      <c r="O510" s="880"/>
      <c r="P510" s="880"/>
      <c r="Q510" s="836">
        <v>1</v>
      </c>
      <c r="R510" s="880"/>
      <c r="S510" s="880"/>
      <c r="T510" s="880"/>
      <c r="U510" s="613">
        <f t="shared" si="78"/>
        <v>1</v>
      </c>
      <c r="V510" s="879"/>
      <c r="W510" s="613" t="str">
        <f t="shared" si="97"/>
        <v>I</v>
      </c>
      <c r="X510" s="613" t="str">
        <f t="shared" si="98"/>
        <v>I</v>
      </c>
      <c r="Y510" s="613">
        <f t="shared" si="99"/>
        <v>2021</v>
      </c>
      <c r="Z510" s="613" t="str">
        <f t="shared" si="100"/>
        <v>I</v>
      </c>
      <c r="AA510" s="613" t="str">
        <f t="shared" si="101"/>
        <v>I</v>
      </c>
      <c r="AB510" s="613" t="str">
        <f t="shared" si="101"/>
        <v>I</v>
      </c>
      <c r="AC510" s="879"/>
      <c r="AD510" s="880"/>
      <c r="AE510" s="881"/>
      <c r="AF510" s="644"/>
      <c r="AG510" s="879"/>
      <c r="AH510" s="879"/>
      <c r="AI510" s="879"/>
      <c r="AJ510" s="879"/>
      <c r="AK510" s="879"/>
      <c r="AL510" s="879"/>
      <c r="AM510" s="879"/>
      <c r="AN510" s="879"/>
      <c r="AO510" s="879"/>
      <c r="AP510" s="879"/>
      <c r="AQ510" s="879"/>
      <c r="AR510" s="879"/>
      <c r="AS510" s="879"/>
    </row>
    <row r="511" spans="1:45" x14ac:dyDescent="0.2">
      <c r="A511" s="527">
        <v>509</v>
      </c>
      <c r="B511" s="879"/>
      <c r="C511" s="879" t="s">
        <v>3475</v>
      </c>
      <c r="D511" s="879"/>
      <c r="E511" s="879"/>
      <c r="F511" s="879"/>
      <c r="G511" s="624">
        <v>44611</v>
      </c>
      <c r="H511" s="879"/>
      <c r="I511" s="879"/>
      <c r="J511" s="835">
        <v>2021</v>
      </c>
      <c r="K511" s="669">
        <v>2022</v>
      </c>
      <c r="L511" s="613" t="s">
        <v>303</v>
      </c>
      <c r="M511" s="613">
        <f t="shared" si="94"/>
        <v>0</v>
      </c>
      <c r="N511" s="613">
        <f t="shared" si="95"/>
        <v>1</v>
      </c>
      <c r="O511" s="880"/>
      <c r="P511" s="880"/>
      <c r="Q511" s="836">
        <v>1</v>
      </c>
      <c r="R511" s="880"/>
      <c r="S511" s="880"/>
      <c r="T511" s="880"/>
      <c r="U511" s="613">
        <f t="shared" si="78"/>
        <v>1</v>
      </c>
      <c r="V511" s="879"/>
      <c r="W511" s="613" t="str">
        <f t="shared" si="97"/>
        <v>I</v>
      </c>
      <c r="X511" s="613" t="str">
        <f t="shared" si="98"/>
        <v>I</v>
      </c>
      <c r="Y511" s="613">
        <f t="shared" si="99"/>
        <v>2021</v>
      </c>
      <c r="Z511" s="613" t="str">
        <f t="shared" si="100"/>
        <v>I</v>
      </c>
      <c r="AA511" s="613" t="str">
        <f t="shared" si="101"/>
        <v>I</v>
      </c>
      <c r="AB511" s="613" t="str">
        <f t="shared" si="101"/>
        <v>I</v>
      </c>
      <c r="AC511" s="879"/>
      <c r="AD511" s="880"/>
      <c r="AE511" s="881"/>
      <c r="AF511" s="644"/>
      <c r="AG511" s="879"/>
      <c r="AH511" s="879"/>
      <c r="AI511" s="879"/>
      <c r="AJ511" s="879"/>
      <c r="AK511" s="879"/>
      <c r="AL511" s="879"/>
      <c r="AM511" s="879"/>
      <c r="AN511" s="879"/>
      <c r="AO511" s="879"/>
      <c r="AP511" s="879"/>
      <c r="AQ511" s="879"/>
      <c r="AR511" s="879"/>
      <c r="AS511" s="879"/>
    </row>
    <row r="512" spans="1:45" x14ac:dyDescent="0.2">
      <c r="A512" s="527">
        <v>510</v>
      </c>
      <c r="B512" s="879"/>
      <c r="C512" s="879" t="s">
        <v>3476</v>
      </c>
      <c r="D512" s="879"/>
      <c r="E512" s="879"/>
      <c r="F512" s="879"/>
      <c r="G512" s="624">
        <v>44611</v>
      </c>
      <c r="H512" s="879"/>
      <c r="I512" s="879"/>
      <c r="J512" s="835">
        <v>2021</v>
      </c>
      <c r="K512" s="669">
        <v>2022</v>
      </c>
      <c r="L512" s="613" t="s">
        <v>303</v>
      </c>
      <c r="M512" s="613">
        <f t="shared" si="94"/>
        <v>0</v>
      </c>
      <c r="N512" s="613">
        <f t="shared" si="95"/>
        <v>1</v>
      </c>
      <c r="O512" s="880"/>
      <c r="P512" s="880"/>
      <c r="Q512" s="836">
        <v>1</v>
      </c>
      <c r="R512" s="880"/>
      <c r="S512" s="880"/>
      <c r="T512" s="880"/>
      <c r="U512" s="613">
        <f t="shared" si="78"/>
        <v>1</v>
      </c>
      <c r="V512" s="879"/>
      <c r="W512" s="613" t="str">
        <f t="shared" si="97"/>
        <v>I</v>
      </c>
      <c r="X512" s="613" t="str">
        <f t="shared" si="98"/>
        <v>I</v>
      </c>
      <c r="Y512" s="613">
        <f t="shared" si="99"/>
        <v>2021</v>
      </c>
      <c r="Z512" s="613" t="str">
        <f t="shared" si="100"/>
        <v>I</v>
      </c>
      <c r="AA512" s="613" t="str">
        <f t="shared" si="101"/>
        <v>I</v>
      </c>
      <c r="AB512" s="613" t="str">
        <f t="shared" si="101"/>
        <v>I</v>
      </c>
      <c r="AC512" s="879"/>
      <c r="AD512" s="880"/>
      <c r="AE512" s="881"/>
      <c r="AF512" s="644"/>
      <c r="AG512" s="879"/>
      <c r="AH512" s="879"/>
      <c r="AI512" s="879"/>
      <c r="AJ512" s="879"/>
      <c r="AK512" s="879"/>
      <c r="AL512" s="879"/>
      <c r="AM512" s="879"/>
      <c r="AN512" s="879"/>
      <c r="AO512" s="879"/>
      <c r="AP512" s="879"/>
      <c r="AQ512" s="879"/>
      <c r="AR512" s="879"/>
      <c r="AS512" s="879"/>
    </row>
    <row r="513" spans="1:45" x14ac:dyDescent="0.2">
      <c r="A513" s="527">
        <v>511</v>
      </c>
      <c r="B513" s="879"/>
      <c r="C513" s="879" t="s">
        <v>3481</v>
      </c>
      <c r="D513" s="879"/>
      <c r="E513" s="879"/>
      <c r="F513" s="879"/>
      <c r="G513" s="624">
        <v>44639</v>
      </c>
      <c r="H513" s="879"/>
      <c r="I513" s="879"/>
      <c r="J513" s="835">
        <v>2022</v>
      </c>
      <c r="K513" s="669">
        <v>2022</v>
      </c>
      <c r="L513" s="613" t="s">
        <v>303</v>
      </c>
      <c r="M513" s="613">
        <f t="shared" si="94"/>
        <v>0</v>
      </c>
      <c r="N513" s="613">
        <f t="shared" si="95"/>
        <v>1</v>
      </c>
      <c r="O513" s="880"/>
      <c r="P513" s="880"/>
      <c r="Q513" s="836">
        <v>1</v>
      </c>
      <c r="R513" s="880"/>
      <c r="S513" s="880"/>
      <c r="T513" s="880"/>
      <c r="U513" s="613">
        <f t="shared" si="78"/>
        <v>1</v>
      </c>
      <c r="V513" s="879"/>
      <c r="W513" s="613" t="str">
        <f t="shared" si="97"/>
        <v>I</v>
      </c>
      <c r="X513" s="613" t="str">
        <f t="shared" si="98"/>
        <v>I</v>
      </c>
      <c r="Y513" s="613">
        <f t="shared" si="99"/>
        <v>2022</v>
      </c>
      <c r="Z513" s="613" t="str">
        <f t="shared" si="100"/>
        <v>I</v>
      </c>
      <c r="AA513" s="613" t="str">
        <f t="shared" si="101"/>
        <v>I</v>
      </c>
      <c r="AB513" s="613" t="str">
        <f t="shared" si="101"/>
        <v>I</v>
      </c>
      <c r="AC513" s="879"/>
      <c r="AD513" s="880"/>
      <c r="AE513" s="881"/>
      <c r="AF513" s="644"/>
      <c r="AG513" s="879"/>
      <c r="AH513" s="879"/>
      <c r="AI513" s="879"/>
      <c r="AJ513" s="879"/>
      <c r="AK513" s="879"/>
      <c r="AL513" s="879"/>
      <c r="AM513" s="879"/>
      <c r="AN513" s="879"/>
      <c r="AO513" s="879"/>
      <c r="AP513" s="879"/>
      <c r="AQ513" s="879"/>
      <c r="AR513" s="879"/>
      <c r="AS513" s="879"/>
    </row>
    <row r="514" spans="1:45" x14ac:dyDescent="0.2">
      <c r="A514" s="527">
        <v>512</v>
      </c>
      <c r="B514" s="879"/>
      <c r="C514" s="879" t="s">
        <v>3482</v>
      </c>
      <c r="D514" s="879"/>
      <c r="E514" s="879"/>
      <c r="F514" s="879"/>
      <c r="G514" s="624">
        <v>44639</v>
      </c>
      <c r="H514" s="879"/>
      <c r="I514" s="879"/>
      <c r="J514" s="835">
        <v>2022</v>
      </c>
      <c r="K514" s="669">
        <v>2022</v>
      </c>
      <c r="L514" s="613" t="s">
        <v>336</v>
      </c>
      <c r="M514" s="613">
        <f t="shared" si="94"/>
        <v>1</v>
      </c>
      <c r="N514" s="613">
        <f t="shared" si="95"/>
        <v>0</v>
      </c>
      <c r="O514" s="880"/>
      <c r="P514" s="880"/>
      <c r="Q514" s="836">
        <v>1</v>
      </c>
      <c r="R514" s="880"/>
      <c r="S514" s="880"/>
      <c r="T514" s="880"/>
      <c r="U514" s="613">
        <f t="shared" si="78"/>
        <v>1</v>
      </c>
      <c r="V514" s="879"/>
      <c r="W514" s="613" t="str">
        <f t="shared" si="97"/>
        <v>I</v>
      </c>
      <c r="X514" s="613" t="str">
        <f t="shared" si="98"/>
        <v>I</v>
      </c>
      <c r="Y514" s="613">
        <f t="shared" si="99"/>
        <v>2022</v>
      </c>
      <c r="Z514" s="613" t="str">
        <f t="shared" si="100"/>
        <v>I</v>
      </c>
      <c r="AA514" s="613" t="str">
        <f t="shared" si="101"/>
        <v>I</v>
      </c>
      <c r="AB514" s="613" t="str">
        <f t="shared" si="101"/>
        <v>I</v>
      </c>
      <c r="AC514" s="879"/>
      <c r="AD514" s="880"/>
      <c r="AE514" s="881"/>
      <c r="AF514" s="644"/>
      <c r="AG514" s="879"/>
      <c r="AH514" s="879"/>
      <c r="AI514" s="879"/>
      <c r="AJ514" s="879"/>
      <c r="AK514" s="879"/>
      <c r="AL514" s="879"/>
      <c r="AM514" s="879"/>
      <c r="AN514" s="879"/>
      <c r="AO514" s="879"/>
      <c r="AP514" s="879"/>
      <c r="AQ514" s="879"/>
      <c r="AR514" s="879"/>
      <c r="AS514" s="879"/>
    </row>
    <row r="515" spans="1:45" x14ac:dyDescent="0.2">
      <c r="A515" s="527">
        <v>513</v>
      </c>
      <c r="B515" s="879"/>
      <c r="C515" s="879" t="s">
        <v>3483</v>
      </c>
      <c r="D515" s="879"/>
      <c r="E515" s="879"/>
      <c r="F515" s="879"/>
      <c r="G515" s="624">
        <v>44639</v>
      </c>
      <c r="H515" s="879"/>
      <c r="I515" s="879"/>
      <c r="J515" s="835">
        <v>2020</v>
      </c>
      <c r="K515" s="669">
        <v>2022</v>
      </c>
      <c r="L515" s="613" t="s">
        <v>303</v>
      </c>
      <c r="M515" s="613">
        <f t="shared" si="94"/>
        <v>0</v>
      </c>
      <c r="N515" s="613">
        <f t="shared" si="95"/>
        <v>1</v>
      </c>
      <c r="O515" s="880"/>
      <c r="P515" s="880"/>
      <c r="Q515" s="836">
        <v>1</v>
      </c>
      <c r="R515" s="880"/>
      <c r="S515" s="880"/>
      <c r="T515" s="880"/>
      <c r="U515" s="613">
        <f t="shared" si="78"/>
        <v>1</v>
      </c>
      <c r="V515" s="879"/>
      <c r="W515" s="613" t="str">
        <f t="shared" si="97"/>
        <v>I</v>
      </c>
      <c r="X515" s="613" t="str">
        <f t="shared" si="98"/>
        <v>I</v>
      </c>
      <c r="Y515" s="613">
        <f t="shared" si="99"/>
        <v>2020</v>
      </c>
      <c r="Z515" s="613" t="str">
        <f t="shared" si="100"/>
        <v>I</v>
      </c>
      <c r="AA515" s="613" t="str">
        <f t="shared" si="101"/>
        <v>I</v>
      </c>
      <c r="AB515" s="613" t="str">
        <f t="shared" si="101"/>
        <v>I</v>
      </c>
      <c r="AC515" s="879"/>
      <c r="AD515" s="880"/>
      <c r="AE515" s="881"/>
      <c r="AF515" s="644"/>
      <c r="AG515" s="879"/>
      <c r="AH515" s="879"/>
      <c r="AI515" s="879"/>
      <c r="AJ515" s="879"/>
      <c r="AK515" s="879"/>
      <c r="AL515" s="879"/>
      <c r="AM515" s="879"/>
      <c r="AN515" s="879"/>
      <c r="AO515" s="879"/>
      <c r="AP515" s="879"/>
      <c r="AQ515" s="879"/>
      <c r="AR515" s="879"/>
      <c r="AS515" s="879"/>
    </row>
    <row r="516" spans="1:45" x14ac:dyDescent="0.2">
      <c r="A516" s="527">
        <v>514</v>
      </c>
      <c r="B516" s="879"/>
      <c r="C516" s="879" t="s">
        <v>3484</v>
      </c>
      <c r="D516" s="879"/>
      <c r="E516" s="879"/>
      <c r="F516" s="879"/>
      <c r="G516" s="624">
        <v>44639</v>
      </c>
      <c r="H516" s="879"/>
      <c r="I516" s="879"/>
      <c r="J516" s="835">
        <v>2020</v>
      </c>
      <c r="K516" s="669">
        <v>2022</v>
      </c>
      <c r="L516" s="613" t="s">
        <v>303</v>
      </c>
      <c r="M516" s="613">
        <f t="shared" si="94"/>
        <v>0</v>
      </c>
      <c r="N516" s="613">
        <f t="shared" si="95"/>
        <v>1</v>
      </c>
      <c r="O516" s="880"/>
      <c r="P516" s="880"/>
      <c r="Q516" s="836">
        <v>1</v>
      </c>
      <c r="R516" s="880"/>
      <c r="S516" s="880"/>
      <c r="T516" s="880"/>
      <c r="U516" s="613">
        <f t="shared" ref="U516:U579" si="102">SUM(O516:T516)</f>
        <v>1</v>
      </c>
      <c r="V516" s="879"/>
      <c r="W516" s="613" t="str">
        <f t="shared" si="97"/>
        <v>I</v>
      </c>
      <c r="X516" s="613" t="str">
        <f t="shared" si="98"/>
        <v>I</v>
      </c>
      <c r="Y516" s="613">
        <f t="shared" si="99"/>
        <v>2020</v>
      </c>
      <c r="Z516" s="613" t="str">
        <f t="shared" si="100"/>
        <v>I</v>
      </c>
      <c r="AA516" s="613" t="str">
        <f t="shared" si="101"/>
        <v>I</v>
      </c>
      <c r="AB516" s="613" t="str">
        <f t="shared" si="101"/>
        <v>I</v>
      </c>
      <c r="AC516" s="879"/>
      <c r="AD516" s="880"/>
      <c r="AE516" s="881"/>
      <c r="AF516" s="644"/>
      <c r="AG516" s="879"/>
      <c r="AH516" s="879"/>
      <c r="AI516" s="879"/>
      <c r="AJ516" s="879"/>
      <c r="AK516" s="879"/>
      <c r="AL516" s="879"/>
      <c r="AM516" s="879"/>
      <c r="AN516" s="879"/>
      <c r="AO516" s="879"/>
      <c r="AP516" s="879"/>
      <c r="AQ516" s="879"/>
      <c r="AR516" s="879"/>
      <c r="AS516" s="879"/>
    </row>
    <row r="517" spans="1:45" x14ac:dyDescent="0.2">
      <c r="A517" s="527">
        <v>515</v>
      </c>
      <c r="B517" s="879"/>
      <c r="C517" s="879" t="s">
        <v>3485</v>
      </c>
      <c r="D517" s="879"/>
      <c r="E517" s="879"/>
      <c r="F517" s="879"/>
      <c r="G517" s="624">
        <v>44639</v>
      </c>
      <c r="H517" s="879"/>
      <c r="I517" s="879"/>
      <c r="J517" s="835">
        <v>2020</v>
      </c>
      <c r="K517" s="669">
        <v>2022</v>
      </c>
      <c r="L517" s="613" t="s">
        <v>303</v>
      </c>
      <c r="M517" s="613">
        <f t="shared" si="94"/>
        <v>0</v>
      </c>
      <c r="N517" s="613">
        <f t="shared" si="95"/>
        <v>1</v>
      </c>
      <c r="O517" s="880"/>
      <c r="P517" s="880"/>
      <c r="Q517" s="836">
        <v>1</v>
      </c>
      <c r="R517" s="880"/>
      <c r="S517" s="880"/>
      <c r="T517" s="880"/>
      <c r="U517" s="613">
        <f t="shared" si="102"/>
        <v>1</v>
      </c>
      <c r="V517" s="879"/>
      <c r="W517" s="613" t="str">
        <f t="shared" si="97"/>
        <v>I</v>
      </c>
      <c r="X517" s="613" t="str">
        <f t="shared" si="98"/>
        <v>I</v>
      </c>
      <c r="Y517" s="613">
        <f t="shared" si="99"/>
        <v>2020</v>
      </c>
      <c r="Z517" s="613" t="str">
        <f t="shared" si="100"/>
        <v>I</v>
      </c>
      <c r="AA517" s="613" t="str">
        <f t="shared" si="101"/>
        <v>I</v>
      </c>
      <c r="AB517" s="613" t="str">
        <f t="shared" si="101"/>
        <v>I</v>
      </c>
      <c r="AC517" s="879"/>
      <c r="AD517" s="880"/>
      <c r="AE517" s="881"/>
      <c r="AF517" s="644"/>
      <c r="AG517" s="879"/>
      <c r="AH517" s="879"/>
      <c r="AI517" s="879"/>
      <c r="AJ517" s="879"/>
      <c r="AK517" s="879"/>
      <c r="AL517" s="879"/>
      <c r="AM517" s="879"/>
      <c r="AN517" s="879"/>
      <c r="AO517" s="879"/>
      <c r="AP517" s="879"/>
      <c r="AQ517" s="879"/>
      <c r="AR517" s="879"/>
      <c r="AS517" s="879"/>
    </row>
    <row r="518" spans="1:45" x14ac:dyDescent="0.2">
      <c r="A518" s="527">
        <v>516</v>
      </c>
      <c r="B518" s="879"/>
      <c r="C518" s="879" t="s">
        <v>3486</v>
      </c>
      <c r="D518" s="879"/>
      <c r="E518" s="879"/>
      <c r="F518" s="879"/>
      <c r="G518" s="624">
        <v>44639</v>
      </c>
      <c r="H518" s="879"/>
      <c r="I518" s="879"/>
      <c r="J518" s="835">
        <v>2021</v>
      </c>
      <c r="K518" s="669">
        <v>2022</v>
      </c>
      <c r="L518" s="613" t="s">
        <v>303</v>
      </c>
      <c r="M518" s="613">
        <f t="shared" si="94"/>
        <v>0</v>
      </c>
      <c r="N518" s="613">
        <f t="shared" si="95"/>
        <v>1</v>
      </c>
      <c r="O518" s="880"/>
      <c r="P518" s="880"/>
      <c r="Q518" s="836">
        <v>1</v>
      </c>
      <c r="R518" s="880"/>
      <c r="S518" s="880"/>
      <c r="T518" s="880"/>
      <c r="U518" s="613">
        <f t="shared" si="102"/>
        <v>1</v>
      </c>
      <c r="V518" s="879"/>
      <c r="W518" s="613" t="str">
        <f t="shared" si="97"/>
        <v>I</v>
      </c>
      <c r="X518" s="613" t="str">
        <f t="shared" si="98"/>
        <v>I</v>
      </c>
      <c r="Y518" s="613">
        <f t="shared" si="99"/>
        <v>2021</v>
      </c>
      <c r="Z518" s="613" t="str">
        <f t="shared" si="100"/>
        <v>I</v>
      </c>
      <c r="AA518" s="613" t="str">
        <f t="shared" si="101"/>
        <v>I</v>
      </c>
      <c r="AB518" s="613" t="str">
        <f t="shared" si="101"/>
        <v>I</v>
      </c>
      <c r="AC518" s="879"/>
      <c r="AD518" s="880"/>
      <c r="AE518" s="881"/>
      <c r="AF518" s="644"/>
      <c r="AG518" s="879"/>
      <c r="AH518" s="879"/>
      <c r="AI518" s="879"/>
      <c r="AJ518" s="879"/>
      <c r="AK518" s="879"/>
      <c r="AL518" s="879"/>
      <c r="AM518" s="879"/>
      <c r="AN518" s="879"/>
      <c r="AO518" s="879"/>
      <c r="AP518" s="879"/>
      <c r="AQ518" s="879"/>
      <c r="AR518" s="879"/>
      <c r="AS518" s="879"/>
    </row>
    <row r="519" spans="1:45" x14ac:dyDescent="0.2">
      <c r="A519" s="527">
        <v>517</v>
      </c>
      <c r="B519" s="879"/>
      <c r="C519" s="879" t="s">
        <v>3487</v>
      </c>
      <c r="D519" s="879"/>
      <c r="E519" s="879"/>
      <c r="F519" s="879"/>
      <c r="G519" s="624">
        <v>44639</v>
      </c>
      <c r="H519" s="879"/>
      <c r="I519" s="879"/>
      <c r="J519" s="835">
        <v>2021</v>
      </c>
      <c r="K519" s="669">
        <v>2022</v>
      </c>
      <c r="L519" s="613" t="s">
        <v>303</v>
      </c>
      <c r="M519" s="613">
        <f t="shared" si="94"/>
        <v>0</v>
      </c>
      <c r="N519" s="613">
        <f t="shared" si="95"/>
        <v>1</v>
      </c>
      <c r="O519" s="880"/>
      <c r="P519" s="880"/>
      <c r="Q519" s="836">
        <v>1</v>
      </c>
      <c r="R519" s="880"/>
      <c r="S519" s="880"/>
      <c r="T519" s="880"/>
      <c r="U519" s="613">
        <f t="shared" si="102"/>
        <v>1</v>
      </c>
      <c r="V519" s="879"/>
      <c r="W519" s="613" t="str">
        <f t="shared" si="97"/>
        <v>I</v>
      </c>
      <c r="X519" s="613" t="str">
        <f t="shared" si="98"/>
        <v>I</v>
      </c>
      <c r="Y519" s="613">
        <f t="shared" si="99"/>
        <v>2021</v>
      </c>
      <c r="Z519" s="613" t="str">
        <f t="shared" si="100"/>
        <v>I</v>
      </c>
      <c r="AA519" s="613" t="str">
        <f t="shared" si="101"/>
        <v>I</v>
      </c>
      <c r="AB519" s="613" t="str">
        <f t="shared" si="101"/>
        <v>I</v>
      </c>
      <c r="AC519" s="879"/>
      <c r="AD519" s="880"/>
      <c r="AE519" s="881"/>
      <c r="AF519" s="644"/>
      <c r="AG519" s="879"/>
      <c r="AH519" s="879"/>
      <c r="AI519" s="879"/>
      <c r="AJ519" s="879"/>
      <c r="AK519" s="879"/>
      <c r="AL519" s="879"/>
      <c r="AM519" s="879"/>
      <c r="AN519" s="879"/>
      <c r="AO519" s="879"/>
      <c r="AP519" s="879"/>
      <c r="AQ519" s="879"/>
      <c r="AR519" s="879"/>
      <c r="AS519" s="879"/>
    </row>
    <row r="520" spans="1:45" x14ac:dyDescent="0.2">
      <c r="A520" s="527">
        <v>518</v>
      </c>
      <c r="B520" s="879"/>
      <c r="C520" s="879" t="s">
        <v>3488</v>
      </c>
      <c r="D520" s="879"/>
      <c r="E520" s="879"/>
      <c r="F520" s="879"/>
      <c r="G520" s="624">
        <v>44639</v>
      </c>
      <c r="H520" s="879"/>
      <c r="I520" s="879"/>
      <c r="J520" s="835">
        <v>2019</v>
      </c>
      <c r="K520" s="669">
        <v>2022</v>
      </c>
      <c r="L520" s="613" t="s">
        <v>303</v>
      </c>
      <c r="M520" s="613">
        <f t="shared" si="94"/>
        <v>0</v>
      </c>
      <c r="N520" s="613">
        <f t="shared" si="95"/>
        <v>1</v>
      </c>
      <c r="O520" s="880"/>
      <c r="P520" s="880"/>
      <c r="Q520" s="836">
        <v>1</v>
      </c>
      <c r="R520" s="880"/>
      <c r="S520" s="880"/>
      <c r="T520" s="880"/>
      <c r="U520" s="613">
        <f t="shared" si="102"/>
        <v>1</v>
      </c>
      <c r="V520" s="879"/>
      <c r="W520" s="613" t="str">
        <f t="shared" si="97"/>
        <v>I</v>
      </c>
      <c r="X520" s="613" t="str">
        <f t="shared" si="98"/>
        <v>I</v>
      </c>
      <c r="Y520" s="613">
        <f t="shared" si="99"/>
        <v>2019</v>
      </c>
      <c r="Z520" s="613" t="str">
        <f t="shared" si="100"/>
        <v>I</v>
      </c>
      <c r="AA520" s="613" t="str">
        <f t="shared" si="101"/>
        <v>I</v>
      </c>
      <c r="AB520" s="613" t="str">
        <f t="shared" si="101"/>
        <v>I</v>
      </c>
      <c r="AC520" s="879"/>
      <c r="AD520" s="880"/>
      <c r="AE520" s="881"/>
      <c r="AF520" s="644"/>
      <c r="AG520" s="879"/>
      <c r="AH520" s="879"/>
      <c r="AI520" s="879"/>
      <c r="AJ520" s="879"/>
      <c r="AK520" s="879"/>
      <c r="AL520" s="879"/>
      <c r="AM520" s="879"/>
      <c r="AN520" s="879"/>
      <c r="AO520" s="879"/>
      <c r="AP520" s="879"/>
      <c r="AQ520" s="879"/>
      <c r="AR520" s="879"/>
      <c r="AS520" s="879"/>
    </row>
    <row r="521" spans="1:45" x14ac:dyDescent="0.2">
      <c r="A521" s="527">
        <v>519</v>
      </c>
      <c r="B521" s="879"/>
      <c r="C521" s="879" t="s">
        <v>3489</v>
      </c>
      <c r="D521" s="879"/>
      <c r="E521" s="879"/>
      <c r="F521" s="879"/>
      <c r="G521" s="624">
        <v>44639</v>
      </c>
      <c r="H521" s="879"/>
      <c r="I521" s="879"/>
      <c r="J521" s="835">
        <v>2019</v>
      </c>
      <c r="K521" s="669">
        <v>2022</v>
      </c>
      <c r="L521" s="613" t="s">
        <v>303</v>
      </c>
      <c r="M521" s="613">
        <f t="shared" si="94"/>
        <v>0</v>
      </c>
      <c r="N521" s="613">
        <f t="shared" si="95"/>
        <v>1</v>
      </c>
      <c r="O521" s="880"/>
      <c r="P521" s="880"/>
      <c r="Q521" s="836">
        <v>1</v>
      </c>
      <c r="R521" s="880"/>
      <c r="S521" s="880"/>
      <c r="T521" s="880"/>
      <c r="U521" s="613">
        <f t="shared" si="102"/>
        <v>1</v>
      </c>
      <c r="V521" s="879"/>
      <c r="W521" s="613" t="str">
        <f t="shared" si="97"/>
        <v>I</v>
      </c>
      <c r="X521" s="613" t="str">
        <f t="shared" si="98"/>
        <v>I</v>
      </c>
      <c r="Y521" s="613">
        <f t="shared" si="99"/>
        <v>2019</v>
      </c>
      <c r="Z521" s="613" t="str">
        <f t="shared" si="100"/>
        <v>I</v>
      </c>
      <c r="AA521" s="613" t="str">
        <f t="shared" si="101"/>
        <v>I</v>
      </c>
      <c r="AB521" s="613" t="str">
        <f t="shared" si="101"/>
        <v>I</v>
      </c>
      <c r="AC521" s="879"/>
      <c r="AD521" s="880"/>
      <c r="AE521" s="881"/>
      <c r="AF521" s="644"/>
      <c r="AG521" s="879"/>
      <c r="AH521" s="879"/>
      <c r="AI521" s="879"/>
      <c r="AJ521" s="879"/>
      <c r="AK521" s="879"/>
      <c r="AL521" s="879"/>
      <c r="AM521" s="879"/>
      <c r="AN521" s="879"/>
      <c r="AO521" s="879"/>
      <c r="AP521" s="879"/>
      <c r="AQ521" s="879"/>
      <c r="AR521" s="879"/>
      <c r="AS521" s="879"/>
    </row>
    <row r="522" spans="1:45" x14ac:dyDescent="0.2">
      <c r="A522" s="527">
        <v>520</v>
      </c>
      <c r="B522" s="879"/>
      <c r="C522" s="879" t="s">
        <v>3490</v>
      </c>
      <c r="D522" s="879"/>
      <c r="E522" s="879"/>
      <c r="F522" s="879"/>
      <c r="G522" s="624">
        <v>44639</v>
      </c>
      <c r="H522" s="879"/>
      <c r="I522" s="879"/>
      <c r="J522" s="835">
        <v>2021</v>
      </c>
      <c r="K522" s="669">
        <v>2022</v>
      </c>
      <c r="L522" s="613" t="s">
        <v>303</v>
      </c>
      <c r="M522" s="613">
        <f t="shared" si="94"/>
        <v>0</v>
      </c>
      <c r="N522" s="613">
        <f t="shared" si="95"/>
        <v>1</v>
      </c>
      <c r="O522" s="880"/>
      <c r="P522" s="880"/>
      <c r="Q522" s="836">
        <v>1</v>
      </c>
      <c r="R522" s="880"/>
      <c r="S522" s="880"/>
      <c r="T522" s="880"/>
      <c r="U522" s="613">
        <f t="shared" si="102"/>
        <v>1</v>
      </c>
      <c r="V522" s="879"/>
      <c r="W522" s="613" t="str">
        <f t="shared" si="97"/>
        <v>I</v>
      </c>
      <c r="X522" s="613" t="str">
        <f t="shared" si="98"/>
        <v>I</v>
      </c>
      <c r="Y522" s="613">
        <f t="shared" si="99"/>
        <v>2021</v>
      </c>
      <c r="Z522" s="613" t="str">
        <f t="shared" si="100"/>
        <v>I</v>
      </c>
      <c r="AA522" s="613" t="str">
        <f t="shared" si="101"/>
        <v>I</v>
      </c>
      <c r="AB522" s="613" t="str">
        <f t="shared" si="101"/>
        <v>I</v>
      </c>
      <c r="AC522" s="879"/>
      <c r="AD522" s="880"/>
      <c r="AE522" s="881"/>
      <c r="AF522" s="644"/>
      <c r="AG522" s="879"/>
      <c r="AH522" s="879"/>
      <c r="AI522" s="879"/>
      <c r="AJ522" s="879"/>
      <c r="AK522" s="879"/>
      <c r="AL522" s="879"/>
      <c r="AM522" s="879"/>
      <c r="AN522" s="879"/>
      <c r="AO522" s="879"/>
      <c r="AP522" s="879"/>
      <c r="AQ522" s="879"/>
      <c r="AR522" s="879"/>
      <c r="AS522" s="879"/>
    </row>
    <row r="523" spans="1:45" x14ac:dyDescent="0.2">
      <c r="A523" s="527">
        <v>521</v>
      </c>
      <c r="B523" s="879"/>
      <c r="C523" s="879" t="s">
        <v>3491</v>
      </c>
      <c r="D523" s="879"/>
      <c r="E523" s="879"/>
      <c r="F523" s="879"/>
      <c r="G523" s="624">
        <v>44639</v>
      </c>
      <c r="H523" s="879"/>
      <c r="I523" s="879"/>
      <c r="J523" s="835">
        <v>2018</v>
      </c>
      <c r="K523" s="669">
        <v>2022</v>
      </c>
      <c r="L523" s="613" t="s">
        <v>336</v>
      </c>
      <c r="M523" s="613">
        <f t="shared" si="94"/>
        <v>1</v>
      </c>
      <c r="N523" s="613">
        <f t="shared" si="95"/>
        <v>0</v>
      </c>
      <c r="O523" s="880"/>
      <c r="P523" s="880"/>
      <c r="Q523" s="836">
        <v>1</v>
      </c>
      <c r="R523" s="880"/>
      <c r="S523" s="880"/>
      <c r="T523" s="880"/>
      <c r="U523" s="613">
        <f t="shared" si="102"/>
        <v>1</v>
      </c>
      <c r="V523" s="879"/>
      <c r="W523" s="613" t="str">
        <f t="shared" si="97"/>
        <v>I</v>
      </c>
      <c r="X523" s="613" t="str">
        <f t="shared" si="98"/>
        <v>I</v>
      </c>
      <c r="Y523" s="613">
        <f t="shared" si="99"/>
        <v>2018</v>
      </c>
      <c r="Z523" s="613" t="str">
        <f t="shared" si="100"/>
        <v>I</v>
      </c>
      <c r="AA523" s="613" t="str">
        <f t="shared" si="101"/>
        <v>I</v>
      </c>
      <c r="AB523" s="613" t="str">
        <f t="shared" si="101"/>
        <v>I</v>
      </c>
      <c r="AC523" s="879"/>
      <c r="AD523" s="880"/>
      <c r="AE523" s="881"/>
      <c r="AF523" s="644"/>
      <c r="AG523" s="879"/>
      <c r="AH523" s="879"/>
      <c r="AI523" s="879"/>
      <c r="AJ523" s="879"/>
      <c r="AK523" s="879"/>
      <c r="AL523" s="879"/>
      <c r="AM523" s="879"/>
      <c r="AN523" s="879"/>
      <c r="AO523" s="879"/>
      <c r="AP523" s="879"/>
      <c r="AQ523" s="879"/>
      <c r="AR523" s="879"/>
      <c r="AS523" s="879"/>
    </row>
    <row r="524" spans="1:45" x14ac:dyDescent="0.2">
      <c r="A524" s="527">
        <v>522</v>
      </c>
      <c r="B524" s="879"/>
      <c r="C524" s="879" t="s">
        <v>3492</v>
      </c>
      <c r="D524" s="879"/>
      <c r="E524" s="879"/>
      <c r="F524" s="879"/>
      <c r="G524" s="624">
        <v>44639</v>
      </c>
      <c r="H524" s="879"/>
      <c r="I524" s="879"/>
      <c r="J524" s="835">
        <v>2021</v>
      </c>
      <c r="K524" s="669">
        <v>2022</v>
      </c>
      <c r="L524" s="613" t="s">
        <v>303</v>
      </c>
      <c r="M524" s="613">
        <f t="shared" si="94"/>
        <v>0</v>
      </c>
      <c r="N524" s="613">
        <f t="shared" si="95"/>
        <v>1</v>
      </c>
      <c r="O524" s="880"/>
      <c r="P524" s="880"/>
      <c r="Q524" s="836">
        <v>1</v>
      </c>
      <c r="R524" s="880"/>
      <c r="S524" s="880"/>
      <c r="T524" s="880"/>
      <c r="U524" s="613">
        <f t="shared" si="102"/>
        <v>1</v>
      </c>
      <c r="V524" s="879"/>
      <c r="W524" s="613" t="str">
        <f t="shared" si="97"/>
        <v>I</v>
      </c>
      <c r="X524" s="613" t="str">
        <f t="shared" si="98"/>
        <v>I</v>
      </c>
      <c r="Y524" s="613">
        <f t="shared" si="99"/>
        <v>2021</v>
      </c>
      <c r="Z524" s="613" t="str">
        <f t="shared" si="100"/>
        <v>I</v>
      </c>
      <c r="AA524" s="613" t="str">
        <f t="shared" si="101"/>
        <v>I</v>
      </c>
      <c r="AB524" s="613" t="str">
        <f t="shared" si="101"/>
        <v>I</v>
      </c>
      <c r="AC524" s="879"/>
      <c r="AD524" s="880"/>
      <c r="AE524" s="881"/>
      <c r="AF524" s="644"/>
      <c r="AG524" s="879"/>
      <c r="AH524" s="879"/>
      <c r="AI524" s="879"/>
      <c r="AJ524" s="879"/>
      <c r="AK524" s="879"/>
      <c r="AL524" s="879"/>
      <c r="AM524" s="879"/>
      <c r="AN524" s="879"/>
      <c r="AO524" s="879"/>
      <c r="AP524" s="879"/>
      <c r="AQ524" s="879"/>
      <c r="AR524" s="879"/>
      <c r="AS524" s="879"/>
    </row>
    <row r="525" spans="1:45" x14ac:dyDescent="0.2">
      <c r="A525" s="527">
        <v>523</v>
      </c>
      <c r="B525" s="879"/>
      <c r="C525" s="879" t="s">
        <v>3493</v>
      </c>
      <c r="D525" s="879"/>
      <c r="E525" s="879"/>
      <c r="F525" s="879"/>
      <c r="G525" s="624">
        <v>44639</v>
      </c>
      <c r="H525" s="879"/>
      <c r="I525" s="879"/>
      <c r="J525" s="835">
        <v>2021</v>
      </c>
      <c r="K525" s="669">
        <v>2022</v>
      </c>
      <c r="L525" s="613" t="s">
        <v>303</v>
      </c>
      <c r="M525" s="613">
        <f t="shared" si="94"/>
        <v>0</v>
      </c>
      <c r="N525" s="613">
        <f t="shared" si="95"/>
        <v>1</v>
      </c>
      <c r="O525" s="880"/>
      <c r="P525" s="880"/>
      <c r="Q525" s="836">
        <v>1</v>
      </c>
      <c r="R525" s="880"/>
      <c r="S525" s="880"/>
      <c r="T525" s="880"/>
      <c r="U525" s="613">
        <f t="shared" si="102"/>
        <v>1</v>
      </c>
      <c r="V525" s="879"/>
      <c r="W525" s="613" t="str">
        <f t="shared" si="97"/>
        <v>I</v>
      </c>
      <c r="X525" s="613" t="str">
        <f t="shared" si="98"/>
        <v>I</v>
      </c>
      <c r="Y525" s="613">
        <f t="shared" si="99"/>
        <v>2021</v>
      </c>
      <c r="Z525" s="613" t="str">
        <f t="shared" si="100"/>
        <v>I</v>
      </c>
      <c r="AA525" s="613" t="str">
        <f t="shared" si="101"/>
        <v>I</v>
      </c>
      <c r="AB525" s="613" t="str">
        <f t="shared" si="101"/>
        <v>I</v>
      </c>
      <c r="AC525" s="879"/>
      <c r="AD525" s="880"/>
      <c r="AE525" s="881"/>
      <c r="AF525" s="644"/>
      <c r="AG525" s="879"/>
      <c r="AH525" s="879"/>
      <c r="AI525" s="879"/>
      <c r="AJ525" s="879"/>
      <c r="AK525" s="879"/>
      <c r="AL525" s="879"/>
      <c r="AM525" s="879"/>
      <c r="AN525" s="879"/>
      <c r="AO525" s="879"/>
      <c r="AP525" s="879"/>
      <c r="AQ525" s="879"/>
      <c r="AR525" s="879"/>
      <c r="AS525" s="879"/>
    </row>
    <row r="526" spans="1:45" x14ac:dyDescent="0.2">
      <c r="A526" s="527">
        <v>524</v>
      </c>
      <c r="B526" s="879"/>
      <c r="C526" s="879" t="s">
        <v>3494</v>
      </c>
      <c r="D526" s="879"/>
      <c r="E526" s="879"/>
      <c r="F526" s="879"/>
      <c r="G526" s="624">
        <v>44639</v>
      </c>
      <c r="H526" s="879"/>
      <c r="I526" s="879"/>
      <c r="J526" s="835">
        <v>2021</v>
      </c>
      <c r="K526" s="669">
        <v>2022</v>
      </c>
      <c r="L526" s="613" t="s">
        <v>303</v>
      </c>
      <c r="M526" s="613">
        <f t="shared" si="94"/>
        <v>0</v>
      </c>
      <c r="N526" s="613">
        <f t="shared" si="95"/>
        <v>1</v>
      </c>
      <c r="O526" s="880"/>
      <c r="P526" s="880"/>
      <c r="Q526" s="836">
        <v>1</v>
      </c>
      <c r="R526" s="880"/>
      <c r="S526" s="880"/>
      <c r="T526" s="880"/>
      <c r="U526" s="613">
        <f t="shared" si="102"/>
        <v>1</v>
      </c>
      <c r="V526" s="879"/>
      <c r="W526" s="613" t="str">
        <f t="shared" si="97"/>
        <v>I</v>
      </c>
      <c r="X526" s="613" t="str">
        <f t="shared" si="98"/>
        <v>I</v>
      </c>
      <c r="Y526" s="613">
        <f t="shared" si="99"/>
        <v>2021</v>
      </c>
      <c r="Z526" s="613" t="str">
        <f t="shared" si="100"/>
        <v>I</v>
      </c>
      <c r="AA526" s="613" t="str">
        <f t="shared" si="101"/>
        <v>I</v>
      </c>
      <c r="AB526" s="613" t="str">
        <f t="shared" si="101"/>
        <v>I</v>
      </c>
      <c r="AC526" s="879"/>
      <c r="AD526" s="880"/>
      <c r="AE526" s="881"/>
      <c r="AF526" s="644"/>
      <c r="AG526" s="879"/>
      <c r="AH526" s="879"/>
      <c r="AI526" s="879"/>
      <c r="AJ526" s="879"/>
      <c r="AK526" s="879"/>
      <c r="AL526" s="879"/>
      <c r="AM526" s="879"/>
      <c r="AN526" s="879"/>
      <c r="AO526" s="879"/>
      <c r="AP526" s="879"/>
      <c r="AQ526" s="879"/>
      <c r="AR526" s="879"/>
      <c r="AS526" s="879"/>
    </row>
    <row r="527" spans="1:45" x14ac:dyDescent="0.2">
      <c r="A527" s="527">
        <v>525</v>
      </c>
      <c r="B527" s="879"/>
      <c r="C527" s="879" t="s">
        <v>3495</v>
      </c>
      <c r="D527" s="879"/>
      <c r="E527" s="879"/>
      <c r="F527" s="879"/>
      <c r="G527" s="624">
        <v>44639</v>
      </c>
      <c r="H527" s="879"/>
      <c r="I527" s="879"/>
      <c r="J527" s="835">
        <v>2021</v>
      </c>
      <c r="K527" s="669">
        <v>2022</v>
      </c>
      <c r="L527" s="613" t="s">
        <v>303</v>
      </c>
      <c r="M527" s="613">
        <f t="shared" si="94"/>
        <v>0</v>
      </c>
      <c r="N527" s="613">
        <f t="shared" si="95"/>
        <v>1</v>
      </c>
      <c r="O527" s="880"/>
      <c r="P527" s="880"/>
      <c r="Q527" s="836">
        <v>1</v>
      </c>
      <c r="R527" s="880"/>
      <c r="S527" s="880"/>
      <c r="T527" s="880"/>
      <c r="U527" s="613">
        <f t="shared" si="102"/>
        <v>1</v>
      </c>
      <c r="V527" s="879"/>
      <c r="W527" s="613" t="str">
        <f t="shared" si="97"/>
        <v>I</v>
      </c>
      <c r="X527" s="613" t="str">
        <f t="shared" si="98"/>
        <v>I</v>
      </c>
      <c r="Y527" s="613">
        <f t="shared" si="99"/>
        <v>2021</v>
      </c>
      <c r="Z527" s="613" t="str">
        <f t="shared" si="100"/>
        <v>I</v>
      </c>
      <c r="AA527" s="613" t="str">
        <f t="shared" si="101"/>
        <v>I</v>
      </c>
      <c r="AB527" s="613" t="str">
        <f t="shared" si="101"/>
        <v>I</v>
      </c>
      <c r="AC527" s="879"/>
      <c r="AD527" s="880"/>
      <c r="AE527" s="881"/>
      <c r="AF527" s="644"/>
      <c r="AG527" s="879"/>
      <c r="AH527" s="879"/>
      <c r="AI527" s="879"/>
      <c r="AJ527" s="879"/>
      <c r="AK527" s="879"/>
      <c r="AL527" s="879"/>
      <c r="AM527" s="879"/>
      <c r="AN527" s="879"/>
      <c r="AO527" s="879"/>
      <c r="AP527" s="879"/>
      <c r="AQ527" s="879"/>
      <c r="AR527" s="879"/>
      <c r="AS527" s="879"/>
    </row>
    <row r="528" spans="1:45" x14ac:dyDescent="0.2">
      <c r="A528" s="527">
        <v>526</v>
      </c>
      <c r="B528" s="879"/>
      <c r="C528" s="879" t="s">
        <v>3496</v>
      </c>
      <c r="D528" s="879"/>
      <c r="E528" s="879"/>
      <c r="F528" s="879"/>
      <c r="G528" s="624">
        <v>44639</v>
      </c>
      <c r="H528" s="879"/>
      <c r="I528" s="879"/>
      <c r="J528" s="835">
        <v>2021</v>
      </c>
      <c r="K528" s="669">
        <v>2022</v>
      </c>
      <c r="L528" s="613" t="s">
        <v>303</v>
      </c>
      <c r="M528" s="613">
        <f t="shared" si="94"/>
        <v>0</v>
      </c>
      <c r="N528" s="613">
        <f t="shared" si="95"/>
        <v>1</v>
      </c>
      <c r="O528" s="880"/>
      <c r="P528" s="880"/>
      <c r="Q528" s="836">
        <v>1</v>
      </c>
      <c r="R528" s="880"/>
      <c r="S528" s="880"/>
      <c r="T528" s="880"/>
      <c r="U528" s="613">
        <f t="shared" si="102"/>
        <v>1</v>
      </c>
      <c r="V528" s="879"/>
      <c r="W528" s="613" t="str">
        <f t="shared" si="97"/>
        <v>I</v>
      </c>
      <c r="X528" s="613" t="str">
        <f t="shared" si="98"/>
        <v>I</v>
      </c>
      <c r="Y528" s="613">
        <f t="shared" si="99"/>
        <v>2021</v>
      </c>
      <c r="Z528" s="613" t="str">
        <f t="shared" si="100"/>
        <v>I</v>
      </c>
      <c r="AA528" s="613" t="str">
        <f t="shared" si="101"/>
        <v>I</v>
      </c>
      <c r="AB528" s="613" t="str">
        <f t="shared" si="101"/>
        <v>I</v>
      </c>
      <c r="AC528" s="879"/>
      <c r="AD528" s="880"/>
      <c r="AE528" s="881"/>
      <c r="AF528" s="644"/>
      <c r="AG528" s="879"/>
      <c r="AH528" s="879"/>
      <c r="AI528" s="879"/>
      <c r="AJ528" s="879"/>
      <c r="AK528" s="879"/>
      <c r="AL528" s="879"/>
      <c r="AM528" s="879"/>
      <c r="AN528" s="879"/>
      <c r="AO528" s="879"/>
      <c r="AP528" s="879"/>
      <c r="AQ528" s="879"/>
      <c r="AR528" s="879"/>
      <c r="AS528" s="879"/>
    </row>
    <row r="529" spans="1:45" x14ac:dyDescent="0.2">
      <c r="A529" s="527">
        <v>527</v>
      </c>
      <c r="B529" s="879"/>
      <c r="C529" s="879" t="s">
        <v>3497</v>
      </c>
      <c r="D529" s="879"/>
      <c r="E529" s="879"/>
      <c r="F529" s="879"/>
      <c r="G529" s="624">
        <v>44639</v>
      </c>
      <c r="H529" s="879"/>
      <c r="I529" s="879"/>
      <c r="J529" s="835">
        <v>2021</v>
      </c>
      <c r="K529" s="669">
        <v>2022</v>
      </c>
      <c r="L529" s="613" t="s">
        <v>303</v>
      </c>
      <c r="M529" s="613">
        <f t="shared" si="94"/>
        <v>0</v>
      </c>
      <c r="N529" s="613">
        <f t="shared" si="95"/>
        <v>1</v>
      </c>
      <c r="O529" s="880"/>
      <c r="P529" s="880"/>
      <c r="Q529" s="836">
        <v>1</v>
      </c>
      <c r="R529" s="880"/>
      <c r="S529" s="880"/>
      <c r="T529" s="880"/>
      <c r="U529" s="613">
        <f t="shared" si="102"/>
        <v>1</v>
      </c>
      <c r="V529" s="879"/>
      <c r="W529" s="613" t="str">
        <f t="shared" si="97"/>
        <v>I</v>
      </c>
      <c r="X529" s="613" t="str">
        <f t="shared" si="98"/>
        <v>I</v>
      </c>
      <c r="Y529" s="613">
        <f t="shared" si="99"/>
        <v>2021</v>
      </c>
      <c r="Z529" s="613" t="str">
        <f t="shared" si="100"/>
        <v>I</v>
      </c>
      <c r="AA529" s="613" t="str">
        <f t="shared" si="101"/>
        <v>I</v>
      </c>
      <c r="AB529" s="613" t="str">
        <f t="shared" si="101"/>
        <v>I</v>
      </c>
      <c r="AC529" s="879"/>
      <c r="AD529" s="880"/>
      <c r="AE529" s="881"/>
      <c r="AF529" s="644"/>
      <c r="AG529" s="879"/>
      <c r="AH529" s="879"/>
      <c r="AI529" s="879"/>
      <c r="AJ529" s="879"/>
      <c r="AK529" s="879"/>
      <c r="AL529" s="879"/>
      <c r="AM529" s="879"/>
      <c r="AN529" s="879"/>
      <c r="AO529" s="879"/>
      <c r="AP529" s="879"/>
      <c r="AQ529" s="879"/>
      <c r="AR529" s="879"/>
      <c r="AS529" s="879"/>
    </row>
    <row r="530" spans="1:45" x14ac:dyDescent="0.2">
      <c r="A530" s="527">
        <v>528</v>
      </c>
      <c r="B530" s="879"/>
      <c r="C530" s="879" t="s">
        <v>3498</v>
      </c>
      <c r="D530" s="879"/>
      <c r="E530" s="879"/>
      <c r="F530" s="879"/>
      <c r="G530" s="624">
        <v>44639</v>
      </c>
      <c r="H530" s="879"/>
      <c r="I530" s="879"/>
      <c r="J530" s="835">
        <v>2021</v>
      </c>
      <c r="K530" s="669">
        <v>2022</v>
      </c>
      <c r="L530" s="613" t="s">
        <v>303</v>
      </c>
      <c r="M530" s="613">
        <f t="shared" si="94"/>
        <v>0</v>
      </c>
      <c r="N530" s="613">
        <f t="shared" si="95"/>
        <v>1</v>
      </c>
      <c r="O530" s="880"/>
      <c r="P530" s="880"/>
      <c r="Q530" s="836">
        <v>1</v>
      </c>
      <c r="R530" s="880"/>
      <c r="S530" s="880"/>
      <c r="T530" s="880"/>
      <c r="U530" s="613">
        <f t="shared" si="102"/>
        <v>1</v>
      </c>
      <c r="V530" s="879"/>
      <c r="W530" s="613" t="str">
        <f t="shared" si="97"/>
        <v>I</v>
      </c>
      <c r="X530" s="613" t="str">
        <f t="shared" si="98"/>
        <v>I</v>
      </c>
      <c r="Y530" s="613">
        <f t="shared" si="99"/>
        <v>2021</v>
      </c>
      <c r="Z530" s="613" t="str">
        <f t="shared" si="100"/>
        <v>I</v>
      </c>
      <c r="AA530" s="613" t="str">
        <f t="shared" si="101"/>
        <v>I</v>
      </c>
      <c r="AB530" s="613" t="str">
        <f t="shared" si="101"/>
        <v>I</v>
      </c>
      <c r="AC530" s="879"/>
      <c r="AD530" s="880"/>
      <c r="AE530" s="881"/>
      <c r="AF530" s="644"/>
      <c r="AG530" s="879"/>
      <c r="AH530" s="879"/>
      <c r="AI530" s="879"/>
      <c r="AJ530" s="879"/>
      <c r="AK530" s="879"/>
      <c r="AL530" s="879"/>
      <c r="AM530" s="879"/>
      <c r="AN530" s="879"/>
      <c r="AO530" s="879"/>
      <c r="AP530" s="879"/>
      <c r="AQ530" s="879"/>
      <c r="AR530" s="879"/>
      <c r="AS530" s="879"/>
    </row>
    <row r="531" spans="1:45" x14ac:dyDescent="0.2">
      <c r="A531" s="527">
        <v>529</v>
      </c>
      <c r="B531" s="879"/>
      <c r="C531" s="879" t="s">
        <v>3511</v>
      </c>
      <c r="D531" s="879"/>
      <c r="E531" s="879"/>
      <c r="F531" s="879"/>
      <c r="G531" s="624">
        <v>44654</v>
      </c>
      <c r="H531" s="879"/>
      <c r="I531" s="879"/>
      <c r="J531" s="835">
        <v>2021</v>
      </c>
      <c r="K531" s="669">
        <v>2022</v>
      </c>
      <c r="L531" s="613" t="s">
        <v>303</v>
      </c>
      <c r="M531" s="613">
        <f t="shared" si="94"/>
        <v>0</v>
      </c>
      <c r="N531" s="613">
        <f t="shared" si="95"/>
        <v>1</v>
      </c>
      <c r="O531" s="880"/>
      <c r="P531" s="880"/>
      <c r="Q531" s="836">
        <v>1</v>
      </c>
      <c r="R531" s="880"/>
      <c r="S531" s="880"/>
      <c r="T531" s="880"/>
      <c r="U531" s="613">
        <f t="shared" si="102"/>
        <v>1</v>
      </c>
      <c r="V531" s="879"/>
      <c r="W531" s="613" t="str">
        <f t="shared" si="97"/>
        <v>I</v>
      </c>
      <c r="X531" s="613" t="str">
        <f t="shared" si="98"/>
        <v>I</v>
      </c>
      <c r="Y531" s="613">
        <f t="shared" si="99"/>
        <v>2021</v>
      </c>
      <c r="Z531" s="613" t="str">
        <f t="shared" si="100"/>
        <v>I</v>
      </c>
      <c r="AA531" s="613" t="str">
        <f t="shared" si="101"/>
        <v>I</v>
      </c>
      <c r="AB531" s="613" t="str">
        <f t="shared" si="101"/>
        <v>I</v>
      </c>
      <c r="AC531" s="879"/>
      <c r="AD531" s="880"/>
      <c r="AE531" s="881"/>
      <c r="AF531" s="644"/>
      <c r="AG531" s="879"/>
      <c r="AH531" s="879"/>
      <c r="AI531" s="879"/>
      <c r="AJ531" s="879"/>
      <c r="AK531" s="879"/>
      <c r="AL531" s="879"/>
      <c r="AM531" s="879"/>
      <c r="AN531" s="879"/>
      <c r="AO531" s="879"/>
      <c r="AP531" s="879"/>
      <c r="AQ531" s="879"/>
      <c r="AR531" s="879"/>
      <c r="AS531" s="879"/>
    </row>
    <row r="532" spans="1:45" x14ac:dyDescent="0.2">
      <c r="A532" s="527">
        <v>530</v>
      </c>
      <c r="B532" s="879"/>
      <c r="C532" s="879" t="s">
        <v>3514</v>
      </c>
      <c r="D532" s="879"/>
      <c r="E532" s="879"/>
      <c r="F532" s="879"/>
      <c r="G532" s="624">
        <v>44668</v>
      </c>
      <c r="H532" s="879"/>
      <c r="I532" s="879"/>
      <c r="J532" s="835">
        <v>2021</v>
      </c>
      <c r="K532" s="669">
        <v>2022</v>
      </c>
      <c r="L532" s="613" t="s">
        <v>303</v>
      </c>
      <c r="M532" s="613">
        <f t="shared" si="94"/>
        <v>0</v>
      </c>
      <c r="N532" s="613">
        <f t="shared" si="95"/>
        <v>1</v>
      </c>
      <c r="O532" s="880"/>
      <c r="P532" s="880"/>
      <c r="Q532" s="836">
        <v>1</v>
      </c>
      <c r="R532" s="880"/>
      <c r="S532" s="880"/>
      <c r="T532" s="880"/>
      <c r="U532" s="613">
        <f t="shared" si="102"/>
        <v>1</v>
      </c>
      <c r="V532" s="879"/>
      <c r="W532" s="613" t="str">
        <f t="shared" si="97"/>
        <v>I</v>
      </c>
      <c r="X532" s="613" t="str">
        <f t="shared" si="98"/>
        <v>I</v>
      </c>
      <c r="Y532" s="613">
        <f t="shared" si="99"/>
        <v>2021</v>
      </c>
      <c r="Z532" s="613" t="str">
        <f t="shared" si="100"/>
        <v>I</v>
      </c>
      <c r="AA532" s="613" t="str">
        <f t="shared" si="101"/>
        <v>I</v>
      </c>
      <c r="AB532" s="613" t="str">
        <f t="shared" si="101"/>
        <v>I</v>
      </c>
      <c r="AC532" s="879"/>
      <c r="AD532" s="880"/>
      <c r="AE532" s="881"/>
      <c r="AF532" s="644"/>
      <c r="AG532" s="879"/>
      <c r="AH532" s="879"/>
      <c r="AI532" s="879"/>
      <c r="AJ532" s="879"/>
      <c r="AK532" s="879"/>
      <c r="AL532" s="879"/>
      <c r="AM532" s="879"/>
      <c r="AN532" s="879"/>
      <c r="AO532" s="879"/>
      <c r="AP532" s="879"/>
      <c r="AQ532" s="879"/>
      <c r="AR532" s="879"/>
      <c r="AS532" s="879"/>
    </row>
    <row r="533" spans="1:45" x14ac:dyDescent="0.2">
      <c r="A533" s="527">
        <v>531</v>
      </c>
      <c r="B533" s="879"/>
      <c r="C533" s="879" t="s">
        <v>3513</v>
      </c>
      <c r="D533" s="879"/>
      <c r="E533" s="879"/>
      <c r="F533" s="879"/>
      <c r="G533" s="624">
        <v>44668</v>
      </c>
      <c r="H533" s="879"/>
      <c r="I533" s="879"/>
      <c r="J533" s="835">
        <v>2020</v>
      </c>
      <c r="K533" s="669">
        <v>2022</v>
      </c>
      <c r="L533" s="613" t="s">
        <v>336</v>
      </c>
      <c r="M533" s="613">
        <f t="shared" si="94"/>
        <v>1</v>
      </c>
      <c r="N533" s="613">
        <f t="shared" si="95"/>
        <v>0</v>
      </c>
      <c r="O533" s="880"/>
      <c r="P533" s="880"/>
      <c r="Q533" s="836">
        <v>1</v>
      </c>
      <c r="R533" s="880"/>
      <c r="S533" s="880"/>
      <c r="T533" s="880"/>
      <c r="U533" s="613">
        <f t="shared" si="102"/>
        <v>1</v>
      </c>
      <c r="V533" s="879"/>
      <c r="W533" s="613" t="str">
        <f t="shared" si="97"/>
        <v>I</v>
      </c>
      <c r="X533" s="613" t="str">
        <f t="shared" si="98"/>
        <v>I</v>
      </c>
      <c r="Y533" s="613">
        <f t="shared" si="99"/>
        <v>2020</v>
      </c>
      <c r="Z533" s="613" t="str">
        <f t="shared" si="100"/>
        <v>I</v>
      </c>
      <c r="AA533" s="613" t="str">
        <f t="shared" si="101"/>
        <v>I</v>
      </c>
      <c r="AB533" s="613" t="str">
        <f t="shared" si="101"/>
        <v>I</v>
      </c>
      <c r="AC533" s="879"/>
      <c r="AD533" s="880"/>
      <c r="AE533" s="881"/>
      <c r="AF533" s="644"/>
      <c r="AG533" s="879"/>
      <c r="AH533" s="879"/>
      <c r="AI533" s="879"/>
      <c r="AJ533" s="879"/>
      <c r="AK533" s="879"/>
      <c r="AL533" s="879"/>
      <c r="AM533" s="879"/>
      <c r="AN533" s="879"/>
      <c r="AO533" s="879"/>
      <c r="AP533" s="879"/>
      <c r="AQ533" s="879"/>
      <c r="AR533" s="879"/>
      <c r="AS533" s="879"/>
    </row>
    <row r="534" spans="1:45" x14ac:dyDescent="0.2">
      <c r="A534" s="527">
        <v>532</v>
      </c>
      <c r="B534" s="879"/>
      <c r="C534" s="879" t="s">
        <v>3516</v>
      </c>
      <c r="D534" s="879"/>
      <c r="E534" s="879"/>
      <c r="F534" s="879"/>
      <c r="G534" s="624">
        <v>44690</v>
      </c>
      <c r="H534" s="879"/>
      <c r="I534" s="879"/>
      <c r="J534" s="835">
        <v>2021</v>
      </c>
      <c r="K534" s="669">
        <v>2022</v>
      </c>
      <c r="L534" s="613" t="s">
        <v>303</v>
      </c>
      <c r="M534" s="613">
        <f t="shared" si="94"/>
        <v>0</v>
      </c>
      <c r="N534" s="613">
        <f t="shared" si="95"/>
        <v>1</v>
      </c>
      <c r="O534" s="880"/>
      <c r="P534" s="880"/>
      <c r="Q534" s="836">
        <v>1</v>
      </c>
      <c r="R534" s="880"/>
      <c r="S534" s="880"/>
      <c r="T534" s="880"/>
      <c r="U534" s="613">
        <f t="shared" si="102"/>
        <v>1</v>
      </c>
      <c r="V534" s="879"/>
      <c r="W534" s="613" t="str">
        <f t="shared" si="97"/>
        <v>I</v>
      </c>
      <c r="X534" s="613" t="str">
        <f t="shared" si="98"/>
        <v>I</v>
      </c>
      <c r="Y534" s="613">
        <f t="shared" si="99"/>
        <v>2021</v>
      </c>
      <c r="Z534" s="613" t="str">
        <f t="shared" si="100"/>
        <v>I</v>
      </c>
      <c r="AA534" s="613" t="str">
        <f t="shared" si="101"/>
        <v>I</v>
      </c>
      <c r="AB534" s="613" t="str">
        <f t="shared" si="101"/>
        <v>I</v>
      </c>
      <c r="AC534" s="879"/>
      <c r="AD534" s="880"/>
      <c r="AE534" s="881"/>
      <c r="AF534" s="644"/>
      <c r="AG534" s="879"/>
      <c r="AH534" s="879"/>
      <c r="AI534" s="879"/>
      <c r="AJ534" s="879"/>
      <c r="AK534" s="879"/>
      <c r="AL534" s="879"/>
      <c r="AM534" s="879"/>
      <c r="AN534" s="879"/>
      <c r="AO534" s="879"/>
      <c r="AP534" s="879"/>
      <c r="AQ534" s="879"/>
      <c r="AR534" s="879"/>
      <c r="AS534" s="879"/>
    </row>
    <row r="535" spans="1:45" x14ac:dyDescent="0.2">
      <c r="A535" s="527">
        <v>533</v>
      </c>
      <c r="B535" s="879"/>
      <c r="C535" s="879" t="s">
        <v>3517</v>
      </c>
      <c r="D535" s="879"/>
      <c r="E535" s="879"/>
      <c r="F535" s="879"/>
      <c r="G535" s="624">
        <v>44690</v>
      </c>
      <c r="H535" s="879"/>
      <c r="I535" s="879"/>
      <c r="J535" s="835">
        <v>2022</v>
      </c>
      <c r="K535" s="669">
        <v>2022</v>
      </c>
      <c r="L535" s="613" t="s">
        <v>303</v>
      </c>
      <c r="M535" s="613">
        <f t="shared" si="94"/>
        <v>0</v>
      </c>
      <c r="N535" s="613">
        <f t="shared" si="95"/>
        <v>1</v>
      </c>
      <c r="O535" s="880"/>
      <c r="P535" s="880"/>
      <c r="Q535" s="836">
        <v>1</v>
      </c>
      <c r="R535" s="880"/>
      <c r="S535" s="880"/>
      <c r="T535" s="880"/>
      <c r="U535" s="613">
        <f t="shared" si="102"/>
        <v>1</v>
      </c>
      <c r="V535" s="879"/>
      <c r="W535" s="613" t="str">
        <f t="shared" si="97"/>
        <v>I</v>
      </c>
      <c r="X535" s="613" t="str">
        <f t="shared" si="98"/>
        <v>I</v>
      </c>
      <c r="Y535" s="613">
        <f t="shared" si="99"/>
        <v>2022</v>
      </c>
      <c r="Z535" s="613" t="str">
        <f t="shared" si="100"/>
        <v>I</v>
      </c>
      <c r="AA535" s="613" t="str">
        <f t="shared" si="101"/>
        <v>I</v>
      </c>
      <c r="AB535" s="613" t="str">
        <f t="shared" si="101"/>
        <v>I</v>
      </c>
      <c r="AC535" s="879"/>
      <c r="AD535" s="880"/>
      <c r="AE535" s="881"/>
      <c r="AF535" s="644"/>
      <c r="AG535" s="879"/>
      <c r="AH535" s="879"/>
      <c r="AI535" s="879"/>
      <c r="AJ535" s="879"/>
      <c r="AK535" s="879"/>
      <c r="AL535" s="879"/>
      <c r="AM535" s="879"/>
      <c r="AN535" s="879"/>
      <c r="AO535" s="879"/>
      <c r="AP535" s="879"/>
      <c r="AQ535" s="879"/>
      <c r="AR535" s="879"/>
      <c r="AS535" s="879"/>
    </row>
    <row r="536" spans="1:45" x14ac:dyDescent="0.2">
      <c r="A536" s="527">
        <v>534</v>
      </c>
      <c r="B536" s="879"/>
      <c r="C536" s="879" t="s">
        <v>3518</v>
      </c>
      <c r="D536" s="879"/>
      <c r="E536" s="879"/>
      <c r="F536" s="879"/>
      <c r="G536" s="624">
        <v>44690</v>
      </c>
      <c r="H536" s="879"/>
      <c r="I536" s="879"/>
      <c r="J536" s="835">
        <v>2020</v>
      </c>
      <c r="K536" s="669">
        <v>2022</v>
      </c>
      <c r="L536" s="613" t="s">
        <v>336</v>
      </c>
      <c r="M536" s="613">
        <f t="shared" si="94"/>
        <v>1</v>
      </c>
      <c r="N536" s="613">
        <f t="shared" si="95"/>
        <v>0</v>
      </c>
      <c r="O536" s="880"/>
      <c r="P536" s="880"/>
      <c r="Q536" s="836">
        <v>1</v>
      </c>
      <c r="R536" s="880"/>
      <c r="S536" s="880"/>
      <c r="T536" s="880"/>
      <c r="U536" s="613">
        <f t="shared" si="102"/>
        <v>1</v>
      </c>
      <c r="V536" s="879"/>
      <c r="W536" s="613" t="str">
        <f t="shared" si="97"/>
        <v>I</v>
      </c>
      <c r="X536" s="613" t="str">
        <f t="shared" si="98"/>
        <v>I</v>
      </c>
      <c r="Y536" s="613">
        <f t="shared" si="99"/>
        <v>2020</v>
      </c>
      <c r="Z536" s="613" t="str">
        <f t="shared" si="100"/>
        <v>I</v>
      </c>
      <c r="AA536" s="613" t="str">
        <f t="shared" si="101"/>
        <v>I</v>
      </c>
      <c r="AB536" s="613" t="str">
        <f t="shared" si="101"/>
        <v>I</v>
      </c>
      <c r="AC536" s="879"/>
      <c r="AD536" s="880"/>
      <c r="AE536" s="881"/>
      <c r="AF536" s="644"/>
      <c r="AG536" s="879"/>
      <c r="AH536" s="879"/>
      <c r="AI536" s="879"/>
      <c r="AJ536" s="879"/>
      <c r="AK536" s="879"/>
      <c r="AL536" s="879"/>
      <c r="AM536" s="879"/>
      <c r="AN536" s="879"/>
      <c r="AO536" s="879"/>
      <c r="AP536" s="879"/>
      <c r="AQ536" s="879"/>
      <c r="AR536" s="879"/>
      <c r="AS536" s="879"/>
    </row>
    <row r="537" spans="1:45" x14ac:dyDescent="0.2">
      <c r="A537" s="527">
        <v>535</v>
      </c>
      <c r="B537" s="879"/>
      <c r="C537" s="879" t="s">
        <v>3519</v>
      </c>
      <c r="D537" s="879"/>
      <c r="E537" s="879"/>
      <c r="F537" s="879"/>
      <c r="G537" s="624">
        <v>44690</v>
      </c>
      <c r="H537" s="879"/>
      <c r="I537" s="879"/>
      <c r="J537" s="835">
        <v>2017</v>
      </c>
      <c r="K537" s="669">
        <v>2022</v>
      </c>
      <c r="L537" s="613" t="s">
        <v>336</v>
      </c>
      <c r="M537" s="613">
        <f t="shared" ref="M537:M568" si="103">IF(AND(L537="F",Q537=1),1,0)</f>
        <v>1</v>
      </c>
      <c r="N537" s="613">
        <f t="shared" ref="N537:N568" si="104">IF(AND(L537="P",Q537=1),1,0)</f>
        <v>0</v>
      </c>
      <c r="O537" s="880"/>
      <c r="P537" s="880"/>
      <c r="Q537" s="836">
        <v>1</v>
      </c>
      <c r="R537" s="880"/>
      <c r="S537" s="880"/>
      <c r="T537" s="880"/>
      <c r="U537" s="613">
        <f t="shared" si="102"/>
        <v>1</v>
      </c>
      <c r="V537" s="879"/>
      <c r="W537" s="613" t="str">
        <f t="shared" si="97"/>
        <v>I</v>
      </c>
      <c r="X537" s="613" t="str">
        <f t="shared" si="98"/>
        <v>I</v>
      </c>
      <c r="Y537" s="613">
        <f t="shared" si="99"/>
        <v>2017</v>
      </c>
      <c r="Z537" s="613" t="str">
        <f t="shared" si="100"/>
        <v>I</v>
      </c>
      <c r="AA537" s="613" t="str">
        <f t="shared" si="101"/>
        <v>I</v>
      </c>
      <c r="AB537" s="613" t="str">
        <f t="shared" si="101"/>
        <v>I</v>
      </c>
      <c r="AC537" s="879"/>
      <c r="AD537" s="880"/>
      <c r="AE537" s="881"/>
      <c r="AF537" s="644"/>
      <c r="AG537" s="879"/>
      <c r="AH537" s="879"/>
      <c r="AI537" s="879"/>
      <c r="AJ537" s="879"/>
      <c r="AK537" s="879"/>
      <c r="AL537" s="879"/>
      <c r="AM537" s="879"/>
      <c r="AN537" s="879"/>
      <c r="AO537" s="879"/>
      <c r="AP537" s="879"/>
      <c r="AQ537" s="879"/>
      <c r="AR537" s="879"/>
      <c r="AS537" s="879"/>
    </row>
    <row r="538" spans="1:45" x14ac:dyDescent="0.2">
      <c r="A538" s="527">
        <v>536</v>
      </c>
      <c r="B538" s="879"/>
      <c r="C538" s="879" t="s">
        <v>3520</v>
      </c>
      <c r="D538" s="879"/>
      <c r="E538" s="879"/>
      <c r="F538" s="879"/>
      <c r="G538" s="624">
        <v>44694</v>
      </c>
      <c r="H538" s="879"/>
      <c r="I538" s="879"/>
      <c r="J538" s="835">
        <v>2021</v>
      </c>
      <c r="K538" s="669">
        <v>2022</v>
      </c>
      <c r="L538" s="613" t="s">
        <v>303</v>
      </c>
      <c r="M538" s="613">
        <f t="shared" si="103"/>
        <v>0</v>
      </c>
      <c r="N538" s="613">
        <f t="shared" si="104"/>
        <v>1</v>
      </c>
      <c r="O538" s="880"/>
      <c r="P538" s="880"/>
      <c r="Q538" s="836">
        <v>1</v>
      </c>
      <c r="R538" s="880"/>
      <c r="S538" s="880"/>
      <c r="T538" s="880"/>
      <c r="U538" s="613">
        <f t="shared" si="102"/>
        <v>1</v>
      </c>
      <c r="V538" s="879"/>
      <c r="W538" s="613" t="str">
        <f t="shared" si="97"/>
        <v>I</v>
      </c>
      <c r="X538" s="613" t="str">
        <f t="shared" si="98"/>
        <v>I</v>
      </c>
      <c r="Y538" s="613">
        <f t="shared" si="99"/>
        <v>2021</v>
      </c>
      <c r="Z538" s="613" t="str">
        <f t="shared" si="100"/>
        <v>I</v>
      </c>
      <c r="AA538" s="613" t="str">
        <f t="shared" si="101"/>
        <v>I</v>
      </c>
      <c r="AB538" s="613" t="str">
        <f t="shared" si="101"/>
        <v>I</v>
      </c>
      <c r="AC538" s="879"/>
      <c r="AD538" s="880"/>
      <c r="AE538" s="881"/>
      <c r="AF538" s="644"/>
      <c r="AG538" s="879"/>
      <c r="AH538" s="879"/>
      <c r="AI538" s="879"/>
      <c r="AJ538" s="879"/>
      <c r="AK538" s="879"/>
      <c r="AL538" s="879"/>
      <c r="AM538" s="879"/>
      <c r="AN538" s="879"/>
      <c r="AO538" s="879"/>
      <c r="AP538" s="879"/>
      <c r="AQ538" s="879"/>
      <c r="AR538" s="879"/>
      <c r="AS538" s="879"/>
    </row>
    <row r="539" spans="1:45" x14ac:dyDescent="0.2">
      <c r="A539" s="527">
        <v>537</v>
      </c>
      <c r="B539" s="879"/>
      <c r="C539" s="879" t="s">
        <v>3521</v>
      </c>
      <c r="D539" s="879"/>
      <c r="E539" s="879"/>
      <c r="F539" s="879"/>
      <c r="G539" s="624">
        <v>44694</v>
      </c>
      <c r="H539" s="879"/>
      <c r="I539" s="879"/>
      <c r="J539" s="835">
        <v>2021</v>
      </c>
      <c r="K539" s="669">
        <v>2022</v>
      </c>
      <c r="L539" s="613" t="s">
        <v>303</v>
      </c>
      <c r="M539" s="613">
        <f t="shared" si="103"/>
        <v>0</v>
      </c>
      <c r="N539" s="613">
        <f t="shared" si="104"/>
        <v>1</v>
      </c>
      <c r="O539" s="880"/>
      <c r="P539" s="880"/>
      <c r="Q539" s="836">
        <v>1</v>
      </c>
      <c r="R539" s="880"/>
      <c r="S539" s="880"/>
      <c r="T539" s="880"/>
      <c r="U539" s="613">
        <f t="shared" si="102"/>
        <v>1</v>
      </c>
      <c r="V539" s="879"/>
      <c r="W539" s="613" t="str">
        <f t="shared" si="97"/>
        <v>I</v>
      </c>
      <c r="X539" s="613" t="str">
        <f t="shared" si="98"/>
        <v>I</v>
      </c>
      <c r="Y539" s="613">
        <f t="shared" si="99"/>
        <v>2021</v>
      </c>
      <c r="Z539" s="613" t="str">
        <f t="shared" si="100"/>
        <v>I</v>
      </c>
      <c r="AA539" s="613" t="str">
        <f t="shared" si="101"/>
        <v>I</v>
      </c>
      <c r="AB539" s="613" t="str">
        <f t="shared" si="101"/>
        <v>I</v>
      </c>
      <c r="AC539" s="879"/>
      <c r="AD539" s="880"/>
      <c r="AE539" s="881"/>
      <c r="AF539" s="644"/>
      <c r="AG539" s="879"/>
      <c r="AH539" s="879"/>
      <c r="AI539" s="879"/>
      <c r="AJ539" s="879"/>
      <c r="AK539" s="879"/>
      <c r="AL539" s="879"/>
      <c r="AM539" s="879"/>
      <c r="AN539" s="879"/>
      <c r="AO539" s="879"/>
      <c r="AP539" s="879"/>
      <c r="AQ539" s="879"/>
      <c r="AR539" s="879"/>
      <c r="AS539" s="879"/>
    </row>
    <row r="540" spans="1:45" x14ac:dyDescent="0.2">
      <c r="A540" s="527">
        <v>538</v>
      </c>
      <c r="B540" s="879"/>
      <c r="C540" s="879" t="s">
        <v>3522</v>
      </c>
      <c r="D540" s="879"/>
      <c r="E540" s="879"/>
      <c r="F540" s="879"/>
      <c r="G540" s="624">
        <v>44694</v>
      </c>
      <c r="H540" s="879"/>
      <c r="I540" s="879"/>
      <c r="J540" s="835">
        <v>2021</v>
      </c>
      <c r="K540" s="669">
        <v>2022</v>
      </c>
      <c r="L540" s="613" t="s">
        <v>303</v>
      </c>
      <c r="M540" s="613">
        <f t="shared" si="103"/>
        <v>0</v>
      </c>
      <c r="N540" s="613">
        <f t="shared" si="104"/>
        <v>1</v>
      </c>
      <c r="O540" s="880"/>
      <c r="P540" s="880"/>
      <c r="Q540" s="836">
        <v>1</v>
      </c>
      <c r="R540" s="880"/>
      <c r="S540" s="880"/>
      <c r="T540" s="880"/>
      <c r="U540" s="613">
        <f t="shared" si="102"/>
        <v>1</v>
      </c>
      <c r="V540" s="879"/>
      <c r="W540" s="613" t="str">
        <f t="shared" si="97"/>
        <v>I</v>
      </c>
      <c r="X540" s="613" t="str">
        <f t="shared" si="98"/>
        <v>I</v>
      </c>
      <c r="Y540" s="613">
        <f t="shared" si="99"/>
        <v>2021</v>
      </c>
      <c r="Z540" s="613" t="str">
        <f t="shared" si="100"/>
        <v>I</v>
      </c>
      <c r="AA540" s="613" t="str">
        <f t="shared" si="101"/>
        <v>I</v>
      </c>
      <c r="AB540" s="613" t="str">
        <f t="shared" si="101"/>
        <v>I</v>
      </c>
      <c r="AC540" s="879"/>
      <c r="AD540" s="880"/>
      <c r="AE540" s="881"/>
      <c r="AF540" s="644"/>
      <c r="AG540" s="879"/>
      <c r="AH540" s="879"/>
      <c r="AI540" s="879"/>
      <c r="AJ540" s="879"/>
      <c r="AK540" s="879"/>
      <c r="AL540" s="879"/>
      <c r="AM540" s="879"/>
      <c r="AN540" s="879"/>
      <c r="AO540" s="879"/>
      <c r="AP540" s="879"/>
      <c r="AQ540" s="879"/>
      <c r="AR540" s="879"/>
      <c r="AS540" s="879"/>
    </row>
    <row r="541" spans="1:45" x14ac:dyDescent="0.2">
      <c r="A541" s="527">
        <v>539</v>
      </c>
      <c r="B541" s="879"/>
      <c r="C541" s="879" t="s">
        <v>3531</v>
      </c>
      <c r="D541" s="879"/>
      <c r="E541" s="879"/>
      <c r="F541" s="879"/>
      <c r="G541" s="624">
        <v>44706</v>
      </c>
      <c r="H541" s="879"/>
      <c r="I541" s="879"/>
      <c r="J541" s="835">
        <v>2022</v>
      </c>
      <c r="K541" s="669">
        <v>2022</v>
      </c>
      <c r="L541" s="613" t="s">
        <v>303</v>
      </c>
      <c r="M541" s="613">
        <f t="shared" si="103"/>
        <v>0</v>
      </c>
      <c r="N541" s="613">
        <f t="shared" si="104"/>
        <v>1</v>
      </c>
      <c r="O541" s="880"/>
      <c r="P541" s="880"/>
      <c r="Q541" s="836">
        <v>1</v>
      </c>
      <c r="R541" s="880"/>
      <c r="S541" s="880"/>
      <c r="T541" s="880"/>
      <c r="U541" s="613">
        <f t="shared" si="102"/>
        <v>1</v>
      </c>
      <c r="V541" s="879"/>
      <c r="W541" s="613" t="str">
        <f t="shared" si="97"/>
        <v>I</v>
      </c>
      <c r="X541" s="613" t="str">
        <f t="shared" si="98"/>
        <v>I</v>
      </c>
      <c r="Y541" s="613">
        <f t="shared" si="99"/>
        <v>2022</v>
      </c>
      <c r="Z541" s="613" t="str">
        <f t="shared" si="100"/>
        <v>I</v>
      </c>
      <c r="AA541" s="613" t="str">
        <f t="shared" si="101"/>
        <v>I</v>
      </c>
      <c r="AB541" s="613" t="str">
        <f t="shared" si="101"/>
        <v>I</v>
      </c>
      <c r="AC541" s="879"/>
      <c r="AD541" s="880"/>
      <c r="AE541" s="881"/>
      <c r="AF541" s="644"/>
      <c r="AG541" s="879"/>
      <c r="AH541" s="879"/>
      <c r="AI541" s="879"/>
      <c r="AJ541" s="879"/>
      <c r="AK541" s="879"/>
      <c r="AL541" s="879"/>
      <c r="AM541" s="879"/>
      <c r="AN541" s="879"/>
      <c r="AO541" s="879"/>
      <c r="AP541" s="879"/>
      <c r="AQ541" s="879"/>
      <c r="AR541" s="879"/>
      <c r="AS541" s="879"/>
    </row>
    <row r="542" spans="1:45" x14ac:dyDescent="0.2">
      <c r="A542" s="527">
        <v>540</v>
      </c>
      <c r="B542" s="879"/>
      <c r="C542" s="879" t="s">
        <v>3532</v>
      </c>
      <c r="D542" s="879"/>
      <c r="E542" s="879"/>
      <c r="F542" s="879"/>
      <c r="G542" s="624">
        <v>44706</v>
      </c>
      <c r="H542" s="879"/>
      <c r="I542" s="879"/>
      <c r="J542" s="835">
        <v>2021</v>
      </c>
      <c r="K542" s="669">
        <v>2022</v>
      </c>
      <c r="L542" s="613" t="s">
        <v>303</v>
      </c>
      <c r="M542" s="613">
        <f t="shared" si="103"/>
        <v>0</v>
      </c>
      <c r="N542" s="613">
        <f t="shared" si="104"/>
        <v>1</v>
      </c>
      <c r="O542" s="880"/>
      <c r="P542" s="880"/>
      <c r="Q542" s="836">
        <v>1</v>
      </c>
      <c r="R542" s="880"/>
      <c r="S542" s="880"/>
      <c r="T542" s="880"/>
      <c r="U542" s="613">
        <f t="shared" si="102"/>
        <v>1</v>
      </c>
      <c r="V542" s="879"/>
      <c r="W542" s="613" t="str">
        <f t="shared" si="97"/>
        <v>I</v>
      </c>
      <c r="X542" s="613" t="str">
        <f t="shared" si="98"/>
        <v>I</v>
      </c>
      <c r="Y542" s="613">
        <f t="shared" si="99"/>
        <v>2021</v>
      </c>
      <c r="Z542" s="613" t="str">
        <f t="shared" si="100"/>
        <v>I</v>
      </c>
      <c r="AA542" s="613" t="str">
        <f t="shared" si="101"/>
        <v>I</v>
      </c>
      <c r="AB542" s="613" t="str">
        <f t="shared" si="101"/>
        <v>I</v>
      </c>
      <c r="AC542" s="879"/>
      <c r="AD542" s="880"/>
      <c r="AE542" s="881"/>
      <c r="AF542" s="644"/>
      <c r="AG542" s="879"/>
      <c r="AH542" s="879"/>
      <c r="AI542" s="879"/>
      <c r="AJ542" s="879"/>
      <c r="AK542" s="879"/>
      <c r="AL542" s="879"/>
      <c r="AM542" s="879"/>
      <c r="AN542" s="879"/>
      <c r="AO542" s="879"/>
      <c r="AP542" s="879"/>
      <c r="AQ542" s="879"/>
      <c r="AR542" s="879"/>
      <c r="AS542" s="879"/>
    </row>
    <row r="543" spans="1:45" x14ac:dyDescent="0.2">
      <c r="A543" s="527">
        <v>541</v>
      </c>
      <c r="B543" s="879"/>
      <c r="C543" s="879" t="s">
        <v>3535</v>
      </c>
      <c r="D543" s="879"/>
      <c r="E543" s="879"/>
      <c r="F543" s="879"/>
      <c r="G543" s="624">
        <v>44706</v>
      </c>
      <c r="H543" s="879"/>
      <c r="I543" s="879"/>
      <c r="J543" s="835">
        <v>2021</v>
      </c>
      <c r="K543" s="669">
        <v>2022</v>
      </c>
      <c r="L543" s="613" t="s">
        <v>336</v>
      </c>
      <c r="M543" s="613">
        <f t="shared" si="103"/>
        <v>1</v>
      </c>
      <c r="N543" s="613">
        <f t="shared" si="104"/>
        <v>0</v>
      </c>
      <c r="O543" s="880"/>
      <c r="P543" s="880"/>
      <c r="Q543" s="836">
        <v>1</v>
      </c>
      <c r="R543" s="880"/>
      <c r="S543" s="880"/>
      <c r="T543" s="880"/>
      <c r="U543" s="613">
        <f t="shared" si="102"/>
        <v>1</v>
      </c>
      <c r="V543" s="879"/>
      <c r="W543" s="613" t="str">
        <f t="shared" si="97"/>
        <v>I</v>
      </c>
      <c r="X543" s="613" t="str">
        <f t="shared" si="98"/>
        <v>I</v>
      </c>
      <c r="Y543" s="613">
        <f t="shared" si="99"/>
        <v>2021</v>
      </c>
      <c r="Z543" s="613" t="str">
        <f t="shared" si="100"/>
        <v>I</v>
      </c>
      <c r="AA543" s="613" t="str">
        <f t="shared" si="101"/>
        <v>I</v>
      </c>
      <c r="AB543" s="613" t="str">
        <f t="shared" si="101"/>
        <v>I</v>
      </c>
      <c r="AC543" s="879"/>
      <c r="AD543" s="880"/>
      <c r="AE543" s="881"/>
      <c r="AF543" s="644"/>
      <c r="AG543" s="879"/>
      <c r="AH543" s="879"/>
      <c r="AI543" s="879"/>
      <c r="AJ543" s="879"/>
      <c r="AK543" s="879"/>
      <c r="AL543" s="879"/>
      <c r="AM543" s="879"/>
      <c r="AN543" s="879"/>
      <c r="AO543" s="879"/>
      <c r="AP543" s="879"/>
      <c r="AQ543" s="879"/>
      <c r="AR543" s="879"/>
      <c r="AS543" s="879"/>
    </row>
    <row r="544" spans="1:45" x14ac:dyDescent="0.2">
      <c r="A544" s="527">
        <v>542</v>
      </c>
      <c r="B544" s="879"/>
      <c r="C544" s="879" t="s">
        <v>3536</v>
      </c>
      <c r="D544" s="879"/>
      <c r="E544" s="879"/>
      <c r="F544" s="879"/>
      <c r="G544" s="624">
        <v>44732</v>
      </c>
      <c r="H544" s="879"/>
      <c r="I544" s="879"/>
      <c r="J544" s="835">
        <v>2022</v>
      </c>
      <c r="K544" s="669">
        <v>2022</v>
      </c>
      <c r="L544" s="613" t="s">
        <v>336</v>
      </c>
      <c r="M544" s="613">
        <f t="shared" si="103"/>
        <v>1</v>
      </c>
      <c r="N544" s="613">
        <f t="shared" si="104"/>
        <v>0</v>
      </c>
      <c r="O544" s="880"/>
      <c r="P544" s="880"/>
      <c r="Q544" s="836">
        <v>1</v>
      </c>
      <c r="R544" s="880"/>
      <c r="S544" s="880"/>
      <c r="T544" s="880"/>
      <c r="U544" s="613">
        <f t="shared" si="102"/>
        <v>1</v>
      </c>
      <c r="V544" s="879"/>
      <c r="W544" s="613" t="str">
        <f t="shared" si="97"/>
        <v>I</v>
      </c>
      <c r="X544" s="613" t="str">
        <f t="shared" si="98"/>
        <v>I</v>
      </c>
      <c r="Y544" s="613">
        <f t="shared" si="99"/>
        <v>2022</v>
      </c>
      <c r="Z544" s="613" t="str">
        <f t="shared" si="100"/>
        <v>I</v>
      </c>
      <c r="AA544" s="613" t="str">
        <f t="shared" si="101"/>
        <v>I</v>
      </c>
      <c r="AB544" s="613" t="str">
        <f t="shared" si="101"/>
        <v>I</v>
      </c>
      <c r="AC544" s="879"/>
      <c r="AD544" s="880"/>
      <c r="AE544" s="881"/>
      <c r="AF544" s="644"/>
      <c r="AG544" s="879"/>
      <c r="AH544" s="879"/>
      <c r="AI544" s="879"/>
      <c r="AJ544" s="879"/>
      <c r="AK544" s="879"/>
      <c r="AL544" s="879"/>
      <c r="AM544" s="879"/>
      <c r="AN544" s="879"/>
      <c r="AO544" s="879"/>
      <c r="AP544" s="879"/>
      <c r="AQ544" s="879"/>
      <c r="AR544" s="879"/>
      <c r="AS544" s="879"/>
    </row>
    <row r="545" spans="1:45" x14ac:dyDescent="0.2">
      <c r="A545" s="527">
        <v>543</v>
      </c>
      <c r="B545" s="879"/>
      <c r="C545" s="879" t="s">
        <v>3537</v>
      </c>
      <c r="D545" s="879"/>
      <c r="E545" s="879"/>
      <c r="F545" s="879"/>
      <c r="G545" s="624">
        <v>44732</v>
      </c>
      <c r="H545" s="879"/>
      <c r="I545" s="879"/>
      <c r="J545" s="835">
        <v>2022</v>
      </c>
      <c r="K545" s="669">
        <v>2022</v>
      </c>
      <c r="L545" s="613" t="s">
        <v>336</v>
      </c>
      <c r="M545" s="613">
        <f t="shared" si="103"/>
        <v>1</v>
      </c>
      <c r="N545" s="613">
        <f t="shared" si="104"/>
        <v>0</v>
      </c>
      <c r="O545" s="880"/>
      <c r="P545" s="880"/>
      <c r="Q545" s="836">
        <v>1</v>
      </c>
      <c r="R545" s="880"/>
      <c r="S545" s="880"/>
      <c r="T545" s="880"/>
      <c r="U545" s="613">
        <f t="shared" si="102"/>
        <v>1</v>
      </c>
      <c r="V545" s="879"/>
      <c r="W545" s="613" t="str">
        <f t="shared" si="97"/>
        <v>I</v>
      </c>
      <c r="X545" s="613" t="str">
        <f t="shared" si="98"/>
        <v>I</v>
      </c>
      <c r="Y545" s="613">
        <f t="shared" si="99"/>
        <v>2022</v>
      </c>
      <c r="Z545" s="613" t="str">
        <f t="shared" si="100"/>
        <v>I</v>
      </c>
      <c r="AA545" s="613" t="str">
        <f t="shared" si="101"/>
        <v>I</v>
      </c>
      <c r="AB545" s="613" t="str">
        <f t="shared" si="101"/>
        <v>I</v>
      </c>
      <c r="AC545" s="879"/>
      <c r="AD545" s="880"/>
      <c r="AE545" s="881"/>
      <c r="AF545" s="644"/>
      <c r="AG545" s="879"/>
      <c r="AH545" s="879"/>
      <c r="AI545" s="879"/>
      <c r="AJ545" s="879"/>
      <c r="AK545" s="879"/>
      <c r="AL545" s="879"/>
      <c r="AM545" s="879"/>
      <c r="AN545" s="879"/>
      <c r="AO545" s="879"/>
      <c r="AP545" s="879"/>
      <c r="AQ545" s="879"/>
      <c r="AR545" s="879"/>
      <c r="AS545" s="879"/>
    </row>
    <row r="546" spans="1:45" x14ac:dyDescent="0.2">
      <c r="A546" s="527">
        <v>544</v>
      </c>
      <c r="B546" s="879"/>
      <c r="C546" s="879" t="s">
        <v>3538</v>
      </c>
      <c r="D546" s="879"/>
      <c r="E546" s="879"/>
      <c r="F546" s="879"/>
      <c r="G546" s="624">
        <v>44732</v>
      </c>
      <c r="H546" s="879"/>
      <c r="I546" s="879"/>
      <c r="J546" s="835">
        <v>2021</v>
      </c>
      <c r="K546" s="669">
        <v>2022</v>
      </c>
      <c r="L546" s="613" t="s">
        <v>303</v>
      </c>
      <c r="M546" s="613">
        <f t="shared" si="103"/>
        <v>0</v>
      </c>
      <c r="N546" s="613">
        <f t="shared" si="104"/>
        <v>1</v>
      </c>
      <c r="O546" s="880"/>
      <c r="P546" s="880"/>
      <c r="Q546" s="836">
        <v>1</v>
      </c>
      <c r="R546" s="880"/>
      <c r="S546" s="880"/>
      <c r="T546" s="880"/>
      <c r="U546" s="613">
        <f t="shared" si="102"/>
        <v>1</v>
      </c>
      <c r="V546" s="879"/>
      <c r="W546" s="613" t="str">
        <f t="shared" si="97"/>
        <v>I</v>
      </c>
      <c r="X546" s="613" t="str">
        <f t="shared" si="98"/>
        <v>I</v>
      </c>
      <c r="Y546" s="613">
        <f t="shared" si="99"/>
        <v>2021</v>
      </c>
      <c r="Z546" s="613" t="str">
        <f t="shared" si="100"/>
        <v>I</v>
      </c>
      <c r="AA546" s="613" t="str">
        <f t="shared" si="101"/>
        <v>I</v>
      </c>
      <c r="AB546" s="613" t="str">
        <f t="shared" si="101"/>
        <v>I</v>
      </c>
      <c r="AC546" s="879"/>
      <c r="AD546" s="880"/>
      <c r="AE546" s="881"/>
      <c r="AF546" s="644"/>
      <c r="AG546" s="879"/>
      <c r="AH546" s="879"/>
      <c r="AI546" s="879"/>
      <c r="AJ546" s="879"/>
      <c r="AK546" s="879"/>
      <c r="AL546" s="879"/>
      <c r="AM546" s="879"/>
      <c r="AN546" s="879"/>
      <c r="AO546" s="879"/>
      <c r="AP546" s="879"/>
      <c r="AQ546" s="879"/>
      <c r="AR546" s="879"/>
      <c r="AS546" s="879"/>
    </row>
    <row r="547" spans="1:45" x14ac:dyDescent="0.2">
      <c r="A547" s="527">
        <v>545</v>
      </c>
      <c r="B547" s="879"/>
      <c r="C547" s="879" t="s">
        <v>3539</v>
      </c>
      <c r="D547" s="879"/>
      <c r="E547" s="879"/>
      <c r="F547" s="879"/>
      <c r="G547" s="624">
        <v>44732</v>
      </c>
      <c r="H547" s="879"/>
      <c r="I547" s="879"/>
      <c r="J547" s="835">
        <v>2022</v>
      </c>
      <c r="K547" s="669">
        <v>2022</v>
      </c>
      <c r="L547" s="613" t="s">
        <v>303</v>
      </c>
      <c r="M547" s="613">
        <f t="shared" si="103"/>
        <v>0</v>
      </c>
      <c r="N547" s="613">
        <f t="shared" si="104"/>
        <v>1</v>
      </c>
      <c r="O547" s="880"/>
      <c r="P547" s="880"/>
      <c r="Q547" s="836">
        <v>1</v>
      </c>
      <c r="R547" s="880"/>
      <c r="S547" s="880"/>
      <c r="T547" s="880"/>
      <c r="U547" s="613">
        <f t="shared" si="102"/>
        <v>1</v>
      </c>
      <c r="V547" s="879"/>
      <c r="W547" s="613" t="str">
        <f t="shared" si="97"/>
        <v>I</v>
      </c>
      <c r="X547" s="613" t="str">
        <f t="shared" si="98"/>
        <v>I</v>
      </c>
      <c r="Y547" s="613">
        <f t="shared" si="99"/>
        <v>2022</v>
      </c>
      <c r="Z547" s="613" t="str">
        <f t="shared" si="100"/>
        <v>I</v>
      </c>
      <c r="AA547" s="613" t="str">
        <f t="shared" si="101"/>
        <v>I</v>
      </c>
      <c r="AB547" s="613" t="str">
        <f t="shared" si="101"/>
        <v>I</v>
      </c>
      <c r="AC547" s="879"/>
      <c r="AD547" s="880"/>
      <c r="AE547" s="881"/>
      <c r="AF547" s="644"/>
      <c r="AG547" s="879"/>
      <c r="AH547" s="879"/>
      <c r="AI547" s="879"/>
      <c r="AJ547" s="879"/>
      <c r="AK547" s="879"/>
      <c r="AL547" s="879"/>
      <c r="AM547" s="879"/>
      <c r="AN547" s="879"/>
      <c r="AO547" s="879"/>
      <c r="AP547" s="879"/>
      <c r="AQ547" s="879"/>
      <c r="AR547" s="879"/>
      <c r="AS547" s="879"/>
    </row>
    <row r="548" spans="1:45" x14ac:dyDescent="0.2">
      <c r="A548" s="527">
        <v>546</v>
      </c>
      <c r="B548" s="879"/>
      <c r="C548" s="879" t="s">
        <v>3540</v>
      </c>
      <c r="D548" s="879"/>
      <c r="E548" s="879"/>
      <c r="F548" s="879"/>
      <c r="G548" s="624">
        <v>44732</v>
      </c>
      <c r="H548" s="879"/>
      <c r="I548" s="879"/>
      <c r="J548" s="835">
        <v>2021</v>
      </c>
      <c r="K548" s="669">
        <v>2022</v>
      </c>
      <c r="L548" s="613" t="s">
        <v>303</v>
      </c>
      <c r="M548" s="613">
        <f t="shared" si="103"/>
        <v>0</v>
      </c>
      <c r="N548" s="613">
        <f t="shared" si="104"/>
        <v>1</v>
      </c>
      <c r="O548" s="880"/>
      <c r="P548" s="880"/>
      <c r="Q548" s="836">
        <v>1</v>
      </c>
      <c r="R548" s="880"/>
      <c r="S548" s="880"/>
      <c r="T548" s="880"/>
      <c r="U548" s="613">
        <f t="shared" si="102"/>
        <v>1</v>
      </c>
      <c r="V548" s="879"/>
      <c r="W548" s="613" t="str">
        <f t="shared" si="97"/>
        <v>I</v>
      </c>
      <c r="X548" s="613" t="str">
        <f t="shared" si="98"/>
        <v>I</v>
      </c>
      <c r="Y548" s="613">
        <f t="shared" si="99"/>
        <v>2021</v>
      </c>
      <c r="Z548" s="613" t="str">
        <f t="shared" si="100"/>
        <v>I</v>
      </c>
      <c r="AA548" s="613" t="str">
        <f t="shared" si="101"/>
        <v>I</v>
      </c>
      <c r="AB548" s="613" t="str">
        <f t="shared" si="101"/>
        <v>I</v>
      </c>
      <c r="AC548" s="879"/>
      <c r="AD548" s="880"/>
      <c r="AE548" s="881"/>
      <c r="AF548" s="644"/>
      <c r="AG548" s="879"/>
      <c r="AH548" s="879"/>
      <c r="AI548" s="879"/>
      <c r="AJ548" s="879"/>
      <c r="AK548" s="879"/>
      <c r="AL548" s="879"/>
      <c r="AM548" s="879"/>
      <c r="AN548" s="879"/>
      <c r="AO548" s="879"/>
      <c r="AP548" s="879"/>
      <c r="AQ548" s="879"/>
      <c r="AR548" s="879"/>
      <c r="AS548" s="879"/>
    </row>
    <row r="549" spans="1:45" x14ac:dyDescent="0.2">
      <c r="A549" s="527">
        <v>547</v>
      </c>
      <c r="B549" s="879"/>
      <c r="C549" s="879" t="s">
        <v>3542</v>
      </c>
      <c r="D549" s="879"/>
      <c r="E549" s="879"/>
      <c r="F549" s="879"/>
      <c r="G549" s="624">
        <v>44765</v>
      </c>
      <c r="H549" s="879"/>
      <c r="I549" s="879"/>
      <c r="J549" s="835">
        <v>2021</v>
      </c>
      <c r="K549" s="669">
        <v>2022</v>
      </c>
      <c r="L549" s="613" t="s">
        <v>336</v>
      </c>
      <c r="M549" s="613">
        <f t="shared" si="103"/>
        <v>1</v>
      </c>
      <c r="N549" s="613">
        <f t="shared" si="104"/>
        <v>0</v>
      </c>
      <c r="O549" s="880"/>
      <c r="P549" s="880"/>
      <c r="Q549" s="836">
        <v>1</v>
      </c>
      <c r="R549" s="880"/>
      <c r="S549" s="880"/>
      <c r="T549" s="880"/>
      <c r="U549" s="613">
        <f t="shared" si="102"/>
        <v>1</v>
      </c>
      <c r="V549" s="879"/>
      <c r="W549" s="613" t="str">
        <f t="shared" si="97"/>
        <v>I</v>
      </c>
      <c r="X549" s="613" t="str">
        <f t="shared" si="98"/>
        <v>I</v>
      </c>
      <c r="Y549" s="613">
        <f t="shared" si="99"/>
        <v>2021</v>
      </c>
      <c r="Z549" s="613" t="str">
        <f t="shared" si="100"/>
        <v>I</v>
      </c>
      <c r="AA549" s="613" t="str">
        <f t="shared" si="101"/>
        <v>I</v>
      </c>
      <c r="AB549" s="613" t="str">
        <f t="shared" si="101"/>
        <v>I</v>
      </c>
      <c r="AC549" s="879"/>
      <c r="AD549" s="880"/>
      <c r="AE549" s="881"/>
      <c r="AF549" s="644"/>
      <c r="AG549" s="879"/>
      <c r="AH549" s="879"/>
      <c r="AI549" s="879"/>
      <c r="AJ549" s="879"/>
      <c r="AK549" s="879"/>
      <c r="AL549" s="879"/>
      <c r="AM549" s="879"/>
      <c r="AN549" s="879"/>
      <c r="AO549" s="879"/>
      <c r="AP549" s="879"/>
      <c r="AQ549" s="879"/>
      <c r="AR549" s="879"/>
      <c r="AS549" s="879"/>
    </row>
    <row r="550" spans="1:45" x14ac:dyDescent="0.2">
      <c r="A550" s="527">
        <v>548</v>
      </c>
      <c r="B550" s="879"/>
      <c r="C550" s="879" t="s">
        <v>3543</v>
      </c>
      <c r="D550" s="879"/>
      <c r="E550" s="879"/>
      <c r="F550" s="879"/>
      <c r="G550" s="624">
        <v>44765</v>
      </c>
      <c r="H550" s="879"/>
      <c r="I550" s="879"/>
      <c r="J550" s="835">
        <v>2022</v>
      </c>
      <c r="K550" s="669">
        <v>2022</v>
      </c>
      <c r="L550" s="613" t="s">
        <v>303</v>
      </c>
      <c r="M550" s="613">
        <f t="shared" si="103"/>
        <v>0</v>
      </c>
      <c r="N550" s="613">
        <f t="shared" si="104"/>
        <v>1</v>
      </c>
      <c r="O550" s="880"/>
      <c r="P550" s="880"/>
      <c r="Q550" s="836">
        <v>1</v>
      </c>
      <c r="R550" s="880"/>
      <c r="S550" s="880"/>
      <c r="T550" s="880"/>
      <c r="U550" s="613">
        <f t="shared" si="102"/>
        <v>1</v>
      </c>
      <c r="V550" s="879"/>
      <c r="W550" s="613" t="str">
        <f t="shared" si="97"/>
        <v>I</v>
      </c>
      <c r="X550" s="613" t="str">
        <f t="shared" si="98"/>
        <v>I</v>
      </c>
      <c r="Y550" s="613">
        <f t="shared" si="99"/>
        <v>2022</v>
      </c>
      <c r="Z550" s="613" t="str">
        <f t="shared" si="100"/>
        <v>I</v>
      </c>
      <c r="AA550" s="613" t="str">
        <f t="shared" si="101"/>
        <v>I</v>
      </c>
      <c r="AB550" s="613" t="str">
        <f t="shared" si="101"/>
        <v>I</v>
      </c>
      <c r="AC550" s="879"/>
      <c r="AD550" s="880"/>
      <c r="AE550" s="881"/>
      <c r="AF550" s="644"/>
      <c r="AG550" s="879"/>
      <c r="AH550" s="879"/>
      <c r="AI550" s="879"/>
      <c r="AJ550" s="879"/>
      <c r="AK550" s="879"/>
      <c r="AL550" s="879"/>
      <c r="AM550" s="879"/>
      <c r="AN550" s="879"/>
      <c r="AO550" s="879"/>
      <c r="AP550" s="879"/>
      <c r="AQ550" s="879"/>
      <c r="AR550" s="879"/>
      <c r="AS550" s="879"/>
    </row>
    <row r="551" spans="1:45" x14ac:dyDescent="0.2">
      <c r="A551" s="527">
        <v>549</v>
      </c>
      <c r="B551" s="879"/>
      <c r="C551" s="879" t="s">
        <v>3544</v>
      </c>
      <c r="D551" s="879"/>
      <c r="E551" s="879"/>
      <c r="F551" s="879"/>
      <c r="G551" s="624">
        <v>44765</v>
      </c>
      <c r="H551" s="879"/>
      <c r="I551" s="879"/>
      <c r="J551" s="835">
        <v>2021</v>
      </c>
      <c r="K551" s="669">
        <v>2022</v>
      </c>
      <c r="L551" s="613" t="s">
        <v>303</v>
      </c>
      <c r="M551" s="613">
        <f t="shared" si="103"/>
        <v>0</v>
      </c>
      <c r="N551" s="613">
        <f t="shared" si="104"/>
        <v>1</v>
      </c>
      <c r="O551" s="880"/>
      <c r="P551" s="880"/>
      <c r="Q551" s="836">
        <v>1</v>
      </c>
      <c r="R551" s="880"/>
      <c r="S551" s="880"/>
      <c r="T551" s="880"/>
      <c r="U551" s="613">
        <f t="shared" si="102"/>
        <v>1</v>
      </c>
      <c r="V551" s="879"/>
      <c r="W551" s="613" t="str">
        <f t="shared" si="97"/>
        <v>I</v>
      </c>
      <c r="X551" s="613" t="str">
        <f t="shared" si="98"/>
        <v>I</v>
      </c>
      <c r="Y551" s="613">
        <f t="shared" si="99"/>
        <v>2021</v>
      </c>
      <c r="Z551" s="613" t="str">
        <f t="shared" si="100"/>
        <v>I</v>
      </c>
      <c r="AA551" s="613" t="str">
        <f t="shared" si="101"/>
        <v>I</v>
      </c>
      <c r="AB551" s="613" t="str">
        <f t="shared" si="101"/>
        <v>I</v>
      </c>
      <c r="AC551" s="879"/>
      <c r="AD551" s="880"/>
      <c r="AE551" s="881"/>
      <c r="AF551" s="644"/>
      <c r="AG551" s="879"/>
      <c r="AH551" s="879"/>
      <c r="AI551" s="879"/>
      <c r="AJ551" s="879"/>
      <c r="AK551" s="879"/>
      <c r="AL551" s="879"/>
      <c r="AM551" s="879"/>
      <c r="AN551" s="879"/>
      <c r="AO551" s="879"/>
      <c r="AP551" s="879"/>
      <c r="AQ551" s="879"/>
      <c r="AR551" s="879"/>
      <c r="AS551" s="879"/>
    </row>
    <row r="552" spans="1:45" x14ac:dyDescent="0.2">
      <c r="A552" s="527">
        <v>550</v>
      </c>
      <c r="B552" s="879"/>
      <c r="C552" s="879" t="s">
        <v>3545</v>
      </c>
      <c r="D552" s="879"/>
      <c r="E552" s="879"/>
      <c r="F552" s="879"/>
      <c r="G552" s="624">
        <v>44765</v>
      </c>
      <c r="H552" s="879"/>
      <c r="I552" s="879"/>
      <c r="J552" s="835">
        <v>2022</v>
      </c>
      <c r="K552" s="669">
        <v>2022</v>
      </c>
      <c r="L552" s="613" t="s">
        <v>303</v>
      </c>
      <c r="M552" s="613">
        <f t="shared" si="103"/>
        <v>0</v>
      </c>
      <c r="N552" s="613">
        <f t="shared" si="104"/>
        <v>1</v>
      </c>
      <c r="O552" s="880"/>
      <c r="P552" s="880"/>
      <c r="Q552" s="836">
        <v>1</v>
      </c>
      <c r="R552" s="880"/>
      <c r="S552" s="880"/>
      <c r="T552" s="880"/>
      <c r="U552" s="613">
        <f t="shared" si="102"/>
        <v>1</v>
      </c>
      <c r="V552" s="879"/>
      <c r="W552" s="613" t="str">
        <f t="shared" si="97"/>
        <v>I</v>
      </c>
      <c r="X552" s="613" t="str">
        <f t="shared" si="98"/>
        <v>I</v>
      </c>
      <c r="Y552" s="613">
        <f t="shared" si="99"/>
        <v>2022</v>
      </c>
      <c r="Z552" s="613" t="str">
        <f t="shared" si="100"/>
        <v>I</v>
      </c>
      <c r="AA552" s="613" t="str">
        <f t="shared" si="101"/>
        <v>I</v>
      </c>
      <c r="AB552" s="613" t="str">
        <f t="shared" si="101"/>
        <v>I</v>
      </c>
      <c r="AC552" s="879"/>
      <c r="AD552" s="880"/>
      <c r="AE552" s="881"/>
      <c r="AF552" s="644"/>
      <c r="AG552" s="879"/>
      <c r="AH552" s="879"/>
      <c r="AI552" s="879"/>
      <c r="AJ552" s="879"/>
      <c r="AK552" s="879"/>
      <c r="AL552" s="879"/>
      <c r="AM552" s="879"/>
      <c r="AN552" s="879"/>
      <c r="AO552" s="879"/>
      <c r="AP552" s="879"/>
      <c r="AQ552" s="879"/>
      <c r="AR552" s="879"/>
      <c r="AS552" s="879"/>
    </row>
    <row r="553" spans="1:45" x14ac:dyDescent="0.2">
      <c r="A553" s="527">
        <v>551</v>
      </c>
      <c r="B553" s="879"/>
      <c r="C553" s="879" t="s">
        <v>3546</v>
      </c>
      <c r="D553" s="879"/>
      <c r="E553" s="879"/>
      <c r="F553" s="879"/>
      <c r="G553" s="624">
        <v>44765</v>
      </c>
      <c r="H553" s="879"/>
      <c r="I553" s="879"/>
      <c r="J553" s="835">
        <v>2022</v>
      </c>
      <c r="K553" s="669">
        <v>2022</v>
      </c>
      <c r="L553" s="613" t="s">
        <v>303</v>
      </c>
      <c r="M553" s="613">
        <f t="shared" si="103"/>
        <v>0</v>
      </c>
      <c r="N553" s="613">
        <f t="shared" si="104"/>
        <v>1</v>
      </c>
      <c r="O553" s="880"/>
      <c r="P553" s="880"/>
      <c r="Q553" s="836">
        <v>1</v>
      </c>
      <c r="R553" s="880"/>
      <c r="S553" s="880"/>
      <c r="T553" s="880"/>
      <c r="U553" s="613">
        <f t="shared" si="102"/>
        <v>1</v>
      </c>
      <c r="V553" s="879"/>
      <c r="W553" s="613" t="str">
        <f t="shared" si="97"/>
        <v>I</v>
      </c>
      <c r="X553" s="613" t="str">
        <f t="shared" si="98"/>
        <v>I</v>
      </c>
      <c r="Y553" s="613">
        <f t="shared" si="99"/>
        <v>2022</v>
      </c>
      <c r="Z553" s="613" t="str">
        <f t="shared" si="100"/>
        <v>I</v>
      </c>
      <c r="AA553" s="613" t="str">
        <f t="shared" si="101"/>
        <v>I</v>
      </c>
      <c r="AB553" s="613" t="str">
        <f t="shared" si="101"/>
        <v>I</v>
      </c>
      <c r="AC553" s="879"/>
      <c r="AD553" s="880"/>
      <c r="AE553" s="881"/>
      <c r="AF553" s="644"/>
      <c r="AG553" s="879"/>
      <c r="AH553" s="879"/>
      <c r="AI553" s="879"/>
      <c r="AJ553" s="879"/>
      <c r="AK553" s="879"/>
      <c r="AL553" s="879"/>
      <c r="AM553" s="879"/>
      <c r="AN553" s="879"/>
      <c r="AO553" s="879"/>
      <c r="AP553" s="879"/>
      <c r="AQ553" s="879"/>
      <c r="AR553" s="879"/>
      <c r="AS553" s="879"/>
    </row>
    <row r="554" spans="1:45" x14ac:dyDescent="0.2">
      <c r="A554" s="527">
        <v>552</v>
      </c>
      <c r="B554" s="879"/>
      <c r="C554" s="879" t="s">
        <v>3552</v>
      </c>
      <c r="D554" s="879"/>
      <c r="E554" s="879"/>
      <c r="F554" s="879"/>
      <c r="G554" s="624">
        <v>44779</v>
      </c>
      <c r="H554" s="879"/>
      <c r="I554" s="879"/>
      <c r="J554" s="835">
        <v>2022</v>
      </c>
      <c r="K554" s="669">
        <v>2022</v>
      </c>
      <c r="L554" s="613" t="s">
        <v>336</v>
      </c>
      <c r="M554" s="613">
        <f t="shared" si="103"/>
        <v>1</v>
      </c>
      <c r="N554" s="613">
        <f t="shared" si="104"/>
        <v>0</v>
      </c>
      <c r="O554" s="880"/>
      <c r="P554" s="880"/>
      <c r="Q554" s="836">
        <v>1</v>
      </c>
      <c r="R554" s="880"/>
      <c r="S554" s="880"/>
      <c r="T554" s="880"/>
      <c r="U554" s="613">
        <f t="shared" si="102"/>
        <v>1</v>
      </c>
      <c r="V554" s="879"/>
      <c r="W554" s="613" t="str">
        <f t="shared" si="97"/>
        <v>I</v>
      </c>
      <c r="X554" s="613" t="str">
        <f t="shared" si="98"/>
        <v>I</v>
      </c>
      <c r="Y554" s="613">
        <f t="shared" si="99"/>
        <v>2022</v>
      </c>
      <c r="Z554" s="613" t="str">
        <f t="shared" si="100"/>
        <v>I</v>
      </c>
      <c r="AA554" s="613" t="str">
        <f t="shared" si="101"/>
        <v>I</v>
      </c>
      <c r="AB554" s="613" t="str">
        <f t="shared" si="101"/>
        <v>I</v>
      </c>
      <c r="AC554" s="879"/>
      <c r="AD554" s="880"/>
      <c r="AE554" s="881"/>
      <c r="AF554" s="644"/>
      <c r="AG554" s="879"/>
      <c r="AH554" s="879"/>
      <c r="AI554" s="879"/>
      <c r="AJ554" s="879"/>
      <c r="AK554" s="879"/>
      <c r="AL554" s="879"/>
      <c r="AM554" s="879"/>
      <c r="AN554" s="879"/>
      <c r="AO554" s="879"/>
      <c r="AP554" s="879"/>
      <c r="AQ554" s="879"/>
      <c r="AR554" s="879"/>
      <c r="AS554" s="879"/>
    </row>
    <row r="555" spans="1:45" x14ac:dyDescent="0.2">
      <c r="A555" s="527">
        <v>553</v>
      </c>
      <c r="B555" s="879"/>
      <c r="C555" s="879" t="s">
        <v>3553</v>
      </c>
      <c r="D555" s="879"/>
      <c r="E555" s="879"/>
      <c r="F555" s="879"/>
      <c r="G555" s="624">
        <v>44779</v>
      </c>
      <c r="H555" s="879"/>
      <c r="I555" s="879"/>
      <c r="J555" s="835">
        <v>2021</v>
      </c>
      <c r="K555" s="669">
        <v>2022</v>
      </c>
      <c r="L555" s="613" t="s">
        <v>303</v>
      </c>
      <c r="M555" s="613">
        <f t="shared" si="103"/>
        <v>0</v>
      </c>
      <c r="N555" s="613">
        <f t="shared" si="104"/>
        <v>1</v>
      </c>
      <c r="O555" s="880"/>
      <c r="P555" s="880"/>
      <c r="Q555" s="836">
        <v>1</v>
      </c>
      <c r="R555" s="880"/>
      <c r="S555" s="880"/>
      <c r="T555" s="880"/>
      <c r="U555" s="613">
        <f t="shared" si="102"/>
        <v>1</v>
      </c>
      <c r="V555" s="879"/>
      <c r="W555" s="613" t="str">
        <f t="shared" si="97"/>
        <v>I</v>
      </c>
      <c r="X555" s="613" t="str">
        <f t="shared" si="98"/>
        <v>I</v>
      </c>
      <c r="Y555" s="613">
        <f t="shared" si="99"/>
        <v>2021</v>
      </c>
      <c r="Z555" s="613" t="str">
        <f t="shared" si="100"/>
        <v>I</v>
      </c>
      <c r="AA555" s="613" t="str">
        <f t="shared" si="101"/>
        <v>I</v>
      </c>
      <c r="AB555" s="613" t="str">
        <f t="shared" si="101"/>
        <v>I</v>
      </c>
      <c r="AC555" s="879"/>
      <c r="AD555" s="880"/>
      <c r="AE555" s="881"/>
      <c r="AF555" s="644"/>
      <c r="AG555" s="879"/>
      <c r="AH555" s="879"/>
      <c r="AI555" s="879"/>
      <c r="AJ555" s="879"/>
      <c r="AK555" s="879"/>
      <c r="AL555" s="879"/>
      <c r="AM555" s="879"/>
      <c r="AN555" s="879"/>
      <c r="AO555" s="879"/>
      <c r="AP555" s="879"/>
      <c r="AQ555" s="879"/>
      <c r="AR555" s="879"/>
      <c r="AS555" s="879"/>
    </row>
    <row r="556" spans="1:45" x14ac:dyDescent="0.2">
      <c r="A556" s="527">
        <v>554</v>
      </c>
      <c r="B556" s="879"/>
      <c r="C556" s="879" t="s">
        <v>3554</v>
      </c>
      <c r="D556" s="879"/>
      <c r="E556" s="879"/>
      <c r="F556" s="879"/>
      <c r="G556" s="624">
        <v>44779</v>
      </c>
      <c r="H556" s="879"/>
      <c r="I556" s="879"/>
      <c r="J556" s="835">
        <v>2022</v>
      </c>
      <c r="K556" s="669">
        <v>2022</v>
      </c>
      <c r="L556" s="613" t="s">
        <v>336</v>
      </c>
      <c r="M556" s="613">
        <f t="shared" si="103"/>
        <v>1</v>
      </c>
      <c r="N556" s="613">
        <f t="shared" si="104"/>
        <v>0</v>
      </c>
      <c r="O556" s="880"/>
      <c r="P556" s="880"/>
      <c r="Q556" s="836">
        <v>1</v>
      </c>
      <c r="R556" s="880"/>
      <c r="S556" s="880"/>
      <c r="T556" s="880"/>
      <c r="U556" s="613">
        <f t="shared" si="102"/>
        <v>1</v>
      </c>
      <c r="V556" s="879"/>
      <c r="W556" s="613" t="str">
        <f t="shared" si="97"/>
        <v>I</v>
      </c>
      <c r="X556" s="613" t="str">
        <f t="shared" si="98"/>
        <v>I</v>
      </c>
      <c r="Y556" s="613">
        <f t="shared" si="99"/>
        <v>2022</v>
      </c>
      <c r="Z556" s="613" t="str">
        <f t="shared" si="100"/>
        <v>I</v>
      </c>
      <c r="AA556" s="613" t="str">
        <f t="shared" si="101"/>
        <v>I</v>
      </c>
      <c r="AB556" s="613" t="str">
        <f t="shared" si="101"/>
        <v>I</v>
      </c>
      <c r="AC556" s="879"/>
      <c r="AD556" s="880"/>
      <c r="AE556" s="881"/>
      <c r="AF556" s="644"/>
      <c r="AG556" s="879"/>
      <c r="AH556" s="879"/>
      <c r="AI556" s="879"/>
      <c r="AJ556" s="879"/>
      <c r="AK556" s="879"/>
      <c r="AL556" s="879"/>
      <c r="AM556" s="879"/>
      <c r="AN556" s="879"/>
      <c r="AO556" s="879"/>
      <c r="AP556" s="879"/>
      <c r="AQ556" s="879"/>
      <c r="AR556" s="879"/>
      <c r="AS556" s="879"/>
    </row>
    <row r="557" spans="1:45" x14ac:dyDescent="0.2">
      <c r="A557" s="527">
        <v>555</v>
      </c>
      <c r="B557" s="879"/>
      <c r="C557" s="879" t="s">
        <v>3557</v>
      </c>
      <c r="D557" s="879"/>
      <c r="E557" s="879"/>
      <c r="F557" s="879"/>
      <c r="G557" s="624">
        <v>44809</v>
      </c>
      <c r="H557" s="879"/>
      <c r="I557" s="879"/>
      <c r="J557" s="835">
        <v>2015</v>
      </c>
      <c r="K557" s="669">
        <v>2022</v>
      </c>
      <c r="L557" s="613" t="s">
        <v>303</v>
      </c>
      <c r="M557" s="613">
        <f t="shared" si="103"/>
        <v>0</v>
      </c>
      <c r="N557" s="613">
        <f t="shared" si="104"/>
        <v>1</v>
      </c>
      <c r="O557" s="880"/>
      <c r="P557" s="880"/>
      <c r="Q557" s="836">
        <v>1</v>
      </c>
      <c r="R557" s="880"/>
      <c r="S557" s="880"/>
      <c r="T557" s="880"/>
      <c r="U557" s="613">
        <f t="shared" si="102"/>
        <v>1</v>
      </c>
      <c r="V557" s="879"/>
      <c r="W557" s="613" t="str">
        <f t="shared" si="97"/>
        <v>I</v>
      </c>
      <c r="X557" s="613" t="str">
        <f t="shared" si="98"/>
        <v>I</v>
      </c>
      <c r="Y557" s="613">
        <f t="shared" si="99"/>
        <v>2015</v>
      </c>
      <c r="Z557" s="613" t="str">
        <f t="shared" si="100"/>
        <v>I</v>
      </c>
      <c r="AA557" s="613" t="str">
        <f t="shared" si="101"/>
        <v>I</v>
      </c>
      <c r="AB557" s="613" t="str">
        <f t="shared" si="101"/>
        <v>I</v>
      </c>
      <c r="AC557" s="879"/>
      <c r="AD557" s="880"/>
      <c r="AE557" s="881"/>
      <c r="AF557" s="644"/>
      <c r="AG557" s="879"/>
      <c r="AH557" s="879"/>
      <c r="AI557" s="879"/>
      <c r="AJ557" s="879"/>
      <c r="AK557" s="879"/>
      <c r="AL557" s="879"/>
      <c r="AM557" s="879"/>
      <c r="AN557" s="879"/>
      <c r="AO557" s="879"/>
      <c r="AP557" s="879"/>
      <c r="AQ557" s="879"/>
      <c r="AR557" s="879"/>
      <c r="AS557" s="879"/>
    </row>
    <row r="558" spans="1:45" x14ac:dyDescent="0.2">
      <c r="A558" s="527">
        <v>556</v>
      </c>
      <c r="B558" s="879"/>
      <c r="C558" s="879" t="s">
        <v>3560</v>
      </c>
      <c r="D558" s="879"/>
      <c r="E558" s="879"/>
      <c r="F558" s="879"/>
      <c r="G558" s="624">
        <v>44826</v>
      </c>
      <c r="H558" s="879"/>
      <c r="I558" s="879"/>
      <c r="J558" s="835">
        <v>2018</v>
      </c>
      <c r="K558" s="669">
        <v>2022</v>
      </c>
      <c r="L558" s="613" t="s">
        <v>336</v>
      </c>
      <c r="M558" s="613">
        <f t="shared" si="103"/>
        <v>0</v>
      </c>
      <c r="N558" s="613">
        <f t="shared" si="104"/>
        <v>0</v>
      </c>
      <c r="O558" s="880">
        <v>1</v>
      </c>
      <c r="P558" s="880"/>
      <c r="Q558" s="836"/>
      <c r="R558" s="880"/>
      <c r="S558" s="880"/>
      <c r="T558" s="880"/>
      <c r="U558" s="613">
        <f t="shared" si="102"/>
        <v>1</v>
      </c>
      <c r="V558" s="879"/>
      <c r="W558" s="613">
        <f t="shared" si="97"/>
        <v>2018</v>
      </c>
      <c r="X558" s="613" t="str">
        <f t="shared" si="98"/>
        <v>I</v>
      </c>
      <c r="Y558" s="613" t="str">
        <f t="shared" si="99"/>
        <v>I</v>
      </c>
      <c r="Z558" s="613" t="str">
        <f t="shared" si="100"/>
        <v>I</v>
      </c>
      <c r="AA558" s="613" t="str">
        <f t="shared" si="101"/>
        <v>I</v>
      </c>
      <c r="AB558" s="613" t="str">
        <f t="shared" si="101"/>
        <v>I</v>
      </c>
      <c r="AC558" s="879"/>
      <c r="AD558" s="880"/>
      <c r="AE558" s="881"/>
      <c r="AF558" s="644"/>
      <c r="AG558" s="879"/>
      <c r="AH558" s="879"/>
      <c r="AI558" s="879"/>
      <c r="AJ558" s="879"/>
      <c r="AK558" s="879"/>
      <c r="AL558" s="879"/>
      <c r="AM558" s="879"/>
      <c r="AN558" s="879"/>
      <c r="AO558" s="879"/>
      <c r="AP558" s="879"/>
      <c r="AQ558" s="879"/>
      <c r="AR558" s="879"/>
      <c r="AS558" s="879"/>
    </row>
    <row r="559" spans="1:45" x14ac:dyDescent="0.2">
      <c r="A559" s="527">
        <v>557</v>
      </c>
      <c r="B559" s="879"/>
      <c r="C559" s="879" t="s">
        <v>3561</v>
      </c>
      <c r="D559" s="879"/>
      <c r="E559" s="879"/>
      <c r="F559" s="879"/>
      <c r="G559" s="624">
        <v>44835</v>
      </c>
      <c r="H559" s="879"/>
      <c r="I559" s="879"/>
      <c r="J559" s="835">
        <v>2022</v>
      </c>
      <c r="K559" s="669">
        <v>2022</v>
      </c>
      <c r="L559" s="613" t="s">
        <v>336</v>
      </c>
      <c r="M559" s="613">
        <f t="shared" si="103"/>
        <v>1</v>
      </c>
      <c r="N559" s="613">
        <f t="shared" si="104"/>
        <v>0</v>
      </c>
      <c r="O559" s="880"/>
      <c r="P559" s="880"/>
      <c r="Q559" s="836">
        <v>1</v>
      </c>
      <c r="R559" s="880"/>
      <c r="S559" s="880"/>
      <c r="T559" s="880"/>
      <c r="U559" s="613">
        <f t="shared" si="102"/>
        <v>1</v>
      </c>
      <c r="V559" s="879"/>
      <c r="W559" s="613" t="str">
        <f t="shared" si="97"/>
        <v>I</v>
      </c>
      <c r="X559" s="613" t="str">
        <f t="shared" si="98"/>
        <v>I</v>
      </c>
      <c r="Y559" s="613">
        <f t="shared" si="99"/>
        <v>2022</v>
      </c>
      <c r="Z559" s="613" t="str">
        <f t="shared" si="100"/>
        <v>I</v>
      </c>
      <c r="AA559" s="613" t="str">
        <f t="shared" si="101"/>
        <v>I</v>
      </c>
      <c r="AB559" s="613" t="str">
        <f t="shared" si="101"/>
        <v>I</v>
      </c>
      <c r="AC559" s="879"/>
      <c r="AD559" s="880"/>
      <c r="AE559" s="881"/>
      <c r="AF559" s="644"/>
      <c r="AG559" s="879"/>
      <c r="AH559" s="879"/>
      <c r="AI559" s="879"/>
      <c r="AJ559" s="879"/>
      <c r="AK559" s="879"/>
      <c r="AL559" s="879"/>
      <c r="AM559" s="879"/>
      <c r="AN559" s="879"/>
      <c r="AO559" s="879"/>
      <c r="AP559" s="879"/>
      <c r="AQ559" s="879"/>
      <c r="AR559" s="879"/>
      <c r="AS559" s="879"/>
    </row>
    <row r="560" spans="1:45" x14ac:dyDescent="0.2">
      <c r="A560" s="527">
        <v>558</v>
      </c>
      <c r="B560" s="879"/>
      <c r="C560" s="879" t="s">
        <v>3562</v>
      </c>
      <c r="D560" s="879"/>
      <c r="E560" s="879"/>
      <c r="F560" s="879"/>
      <c r="G560" s="624">
        <v>44835</v>
      </c>
      <c r="H560" s="879"/>
      <c r="I560" s="879"/>
      <c r="J560" s="835">
        <v>2022</v>
      </c>
      <c r="K560" s="669">
        <v>2022</v>
      </c>
      <c r="L560" s="613" t="s">
        <v>336</v>
      </c>
      <c r="M560" s="613">
        <f t="shared" si="103"/>
        <v>1</v>
      </c>
      <c r="N560" s="613">
        <f t="shared" si="104"/>
        <v>0</v>
      </c>
      <c r="O560" s="880"/>
      <c r="P560" s="880"/>
      <c r="Q560" s="836">
        <v>1</v>
      </c>
      <c r="R560" s="880"/>
      <c r="S560" s="880"/>
      <c r="T560" s="880"/>
      <c r="U560" s="613">
        <f t="shared" si="102"/>
        <v>1</v>
      </c>
      <c r="V560" s="879"/>
      <c r="W560" s="613" t="str">
        <f t="shared" si="97"/>
        <v>I</v>
      </c>
      <c r="X560" s="613" t="str">
        <f t="shared" si="98"/>
        <v>I</v>
      </c>
      <c r="Y560" s="613">
        <f t="shared" si="99"/>
        <v>2022</v>
      </c>
      <c r="Z560" s="613" t="str">
        <f t="shared" si="100"/>
        <v>I</v>
      </c>
      <c r="AA560" s="613" t="str">
        <f t="shared" si="101"/>
        <v>I</v>
      </c>
      <c r="AB560" s="613" t="str">
        <f t="shared" si="101"/>
        <v>I</v>
      </c>
      <c r="AC560" s="879"/>
      <c r="AD560" s="880"/>
      <c r="AE560" s="881"/>
      <c r="AF560" s="644"/>
      <c r="AG560" s="879"/>
      <c r="AH560" s="879"/>
      <c r="AI560" s="879"/>
      <c r="AJ560" s="879"/>
      <c r="AK560" s="879"/>
      <c r="AL560" s="879"/>
      <c r="AM560" s="879"/>
      <c r="AN560" s="879"/>
      <c r="AO560" s="879"/>
      <c r="AP560" s="879"/>
      <c r="AQ560" s="879"/>
      <c r="AR560" s="879"/>
      <c r="AS560" s="879"/>
    </row>
    <row r="561" spans="1:45" x14ac:dyDescent="0.2">
      <c r="A561" s="527">
        <v>559</v>
      </c>
      <c r="B561" s="879"/>
      <c r="C561" s="879" t="s">
        <v>3563</v>
      </c>
      <c r="D561" s="879"/>
      <c r="E561" s="879"/>
      <c r="F561" s="879"/>
      <c r="G561" s="624">
        <v>44835</v>
      </c>
      <c r="H561" s="879"/>
      <c r="I561" s="879"/>
      <c r="J561" s="835">
        <v>2021</v>
      </c>
      <c r="K561" s="669">
        <v>2022</v>
      </c>
      <c r="L561" s="613" t="s">
        <v>303</v>
      </c>
      <c r="M561" s="613">
        <f t="shared" si="103"/>
        <v>0</v>
      </c>
      <c r="N561" s="613">
        <f t="shared" si="104"/>
        <v>1</v>
      </c>
      <c r="O561" s="880"/>
      <c r="P561" s="880"/>
      <c r="Q561" s="836">
        <v>1</v>
      </c>
      <c r="R561" s="880"/>
      <c r="S561" s="880"/>
      <c r="T561" s="880"/>
      <c r="U561" s="613">
        <f t="shared" si="102"/>
        <v>1</v>
      </c>
      <c r="V561" s="879"/>
      <c r="W561" s="613" t="str">
        <f t="shared" si="97"/>
        <v>I</v>
      </c>
      <c r="X561" s="613" t="str">
        <f t="shared" si="98"/>
        <v>I</v>
      </c>
      <c r="Y561" s="613">
        <f t="shared" si="99"/>
        <v>2021</v>
      </c>
      <c r="Z561" s="613" t="str">
        <f t="shared" si="100"/>
        <v>I</v>
      </c>
      <c r="AA561" s="613" t="str">
        <f t="shared" si="101"/>
        <v>I</v>
      </c>
      <c r="AB561" s="613" t="str">
        <f t="shared" si="101"/>
        <v>I</v>
      </c>
      <c r="AC561" s="879"/>
      <c r="AD561" s="880"/>
      <c r="AE561" s="881"/>
      <c r="AF561" s="644"/>
      <c r="AG561" s="879"/>
      <c r="AH561" s="879"/>
      <c r="AI561" s="879"/>
      <c r="AJ561" s="879"/>
      <c r="AK561" s="879"/>
      <c r="AL561" s="879"/>
      <c r="AM561" s="879"/>
      <c r="AN561" s="879"/>
      <c r="AO561" s="879"/>
      <c r="AP561" s="879"/>
      <c r="AQ561" s="879"/>
      <c r="AR561" s="879"/>
      <c r="AS561" s="879"/>
    </row>
    <row r="562" spans="1:45" x14ac:dyDescent="0.2">
      <c r="A562" s="527">
        <v>560</v>
      </c>
      <c r="B562" s="879"/>
      <c r="C562" s="879" t="s">
        <v>3564</v>
      </c>
      <c r="D562" s="879"/>
      <c r="E562" s="879"/>
      <c r="F562" s="879"/>
      <c r="G562" s="624">
        <v>44835</v>
      </c>
      <c r="H562" s="879"/>
      <c r="I562" s="879"/>
      <c r="J562" s="835">
        <v>2021</v>
      </c>
      <c r="K562" s="669">
        <v>2022</v>
      </c>
      <c r="L562" s="613" t="s">
        <v>303</v>
      </c>
      <c r="M562" s="613">
        <f t="shared" si="103"/>
        <v>0</v>
      </c>
      <c r="N562" s="613">
        <f t="shared" si="104"/>
        <v>1</v>
      </c>
      <c r="O562" s="880"/>
      <c r="P562" s="880"/>
      <c r="Q562" s="836">
        <v>1</v>
      </c>
      <c r="R562" s="880"/>
      <c r="S562" s="880"/>
      <c r="T562" s="880"/>
      <c r="U562" s="613">
        <f t="shared" si="102"/>
        <v>1</v>
      </c>
      <c r="V562" s="879"/>
      <c r="W562" s="613" t="str">
        <f t="shared" si="97"/>
        <v>I</v>
      </c>
      <c r="X562" s="613" t="str">
        <f t="shared" si="98"/>
        <v>I</v>
      </c>
      <c r="Y562" s="613">
        <f t="shared" si="99"/>
        <v>2021</v>
      </c>
      <c r="Z562" s="613" t="str">
        <f t="shared" si="100"/>
        <v>I</v>
      </c>
      <c r="AA562" s="613" t="str">
        <f t="shared" si="101"/>
        <v>I</v>
      </c>
      <c r="AB562" s="613" t="str">
        <f t="shared" si="101"/>
        <v>I</v>
      </c>
      <c r="AC562" s="879"/>
      <c r="AD562" s="880"/>
      <c r="AE562" s="881"/>
      <c r="AF562" s="644"/>
      <c r="AG562" s="879"/>
      <c r="AH562" s="879"/>
      <c r="AI562" s="879"/>
      <c r="AJ562" s="879"/>
      <c r="AK562" s="879"/>
      <c r="AL562" s="879"/>
      <c r="AM562" s="879"/>
      <c r="AN562" s="879"/>
      <c r="AO562" s="879"/>
      <c r="AP562" s="879"/>
      <c r="AQ562" s="879"/>
      <c r="AR562" s="879"/>
      <c r="AS562" s="879"/>
    </row>
    <row r="563" spans="1:45" x14ac:dyDescent="0.2">
      <c r="A563" s="527">
        <v>561</v>
      </c>
      <c r="B563" s="879"/>
      <c r="C563" s="879" t="s">
        <v>3610</v>
      </c>
      <c r="D563" s="879"/>
      <c r="E563" s="879"/>
      <c r="F563" s="879"/>
      <c r="G563" s="624">
        <v>44835</v>
      </c>
      <c r="H563" s="879"/>
      <c r="I563" s="879"/>
      <c r="J563" s="835">
        <v>2021</v>
      </c>
      <c r="K563" s="669">
        <v>2022</v>
      </c>
      <c r="L563" s="613" t="s">
        <v>303</v>
      </c>
      <c r="M563" s="613">
        <f t="shared" si="103"/>
        <v>0</v>
      </c>
      <c r="N563" s="613">
        <f t="shared" si="104"/>
        <v>1</v>
      </c>
      <c r="O563" s="880"/>
      <c r="P563" s="880"/>
      <c r="Q563" s="836">
        <v>1</v>
      </c>
      <c r="R563" s="880"/>
      <c r="S563" s="880"/>
      <c r="T563" s="880"/>
      <c r="U563" s="613">
        <f t="shared" si="102"/>
        <v>1</v>
      </c>
      <c r="V563" s="879"/>
      <c r="W563" s="613" t="str">
        <f t="shared" si="97"/>
        <v>I</v>
      </c>
      <c r="X563" s="613" t="str">
        <f t="shared" si="98"/>
        <v>I</v>
      </c>
      <c r="Y563" s="613">
        <f t="shared" si="99"/>
        <v>2021</v>
      </c>
      <c r="Z563" s="613" t="str">
        <f t="shared" si="100"/>
        <v>I</v>
      </c>
      <c r="AA563" s="613" t="str">
        <f t="shared" si="101"/>
        <v>I</v>
      </c>
      <c r="AB563" s="613" t="str">
        <f t="shared" si="101"/>
        <v>I</v>
      </c>
      <c r="AC563" s="879"/>
      <c r="AD563" s="880"/>
      <c r="AE563" s="881"/>
      <c r="AF563" s="644"/>
      <c r="AG563" s="879"/>
      <c r="AH563" s="879"/>
      <c r="AI563" s="879"/>
      <c r="AJ563" s="879"/>
      <c r="AK563" s="879"/>
      <c r="AL563" s="879"/>
      <c r="AM563" s="879"/>
      <c r="AN563" s="879"/>
      <c r="AO563" s="879"/>
      <c r="AP563" s="879"/>
      <c r="AQ563" s="879"/>
      <c r="AR563" s="879"/>
      <c r="AS563" s="879"/>
    </row>
    <row r="564" spans="1:45" x14ac:dyDescent="0.2">
      <c r="A564" s="527">
        <v>562</v>
      </c>
      <c r="B564" s="879"/>
      <c r="C564" s="879" t="s">
        <v>3611</v>
      </c>
      <c r="D564" s="879"/>
      <c r="E564" s="879"/>
      <c r="F564" s="879"/>
      <c r="G564" s="624">
        <v>44835</v>
      </c>
      <c r="H564" s="879"/>
      <c r="I564" s="879"/>
      <c r="J564" s="835">
        <v>2021</v>
      </c>
      <c r="K564" s="669">
        <v>2022</v>
      </c>
      <c r="L564" s="613" t="s">
        <v>303</v>
      </c>
      <c r="M564" s="613">
        <f t="shared" si="103"/>
        <v>0</v>
      </c>
      <c r="N564" s="613">
        <f t="shared" si="104"/>
        <v>1</v>
      </c>
      <c r="O564" s="880"/>
      <c r="P564" s="880"/>
      <c r="Q564" s="836">
        <v>1</v>
      </c>
      <c r="R564" s="880"/>
      <c r="S564" s="880"/>
      <c r="T564" s="880"/>
      <c r="U564" s="613">
        <f t="shared" si="102"/>
        <v>1</v>
      </c>
      <c r="V564" s="879"/>
      <c r="W564" s="613" t="str">
        <f t="shared" si="97"/>
        <v>I</v>
      </c>
      <c r="X564" s="613" t="str">
        <f t="shared" si="98"/>
        <v>I</v>
      </c>
      <c r="Y564" s="613">
        <f t="shared" si="99"/>
        <v>2021</v>
      </c>
      <c r="Z564" s="613" t="str">
        <f t="shared" si="100"/>
        <v>I</v>
      </c>
      <c r="AA564" s="613" t="str">
        <f t="shared" si="101"/>
        <v>I</v>
      </c>
      <c r="AB564" s="613" t="str">
        <f t="shared" si="101"/>
        <v>I</v>
      </c>
      <c r="AC564" s="879"/>
      <c r="AD564" s="880"/>
      <c r="AE564" s="881"/>
      <c r="AF564" s="644"/>
      <c r="AG564" s="879"/>
      <c r="AH564" s="879"/>
      <c r="AI564" s="879"/>
      <c r="AJ564" s="879"/>
      <c r="AK564" s="879"/>
      <c r="AL564" s="879"/>
      <c r="AM564" s="879"/>
      <c r="AN564" s="879"/>
      <c r="AO564" s="879"/>
      <c r="AP564" s="879"/>
      <c r="AQ564" s="879"/>
      <c r="AR564" s="879"/>
      <c r="AS564" s="879"/>
    </row>
    <row r="565" spans="1:45" x14ac:dyDescent="0.2">
      <c r="A565" s="527">
        <v>563</v>
      </c>
      <c r="B565" s="879"/>
      <c r="C565" s="879" t="s">
        <v>3572</v>
      </c>
      <c r="D565" s="879"/>
      <c r="E565" s="879"/>
      <c r="F565" s="879"/>
      <c r="G565" s="624">
        <v>44856</v>
      </c>
      <c r="H565" s="879"/>
      <c r="I565" s="879"/>
      <c r="J565" s="835">
        <v>2022</v>
      </c>
      <c r="K565" s="669">
        <v>2022</v>
      </c>
      <c r="L565" s="613" t="s">
        <v>336</v>
      </c>
      <c r="M565" s="613">
        <f t="shared" si="103"/>
        <v>1</v>
      </c>
      <c r="N565" s="613">
        <f t="shared" si="104"/>
        <v>0</v>
      </c>
      <c r="O565" s="880"/>
      <c r="P565" s="880"/>
      <c r="Q565" s="836">
        <v>1</v>
      </c>
      <c r="R565" s="880"/>
      <c r="S565" s="880"/>
      <c r="T565" s="880"/>
      <c r="U565" s="613">
        <f t="shared" si="102"/>
        <v>1</v>
      </c>
      <c r="V565" s="879"/>
      <c r="W565" s="613" t="str">
        <f t="shared" si="97"/>
        <v>I</v>
      </c>
      <c r="X565" s="613" t="str">
        <f t="shared" si="98"/>
        <v>I</v>
      </c>
      <c r="Y565" s="613">
        <f t="shared" si="99"/>
        <v>2022</v>
      </c>
      <c r="Z565" s="613" t="str">
        <f t="shared" si="100"/>
        <v>I</v>
      </c>
      <c r="AA565" s="613" t="str">
        <f t="shared" si="101"/>
        <v>I</v>
      </c>
      <c r="AB565" s="613" t="str">
        <f t="shared" si="101"/>
        <v>I</v>
      </c>
      <c r="AC565" s="879"/>
      <c r="AD565" s="880"/>
      <c r="AE565" s="881"/>
      <c r="AF565" s="644"/>
      <c r="AG565" s="879"/>
      <c r="AH565" s="879"/>
      <c r="AI565" s="879"/>
      <c r="AJ565" s="879"/>
      <c r="AK565" s="879"/>
      <c r="AL565" s="879"/>
      <c r="AM565" s="879"/>
      <c r="AN565" s="879"/>
      <c r="AO565" s="879"/>
      <c r="AP565" s="879"/>
      <c r="AQ565" s="879"/>
      <c r="AR565" s="879"/>
      <c r="AS565" s="879"/>
    </row>
    <row r="566" spans="1:45" x14ac:dyDescent="0.2">
      <c r="A566" s="527">
        <v>564</v>
      </c>
      <c r="B566" s="879"/>
      <c r="C566" s="879" t="s">
        <v>3573</v>
      </c>
      <c r="D566" s="879"/>
      <c r="E566" s="879"/>
      <c r="F566" s="879"/>
      <c r="G566" s="624">
        <v>44856</v>
      </c>
      <c r="H566" s="879"/>
      <c r="I566" s="879"/>
      <c r="J566" s="835">
        <v>2021</v>
      </c>
      <c r="K566" s="669">
        <v>2022</v>
      </c>
      <c r="L566" s="613">
        <v>9</v>
      </c>
      <c r="M566" s="613">
        <f t="shared" si="103"/>
        <v>0</v>
      </c>
      <c r="N566" s="613">
        <f t="shared" si="104"/>
        <v>0</v>
      </c>
      <c r="O566" s="880"/>
      <c r="P566" s="880"/>
      <c r="Q566" s="836">
        <v>1</v>
      </c>
      <c r="R566" s="880"/>
      <c r="S566" s="880"/>
      <c r="T566" s="880"/>
      <c r="U566" s="613">
        <f t="shared" si="102"/>
        <v>1</v>
      </c>
      <c r="V566" s="879"/>
      <c r="W566" s="613" t="str">
        <f t="shared" si="97"/>
        <v>I</v>
      </c>
      <c r="X566" s="613" t="str">
        <f t="shared" si="98"/>
        <v>I</v>
      </c>
      <c r="Y566" s="613">
        <f t="shared" si="99"/>
        <v>2021</v>
      </c>
      <c r="Z566" s="613" t="str">
        <f t="shared" si="100"/>
        <v>I</v>
      </c>
      <c r="AA566" s="613" t="str">
        <f t="shared" si="101"/>
        <v>I</v>
      </c>
      <c r="AB566" s="613" t="str">
        <f t="shared" si="101"/>
        <v>I</v>
      </c>
      <c r="AC566" s="879"/>
      <c r="AD566" s="880"/>
      <c r="AE566" s="881"/>
      <c r="AF566" s="644"/>
      <c r="AG566" s="879"/>
      <c r="AH566" s="879"/>
      <c r="AI566" s="879"/>
      <c r="AJ566" s="879"/>
      <c r="AK566" s="879"/>
      <c r="AL566" s="879"/>
      <c r="AM566" s="879"/>
      <c r="AN566" s="879"/>
      <c r="AO566" s="879"/>
      <c r="AP566" s="879"/>
      <c r="AQ566" s="879"/>
      <c r="AR566" s="879"/>
      <c r="AS566" s="879"/>
    </row>
    <row r="567" spans="1:45" x14ac:dyDescent="0.2">
      <c r="A567" s="527">
        <v>565</v>
      </c>
      <c r="B567" s="879"/>
      <c r="C567" s="879" t="s">
        <v>3574</v>
      </c>
      <c r="D567" s="879"/>
      <c r="E567" s="879"/>
      <c r="F567" s="879"/>
      <c r="G567" s="624">
        <v>44856</v>
      </c>
      <c r="H567" s="879"/>
      <c r="I567" s="879"/>
      <c r="J567" s="835">
        <v>2016</v>
      </c>
      <c r="K567" s="669">
        <v>2022</v>
      </c>
      <c r="L567" s="613" t="s">
        <v>303</v>
      </c>
      <c r="M567" s="613">
        <f t="shared" si="103"/>
        <v>0</v>
      </c>
      <c r="N567" s="613">
        <f t="shared" si="104"/>
        <v>1</v>
      </c>
      <c r="O567" s="880"/>
      <c r="P567" s="880"/>
      <c r="Q567" s="836">
        <v>1</v>
      </c>
      <c r="R567" s="880"/>
      <c r="S567" s="880"/>
      <c r="T567" s="880"/>
      <c r="U567" s="613">
        <f t="shared" si="102"/>
        <v>1</v>
      </c>
      <c r="V567" s="879"/>
      <c r="W567" s="613" t="str">
        <f t="shared" si="97"/>
        <v>I</v>
      </c>
      <c r="X567" s="613" t="str">
        <f t="shared" si="98"/>
        <v>I</v>
      </c>
      <c r="Y567" s="613">
        <f t="shared" si="99"/>
        <v>2016</v>
      </c>
      <c r="Z567" s="613" t="str">
        <f t="shared" si="100"/>
        <v>I</v>
      </c>
      <c r="AA567" s="613" t="str">
        <f t="shared" si="101"/>
        <v>I</v>
      </c>
      <c r="AB567" s="613" t="str">
        <f t="shared" si="101"/>
        <v>I</v>
      </c>
      <c r="AC567" s="879"/>
      <c r="AD567" s="880"/>
      <c r="AE567" s="881"/>
      <c r="AF567" s="644"/>
      <c r="AG567" s="879"/>
      <c r="AH567" s="879"/>
      <c r="AI567" s="879"/>
      <c r="AJ567" s="879"/>
      <c r="AK567" s="879"/>
      <c r="AL567" s="879"/>
      <c r="AM567" s="879"/>
      <c r="AN567" s="879"/>
      <c r="AO567" s="879"/>
      <c r="AP567" s="879"/>
      <c r="AQ567" s="879"/>
      <c r="AR567" s="879"/>
      <c r="AS567" s="879"/>
    </row>
    <row r="568" spans="1:45" x14ac:dyDescent="0.2">
      <c r="A568" s="527">
        <v>566</v>
      </c>
      <c r="B568" s="879"/>
      <c r="C568" s="879" t="s">
        <v>3575</v>
      </c>
      <c r="D568" s="879"/>
      <c r="E568" s="879"/>
      <c r="F568" s="879"/>
      <c r="G568" s="624">
        <v>44856</v>
      </c>
      <c r="H568" s="879"/>
      <c r="I568" s="879"/>
      <c r="J568" s="835">
        <v>2021</v>
      </c>
      <c r="K568" s="669">
        <v>2022</v>
      </c>
      <c r="L568" s="613" t="s">
        <v>303</v>
      </c>
      <c r="M568" s="613">
        <f t="shared" si="103"/>
        <v>0</v>
      </c>
      <c r="N568" s="613">
        <f t="shared" si="104"/>
        <v>1</v>
      </c>
      <c r="O568" s="880"/>
      <c r="P568" s="880"/>
      <c r="Q568" s="836">
        <v>1</v>
      </c>
      <c r="R568" s="880"/>
      <c r="S568" s="880"/>
      <c r="T568" s="880"/>
      <c r="U568" s="613">
        <f t="shared" si="102"/>
        <v>1</v>
      </c>
      <c r="V568" s="879"/>
      <c r="W568" s="613" t="str">
        <f t="shared" si="97"/>
        <v>I</v>
      </c>
      <c r="X568" s="613" t="str">
        <f t="shared" si="98"/>
        <v>I</v>
      </c>
      <c r="Y568" s="613">
        <f t="shared" si="99"/>
        <v>2021</v>
      </c>
      <c r="Z568" s="613" t="str">
        <f t="shared" si="100"/>
        <v>I</v>
      </c>
      <c r="AA568" s="613" t="str">
        <f t="shared" si="101"/>
        <v>I</v>
      </c>
      <c r="AB568" s="613" t="str">
        <f t="shared" si="101"/>
        <v>I</v>
      </c>
      <c r="AC568" s="879"/>
      <c r="AD568" s="880"/>
      <c r="AE568" s="881"/>
      <c r="AF568" s="644"/>
      <c r="AG568" s="879"/>
      <c r="AH568" s="879"/>
      <c r="AI568" s="879"/>
      <c r="AJ568" s="879"/>
      <c r="AK568" s="879"/>
      <c r="AL568" s="879"/>
      <c r="AM568" s="879"/>
      <c r="AN568" s="879"/>
      <c r="AO568" s="879"/>
      <c r="AP568" s="879"/>
      <c r="AQ568" s="879"/>
      <c r="AR568" s="879"/>
      <c r="AS568" s="879"/>
    </row>
    <row r="569" spans="1:45" x14ac:dyDescent="0.2">
      <c r="A569" s="527">
        <v>567</v>
      </c>
      <c r="B569" s="879"/>
      <c r="C569" s="879" t="s">
        <v>3576</v>
      </c>
      <c r="D569" s="879"/>
      <c r="E569" s="879"/>
      <c r="F569" s="879"/>
      <c r="G569" s="624">
        <v>44856</v>
      </c>
      <c r="H569" s="879"/>
      <c r="I569" s="879"/>
      <c r="J569" s="835">
        <v>2022</v>
      </c>
      <c r="K569" s="669">
        <v>2022</v>
      </c>
      <c r="L569" s="613" t="s">
        <v>303</v>
      </c>
      <c r="M569" s="613">
        <f t="shared" ref="M569:M586" si="105">IF(AND(L569="F",Q569=1),1,0)</f>
        <v>0</v>
      </c>
      <c r="N569" s="613">
        <f t="shared" ref="N569:N586" si="106">IF(AND(L569="P",Q569=1),1,0)</f>
        <v>1</v>
      </c>
      <c r="O569" s="880"/>
      <c r="P569" s="880"/>
      <c r="Q569" s="836">
        <v>1</v>
      </c>
      <c r="R569" s="880"/>
      <c r="S569" s="880"/>
      <c r="T569" s="880"/>
      <c r="U569" s="613">
        <f t="shared" si="102"/>
        <v>1</v>
      </c>
      <c r="V569" s="879"/>
      <c r="W569" s="613" t="str">
        <f t="shared" si="97"/>
        <v>I</v>
      </c>
      <c r="X569" s="613" t="str">
        <f t="shared" si="98"/>
        <v>I</v>
      </c>
      <c r="Y569" s="613">
        <f t="shared" si="99"/>
        <v>2022</v>
      </c>
      <c r="Z569" s="613" t="str">
        <f t="shared" si="100"/>
        <v>I</v>
      </c>
      <c r="AA569" s="613" t="str">
        <f t="shared" si="101"/>
        <v>I</v>
      </c>
      <c r="AB569" s="613" t="str">
        <f t="shared" si="101"/>
        <v>I</v>
      </c>
      <c r="AC569" s="879"/>
      <c r="AD569" s="880"/>
      <c r="AE569" s="881"/>
      <c r="AF569" s="644"/>
      <c r="AG569" s="879"/>
      <c r="AH569" s="879"/>
      <c r="AI569" s="879"/>
      <c r="AJ569" s="879"/>
      <c r="AK569" s="879"/>
      <c r="AL569" s="879"/>
      <c r="AM569" s="879"/>
      <c r="AN569" s="879"/>
      <c r="AO569" s="879"/>
      <c r="AP569" s="879"/>
      <c r="AQ569" s="879"/>
      <c r="AR569" s="879"/>
      <c r="AS569" s="879"/>
    </row>
    <row r="570" spans="1:45" x14ac:dyDescent="0.2">
      <c r="A570" s="527">
        <v>568</v>
      </c>
      <c r="B570" s="879"/>
      <c r="C570" s="879" t="s">
        <v>3581</v>
      </c>
      <c r="D570" s="879"/>
      <c r="E570" s="879"/>
      <c r="F570" s="879"/>
      <c r="G570" s="624">
        <v>44877</v>
      </c>
      <c r="H570" s="879"/>
      <c r="I570" s="879"/>
      <c r="J570" s="835">
        <v>2022</v>
      </c>
      <c r="K570" s="669">
        <v>2022</v>
      </c>
      <c r="L570" s="613" t="s">
        <v>336</v>
      </c>
      <c r="M570" s="613">
        <f t="shared" si="105"/>
        <v>1</v>
      </c>
      <c r="N570" s="613">
        <f t="shared" si="106"/>
        <v>0</v>
      </c>
      <c r="O570" s="880"/>
      <c r="P570" s="880"/>
      <c r="Q570" s="836">
        <v>1</v>
      </c>
      <c r="R570" s="880"/>
      <c r="S570" s="880"/>
      <c r="T570" s="880"/>
      <c r="U570" s="613">
        <f t="shared" si="102"/>
        <v>1</v>
      </c>
      <c r="V570" s="879"/>
      <c r="W570" s="613" t="str">
        <f t="shared" ref="W570:W586" si="107">IF(O570=1,$J570,"I")</f>
        <v>I</v>
      </c>
      <c r="X570" s="613" t="str">
        <f t="shared" ref="X570:X586" si="108">IF(P570=1,$J570,"I")</f>
        <v>I</v>
      </c>
      <c r="Y570" s="613">
        <f t="shared" ref="Y570:Y586" si="109">IF(Q570=1,$J570,"I")</f>
        <v>2022</v>
      </c>
      <c r="Z570" s="613" t="str">
        <f t="shared" ref="Z570:Z586" si="110">IF(R570=1,$J570,"I")</f>
        <v>I</v>
      </c>
      <c r="AA570" s="613" t="str">
        <f t="shared" ref="AA570:AB586" si="111">IF(S570=1,$J570,"I")</f>
        <v>I</v>
      </c>
      <c r="AB570" s="613" t="str">
        <f t="shared" si="111"/>
        <v>I</v>
      </c>
      <c r="AC570" s="879"/>
      <c r="AD570" s="880"/>
      <c r="AE570" s="881"/>
      <c r="AF570" s="644"/>
      <c r="AG570" s="879"/>
      <c r="AH570" s="879"/>
      <c r="AI570" s="879"/>
      <c r="AJ570" s="879"/>
      <c r="AK570" s="879"/>
      <c r="AL570" s="879"/>
      <c r="AM570" s="879"/>
      <c r="AN570" s="879"/>
      <c r="AO570" s="879"/>
      <c r="AP570" s="879"/>
      <c r="AQ570" s="879"/>
      <c r="AR570" s="879"/>
      <c r="AS570" s="879"/>
    </row>
    <row r="571" spans="1:45" x14ac:dyDescent="0.2">
      <c r="A571" s="527">
        <v>569</v>
      </c>
      <c r="B571" s="879"/>
      <c r="C571" s="879" t="s">
        <v>3582</v>
      </c>
      <c r="D571" s="879"/>
      <c r="E571" s="879"/>
      <c r="F571" s="879"/>
      <c r="G571" s="624">
        <v>44877</v>
      </c>
      <c r="H571" s="879"/>
      <c r="I571" s="879"/>
      <c r="J571" s="835">
        <v>2022</v>
      </c>
      <c r="K571" s="669">
        <v>2022</v>
      </c>
      <c r="L571" s="613" t="s">
        <v>303</v>
      </c>
      <c r="M571" s="613">
        <f t="shared" si="105"/>
        <v>0</v>
      </c>
      <c r="N571" s="613">
        <f t="shared" si="106"/>
        <v>1</v>
      </c>
      <c r="O571" s="880"/>
      <c r="P571" s="880"/>
      <c r="Q571" s="836">
        <v>1</v>
      </c>
      <c r="R571" s="880"/>
      <c r="S571" s="880"/>
      <c r="T571" s="880"/>
      <c r="U571" s="613">
        <f t="shared" si="102"/>
        <v>1</v>
      </c>
      <c r="V571" s="879"/>
      <c r="W571" s="613" t="str">
        <f t="shared" si="107"/>
        <v>I</v>
      </c>
      <c r="X571" s="613" t="str">
        <f t="shared" si="108"/>
        <v>I</v>
      </c>
      <c r="Y571" s="613">
        <f t="shared" si="109"/>
        <v>2022</v>
      </c>
      <c r="Z571" s="613" t="str">
        <f t="shared" si="110"/>
        <v>I</v>
      </c>
      <c r="AA571" s="613" t="str">
        <f t="shared" si="111"/>
        <v>I</v>
      </c>
      <c r="AB571" s="613" t="str">
        <f t="shared" si="111"/>
        <v>I</v>
      </c>
      <c r="AC571" s="879"/>
      <c r="AD571" s="880"/>
      <c r="AE571" s="881"/>
      <c r="AF571" s="644"/>
      <c r="AG571" s="879"/>
      <c r="AH571" s="879"/>
      <c r="AI571" s="879"/>
      <c r="AJ571" s="879"/>
      <c r="AK571" s="879"/>
      <c r="AL571" s="879"/>
      <c r="AM571" s="879"/>
      <c r="AN571" s="879"/>
      <c r="AO571" s="879"/>
      <c r="AP571" s="879"/>
      <c r="AQ571" s="879"/>
      <c r="AR571" s="879"/>
      <c r="AS571" s="879"/>
    </row>
    <row r="572" spans="1:45" x14ac:dyDescent="0.2">
      <c r="A572" s="527">
        <v>570</v>
      </c>
      <c r="B572" s="879"/>
      <c r="C572" s="879" t="s">
        <v>3590</v>
      </c>
      <c r="D572" s="879"/>
      <c r="E572" s="879"/>
      <c r="F572" s="879"/>
      <c r="G572" s="624">
        <v>44877</v>
      </c>
      <c r="H572" s="879"/>
      <c r="I572" s="879"/>
      <c r="J572" s="835">
        <v>2015</v>
      </c>
      <c r="K572" s="669">
        <v>2022</v>
      </c>
      <c r="L572" s="613" t="s">
        <v>336</v>
      </c>
      <c r="M572" s="613">
        <f t="shared" si="105"/>
        <v>0</v>
      </c>
      <c r="N572" s="613">
        <f t="shared" si="106"/>
        <v>0</v>
      </c>
      <c r="O572" s="880">
        <v>1</v>
      </c>
      <c r="P572" s="880"/>
      <c r="Q572" s="836"/>
      <c r="R572" s="880"/>
      <c r="S572" s="880"/>
      <c r="T572" s="880"/>
      <c r="U572" s="613">
        <f t="shared" si="102"/>
        <v>1</v>
      </c>
      <c r="V572" s="879"/>
      <c r="W572" s="613">
        <f t="shared" si="107"/>
        <v>2015</v>
      </c>
      <c r="X572" s="613" t="str">
        <f t="shared" si="108"/>
        <v>I</v>
      </c>
      <c r="Y572" s="613" t="str">
        <f t="shared" si="109"/>
        <v>I</v>
      </c>
      <c r="Z572" s="613" t="str">
        <f t="shared" si="110"/>
        <v>I</v>
      </c>
      <c r="AA572" s="613" t="str">
        <f t="shared" si="111"/>
        <v>I</v>
      </c>
      <c r="AB572" s="613" t="str">
        <f t="shared" si="111"/>
        <v>I</v>
      </c>
      <c r="AC572" s="879"/>
      <c r="AD572" s="880"/>
      <c r="AE572" s="881"/>
      <c r="AF572" s="644"/>
      <c r="AG572" s="879"/>
      <c r="AH572" s="879"/>
      <c r="AI572" s="879"/>
      <c r="AJ572" s="879"/>
      <c r="AK572" s="879"/>
      <c r="AL572" s="879"/>
      <c r="AM572" s="879"/>
      <c r="AN572" s="879"/>
      <c r="AO572" s="879"/>
      <c r="AP572" s="879"/>
      <c r="AQ572" s="879"/>
      <c r="AR572" s="879"/>
      <c r="AS572" s="879"/>
    </row>
    <row r="573" spans="1:45" x14ac:dyDescent="0.2">
      <c r="A573" s="527">
        <v>571</v>
      </c>
      <c r="B573" s="879"/>
      <c r="C573" s="879" t="s">
        <v>3583</v>
      </c>
      <c r="D573" s="879"/>
      <c r="E573" s="879"/>
      <c r="F573" s="879"/>
      <c r="G573" s="624">
        <v>44877</v>
      </c>
      <c r="H573" s="879"/>
      <c r="I573" s="879"/>
      <c r="J573" s="835">
        <v>2021</v>
      </c>
      <c r="K573" s="669">
        <v>2022</v>
      </c>
      <c r="L573" s="613" t="s">
        <v>336</v>
      </c>
      <c r="M573" s="613">
        <f t="shared" si="105"/>
        <v>1</v>
      </c>
      <c r="N573" s="613">
        <f t="shared" si="106"/>
        <v>0</v>
      </c>
      <c r="O573" s="880"/>
      <c r="P573" s="880"/>
      <c r="Q573" s="836">
        <v>1</v>
      </c>
      <c r="R573" s="880"/>
      <c r="S573" s="880"/>
      <c r="T573" s="880"/>
      <c r="U573" s="613">
        <f t="shared" si="102"/>
        <v>1</v>
      </c>
      <c r="V573" s="879"/>
      <c r="W573" s="613" t="str">
        <f t="shared" si="107"/>
        <v>I</v>
      </c>
      <c r="X573" s="613" t="str">
        <f t="shared" si="108"/>
        <v>I</v>
      </c>
      <c r="Y573" s="613">
        <f t="shared" si="109"/>
        <v>2021</v>
      </c>
      <c r="Z573" s="613" t="str">
        <f t="shared" si="110"/>
        <v>I</v>
      </c>
      <c r="AA573" s="613" t="str">
        <f t="shared" si="111"/>
        <v>I</v>
      </c>
      <c r="AB573" s="613" t="str">
        <f t="shared" si="111"/>
        <v>I</v>
      </c>
      <c r="AC573" s="879"/>
      <c r="AD573" s="880"/>
      <c r="AE573" s="881"/>
      <c r="AF573" s="644"/>
      <c r="AG573" s="879"/>
      <c r="AH573" s="879"/>
      <c r="AI573" s="879"/>
      <c r="AJ573" s="879"/>
      <c r="AK573" s="879"/>
      <c r="AL573" s="879"/>
      <c r="AM573" s="879"/>
      <c r="AN573" s="879"/>
      <c r="AO573" s="879"/>
      <c r="AP573" s="879"/>
      <c r="AQ573" s="879"/>
      <c r="AR573" s="879"/>
      <c r="AS573" s="879"/>
    </row>
    <row r="574" spans="1:45" x14ac:dyDescent="0.2">
      <c r="A574" s="527">
        <v>572</v>
      </c>
      <c r="B574" s="879"/>
      <c r="C574" s="879" t="s">
        <v>3584</v>
      </c>
      <c r="D574" s="879"/>
      <c r="E574" s="879"/>
      <c r="F574" s="879"/>
      <c r="G574" s="624">
        <v>44877</v>
      </c>
      <c r="H574" s="879"/>
      <c r="I574" s="879"/>
      <c r="J574" s="835">
        <v>2021</v>
      </c>
      <c r="K574" s="669">
        <v>2022</v>
      </c>
      <c r="L574" s="613" t="s">
        <v>303</v>
      </c>
      <c r="M574" s="613">
        <f t="shared" si="105"/>
        <v>0</v>
      </c>
      <c r="N574" s="613">
        <f t="shared" si="106"/>
        <v>1</v>
      </c>
      <c r="O574" s="880"/>
      <c r="P574" s="880"/>
      <c r="Q574" s="836">
        <v>1</v>
      </c>
      <c r="R574" s="880"/>
      <c r="S574" s="880"/>
      <c r="T574" s="880"/>
      <c r="U574" s="613">
        <f t="shared" si="102"/>
        <v>1</v>
      </c>
      <c r="V574" s="879"/>
      <c r="W574" s="613" t="str">
        <f t="shared" si="107"/>
        <v>I</v>
      </c>
      <c r="X574" s="613" t="str">
        <f t="shared" si="108"/>
        <v>I</v>
      </c>
      <c r="Y574" s="613">
        <f t="shared" si="109"/>
        <v>2021</v>
      </c>
      <c r="Z574" s="613" t="str">
        <f t="shared" si="110"/>
        <v>I</v>
      </c>
      <c r="AA574" s="613" t="str">
        <f t="shared" si="111"/>
        <v>I</v>
      </c>
      <c r="AB574" s="613" t="str">
        <f t="shared" si="111"/>
        <v>I</v>
      </c>
      <c r="AC574" s="879"/>
      <c r="AD574" s="880"/>
      <c r="AE574" s="881"/>
      <c r="AF574" s="644"/>
      <c r="AG574" s="879"/>
      <c r="AH574" s="879"/>
      <c r="AI574" s="879"/>
      <c r="AJ574" s="879"/>
      <c r="AK574" s="879"/>
      <c r="AL574" s="879"/>
      <c r="AM574" s="879"/>
      <c r="AN574" s="879"/>
      <c r="AO574" s="879"/>
      <c r="AP574" s="879"/>
      <c r="AQ574" s="879"/>
      <c r="AR574" s="879"/>
      <c r="AS574" s="879"/>
    </row>
    <row r="575" spans="1:45" x14ac:dyDescent="0.2">
      <c r="A575" s="527">
        <v>573</v>
      </c>
      <c r="B575" s="879"/>
      <c r="C575" s="879" t="s">
        <v>3585</v>
      </c>
      <c r="D575" s="879"/>
      <c r="E575" s="879"/>
      <c r="F575" s="879"/>
      <c r="G575" s="624">
        <v>44877</v>
      </c>
      <c r="H575" s="879"/>
      <c r="I575" s="879"/>
      <c r="J575" s="835">
        <v>2022</v>
      </c>
      <c r="K575" s="669">
        <v>2022</v>
      </c>
      <c r="L575" s="613" t="s">
        <v>303</v>
      </c>
      <c r="M575" s="613">
        <f t="shared" si="105"/>
        <v>0</v>
      </c>
      <c r="N575" s="613">
        <f t="shared" si="106"/>
        <v>1</v>
      </c>
      <c r="O575" s="880"/>
      <c r="P575" s="880"/>
      <c r="Q575" s="836">
        <v>1</v>
      </c>
      <c r="R575" s="880"/>
      <c r="S575" s="880"/>
      <c r="T575" s="880"/>
      <c r="U575" s="613">
        <f t="shared" si="102"/>
        <v>1</v>
      </c>
      <c r="V575" s="879"/>
      <c r="W575" s="613" t="str">
        <f t="shared" si="107"/>
        <v>I</v>
      </c>
      <c r="X575" s="613" t="str">
        <f t="shared" si="108"/>
        <v>I</v>
      </c>
      <c r="Y575" s="613">
        <f t="shared" si="109"/>
        <v>2022</v>
      </c>
      <c r="Z575" s="613" t="str">
        <f t="shared" si="110"/>
        <v>I</v>
      </c>
      <c r="AA575" s="613" t="str">
        <f t="shared" si="111"/>
        <v>I</v>
      </c>
      <c r="AB575" s="613" t="str">
        <f t="shared" si="111"/>
        <v>I</v>
      </c>
      <c r="AC575" s="879"/>
      <c r="AD575" s="880"/>
      <c r="AE575" s="881"/>
      <c r="AF575" s="644"/>
      <c r="AG575" s="879"/>
      <c r="AH575" s="879"/>
      <c r="AI575" s="879"/>
      <c r="AJ575" s="879"/>
      <c r="AK575" s="879"/>
      <c r="AL575" s="879"/>
      <c r="AM575" s="879"/>
      <c r="AN575" s="879"/>
      <c r="AO575" s="879"/>
      <c r="AP575" s="879"/>
      <c r="AQ575" s="879"/>
      <c r="AR575" s="879"/>
      <c r="AS575" s="879"/>
    </row>
    <row r="576" spans="1:45" x14ac:dyDescent="0.2">
      <c r="A576" s="527">
        <v>574</v>
      </c>
      <c r="B576" s="879"/>
      <c r="C576" s="879" t="s">
        <v>3586</v>
      </c>
      <c r="D576" s="879"/>
      <c r="E576" s="879"/>
      <c r="F576" s="879"/>
      <c r="G576" s="624">
        <v>44877</v>
      </c>
      <c r="H576" s="879"/>
      <c r="I576" s="879"/>
      <c r="J576" s="835">
        <v>2021</v>
      </c>
      <c r="K576" s="669">
        <v>2022</v>
      </c>
      <c r="L576" s="613" t="s">
        <v>303</v>
      </c>
      <c r="M576" s="613">
        <f t="shared" si="105"/>
        <v>0</v>
      </c>
      <c r="N576" s="613">
        <f t="shared" si="106"/>
        <v>1</v>
      </c>
      <c r="O576" s="880"/>
      <c r="P576" s="880"/>
      <c r="Q576" s="836">
        <v>1</v>
      </c>
      <c r="R576" s="880"/>
      <c r="S576" s="880"/>
      <c r="T576" s="880"/>
      <c r="U576" s="613">
        <f t="shared" si="102"/>
        <v>1</v>
      </c>
      <c r="V576" s="879"/>
      <c r="W576" s="613" t="str">
        <f t="shared" si="107"/>
        <v>I</v>
      </c>
      <c r="X576" s="613" t="str">
        <f t="shared" si="108"/>
        <v>I</v>
      </c>
      <c r="Y576" s="613">
        <f t="shared" si="109"/>
        <v>2021</v>
      </c>
      <c r="Z576" s="613" t="str">
        <f t="shared" si="110"/>
        <v>I</v>
      </c>
      <c r="AA576" s="613" t="str">
        <f t="shared" si="111"/>
        <v>I</v>
      </c>
      <c r="AB576" s="613" t="str">
        <f t="shared" si="111"/>
        <v>I</v>
      </c>
      <c r="AC576" s="879"/>
      <c r="AD576" s="880"/>
      <c r="AE576" s="881"/>
      <c r="AF576" s="644"/>
      <c r="AG576" s="879"/>
      <c r="AH576" s="879"/>
      <c r="AI576" s="879"/>
      <c r="AJ576" s="879"/>
      <c r="AK576" s="879"/>
      <c r="AL576" s="879"/>
      <c r="AM576" s="879"/>
      <c r="AN576" s="879"/>
      <c r="AO576" s="879"/>
      <c r="AP576" s="879"/>
      <c r="AQ576" s="879"/>
      <c r="AR576" s="879"/>
      <c r="AS576" s="879"/>
    </row>
    <row r="577" spans="1:45" x14ac:dyDescent="0.2">
      <c r="A577" s="527">
        <v>575</v>
      </c>
      <c r="B577" s="879"/>
      <c r="C577" s="879" t="s">
        <v>3587</v>
      </c>
      <c r="D577" s="879"/>
      <c r="E577" s="879"/>
      <c r="F577" s="879"/>
      <c r="G577" s="624">
        <v>44877</v>
      </c>
      <c r="H577" s="879"/>
      <c r="I577" s="879"/>
      <c r="J577" s="835">
        <v>2021</v>
      </c>
      <c r="K577" s="669">
        <v>2022</v>
      </c>
      <c r="L577" s="613" t="s">
        <v>303</v>
      </c>
      <c r="M577" s="613">
        <f t="shared" si="105"/>
        <v>0</v>
      </c>
      <c r="N577" s="613">
        <f t="shared" si="106"/>
        <v>1</v>
      </c>
      <c r="O577" s="880"/>
      <c r="P577" s="880"/>
      <c r="Q577" s="836">
        <v>1</v>
      </c>
      <c r="R577" s="880"/>
      <c r="S577" s="880"/>
      <c r="T577" s="880"/>
      <c r="U577" s="613">
        <f t="shared" si="102"/>
        <v>1</v>
      </c>
      <c r="V577" s="879"/>
      <c r="W577" s="613" t="str">
        <f t="shared" si="107"/>
        <v>I</v>
      </c>
      <c r="X577" s="613" t="str">
        <f t="shared" si="108"/>
        <v>I</v>
      </c>
      <c r="Y577" s="613">
        <f t="shared" si="109"/>
        <v>2021</v>
      </c>
      <c r="Z577" s="613" t="str">
        <f t="shared" si="110"/>
        <v>I</v>
      </c>
      <c r="AA577" s="613" t="str">
        <f t="shared" si="111"/>
        <v>I</v>
      </c>
      <c r="AB577" s="613" t="str">
        <f t="shared" si="111"/>
        <v>I</v>
      </c>
      <c r="AC577" s="879"/>
      <c r="AD577" s="880"/>
      <c r="AE577" s="881"/>
      <c r="AF577" s="644"/>
      <c r="AG577" s="879"/>
      <c r="AH577" s="879"/>
      <c r="AI577" s="879"/>
      <c r="AJ577" s="879"/>
      <c r="AK577" s="879"/>
      <c r="AL577" s="879"/>
      <c r="AM577" s="879"/>
      <c r="AN577" s="879"/>
      <c r="AO577" s="879"/>
      <c r="AP577" s="879"/>
      <c r="AQ577" s="879"/>
      <c r="AR577" s="879"/>
      <c r="AS577" s="879"/>
    </row>
    <row r="578" spans="1:45" x14ac:dyDescent="0.2">
      <c r="A578" s="527">
        <v>576</v>
      </c>
      <c r="B578" s="879"/>
      <c r="C578" s="879" t="s">
        <v>3600</v>
      </c>
      <c r="D578" s="879"/>
      <c r="E578" s="879"/>
      <c r="F578" s="879"/>
      <c r="G578" s="624">
        <v>44884</v>
      </c>
      <c r="H578" s="879"/>
      <c r="I578" s="879"/>
      <c r="J578" s="835">
        <v>2020</v>
      </c>
      <c r="K578" s="669">
        <v>2022</v>
      </c>
      <c r="L578" s="613" t="s">
        <v>303</v>
      </c>
      <c r="M578" s="613">
        <f t="shared" si="105"/>
        <v>0</v>
      </c>
      <c r="N578" s="613">
        <f t="shared" si="106"/>
        <v>1</v>
      </c>
      <c r="O578" s="880"/>
      <c r="P578" s="880"/>
      <c r="Q578" s="836">
        <v>1</v>
      </c>
      <c r="R578" s="880"/>
      <c r="S578" s="880"/>
      <c r="T578" s="880"/>
      <c r="U578" s="613">
        <f t="shared" si="102"/>
        <v>1</v>
      </c>
      <c r="V578" s="879"/>
      <c r="W578" s="613" t="str">
        <f t="shared" si="107"/>
        <v>I</v>
      </c>
      <c r="X578" s="613" t="str">
        <f t="shared" si="108"/>
        <v>I</v>
      </c>
      <c r="Y578" s="613">
        <f t="shared" si="109"/>
        <v>2020</v>
      </c>
      <c r="Z578" s="613" t="str">
        <f t="shared" si="110"/>
        <v>I</v>
      </c>
      <c r="AA578" s="613" t="str">
        <f t="shared" si="111"/>
        <v>I</v>
      </c>
      <c r="AB578" s="613" t="str">
        <f t="shared" si="111"/>
        <v>I</v>
      </c>
      <c r="AC578" s="879"/>
      <c r="AD578" s="880"/>
      <c r="AE578" s="881"/>
      <c r="AF578" s="644"/>
      <c r="AG578" s="879"/>
      <c r="AH578" s="879"/>
      <c r="AI578" s="879"/>
      <c r="AJ578" s="879"/>
      <c r="AK578" s="879"/>
      <c r="AL578" s="879"/>
      <c r="AM578" s="879"/>
      <c r="AN578" s="879"/>
      <c r="AO578" s="879"/>
      <c r="AP578" s="879"/>
      <c r="AQ578" s="879"/>
      <c r="AR578" s="879"/>
      <c r="AS578" s="879"/>
    </row>
    <row r="579" spans="1:45" x14ac:dyDescent="0.2">
      <c r="A579" s="527">
        <v>577</v>
      </c>
      <c r="B579" s="879"/>
      <c r="C579" s="879" t="s">
        <v>3603</v>
      </c>
      <c r="D579" s="879"/>
      <c r="E579" s="879"/>
      <c r="F579" s="879"/>
      <c r="G579" s="624">
        <v>44884</v>
      </c>
      <c r="H579" s="879"/>
      <c r="I579" s="879"/>
      <c r="J579" s="835">
        <v>2022</v>
      </c>
      <c r="K579" s="669">
        <v>2022</v>
      </c>
      <c r="L579" s="613" t="s">
        <v>303</v>
      </c>
      <c r="M579" s="613">
        <f t="shared" si="105"/>
        <v>0</v>
      </c>
      <c r="N579" s="613">
        <f t="shared" si="106"/>
        <v>1</v>
      </c>
      <c r="O579" s="880"/>
      <c r="P579" s="880"/>
      <c r="Q579" s="836">
        <v>1</v>
      </c>
      <c r="R579" s="880"/>
      <c r="S579" s="880"/>
      <c r="T579" s="880"/>
      <c r="U579" s="613">
        <f t="shared" si="102"/>
        <v>1</v>
      </c>
      <c r="V579" s="879"/>
      <c r="W579" s="613" t="str">
        <f t="shared" si="107"/>
        <v>I</v>
      </c>
      <c r="X579" s="613" t="str">
        <f t="shared" si="108"/>
        <v>I</v>
      </c>
      <c r="Y579" s="613">
        <f t="shared" si="109"/>
        <v>2022</v>
      </c>
      <c r="Z579" s="613" t="str">
        <f t="shared" si="110"/>
        <v>I</v>
      </c>
      <c r="AA579" s="613" t="str">
        <f t="shared" si="111"/>
        <v>I</v>
      </c>
      <c r="AB579" s="613" t="str">
        <f t="shared" si="111"/>
        <v>I</v>
      </c>
      <c r="AC579" s="879"/>
      <c r="AD579" s="880"/>
      <c r="AE579" s="881"/>
      <c r="AF579" s="644"/>
      <c r="AG579" s="879"/>
      <c r="AH579" s="879"/>
      <c r="AI579" s="879"/>
      <c r="AJ579" s="879"/>
      <c r="AK579" s="879"/>
      <c r="AL579" s="879"/>
      <c r="AM579" s="879"/>
      <c r="AN579" s="879"/>
      <c r="AO579" s="879"/>
      <c r="AP579" s="879"/>
      <c r="AQ579" s="879"/>
      <c r="AR579" s="879"/>
      <c r="AS579" s="879"/>
    </row>
    <row r="580" spans="1:45" x14ac:dyDescent="0.2">
      <c r="A580" s="527">
        <v>578</v>
      </c>
      <c r="B580" s="879"/>
      <c r="C580" s="879" t="s">
        <v>3596</v>
      </c>
      <c r="D580" s="879"/>
      <c r="E580" s="879"/>
      <c r="F580" s="879"/>
      <c r="G580" s="624">
        <v>44899</v>
      </c>
      <c r="H580" s="879"/>
      <c r="I580" s="879"/>
      <c r="J580" s="835">
        <v>2021</v>
      </c>
      <c r="K580" s="669">
        <v>2022</v>
      </c>
      <c r="L580" s="613" t="s">
        <v>336</v>
      </c>
      <c r="M580" s="613">
        <f t="shared" si="105"/>
        <v>1</v>
      </c>
      <c r="N580" s="613">
        <f t="shared" si="106"/>
        <v>0</v>
      </c>
      <c r="O580" s="880"/>
      <c r="P580" s="880"/>
      <c r="Q580" s="836">
        <v>1</v>
      </c>
      <c r="R580" s="880"/>
      <c r="S580" s="880"/>
      <c r="T580" s="880"/>
      <c r="U580" s="613">
        <f t="shared" ref="U580:U643" si="112">SUM(O580:T580)</f>
        <v>1</v>
      </c>
      <c r="V580" s="879"/>
      <c r="W580" s="613" t="str">
        <f t="shared" si="107"/>
        <v>I</v>
      </c>
      <c r="X580" s="613" t="str">
        <f t="shared" si="108"/>
        <v>I</v>
      </c>
      <c r="Y580" s="613">
        <f t="shared" si="109"/>
        <v>2021</v>
      </c>
      <c r="Z580" s="613" t="str">
        <f t="shared" si="110"/>
        <v>I</v>
      </c>
      <c r="AA580" s="613" t="str">
        <f t="shared" si="111"/>
        <v>I</v>
      </c>
      <c r="AB580" s="613" t="str">
        <f t="shared" si="111"/>
        <v>I</v>
      </c>
      <c r="AC580" s="879"/>
      <c r="AD580" s="880"/>
      <c r="AE580" s="881"/>
      <c r="AF580" s="644"/>
      <c r="AG580" s="879"/>
      <c r="AH580" s="879"/>
      <c r="AI580" s="879"/>
      <c r="AJ580" s="879"/>
      <c r="AK580" s="879"/>
      <c r="AL580" s="879"/>
      <c r="AM580" s="879"/>
      <c r="AN580" s="879"/>
      <c r="AO580" s="879"/>
      <c r="AP580" s="879"/>
      <c r="AQ580" s="879"/>
      <c r="AR580" s="879"/>
      <c r="AS580" s="879"/>
    </row>
    <row r="581" spans="1:45" x14ac:dyDescent="0.2">
      <c r="A581" s="527">
        <v>579</v>
      </c>
      <c r="B581" s="879"/>
      <c r="C581" s="879" t="s">
        <v>3597</v>
      </c>
      <c r="D581" s="879"/>
      <c r="E581" s="879"/>
      <c r="F581" s="879"/>
      <c r="G581" s="624">
        <v>44899</v>
      </c>
      <c r="H581" s="879"/>
      <c r="I581" s="879"/>
      <c r="J581" s="835">
        <v>2021</v>
      </c>
      <c r="K581" s="669">
        <v>2022</v>
      </c>
      <c r="L581" s="613" t="s">
        <v>336</v>
      </c>
      <c r="M581" s="613">
        <f t="shared" si="105"/>
        <v>1</v>
      </c>
      <c r="N581" s="613">
        <f t="shared" si="106"/>
        <v>0</v>
      </c>
      <c r="O581" s="880"/>
      <c r="P581" s="880"/>
      <c r="Q581" s="836">
        <v>1</v>
      </c>
      <c r="R581" s="880"/>
      <c r="S581" s="880"/>
      <c r="T581" s="880"/>
      <c r="U581" s="613">
        <f t="shared" si="112"/>
        <v>1</v>
      </c>
      <c r="V581" s="879"/>
      <c r="W581" s="613" t="str">
        <f t="shared" si="107"/>
        <v>I</v>
      </c>
      <c r="X581" s="613" t="str">
        <f t="shared" si="108"/>
        <v>I</v>
      </c>
      <c r="Y581" s="613">
        <f t="shared" si="109"/>
        <v>2021</v>
      </c>
      <c r="Z581" s="613" t="str">
        <f t="shared" si="110"/>
        <v>I</v>
      </c>
      <c r="AA581" s="613" t="str">
        <f t="shared" si="111"/>
        <v>I</v>
      </c>
      <c r="AB581" s="613" t="str">
        <f t="shared" si="111"/>
        <v>I</v>
      </c>
      <c r="AC581" s="879"/>
      <c r="AD581" s="880"/>
      <c r="AE581" s="881"/>
      <c r="AF581" s="644"/>
      <c r="AG581" s="879"/>
      <c r="AH581" s="879"/>
      <c r="AI581" s="879"/>
      <c r="AJ581" s="879"/>
      <c r="AK581" s="879"/>
      <c r="AL581" s="879"/>
      <c r="AM581" s="879"/>
      <c r="AN581" s="879"/>
      <c r="AO581" s="879"/>
      <c r="AP581" s="879"/>
      <c r="AQ581" s="879"/>
      <c r="AR581" s="879"/>
      <c r="AS581" s="879"/>
    </row>
    <row r="582" spans="1:45" x14ac:dyDescent="0.2">
      <c r="A582" s="527">
        <v>580</v>
      </c>
      <c r="B582" s="879"/>
      <c r="C582" s="879" t="s">
        <v>3598</v>
      </c>
      <c r="D582" s="879"/>
      <c r="E582" s="879"/>
      <c r="F582" s="879"/>
      <c r="G582" s="624">
        <v>44899</v>
      </c>
      <c r="H582" s="879"/>
      <c r="I582" s="879"/>
      <c r="J582" s="835">
        <v>2020</v>
      </c>
      <c r="K582" s="669">
        <v>2022</v>
      </c>
      <c r="L582" s="613" t="s">
        <v>303</v>
      </c>
      <c r="M582" s="613">
        <f t="shared" si="105"/>
        <v>0</v>
      </c>
      <c r="N582" s="613">
        <f t="shared" si="106"/>
        <v>1</v>
      </c>
      <c r="O582" s="880"/>
      <c r="P582" s="880"/>
      <c r="Q582" s="836">
        <v>1</v>
      </c>
      <c r="R582" s="880"/>
      <c r="S582" s="880"/>
      <c r="T582" s="880"/>
      <c r="U582" s="613">
        <f t="shared" si="112"/>
        <v>1</v>
      </c>
      <c r="V582" s="879"/>
      <c r="W582" s="613" t="str">
        <f t="shared" si="107"/>
        <v>I</v>
      </c>
      <c r="X582" s="613" t="str">
        <f t="shared" si="108"/>
        <v>I</v>
      </c>
      <c r="Y582" s="613">
        <f t="shared" si="109"/>
        <v>2020</v>
      </c>
      <c r="Z582" s="613" t="str">
        <f t="shared" si="110"/>
        <v>I</v>
      </c>
      <c r="AA582" s="613" t="str">
        <f t="shared" si="111"/>
        <v>I</v>
      </c>
      <c r="AB582" s="613" t="str">
        <f t="shared" si="111"/>
        <v>I</v>
      </c>
      <c r="AC582" s="879"/>
      <c r="AD582" s="880"/>
      <c r="AE582" s="881"/>
      <c r="AF582" s="644"/>
      <c r="AG582" s="879"/>
      <c r="AH582" s="879"/>
      <c r="AI582" s="879"/>
      <c r="AJ582" s="879"/>
      <c r="AK582" s="879"/>
      <c r="AL582" s="879"/>
      <c r="AM582" s="879"/>
      <c r="AN582" s="879"/>
      <c r="AO582" s="879"/>
      <c r="AP582" s="879"/>
      <c r="AQ582" s="879"/>
      <c r="AR582" s="879"/>
      <c r="AS582" s="879"/>
    </row>
    <row r="583" spans="1:45" x14ac:dyDescent="0.2">
      <c r="A583" s="527">
        <v>581</v>
      </c>
      <c r="B583" s="879"/>
      <c r="C583" s="879" t="s">
        <v>3604</v>
      </c>
      <c r="D583" s="879"/>
      <c r="E583" s="879"/>
      <c r="F583" s="879"/>
      <c r="G583" s="624">
        <v>44906</v>
      </c>
      <c r="H583" s="879"/>
      <c r="I583" s="879"/>
      <c r="J583" s="835">
        <v>2022</v>
      </c>
      <c r="K583" s="669">
        <v>2022</v>
      </c>
      <c r="L583" s="613" t="s">
        <v>336</v>
      </c>
      <c r="M583" s="613">
        <f t="shared" si="105"/>
        <v>1</v>
      </c>
      <c r="N583" s="613">
        <f t="shared" si="106"/>
        <v>0</v>
      </c>
      <c r="O583" s="880"/>
      <c r="P583" s="880"/>
      <c r="Q583" s="836">
        <v>1</v>
      </c>
      <c r="R583" s="880"/>
      <c r="S583" s="880"/>
      <c r="T583" s="880"/>
      <c r="U583" s="613">
        <f t="shared" si="112"/>
        <v>1</v>
      </c>
      <c r="V583" s="879"/>
      <c r="W583" s="613" t="str">
        <f t="shared" si="107"/>
        <v>I</v>
      </c>
      <c r="X583" s="613" t="str">
        <f t="shared" si="108"/>
        <v>I</v>
      </c>
      <c r="Y583" s="613">
        <f t="shared" si="109"/>
        <v>2022</v>
      </c>
      <c r="Z583" s="613" t="str">
        <f t="shared" si="110"/>
        <v>I</v>
      </c>
      <c r="AA583" s="613" t="str">
        <f t="shared" si="111"/>
        <v>I</v>
      </c>
      <c r="AB583" s="613" t="str">
        <f t="shared" si="111"/>
        <v>I</v>
      </c>
      <c r="AC583" s="879"/>
      <c r="AD583" s="880"/>
      <c r="AE583" s="881"/>
      <c r="AF583" s="644"/>
      <c r="AG583" s="879"/>
      <c r="AH583" s="879"/>
      <c r="AI583" s="879"/>
      <c r="AJ583" s="879"/>
      <c r="AK583" s="879"/>
      <c r="AL583" s="879"/>
      <c r="AM583" s="879"/>
      <c r="AN583" s="879"/>
      <c r="AO583" s="879"/>
      <c r="AP583" s="879"/>
      <c r="AQ583" s="879"/>
      <c r="AR583" s="879"/>
      <c r="AS583" s="879"/>
    </row>
    <row r="584" spans="1:45" x14ac:dyDescent="0.2">
      <c r="A584" s="527">
        <v>582</v>
      </c>
      <c r="B584" s="879"/>
      <c r="C584" s="879" t="s">
        <v>3605</v>
      </c>
      <c r="D584" s="879"/>
      <c r="E584" s="879"/>
      <c r="F584" s="879"/>
      <c r="G584" s="624">
        <v>44906</v>
      </c>
      <c r="H584" s="879"/>
      <c r="I584" s="879"/>
      <c r="J584" s="835">
        <v>2021</v>
      </c>
      <c r="K584" s="669">
        <v>2022</v>
      </c>
      <c r="L584" s="613" t="s">
        <v>303</v>
      </c>
      <c r="M584" s="613">
        <f t="shared" si="105"/>
        <v>0</v>
      </c>
      <c r="N584" s="613">
        <f t="shared" si="106"/>
        <v>1</v>
      </c>
      <c r="O584" s="880"/>
      <c r="P584" s="880"/>
      <c r="Q584" s="836">
        <v>1</v>
      </c>
      <c r="R584" s="880"/>
      <c r="S584" s="880"/>
      <c r="T584" s="880"/>
      <c r="U584" s="613">
        <f t="shared" si="112"/>
        <v>1</v>
      </c>
      <c r="V584" s="879"/>
      <c r="W584" s="613" t="str">
        <f t="shared" si="107"/>
        <v>I</v>
      </c>
      <c r="X584" s="613" t="str">
        <f t="shared" si="108"/>
        <v>I</v>
      </c>
      <c r="Y584" s="613">
        <f t="shared" si="109"/>
        <v>2021</v>
      </c>
      <c r="Z584" s="613" t="str">
        <f t="shared" si="110"/>
        <v>I</v>
      </c>
      <c r="AA584" s="613" t="str">
        <f t="shared" si="111"/>
        <v>I</v>
      </c>
      <c r="AB584" s="613" t="str">
        <f t="shared" si="111"/>
        <v>I</v>
      </c>
      <c r="AC584" s="879"/>
      <c r="AD584" s="880"/>
      <c r="AE584" s="881"/>
      <c r="AF584" s="644"/>
      <c r="AG584" s="879"/>
      <c r="AH584" s="879"/>
      <c r="AI584" s="879"/>
      <c r="AJ584" s="879"/>
      <c r="AK584" s="879"/>
      <c r="AL584" s="879"/>
      <c r="AM584" s="879"/>
      <c r="AN584" s="879"/>
      <c r="AO584" s="879"/>
      <c r="AP584" s="879"/>
      <c r="AQ584" s="879"/>
      <c r="AR584" s="879"/>
      <c r="AS584" s="879"/>
    </row>
    <row r="585" spans="1:45" x14ac:dyDescent="0.2">
      <c r="A585" s="527">
        <v>583</v>
      </c>
      <c r="B585" s="879"/>
      <c r="C585" s="879" t="s">
        <v>3606</v>
      </c>
      <c r="D585" s="879"/>
      <c r="E585" s="879"/>
      <c r="F585" s="879"/>
      <c r="G585" s="624">
        <v>44906</v>
      </c>
      <c r="H585" s="879"/>
      <c r="I585" s="879"/>
      <c r="J585" s="835">
        <v>2022</v>
      </c>
      <c r="K585" s="669">
        <v>2022</v>
      </c>
      <c r="L585" s="613" t="s">
        <v>303</v>
      </c>
      <c r="M585" s="613">
        <f t="shared" si="105"/>
        <v>0</v>
      </c>
      <c r="N585" s="613">
        <f t="shared" si="106"/>
        <v>1</v>
      </c>
      <c r="O585" s="880"/>
      <c r="P585" s="880"/>
      <c r="Q585" s="836">
        <v>1</v>
      </c>
      <c r="R585" s="880"/>
      <c r="S585" s="880"/>
      <c r="T585" s="880"/>
      <c r="U585" s="613">
        <f t="shared" si="112"/>
        <v>1</v>
      </c>
      <c r="V585" s="879"/>
      <c r="W585" s="613" t="str">
        <f t="shared" si="107"/>
        <v>I</v>
      </c>
      <c r="X585" s="613" t="str">
        <f t="shared" si="108"/>
        <v>I</v>
      </c>
      <c r="Y585" s="613">
        <f t="shared" si="109"/>
        <v>2022</v>
      </c>
      <c r="Z585" s="613" t="str">
        <f t="shared" si="110"/>
        <v>I</v>
      </c>
      <c r="AA585" s="613" t="str">
        <f t="shared" si="111"/>
        <v>I</v>
      </c>
      <c r="AB585" s="613" t="str">
        <f t="shared" si="111"/>
        <v>I</v>
      </c>
      <c r="AC585" s="879"/>
      <c r="AD585" s="880"/>
      <c r="AE585" s="881"/>
      <c r="AF585" s="644"/>
      <c r="AG585" s="879"/>
      <c r="AH585" s="879"/>
      <c r="AI585" s="879"/>
      <c r="AJ585" s="879"/>
      <c r="AK585" s="879"/>
      <c r="AL585" s="879"/>
      <c r="AM585" s="879"/>
      <c r="AN585" s="879"/>
      <c r="AO585" s="879"/>
      <c r="AP585" s="879"/>
      <c r="AQ585" s="879"/>
      <c r="AR585" s="879"/>
      <c r="AS585" s="879"/>
    </row>
    <row r="586" spans="1:45" x14ac:dyDescent="0.2">
      <c r="A586" s="527">
        <v>584</v>
      </c>
      <c r="B586" s="879"/>
      <c r="C586" s="879" t="s">
        <v>3609</v>
      </c>
      <c r="D586" s="879"/>
      <c r="E586" s="879"/>
      <c r="F586" s="879"/>
      <c r="G586" s="624">
        <v>44915</v>
      </c>
      <c r="H586" s="879"/>
      <c r="I586" s="879"/>
      <c r="J586" s="835">
        <v>2022</v>
      </c>
      <c r="K586" s="669">
        <v>2022</v>
      </c>
      <c r="L586" s="613" t="s">
        <v>303</v>
      </c>
      <c r="M586" s="613">
        <f t="shared" si="105"/>
        <v>0</v>
      </c>
      <c r="N586" s="613">
        <f t="shared" si="106"/>
        <v>1</v>
      </c>
      <c r="O586" s="880"/>
      <c r="P586" s="880"/>
      <c r="Q586" s="836">
        <v>1</v>
      </c>
      <c r="R586" s="880"/>
      <c r="S586" s="880"/>
      <c r="T586" s="880"/>
      <c r="U586" s="613">
        <f t="shared" si="112"/>
        <v>1</v>
      </c>
      <c r="V586" s="879"/>
      <c r="W586" s="613" t="str">
        <f t="shared" si="107"/>
        <v>I</v>
      </c>
      <c r="X586" s="613" t="str">
        <f t="shared" si="108"/>
        <v>I</v>
      </c>
      <c r="Y586" s="613">
        <f t="shared" si="109"/>
        <v>2022</v>
      </c>
      <c r="Z586" s="613" t="str">
        <f t="shared" si="110"/>
        <v>I</v>
      </c>
      <c r="AA586" s="613" t="str">
        <f t="shared" si="111"/>
        <v>I</v>
      </c>
      <c r="AB586" s="613" t="str">
        <f t="shared" si="111"/>
        <v>I</v>
      </c>
      <c r="AC586" s="879"/>
      <c r="AD586" s="880"/>
      <c r="AE586" s="881"/>
      <c r="AF586" s="644"/>
      <c r="AG586" s="879"/>
      <c r="AH586" s="879"/>
      <c r="AI586" s="879"/>
      <c r="AJ586" s="879"/>
      <c r="AK586" s="879"/>
      <c r="AL586" s="879"/>
      <c r="AM586" s="879"/>
      <c r="AN586" s="879"/>
      <c r="AO586" s="879"/>
      <c r="AP586" s="879"/>
      <c r="AQ586" s="879"/>
      <c r="AR586" s="879"/>
      <c r="AS586" s="879"/>
    </row>
    <row r="587" spans="1:45" x14ac:dyDescent="0.2">
      <c r="A587" s="527">
        <v>585</v>
      </c>
      <c r="B587" s="879"/>
      <c r="C587" s="879" t="s">
        <v>3615</v>
      </c>
      <c r="D587" s="879"/>
      <c r="E587" s="879"/>
      <c r="F587" s="879"/>
      <c r="G587" s="624"/>
      <c r="H587" s="879"/>
      <c r="I587" s="879"/>
      <c r="J587" s="835">
        <v>2022</v>
      </c>
      <c r="K587" s="970">
        <v>2023</v>
      </c>
      <c r="L587" s="613" t="s">
        <v>336</v>
      </c>
      <c r="M587" s="613">
        <f t="shared" ref="M587" si="113">IF(AND(L587="F",Q587=1),1,0)</f>
        <v>1</v>
      </c>
      <c r="N587" s="613">
        <f t="shared" ref="N587" si="114">IF(AND(L587="P",Q587=1),1,0)</f>
        <v>0</v>
      </c>
      <c r="O587" s="880"/>
      <c r="P587" s="880"/>
      <c r="Q587" s="836">
        <v>1</v>
      </c>
      <c r="R587" s="880"/>
      <c r="S587" s="880"/>
      <c r="T587" s="880"/>
      <c r="U587" s="613">
        <f t="shared" si="112"/>
        <v>1</v>
      </c>
      <c r="V587" s="879"/>
      <c r="W587" s="613" t="str">
        <f t="shared" ref="W587:W650" si="115">IF(O587=1,$J587,"I")</f>
        <v>I</v>
      </c>
      <c r="X587" s="613" t="str">
        <f t="shared" ref="X587:X650" si="116">IF(P587=1,$J587,"I")</f>
        <v>I</v>
      </c>
      <c r="Y587" s="613">
        <f t="shared" ref="Y587:Y650" si="117">IF(Q587=1,$J587,"I")</f>
        <v>2022</v>
      </c>
      <c r="Z587" s="613" t="str">
        <f t="shared" ref="Z587:Z650" si="118">IF(R587=1,$J587,"I")</f>
        <v>I</v>
      </c>
      <c r="AA587" s="613" t="str">
        <f t="shared" ref="AA587:AB650" si="119">IF(S587=1,$J587,"I")</f>
        <v>I</v>
      </c>
      <c r="AB587" s="613" t="str">
        <f t="shared" si="119"/>
        <v>I</v>
      </c>
      <c r="AC587" s="879"/>
      <c r="AD587" s="880"/>
      <c r="AE587" s="881"/>
      <c r="AF587" s="644"/>
      <c r="AG587" s="879"/>
      <c r="AH587" s="879"/>
      <c r="AI587" s="879"/>
      <c r="AJ587" s="879"/>
      <c r="AK587" s="879"/>
      <c r="AL587" s="879"/>
      <c r="AM587" s="879"/>
      <c r="AN587" s="879"/>
      <c r="AO587" s="879"/>
      <c r="AP587" s="879"/>
      <c r="AQ587" s="879"/>
      <c r="AR587" s="879"/>
      <c r="AS587" s="879"/>
    </row>
    <row r="588" spans="1:45" x14ac:dyDescent="0.2">
      <c r="A588" s="527">
        <v>586</v>
      </c>
      <c r="B588" s="879"/>
      <c r="C588" s="879" t="s">
        <v>3617</v>
      </c>
      <c r="D588" s="879"/>
      <c r="E588" s="879"/>
      <c r="F588" s="879"/>
      <c r="G588" s="624"/>
      <c r="H588" s="879"/>
      <c r="I588" s="879"/>
      <c r="J588" s="835">
        <v>2017</v>
      </c>
      <c r="K588" s="970">
        <v>2023</v>
      </c>
      <c r="L588" s="613" t="s">
        <v>303</v>
      </c>
      <c r="M588" s="613">
        <f t="shared" ref="M588:M651" si="120">IF(AND(L588="F",Q588=1),1,0)</f>
        <v>0</v>
      </c>
      <c r="N588" s="613">
        <f t="shared" ref="N588:N651" si="121">IF(AND(L588="P",Q588=1),1,0)</f>
        <v>1</v>
      </c>
      <c r="O588" s="880"/>
      <c r="P588" s="880"/>
      <c r="Q588" s="836">
        <v>1</v>
      </c>
      <c r="R588" s="880"/>
      <c r="S588" s="880"/>
      <c r="T588" s="880"/>
      <c r="U588" s="613">
        <f t="shared" si="112"/>
        <v>1</v>
      </c>
      <c r="V588" s="879"/>
      <c r="W588" s="613" t="str">
        <f t="shared" si="115"/>
        <v>I</v>
      </c>
      <c r="X588" s="613" t="str">
        <f t="shared" si="116"/>
        <v>I</v>
      </c>
      <c r="Y588" s="613">
        <f t="shared" si="117"/>
        <v>2017</v>
      </c>
      <c r="Z588" s="613" t="str">
        <f t="shared" si="118"/>
        <v>I</v>
      </c>
      <c r="AA588" s="613" t="str">
        <f t="shared" si="119"/>
        <v>I</v>
      </c>
      <c r="AB588" s="613" t="str">
        <f t="shared" si="119"/>
        <v>I</v>
      </c>
      <c r="AC588" s="879"/>
      <c r="AD588" s="880"/>
      <c r="AE588" s="881"/>
      <c r="AF588" s="644"/>
      <c r="AG588" s="879"/>
      <c r="AH588" s="879"/>
      <c r="AI588" s="879"/>
      <c r="AJ588" s="879"/>
      <c r="AK588" s="879"/>
      <c r="AL588" s="879"/>
      <c r="AM588" s="879"/>
      <c r="AN588" s="879"/>
      <c r="AO588" s="879"/>
      <c r="AP588" s="879"/>
      <c r="AQ588" s="879"/>
      <c r="AR588" s="879"/>
      <c r="AS588" s="879"/>
    </row>
    <row r="589" spans="1:45" x14ac:dyDescent="0.2">
      <c r="A589" s="527">
        <v>587</v>
      </c>
      <c r="B589" s="879"/>
      <c r="C589" s="879" t="s">
        <v>3618</v>
      </c>
      <c r="D589" s="879"/>
      <c r="E589" s="879"/>
      <c r="F589" s="879"/>
      <c r="G589" s="624"/>
      <c r="H589" s="879"/>
      <c r="I589" s="879"/>
      <c r="J589" s="835">
        <v>2022</v>
      </c>
      <c r="K589" s="970">
        <v>2023</v>
      </c>
      <c r="L589" s="613" t="s">
        <v>303</v>
      </c>
      <c r="M589" s="613">
        <f t="shared" si="120"/>
        <v>0</v>
      </c>
      <c r="N589" s="613">
        <f t="shared" si="121"/>
        <v>1</v>
      </c>
      <c r="O589" s="880"/>
      <c r="P589" s="880"/>
      <c r="Q589" s="836">
        <v>1</v>
      </c>
      <c r="R589" s="880"/>
      <c r="S589" s="880"/>
      <c r="T589" s="880"/>
      <c r="U589" s="613">
        <f t="shared" si="112"/>
        <v>1</v>
      </c>
      <c r="V589" s="879"/>
      <c r="W589" s="613" t="str">
        <f t="shared" si="115"/>
        <v>I</v>
      </c>
      <c r="X589" s="613" t="str">
        <f t="shared" si="116"/>
        <v>I</v>
      </c>
      <c r="Y589" s="613">
        <f t="shared" si="117"/>
        <v>2022</v>
      </c>
      <c r="Z589" s="613" t="str">
        <f t="shared" si="118"/>
        <v>I</v>
      </c>
      <c r="AA589" s="613" t="str">
        <f t="shared" si="119"/>
        <v>I</v>
      </c>
      <c r="AB589" s="613" t="str">
        <f t="shared" si="119"/>
        <v>I</v>
      </c>
      <c r="AC589" s="879"/>
      <c r="AD589" s="880"/>
      <c r="AE589" s="881"/>
      <c r="AF589" s="644"/>
      <c r="AG589" s="879"/>
      <c r="AH589" s="879"/>
      <c r="AI589" s="879"/>
      <c r="AJ589" s="879"/>
      <c r="AK589" s="879"/>
      <c r="AL589" s="879"/>
      <c r="AM589" s="879"/>
      <c r="AN589" s="879"/>
      <c r="AO589" s="879"/>
      <c r="AP589" s="879"/>
      <c r="AQ589" s="879"/>
      <c r="AR589" s="879"/>
      <c r="AS589" s="879"/>
    </row>
    <row r="590" spans="1:45" x14ac:dyDescent="0.2">
      <c r="A590" s="527">
        <v>588</v>
      </c>
      <c r="B590" s="879"/>
      <c r="C590" s="879" t="s">
        <v>3620</v>
      </c>
      <c r="D590" s="879"/>
      <c r="E590" s="879"/>
      <c r="F590" s="879"/>
      <c r="G590" s="624"/>
      <c r="H590" s="879"/>
      <c r="I590" s="879"/>
      <c r="J590" s="835">
        <v>2022</v>
      </c>
      <c r="K590" s="970">
        <v>2023</v>
      </c>
      <c r="L590" s="613" t="s">
        <v>303</v>
      </c>
      <c r="M590" s="613">
        <f t="shared" si="120"/>
        <v>0</v>
      </c>
      <c r="N590" s="613">
        <f t="shared" si="121"/>
        <v>1</v>
      </c>
      <c r="O590" s="880"/>
      <c r="P590" s="880"/>
      <c r="Q590" s="836">
        <v>1</v>
      </c>
      <c r="R590" s="880"/>
      <c r="S590" s="880"/>
      <c r="T590" s="880"/>
      <c r="U590" s="613">
        <f t="shared" si="112"/>
        <v>1</v>
      </c>
      <c r="V590" s="879"/>
      <c r="W590" s="613" t="str">
        <f t="shared" si="115"/>
        <v>I</v>
      </c>
      <c r="X590" s="613" t="str">
        <f t="shared" si="116"/>
        <v>I</v>
      </c>
      <c r="Y590" s="613">
        <f t="shared" si="117"/>
        <v>2022</v>
      </c>
      <c r="Z590" s="613" t="str">
        <f t="shared" si="118"/>
        <v>I</v>
      </c>
      <c r="AA590" s="613" t="str">
        <f t="shared" si="119"/>
        <v>I</v>
      </c>
      <c r="AB590" s="613" t="str">
        <f t="shared" si="119"/>
        <v>I</v>
      </c>
      <c r="AC590" s="879"/>
      <c r="AD590" s="880"/>
      <c r="AE590" s="881"/>
      <c r="AF590" s="644"/>
      <c r="AG590" s="879"/>
      <c r="AH590" s="879"/>
      <c r="AI590" s="879"/>
      <c r="AJ590" s="879"/>
      <c r="AK590" s="879"/>
      <c r="AL590" s="879"/>
      <c r="AM590" s="879"/>
      <c r="AN590" s="879"/>
      <c r="AO590" s="879"/>
      <c r="AP590" s="879"/>
      <c r="AQ590" s="879"/>
      <c r="AR590" s="879"/>
      <c r="AS590" s="879"/>
    </row>
    <row r="591" spans="1:45" x14ac:dyDescent="0.2">
      <c r="A591" s="527">
        <v>589</v>
      </c>
      <c r="B591" s="879"/>
      <c r="C591" s="879" t="s">
        <v>3621</v>
      </c>
      <c r="D591" s="879"/>
      <c r="E591" s="879"/>
      <c r="F591" s="879"/>
      <c r="G591" s="624"/>
      <c r="H591" s="879"/>
      <c r="I591" s="879"/>
      <c r="J591" s="835">
        <v>2022</v>
      </c>
      <c r="K591" s="970">
        <v>2023</v>
      </c>
      <c r="L591" s="613" t="s">
        <v>303</v>
      </c>
      <c r="M591" s="613">
        <f t="shared" si="120"/>
        <v>0</v>
      </c>
      <c r="N591" s="613">
        <f t="shared" si="121"/>
        <v>1</v>
      </c>
      <c r="O591" s="880"/>
      <c r="P591" s="880"/>
      <c r="Q591" s="836">
        <v>1</v>
      </c>
      <c r="R591" s="880"/>
      <c r="S591" s="880"/>
      <c r="T591" s="880"/>
      <c r="U591" s="613">
        <f t="shared" si="112"/>
        <v>1</v>
      </c>
      <c r="V591" s="879"/>
      <c r="W591" s="613" t="str">
        <f t="shared" si="115"/>
        <v>I</v>
      </c>
      <c r="X591" s="613" t="str">
        <f t="shared" si="116"/>
        <v>I</v>
      </c>
      <c r="Y591" s="613">
        <f t="shared" si="117"/>
        <v>2022</v>
      </c>
      <c r="Z591" s="613" t="str">
        <f t="shared" si="118"/>
        <v>I</v>
      </c>
      <c r="AA591" s="613" t="str">
        <f t="shared" si="119"/>
        <v>I</v>
      </c>
      <c r="AB591" s="613" t="str">
        <f t="shared" si="119"/>
        <v>I</v>
      </c>
      <c r="AC591" s="879"/>
      <c r="AD591" s="880"/>
      <c r="AE591" s="881"/>
      <c r="AF591" s="644"/>
      <c r="AG591" s="879"/>
      <c r="AH591" s="879"/>
      <c r="AI591" s="879"/>
      <c r="AJ591" s="879"/>
      <c r="AK591" s="879"/>
      <c r="AL591" s="879"/>
      <c r="AM591" s="879"/>
      <c r="AN591" s="879"/>
      <c r="AO591" s="879"/>
      <c r="AP591" s="879"/>
      <c r="AQ591" s="879"/>
      <c r="AR591" s="879"/>
      <c r="AS591" s="879"/>
    </row>
    <row r="592" spans="1:45" x14ac:dyDescent="0.2">
      <c r="A592" s="527">
        <v>590</v>
      </c>
      <c r="B592" s="879"/>
      <c r="C592" s="879" t="s">
        <v>3622</v>
      </c>
      <c r="D592" s="879"/>
      <c r="E592" s="879"/>
      <c r="F592" s="879"/>
      <c r="G592" s="624"/>
      <c r="H592" s="879"/>
      <c r="I592" s="879"/>
      <c r="J592" s="835">
        <v>2021</v>
      </c>
      <c r="K592" s="970">
        <v>2023</v>
      </c>
      <c r="L592" s="613" t="s">
        <v>303</v>
      </c>
      <c r="M592" s="613">
        <f t="shared" si="120"/>
        <v>0</v>
      </c>
      <c r="N592" s="613">
        <f t="shared" si="121"/>
        <v>1</v>
      </c>
      <c r="O592" s="880"/>
      <c r="P592" s="880"/>
      <c r="Q592" s="836">
        <v>1</v>
      </c>
      <c r="R592" s="880"/>
      <c r="S592" s="880"/>
      <c r="T592" s="880"/>
      <c r="U592" s="613">
        <f t="shared" si="112"/>
        <v>1</v>
      </c>
      <c r="V592" s="879"/>
      <c r="W592" s="613" t="str">
        <f t="shared" si="115"/>
        <v>I</v>
      </c>
      <c r="X592" s="613" t="str">
        <f t="shared" si="116"/>
        <v>I</v>
      </c>
      <c r="Y592" s="613">
        <f t="shared" si="117"/>
        <v>2021</v>
      </c>
      <c r="Z592" s="613" t="str">
        <f t="shared" si="118"/>
        <v>I</v>
      </c>
      <c r="AA592" s="613" t="str">
        <f t="shared" si="119"/>
        <v>I</v>
      </c>
      <c r="AB592" s="613" t="str">
        <f t="shared" si="119"/>
        <v>I</v>
      </c>
      <c r="AC592" s="879"/>
      <c r="AD592" s="880"/>
      <c r="AE592" s="881"/>
      <c r="AF592" s="644"/>
      <c r="AG592" s="879"/>
      <c r="AH592" s="879"/>
      <c r="AI592" s="879"/>
      <c r="AJ592" s="879"/>
      <c r="AK592" s="879"/>
      <c r="AL592" s="879"/>
      <c r="AM592" s="879"/>
      <c r="AN592" s="879"/>
      <c r="AO592" s="879"/>
      <c r="AP592" s="879"/>
      <c r="AQ592" s="879"/>
      <c r="AR592" s="879"/>
      <c r="AS592" s="879"/>
    </row>
    <row r="593" spans="1:45" x14ac:dyDescent="0.2">
      <c r="A593" s="527">
        <v>591</v>
      </c>
      <c r="B593" s="879"/>
      <c r="C593" s="879" t="s">
        <v>3623</v>
      </c>
      <c r="D593" s="879"/>
      <c r="E593" s="879"/>
      <c r="F593" s="879"/>
      <c r="G593" s="624"/>
      <c r="H593" s="879"/>
      <c r="I593" s="879"/>
      <c r="J593" s="835">
        <v>2022</v>
      </c>
      <c r="K593" s="970">
        <v>2023</v>
      </c>
      <c r="L593" s="613" t="s">
        <v>303</v>
      </c>
      <c r="M593" s="613">
        <f t="shared" si="120"/>
        <v>0</v>
      </c>
      <c r="N593" s="613">
        <f t="shared" si="121"/>
        <v>1</v>
      </c>
      <c r="O593" s="880"/>
      <c r="P593" s="880"/>
      <c r="Q593" s="836">
        <v>1</v>
      </c>
      <c r="R593" s="880"/>
      <c r="S593" s="880"/>
      <c r="T593" s="880"/>
      <c r="U593" s="613">
        <f t="shared" si="112"/>
        <v>1</v>
      </c>
      <c r="V593" s="879"/>
      <c r="W593" s="613" t="str">
        <f t="shared" si="115"/>
        <v>I</v>
      </c>
      <c r="X593" s="613" t="str">
        <f t="shared" si="116"/>
        <v>I</v>
      </c>
      <c r="Y593" s="613">
        <f t="shared" si="117"/>
        <v>2022</v>
      </c>
      <c r="Z593" s="613" t="str">
        <f t="shared" si="118"/>
        <v>I</v>
      </c>
      <c r="AA593" s="613" t="str">
        <f t="shared" si="119"/>
        <v>I</v>
      </c>
      <c r="AB593" s="613" t="str">
        <f t="shared" si="119"/>
        <v>I</v>
      </c>
      <c r="AC593" s="879"/>
      <c r="AD593" s="880"/>
      <c r="AE593" s="881"/>
      <c r="AF593" s="644"/>
      <c r="AG593" s="879"/>
      <c r="AH593" s="879"/>
      <c r="AI593" s="879"/>
      <c r="AJ593" s="879"/>
      <c r="AK593" s="879"/>
      <c r="AL593" s="879"/>
      <c r="AM593" s="879"/>
      <c r="AN593" s="879"/>
      <c r="AO593" s="879"/>
      <c r="AP593" s="879"/>
      <c r="AQ593" s="879"/>
      <c r="AR593" s="879"/>
      <c r="AS593" s="879"/>
    </row>
    <row r="594" spans="1:45" x14ac:dyDescent="0.2">
      <c r="A594" s="527">
        <v>592</v>
      </c>
      <c r="B594" s="879"/>
      <c r="C594" s="879" t="s">
        <v>3624</v>
      </c>
      <c r="D594" s="879"/>
      <c r="E594" s="879"/>
      <c r="F594" s="879"/>
      <c r="G594" s="624"/>
      <c r="H594" s="879"/>
      <c r="I594" s="879"/>
      <c r="J594" s="835">
        <v>2022</v>
      </c>
      <c r="K594" s="970">
        <v>2023</v>
      </c>
      <c r="L594" s="613" t="s">
        <v>303</v>
      </c>
      <c r="M594" s="613">
        <f t="shared" si="120"/>
        <v>0</v>
      </c>
      <c r="N594" s="613">
        <f t="shared" si="121"/>
        <v>1</v>
      </c>
      <c r="O594" s="880"/>
      <c r="P594" s="880"/>
      <c r="Q594" s="836">
        <v>1</v>
      </c>
      <c r="R594" s="880"/>
      <c r="S594" s="880"/>
      <c r="T594" s="880"/>
      <c r="U594" s="613">
        <f t="shared" si="112"/>
        <v>1</v>
      </c>
      <c r="V594" s="879"/>
      <c r="W594" s="613" t="str">
        <f t="shared" si="115"/>
        <v>I</v>
      </c>
      <c r="X594" s="613" t="str">
        <f t="shared" si="116"/>
        <v>I</v>
      </c>
      <c r="Y594" s="613">
        <f t="shared" si="117"/>
        <v>2022</v>
      </c>
      <c r="Z594" s="613" t="str">
        <f t="shared" si="118"/>
        <v>I</v>
      </c>
      <c r="AA594" s="613" t="str">
        <f t="shared" si="119"/>
        <v>I</v>
      </c>
      <c r="AB594" s="613" t="str">
        <f t="shared" si="119"/>
        <v>I</v>
      </c>
      <c r="AC594" s="879"/>
      <c r="AD594" s="880"/>
      <c r="AE594" s="881"/>
      <c r="AF594" s="644"/>
      <c r="AG594" s="879"/>
      <c r="AH594" s="879"/>
      <c r="AI594" s="879"/>
      <c r="AJ594" s="879"/>
      <c r="AK594" s="879"/>
      <c r="AL594" s="879"/>
      <c r="AM594" s="879"/>
      <c r="AN594" s="879"/>
      <c r="AO594" s="879"/>
      <c r="AP594" s="879"/>
      <c r="AQ594" s="879"/>
      <c r="AR594" s="879"/>
      <c r="AS594" s="879"/>
    </row>
    <row r="595" spans="1:45" x14ac:dyDescent="0.2">
      <c r="A595" s="527">
        <v>593</v>
      </c>
      <c r="B595" s="879"/>
      <c r="C595" s="879" t="s">
        <v>3625</v>
      </c>
      <c r="D595" s="879"/>
      <c r="E595" s="879"/>
      <c r="F595" s="879"/>
      <c r="G595" s="624"/>
      <c r="H595" s="879"/>
      <c r="I595" s="879"/>
      <c r="J595" s="835">
        <v>2022</v>
      </c>
      <c r="K595" s="970">
        <v>2023</v>
      </c>
      <c r="L595" s="613" t="s">
        <v>303</v>
      </c>
      <c r="M595" s="613">
        <f t="shared" si="120"/>
        <v>0</v>
      </c>
      <c r="N595" s="613">
        <f t="shared" si="121"/>
        <v>1</v>
      </c>
      <c r="O595" s="880"/>
      <c r="P595" s="880"/>
      <c r="Q595" s="836">
        <v>1</v>
      </c>
      <c r="R595" s="880"/>
      <c r="S595" s="880"/>
      <c r="T595" s="880"/>
      <c r="U595" s="613">
        <f t="shared" si="112"/>
        <v>1</v>
      </c>
      <c r="V595" s="879"/>
      <c r="W595" s="613" t="str">
        <f t="shared" si="115"/>
        <v>I</v>
      </c>
      <c r="X595" s="613" t="str">
        <f t="shared" si="116"/>
        <v>I</v>
      </c>
      <c r="Y595" s="613">
        <f t="shared" si="117"/>
        <v>2022</v>
      </c>
      <c r="Z595" s="613" t="str">
        <f t="shared" si="118"/>
        <v>I</v>
      </c>
      <c r="AA595" s="613" t="str">
        <f t="shared" si="119"/>
        <v>I</v>
      </c>
      <c r="AB595" s="613" t="str">
        <f t="shared" si="119"/>
        <v>I</v>
      </c>
      <c r="AC595" s="879"/>
      <c r="AD595" s="880"/>
      <c r="AE595" s="881"/>
      <c r="AF595" s="644"/>
      <c r="AG595" s="879"/>
      <c r="AH595" s="879"/>
      <c r="AI595" s="879"/>
      <c r="AJ595" s="879"/>
      <c r="AK595" s="879"/>
      <c r="AL595" s="879"/>
      <c r="AM595" s="879"/>
      <c r="AN595" s="879"/>
      <c r="AO595" s="879"/>
      <c r="AP595" s="879"/>
      <c r="AQ595" s="879"/>
      <c r="AR595" s="879"/>
      <c r="AS595" s="879"/>
    </row>
    <row r="596" spans="1:45" x14ac:dyDescent="0.2">
      <c r="A596" s="527">
        <v>594</v>
      </c>
      <c r="B596" s="879"/>
      <c r="C596" s="879" t="s">
        <v>3629</v>
      </c>
      <c r="D596" s="879"/>
      <c r="E596" s="879"/>
      <c r="F596" s="879"/>
      <c r="G596" s="624"/>
      <c r="H596" s="879"/>
      <c r="I596" s="879"/>
      <c r="J596" s="835">
        <v>2021</v>
      </c>
      <c r="K596" s="970">
        <v>2023</v>
      </c>
      <c r="L596" s="613" t="s">
        <v>336</v>
      </c>
      <c r="M596" s="613">
        <f t="shared" si="120"/>
        <v>1</v>
      </c>
      <c r="N596" s="613">
        <f t="shared" si="121"/>
        <v>0</v>
      </c>
      <c r="O596" s="880"/>
      <c r="P596" s="880"/>
      <c r="Q596" s="836">
        <v>1</v>
      </c>
      <c r="R596" s="880"/>
      <c r="S596" s="880"/>
      <c r="T596" s="880"/>
      <c r="U596" s="613">
        <f t="shared" si="112"/>
        <v>1</v>
      </c>
      <c r="V596" s="879"/>
      <c r="W596" s="613" t="str">
        <f t="shared" si="115"/>
        <v>I</v>
      </c>
      <c r="X596" s="613" t="str">
        <f t="shared" si="116"/>
        <v>I</v>
      </c>
      <c r="Y596" s="613">
        <f t="shared" si="117"/>
        <v>2021</v>
      </c>
      <c r="Z596" s="613" t="str">
        <f t="shared" si="118"/>
        <v>I</v>
      </c>
      <c r="AA596" s="613" t="str">
        <f t="shared" si="119"/>
        <v>I</v>
      </c>
      <c r="AB596" s="613" t="str">
        <f t="shared" si="119"/>
        <v>I</v>
      </c>
      <c r="AC596" s="879"/>
      <c r="AD596" s="880"/>
      <c r="AE596" s="881"/>
      <c r="AF596" s="644"/>
      <c r="AG596" s="879"/>
      <c r="AH596" s="879"/>
      <c r="AI596" s="879"/>
      <c r="AJ596" s="879"/>
      <c r="AK596" s="879"/>
      <c r="AL596" s="879"/>
      <c r="AM596" s="879"/>
      <c r="AN596" s="879"/>
      <c r="AO596" s="879"/>
      <c r="AP596" s="879"/>
      <c r="AQ596" s="879"/>
      <c r="AR596" s="879"/>
      <c r="AS596" s="879"/>
    </row>
    <row r="597" spans="1:45" x14ac:dyDescent="0.2">
      <c r="A597" s="527">
        <v>595</v>
      </c>
      <c r="B597" s="879"/>
      <c r="C597" s="879" t="s">
        <v>3630</v>
      </c>
      <c r="D597" s="879"/>
      <c r="E597" s="879"/>
      <c r="F597" s="879"/>
      <c r="G597" s="624"/>
      <c r="H597" s="879"/>
      <c r="I597" s="879"/>
      <c r="J597" s="835">
        <v>2019</v>
      </c>
      <c r="K597" s="970">
        <v>2023</v>
      </c>
      <c r="L597" s="613" t="s">
        <v>303</v>
      </c>
      <c r="M597" s="613">
        <f t="shared" si="120"/>
        <v>0</v>
      </c>
      <c r="N597" s="613">
        <f t="shared" si="121"/>
        <v>1</v>
      </c>
      <c r="O597" s="880"/>
      <c r="P597" s="880"/>
      <c r="Q597" s="836">
        <v>1</v>
      </c>
      <c r="R597" s="880"/>
      <c r="S597" s="880"/>
      <c r="T597" s="880"/>
      <c r="U597" s="613">
        <f t="shared" si="112"/>
        <v>1</v>
      </c>
      <c r="V597" s="879"/>
      <c r="W597" s="613" t="str">
        <f t="shared" si="115"/>
        <v>I</v>
      </c>
      <c r="X597" s="613" t="str">
        <f t="shared" si="116"/>
        <v>I</v>
      </c>
      <c r="Y597" s="613">
        <f t="shared" si="117"/>
        <v>2019</v>
      </c>
      <c r="Z597" s="613" t="str">
        <f t="shared" si="118"/>
        <v>I</v>
      </c>
      <c r="AA597" s="613" t="str">
        <f t="shared" si="119"/>
        <v>I</v>
      </c>
      <c r="AB597" s="613" t="str">
        <f t="shared" si="119"/>
        <v>I</v>
      </c>
      <c r="AC597" s="879"/>
      <c r="AD597" s="880"/>
      <c r="AE597" s="881"/>
      <c r="AF597" s="644"/>
      <c r="AG597" s="879"/>
      <c r="AH597" s="879"/>
      <c r="AI597" s="879"/>
      <c r="AJ597" s="879"/>
      <c r="AK597" s="879"/>
      <c r="AL597" s="879"/>
      <c r="AM597" s="879"/>
      <c r="AN597" s="879"/>
      <c r="AO597" s="879"/>
      <c r="AP597" s="879"/>
      <c r="AQ597" s="879"/>
      <c r="AR597" s="879"/>
      <c r="AS597" s="879"/>
    </row>
    <row r="598" spans="1:45" x14ac:dyDescent="0.2">
      <c r="A598" s="527">
        <v>596</v>
      </c>
      <c r="B598" s="879"/>
      <c r="C598" s="879" t="s">
        <v>3631</v>
      </c>
      <c r="D598" s="879"/>
      <c r="E598" s="879"/>
      <c r="F598" s="879"/>
      <c r="G598" s="624"/>
      <c r="H598" s="879"/>
      <c r="I598" s="879"/>
      <c r="J598" s="835">
        <v>2019</v>
      </c>
      <c r="K598" s="970">
        <v>2023</v>
      </c>
      <c r="L598" s="613" t="s">
        <v>303</v>
      </c>
      <c r="M598" s="613">
        <f t="shared" si="120"/>
        <v>0</v>
      </c>
      <c r="N598" s="613">
        <f t="shared" si="121"/>
        <v>1</v>
      </c>
      <c r="O598" s="880"/>
      <c r="P598" s="880"/>
      <c r="Q598" s="836">
        <v>1</v>
      </c>
      <c r="R598" s="880"/>
      <c r="S598" s="880"/>
      <c r="T598" s="880"/>
      <c r="U598" s="613">
        <f t="shared" si="112"/>
        <v>1</v>
      </c>
      <c r="V598" s="879"/>
      <c r="W598" s="613" t="str">
        <f t="shared" si="115"/>
        <v>I</v>
      </c>
      <c r="X598" s="613" t="str">
        <f t="shared" si="116"/>
        <v>I</v>
      </c>
      <c r="Y598" s="613">
        <f t="shared" si="117"/>
        <v>2019</v>
      </c>
      <c r="Z598" s="613" t="str">
        <f t="shared" si="118"/>
        <v>I</v>
      </c>
      <c r="AA598" s="613" t="str">
        <f t="shared" si="119"/>
        <v>I</v>
      </c>
      <c r="AB598" s="613" t="str">
        <f t="shared" si="119"/>
        <v>I</v>
      </c>
      <c r="AC598" s="879"/>
      <c r="AD598" s="880"/>
      <c r="AE598" s="881"/>
      <c r="AF598" s="644"/>
      <c r="AG598" s="879"/>
      <c r="AH598" s="879"/>
      <c r="AI598" s="879"/>
      <c r="AJ598" s="879"/>
      <c r="AK598" s="879"/>
      <c r="AL598" s="879"/>
      <c r="AM598" s="879"/>
      <c r="AN598" s="879"/>
      <c r="AO598" s="879"/>
      <c r="AP598" s="879"/>
      <c r="AQ598" s="879"/>
      <c r="AR598" s="879"/>
      <c r="AS598" s="879"/>
    </row>
    <row r="599" spans="1:45" x14ac:dyDescent="0.2">
      <c r="A599" s="527">
        <v>597</v>
      </c>
      <c r="B599" s="879"/>
      <c r="C599" s="879" t="s">
        <v>3632</v>
      </c>
      <c r="D599" s="879"/>
      <c r="E599" s="879"/>
      <c r="F599" s="879"/>
      <c r="G599" s="624"/>
      <c r="H599" s="879"/>
      <c r="I599" s="879"/>
      <c r="J599" s="835">
        <v>2019</v>
      </c>
      <c r="K599" s="970">
        <v>2023</v>
      </c>
      <c r="L599" s="613" t="s">
        <v>303</v>
      </c>
      <c r="M599" s="613">
        <f t="shared" si="120"/>
        <v>0</v>
      </c>
      <c r="N599" s="613">
        <f t="shared" si="121"/>
        <v>1</v>
      </c>
      <c r="O599" s="880"/>
      <c r="P599" s="880"/>
      <c r="Q599" s="836">
        <v>1</v>
      </c>
      <c r="R599" s="880"/>
      <c r="S599" s="880"/>
      <c r="T599" s="880"/>
      <c r="U599" s="613">
        <f t="shared" si="112"/>
        <v>1</v>
      </c>
      <c r="V599" s="879"/>
      <c r="W599" s="613" t="str">
        <f t="shared" si="115"/>
        <v>I</v>
      </c>
      <c r="X599" s="613" t="str">
        <f t="shared" si="116"/>
        <v>I</v>
      </c>
      <c r="Y599" s="613">
        <f t="shared" si="117"/>
        <v>2019</v>
      </c>
      <c r="Z599" s="613" t="str">
        <f t="shared" si="118"/>
        <v>I</v>
      </c>
      <c r="AA599" s="613" t="str">
        <f t="shared" si="119"/>
        <v>I</v>
      </c>
      <c r="AB599" s="613" t="str">
        <f t="shared" si="119"/>
        <v>I</v>
      </c>
      <c r="AC599" s="879"/>
      <c r="AD599" s="880"/>
      <c r="AE599" s="881"/>
      <c r="AF599" s="644"/>
      <c r="AG599" s="879"/>
      <c r="AH599" s="879"/>
      <c r="AI599" s="879"/>
      <c r="AJ599" s="879"/>
      <c r="AK599" s="879"/>
      <c r="AL599" s="879"/>
      <c r="AM599" s="879"/>
      <c r="AN599" s="879"/>
      <c r="AO599" s="879"/>
      <c r="AP599" s="879"/>
      <c r="AQ599" s="879"/>
      <c r="AR599" s="879"/>
      <c r="AS599" s="879"/>
    </row>
    <row r="600" spans="1:45" x14ac:dyDescent="0.2">
      <c r="A600" s="527">
        <v>598</v>
      </c>
      <c r="B600" s="879"/>
      <c r="C600" s="879" t="s">
        <v>3633</v>
      </c>
      <c r="D600" s="879"/>
      <c r="E600" s="879"/>
      <c r="F600" s="879"/>
      <c r="G600" s="624"/>
      <c r="H600" s="879"/>
      <c r="I600" s="879"/>
      <c r="J600" s="835">
        <v>2022</v>
      </c>
      <c r="K600" s="970">
        <v>2023</v>
      </c>
      <c r="L600" s="613" t="s">
        <v>303</v>
      </c>
      <c r="M600" s="613">
        <f t="shared" si="120"/>
        <v>0</v>
      </c>
      <c r="N600" s="613">
        <f t="shared" si="121"/>
        <v>1</v>
      </c>
      <c r="O600" s="880"/>
      <c r="P600" s="880"/>
      <c r="Q600" s="836">
        <v>1</v>
      </c>
      <c r="R600" s="880"/>
      <c r="S600" s="880"/>
      <c r="T600" s="880"/>
      <c r="U600" s="613">
        <f t="shared" si="112"/>
        <v>1</v>
      </c>
      <c r="V600" s="879"/>
      <c r="W600" s="613" t="str">
        <f t="shared" si="115"/>
        <v>I</v>
      </c>
      <c r="X600" s="613" t="str">
        <f t="shared" si="116"/>
        <v>I</v>
      </c>
      <c r="Y600" s="613">
        <f t="shared" si="117"/>
        <v>2022</v>
      </c>
      <c r="Z600" s="613" t="str">
        <f t="shared" si="118"/>
        <v>I</v>
      </c>
      <c r="AA600" s="613" t="str">
        <f t="shared" si="119"/>
        <v>I</v>
      </c>
      <c r="AB600" s="613" t="str">
        <f t="shared" si="119"/>
        <v>I</v>
      </c>
      <c r="AC600" s="879"/>
      <c r="AD600" s="880"/>
      <c r="AE600" s="881"/>
      <c r="AF600" s="644"/>
      <c r="AG600" s="879"/>
      <c r="AH600" s="879"/>
      <c r="AI600" s="879"/>
      <c r="AJ600" s="879"/>
      <c r="AK600" s="879"/>
      <c r="AL600" s="879"/>
      <c r="AM600" s="879"/>
      <c r="AN600" s="879"/>
      <c r="AO600" s="879"/>
      <c r="AP600" s="879"/>
      <c r="AQ600" s="879"/>
      <c r="AR600" s="879"/>
      <c r="AS600" s="879"/>
    </row>
    <row r="601" spans="1:45" x14ac:dyDescent="0.2">
      <c r="A601" s="527">
        <v>599</v>
      </c>
      <c r="B601" s="879"/>
      <c r="C601" s="879" t="s">
        <v>3634</v>
      </c>
      <c r="D601" s="879"/>
      <c r="E601" s="879"/>
      <c r="F601" s="879"/>
      <c r="G601" s="624"/>
      <c r="H601" s="879"/>
      <c r="I601" s="879"/>
      <c r="J601" s="835">
        <v>2022</v>
      </c>
      <c r="K601" s="970">
        <v>2023</v>
      </c>
      <c r="L601" s="613" t="s">
        <v>303</v>
      </c>
      <c r="M601" s="613">
        <f t="shared" si="120"/>
        <v>0</v>
      </c>
      <c r="N601" s="613">
        <f t="shared" si="121"/>
        <v>1</v>
      </c>
      <c r="O601" s="880"/>
      <c r="P601" s="880"/>
      <c r="Q601" s="836">
        <v>1</v>
      </c>
      <c r="R601" s="880"/>
      <c r="S601" s="880"/>
      <c r="T601" s="880"/>
      <c r="U601" s="613">
        <f t="shared" si="112"/>
        <v>1</v>
      </c>
      <c r="V601" s="879"/>
      <c r="W601" s="613" t="str">
        <f t="shared" si="115"/>
        <v>I</v>
      </c>
      <c r="X601" s="613" t="str">
        <f t="shared" si="116"/>
        <v>I</v>
      </c>
      <c r="Y601" s="613">
        <f t="shared" si="117"/>
        <v>2022</v>
      </c>
      <c r="Z601" s="613" t="str">
        <f t="shared" si="118"/>
        <v>I</v>
      </c>
      <c r="AA601" s="613" t="str">
        <f t="shared" si="119"/>
        <v>I</v>
      </c>
      <c r="AB601" s="613" t="str">
        <f t="shared" si="119"/>
        <v>I</v>
      </c>
      <c r="AC601" s="879"/>
      <c r="AD601" s="880"/>
      <c r="AE601" s="881"/>
      <c r="AF601" s="644"/>
      <c r="AG601" s="879"/>
      <c r="AH601" s="879"/>
      <c r="AI601" s="879"/>
      <c r="AJ601" s="879"/>
      <c r="AK601" s="879"/>
      <c r="AL601" s="879"/>
      <c r="AM601" s="879"/>
      <c r="AN601" s="879"/>
      <c r="AO601" s="879"/>
      <c r="AP601" s="879"/>
      <c r="AQ601" s="879"/>
      <c r="AR601" s="879"/>
      <c r="AS601" s="879"/>
    </row>
    <row r="602" spans="1:45" x14ac:dyDescent="0.2">
      <c r="A602" s="527">
        <v>600</v>
      </c>
      <c r="B602" s="879"/>
      <c r="C602" s="879" t="s">
        <v>3635</v>
      </c>
      <c r="D602" s="879"/>
      <c r="E602" s="879"/>
      <c r="F602" s="879"/>
      <c r="G602" s="624"/>
      <c r="H602" s="879"/>
      <c r="I602" s="879"/>
      <c r="J602" s="835">
        <v>2022</v>
      </c>
      <c r="K602" s="970">
        <v>2023</v>
      </c>
      <c r="L602" s="613" t="s">
        <v>303</v>
      </c>
      <c r="M602" s="613">
        <f t="shared" si="120"/>
        <v>0</v>
      </c>
      <c r="N602" s="613">
        <f t="shared" si="121"/>
        <v>1</v>
      </c>
      <c r="O602" s="880"/>
      <c r="P602" s="880"/>
      <c r="Q602" s="836">
        <v>1</v>
      </c>
      <c r="R602" s="880"/>
      <c r="S602" s="880"/>
      <c r="T602" s="880"/>
      <c r="U602" s="613">
        <f t="shared" si="112"/>
        <v>1</v>
      </c>
      <c r="V602" s="879"/>
      <c r="W602" s="613" t="str">
        <f t="shared" si="115"/>
        <v>I</v>
      </c>
      <c r="X602" s="613" t="str">
        <f t="shared" si="116"/>
        <v>I</v>
      </c>
      <c r="Y602" s="613">
        <f t="shared" si="117"/>
        <v>2022</v>
      </c>
      <c r="Z602" s="613" t="str">
        <f t="shared" si="118"/>
        <v>I</v>
      </c>
      <c r="AA602" s="613" t="str">
        <f t="shared" si="119"/>
        <v>I</v>
      </c>
      <c r="AB602" s="613" t="str">
        <f t="shared" si="119"/>
        <v>I</v>
      </c>
      <c r="AC602" s="879"/>
      <c r="AD602" s="880"/>
      <c r="AE602" s="881"/>
      <c r="AF602" s="644"/>
      <c r="AG602" s="879"/>
      <c r="AH602" s="879"/>
      <c r="AI602" s="879"/>
      <c r="AJ602" s="879"/>
      <c r="AK602" s="879"/>
      <c r="AL602" s="879"/>
      <c r="AM602" s="879"/>
      <c r="AN602" s="879"/>
      <c r="AO602" s="879"/>
      <c r="AP602" s="879"/>
      <c r="AQ602" s="879"/>
      <c r="AR602" s="879"/>
      <c r="AS602" s="879"/>
    </row>
    <row r="603" spans="1:45" x14ac:dyDescent="0.2">
      <c r="A603" s="527">
        <v>601</v>
      </c>
      <c r="B603" s="879"/>
      <c r="C603" s="879" t="s">
        <v>3636</v>
      </c>
      <c r="D603" s="879"/>
      <c r="E603" s="879"/>
      <c r="F603" s="879"/>
      <c r="G603" s="624"/>
      <c r="H603" s="879"/>
      <c r="I603" s="879"/>
      <c r="J603" s="835">
        <v>2022</v>
      </c>
      <c r="K603" s="970">
        <v>2023</v>
      </c>
      <c r="L603" s="613" t="s">
        <v>303</v>
      </c>
      <c r="M603" s="613">
        <f t="shared" si="120"/>
        <v>0</v>
      </c>
      <c r="N603" s="613">
        <f t="shared" si="121"/>
        <v>1</v>
      </c>
      <c r="O603" s="880"/>
      <c r="P603" s="880"/>
      <c r="Q603" s="836">
        <v>1</v>
      </c>
      <c r="R603" s="880"/>
      <c r="S603" s="880"/>
      <c r="T603" s="880"/>
      <c r="U603" s="613">
        <f t="shared" si="112"/>
        <v>1</v>
      </c>
      <c r="V603" s="879"/>
      <c r="W603" s="613" t="str">
        <f t="shared" si="115"/>
        <v>I</v>
      </c>
      <c r="X603" s="613" t="str">
        <f t="shared" si="116"/>
        <v>I</v>
      </c>
      <c r="Y603" s="613">
        <f t="shared" si="117"/>
        <v>2022</v>
      </c>
      <c r="Z603" s="613" t="str">
        <f t="shared" si="118"/>
        <v>I</v>
      </c>
      <c r="AA603" s="613" t="str">
        <f t="shared" si="119"/>
        <v>I</v>
      </c>
      <c r="AB603" s="613" t="str">
        <f t="shared" si="119"/>
        <v>I</v>
      </c>
      <c r="AC603" s="879"/>
      <c r="AD603" s="880"/>
      <c r="AE603" s="881"/>
      <c r="AF603" s="644"/>
      <c r="AG603" s="879"/>
      <c r="AH603" s="879"/>
      <c r="AI603" s="879"/>
      <c r="AJ603" s="879"/>
      <c r="AK603" s="879"/>
      <c r="AL603" s="879"/>
      <c r="AM603" s="879"/>
      <c r="AN603" s="879"/>
      <c r="AO603" s="879"/>
      <c r="AP603" s="879"/>
      <c r="AQ603" s="879"/>
      <c r="AR603" s="879"/>
      <c r="AS603" s="879"/>
    </row>
    <row r="604" spans="1:45" x14ac:dyDescent="0.2">
      <c r="A604" s="527">
        <v>602</v>
      </c>
      <c r="B604" s="879"/>
      <c r="C604" s="879" t="s">
        <v>3637</v>
      </c>
      <c r="D604" s="879"/>
      <c r="E604" s="879"/>
      <c r="F604" s="879"/>
      <c r="G604" s="624"/>
      <c r="H604" s="879"/>
      <c r="I604" s="879"/>
      <c r="J604" s="835">
        <v>2022</v>
      </c>
      <c r="K604" s="970">
        <v>2023</v>
      </c>
      <c r="L604" s="613" t="s">
        <v>303</v>
      </c>
      <c r="M604" s="613">
        <f t="shared" si="120"/>
        <v>0</v>
      </c>
      <c r="N604" s="613">
        <f t="shared" si="121"/>
        <v>1</v>
      </c>
      <c r="O604" s="880"/>
      <c r="P604" s="880"/>
      <c r="Q604" s="836">
        <v>1</v>
      </c>
      <c r="R604" s="880"/>
      <c r="S604" s="880"/>
      <c r="T604" s="880"/>
      <c r="U604" s="613">
        <f t="shared" si="112"/>
        <v>1</v>
      </c>
      <c r="V604" s="879"/>
      <c r="W604" s="613" t="str">
        <f t="shared" si="115"/>
        <v>I</v>
      </c>
      <c r="X604" s="613" t="str">
        <f t="shared" si="116"/>
        <v>I</v>
      </c>
      <c r="Y604" s="613">
        <f t="shared" si="117"/>
        <v>2022</v>
      </c>
      <c r="Z604" s="613" t="str">
        <f t="shared" si="118"/>
        <v>I</v>
      </c>
      <c r="AA604" s="613" t="str">
        <f t="shared" si="119"/>
        <v>I</v>
      </c>
      <c r="AB604" s="613" t="str">
        <f t="shared" si="119"/>
        <v>I</v>
      </c>
      <c r="AC604" s="879"/>
      <c r="AD604" s="880"/>
      <c r="AE604" s="881"/>
      <c r="AF604" s="644"/>
      <c r="AG604" s="879"/>
      <c r="AH604" s="879"/>
      <c r="AI604" s="879"/>
      <c r="AJ604" s="879"/>
      <c r="AK604" s="879"/>
      <c r="AL604" s="879"/>
      <c r="AM604" s="879"/>
      <c r="AN604" s="879"/>
      <c r="AO604" s="879"/>
      <c r="AP604" s="879"/>
      <c r="AQ604" s="879"/>
      <c r="AR604" s="879"/>
      <c r="AS604" s="879"/>
    </row>
    <row r="605" spans="1:45" x14ac:dyDescent="0.2">
      <c r="A605" s="527">
        <v>603</v>
      </c>
      <c r="B605" s="879"/>
      <c r="C605" s="879" t="s">
        <v>3638</v>
      </c>
      <c r="D605" s="879"/>
      <c r="E605" s="879"/>
      <c r="F605" s="879"/>
      <c r="G605" s="624"/>
      <c r="H605" s="879"/>
      <c r="I605" s="879"/>
      <c r="J605" s="835">
        <v>2022</v>
      </c>
      <c r="K605" s="970">
        <v>2023</v>
      </c>
      <c r="L605" s="613" t="s">
        <v>303</v>
      </c>
      <c r="M605" s="613">
        <f t="shared" si="120"/>
        <v>0</v>
      </c>
      <c r="N605" s="613">
        <f t="shared" si="121"/>
        <v>1</v>
      </c>
      <c r="O605" s="880"/>
      <c r="P605" s="880"/>
      <c r="Q605" s="836">
        <v>1</v>
      </c>
      <c r="R605" s="880"/>
      <c r="S605" s="880"/>
      <c r="T605" s="880"/>
      <c r="U605" s="613">
        <f t="shared" si="112"/>
        <v>1</v>
      </c>
      <c r="V605" s="879"/>
      <c r="W605" s="613" t="str">
        <f t="shared" si="115"/>
        <v>I</v>
      </c>
      <c r="X605" s="613" t="str">
        <f t="shared" si="116"/>
        <v>I</v>
      </c>
      <c r="Y605" s="613">
        <f t="shared" si="117"/>
        <v>2022</v>
      </c>
      <c r="Z605" s="613" t="str">
        <f t="shared" si="118"/>
        <v>I</v>
      </c>
      <c r="AA605" s="613" t="str">
        <f t="shared" si="119"/>
        <v>I</v>
      </c>
      <c r="AB605" s="613" t="str">
        <f t="shared" si="119"/>
        <v>I</v>
      </c>
      <c r="AC605" s="879"/>
      <c r="AD605" s="880"/>
      <c r="AE605" s="881"/>
      <c r="AF605" s="644"/>
      <c r="AG605" s="879"/>
      <c r="AH605" s="879"/>
      <c r="AI605" s="879"/>
      <c r="AJ605" s="879"/>
      <c r="AK605" s="879"/>
      <c r="AL605" s="879"/>
      <c r="AM605" s="879"/>
      <c r="AN605" s="879"/>
      <c r="AO605" s="879"/>
      <c r="AP605" s="879"/>
      <c r="AQ605" s="879"/>
      <c r="AR605" s="879"/>
      <c r="AS605" s="879"/>
    </row>
    <row r="606" spans="1:45" x14ac:dyDescent="0.2">
      <c r="A606" s="527">
        <v>604</v>
      </c>
      <c r="B606" s="879"/>
      <c r="C606" s="879" t="s">
        <v>3641</v>
      </c>
      <c r="D606" s="879"/>
      <c r="E606" s="879"/>
      <c r="F606" s="879"/>
      <c r="G606" s="624"/>
      <c r="H606" s="879"/>
      <c r="I606" s="879"/>
      <c r="J606" s="835">
        <v>2018</v>
      </c>
      <c r="K606" s="970">
        <v>2023</v>
      </c>
      <c r="L606" s="613" t="s">
        <v>303</v>
      </c>
      <c r="M606" s="613">
        <f t="shared" si="120"/>
        <v>0</v>
      </c>
      <c r="N606" s="613">
        <f t="shared" si="121"/>
        <v>1</v>
      </c>
      <c r="O606" s="880"/>
      <c r="P606" s="880"/>
      <c r="Q606" s="836">
        <v>1</v>
      </c>
      <c r="R606" s="880"/>
      <c r="S606" s="880"/>
      <c r="T606" s="880"/>
      <c r="U606" s="613">
        <f t="shared" si="112"/>
        <v>1</v>
      </c>
      <c r="V606" s="879"/>
      <c r="W606" s="613" t="str">
        <f t="shared" si="115"/>
        <v>I</v>
      </c>
      <c r="X606" s="613" t="str">
        <f t="shared" si="116"/>
        <v>I</v>
      </c>
      <c r="Y606" s="613">
        <f t="shared" si="117"/>
        <v>2018</v>
      </c>
      <c r="Z606" s="613" t="str">
        <f t="shared" si="118"/>
        <v>I</v>
      </c>
      <c r="AA606" s="613" t="str">
        <f t="shared" si="119"/>
        <v>I</v>
      </c>
      <c r="AB606" s="613" t="str">
        <f t="shared" si="119"/>
        <v>I</v>
      </c>
      <c r="AC606" s="879"/>
      <c r="AD606" s="880"/>
      <c r="AE606" s="881"/>
      <c r="AF606" s="644"/>
      <c r="AG606" s="879"/>
      <c r="AH606" s="879"/>
      <c r="AI606" s="879"/>
      <c r="AJ606" s="879"/>
      <c r="AK606" s="879"/>
      <c r="AL606" s="879"/>
      <c r="AM606" s="879"/>
      <c r="AN606" s="879"/>
      <c r="AO606" s="879"/>
      <c r="AP606" s="879"/>
      <c r="AQ606" s="879"/>
      <c r="AR606" s="879"/>
      <c r="AS606" s="879"/>
    </row>
    <row r="607" spans="1:45" x14ac:dyDescent="0.2">
      <c r="A607" s="527">
        <v>605</v>
      </c>
      <c r="B607" s="879"/>
      <c r="C607" s="879" t="s">
        <v>3642</v>
      </c>
      <c r="D607" s="879"/>
      <c r="E607" s="879"/>
      <c r="F607" s="879"/>
      <c r="G607" s="624"/>
      <c r="H607" s="879"/>
      <c r="I607" s="879"/>
      <c r="J607" s="835">
        <v>2018</v>
      </c>
      <c r="K607" s="970">
        <v>2023</v>
      </c>
      <c r="L607" s="613" t="s">
        <v>303</v>
      </c>
      <c r="M607" s="613">
        <f t="shared" si="120"/>
        <v>0</v>
      </c>
      <c r="N607" s="613">
        <f t="shared" si="121"/>
        <v>1</v>
      </c>
      <c r="O607" s="880"/>
      <c r="P607" s="880"/>
      <c r="Q607" s="836">
        <v>1</v>
      </c>
      <c r="R607" s="880"/>
      <c r="S607" s="880"/>
      <c r="T607" s="880"/>
      <c r="U607" s="613">
        <f t="shared" si="112"/>
        <v>1</v>
      </c>
      <c r="V607" s="879"/>
      <c r="W607" s="613" t="str">
        <f t="shared" si="115"/>
        <v>I</v>
      </c>
      <c r="X607" s="613" t="str">
        <f t="shared" si="116"/>
        <v>I</v>
      </c>
      <c r="Y607" s="613">
        <f t="shared" si="117"/>
        <v>2018</v>
      </c>
      <c r="Z607" s="613" t="str">
        <f t="shared" si="118"/>
        <v>I</v>
      </c>
      <c r="AA607" s="613" t="str">
        <f t="shared" si="119"/>
        <v>I</v>
      </c>
      <c r="AB607" s="613" t="str">
        <f t="shared" si="119"/>
        <v>I</v>
      </c>
      <c r="AC607" s="879"/>
      <c r="AD607" s="880"/>
      <c r="AE607" s="881"/>
      <c r="AF607" s="644"/>
      <c r="AG607" s="879"/>
      <c r="AH607" s="879"/>
      <c r="AI607" s="879"/>
      <c r="AJ607" s="879"/>
      <c r="AK607" s="879"/>
      <c r="AL607" s="879"/>
      <c r="AM607" s="879"/>
      <c r="AN607" s="879"/>
      <c r="AO607" s="879"/>
      <c r="AP607" s="879"/>
      <c r="AQ607" s="879"/>
      <c r="AR607" s="879"/>
      <c r="AS607" s="879"/>
    </row>
    <row r="608" spans="1:45" x14ac:dyDescent="0.2">
      <c r="A608" s="527">
        <v>606</v>
      </c>
      <c r="B608" s="879"/>
      <c r="C608" s="879" t="s">
        <v>3644</v>
      </c>
      <c r="D608" s="879"/>
      <c r="E608" s="879"/>
      <c r="F608" s="879"/>
      <c r="G608" s="624"/>
      <c r="H608" s="879"/>
      <c r="I608" s="879"/>
      <c r="J608" s="835">
        <v>2021</v>
      </c>
      <c r="K608" s="970">
        <v>2023</v>
      </c>
      <c r="L608" s="613" t="s">
        <v>336</v>
      </c>
      <c r="M608" s="613">
        <f t="shared" si="120"/>
        <v>1</v>
      </c>
      <c r="N608" s="613">
        <f t="shared" si="121"/>
        <v>0</v>
      </c>
      <c r="O608" s="880"/>
      <c r="P608" s="880"/>
      <c r="Q608" s="836">
        <v>1</v>
      </c>
      <c r="R608" s="880"/>
      <c r="S608" s="880"/>
      <c r="T608" s="880"/>
      <c r="U608" s="613">
        <f t="shared" si="112"/>
        <v>1</v>
      </c>
      <c r="V608" s="879"/>
      <c r="W608" s="613" t="str">
        <f t="shared" si="115"/>
        <v>I</v>
      </c>
      <c r="X608" s="613" t="str">
        <f t="shared" si="116"/>
        <v>I</v>
      </c>
      <c r="Y608" s="613">
        <f t="shared" si="117"/>
        <v>2021</v>
      </c>
      <c r="Z608" s="613" t="str">
        <f t="shared" si="118"/>
        <v>I</v>
      </c>
      <c r="AA608" s="613" t="str">
        <f t="shared" si="119"/>
        <v>I</v>
      </c>
      <c r="AB608" s="613" t="str">
        <f t="shared" si="119"/>
        <v>I</v>
      </c>
      <c r="AC608" s="879"/>
      <c r="AD608" s="880"/>
      <c r="AE608" s="881"/>
      <c r="AF608" s="644"/>
      <c r="AG608" s="879"/>
      <c r="AH608" s="879"/>
      <c r="AI608" s="879"/>
      <c r="AJ608" s="879"/>
      <c r="AK608" s="879"/>
      <c r="AL608" s="879"/>
      <c r="AM608" s="879"/>
      <c r="AN608" s="879"/>
      <c r="AO608" s="879"/>
      <c r="AP608" s="879"/>
      <c r="AQ608" s="879"/>
      <c r="AR608" s="879"/>
      <c r="AS608" s="879"/>
    </row>
    <row r="609" spans="1:45" x14ac:dyDescent="0.2">
      <c r="A609" s="527">
        <v>607</v>
      </c>
      <c r="B609" s="879"/>
      <c r="C609" s="879" t="s">
        <v>3645</v>
      </c>
      <c r="D609" s="879"/>
      <c r="E609" s="879"/>
      <c r="F609" s="879"/>
      <c r="G609" s="624"/>
      <c r="H609" s="879"/>
      <c r="I609" s="879"/>
      <c r="J609" s="835">
        <v>2020</v>
      </c>
      <c r="K609" s="970">
        <v>2023</v>
      </c>
      <c r="L609" s="613" t="s">
        <v>303</v>
      </c>
      <c r="M609" s="613">
        <f t="shared" si="120"/>
        <v>0</v>
      </c>
      <c r="N609" s="613">
        <f t="shared" si="121"/>
        <v>1</v>
      </c>
      <c r="O609" s="880"/>
      <c r="P609" s="880"/>
      <c r="Q609" s="836">
        <v>1</v>
      </c>
      <c r="R609" s="880"/>
      <c r="S609" s="880"/>
      <c r="T609" s="880"/>
      <c r="U609" s="613">
        <f t="shared" si="112"/>
        <v>1</v>
      </c>
      <c r="V609" s="879"/>
      <c r="W609" s="613" t="str">
        <f t="shared" si="115"/>
        <v>I</v>
      </c>
      <c r="X609" s="613" t="str">
        <f t="shared" si="116"/>
        <v>I</v>
      </c>
      <c r="Y609" s="613">
        <f t="shared" si="117"/>
        <v>2020</v>
      </c>
      <c r="Z609" s="613" t="str">
        <f t="shared" si="118"/>
        <v>I</v>
      </c>
      <c r="AA609" s="613" t="str">
        <f t="shared" si="119"/>
        <v>I</v>
      </c>
      <c r="AB609" s="613" t="str">
        <f t="shared" si="119"/>
        <v>I</v>
      </c>
      <c r="AC609" s="879"/>
      <c r="AD609" s="880"/>
      <c r="AE609" s="881"/>
      <c r="AF609" s="644"/>
      <c r="AG609" s="879"/>
      <c r="AH609" s="879"/>
      <c r="AI609" s="879"/>
      <c r="AJ609" s="879"/>
      <c r="AK609" s="879"/>
      <c r="AL609" s="879"/>
      <c r="AM609" s="879"/>
      <c r="AN609" s="879"/>
      <c r="AO609" s="879"/>
      <c r="AP609" s="879"/>
      <c r="AQ609" s="879"/>
      <c r="AR609" s="879"/>
      <c r="AS609" s="879"/>
    </row>
    <row r="610" spans="1:45" x14ac:dyDescent="0.2">
      <c r="A610" s="527">
        <v>608</v>
      </c>
      <c r="B610" s="879"/>
      <c r="C610" s="879" t="s">
        <v>3646</v>
      </c>
      <c r="D610" s="879"/>
      <c r="E610" s="879"/>
      <c r="F610" s="879"/>
      <c r="G610" s="624"/>
      <c r="H610" s="879"/>
      <c r="I610" s="879"/>
      <c r="J610" s="835">
        <v>2022</v>
      </c>
      <c r="K610" s="970">
        <v>2023</v>
      </c>
      <c r="L610" s="613" t="s">
        <v>336</v>
      </c>
      <c r="M610" s="613">
        <f t="shared" si="120"/>
        <v>1</v>
      </c>
      <c r="N610" s="613">
        <f t="shared" si="121"/>
        <v>0</v>
      </c>
      <c r="O610" s="880"/>
      <c r="P610" s="880"/>
      <c r="Q610" s="836">
        <v>1</v>
      </c>
      <c r="R610" s="880"/>
      <c r="S610" s="880"/>
      <c r="T610" s="880"/>
      <c r="U610" s="613">
        <f t="shared" si="112"/>
        <v>1</v>
      </c>
      <c r="V610" s="879"/>
      <c r="W610" s="613" t="str">
        <f t="shared" si="115"/>
        <v>I</v>
      </c>
      <c r="X610" s="613" t="str">
        <f t="shared" si="116"/>
        <v>I</v>
      </c>
      <c r="Y610" s="613">
        <f t="shared" si="117"/>
        <v>2022</v>
      </c>
      <c r="Z610" s="613" t="str">
        <f t="shared" si="118"/>
        <v>I</v>
      </c>
      <c r="AA610" s="613" t="str">
        <f t="shared" si="119"/>
        <v>I</v>
      </c>
      <c r="AB610" s="613" t="str">
        <f t="shared" si="119"/>
        <v>I</v>
      </c>
      <c r="AC610" s="879"/>
      <c r="AD610" s="880"/>
      <c r="AE610" s="881"/>
      <c r="AF610" s="644"/>
      <c r="AG610" s="879"/>
      <c r="AH610" s="879"/>
      <c r="AI610" s="879"/>
      <c r="AJ610" s="879"/>
      <c r="AK610" s="879"/>
      <c r="AL610" s="879"/>
      <c r="AM610" s="879"/>
      <c r="AN610" s="879"/>
      <c r="AO610" s="879"/>
      <c r="AP610" s="879"/>
      <c r="AQ610" s="879"/>
      <c r="AR610" s="879"/>
      <c r="AS610" s="879"/>
    </row>
    <row r="611" spans="1:45" x14ac:dyDescent="0.2">
      <c r="A611" s="527">
        <v>609</v>
      </c>
      <c r="B611" s="879"/>
      <c r="C611" s="879" t="s">
        <v>3647</v>
      </c>
      <c r="D611" s="879"/>
      <c r="E611" s="879"/>
      <c r="F611" s="879"/>
      <c r="G611" s="624"/>
      <c r="H611" s="879"/>
      <c r="I611" s="879"/>
      <c r="J611" s="835">
        <v>2022</v>
      </c>
      <c r="K611" s="970">
        <v>2023</v>
      </c>
      <c r="L611" s="613" t="s">
        <v>336</v>
      </c>
      <c r="M611" s="613">
        <f t="shared" si="120"/>
        <v>1</v>
      </c>
      <c r="N611" s="613">
        <f t="shared" si="121"/>
        <v>0</v>
      </c>
      <c r="O611" s="880"/>
      <c r="P611" s="880"/>
      <c r="Q611" s="836">
        <v>1</v>
      </c>
      <c r="R611" s="880"/>
      <c r="S611" s="880"/>
      <c r="T611" s="880"/>
      <c r="U611" s="613">
        <f t="shared" si="112"/>
        <v>1</v>
      </c>
      <c r="V611" s="879"/>
      <c r="W611" s="613" t="str">
        <f t="shared" si="115"/>
        <v>I</v>
      </c>
      <c r="X611" s="613" t="str">
        <f t="shared" si="116"/>
        <v>I</v>
      </c>
      <c r="Y611" s="613">
        <f t="shared" si="117"/>
        <v>2022</v>
      </c>
      <c r="Z611" s="613" t="str">
        <f t="shared" si="118"/>
        <v>I</v>
      </c>
      <c r="AA611" s="613" t="str">
        <f t="shared" si="119"/>
        <v>I</v>
      </c>
      <c r="AB611" s="613" t="str">
        <f t="shared" si="119"/>
        <v>I</v>
      </c>
      <c r="AC611" s="879"/>
      <c r="AD611" s="880"/>
      <c r="AE611" s="881"/>
      <c r="AF611" s="644"/>
      <c r="AG611" s="879"/>
      <c r="AH611" s="879"/>
      <c r="AI611" s="879"/>
      <c r="AJ611" s="879"/>
      <c r="AK611" s="879"/>
      <c r="AL611" s="879"/>
      <c r="AM611" s="879"/>
      <c r="AN611" s="879"/>
      <c r="AO611" s="879"/>
      <c r="AP611" s="879"/>
      <c r="AQ611" s="879"/>
      <c r="AR611" s="879"/>
      <c r="AS611" s="879"/>
    </row>
    <row r="612" spans="1:45" x14ac:dyDescent="0.2">
      <c r="A612" s="527">
        <v>610</v>
      </c>
      <c r="B612" s="879"/>
      <c r="C612" s="879" t="s">
        <v>3648</v>
      </c>
      <c r="D612" s="879"/>
      <c r="E612" s="879"/>
      <c r="F612" s="879"/>
      <c r="G612" s="624"/>
      <c r="H612" s="879"/>
      <c r="I612" s="879"/>
      <c r="J612" s="835">
        <v>2021</v>
      </c>
      <c r="K612" s="970">
        <v>2023</v>
      </c>
      <c r="L612" s="613" t="s">
        <v>303</v>
      </c>
      <c r="M612" s="613">
        <f t="shared" si="120"/>
        <v>0</v>
      </c>
      <c r="N612" s="613">
        <f t="shared" si="121"/>
        <v>1</v>
      </c>
      <c r="O612" s="880"/>
      <c r="P612" s="880"/>
      <c r="Q612" s="836">
        <v>1</v>
      </c>
      <c r="R612" s="880"/>
      <c r="S612" s="880"/>
      <c r="T612" s="880"/>
      <c r="U612" s="613">
        <f t="shared" si="112"/>
        <v>1</v>
      </c>
      <c r="V612" s="879"/>
      <c r="W612" s="613" t="str">
        <f t="shared" si="115"/>
        <v>I</v>
      </c>
      <c r="X612" s="613" t="str">
        <f t="shared" si="116"/>
        <v>I</v>
      </c>
      <c r="Y612" s="613">
        <f t="shared" si="117"/>
        <v>2021</v>
      </c>
      <c r="Z612" s="613" t="str">
        <f t="shared" si="118"/>
        <v>I</v>
      </c>
      <c r="AA612" s="613" t="str">
        <f t="shared" si="119"/>
        <v>I</v>
      </c>
      <c r="AB612" s="613" t="str">
        <f t="shared" si="119"/>
        <v>I</v>
      </c>
      <c r="AC612" s="879"/>
      <c r="AD612" s="880"/>
      <c r="AE612" s="881"/>
      <c r="AF612" s="644"/>
      <c r="AG612" s="879"/>
      <c r="AH612" s="879"/>
      <c r="AI612" s="879"/>
      <c r="AJ612" s="879"/>
      <c r="AK612" s="879"/>
      <c r="AL612" s="879"/>
      <c r="AM612" s="879"/>
      <c r="AN612" s="879"/>
      <c r="AO612" s="879"/>
      <c r="AP612" s="879"/>
      <c r="AQ612" s="879"/>
      <c r="AR612" s="879"/>
      <c r="AS612" s="879"/>
    </row>
    <row r="613" spans="1:45" x14ac:dyDescent="0.2">
      <c r="A613" s="527">
        <v>611</v>
      </c>
      <c r="B613" s="879"/>
      <c r="C613" s="879" t="s">
        <v>3649</v>
      </c>
      <c r="D613" s="879"/>
      <c r="E613" s="879"/>
      <c r="F613" s="879"/>
      <c r="G613" s="624"/>
      <c r="H613" s="879"/>
      <c r="I613" s="879"/>
      <c r="J613" s="835">
        <v>2022</v>
      </c>
      <c r="K613" s="970">
        <v>2023</v>
      </c>
      <c r="L613" s="613" t="s">
        <v>303</v>
      </c>
      <c r="M613" s="613">
        <f t="shared" si="120"/>
        <v>0</v>
      </c>
      <c r="N613" s="613">
        <f t="shared" si="121"/>
        <v>1</v>
      </c>
      <c r="O613" s="880"/>
      <c r="P613" s="880"/>
      <c r="Q613" s="836">
        <v>1</v>
      </c>
      <c r="R613" s="880"/>
      <c r="S613" s="880"/>
      <c r="T613" s="880"/>
      <c r="U613" s="613">
        <f t="shared" si="112"/>
        <v>1</v>
      </c>
      <c r="V613" s="879"/>
      <c r="W613" s="613" t="str">
        <f t="shared" si="115"/>
        <v>I</v>
      </c>
      <c r="X613" s="613" t="str">
        <f t="shared" si="116"/>
        <v>I</v>
      </c>
      <c r="Y613" s="613">
        <f t="shared" si="117"/>
        <v>2022</v>
      </c>
      <c r="Z613" s="613" t="str">
        <f t="shared" si="118"/>
        <v>I</v>
      </c>
      <c r="AA613" s="613" t="str">
        <f t="shared" si="119"/>
        <v>I</v>
      </c>
      <c r="AB613" s="613" t="str">
        <f t="shared" si="119"/>
        <v>I</v>
      </c>
      <c r="AC613" s="879"/>
      <c r="AD613" s="880"/>
      <c r="AE613" s="881"/>
      <c r="AF613" s="644"/>
      <c r="AG613" s="879"/>
      <c r="AH613" s="879"/>
      <c r="AI613" s="879"/>
      <c r="AJ613" s="879"/>
      <c r="AK613" s="879"/>
      <c r="AL613" s="879"/>
      <c r="AM613" s="879"/>
      <c r="AN613" s="879"/>
      <c r="AO613" s="879"/>
      <c r="AP613" s="879"/>
      <c r="AQ613" s="879"/>
      <c r="AR613" s="879"/>
      <c r="AS613" s="879"/>
    </row>
    <row r="614" spans="1:45" x14ac:dyDescent="0.2">
      <c r="A614" s="527">
        <v>612</v>
      </c>
      <c r="B614" s="879"/>
      <c r="C614" s="879" t="s">
        <v>3650</v>
      </c>
      <c r="D614" s="879"/>
      <c r="E614" s="879"/>
      <c r="F614" s="879"/>
      <c r="G614" s="624"/>
      <c r="H614" s="879"/>
      <c r="I614" s="879"/>
      <c r="J614" s="835">
        <v>2022</v>
      </c>
      <c r="K614" s="970">
        <v>2023</v>
      </c>
      <c r="L614" s="613" t="s">
        <v>303</v>
      </c>
      <c r="M614" s="613">
        <f t="shared" si="120"/>
        <v>0</v>
      </c>
      <c r="N614" s="613">
        <f t="shared" si="121"/>
        <v>1</v>
      </c>
      <c r="O614" s="880"/>
      <c r="P614" s="880"/>
      <c r="Q614" s="836">
        <v>1</v>
      </c>
      <c r="R614" s="880"/>
      <c r="S614" s="880"/>
      <c r="T614" s="880"/>
      <c r="U614" s="613">
        <f t="shared" si="112"/>
        <v>1</v>
      </c>
      <c r="V614" s="879"/>
      <c r="W614" s="613" t="str">
        <f t="shared" si="115"/>
        <v>I</v>
      </c>
      <c r="X614" s="613" t="str">
        <f t="shared" si="116"/>
        <v>I</v>
      </c>
      <c r="Y614" s="613">
        <f t="shared" si="117"/>
        <v>2022</v>
      </c>
      <c r="Z614" s="613" t="str">
        <f t="shared" si="118"/>
        <v>I</v>
      </c>
      <c r="AA614" s="613" t="str">
        <f t="shared" si="119"/>
        <v>I</v>
      </c>
      <c r="AB614" s="613" t="str">
        <f t="shared" si="119"/>
        <v>I</v>
      </c>
      <c r="AC614" s="879"/>
      <c r="AD614" s="880"/>
      <c r="AE614" s="881"/>
      <c r="AF614" s="644"/>
      <c r="AG614" s="879"/>
      <c r="AH614" s="879"/>
      <c r="AI614" s="879"/>
      <c r="AJ614" s="879"/>
      <c r="AK614" s="879"/>
      <c r="AL614" s="879"/>
      <c r="AM614" s="879"/>
      <c r="AN614" s="879"/>
      <c r="AO614" s="879"/>
      <c r="AP614" s="879"/>
      <c r="AQ614" s="879"/>
      <c r="AR614" s="879"/>
      <c r="AS614" s="879"/>
    </row>
    <row r="615" spans="1:45" x14ac:dyDescent="0.2">
      <c r="A615" s="527">
        <v>613</v>
      </c>
      <c r="B615" s="879"/>
      <c r="C615" s="879" t="s">
        <v>3651</v>
      </c>
      <c r="D615" s="879"/>
      <c r="E615" s="879"/>
      <c r="F615" s="879"/>
      <c r="G615" s="624"/>
      <c r="H615" s="879"/>
      <c r="I615" s="879"/>
      <c r="J615" s="835">
        <v>2023</v>
      </c>
      <c r="K615" s="970">
        <v>2023</v>
      </c>
      <c r="L615" s="613" t="s">
        <v>303</v>
      </c>
      <c r="M615" s="613">
        <f t="shared" si="120"/>
        <v>0</v>
      </c>
      <c r="N615" s="613">
        <f t="shared" si="121"/>
        <v>1</v>
      </c>
      <c r="O615" s="880"/>
      <c r="P615" s="880"/>
      <c r="Q615" s="836">
        <v>1</v>
      </c>
      <c r="R615" s="880"/>
      <c r="S615" s="880"/>
      <c r="T615" s="880"/>
      <c r="U615" s="613">
        <f t="shared" si="112"/>
        <v>1</v>
      </c>
      <c r="V615" s="879"/>
      <c r="W615" s="613" t="str">
        <f t="shared" si="115"/>
        <v>I</v>
      </c>
      <c r="X615" s="613" t="str">
        <f t="shared" si="116"/>
        <v>I</v>
      </c>
      <c r="Y615" s="613">
        <f t="shared" si="117"/>
        <v>2023</v>
      </c>
      <c r="Z615" s="613" t="str">
        <f t="shared" si="118"/>
        <v>I</v>
      </c>
      <c r="AA615" s="613" t="str">
        <f t="shared" si="119"/>
        <v>I</v>
      </c>
      <c r="AB615" s="613" t="str">
        <f t="shared" si="119"/>
        <v>I</v>
      </c>
      <c r="AC615" s="879"/>
      <c r="AD615" s="880"/>
      <c r="AE615" s="881"/>
      <c r="AF615" s="644"/>
      <c r="AG615" s="879"/>
      <c r="AH615" s="879"/>
      <c r="AI615" s="879"/>
      <c r="AJ615" s="879"/>
      <c r="AK615" s="879"/>
      <c r="AL615" s="879"/>
      <c r="AM615" s="879"/>
      <c r="AN615" s="879"/>
      <c r="AO615" s="879"/>
      <c r="AP615" s="879"/>
      <c r="AQ615" s="879"/>
      <c r="AR615" s="879"/>
      <c r="AS615" s="879"/>
    </row>
    <row r="616" spans="1:45" x14ac:dyDescent="0.2">
      <c r="A616" s="527">
        <v>614</v>
      </c>
      <c r="B616" s="879"/>
      <c r="C616" s="879" t="s">
        <v>3647</v>
      </c>
      <c r="D616" s="879"/>
      <c r="E616" s="879"/>
      <c r="F616" s="879"/>
      <c r="G616" s="624"/>
      <c r="H616" s="879"/>
      <c r="I616" s="879"/>
      <c r="J616" s="835">
        <v>2022</v>
      </c>
      <c r="K616" s="970">
        <v>2023</v>
      </c>
      <c r="L616" s="613" t="s">
        <v>303</v>
      </c>
      <c r="M616" s="613">
        <f t="shared" si="120"/>
        <v>0</v>
      </c>
      <c r="N616" s="613">
        <f t="shared" si="121"/>
        <v>1</v>
      </c>
      <c r="O616" s="880"/>
      <c r="P616" s="880"/>
      <c r="Q616" s="836">
        <v>1</v>
      </c>
      <c r="R616" s="880"/>
      <c r="S616" s="880"/>
      <c r="T616" s="880"/>
      <c r="U616" s="613">
        <f t="shared" si="112"/>
        <v>1</v>
      </c>
      <c r="V616" s="879"/>
      <c r="W616" s="613" t="str">
        <f t="shared" si="115"/>
        <v>I</v>
      </c>
      <c r="X616" s="613" t="str">
        <f t="shared" si="116"/>
        <v>I</v>
      </c>
      <c r="Y616" s="613">
        <f t="shared" si="117"/>
        <v>2022</v>
      </c>
      <c r="Z616" s="613" t="str">
        <f t="shared" si="118"/>
        <v>I</v>
      </c>
      <c r="AA616" s="613" t="str">
        <f t="shared" si="119"/>
        <v>I</v>
      </c>
      <c r="AB616" s="613" t="str">
        <f t="shared" si="119"/>
        <v>I</v>
      </c>
      <c r="AC616" s="879"/>
      <c r="AD616" s="880"/>
      <c r="AE616" s="881"/>
      <c r="AF616" s="644"/>
      <c r="AG616" s="879"/>
      <c r="AH616" s="879"/>
      <c r="AI616" s="879"/>
      <c r="AJ616" s="879"/>
      <c r="AK616" s="879"/>
      <c r="AL616" s="879"/>
      <c r="AM616" s="879"/>
      <c r="AN616" s="879"/>
      <c r="AO616" s="879"/>
      <c r="AP616" s="879"/>
      <c r="AQ616" s="879"/>
      <c r="AR616" s="879"/>
      <c r="AS616" s="879"/>
    </row>
    <row r="617" spans="1:45" x14ac:dyDescent="0.2">
      <c r="A617" s="527">
        <v>615</v>
      </c>
      <c r="B617" s="879"/>
      <c r="C617" s="879" t="s">
        <v>3657</v>
      </c>
      <c r="D617" s="879"/>
      <c r="E617" s="879"/>
      <c r="F617" s="879"/>
      <c r="G617" s="624"/>
      <c r="H617" s="879"/>
      <c r="I617" s="879"/>
      <c r="J617" s="835">
        <v>2021</v>
      </c>
      <c r="K617" s="970">
        <v>2023</v>
      </c>
      <c r="L617" s="613" t="s">
        <v>303</v>
      </c>
      <c r="M617" s="613">
        <f t="shared" si="120"/>
        <v>0</v>
      </c>
      <c r="N617" s="613">
        <f t="shared" si="121"/>
        <v>1</v>
      </c>
      <c r="O617" s="880"/>
      <c r="P617" s="880"/>
      <c r="Q617" s="836">
        <v>1</v>
      </c>
      <c r="R617" s="880"/>
      <c r="S617" s="880"/>
      <c r="T617" s="880"/>
      <c r="U617" s="613">
        <f t="shared" si="112"/>
        <v>1</v>
      </c>
      <c r="V617" s="879"/>
      <c r="W617" s="613" t="str">
        <f t="shared" si="115"/>
        <v>I</v>
      </c>
      <c r="X617" s="613" t="str">
        <f t="shared" si="116"/>
        <v>I</v>
      </c>
      <c r="Y617" s="613">
        <f t="shared" si="117"/>
        <v>2021</v>
      </c>
      <c r="Z617" s="613" t="str">
        <f t="shared" si="118"/>
        <v>I</v>
      </c>
      <c r="AA617" s="613" t="str">
        <f t="shared" si="119"/>
        <v>I</v>
      </c>
      <c r="AB617" s="613" t="str">
        <f t="shared" si="119"/>
        <v>I</v>
      </c>
      <c r="AC617" s="879"/>
      <c r="AD617" s="880"/>
      <c r="AE617" s="881"/>
      <c r="AF617" s="644"/>
      <c r="AG617" s="879"/>
      <c r="AH617" s="879"/>
      <c r="AI617" s="879"/>
      <c r="AJ617" s="879"/>
      <c r="AK617" s="879"/>
      <c r="AL617" s="879"/>
      <c r="AM617" s="879"/>
      <c r="AN617" s="879"/>
      <c r="AO617" s="879"/>
      <c r="AP617" s="879"/>
      <c r="AQ617" s="879"/>
      <c r="AR617" s="879"/>
      <c r="AS617" s="879"/>
    </row>
    <row r="618" spans="1:45" x14ac:dyDescent="0.2">
      <c r="A618" s="527">
        <v>616</v>
      </c>
      <c r="B618" s="879"/>
      <c r="C618" s="879" t="s">
        <v>3658</v>
      </c>
      <c r="D618" s="879"/>
      <c r="E618" s="879"/>
      <c r="F618" s="879"/>
      <c r="G618" s="624"/>
      <c r="H618" s="879"/>
      <c r="I618" s="879"/>
      <c r="J618" s="835">
        <v>2021</v>
      </c>
      <c r="K618" s="970">
        <v>2023</v>
      </c>
      <c r="L618" s="613" t="s">
        <v>336</v>
      </c>
      <c r="M618" s="613">
        <f t="shared" si="120"/>
        <v>1</v>
      </c>
      <c r="N618" s="613">
        <f t="shared" si="121"/>
        <v>0</v>
      </c>
      <c r="O618" s="880"/>
      <c r="P618" s="880"/>
      <c r="Q618" s="836">
        <v>1</v>
      </c>
      <c r="R618" s="880"/>
      <c r="S618" s="880"/>
      <c r="T618" s="880"/>
      <c r="U618" s="613">
        <f t="shared" si="112"/>
        <v>1</v>
      </c>
      <c r="V618" s="879"/>
      <c r="W618" s="613" t="str">
        <f t="shared" si="115"/>
        <v>I</v>
      </c>
      <c r="X618" s="613" t="str">
        <f t="shared" si="116"/>
        <v>I</v>
      </c>
      <c r="Y618" s="613">
        <f t="shared" si="117"/>
        <v>2021</v>
      </c>
      <c r="Z618" s="613" t="str">
        <f t="shared" si="118"/>
        <v>I</v>
      </c>
      <c r="AA618" s="613" t="str">
        <f t="shared" si="119"/>
        <v>I</v>
      </c>
      <c r="AB618" s="613" t="str">
        <f t="shared" si="119"/>
        <v>I</v>
      </c>
      <c r="AC618" s="879"/>
      <c r="AD618" s="880"/>
      <c r="AE618" s="881"/>
      <c r="AF618" s="644"/>
      <c r="AG618" s="879"/>
      <c r="AH618" s="879"/>
      <c r="AI618" s="879"/>
      <c r="AJ618" s="879"/>
      <c r="AK618" s="879"/>
      <c r="AL618" s="879"/>
      <c r="AM618" s="879"/>
      <c r="AN618" s="879"/>
      <c r="AO618" s="879"/>
      <c r="AP618" s="879"/>
      <c r="AQ618" s="879"/>
      <c r="AR618" s="879"/>
      <c r="AS618" s="879"/>
    </row>
    <row r="619" spans="1:45" x14ac:dyDescent="0.2">
      <c r="A619" s="527">
        <v>617</v>
      </c>
      <c r="B619" s="879"/>
      <c r="C619" s="879" t="s">
        <v>3659</v>
      </c>
      <c r="D619" s="879"/>
      <c r="E619" s="879"/>
      <c r="F619" s="879"/>
      <c r="G619" s="624"/>
      <c r="H619" s="879"/>
      <c r="I619" s="879"/>
      <c r="J619" s="835">
        <v>2020</v>
      </c>
      <c r="K619" s="970">
        <v>2023</v>
      </c>
      <c r="L619" s="613" t="s">
        <v>336</v>
      </c>
      <c r="M619" s="613">
        <f t="shared" si="120"/>
        <v>0</v>
      </c>
      <c r="N619" s="613">
        <f t="shared" si="121"/>
        <v>0</v>
      </c>
      <c r="O619" s="880"/>
      <c r="P619" s="880"/>
      <c r="Q619" s="836"/>
      <c r="R619" s="836">
        <v>1</v>
      </c>
      <c r="S619" s="880"/>
      <c r="T619" s="880"/>
      <c r="U619" s="613">
        <f t="shared" si="112"/>
        <v>1</v>
      </c>
      <c r="V619" s="879"/>
      <c r="W619" s="613" t="str">
        <f t="shared" si="115"/>
        <v>I</v>
      </c>
      <c r="X619" s="613" t="str">
        <f t="shared" si="116"/>
        <v>I</v>
      </c>
      <c r="Y619" s="613" t="str">
        <f t="shared" si="117"/>
        <v>I</v>
      </c>
      <c r="Z619" s="613">
        <f t="shared" si="118"/>
        <v>2020</v>
      </c>
      <c r="AA619" s="613" t="str">
        <f t="shared" si="119"/>
        <v>I</v>
      </c>
      <c r="AB619" s="613" t="str">
        <f t="shared" si="119"/>
        <v>I</v>
      </c>
      <c r="AC619" s="879"/>
      <c r="AD619" s="880"/>
      <c r="AE619" s="881"/>
      <c r="AF619" s="644"/>
      <c r="AG619" s="879"/>
      <c r="AH619" s="879"/>
      <c r="AI619" s="879"/>
      <c r="AJ619" s="879"/>
      <c r="AK619" s="879"/>
      <c r="AL619" s="879"/>
      <c r="AM619" s="879"/>
      <c r="AN619" s="879"/>
      <c r="AO619" s="879"/>
      <c r="AP619" s="879"/>
      <c r="AQ619" s="879"/>
      <c r="AR619" s="879"/>
      <c r="AS619" s="879"/>
    </row>
    <row r="620" spans="1:45" x14ac:dyDescent="0.2">
      <c r="A620" s="527">
        <v>618</v>
      </c>
      <c r="B620" s="879"/>
      <c r="C620" s="879" t="s">
        <v>3664</v>
      </c>
      <c r="D620" s="879"/>
      <c r="E620" s="879"/>
      <c r="F620" s="879"/>
      <c r="G620" s="624"/>
      <c r="H620" s="879"/>
      <c r="I620" s="879"/>
      <c r="J620" s="835">
        <v>2022</v>
      </c>
      <c r="K620" s="970">
        <v>2023</v>
      </c>
      <c r="L620" s="613" t="s">
        <v>303</v>
      </c>
      <c r="M620" s="613">
        <f t="shared" si="120"/>
        <v>0</v>
      </c>
      <c r="N620" s="613">
        <f t="shared" si="121"/>
        <v>1</v>
      </c>
      <c r="O620" s="880"/>
      <c r="P620" s="880"/>
      <c r="Q620" s="836">
        <v>1</v>
      </c>
      <c r="R620" s="880"/>
      <c r="S620" s="880"/>
      <c r="T620" s="880"/>
      <c r="U620" s="613">
        <f t="shared" si="112"/>
        <v>1</v>
      </c>
      <c r="V620" s="879"/>
      <c r="W620" s="613" t="str">
        <f t="shared" si="115"/>
        <v>I</v>
      </c>
      <c r="X620" s="613" t="str">
        <f t="shared" si="116"/>
        <v>I</v>
      </c>
      <c r="Y620" s="613">
        <f t="shared" si="117"/>
        <v>2022</v>
      </c>
      <c r="Z620" s="613" t="str">
        <f t="shared" si="118"/>
        <v>I</v>
      </c>
      <c r="AA620" s="613" t="str">
        <f t="shared" si="119"/>
        <v>I</v>
      </c>
      <c r="AB620" s="613" t="str">
        <f t="shared" si="119"/>
        <v>I</v>
      </c>
      <c r="AC620" s="879"/>
      <c r="AD620" s="880"/>
      <c r="AE620" s="881"/>
      <c r="AF620" s="644"/>
      <c r="AG620" s="879"/>
      <c r="AH620" s="879"/>
      <c r="AI620" s="879"/>
      <c r="AJ620" s="879"/>
      <c r="AK620" s="879"/>
      <c r="AL620" s="879"/>
      <c r="AM620" s="879"/>
      <c r="AN620" s="879"/>
      <c r="AO620" s="879"/>
      <c r="AP620" s="879"/>
      <c r="AQ620" s="879"/>
      <c r="AR620" s="879"/>
      <c r="AS620" s="879"/>
    </row>
    <row r="621" spans="1:45" x14ac:dyDescent="0.2">
      <c r="A621" s="527">
        <v>619</v>
      </c>
      <c r="B621" s="879"/>
      <c r="C621" s="879" t="s">
        <v>3665</v>
      </c>
      <c r="D621" s="879"/>
      <c r="E621" s="879"/>
      <c r="F621" s="879"/>
      <c r="G621" s="624"/>
      <c r="H621" s="879"/>
      <c r="I621" s="879"/>
      <c r="J621" s="835">
        <v>2023</v>
      </c>
      <c r="K621" s="970">
        <v>2023</v>
      </c>
      <c r="L621" s="613" t="s">
        <v>303</v>
      </c>
      <c r="M621" s="613">
        <f t="shared" si="120"/>
        <v>0</v>
      </c>
      <c r="N621" s="613">
        <f t="shared" si="121"/>
        <v>1</v>
      </c>
      <c r="O621" s="880"/>
      <c r="P621" s="880"/>
      <c r="Q621" s="836">
        <v>1</v>
      </c>
      <c r="R621" s="880"/>
      <c r="S621" s="880"/>
      <c r="T621" s="880"/>
      <c r="U621" s="613">
        <f t="shared" si="112"/>
        <v>1</v>
      </c>
      <c r="V621" s="879"/>
      <c r="W621" s="613" t="str">
        <f t="shared" si="115"/>
        <v>I</v>
      </c>
      <c r="X621" s="613" t="str">
        <f t="shared" si="116"/>
        <v>I</v>
      </c>
      <c r="Y621" s="613">
        <f t="shared" si="117"/>
        <v>2023</v>
      </c>
      <c r="Z621" s="613" t="str">
        <f t="shared" si="118"/>
        <v>I</v>
      </c>
      <c r="AA621" s="613" t="str">
        <f t="shared" si="119"/>
        <v>I</v>
      </c>
      <c r="AB621" s="613" t="str">
        <f t="shared" si="119"/>
        <v>I</v>
      </c>
      <c r="AC621" s="879"/>
      <c r="AD621" s="880"/>
      <c r="AE621" s="881"/>
      <c r="AF621" s="644"/>
      <c r="AG621" s="879"/>
      <c r="AH621" s="879"/>
      <c r="AI621" s="879"/>
      <c r="AJ621" s="879"/>
      <c r="AK621" s="879"/>
      <c r="AL621" s="879"/>
      <c r="AM621" s="879"/>
      <c r="AN621" s="879"/>
      <c r="AO621" s="879"/>
      <c r="AP621" s="879"/>
      <c r="AQ621" s="879"/>
      <c r="AR621" s="879"/>
      <c r="AS621" s="879"/>
    </row>
    <row r="622" spans="1:45" x14ac:dyDescent="0.2">
      <c r="A622" s="527">
        <v>620</v>
      </c>
      <c r="B622" s="879"/>
      <c r="C622" s="879" t="s">
        <v>3666</v>
      </c>
      <c r="D622" s="879"/>
      <c r="E622" s="879"/>
      <c r="F622" s="879"/>
      <c r="G622" s="624"/>
      <c r="H622" s="879"/>
      <c r="I622" s="879"/>
      <c r="J622" s="835">
        <v>2023</v>
      </c>
      <c r="K622" s="970">
        <v>2023</v>
      </c>
      <c r="L622" s="613" t="s">
        <v>303</v>
      </c>
      <c r="M622" s="613">
        <f t="shared" si="120"/>
        <v>0</v>
      </c>
      <c r="N622" s="613">
        <f t="shared" si="121"/>
        <v>1</v>
      </c>
      <c r="O622" s="880"/>
      <c r="P622" s="880"/>
      <c r="Q622" s="836">
        <v>1</v>
      </c>
      <c r="R622" s="880"/>
      <c r="S622" s="880"/>
      <c r="T622" s="880"/>
      <c r="U622" s="613">
        <f t="shared" si="112"/>
        <v>1</v>
      </c>
      <c r="V622" s="879"/>
      <c r="W622" s="613" t="str">
        <f t="shared" si="115"/>
        <v>I</v>
      </c>
      <c r="X622" s="613" t="str">
        <f t="shared" si="116"/>
        <v>I</v>
      </c>
      <c r="Y622" s="613">
        <f t="shared" si="117"/>
        <v>2023</v>
      </c>
      <c r="Z622" s="613" t="str">
        <f t="shared" si="118"/>
        <v>I</v>
      </c>
      <c r="AA622" s="613" t="str">
        <f t="shared" si="119"/>
        <v>I</v>
      </c>
      <c r="AB622" s="613" t="str">
        <f t="shared" si="119"/>
        <v>I</v>
      </c>
      <c r="AC622" s="879"/>
      <c r="AD622" s="880"/>
      <c r="AE622" s="881"/>
      <c r="AF622" s="644"/>
      <c r="AG622" s="879"/>
      <c r="AH622" s="879"/>
      <c r="AI622" s="879"/>
      <c r="AJ622" s="879"/>
      <c r="AK622" s="879"/>
      <c r="AL622" s="879"/>
      <c r="AM622" s="879"/>
      <c r="AN622" s="879"/>
      <c r="AO622" s="879"/>
      <c r="AP622" s="879"/>
      <c r="AQ622" s="879"/>
      <c r="AR622" s="879"/>
      <c r="AS622" s="879"/>
    </row>
    <row r="623" spans="1:45" x14ac:dyDescent="0.2">
      <c r="A623" s="527">
        <v>621</v>
      </c>
      <c r="B623" s="879"/>
      <c r="C623" s="879" t="s">
        <v>3670</v>
      </c>
      <c r="D623" s="879"/>
      <c r="E623" s="879"/>
      <c r="F623" s="879"/>
      <c r="G623" s="624"/>
      <c r="H623" s="879"/>
      <c r="I623" s="879"/>
      <c r="J623" s="835">
        <v>2022</v>
      </c>
      <c r="K623" s="970">
        <v>2023</v>
      </c>
      <c r="L623" s="613" t="s">
        <v>303</v>
      </c>
      <c r="M623" s="613">
        <f t="shared" si="120"/>
        <v>0</v>
      </c>
      <c r="N623" s="613">
        <f t="shared" si="121"/>
        <v>1</v>
      </c>
      <c r="O623" s="880"/>
      <c r="P623" s="880"/>
      <c r="Q623" s="836">
        <v>1</v>
      </c>
      <c r="R623" s="880"/>
      <c r="S623" s="880"/>
      <c r="T623" s="880"/>
      <c r="U623" s="613">
        <f t="shared" si="112"/>
        <v>1</v>
      </c>
      <c r="V623" s="879"/>
      <c r="W623" s="613" t="str">
        <f t="shared" si="115"/>
        <v>I</v>
      </c>
      <c r="X623" s="613" t="str">
        <f t="shared" si="116"/>
        <v>I</v>
      </c>
      <c r="Y623" s="613">
        <f t="shared" si="117"/>
        <v>2022</v>
      </c>
      <c r="Z623" s="613" t="str">
        <f t="shared" si="118"/>
        <v>I</v>
      </c>
      <c r="AA623" s="613" t="str">
        <f t="shared" si="119"/>
        <v>I</v>
      </c>
      <c r="AB623" s="613" t="str">
        <f t="shared" si="119"/>
        <v>I</v>
      </c>
      <c r="AC623" s="879"/>
      <c r="AD623" s="880"/>
      <c r="AE623" s="881"/>
      <c r="AF623" s="644"/>
      <c r="AG623" s="879"/>
      <c r="AH623" s="879"/>
      <c r="AI623" s="879"/>
      <c r="AJ623" s="879"/>
      <c r="AK623" s="879"/>
      <c r="AL623" s="879"/>
      <c r="AM623" s="879"/>
      <c r="AN623" s="879"/>
      <c r="AO623" s="879"/>
      <c r="AP623" s="879"/>
      <c r="AQ623" s="879"/>
      <c r="AR623" s="879"/>
      <c r="AS623" s="879"/>
    </row>
    <row r="624" spans="1:45" x14ac:dyDescent="0.2">
      <c r="A624" s="527">
        <v>622</v>
      </c>
      <c r="B624" s="879"/>
      <c r="C624" s="879" t="s">
        <v>3702</v>
      </c>
      <c r="D624" s="879"/>
      <c r="E624" s="879"/>
      <c r="F624" s="879"/>
      <c r="G624" s="624"/>
      <c r="H624" s="879"/>
      <c r="I624" s="879"/>
      <c r="J624" s="835">
        <v>2021</v>
      </c>
      <c r="K624" s="970">
        <v>2023</v>
      </c>
      <c r="L624" s="613" t="s">
        <v>336</v>
      </c>
      <c r="M624" s="613">
        <f t="shared" si="120"/>
        <v>1</v>
      </c>
      <c r="N624" s="613">
        <f t="shared" si="121"/>
        <v>0</v>
      </c>
      <c r="O624" s="880"/>
      <c r="P624" s="880"/>
      <c r="Q624" s="836">
        <v>1</v>
      </c>
      <c r="R624" s="880"/>
      <c r="S624" s="880"/>
      <c r="T624" s="880"/>
      <c r="U624" s="613">
        <f t="shared" si="112"/>
        <v>1</v>
      </c>
      <c r="V624" s="879"/>
      <c r="W624" s="613" t="str">
        <f t="shared" si="115"/>
        <v>I</v>
      </c>
      <c r="X624" s="613" t="str">
        <f t="shared" si="116"/>
        <v>I</v>
      </c>
      <c r="Y624" s="613">
        <f t="shared" si="117"/>
        <v>2021</v>
      </c>
      <c r="Z624" s="613" t="str">
        <f t="shared" si="118"/>
        <v>I</v>
      </c>
      <c r="AA624" s="613" t="str">
        <f t="shared" si="119"/>
        <v>I</v>
      </c>
      <c r="AB624" s="613" t="str">
        <f t="shared" si="119"/>
        <v>I</v>
      </c>
      <c r="AC624" s="879"/>
      <c r="AD624" s="880"/>
      <c r="AE624" s="881"/>
      <c r="AF624" s="880"/>
      <c r="AG624" s="879"/>
      <c r="AH624" s="879"/>
      <c r="AI624" s="879"/>
      <c r="AJ624" s="879"/>
      <c r="AK624" s="879"/>
      <c r="AL624" s="879"/>
      <c r="AM624" s="879"/>
      <c r="AN624" s="879"/>
      <c r="AO624" s="879"/>
      <c r="AP624" s="879"/>
      <c r="AQ624" s="879"/>
      <c r="AR624" s="879"/>
      <c r="AS624" s="879"/>
    </row>
    <row r="625" spans="1:45" x14ac:dyDescent="0.2">
      <c r="A625" s="527">
        <v>623</v>
      </c>
      <c r="B625" s="879"/>
      <c r="C625" s="879" t="s">
        <v>3703</v>
      </c>
      <c r="D625" s="879"/>
      <c r="E625" s="879"/>
      <c r="F625" s="879"/>
      <c r="G625" s="624"/>
      <c r="H625" s="879"/>
      <c r="I625" s="879"/>
      <c r="J625" s="835">
        <v>2023</v>
      </c>
      <c r="K625" s="970">
        <v>2023</v>
      </c>
      <c r="L625" s="613" t="s">
        <v>303</v>
      </c>
      <c r="M625" s="613">
        <f t="shared" si="120"/>
        <v>0</v>
      </c>
      <c r="N625" s="613">
        <f t="shared" si="121"/>
        <v>1</v>
      </c>
      <c r="O625" s="880"/>
      <c r="P625" s="880"/>
      <c r="Q625" s="836">
        <v>1</v>
      </c>
      <c r="R625" s="880"/>
      <c r="S625" s="880"/>
      <c r="T625" s="880"/>
      <c r="U625" s="613">
        <f t="shared" si="112"/>
        <v>1</v>
      </c>
      <c r="V625" s="879"/>
      <c r="W625" s="613" t="str">
        <f t="shared" si="115"/>
        <v>I</v>
      </c>
      <c r="X625" s="613" t="str">
        <f t="shared" si="116"/>
        <v>I</v>
      </c>
      <c r="Y625" s="613">
        <f t="shared" si="117"/>
        <v>2023</v>
      </c>
      <c r="Z625" s="613" t="str">
        <f t="shared" si="118"/>
        <v>I</v>
      </c>
      <c r="AA625" s="613" t="str">
        <f t="shared" si="119"/>
        <v>I</v>
      </c>
      <c r="AB625" s="613" t="str">
        <f t="shared" si="119"/>
        <v>I</v>
      </c>
      <c r="AC625" s="879"/>
      <c r="AD625" s="880"/>
      <c r="AE625" s="881"/>
      <c r="AF625" s="880"/>
      <c r="AG625" s="879"/>
      <c r="AH625" s="879"/>
      <c r="AI625" s="879"/>
      <c r="AJ625" s="879"/>
      <c r="AK625" s="879"/>
      <c r="AL625" s="879"/>
      <c r="AM625" s="879"/>
      <c r="AN625" s="879"/>
      <c r="AO625" s="879"/>
      <c r="AP625" s="879"/>
      <c r="AQ625" s="879"/>
      <c r="AR625" s="879"/>
      <c r="AS625" s="879"/>
    </row>
    <row r="626" spans="1:45" x14ac:dyDescent="0.2">
      <c r="A626" s="527">
        <v>624</v>
      </c>
      <c r="B626" s="879"/>
      <c r="C626" s="879" t="s">
        <v>3704</v>
      </c>
      <c r="D626" s="879"/>
      <c r="E626" s="879"/>
      <c r="F626" s="879"/>
      <c r="G626" s="624"/>
      <c r="H626" s="879"/>
      <c r="I626" s="879"/>
      <c r="J626" s="835">
        <v>2021</v>
      </c>
      <c r="K626" s="970">
        <v>2023</v>
      </c>
      <c r="L626" s="613" t="s">
        <v>336</v>
      </c>
      <c r="M626" s="613">
        <f t="shared" si="120"/>
        <v>1</v>
      </c>
      <c r="N626" s="613">
        <f t="shared" si="121"/>
        <v>0</v>
      </c>
      <c r="O626" s="880"/>
      <c r="P626" s="880"/>
      <c r="Q626" s="836">
        <v>1</v>
      </c>
      <c r="R626" s="880"/>
      <c r="S626" s="880"/>
      <c r="T626" s="880"/>
      <c r="U626" s="613">
        <f t="shared" si="112"/>
        <v>1</v>
      </c>
      <c r="V626" s="879"/>
      <c r="W626" s="613" t="str">
        <f t="shared" si="115"/>
        <v>I</v>
      </c>
      <c r="X626" s="613" t="str">
        <f t="shared" si="116"/>
        <v>I</v>
      </c>
      <c r="Y626" s="613">
        <f t="shared" si="117"/>
        <v>2021</v>
      </c>
      <c r="Z626" s="613" t="str">
        <f t="shared" si="118"/>
        <v>I</v>
      </c>
      <c r="AA626" s="613" t="str">
        <f t="shared" si="119"/>
        <v>I</v>
      </c>
      <c r="AB626" s="613" t="str">
        <f t="shared" si="119"/>
        <v>I</v>
      </c>
      <c r="AC626" s="879"/>
      <c r="AD626" s="880"/>
      <c r="AE626" s="881"/>
      <c r="AF626" s="880"/>
      <c r="AG626" s="879"/>
      <c r="AH626" s="879"/>
      <c r="AI626" s="879"/>
      <c r="AJ626" s="879"/>
      <c r="AK626" s="879"/>
      <c r="AL626" s="879"/>
      <c r="AM626" s="879"/>
      <c r="AN626" s="879"/>
      <c r="AO626" s="879"/>
      <c r="AP626" s="879"/>
      <c r="AQ626" s="879"/>
      <c r="AR626" s="879"/>
      <c r="AS626" s="879"/>
    </row>
    <row r="627" spans="1:45" x14ac:dyDescent="0.2">
      <c r="A627" s="527">
        <v>625</v>
      </c>
      <c r="B627" s="879"/>
      <c r="C627" s="879" t="s">
        <v>3705</v>
      </c>
      <c r="D627" s="879"/>
      <c r="E627" s="879"/>
      <c r="F627" s="879"/>
      <c r="G627" s="624"/>
      <c r="H627" s="879"/>
      <c r="I627" s="879"/>
      <c r="J627" s="835">
        <v>2023</v>
      </c>
      <c r="K627" s="970">
        <v>2023</v>
      </c>
      <c r="L627" s="613" t="s">
        <v>303</v>
      </c>
      <c r="M627" s="613">
        <f t="shared" si="120"/>
        <v>0</v>
      </c>
      <c r="N627" s="613">
        <f t="shared" si="121"/>
        <v>1</v>
      </c>
      <c r="O627" s="880"/>
      <c r="P627" s="880"/>
      <c r="Q627" s="836">
        <v>1</v>
      </c>
      <c r="R627" s="880"/>
      <c r="S627" s="880"/>
      <c r="T627" s="880"/>
      <c r="U627" s="613">
        <f t="shared" si="112"/>
        <v>1</v>
      </c>
      <c r="V627" s="879"/>
      <c r="W627" s="613" t="str">
        <f t="shared" si="115"/>
        <v>I</v>
      </c>
      <c r="X627" s="613" t="str">
        <f t="shared" si="116"/>
        <v>I</v>
      </c>
      <c r="Y627" s="613">
        <f t="shared" si="117"/>
        <v>2023</v>
      </c>
      <c r="Z627" s="613" t="str">
        <f t="shared" si="118"/>
        <v>I</v>
      </c>
      <c r="AA627" s="613" t="str">
        <f t="shared" si="119"/>
        <v>I</v>
      </c>
      <c r="AB627" s="613" t="str">
        <f t="shared" si="119"/>
        <v>I</v>
      </c>
      <c r="AC627" s="879"/>
      <c r="AD627" s="880"/>
      <c r="AE627" s="881"/>
      <c r="AF627" s="880"/>
      <c r="AG627" s="879"/>
      <c r="AH627" s="879"/>
      <c r="AI627" s="879"/>
      <c r="AJ627" s="879"/>
      <c r="AK627" s="879"/>
      <c r="AL627" s="879"/>
      <c r="AM627" s="879"/>
      <c r="AN627" s="879"/>
      <c r="AO627" s="879"/>
      <c r="AP627" s="879"/>
      <c r="AQ627" s="879"/>
      <c r="AR627" s="879"/>
      <c r="AS627" s="879"/>
    </row>
    <row r="628" spans="1:45" x14ac:dyDescent="0.2">
      <c r="A628" s="527">
        <v>626</v>
      </c>
      <c r="B628" s="879"/>
      <c r="C628" s="879" t="s">
        <v>3706</v>
      </c>
      <c r="D628" s="879"/>
      <c r="E628" s="879"/>
      <c r="F628" s="879"/>
      <c r="G628" s="624"/>
      <c r="H628" s="879"/>
      <c r="I628" s="879"/>
      <c r="J628" s="835">
        <v>2022</v>
      </c>
      <c r="K628" s="970">
        <v>2023</v>
      </c>
      <c r="L628" s="613" t="s">
        <v>303</v>
      </c>
      <c r="M628" s="613">
        <f t="shared" si="120"/>
        <v>0</v>
      </c>
      <c r="N628" s="613">
        <f t="shared" si="121"/>
        <v>1</v>
      </c>
      <c r="O628" s="880"/>
      <c r="P628" s="880"/>
      <c r="Q628" s="836">
        <v>1</v>
      </c>
      <c r="R628" s="880"/>
      <c r="S628" s="880"/>
      <c r="T628" s="880"/>
      <c r="U628" s="613">
        <f t="shared" si="112"/>
        <v>1</v>
      </c>
      <c r="V628" s="879"/>
      <c r="W628" s="613" t="str">
        <f t="shared" si="115"/>
        <v>I</v>
      </c>
      <c r="X628" s="613" t="str">
        <f t="shared" si="116"/>
        <v>I</v>
      </c>
      <c r="Y628" s="613">
        <f t="shared" si="117"/>
        <v>2022</v>
      </c>
      <c r="Z628" s="613" t="str">
        <f t="shared" si="118"/>
        <v>I</v>
      </c>
      <c r="AA628" s="613" t="str">
        <f t="shared" si="119"/>
        <v>I</v>
      </c>
      <c r="AB628" s="613" t="str">
        <f t="shared" si="119"/>
        <v>I</v>
      </c>
      <c r="AC628" s="879"/>
      <c r="AD628" s="880"/>
      <c r="AE628" s="881"/>
      <c r="AF628" s="880"/>
      <c r="AG628" s="879"/>
      <c r="AH628" s="879"/>
      <c r="AI628" s="879"/>
      <c r="AJ628" s="879"/>
      <c r="AK628" s="879"/>
      <c r="AL628" s="879"/>
      <c r="AM628" s="879"/>
      <c r="AN628" s="879"/>
      <c r="AO628" s="879"/>
      <c r="AP628" s="879"/>
      <c r="AQ628" s="879"/>
      <c r="AR628" s="879"/>
      <c r="AS628" s="879"/>
    </row>
    <row r="629" spans="1:45" x14ac:dyDescent="0.2">
      <c r="A629" s="527">
        <v>627</v>
      </c>
      <c r="B629" s="879"/>
      <c r="C629" s="879" t="s">
        <v>3707</v>
      </c>
      <c r="D629" s="879"/>
      <c r="E629" s="879"/>
      <c r="F629" s="879"/>
      <c r="G629" s="624"/>
      <c r="H629" s="879"/>
      <c r="I629" s="879"/>
      <c r="J629" s="835">
        <v>2023</v>
      </c>
      <c r="K629" s="970">
        <v>2023</v>
      </c>
      <c r="L629" s="613" t="s">
        <v>303</v>
      </c>
      <c r="M629" s="613">
        <f t="shared" si="120"/>
        <v>0</v>
      </c>
      <c r="N629" s="613">
        <f t="shared" si="121"/>
        <v>1</v>
      </c>
      <c r="O629" s="880"/>
      <c r="P629" s="880"/>
      <c r="Q629" s="836">
        <v>1</v>
      </c>
      <c r="R629" s="880"/>
      <c r="S629" s="880"/>
      <c r="T629" s="880"/>
      <c r="U629" s="613">
        <f t="shared" si="112"/>
        <v>1</v>
      </c>
      <c r="V629" s="879"/>
      <c r="W629" s="613" t="str">
        <f t="shared" si="115"/>
        <v>I</v>
      </c>
      <c r="X629" s="613" t="str">
        <f t="shared" si="116"/>
        <v>I</v>
      </c>
      <c r="Y629" s="613">
        <f t="shared" si="117"/>
        <v>2023</v>
      </c>
      <c r="Z629" s="613" t="str">
        <f t="shared" si="118"/>
        <v>I</v>
      </c>
      <c r="AA629" s="613" t="str">
        <f t="shared" si="119"/>
        <v>I</v>
      </c>
      <c r="AB629" s="613" t="str">
        <f t="shared" si="119"/>
        <v>I</v>
      </c>
      <c r="AC629" s="879"/>
      <c r="AD629" s="880"/>
      <c r="AE629" s="881"/>
      <c r="AF629" s="880"/>
      <c r="AG629" s="879"/>
      <c r="AH629" s="879"/>
      <c r="AI629" s="879"/>
      <c r="AJ629" s="879"/>
      <c r="AK629" s="879"/>
      <c r="AL629" s="879"/>
      <c r="AM629" s="879"/>
      <c r="AN629" s="879"/>
      <c r="AO629" s="879"/>
      <c r="AP629" s="879"/>
      <c r="AQ629" s="879"/>
      <c r="AR629" s="879"/>
      <c r="AS629" s="879"/>
    </row>
    <row r="630" spans="1:45" x14ac:dyDescent="0.2">
      <c r="A630" s="527">
        <v>628</v>
      </c>
      <c r="B630" s="879"/>
      <c r="C630" s="879" t="s">
        <v>3714</v>
      </c>
      <c r="D630" s="879"/>
      <c r="E630" s="879"/>
      <c r="F630" s="879"/>
      <c r="G630" s="624"/>
      <c r="H630" s="879"/>
      <c r="I630" s="879"/>
      <c r="J630" s="835">
        <v>2009</v>
      </c>
      <c r="K630" s="970">
        <v>2023</v>
      </c>
      <c r="L630" s="613" t="s">
        <v>336</v>
      </c>
      <c r="M630" s="613">
        <f t="shared" si="120"/>
        <v>0</v>
      </c>
      <c r="N630" s="613">
        <f t="shared" si="121"/>
        <v>0</v>
      </c>
      <c r="O630" s="880"/>
      <c r="P630" s="880"/>
      <c r="Q630" s="880"/>
      <c r="R630" s="836">
        <v>1</v>
      </c>
      <c r="S630" s="880"/>
      <c r="T630" s="880"/>
      <c r="U630" s="613">
        <f t="shared" si="112"/>
        <v>1</v>
      </c>
      <c r="V630" s="879"/>
      <c r="W630" s="613" t="str">
        <f t="shared" si="115"/>
        <v>I</v>
      </c>
      <c r="X630" s="613" t="str">
        <f t="shared" si="116"/>
        <v>I</v>
      </c>
      <c r="Y630" s="613" t="str">
        <f t="shared" si="117"/>
        <v>I</v>
      </c>
      <c r="Z630" s="613">
        <f t="shared" si="118"/>
        <v>2009</v>
      </c>
      <c r="AA630" s="613" t="str">
        <f t="shared" si="119"/>
        <v>I</v>
      </c>
      <c r="AB630" s="613" t="str">
        <f t="shared" si="119"/>
        <v>I</v>
      </c>
      <c r="AC630" s="879"/>
      <c r="AD630" s="880"/>
      <c r="AE630" s="881"/>
      <c r="AF630" s="880"/>
      <c r="AG630" s="879"/>
      <c r="AH630" s="879"/>
      <c r="AI630" s="879"/>
      <c r="AJ630" s="879"/>
      <c r="AK630" s="879"/>
      <c r="AL630" s="879"/>
      <c r="AM630" s="879"/>
      <c r="AN630" s="879"/>
      <c r="AO630" s="879"/>
      <c r="AP630" s="879"/>
      <c r="AQ630" s="879"/>
      <c r="AR630" s="879"/>
      <c r="AS630" s="879"/>
    </row>
    <row r="631" spans="1:45" x14ac:dyDescent="0.2">
      <c r="A631" s="527">
        <v>629</v>
      </c>
      <c r="B631" s="879"/>
      <c r="C631" s="879" t="s">
        <v>3716</v>
      </c>
      <c r="D631" s="879"/>
      <c r="E631" s="879"/>
      <c r="F631" s="879"/>
      <c r="G631" s="624"/>
      <c r="H631" s="879"/>
      <c r="I631" s="879"/>
      <c r="J631" s="835">
        <v>2022</v>
      </c>
      <c r="K631" s="970">
        <v>2023</v>
      </c>
      <c r="L631" s="613" t="s">
        <v>303</v>
      </c>
      <c r="M631" s="613">
        <f t="shared" si="120"/>
        <v>0</v>
      </c>
      <c r="N631" s="613">
        <f t="shared" si="121"/>
        <v>1</v>
      </c>
      <c r="O631" s="880"/>
      <c r="P631" s="880"/>
      <c r="Q631" s="836">
        <v>1</v>
      </c>
      <c r="R631" s="880"/>
      <c r="S631" s="880"/>
      <c r="T631" s="880"/>
      <c r="U631" s="613">
        <f t="shared" si="112"/>
        <v>1</v>
      </c>
      <c r="V631" s="879"/>
      <c r="W631" s="613" t="str">
        <f t="shared" si="115"/>
        <v>I</v>
      </c>
      <c r="X631" s="613" t="str">
        <f t="shared" si="116"/>
        <v>I</v>
      </c>
      <c r="Y631" s="613">
        <f t="shared" si="117"/>
        <v>2022</v>
      </c>
      <c r="Z631" s="613" t="str">
        <f t="shared" si="118"/>
        <v>I</v>
      </c>
      <c r="AA631" s="613" t="str">
        <f t="shared" si="119"/>
        <v>I</v>
      </c>
      <c r="AB631" s="613" t="str">
        <f t="shared" si="119"/>
        <v>I</v>
      </c>
      <c r="AC631" s="879"/>
      <c r="AD631" s="880"/>
      <c r="AE631" s="881"/>
      <c r="AF631" s="644"/>
      <c r="AG631" s="879"/>
      <c r="AH631" s="879"/>
      <c r="AI631" s="879"/>
      <c r="AJ631" s="879"/>
      <c r="AK631" s="879"/>
      <c r="AL631" s="879"/>
      <c r="AM631" s="879"/>
      <c r="AN631" s="879"/>
      <c r="AO631" s="879"/>
      <c r="AP631" s="879"/>
      <c r="AQ631" s="879"/>
      <c r="AR631" s="879"/>
      <c r="AS631" s="879"/>
    </row>
    <row r="632" spans="1:45" x14ac:dyDescent="0.2">
      <c r="A632" s="527">
        <v>630</v>
      </c>
      <c r="B632" s="879"/>
      <c r="C632" s="879" t="s">
        <v>3718</v>
      </c>
      <c r="D632" s="879"/>
      <c r="E632" s="879"/>
      <c r="F632" s="879"/>
      <c r="G632" s="624"/>
      <c r="H632" s="879"/>
      <c r="I632" s="879"/>
      <c r="J632" s="835">
        <v>2021</v>
      </c>
      <c r="K632" s="970">
        <v>2023</v>
      </c>
      <c r="L632" s="613" t="s">
        <v>336</v>
      </c>
      <c r="M632" s="613">
        <f t="shared" si="120"/>
        <v>1</v>
      </c>
      <c r="N632" s="613">
        <f t="shared" si="121"/>
        <v>0</v>
      </c>
      <c r="O632" s="880"/>
      <c r="P632" s="880"/>
      <c r="Q632" s="836">
        <v>1</v>
      </c>
      <c r="R632" s="880"/>
      <c r="S632" s="880"/>
      <c r="T632" s="880"/>
      <c r="U632" s="613">
        <f t="shared" si="112"/>
        <v>1</v>
      </c>
      <c r="V632" s="879"/>
      <c r="W632" s="613" t="str">
        <f t="shared" si="115"/>
        <v>I</v>
      </c>
      <c r="X632" s="613" t="str">
        <f t="shared" si="116"/>
        <v>I</v>
      </c>
      <c r="Y632" s="613">
        <f t="shared" si="117"/>
        <v>2021</v>
      </c>
      <c r="Z632" s="613" t="str">
        <f t="shared" si="118"/>
        <v>I</v>
      </c>
      <c r="AA632" s="613" t="str">
        <f t="shared" si="119"/>
        <v>I</v>
      </c>
      <c r="AB632" s="613" t="str">
        <f t="shared" si="119"/>
        <v>I</v>
      </c>
      <c r="AC632" s="879"/>
      <c r="AD632" s="880"/>
      <c r="AE632" s="881"/>
      <c r="AF632" s="644"/>
      <c r="AG632" s="879"/>
      <c r="AH632" s="879"/>
      <c r="AI632" s="879"/>
      <c r="AJ632" s="879"/>
      <c r="AK632" s="879"/>
      <c r="AL632" s="879"/>
      <c r="AM632" s="879"/>
      <c r="AN632" s="879"/>
      <c r="AO632" s="879"/>
      <c r="AP632" s="879"/>
      <c r="AQ632" s="879"/>
      <c r="AR632" s="879"/>
      <c r="AS632" s="879"/>
    </row>
    <row r="633" spans="1:45" x14ac:dyDescent="0.2">
      <c r="A633" s="527">
        <v>631</v>
      </c>
      <c r="B633" s="879"/>
      <c r="C633" s="879" t="s">
        <v>3720</v>
      </c>
      <c r="D633" s="879"/>
      <c r="E633" s="879"/>
      <c r="F633" s="879"/>
      <c r="G633" s="624"/>
      <c r="H633" s="879"/>
      <c r="I633" s="879"/>
      <c r="J633" s="835">
        <v>2022</v>
      </c>
      <c r="K633" s="970">
        <v>2023</v>
      </c>
      <c r="L633" s="613" t="s">
        <v>336</v>
      </c>
      <c r="M633" s="613">
        <f t="shared" si="120"/>
        <v>1</v>
      </c>
      <c r="N633" s="613">
        <f t="shared" si="121"/>
        <v>0</v>
      </c>
      <c r="O633" s="880"/>
      <c r="P633" s="880"/>
      <c r="Q633" s="836">
        <v>1</v>
      </c>
      <c r="R633" s="880"/>
      <c r="S633" s="880"/>
      <c r="T633" s="880"/>
      <c r="U633" s="613">
        <f t="shared" si="112"/>
        <v>1</v>
      </c>
      <c r="V633" s="879"/>
      <c r="W633" s="613" t="str">
        <f t="shared" si="115"/>
        <v>I</v>
      </c>
      <c r="X633" s="613" t="str">
        <f t="shared" si="116"/>
        <v>I</v>
      </c>
      <c r="Y633" s="613">
        <f t="shared" si="117"/>
        <v>2022</v>
      </c>
      <c r="Z633" s="613" t="str">
        <f t="shared" si="118"/>
        <v>I</v>
      </c>
      <c r="AA633" s="613" t="str">
        <f t="shared" si="119"/>
        <v>I</v>
      </c>
      <c r="AB633" s="613" t="str">
        <f t="shared" si="119"/>
        <v>I</v>
      </c>
      <c r="AC633" s="879"/>
      <c r="AD633" s="880"/>
      <c r="AE633" s="881"/>
      <c r="AF633" s="644"/>
      <c r="AG633" s="879"/>
      <c r="AH633" s="879"/>
      <c r="AI633" s="879"/>
      <c r="AJ633" s="879"/>
      <c r="AK633" s="879"/>
      <c r="AL633" s="879"/>
      <c r="AM633" s="879"/>
      <c r="AN633" s="879"/>
      <c r="AO633" s="879"/>
      <c r="AP633" s="879"/>
      <c r="AQ633" s="879"/>
      <c r="AR633" s="879"/>
      <c r="AS633" s="879"/>
    </row>
    <row r="634" spans="1:45" x14ac:dyDescent="0.2">
      <c r="A634" s="527">
        <v>632</v>
      </c>
      <c r="B634" s="879"/>
      <c r="C634" s="879" t="s">
        <v>3722</v>
      </c>
      <c r="D634" s="879"/>
      <c r="E634" s="879"/>
      <c r="F634" s="879"/>
      <c r="G634" s="624"/>
      <c r="H634" s="879"/>
      <c r="I634" s="879"/>
      <c r="J634" s="835">
        <v>2022</v>
      </c>
      <c r="K634" s="970">
        <v>2023</v>
      </c>
      <c r="L634" s="613" t="s">
        <v>303</v>
      </c>
      <c r="M634" s="613">
        <f t="shared" si="120"/>
        <v>0</v>
      </c>
      <c r="N634" s="613">
        <f t="shared" si="121"/>
        <v>1</v>
      </c>
      <c r="O634" s="880"/>
      <c r="P634" s="880"/>
      <c r="Q634" s="836">
        <v>1</v>
      </c>
      <c r="R634" s="880"/>
      <c r="S634" s="880"/>
      <c r="T634" s="880"/>
      <c r="U634" s="613">
        <f t="shared" si="112"/>
        <v>1</v>
      </c>
      <c r="V634" s="879"/>
      <c r="W634" s="613" t="str">
        <f t="shared" si="115"/>
        <v>I</v>
      </c>
      <c r="X634" s="613" t="str">
        <f t="shared" si="116"/>
        <v>I</v>
      </c>
      <c r="Y634" s="613">
        <f t="shared" si="117"/>
        <v>2022</v>
      </c>
      <c r="Z634" s="613" t="str">
        <f t="shared" si="118"/>
        <v>I</v>
      </c>
      <c r="AA634" s="613" t="str">
        <f t="shared" si="119"/>
        <v>I</v>
      </c>
      <c r="AB634" s="613" t="str">
        <f t="shared" si="119"/>
        <v>I</v>
      </c>
      <c r="AC634" s="879"/>
      <c r="AD634" s="880"/>
      <c r="AE634" s="881"/>
      <c r="AF634" s="644"/>
      <c r="AG634" s="879"/>
      <c r="AH634" s="879"/>
      <c r="AI634" s="879"/>
      <c r="AJ634" s="879"/>
      <c r="AK634" s="879"/>
      <c r="AL634" s="879"/>
      <c r="AM634" s="879"/>
      <c r="AN634" s="879"/>
      <c r="AO634" s="879"/>
      <c r="AP634" s="879"/>
      <c r="AQ634" s="879"/>
      <c r="AR634" s="879"/>
      <c r="AS634" s="879"/>
    </row>
    <row r="635" spans="1:45" x14ac:dyDescent="0.2">
      <c r="A635" s="527">
        <v>633</v>
      </c>
      <c r="B635" s="879"/>
      <c r="C635" s="879" t="s">
        <v>3724</v>
      </c>
      <c r="D635" s="879"/>
      <c r="E635" s="879"/>
      <c r="F635" s="879"/>
      <c r="G635" s="624"/>
      <c r="H635" s="879"/>
      <c r="I635" s="879"/>
      <c r="J635" s="835">
        <v>2023</v>
      </c>
      <c r="K635" s="970">
        <v>2023</v>
      </c>
      <c r="L635" s="613" t="s">
        <v>303</v>
      </c>
      <c r="M635" s="613">
        <f t="shared" si="120"/>
        <v>0</v>
      </c>
      <c r="N635" s="613">
        <f t="shared" si="121"/>
        <v>1</v>
      </c>
      <c r="O635" s="880"/>
      <c r="P635" s="880"/>
      <c r="Q635" s="836">
        <v>1</v>
      </c>
      <c r="R635" s="880"/>
      <c r="S635" s="880"/>
      <c r="T635" s="880"/>
      <c r="U635" s="613">
        <f t="shared" si="112"/>
        <v>1</v>
      </c>
      <c r="V635" s="879"/>
      <c r="W635" s="613" t="str">
        <f t="shared" si="115"/>
        <v>I</v>
      </c>
      <c r="X635" s="613" t="str">
        <f t="shared" si="116"/>
        <v>I</v>
      </c>
      <c r="Y635" s="613">
        <f t="shared" si="117"/>
        <v>2023</v>
      </c>
      <c r="Z635" s="613" t="str">
        <f t="shared" si="118"/>
        <v>I</v>
      </c>
      <c r="AA635" s="613" t="str">
        <f t="shared" si="119"/>
        <v>I</v>
      </c>
      <c r="AB635" s="613" t="str">
        <f t="shared" si="119"/>
        <v>I</v>
      </c>
      <c r="AC635" s="879"/>
      <c r="AD635" s="880"/>
      <c r="AE635" s="881"/>
      <c r="AF635" s="644"/>
      <c r="AG635" s="879"/>
      <c r="AH635" s="879"/>
      <c r="AI635" s="879"/>
      <c r="AJ635" s="879"/>
      <c r="AK635" s="879"/>
      <c r="AL635" s="879"/>
      <c r="AM635" s="879"/>
      <c r="AN635" s="879"/>
      <c r="AO635" s="879"/>
      <c r="AP635" s="879"/>
      <c r="AQ635" s="879"/>
      <c r="AR635" s="879"/>
      <c r="AS635" s="879"/>
    </row>
    <row r="636" spans="1:45" x14ac:dyDescent="0.2">
      <c r="A636" s="527">
        <v>634</v>
      </c>
      <c r="B636" s="879"/>
      <c r="C636" s="879" t="s">
        <v>3727</v>
      </c>
      <c r="D636" s="879"/>
      <c r="E636" s="879"/>
      <c r="F636" s="879"/>
      <c r="G636" s="624"/>
      <c r="H636" s="879"/>
      <c r="I636" s="879"/>
      <c r="J636" s="835">
        <v>2022</v>
      </c>
      <c r="K636" s="970">
        <v>2023</v>
      </c>
      <c r="L636" s="613" t="s">
        <v>303</v>
      </c>
      <c r="M636" s="613">
        <f t="shared" si="120"/>
        <v>0</v>
      </c>
      <c r="N636" s="613">
        <f t="shared" si="121"/>
        <v>1</v>
      </c>
      <c r="O636" s="880"/>
      <c r="P636" s="880"/>
      <c r="Q636" s="836">
        <v>1</v>
      </c>
      <c r="R636" s="880"/>
      <c r="S636" s="880"/>
      <c r="T636" s="880"/>
      <c r="U636" s="613">
        <f t="shared" si="112"/>
        <v>1</v>
      </c>
      <c r="V636" s="879"/>
      <c r="W636" s="613" t="str">
        <f t="shared" si="115"/>
        <v>I</v>
      </c>
      <c r="X636" s="613" t="str">
        <f t="shared" si="116"/>
        <v>I</v>
      </c>
      <c r="Y636" s="613">
        <f t="shared" si="117"/>
        <v>2022</v>
      </c>
      <c r="Z636" s="613" t="str">
        <f t="shared" si="118"/>
        <v>I</v>
      </c>
      <c r="AA636" s="613" t="str">
        <f t="shared" si="119"/>
        <v>I</v>
      </c>
      <c r="AB636" s="613" t="str">
        <f t="shared" si="119"/>
        <v>I</v>
      </c>
      <c r="AC636" s="879"/>
      <c r="AD636" s="880"/>
      <c r="AE636" s="881"/>
      <c r="AF636" s="644"/>
      <c r="AG636" s="879"/>
      <c r="AH636" s="879"/>
      <c r="AI636" s="879"/>
      <c r="AJ636" s="879"/>
      <c r="AK636" s="879"/>
      <c r="AL636" s="879"/>
      <c r="AM636" s="879"/>
      <c r="AN636" s="879"/>
      <c r="AO636" s="879"/>
      <c r="AP636" s="879"/>
      <c r="AQ636" s="879"/>
      <c r="AR636" s="879"/>
      <c r="AS636" s="879"/>
    </row>
    <row r="637" spans="1:45" x14ac:dyDescent="0.2">
      <c r="A637" s="527">
        <v>635</v>
      </c>
      <c r="B637" s="879"/>
      <c r="C637" s="879" t="s">
        <v>3728</v>
      </c>
      <c r="D637" s="879"/>
      <c r="E637" s="879"/>
      <c r="F637" s="879"/>
      <c r="G637" s="624"/>
      <c r="H637" s="879"/>
      <c r="I637" s="879"/>
      <c r="J637" s="835">
        <v>2022</v>
      </c>
      <c r="K637" s="970">
        <v>2023</v>
      </c>
      <c r="L637" s="613" t="s">
        <v>303</v>
      </c>
      <c r="M637" s="613">
        <f t="shared" si="120"/>
        <v>0</v>
      </c>
      <c r="N637" s="613">
        <f t="shared" si="121"/>
        <v>1</v>
      </c>
      <c r="O637" s="880"/>
      <c r="P637" s="880"/>
      <c r="Q637" s="836">
        <v>1</v>
      </c>
      <c r="R637" s="880"/>
      <c r="S637" s="880"/>
      <c r="T637" s="880"/>
      <c r="U637" s="613">
        <f t="shared" si="112"/>
        <v>1</v>
      </c>
      <c r="V637" s="879"/>
      <c r="W637" s="613" t="str">
        <f t="shared" si="115"/>
        <v>I</v>
      </c>
      <c r="X637" s="613" t="str">
        <f t="shared" si="116"/>
        <v>I</v>
      </c>
      <c r="Y637" s="613">
        <f t="shared" si="117"/>
        <v>2022</v>
      </c>
      <c r="Z637" s="613" t="str">
        <f t="shared" si="118"/>
        <v>I</v>
      </c>
      <c r="AA637" s="613" t="str">
        <f t="shared" si="119"/>
        <v>I</v>
      </c>
      <c r="AB637" s="613" t="str">
        <f t="shared" si="119"/>
        <v>I</v>
      </c>
      <c r="AC637" s="879"/>
      <c r="AD637" s="880"/>
      <c r="AE637" s="881"/>
      <c r="AF637" s="644"/>
      <c r="AG637" s="879"/>
      <c r="AH637" s="879"/>
      <c r="AI637" s="879"/>
      <c r="AJ637" s="879"/>
      <c r="AK637" s="879"/>
      <c r="AL637" s="879"/>
      <c r="AM637" s="879"/>
      <c r="AN637" s="879"/>
      <c r="AO637" s="879"/>
      <c r="AP637" s="879"/>
      <c r="AQ637" s="879"/>
      <c r="AR637" s="879"/>
      <c r="AS637" s="879"/>
    </row>
    <row r="638" spans="1:45" x14ac:dyDescent="0.2">
      <c r="A638" s="527">
        <v>636</v>
      </c>
      <c r="B638" s="879"/>
      <c r="C638" s="879" t="s">
        <v>3730</v>
      </c>
      <c r="D638" s="879"/>
      <c r="E638" s="879"/>
      <c r="F638" s="879"/>
      <c r="G638" s="624"/>
      <c r="H638" s="879"/>
      <c r="I638" s="879"/>
      <c r="J638" s="835">
        <v>2023</v>
      </c>
      <c r="K638" s="970">
        <v>2023</v>
      </c>
      <c r="L638" s="613" t="s">
        <v>303</v>
      </c>
      <c r="M638" s="613">
        <f t="shared" si="120"/>
        <v>0</v>
      </c>
      <c r="N638" s="613">
        <f t="shared" si="121"/>
        <v>1</v>
      </c>
      <c r="O638" s="880"/>
      <c r="P638" s="880"/>
      <c r="Q638" s="836">
        <v>1</v>
      </c>
      <c r="R638" s="880"/>
      <c r="S638" s="880"/>
      <c r="T638" s="880"/>
      <c r="U638" s="613">
        <f t="shared" si="112"/>
        <v>1</v>
      </c>
      <c r="V638" s="879"/>
      <c r="W638" s="613" t="str">
        <f t="shared" si="115"/>
        <v>I</v>
      </c>
      <c r="X638" s="613" t="str">
        <f t="shared" si="116"/>
        <v>I</v>
      </c>
      <c r="Y638" s="613">
        <f t="shared" si="117"/>
        <v>2023</v>
      </c>
      <c r="Z638" s="613" t="str">
        <f t="shared" si="118"/>
        <v>I</v>
      </c>
      <c r="AA638" s="613" t="str">
        <f t="shared" si="119"/>
        <v>I</v>
      </c>
      <c r="AB638" s="613" t="str">
        <f t="shared" si="119"/>
        <v>I</v>
      </c>
      <c r="AC638" s="879"/>
      <c r="AD638" s="880"/>
      <c r="AE638" s="881"/>
      <c r="AF638" s="644"/>
      <c r="AG638" s="879"/>
      <c r="AH638" s="879"/>
      <c r="AI638" s="879"/>
      <c r="AJ638" s="879"/>
      <c r="AK638" s="879"/>
      <c r="AL638" s="879"/>
      <c r="AM638" s="879"/>
      <c r="AN638" s="879"/>
      <c r="AO638" s="879"/>
      <c r="AP638" s="879"/>
      <c r="AQ638" s="879"/>
      <c r="AR638" s="879"/>
      <c r="AS638" s="879"/>
    </row>
    <row r="639" spans="1:45" x14ac:dyDescent="0.2">
      <c r="A639" s="527">
        <v>637</v>
      </c>
      <c r="B639" s="879"/>
      <c r="C639" s="879" t="s">
        <v>3731</v>
      </c>
      <c r="D639" s="879"/>
      <c r="E639" s="879"/>
      <c r="F639" s="879"/>
      <c r="G639" s="624"/>
      <c r="H639" s="879"/>
      <c r="I639" s="879"/>
      <c r="J639" s="835">
        <v>2023</v>
      </c>
      <c r="K639" s="970">
        <v>2023</v>
      </c>
      <c r="L639" s="613" t="s">
        <v>336</v>
      </c>
      <c r="M639" s="613">
        <f t="shared" si="120"/>
        <v>1</v>
      </c>
      <c r="N639" s="613">
        <f t="shared" si="121"/>
        <v>0</v>
      </c>
      <c r="O639" s="880"/>
      <c r="P639" s="880"/>
      <c r="Q639" s="836">
        <v>1</v>
      </c>
      <c r="R639" s="880"/>
      <c r="S639" s="880"/>
      <c r="T639" s="880"/>
      <c r="U639" s="613">
        <f t="shared" si="112"/>
        <v>1</v>
      </c>
      <c r="V639" s="879"/>
      <c r="W639" s="613" t="str">
        <f t="shared" si="115"/>
        <v>I</v>
      </c>
      <c r="X639" s="613" t="str">
        <f t="shared" si="116"/>
        <v>I</v>
      </c>
      <c r="Y639" s="613">
        <f t="shared" si="117"/>
        <v>2023</v>
      </c>
      <c r="Z639" s="613" t="str">
        <f t="shared" si="118"/>
        <v>I</v>
      </c>
      <c r="AA639" s="613" t="str">
        <f t="shared" si="119"/>
        <v>I</v>
      </c>
      <c r="AB639" s="613" t="str">
        <f t="shared" si="119"/>
        <v>I</v>
      </c>
      <c r="AC639" s="879"/>
      <c r="AD639" s="880"/>
      <c r="AE639" s="881"/>
      <c r="AF639" s="644"/>
      <c r="AG639" s="879"/>
      <c r="AH639" s="879"/>
      <c r="AI639" s="879"/>
      <c r="AJ639" s="879"/>
      <c r="AK639" s="879"/>
      <c r="AL639" s="879"/>
      <c r="AM639" s="879"/>
      <c r="AN639" s="879"/>
      <c r="AO639" s="879"/>
      <c r="AP639" s="879"/>
      <c r="AQ639" s="879"/>
      <c r="AR639" s="879"/>
      <c r="AS639" s="879"/>
    </row>
    <row r="640" spans="1:45" x14ac:dyDescent="0.2">
      <c r="A640" s="527">
        <v>638</v>
      </c>
      <c r="B640" s="879"/>
      <c r="C640" s="879" t="s">
        <v>3726</v>
      </c>
      <c r="D640" s="879"/>
      <c r="E640" s="879"/>
      <c r="F640" s="879"/>
      <c r="G640" s="624"/>
      <c r="H640" s="879"/>
      <c r="I640" s="879"/>
      <c r="J640" s="835">
        <v>2022</v>
      </c>
      <c r="K640" s="970">
        <v>2023</v>
      </c>
      <c r="L640" s="613" t="s">
        <v>303</v>
      </c>
      <c r="M640" s="613">
        <f t="shared" si="120"/>
        <v>0</v>
      </c>
      <c r="N640" s="613">
        <f t="shared" si="121"/>
        <v>1</v>
      </c>
      <c r="O640" s="880"/>
      <c r="P640" s="880"/>
      <c r="Q640" s="836">
        <v>1</v>
      </c>
      <c r="R640" s="880"/>
      <c r="S640" s="880"/>
      <c r="T640" s="880"/>
      <c r="U640" s="613">
        <f t="shared" si="112"/>
        <v>1</v>
      </c>
      <c r="V640" s="879"/>
      <c r="W640" s="613" t="str">
        <f t="shared" si="115"/>
        <v>I</v>
      </c>
      <c r="X640" s="613" t="str">
        <f t="shared" si="116"/>
        <v>I</v>
      </c>
      <c r="Y640" s="613">
        <f t="shared" si="117"/>
        <v>2022</v>
      </c>
      <c r="Z640" s="613" t="str">
        <f t="shared" si="118"/>
        <v>I</v>
      </c>
      <c r="AA640" s="613" t="str">
        <f t="shared" si="119"/>
        <v>I</v>
      </c>
      <c r="AB640" s="613" t="str">
        <f t="shared" si="119"/>
        <v>I</v>
      </c>
      <c r="AC640" s="879"/>
      <c r="AD640" s="880"/>
      <c r="AE640" s="881"/>
      <c r="AF640" s="644"/>
      <c r="AG640" s="879"/>
      <c r="AH640" s="879"/>
      <c r="AI640" s="879"/>
      <c r="AJ640" s="879"/>
      <c r="AK640" s="879"/>
      <c r="AL640" s="879"/>
      <c r="AM640" s="879"/>
      <c r="AN640" s="879"/>
      <c r="AO640" s="879"/>
      <c r="AP640" s="879"/>
      <c r="AQ640" s="879"/>
      <c r="AR640" s="879"/>
      <c r="AS640" s="879"/>
    </row>
    <row r="641" spans="1:45" x14ac:dyDescent="0.2">
      <c r="A641" s="527">
        <v>639</v>
      </c>
      <c r="B641" s="879"/>
      <c r="C641" s="879" t="s">
        <v>3729</v>
      </c>
      <c r="D641" s="879"/>
      <c r="E641" s="879"/>
      <c r="F641" s="879"/>
      <c r="G641" s="624"/>
      <c r="H641" s="879"/>
      <c r="I641" s="879"/>
      <c r="J641" s="835">
        <v>2023</v>
      </c>
      <c r="K641" s="970">
        <v>2023</v>
      </c>
      <c r="L641" s="613" t="s">
        <v>303</v>
      </c>
      <c r="M641" s="613">
        <f t="shared" si="120"/>
        <v>0</v>
      </c>
      <c r="N641" s="613">
        <f t="shared" si="121"/>
        <v>1</v>
      </c>
      <c r="O641" s="880"/>
      <c r="P641" s="880"/>
      <c r="Q641" s="836">
        <v>1</v>
      </c>
      <c r="R641" s="880"/>
      <c r="S641" s="880"/>
      <c r="T641" s="880"/>
      <c r="U641" s="613">
        <f t="shared" si="112"/>
        <v>1</v>
      </c>
      <c r="V641" s="879"/>
      <c r="W641" s="613" t="str">
        <f t="shared" si="115"/>
        <v>I</v>
      </c>
      <c r="X641" s="613" t="str">
        <f t="shared" si="116"/>
        <v>I</v>
      </c>
      <c r="Y641" s="613">
        <f t="shared" si="117"/>
        <v>2023</v>
      </c>
      <c r="Z641" s="613" t="str">
        <f t="shared" si="118"/>
        <v>I</v>
      </c>
      <c r="AA641" s="613" t="str">
        <f t="shared" si="119"/>
        <v>I</v>
      </c>
      <c r="AB641" s="613" t="str">
        <f t="shared" si="119"/>
        <v>I</v>
      </c>
      <c r="AC641" s="879"/>
      <c r="AD641" s="880"/>
      <c r="AE641" s="881"/>
      <c r="AF641" s="644"/>
      <c r="AG641" s="879"/>
      <c r="AH641" s="879"/>
      <c r="AI641" s="879"/>
      <c r="AJ641" s="879"/>
      <c r="AK641" s="879"/>
      <c r="AL641" s="879"/>
      <c r="AM641" s="879"/>
      <c r="AN641" s="879"/>
      <c r="AO641" s="879"/>
      <c r="AP641" s="879"/>
      <c r="AQ641" s="879"/>
      <c r="AR641" s="879"/>
      <c r="AS641" s="879"/>
    </row>
    <row r="642" spans="1:45" x14ac:dyDescent="0.2">
      <c r="A642" s="527">
        <v>640</v>
      </c>
      <c r="B642" s="879"/>
      <c r="C642" s="879" t="s">
        <v>3725</v>
      </c>
      <c r="D642" s="879"/>
      <c r="E642" s="879"/>
      <c r="F642" s="879"/>
      <c r="G642" s="624"/>
      <c r="H642" s="879"/>
      <c r="I642" s="879"/>
      <c r="J642" s="835">
        <v>2022</v>
      </c>
      <c r="K642" s="970">
        <v>2023</v>
      </c>
      <c r="L642" s="613" t="s">
        <v>336</v>
      </c>
      <c r="M642" s="613">
        <f t="shared" si="120"/>
        <v>1</v>
      </c>
      <c r="N642" s="613">
        <f t="shared" si="121"/>
        <v>0</v>
      </c>
      <c r="O642" s="880"/>
      <c r="P642" s="880"/>
      <c r="Q642" s="836">
        <v>1</v>
      </c>
      <c r="R642" s="880"/>
      <c r="S642" s="880"/>
      <c r="T642" s="880"/>
      <c r="U642" s="613">
        <f t="shared" si="112"/>
        <v>1</v>
      </c>
      <c r="V642" s="879"/>
      <c r="W642" s="613" t="str">
        <f t="shared" si="115"/>
        <v>I</v>
      </c>
      <c r="X642" s="613" t="str">
        <f t="shared" si="116"/>
        <v>I</v>
      </c>
      <c r="Y642" s="613">
        <f t="shared" si="117"/>
        <v>2022</v>
      </c>
      <c r="Z642" s="613" t="str">
        <f t="shared" si="118"/>
        <v>I</v>
      </c>
      <c r="AA642" s="613" t="str">
        <f t="shared" si="119"/>
        <v>I</v>
      </c>
      <c r="AB642" s="613" t="str">
        <f t="shared" si="119"/>
        <v>I</v>
      </c>
      <c r="AC642" s="879"/>
      <c r="AD642" s="880"/>
      <c r="AE642" s="881"/>
      <c r="AF642" s="644"/>
      <c r="AG642" s="879"/>
      <c r="AH642" s="879"/>
      <c r="AI642" s="879"/>
      <c r="AJ642" s="879"/>
      <c r="AK642" s="879"/>
      <c r="AL642" s="879"/>
      <c r="AM642" s="879"/>
      <c r="AN642" s="879"/>
      <c r="AO642" s="879"/>
      <c r="AP642" s="879"/>
      <c r="AQ642" s="879"/>
      <c r="AR642" s="879"/>
      <c r="AS642" s="879"/>
    </row>
    <row r="643" spans="1:45" x14ac:dyDescent="0.2">
      <c r="A643" s="527">
        <v>641</v>
      </c>
      <c r="B643" s="879"/>
      <c r="C643" s="879" t="s">
        <v>3738</v>
      </c>
      <c r="D643" s="879"/>
      <c r="E643" s="879"/>
      <c r="F643" s="879"/>
      <c r="G643" s="624"/>
      <c r="H643" s="879"/>
      <c r="I643" s="879"/>
      <c r="J643" s="835">
        <v>2023</v>
      </c>
      <c r="K643" s="970">
        <v>2023</v>
      </c>
      <c r="L643" s="613" t="s">
        <v>303</v>
      </c>
      <c r="M643" s="613">
        <f t="shared" si="120"/>
        <v>0</v>
      </c>
      <c r="N643" s="613">
        <f t="shared" si="121"/>
        <v>1</v>
      </c>
      <c r="O643" s="880"/>
      <c r="P643" s="880"/>
      <c r="Q643" s="836">
        <v>1</v>
      </c>
      <c r="R643" s="880"/>
      <c r="S643" s="880"/>
      <c r="T643" s="880"/>
      <c r="U643" s="613">
        <f t="shared" si="112"/>
        <v>1</v>
      </c>
      <c r="V643" s="879"/>
      <c r="W643" s="613" t="str">
        <f t="shared" si="115"/>
        <v>I</v>
      </c>
      <c r="X643" s="613" t="str">
        <f t="shared" si="116"/>
        <v>I</v>
      </c>
      <c r="Y643" s="613">
        <f t="shared" si="117"/>
        <v>2023</v>
      </c>
      <c r="Z643" s="613" t="str">
        <f t="shared" si="118"/>
        <v>I</v>
      </c>
      <c r="AA643" s="613" t="str">
        <f t="shared" si="119"/>
        <v>I</v>
      </c>
      <c r="AB643" s="613" t="str">
        <f t="shared" si="119"/>
        <v>I</v>
      </c>
      <c r="AC643" s="879"/>
      <c r="AD643" s="880"/>
      <c r="AE643" s="881"/>
      <c r="AF643" s="644"/>
      <c r="AG643" s="879"/>
      <c r="AH643" s="879"/>
      <c r="AI643" s="879"/>
      <c r="AJ643" s="879"/>
      <c r="AK643" s="879"/>
      <c r="AL643" s="879"/>
      <c r="AM643" s="879"/>
      <c r="AN643" s="879"/>
      <c r="AO643" s="879"/>
      <c r="AP643" s="879"/>
      <c r="AQ643" s="879"/>
      <c r="AR643" s="879"/>
      <c r="AS643" s="879"/>
    </row>
    <row r="644" spans="1:45" x14ac:dyDescent="0.2">
      <c r="A644" s="527">
        <v>642</v>
      </c>
      <c r="B644" s="879"/>
      <c r="C644" s="879" t="s">
        <v>3739</v>
      </c>
      <c r="D644" s="879"/>
      <c r="E644" s="879"/>
      <c r="F644" s="879"/>
      <c r="G644" s="624"/>
      <c r="H644" s="879"/>
      <c r="I644" s="879"/>
      <c r="J644" s="835">
        <v>2023</v>
      </c>
      <c r="K644" s="970">
        <v>2023</v>
      </c>
      <c r="L644" s="613" t="s">
        <v>303</v>
      </c>
      <c r="M644" s="613">
        <f t="shared" si="120"/>
        <v>0</v>
      </c>
      <c r="N644" s="613">
        <f t="shared" si="121"/>
        <v>1</v>
      </c>
      <c r="O644" s="880"/>
      <c r="P644" s="880"/>
      <c r="Q644" s="836">
        <v>1</v>
      </c>
      <c r="R644" s="880"/>
      <c r="S644" s="880"/>
      <c r="T644" s="880"/>
      <c r="U644" s="613">
        <f t="shared" ref="U644:U707" si="122">SUM(O644:T644)</f>
        <v>1</v>
      </c>
      <c r="V644" s="879"/>
      <c r="W644" s="613" t="str">
        <f t="shared" si="115"/>
        <v>I</v>
      </c>
      <c r="X644" s="613" t="str">
        <f t="shared" si="116"/>
        <v>I</v>
      </c>
      <c r="Y644" s="613">
        <f t="shared" si="117"/>
        <v>2023</v>
      </c>
      <c r="Z644" s="613" t="str">
        <f t="shared" si="118"/>
        <v>I</v>
      </c>
      <c r="AA644" s="613" t="str">
        <f t="shared" si="119"/>
        <v>I</v>
      </c>
      <c r="AB644" s="613" t="str">
        <f t="shared" si="119"/>
        <v>I</v>
      </c>
      <c r="AC644" s="879"/>
      <c r="AD644" s="880"/>
      <c r="AE644" s="881"/>
      <c r="AF644" s="644"/>
      <c r="AG644" s="879"/>
      <c r="AH644" s="879"/>
      <c r="AI644" s="879"/>
      <c r="AJ644" s="879"/>
      <c r="AK644" s="879"/>
      <c r="AL644" s="879"/>
      <c r="AM644" s="879"/>
      <c r="AN644" s="879"/>
      <c r="AO644" s="879"/>
      <c r="AP644" s="879"/>
      <c r="AQ644" s="879"/>
      <c r="AR644" s="879"/>
      <c r="AS644" s="879"/>
    </row>
    <row r="645" spans="1:45" x14ac:dyDescent="0.2">
      <c r="A645" s="527">
        <v>643</v>
      </c>
      <c r="B645" s="879"/>
      <c r="C645" s="879" t="s">
        <v>3740</v>
      </c>
      <c r="D645" s="879"/>
      <c r="E645" s="879"/>
      <c r="F645" s="879"/>
      <c r="G645" s="624"/>
      <c r="H645" s="879"/>
      <c r="I645" s="879"/>
      <c r="J645" s="835">
        <v>2022</v>
      </c>
      <c r="K645" s="970">
        <v>2023</v>
      </c>
      <c r="L645" s="613" t="s">
        <v>303</v>
      </c>
      <c r="M645" s="613">
        <f t="shared" si="120"/>
        <v>0</v>
      </c>
      <c r="N645" s="613">
        <f t="shared" si="121"/>
        <v>1</v>
      </c>
      <c r="O645" s="880"/>
      <c r="P645" s="880"/>
      <c r="Q645" s="836">
        <v>1</v>
      </c>
      <c r="R645" s="880"/>
      <c r="S645" s="880"/>
      <c r="T645" s="880"/>
      <c r="U645" s="613">
        <f t="shared" si="122"/>
        <v>1</v>
      </c>
      <c r="V645" s="879"/>
      <c r="W645" s="613" t="str">
        <f t="shared" si="115"/>
        <v>I</v>
      </c>
      <c r="X645" s="613" t="str">
        <f t="shared" si="116"/>
        <v>I</v>
      </c>
      <c r="Y645" s="613">
        <f t="shared" si="117"/>
        <v>2022</v>
      </c>
      <c r="Z645" s="613" t="str">
        <f t="shared" si="118"/>
        <v>I</v>
      </c>
      <c r="AA645" s="613" t="str">
        <f t="shared" si="119"/>
        <v>I</v>
      </c>
      <c r="AB645" s="613" t="str">
        <f t="shared" si="119"/>
        <v>I</v>
      </c>
      <c r="AC645" s="879"/>
      <c r="AD645" s="880"/>
      <c r="AE645" s="881"/>
      <c r="AF645" s="644"/>
      <c r="AG645" s="879"/>
      <c r="AH645" s="879"/>
      <c r="AI645" s="879"/>
      <c r="AJ645" s="879"/>
      <c r="AK645" s="879"/>
      <c r="AL645" s="879"/>
      <c r="AM645" s="879"/>
      <c r="AN645" s="879"/>
      <c r="AO645" s="879"/>
      <c r="AP645" s="879"/>
      <c r="AQ645" s="879"/>
      <c r="AR645" s="879"/>
      <c r="AS645" s="879"/>
    </row>
    <row r="646" spans="1:45" x14ac:dyDescent="0.2">
      <c r="A646" s="527">
        <v>644</v>
      </c>
      <c r="B646" s="879"/>
      <c r="C646" s="879" t="s">
        <v>3745</v>
      </c>
      <c r="D646" s="879"/>
      <c r="E646" s="879"/>
      <c r="F646" s="879"/>
      <c r="G646" s="624"/>
      <c r="H646" s="879"/>
      <c r="I646" s="879"/>
      <c r="J646" s="835">
        <v>2021</v>
      </c>
      <c r="K646" s="970">
        <v>2023</v>
      </c>
      <c r="L646" s="613" t="s">
        <v>336</v>
      </c>
      <c r="M646" s="613">
        <f t="shared" si="120"/>
        <v>1</v>
      </c>
      <c r="N646" s="613">
        <f t="shared" si="121"/>
        <v>0</v>
      </c>
      <c r="O646" s="880"/>
      <c r="P646" s="880"/>
      <c r="Q646" s="836">
        <v>1</v>
      </c>
      <c r="R646" s="880"/>
      <c r="S646" s="880"/>
      <c r="T646" s="880"/>
      <c r="U646" s="613">
        <f t="shared" si="122"/>
        <v>1</v>
      </c>
      <c r="V646" s="879"/>
      <c r="W646" s="613" t="str">
        <f t="shared" si="115"/>
        <v>I</v>
      </c>
      <c r="X646" s="613" t="str">
        <f t="shared" si="116"/>
        <v>I</v>
      </c>
      <c r="Y646" s="613">
        <f t="shared" si="117"/>
        <v>2021</v>
      </c>
      <c r="Z646" s="613" t="str">
        <f t="shared" si="118"/>
        <v>I</v>
      </c>
      <c r="AA646" s="613" t="str">
        <f t="shared" si="119"/>
        <v>I</v>
      </c>
      <c r="AB646" s="613" t="str">
        <f t="shared" si="119"/>
        <v>I</v>
      </c>
      <c r="AC646" s="879"/>
      <c r="AD646" s="880"/>
      <c r="AE646" s="881"/>
      <c r="AF646" s="644"/>
      <c r="AG646" s="879"/>
      <c r="AH646" s="879"/>
      <c r="AI646" s="879"/>
      <c r="AJ646" s="879"/>
      <c r="AK646" s="879"/>
      <c r="AL646" s="879"/>
      <c r="AM646" s="879"/>
      <c r="AN646" s="879"/>
      <c r="AO646" s="879"/>
      <c r="AP646" s="879"/>
      <c r="AQ646" s="879"/>
      <c r="AR646" s="879"/>
      <c r="AS646" s="879"/>
    </row>
    <row r="647" spans="1:45" x14ac:dyDescent="0.2">
      <c r="A647" s="527">
        <v>645</v>
      </c>
      <c r="B647" s="879"/>
      <c r="C647" s="879" t="s">
        <v>3741</v>
      </c>
      <c r="D647" s="879"/>
      <c r="E647" s="879"/>
      <c r="F647" s="879"/>
      <c r="G647" s="624"/>
      <c r="H647" s="879"/>
      <c r="I647" s="879"/>
      <c r="J647" s="835">
        <v>2023</v>
      </c>
      <c r="K647" s="970">
        <v>2023</v>
      </c>
      <c r="L647" s="613" t="s">
        <v>303</v>
      </c>
      <c r="M647" s="613">
        <f t="shared" si="120"/>
        <v>0</v>
      </c>
      <c r="N647" s="613">
        <f t="shared" si="121"/>
        <v>1</v>
      </c>
      <c r="O647" s="880"/>
      <c r="P647" s="880"/>
      <c r="Q647" s="836">
        <v>1</v>
      </c>
      <c r="R647" s="880"/>
      <c r="S647" s="880"/>
      <c r="T647" s="880"/>
      <c r="U647" s="613">
        <f t="shared" si="122"/>
        <v>1</v>
      </c>
      <c r="V647" s="879"/>
      <c r="W647" s="613" t="str">
        <f t="shared" si="115"/>
        <v>I</v>
      </c>
      <c r="X647" s="613" t="str">
        <f t="shared" si="116"/>
        <v>I</v>
      </c>
      <c r="Y647" s="613">
        <f t="shared" si="117"/>
        <v>2023</v>
      </c>
      <c r="Z647" s="613" t="str">
        <f t="shared" si="118"/>
        <v>I</v>
      </c>
      <c r="AA647" s="613" t="str">
        <f t="shared" si="119"/>
        <v>I</v>
      </c>
      <c r="AB647" s="613" t="str">
        <f t="shared" si="119"/>
        <v>I</v>
      </c>
      <c r="AC647" s="879"/>
      <c r="AD647" s="880"/>
      <c r="AE647" s="881"/>
      <c r="AF647" s="644"/>
      <c r="AG647" s="879"/>
      <c r="AH647" s="879"/>
      <c r="AI647" s="879"/>
      <c r="AJ647" s="879"/>
      <c r="AK647" s="879"/>
      <c r="AL647" s="879"/>
      <c r="AM647" s="879"/>
      <c r="AN647" s="879"/>
      <c r="AO647" s="879"/>
      <c r="AP647" s="879"/>
      <c r="AQ647" s="879"/>
      <c r="AR647" s="879"/>
      <c r="AS647" s="879"/>
    </row>
    <row r="648" spans="1:45" x14ac:dyDescent="0.2">
      <c r="A648" s="527">
        <v>646</v>
      </c>
      <c r="B648" s="879"/>
      <c r="C648" s="879" t="s">
        <v>3742</v>
      </c>
      <c r="D648" s="879"/>
      <c r="E648" s="879"/>
      <c r="F648" s="879"/>
      <c r="G648" s="624"/>
      <c r="H648" s="879"/>
      <c r="I648" s="879"/>
      <c r="J648" s="835">
        <v>2023</v>
      </c>
      <c r="K648" s="970">
        <v>2023</v>
      </c>
      <c r="L648" s="613" t="s">
        <v>303</v>
      </c>
      <c r="M648" s="613">
        <f t="shared" si="120"/>
        <v>0</v>
      </c>
      <c r="N648" s="613">
        <f t="shared" si="121"/>
        <v>1</v>
      </c>
      <c r="O648" s="880"/>
      <c r="P648" s="880"/>
      <c r="Q648" s="836">
        <v>1</v>
      </c>
      <c r="R648" s="880"/>
      <c r="S648" s="880"/>
      <c r="T648" s="880"/>
      <c r="U648" s="613">
        <f t="shared" si="122"/>
        <v>1</v>
      </c>
      <c r="V648" s="879"/>
      <c r="W648" s="613" t="str">
        <f t="shared" si="115"/>
        <v>I</v>
      </c>
      <c r="X648" s="613" t="str">
        <f t="shared" si="116"/>
        <v>I</v>
      </c>
      <c r="Y648" s="613">
        <f t="shared" si="117"/>
        <v>2023</v>
      </c>
      <c r="Z648" s="613" t="str">
        <f t="shared" si="118"/>
        <v>I</v>
      </c>
      <c r="AA648" s="613" t="str">
        <f t="shared" si="119"/>
        <v>I</v>
      </c>
      <c r="AB648" s="613" t="str">
        <f t="shared" si="119"/>
        <v>I</v>
      </c>
      <c r="AC648" s="879"/>
      <c r="AD648" s="880"/>
      <c r="AE648" s="881"/>
      <c r="AF648" s="644"/>
      <c r="AG648" s="879"/>
      <c r="AH648" s="879"/>
      <c r="AI648" s="879"/>
      <c r="AJ648" s="879"/>
      <c r="AK648" s="879"/>
      <c r="AL648" s="879"/>
      <c r="AM648" s="879"/>
      <c r="AN648" s="879"/>
      <c r="AO648" s="879"/>
      <c r="AP648" s="879"/>
      <c r="AQ648" s="879"/>
      <c r="AR648" s="879"/>
      <c r="AS648" s="879"/>
    </row>
    <row r="649" spans="1:45" x14ac:dyDescent="0.2">
      <c r="A649" s="527">
        <v>647</v>
      </c>
      <c r="B649" s="879"/>
      <c r="C649" s="879" t="s">
        <v>3743</v>
      </c>
      <c r="D649" s="879"/>
      <c r="E649" s="879"/>
      <c r="F649" s="879"/>
      <c r="G649" s="624"/>
      <c r="H649" s="879"/>
      <c r="I649" s="879"/>
      <c r="J649" s="835">
        <v>2022</v>
      </c>
      <c r="K649" s="970">
        <v>2023</v>
      </c>
      <c r="L649" s="613" t="s">
        <v>303</v>
      </c>
      <c r="M649" s="613">
        <f t="shared" si="120"/>
        <v>0</v>
      </c>
      <c r="N649" s="613">
        <f t="shared" si="121"/>
        <v>1</v>
      </c>
      <c r="O649" s="880"/>
      <c r="P649" s="880"/>
      <c r="Q649" s="836">
        <v>1</v>
      </c>
      <c r="R649" s="880"/>
      <c r="S649" s="880"/>
      <c r="T649" s="880"/>
      <c r="U649" s="613">
        <f t="shared" si="122"/>
        <v>1</v>
      </c>
      <c r="V649" s="879"/>
      <c r="W649" s="613" t="str">
        <f t="shared" si="115"/>
        <v>I</v>
      </c>
      <c r="X649" s="613" t="str">
        <f t="shared" si="116"/>
        <v>I</v>
      </c>
      <c r="Y649" s="613">
        <f t="shared" si="117"/>
        <v>2022</v>
      </c>
      <c r="Z649" s="613" t="str">
        <f t="shared" si="118"/>
        <v>I</v>
      </c>
      <c r="AA649" s="613" t="str">
        <f t="shared" si="119"/>
        <v>I</v>
      </c>
      <c r="AB649" s="613" t="str">
        <f t="shared" si="119"/>
        <v>I</v>
      </c>
      <c r="AC649" s="879"/>
      <c r="AD649" s="880"/>
      <c r="AE649" s="881"/>
      <c r="AF649" s="644"/>
      <c r="AG649" s="879"/>
      <c r="AH649" s="879"/>
      <c r="AI649" s="879"/>
      <c r="AJ649" s="879"/>
      <c r="AK649" s="879"/>
      <c r="AL649" s="879"/>
      <c r="AM649" s="879"/>
      <c r="AN649" s="879"/>
      <c r="AO649" s="879"/>
      <c r="AP649" s="879"/>
      <c r="AQ649" s="879"/>
      <c r="AR649" s="879"/>
      <c r="AS649" s="879"/>
    </row>
    <row r="650" spans="1:45" x14ac:dyDescent="0.2">
      <c r="A650" s="527">
        <v>648</v>
      </c>
      <c r="B650" s="879"/>
      <c r="C650" s="879" t="s">
        <v>3744</v>
      </c>
      <c r="D650" s="879"/>
      <c r="E650" s="879"/>
      <c r="F650" s="879"/>
      <c r="G650" s="624"/>
      <c r="H650" s="879"/>
      <c r="I650" s="879"/>
      <c r="J650" s="835">
        <v>2022</v>
      </c>
      <c r="K650" s="970">
        <v>2023</v>
      </c>
      <c r="L650" s="613" t="s">
        <v>303</v>
      </c>
      <c r="M650" s="613">
        <f t="shared" si="120"/>
        <v>0</v>
      </c>
      <c r="N650" s="613">
        <f t="shared" si="121"/>
        <v>1</v>
      </c>
      <c r="O650" s="880"/>
      <c r="P650" s="880"/>
      <c r="Q650" s="836">
        <v>1</v>
      </c>
      <c r="R650" s="880"/>
      <c r="S650" s="880"/>
      <c r="T650" s="880"/>
      <c r="U650" s="613">
        <f t="shared" si="122"/>
        <v>1</v>
      </c>
      <c r="V650" s="879"/>
      <c r="W650" s="613" t="str">
        <f t="shared" si="115"/>
        <v>I</v>
      </c>
      <c r="X650" s="613" t="str">
        <f t="shared" si="116"/>
        <v>I</v>
      </c>
      <c r="Y650" s="613">
        <f t="shared" si="117"/>
        <v>2022</v>
      </c>
      <c r="Z650" s="613" t="str">
        <f t="shared" si="118"/>
        <v>I</v>
      </c>
      <c r="AA650" s="613" t="str">
        <f t="shared" si="119"/>
        <v>I</v>
      </c>
      <c r="AB650" s="613" t="str">
        <f t="shared" si="119"/>
        <v>I</v>
      </c>
      <c r="AC650" s="879"/>
      <c r="AD650" s="880"/>
      <c r="AE650" s="881"/>
      <c r="AF650" s="644"/>
      <c r="AG650" s="879"/>
      <c r="AH650" s="879"/>
      <c r="AI650" s="879"/>
      <c r="AJ650" s="879"/>
      <c r="AK650" s="879"/>
      <c r="AL650" s="879"/>
      <c r="AM650" s="879"/>
      <c r="AN650" s="879"/>
      <c r="AO650" s="879"/>
      <c r="AP650" s="879"/>
      <c r="AQ650" s="879"/>
      <c r="AR650" s="879"/>
      <c r="AS650" s="879"/>
    </row>
    <row r="651" spans="1:45" x14ac:dyDescent="0.2">
      <c r="A651" s="527">
        <v>649</v>
      </c>
      <c r="B651" s="879"/>
      <c r="C651" s="879" t="s">
        <v>3751</v>
      </c>
      <c r="D651" s="879"/>
      <c r="E651" s="879"/>
      <c r="F651" s="879"/>
      <c r="G651" s="624"/>
      <c r="H651" s="879"/>
      <c r="I651" s="879"/>
      <c r="J651" s="835">
        <v>2022</v>
      </c>
      <c r="K651" s="970">
        <v>2023</v>
      </c>
      <c r="L651" s="613" t="s">
        <v>303</v>
      </c>
      <c r="M651" s="613">
        <f t="shared" si="120"/>
        <v>0</v>
      </c>
      <c r="N651" s="613">
        <f t="shared" si="121"/>
        <v>1</v>
      </c>
      <c r="O651" s="880"/>
      <c r="P651" s="880"/>
      <c r="Q651" s="836">
        <v>1</v>
      </c>
      <c r="R651" s="880"/>
      <c r="S651" s="880"/>
      <c r="T651" s="880"/>
      <c r="U651" s="613">
        <f t="shared" si="122"/>
        <v>1</v>
      </c>
      <c r="V651" s="879"/>
      <c r="W651" s="613" t="str">
        <f t="shared" ref="W651" si="123">IF(O651=1,$J651,"I")</f>
        <v>I</v>
      </c>
      <c r="X651" s="613" t="str">
        <f t="shared" ref="X651" si="124">IF(P651=1,$J651,"I")</f>
        <v>I</v>
      </c>
      <c r="Y651" s="613">
        <f t="shared" ref="Y651" si="125">IF(Q651=1,$J651,"I")</f>
        <v>2022</v>
      </c>
      <c r="Z651" s="613" t="str">
        <f t="shared" ref="Z651" si="126">IF(R651=1,$J651,"I")</f>
        <v>I</v>
      </c>
      <c r="AA651" s="613" t="str">
        <f t="shared" ref="AA651:AB651" si="127">IF(S651=1,$J651,"I")</f>
        <v>I</v>
      </c>
      <c r="AB651" s="613" t="str">
        <f t="shared" si="127"/>
        <v>I</v>
      </c>
      <c r="AC651" s="879"/>
      <c r="AD651" s="880"/>
      <c r="AE651" s="881"/>
      <c r="AF651" s="644"/>
      <c r="AG651" s="879"/>
      <c r="AH651" s="879"/>
      <c r="AI651" s="879"/>
      <c r="AJ651" s="879"/>
      <c r="AK651" s="879"/>
      <c r="AL651" s="879"/>
      <c r="AM651" s="879"/>
      <c r="AN651" s="879"/>
      <c r="AO651" s="879"/>
      <c r="AP651" s="879"/>
      <c r="AQ651" s="879"/>
      <c r="AR651" s="879"/>
      <c r="AS651" s="879"/>
    </row>
    <row r="652" spans="1:45" x14ac:dyDescent="0.2">
      <c r="A652" s="527">
        <v>650</v>
      </c>
      <c r="B652" s="879"/>
      <c r="C652" s="879" t="s">
        <v>3753</v>
      </c>
      <c r="D652" s="879"/>
      <c r="E652" s="879"/>
      <c r="F652" s="879"/>
      <c r="G652" s="624"/>
      <c r="H652" s="879"/>
      <c r="I652" s="879"/>
      <c r="J652" s="835">
        <v>2021</v>
      </c>
      <c r="K652" s="976">
        <v>2024</v>
      </c>
      <c r="L652" s="613" t="s">
        <v>303</v>
      </c>
      <c r="M652" s="613">
        <f t="shared" ref="M652:M715" si="128">IF(AND(L652="F",Q652=1),1,0)</f>
        <v>0</v>
      </c>
      <c r="N652" s="613">
        <f t="shared" ref="N652:N715" si="129">IF(AND(L652="P",Q652=1),1,0)</f>
        <v>1</v>
      </c>
      <c r="O652" s="880"/>
      <c r="P652" s="880"/>
      <c r="Q652" s="836">
        <v>1</v>
      </c>
      <c r="R652" s="880"/>
      <c r="S652" s="880"/>
      <c r="T652" s="880"/>
      <c r="U652" s="613">
        <f t="shared" si="122"/>
        <v>1</v>
      </c>
      <c r="V652" s="879"/>
      <c r="W652" s="613" t="str">
        <f t="shared" ref="W652:W715" si="130">IF(O652=1,$J652,"I")</f>
        <v>I</v>
      </c>
      <c r="X652" s="613" t="str">
        <f t="shared" ref="X652:X715" si="131">IF(P652=1,$J652,"I")</f>
        <v>I</v>
      </c>
      <c r="Y652" s="613">
        <f t="shared" ref="Y652:Y715" si="132">IF(Q652=1,$J652,"I")</f>
        <v>2021</v>
      </c>
      <c r="Z652" s="613" t="str">
        <f t="shared" ref="Z652:Z715" si="133">IF(R652=1,$J652,"I")</f>
        <v>I</v>
      </c>
      <c r="AA652" s="613" t="str">
        <f t="shared" ref="AA652:AB715" si="134">IF(S652=1,$J652,"I")</f>
        <v>I</v>
      </c>
      <c r="AB652" s="613" t="str">
        <f t="shared" si="134"/>
        <v>I</v>
      </c>
      <c r="AC652" s="879"/>
      <c r="AD652" s="880"/>
      <c r="AE652" s="881"/>
      <c r="AF652" s="644"/>
      <c r="AG652" s="879"/>
      <c r="AH652" s="879"/>
      <c r="AI652" s="879"/>
      <c r="AJ652" s="879"/>
      <c r="AK652" s="879"/>
      <c r="AL652" s="879"/>
      <c r="AM652" s="879"/>
      <c r="AN652" s="879"/>
      <c r="AO652" s="879"/>
      <c r="AP652" s="879"/>
      <c r="AQ652" s="879"/>
      <c r="AR652" s="879"/>
      <c r="AS652" s="879"/>
    </row>
    <row r="653" spans="1:45" x14ac:dyDescent="0.2">
      <c r="A653" s="527">
        <v>651</v>
      </c>
      <c r="B653" s="879"/>
      <c r="C653" s="879" t="s">
        <v>3754</v>
      </c>
      <c r="D653" s="879"/>
      <c r="E653" s="879"/>
      <c r="F653" s="879"/>
      <c r="G653" s="624"/>
      <c r="H653" s="879"/>
      <c r="I653" s="879"/>
      <c r="J653" s="835">
        <v>2022</v>
      </c>
      <c r="K653" s="976">
        <v>2024</v>
      </c>
      <c r="L653" s="613" t="s">
        <v>303</v>
      </c>
      <c r="M653" s="613">
        <f t="shared" si="128"/>
        <v>0</v>
      </c>
      <c r="N653" s="613">
        <f t="shared" si="129"/>
        <v>1</v>
      </c>
      <c r="O653" s="880"/>
      <c r="P653" s="880"/>
      <c r="Q653" s="836">
        <v>1</v>
      </c>
      <c r="R653" s="880"/>
      <c r="S653" s="880"/>
      <c r="T653" s="880"/>
      <c r="U653" s="613">
        <f t="shared" si="122"/>
        <v>1</v>
      </c>
      <c r="V653" s="879"/>
      <c r="W653" s="613" t="str">
        <f t="shared" si="130"/>
        <v>I</v>
      </c>
      <c r="X653" s="613" t="str">
        <f t="shared" si="131"/>
        <v>I</v>
      </c>
      <c r="Y653" s="613">
        <f t="shared" si="132"/>
        <v>2022</v>
      </c>
      <c r="Z653" s="613" t="str">
        <f t="shared" si="133"/>
        <v>I</v>
      </c>
      <c r="AA653" s="613" t="str">
        <f t="shared" si="134"/>
        <v>I</v>
      </c>
      <c r="AB653" s="613" t="str">
        <f t="shared" si="134"/>
        <v>I</v>
      </c>
      <c r="AC653" s="879"/>
      <c r="AD653" s="880"/>
      <c r="AE653" s="881"/>
      <c r="AF653" s="644"/>
      <c r="AG653" s="879"/>
      <c r="AH653" s="879"/>
      <c r="AI653" s="879"/>
      <c r="AJ653" s="879"/>
      <c r="AK653" s="879"/>
      <c r="AL653" s="879"/>
      <c r="AM653" s="879"/>
      <c r="AN653" s="879"/>
      <c r="AO653" s="879"/>
      <c r="AP653" s="879"/>
      <c r="AQ653" s="879"/>
      <c r="AR653" s="879"/>
      <c r="AS653" s="879"/>
    </row>
    <row r="654" spans="1:45" x14ac:dyDescent="0.2">
      <c r="A654" s="527">
        <v>652</v>
      </c>
      <c r="B654" s="879"/>
      <c r="C654" s="879" t="s">
        <v>3755</v>
      </c>
      <c r="D654" s="879"/>
      <c r="E654" s="879"/>
      <c r="F654" s="879"/>
      <c r="G654" s="624"/>
      <c r="H654" s="879"/>
      <c r="I654" s="879"/>
      <c r="J654" s="835">
        <v>2023</v>
      </c>
      <c r="K654" s="976">
        <v>2024</v>
      </c>
      <c r="L654" s="613" t="s">
        <v>303</v>
      </c>
      <c r="M654" s="613">
        <f t="shared" si="128"/>
        <v>0</v>
      </c>
      <c r="N654" s="613">
        <f t="shared" si="129"/>
        <v>1</v>
      </c>
      <c r="O654" s="880"/>
      <c r="P654" s="880"/>
      <c r="Q654" s="836">
        <v>1</v>
      </c>
      <c r="R654" s="880"/>
      <c r="S654" s="880"/>
      <c r="T654" s="880"/>
      <c r="U654" s="613">
        <f t="shared" si="122"/>
        <v>1</v>
      </c>
      <c r="V654" s="879"/>
      <c r="W654" s="613" t="str">
        <f t="shared" si="130"/>
        <v>I</v>
      </c>
      <c r="X654" s="613" t="str">
        <f t="shared" si="131"/>
        <v>I</v>
      </c>
      <c r="Y654" s="613">
        <f t="shared" si="132"/>
        <v>2023</v>
      </c>
      <c r="Z654" s="613" t="str">
        <f t="shared" si="133"/>
        <v>I</v>
      </c>
      <c r="AA654" s="613" t="str">
        <f t="shared" si="134"/>
        <v>I</v>
      </c>
      <c r="AB654" s="613" t="str">
        <f t="shared" si="134"/>
        <v>I</v>
      </c>
      <c r="AC654" s="879"/>
      <c r="AD654" s="880"/>
      <c r="AE654" s="881"/>
      <c r="AF654" s="644"/>
      <c r="AG654" s="879"/>
      <c r="AH654" s="879"/>
      <c r="AI654" s="879"/>
      <c r="AJ654" s="879"/>
      <c r="AK654" s="879"/>
      <c r="AL654" s="879"/>
      <c r="AM654" s="879"/>
      <c r="AN654" s="879"/>
      <c r="AO654" s="879"/>
      <c r="AP654" s="879"/>
      <c r="AQ654" s="879"/>
      <c r="AR654" s="879"/>
      <c r="AS654" s="879"/>
    </row>
    <row r="655" spans="1:45" x14ac:dyDescent="0.2">
      <c r="A655" s="527">
        <v>653</v>
      </c>
      <c r="B655" s="879"/>
      <c r="C655" s="879" t="s">
        <v>3756</v>
      </c>
      <c r="D655" s="879"/>
      <c r="E655" s="879"/>
      <c r="F655" s="879"/>
      <c r="G655" s="624"/>
      <c r="H655" s="879"/>
      <c r="I655" s="879"/>
      <c r="J655" s="835">
        <v>2023</v>
      </c>
      <c r="K655" s="976">
        <v>2024</v>
      </c>
      <c r="L655" s="613" t="s">
        <v>303</v>
      </c>
      <c r="M655" s="613">
        <f t="shared" si="128"/>
        <v>0</v>
      </c>
      <c r="N655" s="613">
        <f t="shared" si="129"/>
        <v>1</v>
      </c>
      <c r="O655" s="880"/>
      <c r="P655" s="880"/>
      <c r="Q655" s="836">
        <v>1</v>
      </c>
      <c r="R655" s="880"/>
      <c r="S655" s="880"/>
      <c r="T655" s="880"/>
      <c r="U655" s="613">
        <f t="shared" si="122"/>
        <v>1</v>
      </c>
      <c r="V655" s="879"/>
      <c r="W655" s="613" t="str">
        <f t="shared" si="130"/>
        <v>I</v>
      </c>
      <c r="X655" s="613" t="str">
        <f t="shared" si="131"/>
        <v>I</v>
      </c>
      <c r="Y655" s="613">
        <f t="shared" si="132"/>
        <v>2023</v>
      </c>
      <c r="Z655" s="613" t="str">
        <f t="shared" si="133"/>
        <v>I</v>
      </c>
      <c r="AA655" s="613" t="str">
        <f t="shared" si="134"/>
        <v>I</v>
      </c>
      <c r="AB655" s="613" t="str">
        <f t="shared" si="134"/>
        <v>I</v>
      </c>
      <c r="AC655" s="879"/>
      <c r="AD655" s="880"/>
      <c r="AE655" s="881"/>
      <c r="AF655" s="644"/>
      <c r="AG655" s="879"/>
      <c r="AH655" s="879"/>
      <c r="AI655" s="879"/>
      <c r="AJ655" s="879"/>
      <c r="AK655" s="879"/>
      <c r="AL655" s="879"/>
      <c r="AM655" s="879"/>
      <c r="AN655" s="879"/>
      <c r="AO655" s="879"/>
      <c r="AP655" s="879"/>
      <c r="AQ655" s="879"/>
      <c r="AR655" s="879"/>
      <c r="AS655" s="879"/>
    </row>
    <row r="656" spans="1:45" x14ac:dyDescent="0.2">
      <c r="A656" s="527">
        <v>654</v>
      </c>
      <c r="B656" s="879"/>
      <c r="C656" s="879" t="s">
        <v>3757</v>
      </c>
      <c r="D656" s="879"/>
      <c r="E656" s="879"/>
      <c r="F656" s="879"/>
      <c r="G656" s="624"/>
      <c r="H656" s="879"/>
      <c r="I656" s="879"/>
      <c r="J656" s="835">
        <v>2020</v>
      </c>
      <c r="K656" s="976">
        <v>2024</v>
      </c>
      <c r="L656" s="613" t="s">
        <v>336</v>
      </c>
      <c r="M656" s="613">
        <f t="shared" si="128"/>
        <v>1</v>
      </c>
      <c r="N656" s="613">
        <f t="shared" si="129"/>
        <v>0</v>
      </c>
      <c r="O656" s="880"/>
      <c r="P656" s="880"/>
      <c r="Q656" s="836">
        <v>1</v>
      </c>
      <c r="R656" s="880"/>
      <c r="S656" s="880"/>
      <c r="T656" s="880"/>
      <c r="U656" s="613">
        <f t="shared" si="122"/>
        <v>1</v>
      </c>
      <c r="V656" s="879"/>
      <c r="W656" s="613" t="str">
        <f t="shared" si="130"/>
        <v>I</v>
      </c>
      <c r="X656" s="613" t="str">
        <f t="shared" si="131"/>
        <v>I</v>
      </c>
      <c r="Y656" s="613">
        <f t="shared" si="132"/>
        <v>2020</v>
      </c>
      <c r="Z656" s="613" t="str">
        <f t="shared" si="133"/>
        <v>I</v>
      </c>
      <c r="AA656" s="613" t="str">
        <f t="shared" si="134"/>
        <v>I</v>
      </c>
      <c r="AB656" s="613" t="str">
        <f t="shared" si="134"/>
        <v>I</v>
      </c>
      <c r="AC656" s="879"/>
      <c r="AD656" s="880"/>
      <c r="AE656" s="881"/>
      <c r="AF656" s="644"/>
      <c r="AG656" s="879"/>
      <c r="AH656" s="879"/>
      <c r="AI656" s="879"/>
      <c r="AJ656" s="879"/>
      <c r="AK656" s="879"/>
      <c r="AL656" s="879"/>
      <c r="AM656" s="879"/>
      <c r="AN656" s="879"/>
      <c r="AO656" s="879"/>
      <c r="AP656" s="879"/>
      <c r="AQ656" s="879"/>
      <c r="AR656" s="879"/>
      <c r="AS656" s="879"/>
    </row>
    <row r="657" spans="1:45" x14ac:dyDescent="0.2">
      <c r="A657" s="527">
        <v>655</v>
      </c>
      <c r="B657" s="879"/>
      <c r="C657" s="879" t="s">
        <v>3758</v>
      </c>
      <c r="D657" s="879"/>
      <c r="E657" s="879"/>
      <c r="F657" s="879"/>
      <c r="G657" s="624"/>
      <c r="H657" s="879"/>
      <c r="I657" s="879"/>
      <c r="J657" s="835">
        <v>2023</v>
      </c>
      <c r="K657" s="976">
        <v>2024</v>
      </c>
      <c r="L657" s="613" t="s">
        <v>303</v>
      </c>
      <c r="M657" s="613">
        <f t="shared" si="128"/>
        <v>0</v>
      </c>
      <c r="N657" s="613">
        <f t="shared" si="129"/>
        <v>1</v>
      </c>
      <c r="O657" s="880"/>
      <c r="P657" s="880"/>
      <c r="Q657" s="836">
        <v>1</v>
      </c>
      <c r="R657" s="880"/>
      <c r="S657" s="880"/>
      <c r="T657" s="880"/>
      <c r="U657" s="613">
        <f t="shared" si="122"/>
        <v>1</v>
      </c>
      <c r="V657" s="879"/>
      <c r="W657" s="613" t="str">
        <f t="shared" si="130"/>
        <v>I</v>
      </c>
      <c r="X657" s="613" t="str">
        <f t="shared" si="131"/>
        <v>I</v>
      </c>
      <c r="Y657" s="613">
        <f t="shared" si="132"/>
        <v>2023</v>
      </c>
      <c r="Z657" s="613" t="str">
        <f t="shared" si="133"/>
        <v>I</v>
      </c>
      <c r="AA657" s="613" t="str">
        <f t="shared" si="134"/>
        <v>I</v>
      </c>
      <c r="AB657" s="613" t="str">
        <f t="shared" si="134"/>
        <v>I</v>
      </c>
      <c r="AC657" s="879"/>
      <c r="AD657" s="880"/>
      <c r="AE657" s="881"/>
      <c r="AF657" s="644"/>
      <c r="AG657" s="879"/>
      <c r="AH657" s="879"/>
      <c r="AI657" s="879"/>
      <c r="AJ657" s="879"/>
      <c r="AK657" s="879"/>
      <c r="AL657" s="879"/>
      <c r="AM657" s="879"/>
      <c r="AN657" s="879"/>
      <c r="AO657" s="879"/>
      <c r="AP657" s="879"/>
      <c r="AQ657" s="879"/>
      <c r="AR657" s="879"/>
      <c r="AS657" s="879"/>
    </row>
    <row r="658" spans="1:45" x14ac:dyDescent="0.2">
      <c r="A658" s="527">
        <v>656</v>
      </c>
      <c r="B658" s="879"/>
      <c r="C658" s="879" t="s">
        <v>3763</v>
      </c>
      <c r="D658" s="879"/>
      <c r="E658" s="879"/>
      <c r="F658" s="879"/>
      <c r="G658" s="624"/>
      <c r="H658" s="879"/>
      <c r="I658" s="879"/>
      <c r="J658" s="835">
        <v>2023</v>
      </c>
      <c r="K658" s="976">
        <v>2024</v>
      </c>
      <c r="L658" s="613" t="s">
        <v>303</v>
      </c>
      <c r="M658" s="613">
        <f t="shared" si="128"/>
        <v>0</v>
      </c>
      <c r="N658" s="613">
        <f t="shared" si="129"/>
        <v>1</v>
      </c>
      <c r="O658" s="880"/>
      <c r="P658" s="880"/>
      <c r="Q658" s="836">
        <v>1</v>
      </c>
      <c r="R658" s="880"/>
      <c r="S658" s="880"/>
      <c r="T658" s="880"/>
      <c r="U658" s="613">
        <f t="shared" si="122"/>
        <v>1</v>
      </c>
      <c r="V658" s="879"/>
      <c r="W658" s="613" t="str">
        <f t="shared" si="130"/>
        <v>I</v>
      </c>
      <c r="X658" s="613" t="str">
        <f t="shared" si="131"/>
        <v>I</v>
      </c>
      <c r="Y658" s="613">
        <f t="shared" si="132"/>
        <v>2023</v>
      </c>
      <c r="Z658" s="613" t="str">
        <f t="shared" si="133"/>
        <v>I</v>
      </c>
      <c r="AA658" s="613" t="str">
        <f t="shared" si="134"/>
        <v>I</v>
      </c>
      <c r="AB658" s="613" t="str">
        <f t="shared" si="134"/>
        <v>I</v>
      </c>
      <c r="AC658" s="879"/>
      <c r="AD658" s="880"/>
      <c r="AE658" s="881"/>
      <c r="AF658" s="644"/>
      <c r="AG658" s="879"/>
      <c r="AH658" s="879"/>
      <c r="AI658" s="879"/>
      <c r="AJ658" s="879"/>
      <c r="AK658" s="879"/>
      <c r="AL658" s="879"/>
      <c r="AM658" s="879"/>
      <c r="AN658" s="879"/>
      <c r="AO658" s="879"/>
      <c r="AP658" s="879"/>
      <c r="AQ658" s="879"/>
      <c r="AR658" s="879"/>
      <c r="AS658" s="879"/>
    </row>
    <row r="659" spans="1:45" x14ac:dyDescent="0.2">
      <c r="A659" s="527">
        <v>657</v>
      </c>
      <c r="B659" s="879"/>
      <c r="C659" s="879" t="s">
        <v>3764</v>
      </c>
      <c r="D659" s="879"/>
      <c r="E659" s="879"/>
      <c r="F659" s="879"/>
      <c r="G659" s="624"/>
      <c r="H659" s="879"/>
      <c r="I659" s="879"/>
      <c r="J659" s="835">
        <v>2022</v>
      </c>
      <c r="K659" s="976">
        <v>2024</v>
      </c>
      <c r="L659" s="613" t="s">
        <v>303</v>
      </c>
      <c r="M659" s="613">
        <f t="shared" si="128"/>
        <v>0</v>
      </c>
      <c r="N659" s="613">
        <f t="shared" si="129"/>
        <v>1</v>
      </c>
      <c r="O659" s="880"/>
      <c r="P659" s="880"/>
      <c r="Q659" s="836">
        <v>1</v>
      </c>
      <c r="R659" s="880"/>
      <c r="S659" s="880"/>
      <c r="T659" s="880"/>
      <c r="U659" s="613">
        <f t="shared" si="122"/>
        <v>1</v>
      </c>
      <c r="V659" s="879"/>
      <c r="W659" s="613" t="str">
        <f t="shared" si="130"/>
        <v>I</v>
      </c>
      <c r="X659" s="613" t="str">
        <f t="shared" si="131"/>
        <v>I</v>
      </c>
      <c r="Y659" s="613">
        <f t="shared" si="132"/>
        <v>2022</v>
      </c>
      <c r="Z659" s="613" t="str">
        <f t="shared" si="133"/>
        <v>I</v>
      </c>
      <c r="AA659" s="613" t="str">
        <f t="shared" si="134"/>
        <v>I</v>
      </c>
      <c r="AB659" s="613" t="str">
        <f t="shared" si="134"/>
        <v>I</v>
      </c>
      <c r="AC659" s="879"/>
      <c r="AD659" s="880"/>
      <c r="AE659" s="881"/>
      <c r="AF659" s="644"/>
      <c r="AG659" s="879"/>
      <c r="AH659" s="879"/>
      <c r="AI659" s="879"/>
      <c r="AJ659" s="879"/>
      <c r="AK659" s="879"/>
      <c r="AL659" s="879"/>
      <c r="AM659" s="879"/>
      <c r="AN659" s="879"/>
      <c r="AO659" s="879"/>
      <c r="AP659" s="879"/>
      <c r="AQ659" s="879"/>
      <c r="AR659" s="879"/>
      <c r="AS659" s="879"/>
    </row>
    <row r="660" spans="1:45" x14ac:dyDescent="0.2">
      <c r="A660" s="527">
        <v>658</v>
      </c>
      <c r="B660" s="879"/>
      <c r="C660" s="879" t="s">
        <v>3766</v>
      </c>
      <c r="D660" s="879"/>
      <c r="E660" s="879"/>
      <c r="F660" s="879"/>
      <c r="G660" s="624"/>
      <c r="H660" s="879"/>
      <c r="I660" s="879"/>
      <c r="J660" s="835">
        <v>2023</v>
      </c>
      <c r="K660" s="976">
        <v>2024</v>
      </c>
      <c r="L660" s="613" t="s">
        <v>336</v>
      </c>
      <c r="M660" s="613">
        <f t="shared" si="128"/>
        <v>1</v>
      </c>
      <c r="N660" s="613">
        <f t="shared" si="129"/>
        <v>0</v>
      </c>
      <c r="O660" s="880"/>
      <c r="P660" s="880"/>
      <c r="Q660" s="836">
        <v>1</v>
      </c>
      <c r="R660" s="880"/>
      <c r="S660" s="880"/>
      <c r="T660" s="880"/>
      <c r="U660" s="613">
        <f t="shared" si="122"/>
        <v>1</v>
      </c>
      <c r="V660" s="879"/>
      <c r="W660" s="613" t="str">
        <f t="shared" si="130"/>
        <v>I</v>
      </c>
      <c r="X660" s="613" t="str">
        <f t="shared" si="131"/>
        <v>I</v>
      </c>
      <c r="Y660" s="613">
        <f t="shared" si="132"/>
        <v>2023</v>
      </c>
      <c r="Z660" s="613" t="str">
        <f t="shared" si="133"/>
        <v>I</v>
      </c>
      <c r="AA660" s="613" t="str">
        <f t="shared" si="134"/>
        <v>I</v>
      </c>
      <c r="AB660" s="613" t="str">
        <f t="shared" si="134"/>
        <v>I</v>
      </c>
      <c r="AC660" s="879"/>
      <c r="AD660" s="880"/>
      <c r="AE660" s="881"/>
      <c r="AF660" s="644"/>
      <c r="AG660" s="879"/>
      <c r="AH660" s="879"/>
      <c r="AI660" s="879"/>
      <c r="AJ660" s="879"/>
      <c r="AK660" s="879"/>
      <c r="AL660" s="879"/>
      <c r="AM660" s="879"/>
      <c r="AN660" s="879"/>
      <c r="AO660" s="879"/>
      <c r="AP660" s="879"/>
      <c r="AQ660" s="879"/>
      <c r="AR660" s="879"/>
      <c r="AS660" s="879"/>
    </row>
    <row r="661" spans="1:45" x14ac:dyDescent="0.2">
      <c r="A661" s="527">
        <v>659</v>
      </c>
      <c r="B661" s="879"/>
      <c r="C661" s="879" t="s">
        <v>3768</v>
      </c>
      <c r="D661" s="879"/>
      <c r="E661" s="879"/>
      <c r="F661" s="879"/>
      <c r="G661" s="624"/>
      <c r="H661" s="879"/>
      <c r="I661" s="879"/>
      <c r="J661" s="835">
        <v>2021</v>
      </c>
      <c r="K661" s="976">
        <v>2024</v>
      </c>
      <c r="L661" s="613" t="s">
        <v>303</v>
      </c>
      <c r="M661" s="613">
        <f t="shared" si="128"/>
        <v>0</v>
      </c>
      <c r="N661" s="613">
        <f t="shared" si="129"/>
        <v>1</v>
      </c>
      <c r="O661" s="880"/>
      <c r="P661" s="880"/>
      <c r="Q661" s="836">
        <v>1</v>
      </c>
      <c r="R661" s="880"/>
      <c r="S661" s="880"/>
      <c r="T661" s="880"/>
      <c r="U661" s="613">
        <f t="shared" si="122"/>
        <v>1</v>
      </c>
      <c r="V661" s="879"/>
      <c r="W661" s="613" t="str">
        <f t="shared" si="130"/>
        <v>I</v>
      </c>
      <c r="X661" s="613" t="str">
        <f t="shared" si="131"/>
        <v>I</v>
      </c>
      <c r="Y661" s="613">
        <f t="shared" si="132"/>
        <v>2021</v>
      </c>
      <c r="Z661" s="613" t="str">
        <f t="shared" si="133"/>
        <v>I</v>
      </c>
      <c r="AA661" s="613" t="str">
        <f t="shared" si="134"/>
        <v>I</v>
      </c>
      <c r="AB661" s="613" t="str">
        <f t="shared" si="134"/>
        <v>I</v>
      </c>
      <c r="AC661" s="879"/>
      <c r="AD661" s="880"/>
      <c r="AE661" s="881"/>
      <c r="AF661" s="644"/>
      <c r="AG661" s="879"/>
      <c r="AH661" s="879"/>
      <c r="AI661" s="879"/>
      <c r="AJ661" s="879"/>
      <c r="AK661" s="879"/>
      <c r="AL661" s="879"/>
      <c r="AM661" s="879"/>
      <c r="AN661" s="879"/>
      <c r="AO661" s="879"/>
      <c r="AP661" s="879"/>
      <c r="AQ661" s="879"/>
      <c r="AR661" s="879"/>
      <c r="AS661" s="879"/>
    </row>
    <row r="662" spans="1:45" x14ac:dyDescent="0.2">
      <c r="A662" s="527">
        <v>660</v>
      </c>
      <c r="B662" s="879"/>
      <c r="C662" s="879" t="s">
        <v>3770</v>
      </c>
      <c r="D662" s="879"/>
      <c r="E662" s="879"/>
      <c r="F662" s="879"/>
      <c r="G662" s="624"/>
      <c r="H662" s="879"/>
      <c r="I662" s="879"/>
      <c r="J662" s="835">
        <v>2023</v>
      </c>
      <c r="K662" s="976">
        <v>2024</v>
      </c>
      <c r="L662" s="613" t="s">
        <v>303</v>
      </c>
      <c r="M662" s="613">
        <f t="shared" si="128"/>
        <v>0</v>
      </c>
      <c r="N662" s="613">
        <f t="shared" si="129"/>
        <v>1</v>
      </c>
      <c r="O662" s="880"/>
      <c r="P662" s="880"/>
      <c r="Q662" s="836">
        <v>1</v>
      </c>
      <c r="R662" s="880"/>
      <c r="S662" s="880"/>
      <c r="T662" s="880"/>
      <c r="U662" s="613">
        <f t="shared" si="122"/>
        <v>1</v>
      </c>
      <c r="V662" s="879"/>
      <c r="W662" s="613" t="str">
        <f t="shared" si="130"/>
        <v>I</v>
      </c>
      <c r="X662" s="613" t="str">
        <f t="shared" si="131"/>
        <v>I</v>
      </c>
      <c r="Y662" s="613">
        <f t="shared" si="132"/>
        <v>2023</v>
      </c>
      <c r="Z662" s="613" t="str">
        <f t="shared" si="133"/>
        <v>I</v>
      </c>
      <c r="AA662" s="613" t="str">
        <f t="shared" si="134"/>
        <v>I</v>
      </c>
      <c r="AB662" s="613" t="str">
        <f t="shared" si="134"/>
        <v>I</v>
      </c>
      <c r="AC662" s="879"/>
      <c r="AD662" s="880"/>
      <c r="AE662" s="881"/>
      <c r="AF662" s="644"/>
      <c r="AG662" s="879"/>
      <c r="AH662" s="879"/>
      <c r="AI662" s="879"/>
      <c r="AJ662" s="879"/>
      <c r="AK662" s="879"/>
      <c r="AL662" s="879"/>
      <c r="AM662" s="879"/>
      <c r="AN662" s="879"/>
      <c r="AO662" s="879"/>
      <c r="AP662" s="879"/>
      <c r="AQ662" s="879"/>
      <c r="AR662" s="879"/>
      <c r="AS662" s="879"/>
    </row>
    <row r="663" spans="1:45" x14ac:dyDescent="0.2">
      <c r="A663" s="527">
        <v>661</v>
      </c>
      <c r="B663" s="879"/>
      <c r="C663" s="879" t="s">
        <v>3771</v>
      </c>
      <c r="D663" s="879"/>
      <c r="E663" s="879"/>
      <c r="F663" s="879"/>
      <c r="G663" s="624"/>
      <c r="H663" s="879"/>
      <c r="I663" s="879"/>
      <c r="J663" s="835">
        <v>2021</v>
      </c>
      <c r="K663" s="976">
        <v>2024</v>
      </c>
      <c r="L663" s="613" t="s">
        <v>336</v>
      </c>
      <c r="M663" s="613">
        <f t="shared" si="128"/>
        <v>1</v>
      </c>
      <c r="N663" s="613">
        <f t="shared" si="129"/>
        <v>0</v>
      </c>
      <c r="O663" s="880"/>
      <c r="P663" s="880"/>
      <c r="Q663" s="836">
        <v>1</v>
      </c>
      <c r="R663" s="880"/>
      <c r="S663" s="880"/>
      <c r="T663" s="880"/>
      <c r="U663" s="613">
        <f t="shared" si="122"/>
        <v>1</v>
      </c>
      <c r="V663" s="879"/>
      <c r="W663" s="613" t="str">
        <f t="shared" si="130"/>
        <v>I</v>
      </c>
      <c r="X663" s="613" t="str">
        <f t="shared" si="131"/>
        <v>I</v>
      </c>
      <c r="Y663" s="613">
        <f t="shared" si="132"/>
        <v>2021</v>
      </c>
      <c r="Z663" s="613" t="str">
        <f t="shared" si="133"/>
        <v>I</v>
      </c>
      <c r="AA663" s="613" t="str">
        <f t="shared" si="134"/>
        <v>I</v>
      </c>
      <c r="AB663" s="613" t="str">
        <f t="shared" si="134"/>
        <v>I</v>
      </c>
      <c r="AC663" s="879"/>
      <c r="AD663" s="880"/>
      <c r="AE663" s="881"/>
      <c r="AF663" s="644"/>
      <c r="AG663" s="879"/>
      <c r="AH663" s="879"/>
      <c r="AI663" s="879"/>
      <c r="AJ663" s="879"/>
      <c r="AK663" s="879"/>
      <c r="AL663" s="879"/>
      <c r="AM663" s="879"/>
      <c r="AN663" s="879"/>
      <c r="AO663" s="879"/>
      <c r="AP663" s="879"/>
      <c r="AQ663" s="879"/>
      <c r="AR663" s="879"/>
      <c r="AS663" s="879"/>
    </row>
    <row r="664" spans="1:45" x14ac:dyDescent="0.2">
      <c r="A664" s="527">
        <v>662</v>
      </c>
      <c r="B664" s="879"/>
      <c r="C664" s="879" t="s">
        <v>3772</v>
      </c>
      <c r="D664" s="879"/>
      <c r="E664" s="879"/>
      <c r="F664" s="879"/>
      <c r="G664" s="624"/>
      <c r="H664" s="879"/>
      <c r="I664" s="879"/>
      <c r="J664" s="835">
        <v>2021</v>
      </c>
      <c r="K664" s="976">
        <v>2024</v>
      </c>
      <c r="L664" s="613" t="s">
        <v>303</v>
      </c>
      <c r="M664" s="613">
        <f t="shared" si="128"/>
        <v>0</v>
      </c>
      <c r="N664" s="613">
        <f t="shared" si="129"/>
        <v>1</v>
      </c>
      <c r="O664" s="880"/>
      <c r="P664" s="880"/>
      <c r="Q664" s="836">
        <v>1</v>
      </c>
      <c r="R664" s="880"/>
      <c r="S664" s="880"/>
      <c r="T664" s="880"/>
      <c r="U664" s="613">
        <f t="shared" si="122"/>
        <v>1</v>
      </c>
      <c r="V664" s="879"/>
      <c r="W664" s="613" t="str">
        <f t="shared" si="130"/>
        <v>I</v>
      </c>
      <c r="X664" s="613" t="str">
        <f t="shared" si="131"/>
        <v>I</v>
      </c>
      <c r="Y664" s="613">
        <f t="shared" si="132"/>
        <v>2021</v>
      </c>
      <c r="Z664" s="613" t="str">
        <f t="shared" si="133"/>
        <v>I</v>
      </c>
      <c r="AA664" s="613" t="str">
        <f t="shared" si="134"/>
        <v>I</v>
      </c>
      <c r="AB664" s="613" t="str">
        <f t="shared" si="134"/>
        <v>I</v>
      </c>
      <c r="AC664" s="879"/>
      <c r="AD664" s="880"/>
      <c r="AE664" s="881"/>
      <c r="AF664" s="644"/>
      <c r="AG664" s="879"/>
      <c r="AH664" s="879"/>
      <c r="AI664" s="879"/>
      <c r="AJ664" s="879"/>
      <c r="AK664" s="879"/>
      <c r="AL664" s="879"/>
      <c r="AM664" s="879"/>
      <c r="AN664" s="879"/>
      <c r="AO664" s="879"/>
      <c r="AP664" s="879"/>
      <c r="AQ664" s="879"/>
      <c r="AR664" s="879"/>
      <c r="AS664" s="879"/>
    </row>
    <row r="665" spans="1:45" x14ac:dyDescent="0.2">
      <c r="A665" s="527">
        <v>663</v>
      </c>
      <c r="B665" s="879"/>
      <c r="C665" s="879" t="s">
        <v>3773</v>
      </c>
      <c r="D665" s="879"/>
      <c r="E665" s="879"/>
      <c r="F665" s="879"/>
      <c r="G665" s="624"/>
      <c r="H665" s="879"/>
      <c r="I665" s="879"/>
      <c r="J665" s="835">
        <v>2023</v>
      </c>
      <c r="K665" s="976">
        <v>2024</v>
      </c>
      <c r="L665" s="613" t="s">
        <v>303</v>
      </c>
      <c r="M665" s="613">
        <f t="shared" si="128"/>
        <v>0</v>
      </c>
      <c r="N665" s="613">
        <f t="shared" si="129"/>
        <v>1</v>
      </c>
      <c r="O665" s="880"/>
      <c r="P665" s="880"/>
      <c r="Q665" s="836">
        <v>1</v>
      </c>
      <c r="R665" s="880"/>
      <c r="S665" s="880"/>
      <c r="T665" s="880"/>
      <c r="U665" s="613">
        <f t="shared" si="122"/>
        <v>1</v>
      </c>
      <c r="V665" s="879"/>
      <c r="W665" s="613" t="str">
        <f t="shared" si="130"/>
        <v>I</v>
      </c>
      <c r="X665" s="613" t="str">
        <f t="shared" si="131"/>
        <v>I</v>
      </c>
      <c r="Y665" s="613">
        <f t="shared" si="132"/>
        <v>2023</v>
      </c>
      <c r="Z665" s="613" t="str">
        <f t="shared" si="133"/>
        <v>I</v>
      </c>
      <c r="AA665" s="613" t="str">
        <f t="shared" si="134"/>
        <v>I</v>
      </c>
      <c r="AB665" s="613" t="str">
        <f t="shared" si="134"/>
        <v>I</v>
      </c>
      <c r="AC665" s="879"/>
      <c r="AD665" s="880"/>
      <c r="AE665" s="881"/>
      <c r="AF665" s="644"/>
      <c r="AG665" s="879"/>
      <c r="AH665" s="879"/>
      <c r="AI665" s="879"/>
      <c r="AJ665" s="879"/>
      <c r="AK665" s="879"/>
      <c r="AL665" s="879"/>
      <c r="AM665" s="879"/>
      <c r="AN665" s="879"/>
      <c r="AO665" s="879"/>
      <c r="AP665" s="879"/>
      <c r="AQ665" s="879"/>
      <c r="AR665" s="879"/>
      <c r="AS665" s="879"/>
    </row>
    <row r="666" spans="1:45" x14ac:dyDescent="0.2">
      <c r="A666" s="527">
        <v>664</v>
      </c>
      <c r="B666" s="879"/>
      <c r="C666" s="879" t="s">
        <v>3774</v>
      </c>
      <c r="D666" s="879"/>
      <c r="E666" s="879"/>
      <c r="F666" s="879"/>
      <c r="G666" s="624"/>
      <c r="H666" s="879"/>
      <c r="I666" s="879"/>
      <c r="J666" s="835">
        <v>2024</v>
      </c>
      <c r="K666" s="976">
        <v>2024</v>
      </c>
      <c r="L666" s="613" t="s">
        <v>336</v>
      </c>
      <c r="M666" s="613">
        <f t="shared" si="128"/>
        <v>0</v>
      </c>
      <c r="N666" s="613">
        <f t="shared" si="129"/>
        <v>0</v>
      </c>
      <c r="O666" s="880"/>
      <c r="P666" s="880"/>
      <c r="Q666" s="836"/>
      <c r="R666" s="880"/>
      <c r="S666" s="880"/>
      <c r="T666" s="880">
        <v>1</v>
      </c>
      <c r="U666" s="613">
        <f t="shared" si="122"/>
        <v>1</v>
      </c>
      <c r="V666" s="879"/>
      <c r="W666" s="613" t="str">
        <f t="shared" si="130"/>
        <v>I</v>
      </c>
      <c r="X666" s="613" t="str">
        <f t="shared" si="131"/>
        <v>I</v>
      </c>
      <c r="Y666" s="613" t="str">
        <f t="shared" si="132"/>
        <v>I</v>
      </c>
      <c r="Z666" s="613" t="str">
        <f t="shared" si="133"/>
        <v>I</v>
      </c>
      <c r="AA666" s="613" t="str">
        <f t="shared" si="134"/>
        <v>I</v>
      </c>
      <c r="AB666" s="613">
        <f t="shared" si="134"/>
        <v>2024</v>
      </c>
      <c r="AC666" s="879"/>
      <c r="AD666" s="880"/>
      <c r="AE666" s="881"/>
      <c r="AF666" s="644"/>
      <c r="AG666" s="879"/>
      <c r="AH666" s="879"/>
      <c r="AI666" s="879"/>
      <c r="AJ666" s="879"/>
      <c r="AK666" s="879"/>
      <c r="AL666" s="879"/>
      <c r="AM666" s="879"/>
      <c r="AN666" s="879"/>
      <c r="AO666" s="879"/>
      <c r="AP666" s="879"/>
      <c r="AQ666" s="879"/>
      <c r="AR666" s="879"/>
      <c r="AS666" s="879"/>
    </row>
    <row r="667" spans="1:45" x14ac:dyDescent="0.2">
      <c r="A667" s="527">
        <v>665</v>
      </c>
      <c r="B667" s="879"/>
      <c r="C667" s="879" t="s">
        <v>3779</v>
      </c>
      <c r="D667" s="879"/>
      <c r="E667" s="879"/>
      <c r="F667" s="879"/>
      <c r="G667" s="624"/>
      <c r="H667" s="879"/>
      <c r="I667" s="879"/>
      <c r="J667" s="835">
        <v>2023</v>
      </c>
      <c r="K667" s="976">
        <v>2024</v>
      </c>
      <c r="L667" s="613" t="s">
        <v>303</v>
      </c>
      <c r="M667" s="613">
        <f t="shared" si="128"/>
        <v>0</v>
      </c>
      <c r="N667" s="613">
        <f t="shared" si="129"/>
        <v>1</v>
      </c>
      <c r="O667" s="880"/>
      <c r="P667" s="880"/>
      <c r="Q667" s="836">
        <v>1</v>
      </c>
      <c r="R667" s="880"/>
      <c r="S667" s="880"/>
      <c r="T667" s="880"/>
      <c r="U667" s="613">
        <f t="shared" si="122"/>
        <v>1</v>
      </c>
      <c r="V667" s="879"/>
      <c r="W667" s="613" t="str">
        <f t="shared" si="130"/>
        <v>I</v>
      </c>
      <c r="X667" s="613" t="str">
        <f t="shared" si="131"/>
        <v>I</v>
      </c>
      <c r="Y667" s="613">
        <f t="shared" si="132"/>
        <v>2023</v>
      </c>
      <c r="Z667" s="613" t="str">
        <f t="shared" si="133"/>
        <v>I</v>
      </c>
      <c r="AA667" s="613" t="str">
        <f t="shared" si="134"/>
        <v>I</v>
      </c>
      <c r="AB667" s="613" t="str">
        <f t="shared" si="134"/>
        <v>I</v>
      </c>
      <c r="AC667" s="879"/>
      <c r="AD667" s="880"/>
      <c r="AE667" s="881"/>
      <c r="AF667" s="644"/>
      <c r="AG667" s="879"/>
      <c r="AH667" s="879"/>
      <c r="AI667" s="879"/>
      <c r="AJ667" s="879"/>
      <c r="AK667" s="879"/>
      <c r="AL667" s="879"/>
      <c r="AM667" s="879"/>
      <c r="AN667" s="879"/>
      <c r="AO667" s="879"/>
      <c r="AP667" s="879"/>
      <c r="AQ667" s="879"/>
      <c r="AR667" s="879"/>
      <c r="AS667" s="879"/>
    </row>
    <row r="668" spans="1:45" x14ac:dyDescent="0.2">
      <c r="A668" s="527">
        <v>666</v>
      </c>
      <c r="B668" s="879"/>
      <c r="C668" s="879" t="s">
        <v>3780</v>
      </c>
      <c r="D668" s="879"/>
      <c r="E668" s="879"/>
      <c r="F668" s="879"/>
      <c r="G668" s="624"/>
      <c r="H668" s="879"/>
      <c r="I668" s="879"/>
      <c r="J668" s="835">
        <v>2023</v>
      </c>
      <c r="K668" s="976">
        <v>2024</v>
      </c>
      <c r="L668" s="613" t="s">
        <v>303</v>
      </c>
      <c r="M668" s="613">
        <f t="shared" si="128"/>
        <v>0</v>
      </c>
      <c r="N668" s="613">
        <f t="shared" si="129"/>
        <v>1</v>
      </c>
      <c r="O668" s="880"/>
      <c r="P668" s="880"/>
      <c r="Q668" s="836">
        <v>1</v>
      </c>
      <c r="R668" s="880"/>
      <c r="S668" s="880"/>
      <c r="T668" s="880"/>
      <c r="U668" s="613">
        <f t="shared" si="122"/>
        <v>1</v>
      </c>
      <c r="V668" s="879"/>
      <c r="W668" s="613" t="str">
        <f t="shared" si="130"/>
        <v>I</v>
      </c>
      <c r="X668" s="613" t="str">
        <f t="shared" si="131"/>
        <v>I</v>
      </c>
      <c r="Y668" s="613">
        <f t="shared" si="132"/>
        <v>2023</v>
      </c>
      <c r="Z668" s="613" t="str">
        <f t="shared" si="133"/>
        <v>I</v>
      </c>
      <c r="AA668" s="613" t="str">
        <f t="shared" si="134"/>
        <v>I</v>
      </c>
      <c r="AB668" s="613" t="str">
        <f t="shared" si="134"/>
        <v>I</v>
      </c>
      <c r="AC668" s="879"/>
      <c r="AD668" s="880"/>
      <c r="AE668" s="881"/>
      <c r="AF668" s="644"/>
      <c r="AG668" s="879"/>
      <c r="AH668" s="879"/>
      <c r="AI668" s="879"/>
      <c r="AJ668" s="879"/>
      <c r="AK668" s="879"/>
      <c r="AL668" s="879"/>
      <c r="AM668" s="879"/>
      <c r="AN668" s="879"/>
      <c r="AO668" s="879"/>
      <c r="AP668" s="879"/>
      <c r="AQ668" s="879"/>
      <c r="AR668" s="879"/>
      <c r="AS668" s="879"/>
    </row>
    <row r="669" spans="1:45" x14ac:dyDescent="0.2">
      <c r="A669" s="527">
        <v>667</v>
      </c>
      <c r="B669" s="879"/>
      <c r="C669" s="879" t="s">
        <v>3783</v>
      </c>
      <c r="D669" s="879"/>
      <c r="E669" s="879"/>
      <c r="F669" s="879"/>
      <c r="G669" s="624"/>
      <c r="H669" s="879"/>
      <c r="I669" s="879"/>
      <c r="J669" s="835">
        <v>2022</v>
      </c>
      <c r="K669" s="976">
        <v>2024</v>
      </c>
      <c r="L669" s="613" t="s">
        <v>303</v>
      </c>
      <c r="M669" s="613">
        <f t="shared" si="128"/>
        <v>0</v>
      </c>
      <c r="N669" s="613">
        <f t="shared" si="129"/>
        <v>1</v>
      </c>
      <c r="O669" s="880"/>
      <c r="P669" s="880"/>
      <c r="Q669" s="836">
        <v>1</v>
      </c>
      <c r="R669" s="880"/>
      <c r="S669" s="880"/>
      <c r="T669" s="880"/>
      <c r="U669" s="613">
        <f t="shared" si="122"/>
        <v>1</v>
      </c>
      <c r="V669" s="879"/>
      <c r="W669" s="613" t="str">
        <f t="shared" si="130"/>
        <v>I</v>
      </c>
      <c r="X669" s="613" t="str">
        <f t="shared" si="131"/>
        <v>I</v>
      </c>
      <c r="Y669" s="613">
        <f t="shared" si="132"/>
        <v>2022</v>
      </c>
      <c r="Z669" s="613" t="str">
        <f t="shared" si="133"/>
        <v>I</v>
      </c>
      <c r="AA669" s="613" t="str">
        <f t="shared" si="134"/>
        <v>I</v>
      </c>
      <c r="AB669" s="613" t="str">
        <f t="shared" si="134"/>
        <v>I</v>
      </c>
      <c r="AC669" s="879"/>
      <c r="AD669" s="880"/>
      <c r="AE669" s="881"/>
      <c r="AF669" s="644"/>
      <c r="AG669" s="879"/>
      <c r="AH669" s="879"/>
      <c r="AI669" s="879"/>
      <c r="AJ669" s="879"/>
      <c r="AK669" s="879"/>
      <c r="AL669" s="879"/>
      <c r="AM669" s="879"/>
      <c r="AN669" s="879"/>
      <c r="AO669" s="879"/>
      <c r="AP669" s="879"/>
      <c r="AQ669" s="879"/>
      <c r="AR669" s="879"/>
      <c r="AS669" s="879"/>
    </row>
    <row r="670" spans="1:45" x14ac:dyDescent="0.2">
      <c r="A670" s="527">
        <v>668</v>
      </c>
      <c r="B670" s="879"/>
      <c r="C670" s="879" t="s">
        <v>3788</v>
      </c>
      <c r="D670" s="879"/>
      <c r="E670" s="879"/>
      <c r="F670" s="879"/>
      <c r="G670" s="624"/>
      <c r="H670" s="879"/>
      <c r="I670" s="879"/>
      <c r="J670" s="835">
        <v>2022</v>
      </c>
      <c r="K670" s="976">
        <v>2024</v>
      </c>
      <c r="L670" s="613" t="s">
        <v>303</v>
      </c>
      <c r="M670" s="613">
        <f t="shared" si="128"/>
        <v>0</v>
      </c>
      <c r="N670" s="613">
        <f t="shared" si="129"/>
        <v>1</v>
      </c>
      <c r="O670" s="880"/>
      <c r="P670" s="880"/>
      <c r="Q670" s="836">
        <v>1</v>
      </c>
      <c r="R670" s="880"/>
      <c r="S670" s="880"/>
      <c r="T670" s="880"/>
      <c r="U670" s="613">
        <f t="shared" si="122"/>
        <v>1</v>
      </c>
      <c r="V670" s="879"/>
      <c r="W670" s="613" t="str">
        <f t="shared" si="130"/>
        <v>I</v>
      </c>
      <c r="X670" s="613" t="str">
        <f t="shared" si="131"/>
        <v>I</v>
      </c>
      <c r="Y670" s="613">
        <f t="shared" si="132"/>
        <v>2022</v>
      </c>
      <c r="Z670" s="613" t="str">
        <f t="shared" si="133"/>
        <v>I</v>
      </c>
      <c r="AA670" s="613" t="str">
        <f t="shared" si="134"/>
        <v>I</v>
      </c>
      <c r="AB670" s="613" t="str">
        <f t="shared" si="134"/>
        <v>I</v>
      </c>
      <c r="AC670" s="879"/>
      <c r="AD670" s="880"/>
      <c r="AE670" s="881"/>
      <c r="AF670" s="644"/>
      <c r="AG670" s="879"/>
      <c r="AH670" s="879"/>
      <c r="AI670" s="879"/>
      <c r="AJ670" s="879"/>
      <c r="AK670" s="879"/>
      <c r="AL670" s="879"/>
      <c r="AM670" s="879"/>
      <c r="AN670" s="879"/>
      <c r="AO670" s="879"/>
      <c r="AP670" s="879"/>
      <c r="AQ670" s="879"/>
      <c r="AR670" s="879"/>
      <c r="AS670" s="879"/>
    </row>
    <row r="671" spans="1:45" x14ac:dyDescent="0.2">
      <c r="A671" s="527">
        <v>669</v>
      </c>
      <c r="B671" s="879"/>
      <c r="C671" s="879" t="s">
        <v>3785</v>
      </c>
      <c r="D671" s="879"/>
      <c r="E671" s="879"/>
      <c r="F671" s="879"/>
      <c r="G671" s="624"/>
      <c r="H671" s="879"/>
      <c r="I671" s="879"/>
      <c r="J671" s="835">
        <v>2022</v>
      </c>
      <c r="K671" s="976">
        <v>2024</v>
      </c>
      <c r="L671" s="613" t="s">
        <v>336</v>
      </c>
      <c r="M671" s="613">
        <f t="shared" si="128"/>
        <v>1</v>
      </c>
      <c r="N671" s="613">
        <f t="shared" si="129"/>
        <v>0</v>
      </c>
      <c r="O671" s="880"/>
      <c r="P671" s="880"/>
      <c r="Q671" s="836">
        <v>1</v>
      </c>
      <c r="R671" s="880"/>
      <c r="S671" s="880"/>
      <c r="T671" s="880"/>
      <c r="U671" s="613">
        <f t="shared" si="122"/>
        <v>1</v>
      </c>
      <c r="V671" s="879"/>
      <c r="W671" s="613" t="str">
        <f t="shared" si="130"/>
        <v>I</v>
      </c>
      <c r="X671" s="613" t="str">
        <f t="shared" si="131"/>
        <v>I</v>
      </c>
      <c r="Y671" s="613">
        <f t="shared" si="132"/>
        <v>2022</v>
      </c>
      <c r="Z671" s="613" t="str">
        <f t="shared" si="133"/>
        <v>I</v>
      </c>
      <c r="AA671" s="613" t="str">
        <f t="shared" si="134"/>
        <v>I</v>
      </c>
      <c r="AB671" s="613" t="str">
        <f t="shared" si="134"/>
        <v>I</v>
      </c>
      <c r="AC671" s="879"/>
      <c r="AD671" s="880"/>
      <c r="AE671" s="881"/>
      <c r="AF671" s="644"/>
      <c r="AG671" s="879"/>
      <c r="AH671" s="879"/>
      <c r="AI671" s="879"/>
      <c r="AJ671" s="879"/>
      <c r="AK671" s="879"/>
      <c r="AL671" s="879"/>
      <c r="AM671" s="879"/>
      <c r="AN671" s="879"/>
      <c r="AO671" s="879"/>
      <c r="AP671" s="879"/>
      <c r="AQ671" s="879"/>
      <c r="AR671" s="879"/>
      <c r="AS671" s="879"/>
    </row>
    <row r="672" spans="1:45" x14ac:dyDescent="0.2">
      <c r="A672" s="527">
        <v>670</v>
      </c>
      <c r="B672" s="879"/>
      <c r="C672" s="879" t="s">
        <v>3786</v>
      </c>
      <c r="D672" s="879"/>
      <c r="E672" s="879"/>
      <c r="F672" s="879"/>
      <c r="G672" s="624"/>
      <c r="H672" s="879"/>
      <c r="I672" s="879"/>
      <c r="J672" s="835">
        <v>2024</v>
      </c>
      <c r="K672" s="976">
        <v>2024</v>
      </c>
      <c r="L672" s="613" t="s">
        <v>303</v>
      </c>
      <c r="M672" s="613">
        <f t="shared" si="128"/>
        <v>0</v>
      </c>
      <c r="N672" s="613">
        <f t="shared" si="129"/>
        <v>1</v>
      </c>
      <c r="O672" s="880"/>
      <c r="P672" s="880"/>
      <c r="Q672" s="836">
        <v>1</v>
      </c>
      <c r="R672" s="880"/>
      <c r="S672" s="880"/>
      <c r="T672" s="880"/>
      <c r="U672" s="613">
        <f t="shared" si="122"/>
        <v>1</v>
      </c>
      <c r="V672" s="879"/>
      <c r="W672" s="613" t="str">
        <f t="shared" si="130"/>
        <v>I</v>
      </c>
      <c r="X672" s="613" t="str">
        <f t="shared" si="131"/>
        <v>I</v>
      </c>
      <c r="Y672" s="613">
        <f t="shared" si="132"/>
        <v>2024</v>
      </c>
      <c r="Z672" s="613" t="str">
        <f t="shared" si="133"/>
        <v>I</v>
      </c>
      <c r="AA672" s="613" t="str">
        <f t="shared" si="134"/>
        <v>I</v>
      </c>
      <c r="AB672" s="613" t="str">
        <f t="shared" si="134"/>
        <v>I</v>
      </c>
      <c r="AC672" s="879"/>
      <c r="AD672" s="880"/>
      <c r="AE672" s="881"/>
      <c r="AF672" s="644"/>
      <c r="AG672" s="879"/>
      <c r="AH672" s="879"/>
      <c r="AI672" s="879"/>
      <c r="AJ672" s="879"/>
      <c r="AK672" s="879"/>
      <c r="AL672" s="879"/>
      <c r="AM672" s="879"/>
      <c r="AN672" s="879"/>
      <c r="AO672" s="879"/>
      <c r="AP672" s="879"/>
      <c r="AQ672" s="879"/>
      <c r="AR672" s="879"/>
      <c r="AS672" s="879"/>
    </row>
    <row r="673" spans="1:45" x14ac:dyDescent="0.2">
      <c r="A673" s="527">
        <v>671</v>
      </c>
      <c r="B673" s="879"/>
      <c r="C673" s="879" t="s">
        <v>3787</v>
      </c>
      <c r="D673" s="879"/>
      <c r="E673" s="879"/>
      <c r="F673" s="879"/>
      <c r="G673" s="624"/>
      <c r="H673" s="879"/>
      <c r="I673" s="879"/>
      <c r="J673" s="835">
        <v>2023</v>
      </c>
      <c r="K673" s="976">
        <v>2024</v>
      </c>
      <c r="L673" s="613" t="s">
        <v>303</v>
      </c>
      <c r="M673" s="613">
        <f t="shared" si="128"/>
        <v>0</v>
      </c>
      <c r="N673" s="613">
        <f t="shared" si="129"/>
        <v>1</v>
      </c>
      <c r="O673" s="880"/>
      <c r="P673" s="880"/>
      <c r="Q673" s="836">
        <v>1</v>
      </c>
      <c r="R673" s="880"/>
      <c r="S673" s="880"/>
      <c r="T673" s="880"/>
      <c r="U673" s="613">
        <f t="shared" si="122"/>
        <v>1</v>
      </c>
      <c r="V673" s="879"/>
      <c r="W673" s="613" t="str">
        <f t="shared" si="130"/>
        <v>I</v>
      </c>
      <c r="X673" s="613" t="str">
        <f t="shared" si="131"/>
        <v>I</v>
      </c>
      <c r="Y673" s="613">
        <f t="shared" si="132"/>
        <v>2023</v>
      </c>
      <c r="Z673" s="613" t="str">
        <f t="shared" si="133"/>
        <v>I</v>
      </c>
      <c r="AA673" s="613" t="str">
        <f t="shared" si="134"/>
        <v>I</v>
      </c>
      <c r="AB673" s="613" t="str">
        <f t="shared" si="134"/>
        <v>I</v>
      </c>
      <c r="AC673" s="879"/>
      <c r="AD673" s="880"/>
      <c r="AE673" s="881"/>
      <c r="AF673" s="644"/>
      <c r="AG673" s="879"/>
      <c r="AH673" s="879"/>
      <c r="AI673" s="879"/>
      <c r="AJ673" s="879"/>
      <c r="AK673" s="879"/>
      <c r="AL673" s="879"/>
      <c r="AM673" s="879"/>
      <c r="AN673" s="879"/>
      <c r="AO673" s="879"/>
      <c r="AP673" s="879"/>
      <c r="AQ673" s="879"/>
      <c r="AR673" s="879"/>
      <c r="AS673" s="879"/>
    </row>
    <row r="674" spans="1:45" x14ac:dyDescent="0.2">
      <c r="A674" s="527">
        <v>672</v>
      </c>
      <c r="B674" s="879"/>
      <c r="C674" s="879" t="s">
        <v>3792</v>
      </c>
      <c r="D674" s="879"/>
      <c r="E674" s="879"/>
      <c r="F674" s="879"/>
      <c r="G674" s="624"/>
      <c r="H674" s="879"/>
      <c r="I674" s="879"/>
      <c r="J674" s="835">
        <v>2023</v>
      </c>
      <c r="K674" s="976">
        <v>2024</v>
      </c>
      <c r="L674" s="613" t="s">
        <v>303</v>
      </c>
      <c r="M674" s="613">
        <f t="shared" si="128"/>
        <v>0</v>
      </c>
      <c r="N674" s="613">
        <f t="shared" si="129"/>
        <v>1</v>
      </c>
      <c r="O674" s="880"/>
      <c r="P674" s="880"/>
      <c r="Q674" s="836">
        <v>1</v>
      </c>
      <c r="R674" s="880"/>
      <c r="S674" s="880"/>
      <c r="T674" s="880"/>
      <c r="U674" s="613">
        <f t="shared" si="122"/>
        <v>1</v>
      </c>
      <c r="V674" s="879"/>
      <c r="W674" s="613" t="str">
        <f t="shared" si="130"/>
        <v>I</v>
      </c>
      <c r="X674" s="613" t="str">
        <f t="shared" si="131"/>
        <v>I</v>
      </c>
      <c r="Y674" s="613">
        <f t="shared" si="132"/>
        <v>2023</v>
      </c>
      <c r="Z674" s="613" t="str">
        <f t="shared" si="133"/>
        <v>I</v>
      </c>
      <c r="AA674" s="613" t="str">
        <f t="shared" si="134"/>
        <v>I</v>
      </c>
      <c r="AB674" s="613" t="str">
        <f t="shared" si="134"/>
        <v>I</v>
      </c>
      <c r="AC674" s="879"/>
      <c r="AD674" s="880"/>
      <c r="AE674" s="881"/>
      <c r="AF674" s="644"/>
      <c r="AG674" s="879"/>
      <c r="AH674" s="879"/>
      <c r="AI674" s="879"/>
      <c r="AJ674" s="879"/>
      <c r="AK674" s="879"/>
      <c r="AL674" s="879"/>
      <c r="AM674" s="879"/>
      <c r="AN674" s="879"/>
      <c r="AO674" s="879"/>
      <c r="AP674" s="879"/>
      <c r="AQ674" s="879"/>
      <c r="AR674" s="879"/>
      <c r="AS674" s="879"/>
    </row>
    <row r="675" spans="1:45" x14ac:dyDescent="0.2">
      <c r="A675" s="527">
        <v>673</v>
      </c>
      <c r="B675" s="879"/>
      <c r="C675" s="879" t="s">
        <v>3794</v>
      </c>
      <c r="D675" s="879"/>
      <c r="E675" s="879"/>
      <c r="F675" s="879"/>
      <c r="G675" s="624"/>
      <c r="H675" s="879"/>
      <c r="I675" s="879"/>
      <c r="J675" s="835">
        <v>2021</v>
      </c>
      <c r="K675" s="976">
        <v>2024</v>
      </c>
      <c r="L675" s="613" t="s">
        <v>303</v>
      </c>
      <c r="M675" s="613">
        <f t="shared" si="128"/>
        <v>0</v>
      </c>
      <c r="N675" s="613">
        <f t="shared" si="129"/>
        <v>1</v>
      </c>
      <c r="O675" s="880"/>
      <c r="P675" s="880"/>
      <c r="Q675" s="836">
        <v>1</v>
      </c>
      <c r="R675" s="880"/>
      <c r="S675" s="880"/>
      <c r="T675" s="880"/>
      <c r="U675" s="613">
        <f t="shared" si="122"/>
        <v>1</v>
      </c>
      <c r="V675" s="879"/>
      <c r="W675" s="613" t="str">
        <f t="shared" si="130"/>
        <v>I</v>
      </c>
      <c r="X675" s="613" t="str">
        <f t="shared" si="131"/>
        <v>I</v>
      </c>
      <c r="Y675" s="613">
        <f t="shared" si="132"/>
        <v>2021</v>
      </c>
      <c r="Z675" s="613" t="str">
        <f t="shared" si="133"/>
        <v>I</v>
      </c>
      <c r="AA675" s="613" t="str">
        <f t="shared" si="134"/>
        <v>I</v>
      </c>
      <c r="AB675" s="613" t="str">
        <f t="shared" si="134"/>
        <v>I</v>
      </c>
      <c r="AC675" s="879"/>
      <c r="AD675" s="880"/>
      <c r="AE675" s="881"/>
      <c r="AF675" s="644"/>
      <c r="AG675" s="879"/>
      <c r="AH675" s="879"/>
      <c r="AI675" s="879"/>
      <c r="AJ675" s="879"/>
      <c r="AK675" s="879"/>
      <c r="AL675" s="879"/>
      <c r="AM675" s="879"/>
      <c r="AN675" s="879"/>
      <c r="AO675" s="879"/>
      <c r="AP675" s="879"/>
      <c r="AQ675" s="879"/>
      <c r="AR675" s="879"/>
      <c r="AS675" s="879"/>
    </row>
    <row r="676" spans="1:45" x14ac:dyDescent="0.2">
      <c r="A676" s="527">
        <v>674</v>
      </c>
      <c r="B676" s="879"/>
      <c r="C676" s="879" t="s">
        <v>3796</v>
      </c>
      <c r="D676" s="879"/>
      <c r="E676" s="879"/>
      <c r="F676" s="879"/>
      <c r="G676" s="624"/>
      <c r="H676" s="879"/>
      <c r="I676" s="879"/>
      <c r="J676" s="835">
        <v>2022</v>
      </c>
      <c r="K676" s="976">
        <v>2024</v>
      </c>
      <c r="L676" s="613" t="s">
        <v>303</v>
      </c>
      <c r="M676" s="613">
        <f t="shared" si="128"/>
        <v>0</v>
      </c>
      <c r="N676" s="613">
        <f t="shared" si="129"/>
        <v>1</v>
      </c>
      <c r="O676" s="880"/>
      <c r="P676" s="880"/>
      <c r="Q676" s="836">
        <v>1</v>
      </c>
      <c r="R676" s="880"/>
      <c r="S676" s="880"/>
      <c r="T676" s="880"/>
      <c r="U676" s="613">
        <f t="shared" si="122"/>
        <v>1</v>
      </c>
      <c r="V676" s="879"/>
      <c r="W676" s="613" t="str">
        <f t="shared" si="130"/>
        <v>I</v>
      </c>
      <c r="X676" s="613" t="str">
        <f t="shared" si="131"/>
        <v>I</v>
      </c>
      <c r="Y676" s="613">
        <f t="shared" si="132"/>
        <v>2022</v>
      </c>
      <c r="Z676" s="613" t="str">
        <f t="shared" si="133"/>
        <v>I</v>
      </c>
      <c r="AA676" s="613" t="str">
        <f t="shared" si="134"/>
        <v>I</v>
      </c>
      <c r="AB676" s="613" t="str">
        <f t="shared" si="134"/>
        <v>I</v>
      </c>
      <c r="AC676" s="879"/>
      <c r="AD676" s="880"/>
      <c r="AE676" s="881"/>
      <c r="AF676" s="644"/>
      <c r="AG676" s="879"/>
      <c r="AH676" s="879"/>
      <c r="AI676" s="879"/>
      <c r="AJ676" s="879"/>
      <c r="AK676" s="879"/>
      <c r="AL676" s="879"/>
      <c r="AM676" s="879"/>
      <c r="AN676" s="879"/>
      <c r="AO676" s="879"/>
      <c r="AP676" s="879"/>
      <c r="AQ676" s="879"/>
      <c r="AR676" s="879"/>
      <c r="AS676" s="879"/>
    </row>
    <row r="677" spans="1:45" x14ac:dyDescent="0.2">
      <c r="A677" s="527">
        <v>675</v>
      </c>
      <c r="B677" s="879"/>
      <c r="C677" s="879" t="s">
        <v>3797</v>
      </c>
      <c r="D677" s="879"/>
      <c r="E677" s="879"/>
      <c r="F677" s="879"/>
      <c r="G677" s="624"/>
      <c r="H677" s="879"/>
      <c r="I677" s="879"/>
      <c r="J677" s="835">
        <v>2022</v>
      </c>
      <c r="K677" s="976">
        <v>2024</v>
      </c>
      <c r="L677" s="613" t="s">
        <v>303</v>
      </c>
      <c r="M677" s="613">
        <f t="shared" si="128"/>
        <v>0</v>
      </c>
      <c r="N677" s="613">
        <f t="shared" si="129"/>
        <v>1</v>
      </c>
      <c r="O677" s="880"/>
      <c r="P677" s="880"/>
      <c r="Q677" s="836">
        <v>1</v>
      </c>
      <c r="R677" s="880"/>
      <c r="S677" s="880"/>
      <c r="T677" s="880"/>
      <c r="U677" s="613">
        <f t="shared" si="122"/>
        <v>1</v>
      </c>
      <c r="V677" s="879"/>
      <c r="W677" s="613" t="str">
        <f t="shared" si="130"/>
        <v>I</v>
      </c>
      <c r="X677" s="613" t="str">
        <f t="shared" si="131"/>
        <v>I</v>
      </c>
      <c r="Y677" s="613">
        <f t="shared" si="132"/>
        <v>2022</v>
      </c>
      <c r="Z677" s="613" t="str">
        <f t="shared" si="133"/>
        <v>I</v>
      </c>
      <c r="AA677" s="613" t="str">
        <f t="shared" si="134"/>
        <v>I</v>
      </c>
      <c r="AB677" s="613" t="str">
        <f t="shared" si="134"/>
        <v>I</v>
      </c>
      <c r="AC677" s="879"/>
      <c r="AD677" s="880"/>
      <c r="AE677" s="881"/>
      <c r="AF677" s="644"/>
      <c r="AG677" s="879"/>
      <c r="AH677" s="879"/>
      <c r="AI677" s="879"/>
      <c r="AJ677" s="879"/>
      <c r="AK677" s="879"/>
      <c r="AL677" s="879"/>
      <c r="AM677" s="879"/>
      <c r="AN677" s="879"/>
      <c r="AO677" s="879"/>
      <c r="AP677" s="879"/>
      <c r="AQ677" s="879"/>
      <c r="AR677" s="879"/>
      <c r="AS677" s="879"/>
    </row>
    <row r="678" spans="1:45" x14ac:dyDescent="0.2">
      <c r="A678" s="527">
        <v>676</v>
      </c>
      <c r="B678" s="879"/>
      <c r="C678" s="879" t="s">
        <v>3798</v>
      </c>
      <c r="D678" s="879"/>
      <c r="E678" s="879"/>
      <c r="F678" s="879"/>
      <c r="G678" s="624"/>
      <c r="H678" s="879"/>
      <c r="I678" s="879"/>
      <c r="J678" s="835">
        <v>2023</v>
      </c>
      <c r="K678" s="976">
        <v>2024</v>
      </c>
      <c r="L678" s="613" t="s">
        <v>303</v>
      </c>
      <c r="M678" s="613">
        <f t="shared" si="128"/>
        <v>0</v>
      </c>
      <c r="N678" s="613">
        <f t="shared" si="129"/>
        <v>1</v>
      </c>
      <c r="O678" s="880"/>
      <c r="P678" s="880"/>
      <c r="Q678" s="836">
        <v>1</v>
      </c>
      <c r="R678" s="880"/>
      <c r="S678" s="880"/>
      <c r="T678" s="880"/>
      <c r="U678" s="613">
        <f t="shared" si="122"/>
        <v>1</v>
      </c>
      <c r="V678" s="879"/>
      <c r="W678" s="613" t="str">
        <f t="shared" si="130"/>
        <v>I</v>
      </c>
      <c r="X678" s="613" t="str">
        <f t="shared" si="131"/>
        <v>I</v>
      </c>
      <c r="Y678" s="613">
        <f t="shared" si="132"/>
        <v>2023</v>
      </c>
      <c r="Z678" s="613" t="str">
        <f t="shared" si="133"/>
        <v>I</v>
      </c>
      <c r="AA678" s="613" t="str">
        <f t="shared" si="134"/>
        <v>I</v>
      </c>
      <c r="AB678" s="613" t="str">
        <f t="shared" si="134"/>
        <v>I</v>
      </c>
      <c r="AC678" s="879"/>
      <c r="AD678" s="880"/>
      <c r="AE678" s="881"/>
      <c r="AF678" s="644"/>
      <c r="AG678" s="879"/>
      <c r="AH678" s="879"/>
      <c r="AI678" s="879"/>
      <c r="AJ678" s="879"/>
      <c r="AK678" s="879"/>
      <c r="AL678" s="879"/>
      <c r="AM678" s="879"/>
      <c r="AN678" s="879"/>
      <c r="AO678" s="879"/>
      <c r="AP678" s="879"/>
      <c r="AQ678" s="879"/>
      <c r="AR678" s="879"/>
      <c r="AS678" s="879"/>
    </row>
    <row r="679" spans="1:45" x14ac:dyDescent="0.2">
      <c r="A679" s="527">
        <v>677</v>
      </c>
      <c r="B679" s="879"/>
      <c r="C679" s="879" t="s">
        <v>3799</v>
      </c>
      <c r="D679" s="879"/>
      <c r="E679" s="879"/>
      <c r="F679" s="879"/>
      <c r="G679" s="624"/>
      <c r="H679" s="879"/>
      <c r="I679" s="879"/>
      <c r="J679" s="835">
        <v>2024</v>
      </c>
      <c r="K679" s="976">
        <v>2024</v>
      </c>
      <c r="L679" s="613" t="s">
        <v>303</v>
      </c>
      <c r="M679" s="613">
        <f t="shared" si="128"/>
        <v>0</v>
      </c>
      <c r="N679" s="613">
        <f t="shared" si="129"/>
        <v>1</v>
      </c>
      <c r="O679" s="880"/>
      <c r="P679" s="880"/>
      <c r="Q679" s="836">
        <v>1</v>
      </c>
      <c r="R679" s="880"/>
      <c r="S679" s="880"/>
      <c r="T679" s="880"/>
      <c r="U679" s="613">
        <f t="shared" si="122"/>
        <v>1</v>
      </c>
      <c r="V679" s="879"/>
      <c r="W679" s="613" t="str">
        <f t="shared" si="130"/>
        <v>I</v>
      </c>
      <c r="X679" s="613" t="str">
        <f t="shared" si="131"/>
        <v>I</v>
      </c>
      <c r="Y679" s="613">
        <f t="shared" si="132"/>
        <v>2024</v>
      </c>
      <c r="Z679" s="613" t="str">
        <f t="shared" si="133"/>
        <v>I</v>
      </c>
      <c r="AA679" s="613" t="str">
        <f t="shared" si="134"/>
        <v>I</v>
      </c>
      <c r="AB679" s="613" t="str">
        <f t="shared" si="134"/>
        <v>I</v>
      </c>
      <c r="AC679" s="879"/>
      <c r="AD679" s="880"/>
      <c r="AE679" s="881"/>
      <c r="AF679" s="644"/>
      <c r="AG679" s="879"/>
      <c r="AH679" s="879"/>
      <c r="AI679" s="879"/>
      <c r="AJ679" s="879"/>
      <c r="AK679" s="879"/>
      <c r="AL679" s="879"/>
      <c r="AM679" s="879"/>
      <c r="AN679" s="879"/>
      <c r="AO679" s="879"/>
      <c r="AP679" s="879"/>
      <c r="AQ679" s="879"/>
      <c r="AR679" s="879"/>
      <c r="AS679" s="879"/>
    </row>
    <row r="680" spans="1:45" x14ac:dyDescent="0.2">
      <c r="A680" s="527">
        <v>678</v>
      </c>
      <c r="B680" s="879"/>
      <c r="C680" s="879" t="s">
        <v>3800</v>
      </c>
      <c r="D680" s="879"/>
      <c r="E680" s="879"/>
      <c r="F680" s="879"/>
      <c r="G680" s="624"/>
      <c r="H680" s="879"/>
      <c r="I680" s="879"/>
      <c r="J680" s="835">
        <v>2021</v>
      </c>
      <c r="K680" s="976">
        <v>2024</v>
      </c>
      <c r="L680" s="613" t="s">
        <v>303</v>
      </c>
      <c r="M680" s="613">
        <f t="shared" si="128"/>
        <v>0</v>
      </c>
      <c r="N680" s="613">
        <f t="shared" si="129"/>
        <v>1</v>
      </c>
      <c r="O680" s="880"/>
      <c r="P680" s="880"/>
      <c r="Q680" s="836">
        <v>1</v>
      </c>
      <c r="R680" s="880"/>
      <c r="S680" s="880"/>
      <c r="T680" s="880"/>
      <c r="U680" s="613">
        <f t="shared" si="122"/>
        <v>1</v>
      </c>
      <c r="V680" s="879"/>
      <c r="W680" s="613" t="str">
        <f t="shared" si="130"/>
        <v>I</v>
      </c>
      <c r="X680" s="613" t="str">
        <f t="shared" si="131"/>
        <v>I</v>
      </c>
      <c r="Y680" s="613">
        <f t="shared" si="132"/>
        <v>2021</v>
      </c>
      <c r="Z680" s="613" t="str">
        <f t="shared" si="133"/>
        <v>I</v>
      </c>
      <c r="AA680" s="613" t="str">
        <f t="shared" si="134"/>
        <v>I</v>
      </c>
      <c r="AB680" s="613" t="str">
        <f t="shared" si="134"/>
        <v>I</v>
      </c>
      <c r="AC680" s="879"/>
      <c r="AD680" s="880"/>
      <c r="AE680" s="881"/>
      <c r="AF680" s="644"/>
      <c r="AG680" s="879"/>
      <c r="AH680" s="879"/>
      <c r="AI680" s="879"/>
      <c r="AJ680" s="879"/>
      <c r="AK680" s="879"/>
      <c r="AL680" s="879"/>
      <c r="AM680" s="879"/>
      <c r="AN680" s="879"/>
      <c r="AO680" s="879"/>
      <c r="AP680" s="879"/>
      <c r="AQ680" s="879"/>
      <c r="AR680" s="879"/>
      <c r="AS680" s="879"/>
    </row>
    <row r="681" spans="1:45" x14ac:dyDescent="0.2">
      <c r="A681" s="527">
        <v>679</v>
      </c>
      <c r="B681" s="879"/>
      <c r="C681" s="879" t="s">
        <v>3806</v>
      </c>
      <c r="D681" s="879"/>
      <c r="E681" s="879"/>
      <c r="F681" s="879"/>
      <c r="G681" s="624"/>
      <c r="H681" s="879"/>
      <c r="I681" s="879"/>
      <c r="J681" s="835">
        <v>2023</v>
      </c>
      <c r="K681" s="976">
        <v>2024</v>
      </c>
      <c r="L681" s="613" t="s">
        <v>303</v>
      </c>
      <c r="M681" s="613">
        <f t="shared" si="128"/>
        <v>0</v>
      </c>
      <c r="N681" s="613">
        <f t="shared" si="129"/>
        <v>1</v>
      </c>
      <c r="O681" s="880"/>
      <c r="P681" s="880"/>
      <c r="Q681" s="836">
        <v>1</v>
      </c>
      <c r="R681" s="880"/>
      <c r="S681" s="880"/>
      <c r="T681" s="880"/>
      <c r="U681" s="613">
        <f t="shared" si="122"/>
        <v>1</v>
      </c>
      <c r="V681" s="879"/>
      <c r="W681" s="613" t="str">
        <f t="shared" si="130"/>
        <v>I</v>
      </c>
      <c r="X681" s="613" t="str">
        <f t="shared" si="131"/>
        <v>I</v>
      </c>
      <c r="Y681" s="613">
        <f t="shared" si="132"/>
        <v>2023</v>
      </c>
      <c r="Z681" s="613" t="str">
        <f t="shared" si="133"/>
        <v>I</v>
      </c>
      <c r="AA681" s="613" t="str">
        <f t="shared" si="134"/>
        <v>I</v>
      </c>
      <c r="AB681" s="613" t="str">
        <f t="shared" si="134"/>
        <v>I</v>
      </c>
      <c r="AC681" s="879"/>
      <c r="AD681" s="880"/>
      <c r="AE681" s="881"/>
      <c r="AF681" s="644"/>
      <c r="AG681" s="879"/>
      <c r="AH681" s="879"/>
      <c r="AI681" s="879"/>
      <c r="AJ681" s="879"/>
      <c r="AK681" s="879"/>
      <c r="AL681" s="879"/>
      <c r="AM681" s="879"/>
      <c r="AN681" s="879"/>
      <c r="AO681" s="879"/>
      <c r="AP681" s="879"/>
      <c r="AQ681" s="879"/>
      <c r="AR681" s="879"/>
      <c r="AS681" s="879"/>
    </row>
    <row r="682" spans="1:45" x14ac:dyDescent="0.2">
      <c r="A682" s="527">
        <v>680</v>
      </c>
      <c r="B682" s="879"/>
      <c r="C682" s="879" t="s">
        <v>3807</v>
      </c>
      <c r="D682" s="879"/>
      <c r="E682" s="879"/>
      <c r="F682" s="879"/>
      <c r="G682" s="624"/>
      <c r="H682" s="879"/>
      <c r="I682" s="879"/>
      <c r="J682" s="835">
        <v>2024</v>
      </c>
      <c r="K682" s="976">
        <v>2024</v>
      </c>
      <c r="L682" s="613" t="s">
        <v>303</v>
      </c>
      <c r="M682" s="613">
        <f t="shared" si="128"/>
        <v>0</v>
      </c>
      <c r="N682" s="613">
        <f t="shared" si="129"/>
        <v>1</v>
      </c>
      <c r="O682" s="880"/>
      <c r="P682" s="880"/>
      <c r="Q682" s="836">
        <v>1</v>
      </c>
      <c r="R682" s="880"/>
      <c r="S682" s="880"/>
      <c r="T682" s="880"/>
      <c r="U682" s="613">
        <f t="shared" si="122"/>
        <v>1</v>
      </c>
      <c r="V682" s="879"/>
      <c r="W682" s="613" t="str">
        <f t="shared" si="130"/>
        <v>I</v>
      </c>
      <c r="X682" s="613" t="str">
        <f t="shared" si="131"/>
        <v>I</v>
      </c>
      <c r="Y682" s="613">
        <f t="shared" si="132"/>
        <v>2024</v>
      </c>
      <c r="Z682" s="613" t="str">
        <f t="shared" si="133"/>
        <v>I</v>
      </c>
      <c r="AA682" s="613" t="str">
        <f t="shared" si="134"/>
        <v>I</v>
      </c>
      <c r="AB682" s="613" t="str">
        <f t="shared" si="134"/>
        <v>I</v>
      </c>
      <c r="AC682" s="879"/>
      <c r="AD682" s="880"/>
      <c r="AE682" s="881"/>
      <c r="AF682" s="644"/>
      <c r="AG682" s="879"/>
      <c r="AH682" s="879"/>
      <c r="AI682" s="879"/>
      <c r="AJ682" s="879"/>
      <c r="AK682" s="879"/>
      <c r="AL682" s="879"/>
      <c r="AM682" s="879"/>
      <c r="AN682" s="879"/>
      <c r="AO682" s="879"/>
      <c r="AP682" s="879"/>
      <c r="AQ682" s="879"/>
      <c r="AR682" s="879"/>
      <c r="AS682" s="879"/>
    </row>
    <row r="683" spans="1:45" x14ac:dyDescent="0.2">
      <c r="A683" s="527">
        <v>681</v>
      </c>
      <c r="B683" s="879"/>
      <c r="C683" s="879" t="s">
        <v>3808</v>
      </c>
      <c r="D683" s="879"/>
      <c r="E683" s="879"/>
      <c r="F683" s="879"/>
      <c r="G683" s="624"/>
      <c r="H683" s="879"/>
      <c r="I683" s="879"/>
      <c r="J683" s="835">
        <v>2023</v>
      </c>
      <c r="K683" s="976">
        <v>2024</v>
      </c>
      <c r="L683" s="613" t="s">
        <v>303</v>
      </c>
      <c r="M683" s="613">
        <f t="shared" si="128"/>
        <v>0</v>
      </c>
      <c r="N683" s="613">
        <f t="shared" si="129"/>
        <v>1</v>
      </c>
      <c r="O683" s="880"/>
      <c r="P683" s="880"/>
      <c r="Q683" s="836">
        <v>1</v>
      </c>
      <c r="R683" s="880"/>
      <c r="S683" s="880"/>
      <c r="T683" s="880"/>
      <c r="U683" s="613">
        <f t="shared" si="122"/>
        <v>1</v>
      </c>
      <c r="V683" s="879"/>
      <c r="W683" s="613" t="str">
        <f t="shared" si="130"/>
        <v>I</v>
      </c>
      <c r="X683" s="613" t="str">
        <f t="shared" si="131"/>
        <v>I</v>
      </c>
      <c r="Y683" s="613">
        <f t="shared" si="132"/>
        <v>2023</v>
      </c>
      <c r="Z683" s="613" t="str">
        <f t="shared" si="133"/>
        <v>I</v>
      </c>
      <c r="AA683" s="613" t="str">
        <f t="shared" si="134"/>
        <v>I</v>
      </c>
      <c r="AB683" s="613" t="str">
        <f t="shared" si="134"/>
        <v>I</v>
      </c>
      <c r="AC683" s="879"/>
      <c r="AD683" s="880"/>
      <c r="AE683" s="881"/>
      <c r="AF683" s="644"/>
      <c r="AG683" s="879"/>
      <c r="AH683" s="879"/>
      <c r="AI683" s="879"/>
      <c r="AJ683" s="879"/>
      <c r="AK683" s="879"/>
      <c r="AL683" s="879"/>
      <c r="AM683" s="879"/>
      <c r="AN683" s="879"/>
      <c r="AO683" s="879"/>
      <c r="AP683" s="879"/>
      <c r="AQ683" s="879"/>
      <c r="AR683" s="879"/>
      <c r="AS683" s="879"/>
    </row>
    <row r="684" spans="1:45" x14ac:dyDescent="0.2">
      <c r="A684" s="527">
        <v>682</v>
      </c>
      <c r="B684" s="879"/>
      <c r="C684" s="879" t="s">
        <v>3805</v>
      </c>
      <c r="D684" s="879"/>
      <c r="E684" s="879"/>
      <c r="F684" s="879"/>
      <c r="G684" s="624"/>
      <c r="H684" s="879"/>
      <c r="I684" s="879"/>
      <c r="J684" s="835">
        <v>2023</v>
      </c>
      <c r="K684" s="976">
        <v>2024</v>
      </c>
      <c r="L684" s="613" t="s">
        <v>336</v>
      </c>
      <c r="M684" s="613">
        <f t="shared" si="128"/>
        <v>1</v>
      </c>
      <c r="N684" s="613">
        <f t="shared" si="129"/>
        <v>0</v>
      </c>
      <c r="O684" s="880"/>
      <c r="P684" s="880"/>
      <c r="Q684" s="836">
        <v>1</v>
      </c>
      <c r="R684" s="880"/>
      <c r="S684" s="880"/>
      <c r="T684" s="880"/>
      <c r="U684" s="613">
        <f t="shared" si="122"/>
        <v>1</v>
      </c>
      <c r="V684" s="879"/>
      <c r="W684" s="613" t="str">
        <f t="shared" si="130"/>
        <v>I</v>
      </c>
      <c r="X684" s="613" t="str">
        <f t="shared" si="131"/>
        <v>I</v>
      </c>
      <c r="Y684" s="613">
        <f t="shared" si="132"/>
        <v>2023</v>
      </c>
      <c r="Z684" s="613" t="str">
        <f t="shared" si="133"/>
        <v>I</v>
      </c>
      <c r="AA684" s="613" t="str">
        <f t="shared" si="134"/>
        <v>I</v>
      </c>
      <c r="AB684" s="613" t="str">
        <f t="shared" si="134"/>
        <v>I</v>
      </c>
      <c r="AC684" s="879"/>
      <c r="AD684" s="880"/>
      <c r="AE684" s="881"/>
      <c r="AF684" s="644"/>
      <c r="AG684" s="879"/>
      <c r="AH684" s="879"/>
      <c r="AI684" s="879"/>
      <c r="AJ684" s="879"/>
      <c r="AK684" s="879"/>
      <c r="AL684" s="879"/>
      <c r="AM684" s="879"/>
      <c r="AN684" s="879"/>
      <c r="AO684" s="879"/>
      <c r="AP684" s="879"/>
      <c r="AQ684" s="879"/>
      <c r="AR684" s="879"/>
      <c r="AS684" s="879"/>
    </row>
    <row r="685" spans="1:45" x14ac:dyDescent="0.2">
      <c r="A685" s="527">
        <v>683</v>
      </c>
      <c r="B685" s="879"/>
      <c r="C685" s="879" t="s">
        <v>3812</v>
      </c>
      <c r="D685" s="879"/>
      <c r="E685" s="879"/>
      <c r="F685" s="879"/>
      <c r="G685" s="624"/>
      <c r="H685" s="879"/>
      <c r="I685" s="879"/>
      <c r="J685" s="835">
        <v>2021</v>
      </c>
      <c r="K685" s="976">
        <v>2024</v>
      </c>
      <c r="L685" s="613" t="s">
        <v>303</v>
      </c>
      <c r="M685" s="613">
        <f t="shared" si="128"/>
        <v>0</v>
      </c>
      <c r="N685" s="613">
        <f t="shared" si="129"/>
        <v>1</v>
      </c>
      <c r="O685" s="880"/>
      <c r="P685" s="880"/>
      <c r="Q685" s="836">
        <v>1</v>
      </c>
      <c r="R685" s="880"/>
      <c r="S685" s="880"/>
      <c r="T685" s="880"/>
      <c r="U685" s="613">
        <f t="shared" si="122"/>
        <v>1</v>
      </c>
      <c r="V685" s="879"/>
      <c r="W685" s="613" t="str">
        <f t="shared" si="130"/>
        <v>I</v>
      </c>
      <c r="X685" s="613" t="str">
        <f t="shared" si="131"/>
        <v>I</v>
      </c>
      <c r="Y685" s="613">
        <f t="shared" si="132"/>
        <v>2021</v>
      </c>
      <c r="Z685" s="613" t="str">
        <f t="shared" si="133"/>
        <v>I</v>
      </c>
      <c r="AA685" s="613" t="str">
        <f t="shared" si="134"/>
        <v>I</v>
      </c>
      <c r="AB685" s="613" t="str">
        <f t="shared" si="134"/>
        <v>I</v>
      </c>
      <c r="AC685" s="879"/>
      <c r="AD685" s="880"/>
      <c r="AE685" s="881"/>
      <c r="AF685" s="644"/>
      <c r="AG685" s="879"/>
      <c r="AH685" s="879"/>
      <c r="AI685" s="879"/>
      <c r="AJ685" s="879"/>
      <c r="AK685" s="879"/>
      <c r="AL685" s="879"/>
      <c r="AM685" s="879"/>
      <c r="AN685" s="879"/>
      <c r="AO685" s="879"/>
      <c r="AP685" s="879"/>
      <c r="AQ685" s="879"/>
      <c r="AR685" s="879"/>
      <c r="AS685" s="879"/>
    </row>
    <row r="686" spans="1:45" x14ac:dyDescent="0.2">
      <c r="A686" s="527">
        <v>684</v>
      </c>
      <c r="B686" s="879"/>
      <c r="C686" s="879" t="s">
        <v>3813</v>
      </c>
      <c r="D686" s="879"/>
      <c r="E686" s="879"/>
      <c r="F686" s="879"/>
      <c r="G686" s="624"/>
      <c r="H686" s="879"/>
      <c r="I686" s="879"/>
      <c r="J686" s="835">
        <v>2023</v>
      </c>
      <c r="K686" s="976">
        <v>2024</v>
      </c>
      <c r="L686" s="613" t="s">
        <v>303</v>
      </c>
      <c r="M686" s="613">
        <f t="shared" si="128"/>
        <v>0</v>
      </c>
      <c r="N686" s="613">
        <f t="shared" si="129"/>
        <v>1</v>
      </c>
      <c r="O686" s="880"/>
      <c r="P686" s="880"/>
      <c r="Q686" s="836">
        <v>1</v>
      </c>
      <c r="R686" s="880"/>
      <c r="S686" s="880"/>
      <c r="T686" s="880"/>
      <c r="U686" s="613">
        <f t="shared" si="122"/>
        <v>1</v>
      </c>
      <c r="V686" s="879"/>
      <c r="W686" s="613" t="str">
        <f t="shared" si="130"/>
        <v>I</v>
      </c>
      <c r="X686" s="613" t="str">
        <f t="shared" si="131"/>
        <v>I</v>
      </c>
      <c r="Y686" s="613">
        <f t="shared" si="132"/>
        <v>2023</v>
      </c>
      <c r="Z686" s="613" t="str">
        <f t="shared" si="133"/>
        <v>I</v>
      </c>
      <c r="AA686" s="613" t="str">
        <f t="shared" si="134"/>
        <v>I</v>
      </c>
      <c r="AB686" s="613" t="str">
        <f t="shared" si="134"/>
        <v>I</v>
      </c>
      <c r="AC686" s="879"/>
      <c r="AD686" s="880"/>
      <c r="AE686" s="881"/>
      <c r="AF686" s="644"/>
      <c r="AG686" s="879"/>
      <c r="AH686" s="879"/>
      <c r="AI686" s="879"/>
      <c r="AJ686" s="879"/>
      <c r="AK686" s="879"/>
      <c r="AL686" s="879"/>
      <c r="AM686" s="879"/>
      <c r="AN686" s="879"/>
      <c r="AO686" s="879"/>
      <c r="AP686" s="879"/>
      <c r="AQ686" s="879"/>
      <c r="AR686" s="879"/>
      <c r="AS686" s="879"/>
    </row>
    <row r="687" spans="1:45" x14ac:dyDescent="0.2">
      <c r="A687" s="527">
        <v>685</v>
      </c>
      <c r="B687" s="879"/>
      <c r="C687" s="879" t="s">
        <v>3409</v>
      </c>
      <c r="D687" s="879"/>
      <c r="E687" s="879"/>
      <c r="F687" s="879"/>
      <c r="G687" s="624"/>
      <c r="H687" s="879"/>
      <c r="I687" s="879"/>
      <c r="J687" s="835">
        <v>2018</v>
      </c>
      <c r="K687" s="976">
        <v>2024</v>
      </c>
      <c r="L687" s="613" t="s">
        <v>336</v>
      </c>
      <c r="M687" s="613">
        <f t="shared" si="128"/>
        <v>0</v>
      </c>
      <c r="N687" s="613">
        <f t="shared" si="129"/>
        <v>0</v>
      </c>
      <c r="O687" s="880"/>
      <c r="P687" s="880"/>
      <c r="Q687" s="836"/>
      <c r="R687" s="836">
        <v>1</v>
      </c>
      <c r="S687" s="880"/>
      <c r="T687" s="880"/>
      <c r="U687" s="613">
        <f t="shared" si="122"/>
        <v>1</v>
      </c>
      <c r="V687" s="879"/>
      <c r="W687" s="613" t="str">
        <f t="shared" si="130"/>
        <v>I</v>
      </c>
      <c r="X687" s="613" t="str">
        <f t="shared" si="131"/>
        <v>I</v>
      </c>
      <c r="Y687" s="613" t="str">
        <f t="shared" si="132"/>
        <v>I</v>
      </c>
      <c r="Z687" s="613">
        <f t="shared" si="133"/>
        <v>2018</v>
      </c>
      <c r="AA687" s="613" t="str">
        <f t="shared" si="134"/>
        <v>I</v>
      </c>
      <c r="AB687" s="613" t="str">
        <f t="shared" si="134"/>
        <v>I</v>
      </c>
      <c r="AC687" s="879"/>
      <c r="AD687" s="880"/>
      <c r="AE687" s="881"/>
      <c r="AF687" s="644"/>
      <c r="AG687" s="879"/>
      <c r="AH687" s="879"/>
      <c r="AI687" s="879"/>
      <c r="AJ687" s="879"/>
      <c r="AK687" s="879"/>
      <c r="AL687" s="879"/>
      <c r="AM687" s="879"/>
      <c r="AN687" s="879"/>
      <c r="AO687" s="879"/>
      <c r="AP687" s="879"/>
      <c r="AQ687" s="879"/>
      <c r="AR687" s="879"/>
      <c r="AS687" s="879"/>
    </row>
    <row r="688" spans="1:45" x14ac:dyDescent="0.2">
      <c r="A688" s="527">
        <v>686</v>
      </c>
      <c r="B688" s="879"/>
      <c r="C688" s="879" t="s">
        <v>3815</v>
      </c>
      <c r="D688" s="879"/>
      <c r="E688" s="879"/>
      <c r="F688" s="879"/>
      <c r="G688" s="624"/>
      <c r="H688" s="879"/>
      <c r="I688" s="879"/>
      <c r="J688" s="835">
        <v>2023</v>
      </c>
      <c r="K688" s="976">
        <v>2024</v>
      </c>
      <c r="L688" s="613" t="s">
        <v>336</v>
      </c>
      <c r="M688" s="613">
        <f t="shared" si="128"/>
        <v>1</v>
      </c>
      <c r="N688" s="613">
        <f t="shared" si="129"/>
        <v>0</v>
      </c>
      <c r="O688" s="880"/>
      <c r="P688" s="880"/>
      <c r="Q688" s="836">
        <v>1</v>
      </c>
      <c r="R688" s="880"/>
      <c r="S688" s="880"/>
      <c r="T688" s="880"/>
      <c r="U688" s="613">
        <f t="shared" si="122"/>
        <v>1</v>
      </c>
      <c r="V688" s="879"/>
      <c r="W688" s="613" t="str">
        <f t="shared" si="130"/>
        <v>I</v>
      </c>
      <c r="X688" s="613" t="str">
        <f t="shared" si="131"/>
        <v>I</v>
      </c>
      <c r="Y688" s="613">
        <f t="shared" si="132"/>
        <v>2023</v>
      </c>
      <c r="Z688" s="613" t="str">
        <f t="shared" si="133"/>
        <v>I</v>
      </c>
      <c r="AA688" s="613" t="str">
        <f t="shared" si="134"/>
        <v>I</v>
      </c>
      <c r="AB688" s="613" t="str">
        <f t="shared" si="134"/>
        <v>I</v>
      </c>
      <c r="AC688" s="879"/>
      <c r="AD688" s="880"/>
      <c r="AE688" s="881"/>
      <c r="AF688" s="644"/>
      <c r="AG688" s="879"/>
      <c r="AH688" s="879"/>
      <c r="AI688" s="879"/>
      <c r="AJ688" s="879"/>
      <c r="AK688" s="879"/>
      <c r="AL688" s="879"/>
      <c r="AM688" s="879"/>
      <c r="AN688" s="879"/>
      <c r="AO688" s="879"/>
      <c r="AP688" s="879"/>
      <c r="AQ688" s="879"/>
      <c r="AR688" s="879"/>
      <c r="AS688" s="879"/>
    </row>
    <row r="689" spans="1:45" x14ac:dyDescent="0.2">
      <c r="A689" s="527">
        <v>687</v>
      </c>
      <c r="B689" s="879"/>
      <c r="C689" s="879" t="s">
        <v>3875</v>
      </c>
      <c r="D689" s="879"/>
      <c r="E689" s="879"/>
      <c r="F689" s="879"/>
      <c r="G689" s="624"/>
      <c r="H689" s="879"/>
      <c r="I689" s="879"/>
      <c r="J689" s="835">
        <v>2023</v>
      </c>
      <c r="K689" s="976">
        <v>2024</v>
      </c>
      <c r="L689" s="613" t="s">
        <v>303</v>
      </c>
      <c r="M689" s="613">
        <f t="shared" si="128"/>
        <v>0</v>
      </c>
      <c r="N689" s="613">
        <f t="shared" si="129"/>
        <v>1</v>
      </c>
      <c r="O689" s="880"/>
      <c r="P689" s="880"/>
      <c r="Q689" s="836">
        <v>1</v>
      </c>
      <c r="R689" s="880"/>
      <c r="S689" s="880"/>
      <c r="T689" s="880"/>
      <c r="U689" s="613">
        <f t="shared" si="122"/>
        <v>1</v>
      </c>
      <c r="V689" s="879"/>
      <c r="W689" s="613" t="str">
        <f t="shared" si="130"/>
        <v>I</v>
      </c>
      <c r="X689" s="613" t="str">
        <f t="shared" si="131"/>
        <v>I</v>
      </c>
      <c r="Y689" s="613">
        <f t="shared" si="132"/>
        <v>2023</v>
      </c>
      <c r="Z689" s="613" t="str">
        <f t="shared" si="133"/>
        <v>I</v>
      </c>
      <c r="AA689" s="613" t="str">
        <f t="shared" si="134"/>
        <v>I</v>
      </c>
      <c r="AB689" s="613" t="str">
        <f t="shared" si="134"/>
        <v>I</v>
      </c>
      <c r="AC689" s="879"/>
      <c r="AD689" s="880"/>
      <c r="AE689" s="881"/>
      <c r="AF689" s="644"/>
      <c r="AG689" s="879"/>
      <c r="AH689" s="879"/>
      <c r="AI689" s="879"/>
      <c r="AJ689" s="879"/>
      <c r="AK689" s="879"/>
      <c r="AL689" s="879"/>
      <c r="AM689" s="879"/>
      <c r="AN689" s="879"/>
      <c r="AO689" s="879"/>
      <c r="AP689" s="879"/>
      <c r="AQ689" s="879"/>
      <c r="AR689" s="879"/>
      <c r="AS689" s="879"/>
    </row>
    <row r="690" spans="1:45" x14ac:dyDescent="0.2">
      <c r="A690" s="527">
        <v>688</v>
      </c>
      <c r="B690" s="879"/>
      <c r="C690" s="879" t="s">
        <v>3818</v>
      </c>
      <c r="D690" s="879"/>
      <c r="E690" s="879"/>
      <c r="F690" s="879"/>
      <c r="G690" s="624"/>
      <c r="H690" s="879"/>
      <c r="I690" s="879"/>
      <c r="J690" s="835">
        <v>2016</v>
      </c>
      <c r="K690" s="976">
        <v>2024</v>
      </c>
      <c r="L690" s="613" t="s">
        <v>303</v>
      </c>
      <c r="M690" s="613">
        <f t="shared" si="128"/>
        <v>0</v>
      </c>
      <c r="N690" s="613">
        <f t="shared" si="129"/>
        <v>1</v>
      </c>
      <c r="O690" s="880"/>
      <c r="P690" s="880"/>
      <c r="Q690" s="836">
        <v>1</v>
      </c>
      <c r="R690" s="880"/>
      <c r="S690" s="880"/>
      <c r="T690" s="880"/>
      <c r="U690" s="613">
        <f t="shared" si="122"/>
        <v>1</v>
      </c>
      <c r="V690" s="879"/>
      <c r="W690" s="613" t="str">
        <f t="shared" si="130"/>
        <v>I</v>
      </c>
      <c r="X690" s="613" t="str">
        <f t="shared" si="131"/>
        <v>I</v>
      </c>
      <c r="Y690" s="613">
        <f t="shared" si="132"/>
        <v>2016</v>
      </c>
      <c r="Z690" s="613" t="str">
        <f t="shared" si="133"/>
        <v>I</v>
      </c>
      <c r="AA690" s="613" t="str">
        <f t="shared" si="134"/>
        <v>I</v>
      </c>
      <c r="AB690" s="613" t="str">
        <f t="shared" si="134"/>
        <v>I</v>
      </c>
      <c r="AC690" s="879"/>
      <c r="AD690" s="880"/>
      <c r="AE690" s="881"/>
      <c r="AF690" s="644"/>
      <c r="AG690" s="879"/>
      <c r="AH690" s="879"/>
      <c r="AI690" s="879"/>
      <c r="AJ690" s="879"/>
      <c r="AK690" s="879"/>
      <c r="AL690" s="879"/>
      <c r="AM690" s="879"/>
      <c r="AN690" s="879"/>
      <c r="AO690" s="879"/>
      <c r="AP690" s="879"/>
      <c r="AQ690" s="879"/>
      <c r="AR690" s="879"/>
      <c r="AS690" s="879"/>
    </row>
    <row r="691" spans="1:45" x14ac:dyDescent="0.2">
      <c r="A691" s="527">
        <v>689</v>
      </c>
      <c r="B691" s="879"/>
      <c r="C691" s="879" t="s">
        <v>3820</v>
      </c>
      <c r="D691" s="879"/>
      <c r="E691" s="879"/>
      <c r="F691" s="879"/>
      <c r="G691" s="624"/>
      <c r="H691" s="879"/>
      <c r="I691" s="879"/>
      <c r="J691" s="835">
        <v>2023</v>
      </c>
      <c r="K691" s="976">
        <v>2024</v>
      </c>
      <c r="L691" s="613" t="s">
        <v>336</v>
      </c>
      <c r="M691" s="613">
        <f t="shared" si="128"/>
        <v>1</v>
      </c>
      <c r="N691" s="613">
        <f t="shared" si="129"/>
        <v>0</v>
      </c>
      <c r="O691" s="880"/>
      <c r="P691" s="880"/>
      <c r="Q691" s="836">
        <v>1</v>
      </c>
      <c r="R691" s="880"/>
      <c r="S691" s="880"/>
      <c r="T691" s="880"/>
      <c r="U691" s="613">
        <f t="shared" si="122"/>
        <v>1</v>
      </c>
      <c r="V691" s="879"/>
      <c r="W691" s="613" t="str">
        <f t="shared" si="130"/>
        <v>I</v>
      </c>
      <c r="X691" s="613" t="str">
        <f t="shared" si="131"/>
        <v>I</v>
      </c>
      <c r="Y691" s="613">
        <f t="shared" si="132"/>
        <v>2023</v>
      </c>
      <c r="Z691" s="613" t="str">
        <f t="shared" si="133"/>
        <v>I</v>
      </c>
      <c r="AA691" s="613" t="str">
        <f t="shared" si="134"/>
        <v>I</v>
      </c>
      <c r="AB691" s="613" t="str">
        <f t="shared" si="134"/>
        <v>I</v>
      </c>
      <c r="AC691" s="879"/>
      <c r="AD691" s="880"/>
      <c r="AE691" s="881"/>
      <c r="AF691" s="644"/>
      <c r="AG691" s="879"/>
      <c r="AH691" s="879"/>
      <c r="AI691" s="879"/>
      <c r="AJ691" s="879"/>
      <c r="AK691" s="879"/>
      <c r="AL691" s="879"/>
      <c r="AM691" s="879"/>
      <c r="AN691" s="879"/>
      <c r="AO691" s="879"/>
      <c r="AP691" s="879"/>
      <c r="AQ691" s="879"/>
      <c r="AR691" s="879"/>
      <c r="AS691" s="879"/>
    </row>
    <row r="692" spans="1:45" x14ac:dyDescent="0.2">
      <c r="A692" s="527">
        <v>690</v>
      </c>
      <c r="B692" s="879"/>
      <c r="C692" s="879" t="s">
        <v>3822</v>
      </c>
      <c r="D692" s="879"/>
      <c r="E692" s="879"/>
      <c r="F692" s="879"/>
      <c r="G692" s="624"/>
      <c r="H692" s="879"/>
      <c r="I692" s="879"/>
      <c r="J692" s="835">
        <v>2022</v>
      </c>
      <c r="K692" s="976">
        <v>2024</v>
      </c>
      <c r="L692" s="613" t="s">
        <v>336</v>
      </c>
      <c r="M692" s="613">
        <f t="shared" si="128"/>
        <v>1</v>
      </c>
      <c r="N692" s="613">
        <f t="shared" si="129"/>
        <v>0</v>
      </c>
      <c r="O692" s="880"/>
      <c r="P692" s="880"/>
      <c r="Q692" s="836">
        <v>1</v>
      </c>
      <c r="R692" s="880"/>
      <c r="S692" s="880"/>
      <c r="T692" s="880"/>
      <c r="U692" s="613">
        <f t="shared" si="122"/>
        <v>1</v>
      </c>
      <c r="V692" s="879"/>
      <c r="W692" s="613" t="str">
        <f t="shared" si="130"/>
        <v>I</v>
      </c>
      <c r="X692" s="613" t="str">
        <f t="shared" si="131"/>
        <v>I</v>
      </c>
      <c r="Y692" s="613">
        <f t="shared" si="132"/>
        <v>2022</v>
      </c>
      <c r="Z692" s="613" t="str">
        <f t="shared" si="133"/>
        <v>I</v>
      </c>
      <c r="AA692" s="613" t="str">
        <f t="shared" si="134"/>
        <v>I</v>
      </c>
      <c r="AB692" s="613" t="str">
        <f t="shared" si="134"/>
        <v>I</v>
      </c>
      <c r="AC692" s="879"/>
      <c r="AD692" s="880"/>
      <c r="AE692" s="881"/>
      <c r="AF692" s="644"/>
      <c r="AG692" s="879"/>
      <c r="AH692" s="879"/>
      <c r="AI692" s="879"/>
      <c r="AJ692" s="879"/>
      <c r="AK692" s="879"/>
      <c r="AL692" s="879"/>
      <c r="AM692" s="879"/>
      <c r="AN692" s="879"/>
      <c r="AO692" s="879"/>
      <c r="AP692" s="879"/>
      <c r="AQ692" s="879"/>
      <c r="AR692" s="879"/>
      <c r="AS692" s="879"/>
    </row>
    <row r="693" spans="1:45" x14ac:dyDescent="0.2">
      <c r="A693" s="527">
        <v>691</v>
      </c>
      <c r="B693" s="879"/>
      <c r="C693" s="879" t="s">
        <v>3823</v>
      </c>
      <c r="D693" s="879"/>
      <c r="E693" s="879"/>
      <c r="F693" s="879"/>
      <c r="G693" s="624"/>
      <c r="H693" s="879"/>
      <c r="I693" s="879"/>
      <c r="J693" s="835">
        <v>2024</v>
      </c>
      <c r="K693" s="976">
        <v>2024</v>
      </c>
      <c r="L693" s="613" t="s">
        <v>303</v>
      </c>
      <c r="M693" s="613">
        <f t="shared" si="128"/>
        <v>0</v>
      </c>
      <c r="N693" s="613">
        <f t="shared" si="129"/>
        <v>1</v>
      </c>
      <c r="O693" s="880"/>
      <c r="P693" s="880"/>
      <c r="Q693" s="836">
        <v>1</v>
      </c>
      <c r="R693" s="880"/>
      <c r="S693" s="880"/>
      <c r="T693" s="880"/>
      <c r="U693" s="613">
        <f t="shared" si="122"/>
        <v>1</v>
      </c>
      <c r="V693" s="879"/>
      <c r="W693" s="613" t="str">
        <f t="shared" si="130"/>
        <v>I</v>
      </c>
      <c r="X693" s="613" t="str">
        <f t="shared" si="131"/>
        <v>I</v>
      </c>
      <c r="Y693" s="613">
        <f t="shared" si="132"/>
        <v>2024</v>
      </c>
      <c r="Z693" s="613" t="str">
        <f t="shared" si="133"/>
        <v>I</v>
      </c>
      <c r="AA693" s="613" t="str">
        <f t="shared" si="134"/>
        <v>I</v>
      </c>
      <c r="AB693" s="613" t="str">
        <f t="shared" si="134"/>
        <v>I</v>
      </c>
      <c r="AC693" s="879"/>
      <c r="AD693" s="880"/>
      <c r="AE693" s="881"/>
      <c r="AF693" s="644"/>
      <c r="AG693" s="879"/>
      <c r="AH693" s="879"/>
      <c r="AI693" s="879"/>
      <c r="AJ693" s="879"/>
      <c r="AK693" s="879"/>
      <c r="AL693" s="879"/>
      <c r="AM693" s="879"/>
      <c r="AN693" s="879"/>
      <c r="AO693" s="879"/>
      <c r="AP693" s="879"/>
      <c r="AQ693" s="879"/>
      <c r="AR693" s="879"/>
      <c r="AS693" s="879"/>
    </row>
    <row r="694" spans="1:45" x14ac:dyDescent="0.2">
      <c r="A694" s="527">
        <v>692</v>
      </c>
      <c r="B694" s="879"/>
      <c r="C694" s="879" t="s">
        <v>3826</v>
      </c>
      <c r="D694" s="879"/>
      <c r="E694" s="879"/>
      <c r="F694" s="879"/>
      <c r="G694" s="624"/>
      <c r="H694" s="879"/>
      <c r="I694" s="879"/>
      <c r="J694" s="835">
        <v>2021</v>
      </c>
      <c r="K694" s="976">
        <v>2024</v>
      </c>
      <c r="L694" s="613" t="s">
        <v>336</v>
      </c>
      <c r="M694" s="613">
        <f t="shared" si="128"/>
        <v>1</v>
      </c>
      <c r="N694" s="613">
        <f t="shared" si="129"/>
        <v>0</v>
      </c>
      <c r="O694" s="880"/>
      <c r="P694" s="880"/>
      <c r="Q694" s="836">
        <v>1</v>
      </c>
      <c r="R694" s="880"/>
      <c r="S694" s="880"/>
      <c r="T694" s="880"/>
      <c r="U694" s="613">
        <f t="shared" si="122"/>
        <v>1</v>
      </c>
      <c r="V694" s="879"/>
      <c r="W694" s="613" t="str">
        <f t="shared" si="130"/>
        <v>I</v>
      </c>
      <c r="X694" s="613" t="str">
        <f t="shared" si="131"/>
        <v>I</v>
      </c>
      <c r="Y694" s="613">
        <f t="shared" si="132"/>
        <v>2021</v>
      </c>
      <c r="Z694" s="613" t="str">
        <f t="shared" si="133"/>
        <v>I</v>
      </c>
      <c r="AA694" s="613" t="str">
        <f t="shared" si="134"/>
        <v>I</v>
      </c>
      <c r="AB694" s="613" t="str">
        <f t="shared" si="134"/>
        <v>I</v>
      </c>
      <c r="AC694" s="879"/>
      <c r="AD694" s="880"/>
      <c r="AE694" s="881"/>
      <c r="AF694" s="644"/>
      <c r="AG694" s="879"/>
      <c r="AH694" s="879"/>
      <c r="AI694" s="879"/>
      <c r="AJ694" s="879"/>
      <c r="AK694" s="879"/>
      <c r="AL694" s="879"/>
      <c r="AM694" s="879"/>
      <c r="AN694" s="879"/>
      <c r="AO694" s="879"/>
      <c r="AP694" s="879"/>
      <c r="AQ694" s="879"/>
      <c r="AR694" s="879"/>
      <c r="AS694" s="879"/>
    </row>
    <row r="695" spans="1:45" x14ac:dyDescent="0.2">
      <c r="A695" s="527">
        <v>693</v>
      </c>
      <c r="B695" s="879"/>
      <c r="C695" s="879" t="s">
        <v>3828</v>
      </c>
      <c r="D695" s="879"/>
      <c r="E695" s="879"/>
      <c r="F695" s="879"/>
      <c r="G695" s="624"/>
      <c r="H695" s="879"/>
      <c r="I695" s="879"/>
      <c r="J695" s="835">
        <v>2023</v>
      </c>
      <c r="K695" s="976">
        <v>2024</v>
      </c>
      <c r="L695" s="613" t="s">
        <v>303</v>
      </c>
      <c r="M695" s="613">
        <f t="shared" si="128"/>
        <v>0</v>
      </c>
      <c r="N695" s="613">
        <f t="shared" si="129"/>
        <v>1</v>
      </c>
      <c r="O695" s="880"/>
      <c r="P695" s="880"/>
      <c r="Q695" s="836">
        <v>1</v>
      </c>
      <c r="R695" s="880"/>
      <c r="S695" s="880"/>
      <c r="T695" s="880"/>
      <c r="U695" s="613">
        <f t="shared" si="122"/>
        <v>1</v>
      </c>
      <c r="V695" s="879"/>
      <c r="W695" s="613" t="str">
        <f t="shared" si="130"/>
        <v>I</v>
      </c>
      <c r="X695" s="613" t="str">
        <f t="shared" si="131"/>
        <v>I</v>
      </c>
      <c r="Y695" s="613">
        <f t="shared" si="132"/>
        <v>2023</v>
      </c>
      <c r="Z695" s="613" t="str">
        <f t="shared" si="133"/>
        <v>I</v>
      </c>
      <c r="AA695" s="613" t="str">
        <f t="shared" si="134"/>
        <v>I</v>
      </c>
      <c r="AB695" s="613" t="str">
        <f t="shared" si="134"/>
        <v>I</v>
      </c>
      <c r="AC695" s="879"/>
      <c r="AD695" s="880"/>
      <c r="AE695" s="881"/>
      <c r="AF695" s="644"/>
      <c r="AG695" s="879"/>
      <c r="AH695" s="879"/>
      <c r="AI695" s="879"/>
      <c r="AJ695" s="879"/>
      <c r="AK695" s="879"/>
      <c r="AL695" s="879"/>
      <c r="AM695" s="879"/>
      <c r="AN695" s="879"/>
      <c r="AO695" s="879"/>
      <c r="AP695" s="879"/>
      <c r="AQ695" s="879"/>
      <c r="AR695" s="879"/>
      <c r="AS695" s="879"/>
    </row>
    <row r="696" spans="1:45" x14ac:dyDescent="0.2">
      <c r="A696" s="527">
        <v>694</v>
      </c>
      <c r="B696" s="879"/>
      <c r="C696" s="879" t="s">
        <v>3829</v>
      </c>
      <c r="D696" s="879"/>
      <c r="E696" s="879"/>
      <c r="F696" s="879"/>
      <c r="G696" s="624"/>
      <c r="H696" s="879"/>
      <c r="I696" s="879"/>
      <c r="J696" s="835">
        <v>2022</v>
      </c>
      <c r="K696" s="976">
        <v>2024</v>
      </c>
      <c r="L696" s="613" t="s">
        <v>303</v>
      </c>
      <c r="M696" s="613">
        <f t="shared" si="128"/>
        <v>0</v>
      </c>
      <c r="N696" s="613">
        <f t="shared" si="129"/>
        <v>1</v>
      </c>
      <c r="O696" s="880"/>
      <c r="P696" s="880"/>
      <c r="Q696" s="836">
        <v>1</v>
      </c>
      <c r="R696" s="880"/>
      <c r="S696" s="880"/>
      <c r="T696" s="880"/>
      <c r="U696" s="613">
        <f t="shared" si="122"/>
        <v>1</v>
      </c>
      <c r="V696" s="879"/>
      <c r="W696" s="613" t="str">
        <f t="shared" si="130"/>
        <v>I</v>
      </c>
      <c r="X696" s="613" t="str">
        <f t="shared" si="131"/>
        <v>I</v>
      </c>
      <c r="Y696" s="613">
        <f t="shared" si="132"/>
        <v>2022</v>
      </c>
      <c r="Z696" s="613" t="str">
        <f t="shared" si="133"/>
        <v>I</v>
      </c>
      <c r="AA696" s="613" t="str">
        <f t="shared" si="134"/>
        <v>I</v>
      </c>
      <c r="AB696" s="613" t="str">
        <f t="shared" si="134"/>
        <v>I</v>
      </c>
      <c r="AC696" s="879"/>
      <c r="AD696" s="880"/>
      <c r="AE696" s="881"/>
      <c r="AF696" s="644"/>
      <c r="AG696" s="879"/>
      <c r="AH696" s="879"/>
      <c r="AI696" s="879"/>
      <c r="AJ696" s="879"/>
      <c r="AK696" s="879"/>
      <c r="AL696" s="879"/>
      <c r="AM696" s="879"/>
      <c r="AN696" s="879"/>
      <c r="AO696" s="879"/>
      <c r="AP696" s="879"/>
      <c r="AQ696" s="879"/>
      <c r="AR696" s="879"/>
      <c r="AS696" s="879"/>
    </row>
    <row r="697" spans="1:45" x14ac:dyDescent="0.2">
      <c r="A697" s="527">
        <v>695</v>
      </c>
      <c r="B697" s="879"/>
      <c r="C697" s="879" t="s">
        <v>3831</v>
      </c>
      <c r="D697" s="879"/>
      <c r="E697" s="879"/>
      <c r="F697" s="879"/>
      <c r="G697" s="624"/>
      <c r="H697" s="879"/>
      <c r="I697" s="879"/>
      <c r="J697" s="835">
        <v>2024</v>
      </c>
      <c r="K697" s="976">
        <v>2024</v>
      </c>
      <c r="L697" s="613" t="s">
        <v>336</v>
      </c>
      <c r="M697" s="613">
        <f t="shared" si="128"/>
        <v>1</v>
      </c>
      <c r="N697" s="613">
        <f t="shared" si="129"/>
        <v>0</v>
      </c>
      <c r="O697" s="880"/>
      <c r="P697" s="880"/>
      <c r="Q697" s="836">
        <v>1</v>
      </c>
      <c r="R697" s="880"/>
      <c r="S697" s="880"/>
      <c r="T697" s="880"/>
      <c r="U697" s="613">
        <f t="shared" si="122"/>
        <v>1</v>
      </c>
      <c r="V697" s="879"/>
      <c r="W697" s="613" t="str">
        <f t="shared" si="130"/>
        <v>I</v>
      </c>
      <c r="X697" s="613" t="str">
        <f t="shared" si="131"/>
        <v>I</v>
      </c>
      <c r="Y697" s="613">
        <f t="shared" si="132"/>
        <v>2024</v>
      </c>
      <c r="Z697" s="613" t="str">
        <f t="shared" si="133"/>
        <v>I</v>
      </c>
      <c r="AA697" s="613" t="str">
        <f t="shared" si="134"/>
        <v>I</v>
      </c>
      <c r="AB697" s="613" t="str">
        <f t="shared" si="134"/>
        <v>I</v>
      </c>
      <c r="AC697" s="879"/>
      <c r="AD697" s="880"/>
      <c r="AE697" s="881"/>
      <c r="AF697" s="644"/>
      <c r="AG697" s="879"/>
      <c r="AH697" s="879"/>
      <c r="AI697" s="879"/>
      <c r="AJ697" s="879"/>
      <c r="AK697" s="879"/>
      <c r="AL697" s="879"/>
      <c r="AM697" s="879"/>
      <c r="AN697" s="879"/>
      <c r="AO697" s="879"/>
      <c r="AP697" s="879"/>
      <c r="AQ697" s="879"/>
      <c r="AR697" s="879"/>
      <c r="AS697" s="879"/>
    </row>
    <row r="698" spans="1:45" x14ac:dyDescent="0.2">
      <c r="A698" s="527">
        <v>696</v>
      </c>
      <c r="B698" s="879"/>
      <c r="C698" s="879" t="s">
        <v>3833</v>
      </c>
      <c r="D698" s="879"/>
      <c r="E698" s="879"/>
      <c r="F698" s="879"/>
      <c r="G698" s="624"/>
      <c r="H698" s="879"/>
      <c r="I698" s="879"/>
      <c r="J698" s="835">
        <v>2023</v>
      </c>
      <c r="K698" s="976">
        <v>2024</v>
      </c>
      <c r="L698" s="613" t="s">
        <v>336</v>
      </c>
      <c r="M698" s="613">
        <f t="shared" si="128"/>
        <v>1</v>
      </c>
      <c r="N698" s="613">
        <f t="shared" si="129"/>
        <v>0</v>
      </c>
      <c r="O698" s="880"/>
      <c r="P698" s="880"/>
      <c r="Q698" s="836">
        <v>1</v>
      </c>
      <c r="R698" s="880"/>
      <c r="S698" s="880"/>
      <c r="T698" s="880"/>
      <c r="U698" s="613">
        <f t="shared" si="122"/>
        <v>1</v>
      </c>
      <c r="V698" s="879"/>
      <c r="W698" s="613" t="str">
        <f t="shared" si="130"/>
        <v>I</v>
      </c>
      <c r="X698" s="613" t="str">
        <f t="shared" si="131"/>
        <v>I</v>
      </c>
      <c r="Y698" s="613">
        <f t="shared" si="132"/>
        <v>2023</v>
      </c>
      <c r="Z698" s="613" t="str">
        <f t="shared" si="133"/>
        <v>I</v>
      </c>
      <c r="AA698" s="613" t="str">
        <f t="shared" si="134"/>
        <v>I</v>
      </c>
      <c r="AB698" s="613" t="str">
        <f t="shared" si="134"/>
        <v>I</v>
      </c>
      <c r="AC698" s="879"/>
      <c r="AD698" s="880"/>
      <c r="AE698" s="881"/>
      <c r="AF698" s="644"/>
      <c r="AG698" s="879"/>
      <c r="AH698" s="879"/>
      <c r="AI698" s="879"/>
      <c r="AJ698" s="879"/>
      <c r="AK698" s="879"/>
      <c r="AL698" s="879"/>
      <c r="AM698" s="879"/>
      <c r="AN698" s="879"/>
      <c r="AO698" s="879"/>
      <c r="AP698" s="879"/>
      <c r="AQ698" s="879"/>
      <c r="AR698" s="879"/>
      <c r="AS698" s="879"/>
    </row>
    <row r="699" spans="1:45" x14ac:dyDescent="0.2">
      <c r="A699" s="527">
        <v>697</v>
      </c>
      <c r="B699" s="879"/>
      <c r="C699" s="879" t="s">
        <v>3834</v>
      </c>
      <c r="D699" s="879"/>
      <c r="E699" s="879"/>
      <c r="F699" s="879"/>
      <c r="G699" s="624"/>
      <c r="H699" s="879"/>
      <c r="I699" s="879"/>
      <c r="J699" s="835">
        <v>2024</v>
      </c>
      <c r="K699" s="976">
        <v>2024</v>
      </c>
      <c r="L699" s="613" t="s">
        <v>303</v>
      </c>
      <c r="M699" s="613">
        <f t="shared" si="128"/>
        <v>0</v>
      </c>
      <c r="N699" s="613">
        <f t="shared" si="129"/>
        <v>1</v>
      </c>
      <c r="O699" s="880"/>
      <c r="P699" s="880"/>
      <c r="Q699" s="836">
        <v>1</v>
      </c>
      <c r="R699" s="880"/>
      <c r="S699" s="880"/>
      <c r="T699" s="880"/>
      <c r="U699" s="613">
        <f t="shared" si="122"/>
        <v>1</v>
      </c>
      <c r="V699" s="879"/>
      <c r="W699" s="613" t="str">
        <f t="shared" si="130"/>
        <v>I</v>
      </c>
      <c r="X699" s="613" t="str">
        <f t="shared" si="131"/>
        <v>I</v>
      </c>
      <c r="Y699" s="613">
        <f t="shared" si="132"/>
        <v>2024</v>
      </c>
      <c r="Z699" s="613" t="str">
        <f t="shared" si="133"/>
        <v>I</v>
      </c>
      <c r="AA699" s="613" t="str">
        <f t="shared" si="134"/>
        <v>I</v>
      </c>
      <c r="AB699" s="613" t="str">
        <f t="shared" si="134"/>
        <v>I</v>
      </c>
      <c r="AC699" s="879"/>
      <c r="AD699" s="880"/>
      <c r="AE699" s="881"/>
      <c r="AF699" s="644"/>
      <c r="AG699" s="879"/>
      <c r="AH699" s="879"/>
      <c r="AI699" s="879"/>
      <c r="AJ699" s="879"/>
      <c r="AK699" s="879"/>
      <c r="AL699" s="879"/>
      <c r="AM699" s="879"/>
      <c r="AN699" s="879"/>
      <c r="AO699" s="879"/>
      <c r="AP699" s="879"/>
      <c r="AQ699" s="879"/>
      <c r="AR699" s="879"/>
      <c r="AS699" s="879"/>
    </row>
    <row r="700" spans="1:45" x14ac:dyDescent="0.2">
      <c r="A700" s="527">
        <v>698</v>
      </c>
      <c r="B700" s="879"/>
      <c r="C700" s="879" t="s">
        <v>3836</v>
      </c>
      <c r="D700" s="879"/>
      <c r="E700" s="879"/>
      <c r="F700" s="879"/>
      <c r="G700" s="624"/>
      <c r="H700" s="879"/>
      <c r="I700" s="879"/>
      <c r="J700" s="835">
        <v>2023</v>
      </c>
      <c r="K700" s="976">
        <v>2024</v>
      </c>
      <c r="L700" s="613" t="s">
        <v>303</v>
      </c>
      <c r="M700" s="613">
        <f t="shared" si="128"/>
        <v>0</v>
      </c>
      <c r="N700" s="613">
        <f t="shared" si="129"/>
        <v>1</v>
      </c>
      <c r="O700" s="880"/>
      <c r="P700" s="880"/>
      <c r="Q700" s="836">
        <v>1</v>
      </c>
      <c r="R700" s="880"/>
      <c r="S700" s="880"/>
      <c r="T700" s="880"/>
      <c r="U700" s="613">
        <f t="shared" si="122"/>
        <v>1</v>
      </c>
      <c r="V700" s="879"/>
      <c r="W700" s="613" t="str">
        <f t="shared" si="130"/>
        <v>I</v>
      </c>
      <c r="X700" s="613" t="str">
        <f t="shared" si="131"/>
        <v>I</v>
      </c>
      <c r="Y700" s="613">
        <f t="shared" si="132"/>
        <v>2023</v>
      </c>
      <c r="Z700" s="613" t="str">
        <f t="shared" si="133"/>
        <v>I</v>
      </c>
      <c r="AA700" s="613" t="str">
        <f t="shared" si="134"/>
        <v>I</v>
      </c>
      <c r="AB700" s="613" t="str">
        <f t="shared" si="134"/>
        <v>I</v>
      </c>
      <c r="AC700" s="879"/>
      <c r="AD700" s="880"/>
      <c r="AE700" s="881"/>
      <c r="AF700" s="644"/>
      <c r="AG700" s="879"/>
      <c r="AH700" s="879"/>
      <c r="AI700" s="879"/>
      <c r="AJ700" s="879"/>
      <c r="AK700" s="879"/>
      <c r="AL700" s="879"/>
      <c r="AM700" s="879"/>
      <c r="AN700" s="879"/>
      <c r="AO700" s="879"/>
      <c r="AP700" s="879"/>
      <c r="AQ700" s="879"/>
      <c r="AR700" s="879"/>
      <c r="AS700" s="879"/>
    </row>
    <row r="701" spans="1:45" x14ac:dyDescent="0.2">
      <c r="A701" s="527">
        <v>699</v>
      </c>
      <c r="B701" s="879"/>
      <c r="C701" s="879" t="s">
        <v>3838</v>
      </c>
      <c r="D701" s="879"/>
      <c r="E701" s="879"/>
      <c r="F701" s="879"/>
      <c r="G701" s="624"/>
      <c r="H701" s="879"/>
      <c r="I701" s="879"/>
      <c r="J701" s="835">
        <v>2022</v>
      </c>
      <c r="K701" s="976">
        <v>2024</v>
      </c>
      <c r="L701" s="613" t="s">
        <v>336</v>
      </c>
      <c r="M701" s="613">
        <f t="shared" si="128"/>
        <v>1</v>
      </c>
      <c r="N701" s="613">
        <f t="shared" si="129"/>
        <v>0</v>
      </c>
      <c r="O701" s="880"/>
      <c r="P701" s="880"/>
      <c r="Q701" s="836">
        <v>1</v>
      </c>
      <c r="R701" s="880"/>
      <c r="S701" s="880"/>
      <c r="T701" s="880"/>
      <c r="U701" s="613">
        <f t="shared" si="122"/>
        <v>1</v>
      </c>
      <c r="V701" s="879"/>
      <c r="W701" s="613" t="str">
        <f t="shared" si="130"/>
        <v>I</v>
      </c>
      <c r="X701" s="613" t="str">
        <f t="shared" si="131"/>
        <v>I</v>
      </c>
      <c r="Y701" s="613">
        <f t="shared" si="132"/>
        <v>2022</v>
      </c>
      <c r="Z701" s="613" t="str">
        <f t="shared" si="133"/>
        <v>I</v>
      </c>
      <c r="AA701" s="613" t="str">
        <f t="shared" si="134"/>
        <v>I</v>
      </c>
      <c r="AB701" s="613" t="str">
        <f t="shared" si="134"/>
        <v>I</v>
      </c>
      <c r="AC701" s="879"/>
      <c r="AD701" s="880"/>
      <c r="AE701" s="881"/>
      <c r="AF701" s="644"/>
      <c r="AG701" s="879"/>
      <c r="AH701" s="879"/>
      <c r="AI701" s="879"/>
      <c r="AJ701" s="879"/>
      <c r="AK701" s="879"/>
      <c r="AL701" s="879"/>
      <c r="AM701" s="879"/>
      <c r="AN701" s="879"/>
      <c r="AO701" s="879"/>
      <c r="AP701" s="879"/>
      <c r="AQ701" s="879"/>
      <c r="AR701" s="879"/>
      <c r="AS701" s="879"/>
    </row>
    <row r="702" spans="1:45" x14ac:dyDescent="0.2">
      <c r="A702" s="527">
        <v>700</v>
      </c>
      <c r="B702" s="879"/>
      <c r="C702" s="879" t="s">
        <v>3840</v>
      </c>
      <c r="D702" s="879"/>
      <c r="E702" s="879"/>
      <c r="F702" s="879"/>
      <c r="G702" s="624"/>
      <c r="H702" s="879"/>
      <c r="I702" s="879"/>
      <c r="J702" s="835">
        <v>2024</v>
      </c>
      <c r="K702" s="976">
        <v>2024</v>
      </c>
      <c r="L702" s="613" t="s">
        <v>303</v>
      </c>
      <c r="M702" s="613">
        <f t="shared" si="128"/>
        <v>0</v>
      </c>
      <c r="N702" s="613">
        <f t="shared" si="129"/>
        <v>1</v>
      </c>
      <c r="O702" s="880"/>
      <c r="P702" s="880"/>
      <c r="Q702" s="836">
        <v>1</v>
      </c>
      <c r="R702" s="880"/>
      <c r="S702" s="880"/>
      <c r="T702" s="880"/>
      <c r="U702" s="613">
        <f t="shared" si="122"/>
        <v>1</v>
      </c>
      <c r="V702" s="879"/>
      <c r="W702" s="613" t="str">
        <f t="shared" si="130"/>
        <v>I</v>
      </c>
      <c r="X702" s="613" t="str">
        <f t="shared" si="131"/>
        <v>I</v>
      </c>
      <c r="Y702" s="613">
        <f t="shared" si="132"/>
        <v>2024</v>
      </c>
      <c r="Z702" s="613" t="str">
        <f t="shared" si="133"/>
        <v>I</v>
      </c>
      <c r="AA702" s="613" t="str">
        <f t="shared" si="134"/>
        <v>I</v>
      </c>
      <c r="AB702" s="613" t="str">
        <f t="shared" si="134"/>
        <v>I</v>
      </c>
      <c r="AC702" s="879"/>
      <c r="AD702" s="880"/>
      <c r="AE702" s="881"/>
      <c r="AF702" s="880"/>
      <c r="AG702" s="879"/>
      <c r="AH702" s="879"/>
      <c r="AI702" s="879"/>
      <c r="AJ702" s="879"/>
      <c r="AK702" s="879"/>
      <c r="AL702" s="879"/>
      <c r="AM702" s="879"/>
      <c r="AN702" s="879"/>
      <c r="AO702" s="879"/>
      <c r="AP702" s="879"/>
      <c r="AQ702" s="879"/>
      <c r="AR702" s="879"/>
      <c r="AS702" s="879"/>
    </row>
    <row r="703" spans="1:45" x14ac:dyDescent="0.2">
      <c r="A703" s="527">
        <v>701</v>
      </c>
      <c r="B703" s="879"/>
      <c r="C703" s="879" t="s">
        <v>3839</v>
      </c>
      <c r="D703" s="879"/>
      <c r="E703" s="879"/>
      <c r="F703" s="879"/>
      <c r="G703" s="624"/>
      <c r="H703" s="879"/>
      <c r="I703" s="879"/>
      <c r="J703" s="835">
        <v>2023</v>
      </c>
      <c r="K703" s="976">
        <v>2024</v>
      </c>
      <c r="L703" s="613" t="s">
        <v>303</v>
      </c>
      <c r="M703" s="613">
        <f t="shared" si="128"/>
        <v>0</v>
      </c>
      <c r="N703" s="613">
        <f t="shared" si="129"/>
        <v>1</v>
      </c>
      <c r="O703" s="880"/>
      <c r="P703" s="880"/>
      <c r="Q703" s="836">
        <v>1</v>
      </c>
      <c r="R703" s="880"/>
      <c r="S703" s="880"/>
      <c r="T703" s="880"/>
      <c r="U703" s="613">
        <f t="shared" si="122"/>
        <v>1</v>
      </c>
      <c r="V703" s="879"/>
      <c r="W703" s="613" t="str">
        <f t="shared" si="130"/>
        <v>I</v>
      </c>
      <c r="X703" s="613" t="str">
        <f t="shared" si="131"/>
        <v>I</v>
      </c>
      <c r="Y703" s="613">
        <f t="shared" si="132"/>
        <v>2023</v>
      </c>
      <c r="Z703" s="613" t="str">
        <f t="shared" si="133"/>
        <v>I</v>
      </c>
      <c r="AA703" s="613" t="str">
        <f t="shared" si="134"/>
        <v>I</v>
      </c>
      <c r="AB703" s="613" t="str">
        <f t="shared" si="134"/>
        <v>I</v>
      </c>
      <c r="AC703" s="879"/>
      <c r="AD703" s="880"/>
      <c r="AE703" s="881"/>
      <c r="AF703" s="880"/>
      <c r="AG703" s="879"/>
      <c r="AH703" s="879"/>
      <c r="AI703" s="879"/>
      <c r="AJ703" s="879"/>
      <c r="AK703" s="879"/>
      <c r="AL703" s="879"/>
      <c r="AM703" s="879"/>
      <c r="AN703" s="879"/>
      <c r="AO703" s="879"/>
      <c r="AP703" s="879"/>
      <c r="AQ703" s="879"/>
      <c r="AR703" s="879"/>
      <c r="AS703" s="879"/>
    </row>
    <row r="704" spans="1:45" x14ac:dyDescent="0.2">
      <c r="A704" s="527">
        <v>702</v>
      </c>
      <c r="B704" s="879"/>
      <c r="C704" s="879" t="s">
        <v>3841</v>
      </c>
      <c r="D704" s="879"/>
      <c r="E704" s="879"/>
      <c r="F704" s="879"/>
      <c r="G704" s="624"/>
      <c r="H704" s="879"/>
      <c r="I704" s="879"/>
      <c r="J704" s="835">
        <v>2024</v>
      </c>
      <c r="K704" s="976">
        <v>2024</v>
      </c>
      <c r="L704" s="613" t="s">
        <v>303</v>
      </c>
      <c r="M704" s="613">
        <f t="shared" si="128"/>
        <v>0</v>
      </c>
      <c r="N704" s="613">
        <f t="shared" si="129"/>
        <v>1</v>
      </c>
      <c r="O704" s="880"/>
      <c r="P704" s="880"/>
      <c r="Q704" s="836">
        <v>1</v>
      </c>
      <c r="R704" s="880"/>
      <c r="S704" s="880"/>
      <c r="T704" s="880"/>
      <c r="U704" s="613">
        <f t="shared" si="122"/>
        <v>1</v>
      </c>
      <c r="V704" s="879"/>
      <c r="W704" s="613" t="str">
        <f t="shared" si="130"/>
        <v>I</v>
      </c>
      <c r="X704" s="613" t="str">
        <f t="shared" si="131"/>
        <v>I</v>
      </c>
      <c r="Y704" s="613">
        <f t="shared" si="132"/>
        <v>2024</v>
      </c>
      <c r="Z704" s="613" t="str">
        <f t="shared" si="133"/>
        <v>I</v>
      </c>
      <c r="AA704" s="613" t="str">
        <f t="shared" si="134"/>
        <v>I</v>
      </c>
      <c r="AB704" s="613" t="str">
        <f t="shared" si="134"/>
        <v>I</v>
      </c>
      <c r="AC704" s="879"/>
      <c r="AD704" s="880"/>
      <c r="AE704" s="881"/>
      <c r="AF704" s="880"/>
      <c r="AG704" s="879"/>
      <c r="AH704" s="879"/>
      <c r="AI704" s="879"/>
      <c r="AJ704" s="879"/>
      <c r="AK704" s="879"/>
      <c r="AL704" s="879"/>
      <c r="AM704" s="879"/>
      <c r="AN704" s="879"/>
      <c r="AO704" s="879"/>
      <c r="AP704" s="879"/>
      <c r="AQ704" s="879"/>
      <c r="AR704" s="879"/>
      <c r="AS704" s="879"/>
    </row>
    <row r="705" spans="1:45" x14ac:dyDescent="0.2">
      <c r="A705" s="527">
        <v>703</v>
      </c>
      <c r="B705" s="879"/>
      <c r="C705" s="879" t="s">
        <v>3842</v>
      </c>
      <c r="D705" s="879"/>
      <c r="E705" s="879"/>
      <c r="F705" s="879"/>
      <c r="G705" s="624"/>
      <c r="H705" s="879"/>
      <c r="I705" s="879"/>
      <c r="J705" s="835">
        <v>2021</v>
      </c>
      <c r="K705" s="976">
        <v>2024</v>
      </c>
      <c r="L705" s="613" t="s">
        <v>303</v>
      </c>
      <c r="M705" s="613">
        <f t="shared" si="128"/>
        <v>0</v>
      </c>
      <c r="N705" s="613">
        <f t="shared" si="129"/>
        <v>1</v>
      </c>
      <c r="O705" s="880"/>
      <c r="P705" s="880"/>
      <c r="Q705" s="836">
        <v>1</v>
      </c>
      <c r="R705" s="880"/>
      <c r="S705" s="880"/>
      <c r="T705" s="880"/>
      <c r="U705" s="613">
        <f t="shared" si="122"/>
        <v>1</v>
      </c>
      <c r="V705" s="879"/>
      <c r="W705" s="613" t="str">
        <f t="shared" si="130"/>
        <v>I</v>
      </c>
      <c r="X705" s="613" t="str">
        <f t="shared" si="131"/>
        <v>I</v>
      </c>
      <c r="Y705" s="613">
        <f t="shared" si="132"/>
        <v>2021</v>
      </c>
      <c r="Z705" s="613" t="str">
        <f t="shared" si="133"/>
        <v>I</v>
      </c>
      <c r="AA705" s="613" t="str">
        <f t="shared" si="134"/>
        <v>I</v>
      </c>
      <c r="AB705" s="613" t="str">
        <f t="shared" si="134"/>
        <v>I</v>
      </c>
      <c r="AC705" s="879"/>
      <c r="AD705" s="880"/>
      <c r="AE705" s="881"/>
      <c r="AF705" s="880"/>
      <c r="AG705" s="879"/>
      <c r="AH705" s="879"/>
      <c r="AI705" s="879"/>
      <c r="AJ705" s="879"/>
      <c r="AK705" s="879"/>
      <c r="AL705" s="879"/>
      <c r="AM705" s="879"/>
      <c r="AN705" s="879"/>
      <c r="AO705" s="879"/>
      <c r="AP705" s="879"/>
      <c r="AQ705" s="879"/>
      <c r="AR705" s="879"/>
      <c r="AS705" s="879"/>
    </row>
    <row r="706" spans="1:45" x14ac:dyDescent="0.2">
      <c r="A706" s="527">
        <v>704</v>
      </c>
      <c r="B706" s="879"/>
      <c r="C706" s="879" t="s">
        <v>3843</v>
      </c>
      <c r="D706" s="879"/>
      <c r="E706" s="879"/>
      <c r="F706" s="879"/>
      <c r="G706" s="624"/>
      <c r="H706" s="879"/>
      <c r="I706" s="879"/>
      <c r="J706" s="835">
        <v>2022</v>
      </c>
      <c r="K706" s="976">
        <v>2024</v>
      </c>
      <c r="L706" s="613" t="s">
        <v>303</v>
      </c>
      <c r="M706" s="613">
        <f t="shared" si="128"/>
        <v>0</v>
      </c>
      <c r="N706" s="613">
        <f t="shared" si="129"/>
        <v>1</v>
      </c>
      <c r="O706" s="880"/>
      <c r="P706" s="880"/>
      <c r="Q706" s="836">
        <v>1</v>
      </c>
      <c r="R706" s="880"/>
      <c r="S706" s="880"/>
      <c r="T706" s="880"/>
      <c r="U706" s="613">
        <f t="shared" si="122"/>
        <v>1</v>
      </c>
      <c r="V706" s="879"/>
      <c r="W706" s="613" t="str">
        <f t="shared" si="130"/>
        <v>I</v>
      </c>
      <c r="X706" s="613" t="str">
        <f t="shared" si="131"/>
        <v>I</v>
      </c>
      <c r="Y706" s="613">
        <f t="shared" si="132"/>
        <v>2022</v>
      </c>
      <c r="Z706" s="613" t="str">
        <f t="shared" si="133"/>
        <v>I</v>
      </c>
      <c r="AA706" s="613" t="str">
        <f t="shared" si="134"/>
        <v>I</v>
      </c>
      <c r="AB706" s="613" t="str">
        <f t="shared" si="134"/>
        <v>I</v>
      </c>
      <c r="AC706" s="879"/>
      <c r="AD706" s="880"/>
      <c r="AE706" s="881"/>
      <c r="AF706" s="880"/>
      <c r="AG706" s="879"/>
      <c r="AH706" s="879"/>
      <c r="AI706" s="879"/>
      <c r="AJ706" s="879"/>
      <c r="AK706" s="879"/>
      <c r="AL706" s="879"/>
      <c r="AM706" s="879"/>
      <c r="AN706" s="879"/>
      <c r="AO706" s="879"/>
      <c r="AP706" s="879"/>
      <c r="AQ706" s="879"/>
      <c r="AR706" s="879"/>
      <c r="AS706" s="879"/>
    </row>
    <row r="707" spans="1:45" x14ac:dyDescent="0.2">
      <c r="A707" s="527">
        <v>705</v>
      </c>
      <c r="B707" s="879"/>
      <c r="C707" s="879" t="s">
        <v>3850</v>
      </c>
      <c r="D707" s="879"/>
      <c r="E707" s="879"/>
      <c r="F707" s="879"/>
      <c r="G707" s="624"/>
      <c r="H707" s="879"/>
      <c r="I707" s="879"/>
      <c r="J707" s="835">
        <v>2023</v>
      </c>
      <c r="K707" s="976">
        <v>2024</v>
      </c>
      <c r="L707" s="613" t="s">
        <v>303</v>
      </c>
      <c r="M707" s="613">
        <f t="shared" si="128"/>
        <v>0</v>
      </c>
      <c r="N707" s="613">
        <f t="shared" si="129"/>
        <v>1</v>
      </c>
      <c r="O707" s="880"/>
      <c r="P707" s="880"/>
      <c r="Q707" s="836">
        <v>1</v>
      </c>
      <c r="R707" s="880"/>
      <c r="S707" s="880"/>
      <c r="T707" s="880"/>
      <c r="U707" s="613">
        <f t="shared" si="122"/>
        <v>1</v>
      </c>
      <c r="V707" s="879"/>
      <c r="W707" s="613" t="str">
        <f t="shared" si="130"/>
        <v>I</v>
      </c>
      <c r="X707" s="613" t="str">
        <f t="shared" si="131"/>
        <v>I</v>
      </c>
      <c r="Y707" s="613">
        <f t="shared" si="132"/>
        <v>2023</v>
      </c>
      <c r="Z707" s="613" t="str">
        <f t="shared" si="133"/>
        <v>I</v>
      </c>
      <c r="AA707" s="613" t="str">
        <f t="shared" si="134"/>
        <v>I</v>
      </c>
      <c r="AB707" s="613" t="str">
        <f t="shared" si="134"/>
        <v>I</v>
      </c>
      <c r="AC707" s="879"/>
      <c r="AD707" s="880"/>
      <c r="AE707" s="881"/>
      <c r="AF707" s="880"/>
      <c r="AG707" s="879"/>
      <c r="AH707" s="879"/>
      <c r="AI707" s="879"/>
      <c r="AJ707" s="879"/>
      <c r="AK707" s="879"/>
      <c r="AL707" s="879"/>
      <c r="AM707" s="879"/>
      <c r="AN707" s="879"/>
      <c r="AO707" s="879"/>
      <c r="AP707" s="879"/>
      <c r="AQ707" s="879"/>
      <c r="AR707" s="879"/>
      <c r="AS707" s="879"/>
    </row>
    <row r="708" spans="1:45" x14ac:dyDescent="0.2">
      <c r="A708" s="527">
        <v>706</v>
      </c>
      <c r="B708" s="879"/>
      <c r="C708" s="879" t="s">
        <v>3851</v>
      </c>
      <c r="D708" s="879"/>
      <c r="E708" s="879"/>
      <c r="F708" s="879"/>
      <c r="G708" s="624"/>
      <c r="H708" s="879"/>
      <c r="I708" s="879"/>
      <c r="J708" s="835">
        <v>2023</v>
      </c>
      <c r="K708" s="976">
        <v>2024</v>
      </c>
      <c r="L708" s="613" t="s">
        <v>303</v>
      </c>
      <c r="M708" s="613">
        <f t="shared" si="128"/>
        <v>0</v>
      </c>
      <c r="N708" s="613">
        <f t="shared" si="129"/>
        <v>1</v>
      </c>
      <c r="O708" s="880"/>
      <c r="P708" s="880"/>
      <c r="Q708" s="836">
        <v>1</v>
      </c>
      <c r="R708" s="880"/>
      <c r="S708" s="880"/>
      <c r="T708" s="880"/>
      <c r="U708" s="613">
        <f t="shared" ref="U708:U718" si="135">SUM(O708:T708)</f>
        <v>1</v>
      </c>
      <c r="V708" s="879"/>
      <c r="W708" s="613" t="str">
        <f t="shared" si="130"/>
        <v>I</v>
      </c>
      <c r="X708" s="613" t="str">
        <f t="shared" si="131"/>
        <v>I</v>
      </c>
      <c r="Y708" s="613">
        <f t="shared" si="132"/>
        <v>2023</v>
      </c>
      <c r="Z708" s="613" t="str">
        <f t="shared" si="133"/>
        <v>I</v>
      </c>
      <c r="AA708" s="613" t="str">
        <f t="shared" si="134"/>
        <v>I</v>
      </c>
      <c r="AB708" s="613" t="str">
        <f t="shared" si="134"/>
        <v>I</v>
      </c>
      <c r="AC708" s="879"/>
      <c r="AD708" s="880"/>
      <c r="AE708" s="881"/>
      <c r="AF708" s="880"/>
      <c r="AG708" s="879"/>
      <c r="AH708" s="879"/>
      <c r="AI708" s="879"/>
      <c r="AJ708" s="879"/>
      <c r="AK708" s="879"/>
      <c r="AL708" s="879"/>
      <c r="AM708" s="879"/>
      <c r="AN708" s="879"/>
      <c r="AO708" s="879"/>
      <c r="AP708" s="879"/>
      <c r="AQ708" s="879"/>
      <c r="AR708" s="879"/>
      <c r="AS708" s="879"/>
    </row>
    <row r="709" spans="1:45" x14ac:dyDescent="0.2">
      <c r="A709" s="527">
        <v>707</v>
      </c>
      <c r="B709" s="879"/>
      <c r="C709" s="879" t="s">
        <v>3853</v>
      </c>
      <c r="D709" s="879"/>
      <c r="E709" s="879"/>
      <c r="F709" s="879"/>
      <c r="G709" s="624"/>
      <c r="H709" s="879"/>
      <c r="I709" s="879"/>
      <c r="J709" s="835">
        <v>2024</v>
      </c>
      <c r="K709" s="976">
        <v>2024</v>
      </c>
      <c r="L709" s="613" t="s">
        <v>336</v>
      </c>
      <c r="M709" s="613">
        <f t="shared" si="128"/>
        <v>1</v>
      </c>
      <c r="N709" s="613">
        <f t="shared" si="129"/>
        <v>0</v>
      </c>
      <c r="O709" s="880"/>
      <c r="P709" s="880"/>
      <c r="Q709" s="836">
        <v>1</v>
      </c>
      <c r="R709" s="880"/>
      <c r="S709" s="880"/>
      <c r="T709" s="880"/>
      <c r="U709" s="613">
        <f t="shared" si="135"/>
        <v>1</v>
      </c>
      <c r="V709" s="879"/>
      <c r="W709" s="613" t="str">
        <f t="shared" si="130"/>
        <v>I</v>
      </c>
      <c r="X709" s="613" t="str">
        <f t="shared" si="131"/>
        <v>I</v>
      </c>
      <c r="Y709" s="613">
        <f t="shared" si="132"/>
        <v>2024</v>
      </c>
      <c r="Z709" s="613" t="str">
        <f t="shared" si="133"/>
        <v>I</v>
      </c>
      <c r="AA709" s="613" t="str">
        <f t="shared" si="134"/>
        <v>I</v>
      </c>
      <c r="AB709" s="613" t="str">
        <f t="shared" si="134"/>
        <v>I</v>
      </c>
      <c r="AC709" s="879"/>
      <c r="AD709" s="880"/>
      <c r="AE709" s="881"/>
      <c r="AF709" s="880"/>
      <c r="AG709" s="879"/>
      <c r="AH709" s="879"/>
      <c r="AI709" s="879"/>
      <c r="AJ709" s="879"/>
      <c r="AK709" s="879"/>
      <c r="AL709" s="879"/>
      <c r="AM709" s="879"/>
      <c r="AN709" s="879"/>
      <c r="AO709" s="879"/>
      <c r="AP709" s="879"/>
      <c r="AQ709" s="879"/>
      <c r="AR709" s="879"/>
      <c r="AS709" s="879"/>
    </row>
    <row r="710" spans="1:45" x14ac:dyDescent="0.2">
      <c r="A710" s="527">
        <v>708</v>
      </c>
      <c r="B710" s="879"/>
      <c r="C710" s="879" t="s">
        <v>3855</v>
      </c>
      <c r="D710" s="879"/>
      <c r="E710" s="879"/>
      <c r="F710" s="879"/>
      <c r="G710" s="624"/>
      <c r="H710" s="879"/>
      <c r="I710" s="879"/>
      <c r="J710" s="835">
        <v>2024</v>
      </c>
      <c r="K710" s="976">
        <v>2024</v>
      </c>
      <c r="L710" s="613" t="s">
        <v>303</v>
      </c>
      <c r="M710" s="613">
        <f t="shared" si="128"/>
        <v>0</v>
      </c>
      <c r="N710" s="613">
        <f t="shared" si="129"/>
        <v>1</v>
      </c>
      <c r="O710" s="880"/>
      <c r="P710" s="880"/>
      <c r="Q710" s="836">
        <v>1</v>
      </c>
      <c r="R710" s="880"/>
      <c r="S710" s="880"/>
      <c r="T710" s="880"/>
      <c r="U710" s="613">
        <f t="shared" si="135"/>
        <v>1</v>
      </c>
      <c r="V710" s="879"/>
      <c r="W710" s="613" t="str">
        <f t="shared" si="130"/>
        <v>I</v>
      </c>
      <c r="X710" s="613" t="str">
        <f t="shared" si="131"/>
        <v>I</v>
      </c>
      <c r="Y710" s="613">
        <f t="shared" si="132"/>
        <v>2024</v>
      </c>
      <c r="Z710" s="613" t="str">
        <f t="shared" si="133"/>
        <v>I</v>
      </c>
      <c r="AA710" s="613" t="str">
        <f t="shared" si="134"/>
        <v>I</v>
      </c>
      <c r="AB710" s="613" t="str">
        <f t="shared" si="134"/>
        <v>I</v>
      </c>
      <c r="AC710" s="879"/>
      <c r="AD710" s="880"/>
      <c r="AE710" s="881"/>
      <c r="AF710" s="880"/>
      <c r="AG710" s="879"/>
      <c r="AH710" s="879"/>
      <c r="AI710" s="879"/>
      <c r="AJ710" s="879"/>
      <c r="AK710" s="879"/>
      <c r="AL710" s="879"/>
      <c r="AM710" s="879"/>
      <c r="AN710" s="879"/>
      <c r="AO710" s="879"/>
      <c r="AP710" s="879"/>
      <c r="AQ710" s="879"/>
      <c r="AR710" s="879"/>
      <c r="AS710" s="879"/>
    </row>
    <row r="711" spans="1:45" x14ac:dyDescent="0.2">
      <c r="A711" s="527">
        <v>709</v>
      </c>
      <c r="B711" s="879"/>
      <c r="C711" s="879" t="s">
        <v>3860</v>
      </c>
      <c r="D711" s="879"/>
      <c r="E711" s="879"/>
      <c r="F711" s="879"/>
      <c r="G711" s="624"/>
      <c r="H711" s="879"/>
      <c r="I711" s="879"/>
      <c r="J711" s="835">
        <v>2024</v>
      </c>
      <c r="K711" s="976">
        <v>2024</v>
      </c>
      <c r="L711" s="613" t="s">
        <v>303</v>
      </c>
      <c r="M711" s="613">
        <f t="shared" si="128"/>
        <v>0</v>
      </c>
      <c r="N711" s="613">
        <f t="shared" si="129"/>
        <v>1</v>
      </c>
      <c r="O711" s="880"/>
      <c r="P711" s="880"/>
      <c r="Q711" s="836">
        <v>1</v>
      </c>
      <c r="R711" s="880"/>
      <c r="S711" s="880"/>
      <c r="T711" s="880"/>
      <c r="U711" s="613">
        <f t="shared" si="135"/>
        <v>1</v>
      </c>
      <c r="V711" s="879"/>
      <c r="W711" s="613" t="str">
        <f t="shared" si="130"/>
        <v>I</v>
      </c>
      <c r="X711" s="613" t="str">
        <f t="shared" si="131"/>
        <v>I</v>
      </c>
      <c r="Y711" s="613">
        <f t="shared" si="132"/>
        <v>2024</v>
      </c>
      <c r="Z711" s="613" t="str">
        <f t="shared" si="133"/>
        <v>I</v>
      </c>
      <c r="AA711" s="613" t="str">
        <f t="shared" si="134"/>
        <v>I</v>
      </c>
      <c r="AB711" s="613" t="str">
        <f t="shared" si="134"/>
        <v>I</v>
      </c>
      <c r="AC711" s="879"/>
      <c r="AD711" s="880"/>
      <c r="AE711" s="881"/>
      <c r="AF711" s="880"/>
      <c r="AG711" s="879"/>
      <c r="AH711" s="879"/>
      <c r="AI711" s="879"/>
      <c r="AJ711" s="879"/>
      <c r="AK711" s="879"/>
      <c r="AL711" s="879"/>
      <c r="AM711" s="879"/>
      <c r="AN711" s="879"/>
      <c r="AO711" s="879"/>
      <c r="AP711" s="879"/>
      <c r="AQ711" s="879"/>
      <c r="AR711" s="879"/>
      <c r="AS711" s="879"/>
    </row>
    <row r="712" spans="1:45" x14ac:dyDescent="0.2">
      <c r="A712" s="527">
        <v>710</v>
      </c>
      <c r="B712" s="879"/>
      <c r="C712" s="879" t="s">
        <v>3861</v>
      </c>
      <c r="D712" s="879"/>
      <c r="E712" s="879"/>
      <c r="F712" s="879"/>
      <c r="G712" s="624"/>
      <c r="H712" s="879"/>
      <c r="I712" s="879"/>
      <c r="J712" s="835">
        <v>2024</v>
      </c>
      <c r="K712" s="976">
        <v>2024</v>
      </c>
      <c r="L712" s="613" t="s">
        <v>303</v>
      </c>
      <c r="M712" s="613">
        <f t="shared" si="128"/>
        <v>0</v>
      </c>
      <c r="N712" s="613">
        <f t="shared" si="129"/>
        <v>1</v>
      </c>
      <c r="O712" s="880"/>
      <c r="P712" s="880"/>
      <c r="Q712" s="836">
        <v>1</v>
      </c>
      <c r="R712" s="880"/>
      <c r="S712" s="880"/>
      <c r="T712" s="880"/>
      <c r="U712" s="613">
        <f t="shared" si="135"/>
        <v>1</v>
      </c>
      <c r="V712" s="879"/>
      <c r="W712" s="613" t="str">
        <f t="shared" si="130"/>
        <v>I</v>
      </c>
      <c r="X712" s="613" t="str">
        <f t="shared" si="131"/>
        <v>I</v>
      </c>
      <c r="Y712" s="613">
        <f t="shared" si="132"/>
        <v>2024</v>
      </c>
      <c r="Z712" s="613" t="str">
        <f t="shared" si="133"/>
        <v>I</v>
      </c>
      <c r="AA712" s="613" t="str">
        <f t="shared" si="134"/>
        <v>I</v>
      </c>
      <c r="AB712" s="613" t="str">
        <f t="shared" si="134"/>
        <v>I</v>
      </c>
      <c r="AC712" s="879"/>
      <c r="AD712" s="880"/>
      <c r="AE712" s="881"/>
      <c r="AF712" s="880"/>
      <c r="AG712" s="879"/>
      <c r="AH712" s="879"/>
      <c r="AI712" s="879"/>
      <c r="AJ712" s="879"/>
      <c r="AK712" s="879"/>
      <c r="AL712" s="879"/>
      <c r="AM712" s="879"/>
      <c r="AN712" s="879"/>
      <c r="AO712" s="879"/>
      <c r="AP712" s="879"/>
      <c r="AQ712" s="879"/>
      <c r="AR712" s="879"/>
      <c r="AS712" s="879"/>
    </row>
    <row r="713" spans="1:45" x14ac:dyDescent="0.2">
      <c r="A713" s="527">
        <v>711</v>
      </c>
      <c r="B713" s="879"/>
      <c r="C713" s="879" t="s">
        <v>3862</v>
      </c>
      <c r="D713" s="879"/>
      <c r="E713" s="879"/>
      <c r="F713" s="879"/>
      <c r="G713" s="624"/>
      <c r="H713" s="879"/>
      <c r="I713" s="879"/>
      <c r="J713" s="835">
        <v>2023</v>
      </c>
      <c r="K713" s="976">
        <v>2024</v>
      </c>
      <c r="L713" s="613" t="s">
        <v>303</v>
      </c>
      <c r="M713" s="613">
        <f t="shared" si="128"/>
        <v>0</v>
      </c>
      <c r="N713" s="613">
        <f t="shared" si="129"/>
        <v>1</v>
      </c>
      <c r="O713" s="880"/>
      <c r="P713" s="880"/>
      <c r="Q713" s="836">
        <v>1</v>
      </c>
      <c r="R713" s="880"/>
      <c r="S713" s="880"/>
      <c r="T713" s="880"/>
      <c r="U713" s="613">
        <f t="shared" si="135"/>
        <v>1</v>
      </c>
      <c r="V713" s="879"/>
      <c r="W713" s="613" t="str">
        <f t="shared" si="130"/>
        <v>I</v>
      </c>
      <c r="X713" s="613" t="str">
        <f t="shared" si="131"/>
        <v>I</v>
      </c>
      <c r="Y713" s="613">
        <f t="shared" si="132"/>
        <v>2023</v>
      </c>
      <c r="Z713" s="613" t="str">
        <f t="shared" si="133"/>
        <v>I</v>
      </c>
      <c r="AA713" s="613" t="str">
        <f t="shared" si="134"/>
        <v>I</v>
      </c>
      <c r="AB713" s="613" t="str">
        <f t="shared" si="134"/>
        <v>I</v>
      </c>
      <c r="AC713" s="879"/>
      <c r="AD713" s="880"/>
      <c r="AE713" s="881"/>
      <c r="AF713" s="644"/>
      <c r="AG713" s="879"/>
      <c r="AH713" s="879"/>
      <c r="AI713" s="879"/>
      <c r="AJ713" s="879"/>
      <c r="AK713" s="879"/>
      <c r="AL713" s="879"/>
      <c r="AM713" s="879"/>
      <c r="AN713" s="879"/>
      <c r="AO713" s="879"/>
      <c r="AP713" s="879"/>
      <c r="AQ713" s="879"/>
      <c r="AR713" s="879"/>
      <c r="AS713" s="879"/>
    </row>
    <row r="714" spans="1:45" x14ac:dyDescent="0.2">
      <c r="A714" s="527">
        <v>712</v>
      </c>
      <c r="B714" s="879"/>
      <c r="C714" s="879" t="s">
        <v>3857</v>
      </c>
      <c r="D714" s="879"/>
      <c r="E714" s="879"/>
      <c r="F714" s="879"/>
      <c r="G714" s="624"/>
      <c r="H714" s="879"/>
      <c r="I714" s="879"/>
      <c r="J714" s="835">
        <v>2018</v>
      </c>
      <c r="K714" s="976">
        <v>2024</v>
      </c>
      <c r="L714" s="613" t="s">
        <v>336</v>
      </c>
      <c r="M714" s="613">
        <f t="shared" si="128"/>
        <v>1</v>
      </c>
      <c r="N714" s="613">
        <f t="shared" si="129"/>
        <v>0</v>
      </c>
      <c r="O714" s="880"/>
      <c r="P714" s="880"/>
      <c r="Q714" s="836">
        <v>1</v>
      </c>
      <c r="R714" s="880"/>
      <c r="S714" s="880"/>
      <c r="T714" s="880"/>
      <c r="U714" s="613">
        <f t="shared" si="135"/>
        <v>1</v>
      </c>
      <c r="V714" s="879"/>
      <c r="W714" s="613" t="str">
        <f t="shared" si="130"/>
        <v>I</v>
      </c>
      <c r="X714" s="613" t="str">
        <f t="shared" si="131"/>
        <v>I</v>
      </c>
      <c r="Y714" s="613">
        <f t="shared" si="132"/>
        <v>2018</v>
      </c>
      <c r="Z714" s="613" t="str">
        <f t="shared" si="133"/>
        <v>I</v>
      </c>
      <c r="AA714" s="613" t="str">
        <f t="shared" si="134"/>
        <v>I</v>
      </c>
      <c r="AB714" s="613" t="str">
        <f t="shared" si="134"/>
        <v>I</v>
      </c>
      <c r="AC714" s="879"/>
      <c r="AD714" s="880"/>
      <c r="AE714" s="881"/>
      <c r="AF714" s="644"/>
      <c r="AG714" s="879"/>
      <c r="AH714" s="879"/>
      <c r="AI714" s="879"/>
      <c r="AJ714" s="879"/>
      <c r="AK714" s="879"/>
      <c r="AL714" s="879"/>
      <c r="AM714" s="879"/>
      <c r="AN714" s="879"/>
      <c r="AO714" s="879"/>
      <c r="AP714" s="879"/>
      <c r="AQ714" s="879"/>
      <c r="AR714" s="879"/>
      <c r="AS714" s="879"/>
    </row>
    <row r="715" spans="1:45" x14ac:dyDescent="0.2">
      <c r="A715" s="527">
        <v>713</v>
      </c>
      <c r="B715" s="879"/>
      <c r="C715" s="879" t="s">
        <v>3858</v>
      </c>
      <c r="D715" s="879"/>
      <c r="E715" s="879"/>
      <c r="F715" s="879"/>
      <c r="G715" s="624"/>
      <c r="H715" s="879"/>
      <c r="I715" s="879"/>
      <c r="J715" s="835">
        <v>2023</v>
      </c>
      <c r="K715" s="976">
        <v>2024</v>
      </c>
      <c r="L715" s="613" t="s">
        <v>303</v>
      </c>
      <c r="M715" s="613">
        <f t="shared" si="128"/>
        <v>0</v>
      </c>
      <c r="N715" s="613">
        <f t="shared" si="129"/>
        <v>1</v>
      </c>
      <c r="O715" s="880"/>
      <c r="P715" s="880"/>
      <c r="Q715" s="836">
        <v>1</v>
      </c>
      <c r="R715" s="880"/>
      <c r="S715" s="880"/>
      <c r="T715" s="880"/>
      <c r="U715" s="613">
        <f t="shared" si="135"/>
        <v>1</v>
      </c>
      <c r="V715" s="879"/>
      <c r="W715" s="613" t="str">
        <f t="shared" si="130"/>
        <v>I</v>
      </c>
      <c r="X715" s="613" t="str">
        <f t="shared" si="131"/>
        <v>I</v>
      </c>
      <c r="Y715" s="613">
        <f t="shared" si="132"/>
        <v>2023</v>
      </c>
      <c r="Z715" s="613" t="str">
        <f t="shared" si="133"/>
        <v>I</v>
      </c>
      <c r="AA715" s="613" t="str">
        <f t="shared" si="134"/>
        <v>I</v>
      </c>
      <c r="AB715" s="613" t="str">
        <f t="shared" si="134"/>
        <v>I</v>
      </c>
      <c r="AC715" s="879"/>
      <c r="AD715" s="880"/>
      <c r="AE715" s="881"/>
      <c r="AF715" s="644"/>
      <c r="AG715" s="879"/>
      <c r="AH715" s="879"/>
      <c r="AI715" s="879"/>
      <c r="AJ715" s="879"/>
      <c r="AK715" s="879"/>
      <c r="AL715" s="879"/>
      <c r="AM715" s="879"/>
      <c r="AN715" s="879"/>
      <c r="AO715" s="879"/>
      <c r="AP715" s="879"/>
      <c r="AQ715" s="879"/>
      <c r="AR715" s="879"/>
      <c r="AS715" s="879"/>
    </row>
    <row r="716" spans="1:45" x14ac:dyDescent="0.2">
      <c r="A716" s="527">
        <v>714</v>
      </c>
      <c r="B716" s="879"/>
      <c r="C716" s="879" t="s">
        <v>3859</v>
      </c>
      <c r="D716" s="879"/>
      <c r="E716" s="879"/>
      <c r="F716" s="879"/>
      <c r="G716" s="624"/>
      <c r="H716" s="879"/>
      <c r="I716" s="879"/>
      <c r="J716" s="835">
        <v>2023</v>
      </c>
      <c r="K716" s="976">
        <v>2024</v>
      </c>
      <c r="L716" s="613" t="s">
        <v>303</v>
      </c>
      <c r="M716" s="613">
        <f t="shared" ref="M716:M718" si="136">IF(AND(L716="F",Q716=1),1,0)</f>
        <v>0</v>
      </c>
      <c r="N716" s="613">
        <f t="shared" ref="N716:N718" si="137">IF(AND(L716="P",Q716=1),1,0)</f>
        <v>1</v>
      </c>
      <c r="O716" s="880"/>
      <c r="P716" s="880"/>
      <c r="Q716" s="836">
        <v>1</v>
      </c>
      <c r="R716" s="880"/>
      <c r="S716" s="880"/>
      <c r="T716" s="880"/>
      <c r="U716" s="613">
        <f t="shared" si="135"/>
        <v>1</v>
      </c>
      <c r="V716" s="879"/>
      <c r="W716" s="613" t="str">
        <f t="shared" ref="W716:W718" si="138">IF(O716=1,$J716,"I")</f>
        <v>I</v>
      </c>
      <c r="X716" s="613" t="str">
        <f t="shared" ref="X716:X718" si="139">IF(P716=1,$J716,"I")</f>
        <v>I</v>
      </c>
      <c r="Y716" s="613">
        <f t="shared" ref="Y716:Y718" si="140">IF(Q716=1,$J716,"I")</f>
        <v>2023</v>
      </c>
      <c r="Z716" s="613" t="str">
        <f t="shared" ref="Z716:Z718" si="141">IF(R716=1,$J716,"I")</f>
        <v>I</v>
      </c>
      <c r="AA716" s="613" t="str">
        <f t="shared" ref="AA716:AB718" si="142">IF(S716=1,$J716,"I")</f>
        <v>I</v>
      </c>
      <c r="AB716" s="613" t="str">
        <f t="shared" si="142"/>
        <v>I</v>
      </c>
      <c r="AC716" s="879"/>
      <c r="AD716" s="880"/>
      <c r="AE716" s="881"/>
      <c r="AF716" s="644"/>
      <c r="AG716" s="879"/>
      <c r="AH716" s="879"/>
      <c r="AI716" s="879"/>
      <c r="AJ716" s="879"/>
      <c r="AK716" s="879"/>
      <c r="AL716" s="879"/>
      <c r="AM716" s="879"/>
      <c r="AN716" s="879"/>
      <c r="AO716" s="879"/>
      <c r="AP716" s="879"/>
      <c r="AQ716" s="879"/>
      <c r="AR716" s="879"/>
      <c r="AS716" s="879"/>
    </row>
    <row r="717" spans="1:45" x14ac:dyDescent="0.2">
      <c r="A717" s="527">
        <v>715</v>
      </c>
      <c r="B717" s="879"/>
      <c r="C717" s="879" t="s">
        <v>3869</v>
      </c>
      <c r="D717" s="879"/>
      <c r="E717" s="879"/>
      <c r="F717" s="879"/>
      <c r="G717" s="624"/>
      <c r="H717" s="879"/>
      <c r="I717" s="879"/>
      <c r="J717" s="835">
        <v>2024</v>
      </c>
      <c r="K717" s="976">
        <v>2024</v>
      </c>
      <c r="L717" s="613" t="s">
        <v>336</v>
      </c>
      <c r="M717" s="613">
        <f t="shared" si="136"/>
        <v>1</v>
      </c>
      <c r="N717" s="613">
        <f t="shared" si="137"/>
        <v>0</v>
      </c>
      <c r="O717" s="880"/>
      <c r="P717" s="880"/>
      <c r="Q717" s="836">
        <v>1</v>
      </c>
      <c r="R717" s="880"/>
      <c r="S717" s="880"/>
      <c r="T717" s="880"/>
      <c r="U717" s="613">
        <f t="shared" si="135"/>
        <v>1</v>
      </c>
      <c r="V717" s="879"/>
      <c r="W717" s="613" t="str">
        <f t="shared" si="138"/>
        <v>I</v>
      </c>
      <c r="X717" s="613" t="str">
        <f t="shared" si="139"/>
        <v>I</v>
      </c>
      <c r="Y717" s="613">
        <f t="shared" si="140"/>
        <v>2024</v>
      </c>
      <c r="Z717" s="613" t="str">
        <f t="shared" si="141"/>
        <v>I</v>
      </c>
      <c r="AA717" s="613" t="str">
        <f t="shared" si="142"/>
        <v>I</v>
      </c>
      <c r="AB717" s="613" t="str">
        <f t="shared" si="142"/>
        <v>I</v>
      </c>
      <c r="AC717" s="879"/>
      <c r="AD717" s="880"/>
      <c r="AE717" s="881"/>
      <c r="AF717" s="644"/>
      <c r="AG717" s="879"/>
      <c r="AH717" s="879"/>
      <c r="AI717" s="879"/>
      <c r="AJ717" s="879"/>
      <c r="AK717" s="879"/>
      <c r="AL717" s="879"/>
      <c r="AM717" s="879"/>
      <c r="AN717" s="879"/>
      <c r="AO717" s="879"/>
      <c r="AP717" s="879"/>
      <c r="AQ717" s="879"/>
      <c r="AR717" s="879"/>
      <c r="AS717" s="879"/>
    </row>
    <row r="718" spans="1:45" x14ac:dyDescent="0.2">
      <c r="A718" s="527">
        <v>716</v>
      </c>
      <c r="B718" s="879"/>
      <c r="C718" s="879" t="s">
        <v>3872</v>
      </c>
      <c r="D718" s="879"/>
      <c r="E718" s="879"/>
      <c r="F718" s="879"/>
      <c r="G718" s="624"/>
      <c r="H718" s="879"/>
      <c r="I718" s="879"/>
      <c r="J718" s="835">
        <v>2024</v>
      </c>
      <c r="K718" s="976">
        <v>2024</v>
      </c>
      <c r="L718" s="613" t="s">
        <v>303</v>
      </c>
      <c r="M718" s="613">
        <f t="shared" si="136"/>
        <v>0</v>
      </c>
      <c r="N718" s="613">
        <f t="shared" si="137"/>
        <v>1</v>
      </c>
      <c r="O718" s="880"/>
      <c r="P718" s="880"/>
      <c r="Q718" s="836">
        <v>1</v>
      </c>
      <c r="R718" s="880"/>
      <c r="S718" s="880"/>
      <c r="T718" s="880"/>
      <c r="U718" s="613">
        <f t="shared" si="135"/>
        <v>1</v>
      </c>
      <c r="V718" s="879"/>
      <c r="W718" s="613" t="str">
        <f t="shared" si="138"/>
        <v>I</v>
      </c>
      <c r="X718" s="613" t="str">
        <f t="shared" si="139"/>
        <v>I</v>
      </c>
      <c r="Y718" s="613">
        <f t="shared" si="140"/>
        <v>2024</v>
      </c>
      <c r="Z718" s="613" t="str">
        <f t="shared" si="141"/>
        <v>I</v>
      </c>
      <c r="AA718" s="613" t="str">
        <f t="shared" si="142"/>
        <v>I</v>
      </c>
      <c r="AB718" s="613" t="str">
        <f t="shared" si="142"/>
        <v>I</v>
      </c>
      <c r="AC718" s="879"/>
      <c r="AD718" s="880"/>
      <c r="AE718" s="881"/>
      <c r="AF718" s="644"/>
      <c r="AG718" s="879"/>
      <c r="AH718" s="879"/>
      <c r="AI718" s="879"/>
      <c r="AJ718" s="879"/>
      <c r="AK718" s="879"/>
      <c r="AL718" s="879"/>
      <c r="AM718" s="879"/>
      <c r="AN718" s="879"/>
      <c r="AO718" s="879"/>
      <c r="AP718" s="879"/>
      <c r="AQ718" s="879"/>
      <c r="AR718" s="879"/>
      <c r="AS718" s="879"/>
    </row>
    <row r="719" spans="1:45" x14ac:dyDescent="0.2">
      <c r="B719" s="879"/>
      <c r="C719" s="879"/>
      <c r="D719" s="879"/>
      <c r="E719" s="879"/>
      <c r="F719" s="879"/>
      <c r="G719" s="624"/>
      <c r="H719" s="879"/>
      <c r="I719" s="879"/>
      <c r="J719" s="879"/>
      <c r="K719" s="879"/>
      <c r="L719" s="613"/>
      <c r="M719" s="879"/>
      <c r="N719" s="879"/>
      <c r="O719" s="880"/>
      <c r="P719" s="880"/>
      <c r="Q719" s="880"/>
      <c r="R719" s="880"/>
      <c r="S719" s="880"/>
      <c r="T719" s="880"/>
      <c r="U719" s="880"/>
      <c r="V719" s="879"/>
      <c r="W719" s="880"/>
      <c r="X719" s="880"/>
      <c r="Y719" s="880"/>
      <c r="Z719" s="880"/>
      <c r="AA719" s="880"/>
      <c r="AB719" s="880"/>
      <c r="AC719" s="879"/>
      <c r="AD719" s="880"/>
      <c r="AE719" s="881"/>
      <c r="AF719" s="644"/>
      <c r="AG719" s="879"/>
      <c r="AH719" s="879"/>
      <c r="AI719" s="879"/>
      <c r="AJ719" s="879"/>
      <c r="AK719" s="879"/>
      <c r="AL719" s="879"/>
      <c r="AM719" s="879"/>
      <c r="AN719" s="879"/>
      <c r="AO719" s="879"/>
      <c r="AP719" s="879"/>
      <c r="AQ719" s="879"/>
      <c r="AR719" s="879"/>
      <c r="AS719" s="879"/>
    </row>
    <row r="720" spans="1:45" x14ac:dyDescent="0.2">
      <c r="B720" s="879"/>
      <c r="C720" s="879"/>
      <c r="D720" s="879"/>
      <c r="E720" s="879"/>
      <c r="F720" s="879"/>
      <c r="G720" s="624"/>
      <c r="H720" s="879"/>
      <c r="I720" s="879"/>
      <c r="J720" s="879"/>
      <c r="K720" s="879"/>
      <c r="L720" s="613"/>
      <c r="M720" s="879"/>
      <c r="N720" s="879"/>
      <c r="O720" s="880"/>
      <c r="P720" s="880"/>
      <c r="Q720" s="880"/>
      <c r="R720" s="880"/>
      <c r="S720" s="880"/>
      <c r="T720" s="880"/>
      <c r="U720" s="880"/>
      <c r="V720" s="879"/>
      <c r="W720" s="880"/>
      <c r="X720" s="880"/>
      <c r="Y720" s="880"/>
      <c r="Z720" s="880"/>
      <c r="AA720" s="880"/>
      <c r="AB720" s="880"/>
      <c r="AC720" s="879"/>
      <c r="AD720" s="880"/>
      <c r="AE720" s="881"/>
      <c r="AF720" s="644"/>
      <c r="AG720" s="879"/>
      <c r="AH720" s="879"/>
      <c r="AI720" s="879"/>
      <c r="AJ720" s="879"/>
      <c r="AK720" s="879"/>
      <c r="AL720" s="879"/>
      <c r="AM720" s="879"/>
      <c r="AN720" s="879"/>
      <c r="AO720" s="879"/>
      <c r="AP720" s="879"/>
      <c r="AQ720" s="879"/>
      <c r="AR720" s="879"/>
      <c r="AS720" s="879"/>
    </row>
    <row r="721" spans="3:45" x14ac:dyDescent="0.2">
      <c r="F721" s="844"/>
      <c r="J721" s="612"/>
      <c r="K721" s="612"/>
      <c r="L721" s="613"/>
      <c r="M721" s="839"/>
      <c r="W721" s="613"/>
      <c r="X721" s="613"/>
      <c r="Y721" s="613"/>
      <c r="Z721" s="613"/>
      <c r="AA721" s="613"/>
      <c r="AB721" s="613"/>
      <c r="AD721" s="613"/>
      <c r="AM721" s="647"/>
      <c r="AN721" s="647"/>
      <c r="AO721" s="647"/>
      <c r="AP721" s="647"/>
      <c r="AQ721" s="647"/>
    </row>
    <row r="722" spans="3:45" x14ac:dyDescent="0.2">
      <c r="C722" s="527" t="s">
        <v>497</v>
      </c>
      <c r="F722" s="844"/>
      <c r="J722" s="612"/>
      <c r="K722" s="612"/>
      <c r="L722" s="613"/>
      <c r="M722" s="839"/>
      <c r="W722" s="634">
        <f t="shared" ref="W722:AB722" si="143">SUM(W3:W721)</f>
        <v>88070</v>
      </c>
      <c r="X722" s="634">
        <f t="shared" si="143"/>
        <v>4000</v>
      </c>
      <c r="Y722" s="634">
        <f t="shared" si="143"/>
        <v>1188239</v>
      </c>
      <c r="Z722" s="634">
        <f t="shared" si="143"/>
        <v>156390</v>
      </c>
      <c r="AA722" s="634">
        <f t="shared" si="143"/>
        <v>3998</v>
      </c>
      <c r="AB722" s="634">
        <f t="shared" si="143"/>
        <v>2024</v>
      </c>
      <c r="AD722" s="613"/>
      <c r="AM722" s="647">
        <f t="shared" ref="AM722:AR722" si="144">SUM(AM3:AM721)</f>
        <v>44</v>
      </c>
      <c r="AN722" s="647">
        <f t="shared" si="144"/>
        <v>2</v>
      </c>
      <c r="AO722" s="647">
        <f t="shared" si="144"/>
        <v>587</v>
      </c>
      <c r="AP722" s="647">
        <f t="shared" si="144"/>
        <v>78</v>
      </c>
      <c r="AQ722" s="647">
        <f t="shared" si="144"/>
        <v>2</v>
      </c>
      <c r="AR722" s="647">
        <f t="shared" si="144"/>
        <v>1</v>
      </c>
      <c r="AS722" s="648">
        <f>SUM(AM722:AR722)</f>
        <v>714</v>
      </c>
    </row>
    <row r="723" spans="3:45" x14ac:dyDescent="0.2">
      <c r="C723" s="527" t="s">
        <v>497</v>
      </c>
      <c r="F723" s="844"/>
      <c r="J723" s="612"/>
      <c r="K723" s="612"/>
      <c r="L723" s="613"/>
      <c r="M723" s="840"/>
      <c r="W723" s="634">
        <f t="shared" ref="W723:AB723" si="145">AVERAGE(W3:W721)</f>
        <v>2001.590909090909</v>
      </c>
      <c r="X723" s="634">
        <f t="shared" si="145"/>
        <v>2000</v>
      </c>
      <c r="Y723" s="634">
        <f t="shared" si="145"/>
        <v>2017.383701188455</v>
      </c>
      <c r="Z723" s="634">
        <f t="shared" si="145"/>
        <v>2005</v>
      </c>
      <c r="AA723" s="634">
        <f t="shared" si="145"/>
        <v>1999</v>
      </c>
      <c r="AB723" s="634">
        <f t="shared" si="145"/>
        <v>2024</v>
      </c>
      <c r="AD723" s="613"/>
      <c r="AM723" s="828">
        <f t="shared" ref="AM723:AR723" si="146">AM722/$AS722</f>
        <v>6.1624649859943981E-2</v>
      </c>
      <c r="AN723" s="828">
        <f t="shared" si="146"/>
        <v>2.8011204481792717E-3</v>
      </c>
      <c r="AO723" s="828">
        <f t="shared" si="146"/>
        <v>0.82212885154061621</v>
      </c>
      <c r="AP723" s="828">
        <f t="shared" si="146"/>
        <v>0.1092436974789916</v>
      </c>
      <c r="AQ723" s="828">
        <f t="shared" si="146"/>
        <v>2.8011204481792717E-3</v>
      </c>
      <c r="AR723" s="828">
        <f t="shared" si="146"/>
        <v>1.4005602240896359E-3</v>
      </c>
      <c r="AS723" s="828">
        <f>SUM(AM723:AR723)</f>
        <v>1</v>
      </c>
    </row>
    <row r="724" spans="3:45" x14ac:dyDescent="0.2">
      <c r="C724" s="527" t="s">
        <v>497</v>
      </c>
      <c r="F724" s="844"/>
      <c r="J724" s="612"/>
      <c r="K724" s="612"/>
      <c r="L724" s="613"/>
      <c r="M724" s="961">
        <f t="shared" ref="M724:U724" si="147">SUM(M3:M720)</f>
        <v>149</v>
      </c>
      <c r="N724" s="961">
        <f t="shared" si="147"/>
        <v>440</v>
      </c>
      <c r="O724" s="634">
        <f t="shared" si="147"/>
        <v>44</v>
      </c>
      <c r="P724" s="634">
        <f t="shared" si="147"/>
        <v>2</v>
      </c>
      <c r="Q724" s="634">
        <f t="shared" si="147"/>
        <v>589</v>
      </c>
      <c r="R724" s="634">
        <f t="shared" si="147"/>
        <v>78</v>
      </c>
      <c r="S724" s="634">
        <f t="shared" si="147"/>
        <v>2</v>
      </c>
      <c r="T724" s="634"/>
      <c r="U724" s="634">
        <f t="shared" si="147"/>
        <v>716</v>
      </c>
      <c r="W724" s="613">
        <f t="shared" ref="W724:AB724" si="148">W722/W723</f>
        <v>44</v>
      </c>
      <c r="X724" s="613">
        <f t="shared" si="148"/>
        <v>2</v>
      </c>
      <c r="Y724" s="613">
        <f t="shared" si="148"/>
        <v>589</v>
      </c>
      <c r="Z724" s="613">
        <f t="shared" si="148"/>
        <v>78</v>
      </c>
      <c r="AA724" s="613">
        <f t="shared" si="148"/>
        <v>2</v>
      </c>
      <c r="AB724" s="613">
        <f t="shared" si="148"/>
        <v>1</v>
      </c>
      <c r="AC724" s="532">
        <f>SUM(W724:AB724)</f>
        <v>716</v>
      </c>
      <c r="AD724" s="613"/>
      <c r="AM724" s="647"/>
      <c r="AN724" s="647"/>
      <c r="AO724" s="647"/>
      <c r="AP724" s="647"/>
      <c r="AQ724" s="647"/>
    </row>
    <row r="725" spans="3:45" x14ac:dyDescent="0.2">
      <c r="M725" s="649">
        <f>M724/$Q724</f>
        <v>0.25297113752122241</v>
      </c>
      <c r="N725" s="649">
        <f>N724/$Q724</f>
        <v>0.74702886247877764</v>
      </c>
      <c r="O725" s="642">
        <f>O724/$U724</f>
        <v>6.1452513966480445E-2</v>
      </c>
      <c r="P725" s="642">
        <f t="shared" ref="P725:U725" si="149">P724/$U724</f>
        <v>2.7932960893854749E-3</v>
      </c>
      <c r="Q725" s="642">
        <f t="shared" si="149"/>
        <v>0.82262569832402233</v>
      </c>
      <c r="R725" s="642">
        <f t="shared" si="149"/>
        <v>0.10893854748603352</v>
      </c>
      <c r="S725" s="642">
        <f t="shared" si="149"/>
        <v>2.7932960893854749E-3</v>
      </c>
      <c r="T725" s="642"/>
      <c r="U725" s="642">
        <f t="shared" si="149"/>
        <v>1</v>
      </c>
      <c r="W725" s="642">
        <f>W724/$AC724</f>
        <v>6.1452513966480445E-2</v>
      </c>
      <c r="X725" s="642">
        <f t="shared" ref="X725:AC725" si="150">X724/$AC724</f>
        <v>2.7932960893854749E-3</v>
      </c>
      <c r="Y725" s="642">
        <f t="shared" si="150"/>
        <v>0.82262569832402233</v>
      </c>
      <c r="Z725" s="642">
        <f t="shared" si="150"/>
        <v>0.10893854748603352</v>
      </c>
      <c r="AA725" s="642">
        <f t="shared" si="150"/>
        <v>2.7932960893854749E-3</v>
      </c>
      <c r="AB725" s="642">
        <f t="shared" ref="AB725" si="151">AB724/$AC724</f>
        <v>1.3966480446927375E-3</v>
      </c>
      <c r="AC725" s="642">
        <f t="shared" si="150"/>
        <v>1</v>
      </c>
    </row>
    <row r="726" spans="3:45" x14ac:dyDescent="0.2">
      <c r="P726" s="967">
        <f>P725</f>
        <v>2.7932960893854749E-3</v>
      </c>
      <c r="Q726" s="967">
        <f>Q725</f>
        <v>0.82262569832402233</v>
      </c>
      <c r="R726" s="967">
        <f>R725</f>
        <v>0.10893854748603352</v>
      </c>
      <c r="U726" s="967">
        <f>SUM(P726:S726)</f>
        <v>0.93435754189944131</v>
      </c>
    </row>
  </sheetData>
  <sortState xmlns:xlrd2="http://schemas.microsoft.com/office/spreadsheetml/2017/richdata2" ref="AI4:AI50">
    <sortCondition ref="AI3"/>
  </sortState>
  <mergeCells count="3">
    <mergeCell ref="W1:AA1"/>
    <mergeCell ref="O1:S1"/>
    <mergeCell ref="M1:N1"/>
  </mergeCells>
  <phoneticPr fontId="32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3" tint="0.59999389629810485"/>
  </sheetPr>
  <dimension ref="A1:EB705"/>
  <sheetViews>
    <sheetView zoomScale="130" zoomScaleNormal="130" workbookViewId="0">
      <pane xSplit="5" ySplit="1" topLeftCell="H96" activePane="bottomRight" state="frozen"/>
      <selection pane="topRight" activeCell="F1" sqref="F1"/>
      <selection pane="bottomLeft" activeCell="A2" sqref="A2"/>
      <selection pane="bottomRight" activeCell="B113" sqref="B113"/>
    </sheetView>
  </sheetViews>
  <sheetFormatPr defaultColWidth="14.6640625" defaultRowHeight="12.75" x14ac:dyDescent="0.2"/>
  <cols>
    <col min="1" max="1" width="16" customWidth="1"/>
    <col min="2" max="2" width="7.1640625" customWidth="1"/>
    <col min="3" max="3" width="8.5" customWidth="1"/>
    <col min="4" max="4" width="27.6640625" customWidth="1"/>
    <col min="5" max="5" width="10.5" bestFit="1" customWidth="1"/>
    <col min="6" max="6" width="7.33203125" customWidth="1"/>
    <col min="7" max="7" width="9.33203125" customWidth="1"/>
    <col min="8" max="8" width="8.83203125" style="30" customWidth="1"/>
    <col min="9" max="9" width="7.5" style="6" customWidth="1"/>
    <col min="10" max="10" width="10" style="6" customWidth="1"/>
    <col min="11" max="11" width="8.33203125" style="32" customWidth="1"/>
    <col min="12" max="12" width="7.5" style="6" customWidth="1"/>
    <col min="13" max="13" width="6.6640625" style="3" customWidth="1"/>
    <col min="14" max="14" width="8.6640625" style="6" customWidth="1"/>
    <col min="15" max="15" width="6.83203125" style="7" customWidth="1"/>
    <col min="16" max="16" width="7.1640625" style="32" customWidth="1"/>
    <col min="17" max="17" width="8.33203125" style="32" customWidth="1"/>
    <col min="18" max="18" width="7.5" style="32" customWidth="1"/>
    <col min="19" max="21" width="7.5" customWidth="1"/>
    <col min="22" max="22" width="7.6640625" customWidth="1"/>
    <col min="23" max="24" width="7.5" style="2" customWidth="1"/>
    <col min="25" max="25" width="6.5" style="2" customWidth="1"/>
    <col min="26" max="26" width="6.6640625" style="2" customWidth="1"/>
    <col min="27" max="27" width="7.5" style="2" customWidth="1"/>
    <col min="28" max="28" width="6.83203125" style="2" customWidth="1"/>
    <col min="29" max="29" width="6.1640625" customWidth="1"/>
    <col min="30" max="30" width="5.83203125" customWidth="1"/>
    <col min="31" max="31" width="6.1640625" customWidth="1"/>
    <col min="32" max="34" width="7.5" customWidth="1"/>
    <col min="35" max="35" width="6.1640625" style="30" customWidth="1"/>
    <col min="36" max="36" width="8.6640625" style="31" customWidth="1"/>
    <col min="37" max="37" width="6.1640625" customWidth="1"/>
    <col min="38" max="38" width="7" style="33" customWidth="1"/>
    <col min="39" max="40" width="6.6640625" style="31" customWidth="1"/>
    <col min="41" max="41" width="6.6640625" style="33" customWidth="1"/>
    <col min="42" max="42" width="6.6640625" customWidth="1"/>
    <col min="43" max="45" width="6.6640625" style="30" customWidth="1"/>
    <col min="46" max="47" width="6.6640625" style="31" customWidth="1"/>
    <col min="48" max="48" width="6.6640625" customWidth="1"/>
    <col min="49" max="49" width="5.6640625" style="31" customWidth="1"/>
    <col min="50" max="51" width="5.6640625" style="30" customWidth="1"/>
    <col min="52" max="52" width="6.6640625" style="30" customWidth="1"/>
    <col min="53" max="53" width="5.6640625" style="30" customWidth="1"/>
    <col min="54" max="54" width="6.6640625" style="30" customWidth="1"/>
    <col min="55" max="55" width="5.6640625" style="30" customWidth="1"/>
    <col min="56" max="56" width="6.6640625" style="30" customWidth="1"/>
    <col min="57" max="59" width="5.6640625" style="30" customWidth="1"/>
    <col min="60" max="60" width="7.6640625" style="31" customWidth="1"/>
    <col min="61" max="61" width="5.83203125" style="30" customWidth="1"/>
    <col min="62" max="62" width="5.83203125" customWidth="1"/>
    <col min="63" max="63" width="5.6640625" customWidth="1"/>
    <col min="64" max="64" width="6" style="33" customWidth="1"/>
    <col min="65" max="65" width="6.5" style="30" customWidth="1"/>
    <col min="66" max="66" width="6.1640625" style="30" customWidth="1"/>
    <col min="67" max="67" width="6.5" style="30" customWidth="1"/>
    <col min="68" max="68" width="7.1640625" style="30" customWidth="1"/>
    <col min="69" max="69" width="6.6640625" customWidth="1"/>
    <col min="70" max="70" width="7.5" customWidth="1"/>
    <col min="71" max="71" width="6.1640625" customWidth="1"/>
    <col min="72" max="72" width="6.83203125" customWidth="1"/>
    <col min="73" max="73" width="6.1640625" customWidth="1"/>
    <col min="74" max="74" width="7" style="32" customWidth="1"/>
    <col min="75" max="75" width="5.6640625" style="30" customWidth="1"/>
    <col min="76" max="76" width="6.1640625" style="30" customWidth="1"/>
    <col min="77" max="77" width="6.1640625" customWidth="1"/>
    <col min="78" max="78" width="5.33203125" style="33" customWidth="1"/>
    <col min="79" max="79" width="6.1640625" style="33" customWidth="1"/>
    <col min="80" max="80" width="7.6640625" customWidth="1"/>
    <col min="81" max="81" width="5" customWidth="1"/>
    <col min="82" max="82" width="8.1640625" customWidth="1"/>
    <col min="83" max="83" width="6.6640625" style="30" customWidth="1"/>
    <col min="84" max="84" width="6.1640625" style="30" customWidth="1"/>
    <col min="85" max="86" width="6.1640625" customWidth="1"/>
    <col min="87" max="92" width="5.83203125" customWidth="1"/>
    <col min="93" max="93" width="8.83203125" customWidth="1"/>
    <col min="94" max="94" width="2.83203125" customWidth="1"/>
    <col min="95" max="95" width="8.83203125" customWidth="1"/>
    <col min="96" max="96" width="8.33203125" customWidth="1"/>
    <col min="97" max="100" width="8" customWidth="1"/>
    <col min="101" max="104" width="5.83203125" customWidth="1"/>
    <col min="105" max="105" width="4.6640625" customWidth="1"/>
    <col min="106" max="106" width="7.33203125" customWidth="1"/>
    <col min="107" max="107" width="5" customWidth="1"/>
    <col min="108" max="111" width="6" customWidth="1"/>
    <col min="112" max="112" width="5" bestFit="1" customWidth="1"/>
    <col min="113" max="113" width="6.6640625" customWidth="1"/>
    <col min="114" max="114" width="7.83203125" bestFit="1" customWidth="1"/>
    <col min="115" max="115" width="8.83203125" customWidth="1"/>
    <col min="116" max="116" width="6.6640625" customWidth="1"/>
    <col min="117" max="117" width="5.83203125" bestFit="1" customWidth="1"/>
    <col min="118" max="119" width="5.6640625" bestFit="1" customWidth="1"/>
    <col min="120" max="120" width="7" bestFit="1" customWidth="1"/>
    <col min="121" max="121" width="8.5" customWidth="1"/>
    <col min="122" max="122" width="8.33203125" customWidth="1"/>
    <col min="123" max="123" width="9.33203125" bestFit="1" customWidth="1"/>
    <col min="124" max="124" width="9.6640625" customWidth="1"/>
    <col min="125" max="125" width="8.5" customWidth="1"/>
    <col min="126" max="126" width="8.33203125" customWidth="1"/>
    <col min="127" max="127" width="8.5" customWidth="1"/>
  </cols>
  <sheetData>
    <row r="1" spans="1:132" s="224" customFormat="1" ht="30.75" customHeight="1" x14ac:dyDescent="0.2">
      <c r="E1" s="262" t="s">
        <v>186</v>
      </c>
      <c r="F1" s="262"/>
      <c r="H1" s="210" t="s">
        <v>148</v>
      </c>
      <c r="I1" s="210" t="s">
        <v>149</v>
      </c>
      <c r="J1" s="210" t="s">
        <v>150</v>
      </c>
      <c r="K1" s="211" t="s">
        <v>151</v>
      </c>
      <c r="L1" s="210" t="s">
        <v>152</v>
      </c>
      <c r="M1" s="211" t="s">
        <v>153</v>
      </c>
      <c r="N1" s="210" t="s">
        <v>154</v>
      </c>
      <c r="O1" s="212" t="s">
        <v>156</v>
      </c>
      <c r="P1" s="211" t="s">
        <v>157</v>
      </c>
      <c r="Q1" s="211" t="s">
        <v>158</v>
      </c>
      <c r="R1" s="211" t="s">
        <v>261</v>
      </c>
      <c r="S1" s="262" t="s">
        <v>1284</v>
      </c>
      <c r="T1" s="817" t="s">
        <v>160</v>
      </c>
      <c r="U1" s="262"/>
      <c r="V1" s="262" t="s">
        <v>187</v>
      </c>
      <c r="W1" s="262" t="s">
        <v>188</v>
      </c>
      <c r="X1" s="262" t="s">
        <v>189</v>
      </c>
      <c r="Y1" s="262" t="s">
        <v>190</v>
      </c>
      <c r="Z1" s="262" t="s">
        <v>164</v>
      </c>
      <c r="AA1" s="262" t="s">
        <v>191</v>
      </c>
      <c r="AB1" s="262" t="s">
        <v>192</v>
      </c>
      <c r="AC1" s="262" t="s">
        <v>193</v>
      </c>
      <c r="AD1" s="262" t="s">
        <v>194</v>
      </c>
      <c r="AE1" s="262" t="s">
        <v>303</v>
      </c>
      <c r="AF1" s="262" t="s">
        <v>335</v>
      </c>
      <c r="AG1" s="262" t="s">
        <v>336</v>
      </c>
      <c r="AH1" s="262" t="s">
        <v>304</v>
      </c>
      <c r="AI1" s="210" t="s">
        <v>162</v>
      </c>
      <c r="AJ1" s="213" t="s">
        <v>163</v>
      </c>
      <c r="AK1" s="262" t="s">
        <v>305</v>
      </c>
      <c r="AL1" s="212" t="s">
        <v>165</v>
      </c>
      <c r="AM1" s="213" t="s">
        <v>166</v>
      </c>
      <c r="AN1" s="213" t="s">
        <v>262</v>
      </c>
      <c r="AO1" s="212" t="s">
        <v>306</v>
      </c>
      <c r="AP1" s="262" t="s">
        <v>332</v>
      </c>
      <c r="AQ1" s="210" t="s">
        <v>307</v>
      </c>
      <c r="AR1" s="210" t="s">
        <v>308</v>
      </c>
      <c r="AS1" s="210" t="s">
        <v>309</v>
      </c>
      <c r="AT1" s="213" t="s">
        <v>263</v>
      </c>
      <c r="AU1" s="213" t="s">
        <v>167</v>
      </c>
      <c r="AV1" s="262" t="s">
        <v>316</v>
      </c>
      <c r="AW1" s="213" t="s">
        <v>168</v>
      </c>
      <c r="AX1" s="210" t="s">
        <v>317</v>
      </c>
      <c r="AY1" s="210" t="s">
        <v>312</v>
      </c>
      <c r="AZ1" s="210" t="s">
        <v>324</v>
      </c>
      <c r="BA1" s="210" t="s">
        <v>333</v>
      </c>
      <c r="BB1" s="210" t="s">
        <v>345</v>
      </c>
      <c r="BC1" s="210" t="s">
        <v>318</v>
      </c>
      <c r="BD1" s="210" t="s">
        <v>319</v>
      </c>
      <c r="BE1" s="210" t="s">
        <v>343</v>
      </c>
      <c r="BF1" s="210" t="s">
        <v>337</v>
      </c>
      <c r="BG1" s="210" t="s">
        <v>264</v>
      </c>
      <c r="BH1" s="213" t="s">
        <v>169</v>
      </c>
      <c r="BI1" s="409" t="s">
        <v>170</v>
      </c>
      <c r="BJ1" s="263" t="s">
        <v>171</v>
      </c>
      <c r="BK1" s="263" t="s">
        <v>320</v>
      </c>
      <c r="BL1" s="410" t="s">
        <v>172</v>
      </c>
      <c r="BM1" s="409" t="s">
        <v>173</v>
      </c>
      <c r="BN1" s="409" t="s">
        <v>174</v>
      </c>
      <c r="BO1" s="409" t="s">
        <v>313</v>
      </c>
      <c r="BP1" s="409" t="s">
        <v>175</v>
      </c>
      <c r="BQ1" s="263" t="s">
        <v>314</v>
      </c>
      <c r="BR1" s="263" t="s">
        <v>315</v>
      </c>
      <c r="BS1" s="263" t="s">
        <v>321</v>
      </c>
      <c r="BT1" s="263" t="s">
        <v>325</v>
      </c>
      <c r="BU1" s="263" t="s">
        <v>176</v>
      </c>
      <c r="BV1" s="401" t="s">
        <v>177</v>
      </c>
      <c r="BW1" s="210" t="s">
        <v>178</v>
      </c>
      <c r="BX1" s="210" t="s">
        <v>179</v>
      </c>
      <c r="BY1" s="262" t="s">
        <v>326</v>
      </c>
      <c r="BZ1" s="212" t="s">
        <v>180</v>
      </c>
      <c r="CA1" s="212" t="s">
        <v>181</v>
      </c>
      <c r="CB1" s="262" t="s">
        <v>346</v>
      </c>
      <c r="CC1" s="262" t="s">
        <v>322</v>
      </c>
      <c r="CD1" s="262" t="s">
        <v>344</v>
      </c>
      <c r="CE1" s="210" t="s">
        <v>182</v>
      </c>
      <c r="CF1" s="210" t="s">
        <v>183</v>
      </c>
      <c r="CG1" s="264" t="s">
        <v>186</v>
      </c>
      <c r="CH1" s="264" t="s">
        <v>371</v>
      </c>
      <c r="CI1" s="264" t="s">
        <v>329</v>
      </c>
      <c r="CJ1" s="264" t="s">
        <v>330</v>
      </c>
      <c r="CK1" s="264" t="s">
        <v>331</v>
      </c>
      <c r="CL1" s="264" t="s">
        <v>481</v>
      </c>
      <c r="CM1" s="264" t="s">
        <v>458</v>
      </c>
      <c r="CN1" s="264" t="s">
        <v>479</v>
      </c>
      <c r="CO1" s="264" t="s">
        <v>554</v>
      </c>
      <c r="CP1" s="264"/>
      <c r="CQ1" s="550" t="s">
        <v>1158</v>
      </c>
      <c r="CR1" s="551" t="s">
        <v>472</v>
      </c>
      <c r="CS1" s="551" t="s">
        <v>555</v>
      </c>
      <c r="CT1" s="551" t="s">
        <v>782</v>
      </c>
      <c r="CU1" s="551" t="s">
        <v>938</v>
      </c>
      <c r="CV1" s="264" t="s">
        <v>40</v>
      </c>
      <c r="CW1" s="264" t="s">
        <v>737</v>
      </c>
      <c r="CX1" s="264" t="s">
        <v>738</v>
      </c>
      <c r="CY1" s="264" t="s">
        <v>739</v>
      </c>
      <c r="CZ1" s="264" t="s">
        <v>740</v>
      </c>
      <c r="DA1" s="224" t="s">
        <v>1344</v>
      </c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</row>
    <row r="2" spans="1:132" x14ac:dyDescent="0.2">
      <c r="A2" t="s">
        <v>195</v>
      </c>
      <c r="B2" t="s">
        <v>196</v>
      </c>
      <c r="C2" t="s">
        <v>197</v>
      </c>
      <c r="D2" t="s">
        <v>198</v>
      </c>
      <c r="E2" s="8">
        <v>77.709999999999994</v>
      </c>
      <c r="F2" s="8"/>
      <c r="H2" s="810">
        <f>100-SUM(I2:R2)-0.045</f>
        <v>44.866250559999997</v>
      </c>
      <c r="I2" s="6">
        <v>0.23</v>
      </c>
      <c r="J2" s="6">
        <v>25.1</v>
      </c>
      <c r="K2" s="32">
        <v>0.13154399999999999</v>
      </c>
      <c r="L2" s="6">
        <v>5.53</v>
      </c>
      <c r="M2" s="3">
        <v>7.6205439999999999E-2</v>
      </c>
      <c r="N2" s="6">
        <v>8.8000000000000007</v>
      </c>
      <c r="O2" s="7">
        <v>14.9</v>
      </c>
      <c r="P2" s="3">
        <v>0.32100000000000001</v>
      </c>
      <c r="T2" s="38">
        <f>100*(N2/40.304)/(N2/40.304+L2/71.846)</f>
        <v>73.935871339275963</v>
      </c>
      <c r="U2" s="32">
        <f>(N2/40.304)/(N2/40.304+L2/71.846)</f>
        <v>0.73935871339275971</v>
      </c>
      <c r="Z2" s="2">
        <v>620</v>
      </c>
      <c r="AI2" s="6">
        <v>8.81</v>
      </c>
      <c r="AJ2" s="8">
        <v>900</v>
      </c>
      <c r="AK2" s="6"/>
      <c r="AL2" s="7">
        <v>22.5</v>
      </c>
      <c r="AM2" s="8">
        <v>243</v>
      </c>
      <c r="AN2" s="8"/>
      <c r="AO2" s="7"/>
      <c r="AP2" s="8"/>
      <c r="AQ2" s="6"/>
      <c r="AR2" s="6"/>
      <c r="AS2" s="6"/>
      <c r="AT2" s="8"/>
      <c r="AU2" s="8">
        <v>141</v>
      </c>
      <c r="AV2" s="54">
        <v>7.6156436924609698</v>
      </c>
      <c r="AW2" s="8"/>
      <c r="AX2" s="6"/>
      <c r="AY2" s="6"/>
      <c r="AZ2" s="6"/>
      <c r="BA2" s="6"/>
      <c r="BB2" s="6"/>
      <c r="BC2" s="6"/>
      <c r="BD2" s="6"/>
      <c r="BE2" s="6"/>
      <c r="BF2" s="6"/>
      <c r="BG2" s="6"/>
      <c r="BH2" s="8">
        <v>24</v>
      </c>
      <c r="BI2" s="6">
        <v>1.8</v>
      </c>
      <c r="BJ2" s="7">
        <v>4.55</v>
      </c>
      <c r="BK2" s="51">
        <v>0.58524481435327624</v>
      </c>
      <c r="BL2" s="7">
        <v>2.75</v>
      </c>
      <c r="BM2" s="6">
        <v>0.85499999999999998</v>
      </c>
      <c r="BN2" s="6">
        <v>0.68600000000000005</v>
      </c>
      <c r="BO2" s="51">
        <v>1.122211896333517</v>
      </c>
      <c r="BP2" s="6">
        <v>0.21</v>
      </c>
      <c r="BQ2" s="52">
        <v>1.2721358279465296</v>
      </c>
      <c r="BR2" s="52">
        <v>0.27792957883739666</v>
      </c>
      <c r="BS2" s="52">
        <v>0.75757905035466366</v>
      </c>
      <c r="BT2" s="53">
        <v>0.1100553969581195</v>
      </c>
      <c r="BU2" s="6">
        <v>0.70499999999999996</v>
      </c>
      <c r="BV2" s="3">
        <v>0.111</v>
      </c>
      <c r="BW2" s="6">
        <v>0.63</v>
      </c>
      <c r="BX2" s="6">
        <v>7.9000000000000001E-2</v>
      </c>
      <c r="BY2" s="6"/>
      <c r="BZ2" s="7">
        <v>7.6</v>
      </c>
      <c r="CA2" s="122">
        <v>2.6725362686737117</v>
      </c>
      <c r="CB2" s="7"/>
      <c r="CC2" s="7"/>
      <c r="CD2" s="7"/>
      <c r="CE2" s="6">
        <v>0.19800000000000001</v>
      </c>
      <c r="CF2" s="6">
        <v>0.09</v>
      </c>
      <c r="CG2" s="6"/>
      <c r="CH2" s="6"/>
      <c r="CI2" s="29">
        <v>1.0227619584247214</v>
      </c>
      <c r="CJ2" s="41">
        <v>1.1391386220128763</v>
      </c>
      <c r="CK2" s="29">
        <v>1.2047351085629532</v>
      </c>
      <c r="CL2" s="29"/>
      <c r="CM2" s="29"/>
      <c r="CN2" s="29">
        <v>0.10526315789473684</v>
      </c>
      <c r="CO2" s="134"/>
      <c r="CP2" s="134"/>
      <c r="CQ2" s="134">
        <v>4.1591320072332731E-2</v>
      </c>
      <c r="CR2" s="29">
        <v>1.5913200723327305</v>
      </c>
      <c r="CS2" s="29">
        <v>1.3780368896925858E-2</v>
      </c>
      <c r="CT2" s="29"/>
      <c r="CU2" s="29"/>
      <c r="CV2" s="68">
        <v>9.0909090909090899</v>
      </c>
      <c r="CW2" s="29"/>
      <c r="CX2" s="29"/>
      <c r="CY2" s="29"/>
      <c r="CZ2" s="29"/>
    </row>
    <row r="3" spans="1:132" x14ac:dyDescent="0.2">
      <c r="A3" t="s">
        <v>195</v>
      </c>
      <c r="B3" t="s">
        <v>196</v>
      </c>
      <c r="C3" t="s">
        <v>341</v>
      </c>
      <c r="D3" t="s">
        <v>200</v>
      </c>
      <c r="E3" s="8">
        <v>43.5</v>
      </c>
      <c r="F3" s="8"/>
      <c r="H3" s="810">
        <f>100-SUM(I3:R3)-0.021</f>
        <v>44.401999999999994</v>
      </c>
      <c r="I3" s="6">
        <v>0.3</v>
      </c>
      <c r="J3" s="6">
        <v>25.950000000000003</v>
      </c>
      <c r="K3" s="3">
        <v>0.1225</v>
      </c>
      <c r="L3" s="6">
        <v>5.6</v>
      </c>
      <c r="M3" s="3">
        <v>6.9500000000000006E-2</v>
      </c>
      <c r="N3" s="6">
        <v>8</v>
      </c>
      <c r="O3" s="7">
        <v>15.2</v>
      </c>
      <c r="P3" s="3">
        <v>0.31</v>
      </c>
      <c r="Q3" s="3">
        <v>2.5000000000000001E-2</v>
      </c>
      <c r="R3" s="3"/>
      <c r="S3" s="16"/>
      <c r="T3" s="38">
        <f t="shared" ref="T3:T66" si="0">100*(N3/40.304)/(N3/40.304+L3/71.846)</f>
        <v>71.803779377725903</v>
      </c>
      <c r="U3" s="32">
        <f>(N3/40.304)/(N3/40.304+L3/71.846)</f>
        <v>0.71803779377725896</v>
      </c>
      <c r="Z3" s="8">
        <v>538.27750000000003</v>
      </c>
      <c r="AD3" s="31">
        <v>207.52500000000001</v>
      </c>
      <c r="AE3" s="16"/>
      <c r="AF3" s="16"/>
      <c r="AG3" s="16"/>
      <c r="AH3" s="16"/>
      <c r="AI3" s="6">
        <v>9.25</v>
      </c>
      <c r="AJ3" s="8">
        <v>838.14499999999998</v>
      </c>
      <c r="AK3" s="8">
        <v>25</v>
      </c>
      <c r="AL3" s="7">
        <v>20</v>
      </c>
      <c r="AM3" s="8">
        <v>190</v>
      </c>
      <c r="AN3" s="8"/>
      <c r="AO3" s="7"/>
      <c r="AP3" s="8"/>
      <c r="AQ3" s="6"/>
      <c r="AR3" s="6"/>
      <c r="AS3" s="6"/>
      <c r="AT3" s="8"/>
      <c r="AU3" s="8">
        <v>140</v>
      </c>
      <c r="AV3" s="54">
        <v>8.6157055911383118</v>
      </c>
      <c r="AW3" s="8">
        <v>30</v>
      </c>
      <c r="AX3" s="6"/>
      <c r="AY3" s="6"/>
      <c r="AZ3" s="6"/>
      <c r="BA3" s="6"/>
      <c r="BB3" s="6"/>
      <c r="BC3" s="6"/>
      <c r="BD3" s="6"/>
      <c r="BE3" s="6"/>
      <c r="BF3" s="6"/>
      <c r="BG3" s="6"/>
      <c r="BH3" s="8">
        <v>30</v>
      </c>
      <c r="BI3" s="6">
        <v>2</v>
      </c>
      <c r="BJ3" s="7">
        <v>4.9000000000000004</v>
      </c>
      <c r="BK3" s="51">
        <v>0.69826598507221749</v>
      </c>
      <c r="BL3" s="7">
        <v>3.4</v>
      </c>
      <c r="BM3" s="6">
        <v>1</v>
      </c>
      <c r="BN3" s="6">
        <v>0.74</v>
      </c>
      <c r="BO3" s="51">
        <v>1.1591079861351201</v>
      </c>
      <c r="BP3" s="6">
        <v>0.2</v>
      </c>
      <c r="BQ3" s="6">
        <v>1.3</v>
      </c>
      <c r="BR3" s="52">
        <v>0.31045150866919047</v>
      </c>
      <c r="BS3" s="52">
        <v>0.86803536191538544</v>
      </c>
      <c r="BT3" s="6">
        <v>0.13</v>
      </c>
      <c r="BU3" s="6">
        <v>0.85</v>
      </c>
      <c r="BV3" s="3">
        <v>0.13</v>
      </c>
      <c r="BW3" s="6">
        <v>0.7</v>
      </c>
      <c r="BX3" s="6">
        <v>0.1</v>
      </c>
      <c r="BY3" s="6"/>
      <c r="BZ3" s="7">
        <v>6.15</v>
      </c>
      <c r="CA3" s="7">
        <v>2.4</v>
      </c>
      <c r="CB3" s="7"/>
      <c r="CC3" s="7"/>
      <c r="CD3" s="7"/>
      <c r="CE3" s="6">
        <v>0.31</v>
      </c>
      <c r="CF3" s="6"/>
      <c r="CG3" s="6"/>
      <c r="CH3" s="6"/>
      <c r="CI3" s="29">
        <v>1.22100940521969</v>
      </c>
      <c r="CJ3" s="41">
        <v>1.161807798414392</v>
      </c>
      <c r="CK3" s="29">
        <v>1.0945067547712779</v>
      </c>
      <c r="CL3" s="29"/>
      <c r="CM3" s="29"/>
      <c r="CN3" s="29"/>
      <c r="CO3" s="134">
        <v>1.2631578947368421E-2</v>
      </c>
      <c r="CP3" s="134"/>
      <c r="CQ3" s="134">
        <v>5.3571428571428575E-2</v>
      </c>
      <c r="CR3" s="29">
        <v>1.4285714285714286</v>
      </c>
      <c r="CS3" s="29">
        <v>1.2410714285714287E-2</v>
      </c>
      <c r="CT3" s="29"/>
      <c r="CU3" s="29"/>
      <c r="CV3" s="68">
        <v>6.4516129032258069</v>
      </c>
      <c r="CW3" s="29"/>
      <c r="CX3" s="29"/>
      <c r="CY3" s="29"/>
      <c r="CZ3" s="29"/>
    </row>
    <row r="4" spans="1:132" x14ac:dyDescent="0.2">
      <c r="A4" t="s">
        <v>195</v>
      </c>
      <c r="B4" t="s">
        <v>196</v>
      </c>
      <c r="C4" t="s">
        <v>201</v>
      </c>
      <c r="D4" t="s">
        <v>202</v>
      </c>
      <c r="E4" s="8">
        <v>56.66</v>
      </c>
      <c r="F4" s="8"/>
      <c r="H4"/>
      <c r="J4"/>
      <c r="K4" s="32">
        <v>0.13031377599075011</v>
      </c>
      <c r="L4" s="6">
        <v>5.5449172655007946</v>
      </c>
      <c r="M4"/>
      <c r="N4"/>
      <c r="O4" s="7">
        <v>14.600157558028618</v>
      </c>
      <c r="P4" s="3">
        <v>0.2824536349183408</v>
      </c>
      <c r="Q4" s="3">
        <v>1.9970715025292674E-2</v>
      </c>
      <c r="R4" s="3"/>
      <c r="S4" s="16"/>
      <c r="T4" s="38">
        <f t="shared" si="0"/>
        <v>0</v>
      </c>
      <c r="U4" s="3"/>
      <c r="Y4">
        <v>4.3100794912559621</v>
      </c>
      <c r="Z4" s="8"/>
      <c r="AB4">
        <v>10.434646625234862</v>
      </c>
      <c r="AC4">
        <v>0.20699999999999999</v>
      </c>
      <c r="AD4" s="8">
        <v>165.78710796357856</v>
      </c>
      <c r="AE4" s="16"/>
      <c r="AF4" s="16"/>
      <c r="AG4" s="16"/>
      <c r="AH4" s="16"/>
      <c r="AI4" s="6">
        <v>9.0479592426651259</v>
      </c>
      <c r="AJ4" s="8">
        <v>891.58303223009102</v>
      </c>
      <c r="AK4" s="8"/>
      <c r="AL4" s="7">
        <v>20.6</v>
      </c>
      <c r="AM4" s="8">
        <v>204.80300621477093</v>
      </c>
      <c r="AN4" s="8">
        <v>5.07</v>
      </c>
      <c r="AO4" s="7">
        <v>2.9</v>
      </c>
      <c r="AP4" s="8"/>
      <c r="AQ4" s="6"/>
      <c r="AR4" s="6"/>
      <c r="AS4" s="6"/>
      <c r="AT4" s="8">
        <v>0.38</v>
      </c>
      <c r="AU4" s="8">
        <v>129.72438213614683</v>
      </c>
      <c r="AV4" s="54">
        <v>8.173398365359084</v>
      </c>
      <c r="AW4" s="8">
        <v>30.782685359155948</v>
      </c>
      <c r="AX4" s="6"/>
      <c r="AY4" s="6"/>
      <c r="AZ4" s="6"/>
      <c r="BA4" s="6"/>
      <c r="BB4" s="6"/>
      <c r="BC4" s="6"/>
      <c r="BD4" s="3">
        <v>1.8E-3</v>
      </c>
      <c r="BE4" s="3"/>
      <c r="BF4" s="6"/>
      <c r="BG4" s="6"/>
      <c r="BH4" s="8">
        <v>33</v>
      </c>
      <c r="BI4" s="6">
        <v>1.8070627258274317</v>
      </c>
      <c r="BJ4" s="7">
        <v>5.1053533747651398</v>
      </c>
      <c r="BK4" s="51">
        <v>0.60711842738359689</v>
      </c>
      <c r="BL4" s="7">
        <v>2.8999205087440383</v>
      </c>
      <c r="BM4" s="6">
        <v>0.85053533747651389</v>
      </c>
      <c r="BN4" s="6">
        <v>0.6938895794189911</v>
      </c>
      <c r="BO4" s="51">
        <v>1.0677671830092643</v>
      </c>
      <c r="BP4" s="6">
        <v>0.19854328660211015</v>
      </c>
      <c r="BQ4" s="52">
        <v>1.3056382727285849</v>
      </c>
      <c r="BR4" s="52">
        <v>0.2938852995372559</v>
      </c>
      <c r="BS4" s="52">
        <v>0.8252337146051425</v>
      </c>
      <c r="BT4" s="6">
        <v>0.12</v>
      </c>
      <c r="BU4" s="6">
        <v>0.81471643301055074</v>
      </c>
      <c r="BV4" s="3">
        <v>0.11881890446596328</v>
      </c>
      <c r="BW4" s="6">
        <v>0.69581890446596328</v>
      </c>
      <c r="BX4" s="6">
        <v>9.7456713397889874E-2</v>
      </c>
      <c r="BY4" s="6"/>
      <c r="BZ4" s="7">
        <v>6.56298598063304</v>
      </c>
      <c r="CA4" s="7">
        <v>1.9724382136146841</v>
      </c>
      <c r="CB4" s="7"/>
      <c r="CC4" s="7"/>
      <c r="CD4" s="7"/>
      <c r="CE4" s="6">
        <v>0.2889699378522908</v>
      </c>
      <c r="CF4" s="6">
        <v>0.13010247145541265</v>
      </c>
      <c r="CG4" s="6"/>
      <c r="CH4" s="6"/>
      <c r="CI4" s="29">
        <v>1.0137036805420652</v>
      </c>
      <c r="CJ4" s="41">
        <v>1.0954117787233586</v>
      </c>
      <c r="CK4" s="29">
        <v>1.0941860897623685</v>
      </c>
      <c r="CL4" s="29"/>
      <c r="CM4" s="29"/>
      <c r="CN4" s="29">
        <v>0.15296539217455526</v>
      </c>
      <c r="CO4" s="134">
        <v>9.6309045949562171E-3</v>
      </c>
      <c r="CP4" s="134"/>
      <c r="CQ4" s="134"/>
      <c r="CR4" s="29"/>
      <c r="CS4" s="29"/>
      <c r="CT4" s="29"/>
      <c r="CU4" s="29"/>
      <c r="CV4" s="68">
        <v>6.2534626932408646</v>
      </c>
      <c r="CW4" s="29"/>
      <c r="CX4" s="29"/>
      <c r="CY4" s="29"/>
      <c r="CZ4" s="29"/>
    </row>
    <row r="5" spans="1:132" x14ac:dyDescent="0.2">
      <c r="A5" t="s">
        <v>195</v>
      </c>
      <c r="B5" t="s">
        <v>196</v>
      </c>
      <c r="D5" t="s">
        <v>203</v>
      </c>
      <c r="E5" s="8">
        <v>128</v>
      </c>
      <c r="F5" s="33">
        <v>10.087797374400001</v>
      </c>
      <c r="H5" s="439">
        <v>46.46</v>
      </c>
      <c r="I5" s="6">
        <v>0.23356200000000002</v>
      </c>
      <c r="J5" s="6">
        <v>25.319299999999998</v>
      </c>
      <c r="K5" s="32">
        <v>0.12598992000000001</v>
      </c>
      <c r="L5" s="6">
        <v>5.4032999999999998</v>
      </c>
      <c r="M5" s="3">
        <v>7.214934399999999E-2</v>
      </c>
      <c r="N5" s="6">
        <v>7.9266740000000011</v>
      </c>
      <c r="O5" s="7">
        <v>15.111360000000001</v>
      </c>
      <c r="P5" s="3">
        <v>0.30330000000000001</v>
      </c>
      <c r="Q5" s="3">
        <v>2.7705799999999999E-2</v>
      </c>
      <c r="R5" s="49">
        <v>2.0622600000000001E-2</v>
      </c>
      <c r="S5" s="55"/>
      <c r="T5" s="38">
        <f t="shared" si="0"/>
        <v>72.33815849645022</v>
      </c>
      <c r="U5" s="32">
        <f>(N5/40.304)/(N5/40.304+L5/71.846)</f>
        <v>0.72338158496450211</v>
      </c>
      <c r="W5" s="2">
        <v>0.14000000000000001</v>
      </c>
      <c r="X5">
        <v>13.4</v>
      </c>
      <c r="Y5" s="6">
        <v>4.2</v>
      </c>
      <c r="Z5" s="2">
        <v>587</v>
      </c>
      <c r="AA5" s="2">
        <v>4.78</v>
      </c>
      <c r="AB5" s="6">
        <v>10.8</v>
      </c>
      <c r="AC5">
        <v>0.22500000000000001</v>
      </c>
      <c r="AD5">
        <v>230</v>
      </c>
      <c r="AE5" s="8">
        <v>90</v>
      </c>
      <c r="AF5" s="16"/>
      <c r="AG5" s="16"/>
      <c r="AH5" s="16"/>
      <c r="AI5" s="6">
        <v>9.24</v>
      </c>
      <c r="AJ5" s="8">
        <v>862</v>
      </c>
      <c r="AK5" s="8">
        <v>26</v>
      </c>
      <c r="AL5" s="7">
        <v>20.2</v>
      </c>
      <c r="AM5" s="8">
        <v>186</v>
      </c>
      <c r="AN5" s="8">
        <v>18</v>
      </c>
      <c r="AO5" s="7">
        <v>2.8</v>
      </c>
      <c r="AP5" s="8"/>
      <c r="AQ5" s="6"/>
      <c r="AR5" s="6"/>
      <c r="AS5" s="6"/>
      <c r="AT5" s="8"/>
      <c r="AU5" s="8">
        <v>128</v>
      </c>
      <c r="AV5" s="54">
        <v>10.549414291003966</v>
      </c>
      <c r="AW5" s="8">
        <v>30</v>
      </c>
      <c r="AX5" s="6"/>
      <c r="AY5" s="6"/>
      <c r="AZ5" s="6"/>
      <c r="BA5" s="6"/>
      <c r="BB5" s="6"/>
      <c r="BC5" s="6"/>
      <c r="BD5" s="6"/>
      <c r="BE5" s="6"/>
      <c r="BF5" s="6"/>
      <c r="BG5" s="6"/>
      <c r="BH5" s="8">
        <v>34</v>
      </c>
      <c r="BI5" s="6">
        <v>2.44</v>
      </c>
      <c r="BJ5" s="7">
        <v>6.9</v>
      </c>
      <c r="BK5" s="51">
        <v>0.81758194112253224</v>
      </c>
      <c r="BL5" s="7">
        <v>3.9</v>
      </c>
      <c r="BM5" s="6">
        <v>1.18</v>
      </c>
      <c r="BN5" s="6">
        <v>0.70399999999999996</v>
      </c>
      <c r="BO5" s="6">
        <v>1.4</v>
      </c>
      <c r="BP5" s="6">
        <v>0.27</v>
      </c>
      <c r="BQ5" s="6">
        <v>1.7</v>
      </c>
      <c r="BR5" s="6">
        <v>0.37</v>
      </c>
      <c r="BS5" s="52">
        <v>1.0919543031741588</v>
      </c>
      <c r="BT5" s="6">
        <v>0.18</v>
      </c>
      <c r="BU5" s="6">
        <v>1.06</v>
      </c>
      <c r="BV5" s="3">
        <v>0.15</v>
      </c>
      <c r="BW5" s="6">
        <v>0.92</v>
      </c>
      <c r="BX5" s="6">
        <v>0.12</v>
      </c>
      <c r="BY5" s="6"/>
      <c r="BZ5" s="7">
        <v>7.3</v>
      </c>
      <c r="CA5" s="7">
        <v>2.1</v>
      </c>
      <c r="CB5" s="7"/>
      <c r="CC5" s="7"/>
      <c r="CD5" s="7"/>
      <c r="CE5" s="6">
        <v>0.35</v>
      </c>
      <c r="CF5" s="6">
        <v>0.10299999999999999</v>
      </c>
      <c r="CG5" s="6"/>
      <c r="CH5" s="6">
        <v>1.1864406779661016</v>
      </c>
      <c r="CI5" s="29">
        <v>1.4217062977078485</v>
      </c>
      <c r="CJ5" s="41">
        <v>1.4996165978825007</v>
      </c>
      <c r="CK5" s="29">
        <v>1.5012104553810277</v>
      </c>
      <c r="CL5" s="29"/>
      <c r="CM5" s="29"/>
      <c r="CN5" s="29">
        <v>8.7288135593220337E-2</v>
      </c>
      <c r="CO5" s="134">
        <v>1.1290322580645162E-2</v>
      </c>
      <c r="CP5" s="134"/>
      <c r="CQ5" s="134">
        <v>4.3225806451612905E-2</v>
      </c>
      <c r="CR5" s="29">
        <v>1.4670060888716157</v>
      </c>
      <c r="CS5" s="29">
        <v>1.335282956711639E-2</v>
      </c>
      <c r="CT5" s="29"/>
      <c r="CU5" s="29"/>
      <c r="CV5" s="68">
        <v>6.9714285714285715</v>
      </c>
      <c r="CW5" s="29"/>
      <c r="CX5" s="29"/>
      <c r="CY5" s="29"/>
      <c r="CZ5" s="29"/>
    </row>
    <row r="6" spans="1:132" x14ac:dyDescent="0.2">
      <c r="A6" t="s">
        <v>195</v>
      </c>
      <c r="B6" t="s">
        <v>196</v>
      </c>
      <c r="D6" t="s">
        <v>551</v>
      </c>
      <c r="E6" s="8">
        <v>30.2</v>
      </c>
      <c r="F6" s="33"/>
      <c r="P6" s="3"/>
      <c r="Q6" s="3">
        <v>2.7103499999999999E-2</v>
      </c>
      <c r="R6" s="49"/>
      <c r="S6" s="55"/>
      <c r="T6" s="38" t="e">
        <f t="shared" si="0"/>
        <v>#DIV/0!</v>
      </c>
      <c r="U6" s="49"/>
      <c r="X6"/>
      <c r="Y6" s="6"/>
      <c r="AB6" s="6"/>
      <c r="AD6">
        <v>225</v>
      </c>
      <c r="AE6" s="8"/>
      <c r="AF6" s="16"/>
      <c r="AG6" s="16"/>
      <c r="AH6" s="16"/>
      <c r="AI6" s="6"/>
      <c r="AJ6" s="8"/>
      <c r="AK6" s="8"/>
      <c r="AL6" s="7"/>
      <c r="AM6" s="8"/>
      <c r="AN6" s="8"/>
      <c r="AO6" s="7"/>
      <c r="AP6" s="8"/>
      <c r="AQ6" s="6"/>
      <c r="AR6" s="6"/>
      <c r="AS6" s="6"/>
      <c r="AT6" s="8">
        <v>0.81</v>
      </c>
      <c r="AU6" s="8">
        <v>131</v>
      </c>
      <c r="AV6" s="7">
        <v>12.8</v>
      </c>
      <c r="AW6" s="8">
        <v>39.200000000000003</v>
      </c>
      <c r="AX6" s="6">
        <v>3.6</v>
      </c>
      <c r="AY6" s="6"/>
      <c r="AZ6" s="6"/>
      <c r="BA6" s="6"/>
      <c r="BB6" s="6"/>
      <c r="BC6" s="6">
        <v>0.62</v>
      </c>
      <c r="BD6" s="6"/>
      <c r="BE6" s="6"/>
      <c r="BF6" s="6"/>
      <c r="BG6" s="6">
        <v>2.1999999999999999E-2</v>
      </c>
      <c r="BH6" s="8">
        <v>37.4</v>
      </c>
      <c r="BI6" s="6">
        <v>3.3</v>
      </c>
      <c r="BJ6" s="7">
        <v>8.6</v>
      </c>
      <c r="BK6" s="6">
        <v>1.1100000000000001</v>
      </c>
      <c r="BL6" s="7">
        <v>4.42</v>
      </c>
      <c r="BM6" s="6">
        <v>1.29</v>
      </c>
      <c r="BN6" s="6">
        <v>0.64</v>
      </c>
      <c r="BO6" s="6">
        <v>1.25</v>
      </c>
      <c r="BP6" s="6">
        <v>0.22</v>
      </c>
      <c r="BQ6" s="6">
        <v>1.37</v>
      </c>
      <c r="BR6" s="6">
        <v>0.32</v>
      </c>
      <c r="BS6" s="65">
        <v>1.03</v>
      </c>
      <c r="BT6" s="53">
        <v>0.15002450322206584</v>
      </c>
      <c r="BU6" s="6">
        <v>0.98399999999999999</v>
      </c>
      <c r="BV6" s="3">
        <v>0.15</v>
      </c>
      <c r="BW6" s="6">
        <v>1.03</v>
      </c>
      <c r="BX6" s="6"/>
      <c r="BY6" s="6"/>
      <c r="BZ6" s="7"/>
      <c r="CB6" s="7"/>
      <c r="CC6" s="7"/>
      <c r="CD6" s="7"/>
      <c r="CE6" s="6">
        <v>0.46</v>
      </c>
      <c r="CF6" s="6">
        <v>0.12</v>
      </c>
      <c r="CG6" s="6"/>
      <c r="CH6" s="6"/>
      <c r="CI6" s="29">
        <v>1.4274175299852301</v>
      </c>
      <c r="CJ6" s="41">
        <v>1.3477125128857588</v>
      </c>
      <c r="CK6" s="29">
        <v>1.1917205649363989</v>
      </c>
      <c r="CL6" s="29"/>
      <c r="CM6" s="29"/>
      <c r="CN6" s="29">
        <v>9.3023255813953487E-2</v>
      </c>
      <c r="CO6" s="134"/>
      <c r="CP6" s="134"/>
      <c r="CQ6" s="134"/>
      <c r="CR6" s="29"/>
      <c r="CS6" s="29"/>
      <c r="CT6" s="29"/>
      <c r="CU6" s="29"/>
      <c r="CV6" s="68">
        <v>7.1739130434782599</v>
      </c>
      <c r="CW6" s="29">
        <v>0.33636363636363642</v>
      </c>
      <c r="CX6" s="29">
        <v>0.12906976744186049</v>
      </c>
      <c r="CY6" s="29">
        <v>0.25113122171945707</v>
      </c>
      <c r="CZ6" s="29">
        <v>0.86046511627906985</v>
      </c>
    </row>
    <row r="7" spans="1:132" x14ac:dyDescent="0.2">
      <c r="A7" t="s">
        <v>195</v>
      </c>
      <c r="B7" t="s">
        <v>196</v>
      </c>
      <c r="C7" s="2"/>
      <c r="D7" s="2" t="s">
        <v>204</v>
      </c>
      <c r="E7" s="8">
        <v>113</v>
      </c>
      <c r="F7" s="33">
        <v>14.232244531570419</v>
      </c>
      <c r="H7" s="6">
        <v>44.9253</v>
      </c>
      <c r="I7" s="6">
        <v>0.266928</v>
      </c>
      <c r="J7" s="6">
        <v>26.075099999999999</v>
      </c>
      <c r="K7" s="3"/>
      <c r="L7" s="6">
        <v>5.2746499999999994</v>
      </c>
      <c r="M7" s="396">
        <v>6.9538720992947917E-2</v>
      </c>
      <c r="N7" s="6">
        <v>8.0427549999999997</v>
      </c>
      <c r="O7" s="7">
        <v>14.971439999999999</v>
      </c>
      <c r="P7" s="3"/>
      <c r="Q7" s="3"/>
      <c r="R7" s="3"/>
      <c r="S7" s="16"/>
      <c r="T7" s="38">
        <f t="shared" si="0"/>
        <v>73.104551937936264</v>
      </c>
      <c r="U7" s="32">
        <f>(N7/40.304)/(N7/40.304+L7/71.846)</f>
        <v>0.73104551937936268</v>
      </c>
      <c r="V7" s="7">
        <v>21</v>
      </c>
      <c r="W7" s="3">
        <v>0.16</v>
      </c>
      <c r="X7">
        <v>13.8</v>
      </c>
      <c r="Y7">
        <v>4.0999999999999996</v>
      </c>
      <c r="AA7" s="2">
        <v>4.8499999999999996</v>
      </c>
      <c r="AB7">
        <v>10.7</v>
      </c>
      <c r="AC7" s="2"/>
      <c r="AD7" s="2"/>
      <c r="AE7" s="16"/>
      <c r="AF7" s="16"/>
      <c r="AG7" s="16"/>
      <c r="AH7" s="16"/>
      <c r="AI7" s="6"/>
      <c r="AJ7" s="8"/>
      <c r="AK7" s="8"/>
      <c r="AL7" s="7"/>
      <c r="AM7" s="8"/>
      <c r="AN7" s="8"/>
      <c r="AO7" s="7"/>
      <c r="AP7" s="8"/>
      <c r="AQ7" s="6"/>
      <c r="AR7" s="6"/>
      <c r="AS7" s="6"/>
      <c r="AT7" s="8"/>
      <c r="AU7" s="8"/>
      <c r="AW7" s="8"/>
      <c r="AX7" s="6"/>
      <c r="AY7" s="6"/>
      <c r="AZ7" s="6"/>
      <c r="BA7" s="6"/>
      <c r="BB7" s="6"/>
      <c r="BC7" s="6"/>
      <c r="BD7" s="6"/>
      <c r="BE7" s="6"/>
      <c r="BF7" s="6"/>
      <c r="BG7" s="6"/>
      <c r="BH7" s="8"/>
      <c r="BI7" s="6"/>
      <c r="BJ7" s="7"/>
      <c r="BL7" s="7"/>
      <c r="BM7" s="6"/>
      <c r="BN7" s="6"/>
      <c r="BO7" s="6"/>
      <c r="BP7" s="6"/>
      <c r="BQ7" s="2"/>
      <c r="BR7" s="2"/>
      <c r="BS7" s="2"/>
      <c r="BT7" s="2"/>
      <c r="BU7" s="2"/>
      <c r="BV7" s="3"/>
      <c r="BW7" s="6"/>
      <c r="BX7" s="6"/>
      <c r="BY7" s="2"/>
      <c r="BZ7" s="7"/>
      <c r="CB7" s="7"/>
      <c r="CC7" s="7"/>
      <c r="CD7" s="7"/>
      <c r="CE7" s="6"/>
      <c r="CF7" s="6"/>
      <c r="CG7" s="2"/>
      <c r="CH7" s="2"/>
      <c r="CI7" s="41"/>
      <c r="CJ7" s="41"/>
      <c r="CK7" s="29"/>
      <c r="CL7" s="29"/>
      <c r="CM7" s="30"/>
      <c r="CN7" s="29"/>
      <c r="CO7" s="134"/>
      <c r="CP7" s="134"/>
      <c r="CQ7" s="134">
        <v>5.0605822187254138E-2</v>
      </c>
      <c r="CR7" s="29">
        <v>1.5247940621652623</v>
      </c>
      <c r="CS7" s="29"/>
      <c r="CT7" s="29"/>
      <c r="CU7" s="29"/>
      <c r="CV7" s="68" t="e">
        <v>#DIV/0!</v>
      </c>
      <c r="CW7" s="29"/>
      <c r="CX7" s="29"/>
      <c r="CY7" s="29"/>
      <c r="CZ7" s="29"/>
    </row>
    <row r="8" spans="1:132" x14ac:dyDescent="0.2">
      <c r="A8" t="s">
        <v>195</v>
      </c>
      <c r="B8" t="s">
        <v>196</v>
      </c>
      <c r="C8" s="2"/>
      <c r="D8" t="s">
        <v>342</v>
      </c>
      <c r="E8" s="8"/>
      <c r="F8" s="8"/>
      <c r="H8" s="6"/>
      <c r="K8" s="3"/>
      <c r="P8" s="3"/>
      <c r="Q8" s="3"/>
      <c r="R8" s="3"/>
      <c r="S8" s="16"/>
      <c r="T8" s="38" t="e">
        <f t="shared" si="0"/>
        <v>#DIV/0!</v>
      </c>
      <c r="U8" s="3"/>
      <c r="V8" s="7"/>
      <c r="W8" s="3"/>
      <c r="X8"/>
      <c r="Y8"/>
      <c r="AB8"/>
      <c r="AC8" s="2"/>
      <c r="AD8" s="2"/>
      <c r="AE8" s="16"/>
      <c r="AF8" s="16"/>
      <c r="AG8" s="16"/>
      <c r="AH8" s="16"/>
      <c r="AI8" s="6"/>
      <c r="AJ8" s="8"/>
      <c r="AK8" s="8"/>
      <c r="AL8" s="7">
        <v>21.1</v>
      </c>
      <c r="AM8" s="8"/>
      <c r="AN8" s="8">
        <v>4.68</v>
      </c>
      <c r="AO8" s="6">
        <v>2.5299999999999998</v>
      </c>
      <c r="AP8" s="8"/>
      <c r="AQ8" s="3">
        <v>2.9000000000000001E-2</v>
      </c>
      <c r="AR8" s="6">
        <v>0.2</v>
      </c>
      <c r="AS8" s="6"/>
      <c r="AT8" s="8">
        <v>0.34</v>
      </c>
      <c r="AU8" s="8"/>
      <c r="AW8" s="8"/>
      <c r="AX8" s="6"/>
      <c r="AY8" s="6"/>
      <c r="AZ8" s="16">
        <v>2.3999999999999998E-3</v>
      </c>
      <c r="BA8" s="6">
        <v>1.9E-2</v>
      </c>
      <c r="BB8" s="16">
        <v>1.5E-3</v>
      </c>
      <c r="BC8" s="6"/>
      <c r="BD8" s="16">
        <v>1.6000000000000001E-3</v>
      </c>
      <c r="BE8" s="3">
        <v>9.1999999999999998E-3</v>
      </c>
      <c r="BF8" s="6"/>
      <c r="BG8" s="3">
        <v>1.9E-2</v>
      </c>
      <c r="BH8" s="8"/>
      <c r="BI8" s="6"/>
      <c r="BJ8" s="7"/>
      <c r="BL8" s="7"/>
      <c r="BM8" s="6"/>
      <c r="BN8" s="6"/>
      <c r="BO8" s="6"/>
      <c r="BP8" s="6"/>
      <c r="BQ8" s="2"/>
      <c r="BR8" s="2"/>
      <c r="BS8" s="2"/>
      <c r="BT8" s="2"/>
      <c r="BU8" s="2"/>
      <c r="BV8" s="3"/>
      <c r="BW8" s="6"/>
      <c r="BX8" s="6"/>
      <c r="BY8" s="2"/>
      <c r="BZ8" s="7"/>
      <c r="CB8" s="56">
        <v>2.2699999999999999E-3</v>
      </c>
      <c r="CC8" s="7"/>
      <c r="CD8" s="56">
        <v>7.2999999999999996E-4</v>
      </c>
      <c r="CE8" s="6"/>
      <c r="CF8" s="6">
        <v>0.11</v>
      </c>
      <c r="CG8" s="2"/>
      <c r="CH8" s="2"/>
      <c r="CI8" s="41"/>
      <c r="CJ8" s="41"/>
      <c r="CK8" s="29"/>
      <c r="CL8" s="29"/>
      <c r="CM8" s="29"/>
      <c r="CN8" s="29"/>
      <c r="CO8" s="134"/>
      <c r="CP8" s="134"/>
      <c r="CQ8" s="134"/>
      <c r="CR8" s="29"/>
      <c r="CS8" s="29"/>
      <c r="CT8" s="29"/>
      <c r="CU8" s="29"/>
      <c r="CV8" s="68" t="e">
        <v>#DIV/0!</v>
      </c>
      <c r="CW8" s="29"/>
      <c r="CX8" s="29"/>
      <c r="CY8" s="29"/>
      <c r="CZ8" s="29"/>
    </row>
    <row r="9" spans="1:132" s="130" customFormat="1" x14ac:dyDescent="0.2">
      <c r="A9" s="130" t="s">
        <v>195</v>
      </c>
      <c r="B9" s="130" t="s">
        <v>196</v>
      </c>
      <c r="D9" s="130" t="s">
        <v>205</v>
      </c>
      <c r="E9" s="135">
        <v>113</v>
      </c>
      <c r="F9" s="135"/>
      <c r="H9" s="810">
        <f>100-SUM(I9:R9)-0.021</f>
        <v>44.529056492000002</v>
      </c>
      <c r="I9" s="137">
        <v>0.29528909999999997</v>
      </c>
      <c r="J9" s="137">
        <v>26.264050000000001</v>
      </c>
      <c r="K9" s="141">
        <v>0.13475951999999999</v>
      </c>
      <c r="L9" s="137">
        <v>5.4418950000000006</v>
      </c>
      <c r="M9" s="139">
        <v>7.1780607999999996E-2</v>
      </c>
      <c r="N9" s="137">
        <v>8.0925039999999999</v>
      </c>
      <c r="O9" s="138">
        <v>14.831519999999999</v>
      </c>
      <c r="P9" s="139">
        <v>0.29790800000000001</v>
      </c>
      <c r="Q9" s="139">
        <v>2.023728E-2</v>
      </c>
      <c r="R9" s="139"/>
      <c r="S9" s="140"/>
      <c r="T9" s="38">
        <f t="shared" si="0"/>
        <v>72.609212532681468</v>
      </c>
      <c r="U9" s="32">
        <f>(N9/40.304)/(N9/40.304+L9/71.846)</f>
        <v>0.72609212532681466</v>
      </c>
      <c r="W9" s="136">
        <v>0.17699999999999999</v>
      </c>
      <c r="X9" s="130">
        <v>13.9</v>
      </c>
      <c r="Y9" s="130">
        <v>4.2300000000000004</v>
      </c>
      <c r="Z9" s="136">
        <v>584</v>
      </c>
      <c r="AA9" s="136">
        <v>4.88</v>
      </c>
      <c r="AB9" s="130">
        <v>10.6</v>
      </c>
      <c r="AC9" s="130">
        <v>0.221</v>
      </c>
      <c r="AD9" s="130">
        <v>168</v>
      </c>
      <c r="AE9" s="140"/>
      <c r="AF9" s="140"/>
      <c r="AG9" s="140"/>
      <c r="AH9" s="140"/>
      <c r="AI9" s="137">
        <v>9</v>
      </c>
      <c r="AJ9" s="135">
        <v>922</v>
      </c>
      <c r="AK9" s="135">
        <v>24</v>
      </c>
      <c r="AL9" s="138">
        <v>21.7</v>
      </c>
      <c r="AM9" s="135">
        <v>182</v>
      </c>
      <c r="AN9" s="135">
        <v>5.4</v>
      </c>
      <c r="AO9" s="138">
        <v>2.7</v>
      </c>
      <c r="AP9" s="137">
        <v>0.22</v>
      </c>
      <c r="AQ9" s="137"/>
      <c r="AR9" s="137"/>
      <c r="AS9" s="137">
        <v>0.09</v>
      </c>
      <c r="AT9" s="135">
        <v>0.7</v>
      </c>
      <c r="AU9" s="135">
        <v>141</v>
      </c>
      <c r="AV9" s="142">
        <v>7.0414403808721229</v>
      </c>
      <c r="AW9" s="135">
        <v>25</v>
      </c>
      <c r="AX9" s="137"/>
      <c r="AY9" s="137"/>
      <c r="AZ9" s="137"/>
      <c r="BA9" s="137">
        <v>1.9E-2</v>
      </c>
      <c r="BB9" s="137"/>
      <c r="BC9" s="137"/>
      <c r="BD9" s="137"/>
      <c r="BE9" s="137"/>
      <c r="BF9" s="137"/>
      <c r="BG9" s="139">
        <v>2.4E-2</v>
      </c>
      <c r="BH9" s="135">
        <v>22</v>
      </c>
      <c r="BI9" s="137">
        <v>1.71</v>
      </c>
      <c r="BJ9" s="138">
        <v>4.0999999999999996</v>
      </c>
      <c r="BK9" s="143">
        <v>0.59605862789477437</v>
      </c>
      <c r="BL9" s="138">
        <v>2.9</v>
      </c>
      <c r="BM9" s="137">
        <v>0.79400000000000004</v>
      </c>
      <c r="BN9" s="137">
        <v>0.66</v>
      </c>
      <c r="BO9" s="137">
        <v>0.96</v>
      </c>
      <c r="BP9" s="137">
        <v>0.17</v>
      </c>
      <c r="BQ9" s="137">
        <v>1.1499999999999999</v>
      </c>
      <c r="BR9" s="137">
        <v>0.25</v>
      </c>
      <c r="BS9" s="137">
        <v>0.72</v>
      </c>
      <c r="BT9" s="137">
        <v>0.11</v>
      </c>
      <c r="BU9" s="137">
        <v>0.69</v>
      </c>
      <c r="BV9" s="139">
        <v>0.106</v>
      </c>
      <c r="BW9" s="137">
        <v>0.61</v>
      </c>
      <c r="BX9" s="137">
        <v>7.0000000000000007E-2</v>
      </c>
      <c r="BY9" s="137"/>
      <c r="BZ9" s="138">
        <v>6</v>
      </c>
      <c r="CA9" s="7">
        <v>1.9</v>
      </c>
      <c r="CB9" s="138"/>
      <c r="CC9" s="138"/>
      <c r="CD9" s="138"/>
      <c r="CE9" s="137">
        <v>0.26</v>
      </c>
      <c r="CF9" s="137">
        <v>6.3E-2</v>
      </c>
      <c r="CG9" s="137"/>
      <c r="CH9" s="137">
        <v>1.2090680100755666</v>
      </c>
      <c r="CI9" s="144">
        <v>0.94119858754185171</v>
      </c>
      <c r="CJ9" s="145">
        <v>0.96535066181842866</v>
      </c>
      <c r="CK9" s="144">
        <v>0.93893412608576499</v>
      </c>
      <c r="CL9" s="144"/>
      <c r="CM9" s="146">
        <v>0.32745591939546598</v>
      </c>
      <c r="CN9" s="144">
        <v>7.9345088161209068E-2</v>
      </c>
      <c r="CO9" s="134">
        <v>1.0439560439560439E-2</v>
      </c>
      <c r="CP9" s="134"/>
      <c r="CQ9" s="134">
        <v>5.4262182566918317E-2</v>
      </c>
      <c r="CR9" s="29">
        <v>1.487074631171678</v>
      </c>
      <c r="CS9" s="29">
        <v>1.319036989872094E-2</v>
      </c>
      <c r="CT9" s="29"/>
      <c r="CU9" s="144"/>
      <c r="CV9" s="68">
        <v>6.5769230769230766</v>
      </c>
      <c r="CW9" s="144"/>
      <c r="CX9" s="144"/>
      <c r="CY9" s="144"/>
      <c r="CZ9" s="144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</row>
    <row r="10" spans="1:132" ht="20.100000000000001" customHeight="1" x14ac:dyDescent="0.2">
      <c r="A10" s="5" t="s">
        <v>195</v>
      </c>
      <c r="C10" t="s">
        <v>206</v>
      </c>
      <c r="H10" s="6">
        <f>AVERAGE(H2:H9)</f>
        <v>45.036521410399999</v>
      </c>
      <c r="I10" s="6">
        <f t="shared" ref="I10:R10" si="1">AVERAGE(I2:I9)</f>
        <v>0.26515582000000004</v>
      </c>
      <c r="J10" s="6">
        <f t="shared" si="1"/>
        <v>25.741689999999998</v>
      </c>
      <c r="K10" s="6">
        <f t="shared" si="1"/>
        <v>0.12902144319815004</v>
      </c>
      <c r="L10" s="6">
        <f t="shared" si="1"/>
        <v>5.4657937109167998</v>
      </c>
      <c r="M10" s="6">
        <f t="shared" si="1"/>
        <v>7.1834822598589573E-2</v>
      </c>
      <c r="N10" s="6">
        <f t="shared" si="1"/>
        <v>8.1723865999999994</v>
      </c>
      <c r="O10" s="6">
        <f t="shared" si="1"/>
        <v>14.935746259671438</v>
      </c>
      <c r="P10" s="6">
        <f t="shared" si="1"/>
        <v>0.30293232698366818</v>
      </c>
      <c r="Q10" s="6">
        <f t="shared" si="1"/>
        <v>2.4003459005058535E-2</v>
      </c>
      <c r="R10" s="6">
        <f t="shared" si="1"/>
        <v>2.0622600000000001E-2</v>
      </c>
      <c r="S10" s="3"/>
      <c r="T10" s="38">
        <f t="shared" si="0"/>
        <v>72.717286873927847</v>
      </c>
      <c r="U10" s="3"/>
      <c r="X10" s="3"/>
      <c r="Y10" s="6"/>
      <c r="Z10" s="8">
        <v>582.31937500000004</v>
      </c>
      <c r="AB10" s="3"/>
      <c r="AD10" s="8">
        <v>199.26242159271573</v>
      </c>
      <c r="AE10" s="16"/>
      <c r="AF10" s="16"/>
      <c r="AG10" s="16"/>
      <c r="AH10" s="16"/>
      <c r="AI10" s="6">
        <v>9.069591848533026</v>
      </c>
      <c r="AJ10" s="8">
        <v>882.7456064460182</v>
      </c>
      <c r="AK10" s="8">
        <v>25</v>
      </c>
      <c r="AL10" s="7">
        <v>21.016666666666669</v>
      </c>
      <c r="AM10" s="8">
        <v>201.16060124295419</v>
      </c>
      <c r="AN10" s="8">
        <v>8.2874999999999996</v>
      </c>
      <c r="AO10" s="6">
        <v>2.7324999999999999</v>
      </c>
      <c r="AP10" s="6">
        <v>0.22</v>
      </c>
      <c r="AQ10" s="6">
        <v>2.9000000000000001E-2</v>
      </c>
      <c r="AR10" s="6">
        <v>0.2</v>
      </c>
      <c r="AS10" s="6">
        <v>0.09</v>
      </c>
      <c r="AT10" s="8">
        <v>0.5575</v>
      </c>
      <c r="AU10" s="8">
        <v>135.12073035602447</v>
      </c>
      <c r="AV10" s="7">
        <v>9.132600386805743</v>
      </c>
      <c r="AW10" s="8">
        <v>30.996537071831188</v>
      </c>
      <c r="AX10" s="6"/>
      <c r="AY10" s="6"/>
      <c r="AZ10" s="6">
        <v>2.3999999999999998E-3</v>
      </c>
      <c r="BA10" s="6">
        <v>1.9E-2</v>
      </c>
      <c r="BB10" s="6">
        <v>1.5E-3</v>
      </c>
      <c r="BC10" s="6"/>
      <c r="BD10" s="16">
        <v>1.7000000000000001E-3</v>
      </c>
      <c r="BE10" s="6">
        <v>9.1999999999999998E-3</v>
      </c>
      <c r="BF10" s="6"/>
      <c r="BG10" s="6">
        <v>2.1666666666666667E-2</v>
      </c>
      <c r="BH10" s="8">
        <v>30.066666666666666</v>
      </c>
      <c r="BI10" s="6">
        <v>2.1761771209712388</v>
      </c>
      <c r="BJ10" s="7">
        <v>5.6925588957941899</v>
      </c>
      <c r="BK10" s="6">
        <v>0.73571163263773298</v>
      </c>
      <c r="BL10" s="7">
        <v>3.3783200847906727</v>
      </c>
      <c r="BM10" s="6">
        <v>0.9949225562460855</v>
      </c>
      <c r="BN10" s="6">
        <v>0.68731492990316523</v>
      </c>
      <c r="BO10" s="6">
        <v>1.1598478442463169</v>
      </c>
      <c r="BP10" s="6">
        <v>0.21142388110035171</v>
      </c>
      <c r="BQ10" s="6">
        <v>1.3496290167791856</v>
      </c>
      <c r="BR10" s="6">
        <v>0.30371106450730717</v>
      </c>
      <c r="BS10" s="6">
        <v>0.8821337383415585</v>
      </c>
      <c r="BT10" s="6">
        <v>0.13334665003003088</v>
      </c>
      <c r="BU10" s="6">
        <v>0.85061940550175841</v>
      </c>
      <c r="BV10" s="3">
        <v>0.12763648407766054</v>
      </c>
      <c r="BW10" s="6">
        <v>0.76430315074432731</v>
      </c>
      <c r="BX10" s="6">
        <v>9.3291342679577977E-2</v>
      </c>
      <c r="BY10" s="6"/>
      <c r="BZ10" s="7">
        <v>6.7225971961266087</v>
      </c>
      <c r="CA10" s="7">
        <v>2.2089948964576793</v>
      </c>
      <c r="CB10" s="7">
        <v>2.2699999999999999E-3</v>
      </c>
      <c r="CC10" s="7"/>
      <c r="CD10" s="7">
        <v>7.2999999999999996E-4</v>
      </c>
      <c r="CE10" s="6">
        <v>0.31116165630871512</v>
      </c>
      <c r="CF10" s="6">
        <v>0.10268374524256878</v>
      </c>
      <c r="CG10" s="6"/>
      <c r="CH10" s="6"/>
      <c r="CI10" s="6"/>
      <c r="CO10" s="16">
        <v>1.0998091640632559E-2</v>
      </c>
      <c r="CP10" s="16"/>
      <c r="CQ10" s="3">
        <v>4.8651311969909336E-2</v>
      </c>
      <c r="CR10" s="3">
        <v>1.4997532566225431</v>
      </c>
      <c r="CS10" s="3">
        <v>1.3183570662119368E-2</v>
      </c>
      <c r="CT10" s="3"/>
    </row>
    <row r="11" spans="1:132" s="36" customFormat="1" x14ac:dyDescent="0.2">
      <c r="A11" s="36" t="s">
        <v>553</v>
      </c>
      <c r="H11" s="34">
        <v>44.9253</v>
      </c>
      <c r="I11" s="34">
        <v>0.26515582000000004</v>
      </c>
      <c r="J11" s="34">
        <v>25.810192393612429</v>
      </c>
      <c r="K11" s="37">
        <v>0.12902209783815002</v>
      </c>
      <c r="L11" s="34">
        <v>5.4657937109167998</v>
      </c>
      <c r="M11" s="37">
        <v>7.2045986929713882E-2</v>
      </c>
      <c r="N11" s="34">
        <v>8.1963234544395629</v>
      </c>
      <c r="O11" s="72">
        <v>14.935746259671438</v>
      </c>
      <c r="P11" s="37">
        <v>0.30293232698366818</v>
      </c>
      <c r="Q11" s="37">
        <v>2.4003459005058535E-2</v>
      </c>
      <c r="R11" s="37">
        <v>2.0622600000000001E-2</v>
      </c>
      <c r="S11" s="34"/>
      <c r="T11" s="38">
        <f t="shared" si="0"/>
        <v>72.775272371218421</v>
      </c>
      <c r="U11">
        <f>(N11/40.304)/(N11/40.304+L11/71.846)</f>
        <v>0.72775272371218425</v>
      </c>
      <c r="W11" s="34">
        <v>0</v>
      </c>
      <c r="X11" s="34">
        <v>0</v>
      </c>
      <c r="Y11" s="34">
        <v>0</v>
      </c>
      <c r="Z11" s="35">
        <v>582.31937500000004</v>
      </c>
      <c r="AA11" s="34">
        <v>0</v>
      </c>
      <c r="AB11" s="34">
        <v>0</v>
      </c>
      <c r="AC11" s="34">
        <v>0</v>
      </c>
      <c r="AD11" s="35">
        <v>199.26242159271573</v>
      </c>
      <c r="AE11" s="34">
        <v>0</v>
      </c>
      <c r="AF11" s="34">
        <v>0</v>
      </c>
      <c r="AG11" s="34">
        <v>0</v>
      </c>
      <c r="AH11" s="34">
        <v>0</v>
      </c>
      <c r="AI11" s="34">
        <v>9.069591848533026</v>
      </c>
      <c r="AJ11" s="35">
        <v>882.7456064460182</v>
      </c>
      <c r="AK11" s="35">
        <v>25</v>
      </c>
      <c r="AL11" s="72">
        <v>21.016666666666669</v>
      </c>
      <c r="AM11" s="35">
        <v>201.16060124295419</v>
      </c>
      <c r="AN11" s="407">
        <v>5.05</v>
      </c>
      <c r="AO11" s="6">
        <v>2.7324999999999999</v>
      </c>
      <c r="AP11" s="34">
        <v>0.22</v>
      </c>
      <c r="AQ11" s="34">
        <v>2.9000000000000001E-2</v>
      </c>
      <c r="AR11" s="34">
        <v>0.2</v>
      </c>
      <c r="AS11" s="34">
        <v>0.09</v>
      </c>
      <c r="AT11" s="35">
        <v>0.5575</v>
      </c>
      <c r="AU11" s="35">
        <v>135.12073035602447</v>
      </c>
      <c r="AV11" s="34">
        <v>9.132600386805743</v>
      </c>
      <c r="AW11" s="35">
        <v>30.996537071831188</v>
      </c>
      <c r="AX11" s="34">
        <v>0</v>
      </c>
      <c r="AY11" s="34">
        <v>0</v>
      </c>
      <c r="AZ11" s="34">
        <v>2.3999999999999998E-3</v>
      </c>
      <c r="BA11" s="34">
        <v>1.9E-2</v>
      </c>
      <c r="BB11" s="34">
        <v>1.5E-3</v>
      </c>
      <c r="BC11" s="34">
        <v>0</v>
      </c>
      <c r="BD11" s="34">
        <v>1.7000000000000001E-3</v>
      </c>
      <c r="BE11" s="34">
        <v>9.1999999999999998E-3</v>
      </c>
      <c r="BF11" s="34">
        <v>0</v>
      </c>
      <c r="BG11" s="34">
        <v>2.1666666666666667E-2</v>
      </c>
      <c r="BH11" s="35">
        <v>30.066666666666666</v>
      </c>
      <c r="BI11" s="34">
        <v>2.1761771209712388</v>
      </c>
      <c r="BJ11" s="34">
        <v>5.6925588957941899</v>
      </c>
      <c r="BK11" s="158">
        <v>0.7612720364325174</v>
      </c>
      <c r="BL11" s="72">
        <v>3.3783200847906727</v>
      </c>
      <c r="BM11" s="34">
        <v>0.9949225562460855</v>
      </c>
      <c r="BN11" s="34">
        <v>0.68731492990316523</v>
      </c>
      <c r="BO11" s="34">
        <v>1.1598478442463169</v>
      </c>
      <c r="BP11" s="34">
        <v>0.21142388110035171</v>
      </c>
      <c r="BQ11" s="34">
        <v>1.3496290167791856</v>
      </c>
      <c r="BR11" s="34">
        <v>0.30371106450730717</v>
      </c>
      <c r="BS11" s="34">
        <v>0.8821337383415585</v>
      </c>
      <c r="BT11" s="34">
        <v>0.13334665003003088</v>
      </c>
      <c r="BU11" s="34">
        <v>0.85061940550175841</v>
      </c>
      <c r="BV11" s="37">
        <v>0.12763648407766054</v>
      </c>
      <c r="BW11" s="34">
        <v>0.76430315074432731</v>
      </c>
      <c r="BX11" s="34">
        <v>9.3291342679577977E-2</v>
      </c>
      <c r="BY11" s="34">
        <v>0</v>
      </c>
      <c r="BZ11" s="72">
        <v>6.7225971961266087</v>
      </c>
      <c r="CA11" s="72">
        <v>2.2089948964576793</v>
      </c>
      <c r="CB11" s="34">
        <v>2.2699999999999999E-3</v>
      </c>
      <c r="CC11" s="34">
        <v>0</v>
      </c>
      <c r="CD11" s="34">
        <v>7.2999999999999996E-4</v>
      </c>
      <c r="CE11" s="34">
        <v>0.31116165630871512</v>
      </c>
      <c r="CF11" s="34">
        <v>0.10268374524256878</v>
      </c>
      <c r="CG11" s="34"/>
      <c r="CH11" s="34"/>
      <c r="CI11" s="34"/>
      <c r="CW11" s="34"/>
      <c r="DA11" s="30">
        <v>0.7439151859875065</v>
      </c>
      <c r="DB11" s="30">
        <v>0.74843107662177633</v>
      </c>
      <c r="DC11" s="30">
        <v>0.78531320985125774</v>
      </c>
      <c r="DD11" s="30">
        <v>0.76742867326952913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</row>
    <row r="12" spans="1:132" x14ac:dyDescent="0.2">
      <c r="A12" s="5"/>
      <c r="H12" s="6"/>
      <c r="P12" s="3"/>
      <c r="Q12" s="3"/>
      <c r="R12" s="3"/>
      <c r="S12" s="3"/>
      <c r="T12" s="38" t="e">
        <f t="shared" si="0"/>
        <v>#DIV/0!</v>
      </c>
      <c r="U12" s="3"/>
      <c r="X12" s="3"/>
      <c r="Y12" s="6"/>
      <c r="Z12" s="8"/>
      <c r="AB12"/>
      <c r="AD12" s="8"/>
      <c r="AE12" s="16"/>
      <c r="AF12" s="16"/>
      <c r="AG12" s="16"/>
      <c r="AH12" s="16"/>
      <c r="AI12" s="6"/>
      <c r="AJ12" s="8"/>
      <c r="AK12" s="8"/>
      <c r="AL12" s="7"/>
      <c r="AM12" s="8"/>
      <c r="AN12" s="8"/>
      <c r="AO12" s="6"/>
      <c r="AP12" s="6"/>
      <c r="AQ12" s="6"/>
      <c r="AR12" s="6"/>
      <c r="AS12" s="6"/>
      <c r="AT12" s="8"/>
      <c r="AU12" s="8"/>
      <c r="AV12" s="7"/>
      <c r="AW12" s="8"/>
      <c r="AX12" s="6"/>
      <c r="AY12" s="6"/>
      <c r="AZ12" s="6"/>
      <c r="BA12" s="6"/>
      <c r="BB12" s="6"/>
      <c r="BC12" s="6"/>
      <c r="BD12" s="16"/>
      <c r="BE12" s="6"/>
      <c r="BF12" s="6"/>
      <c r="BG12" s="6"/>
      <c r="BH12" s="8"/>
      <c r="BI12" s="6"/>
      <c r="BJ12" s="7"/>
      <c r="BL12" s="7"/>
      <c r="BM12" s="6"/>
      <c r="BN12" s="6"/>
      <c r="BO12" s="6"/>
      <c r="BP12" s="6"/>
      <c r="BQ12" s="6"/>
      <c r="BR12" s="6"/>
      <c r="BS12" s="6"/>
      <c r="BT12" s="6"/>
      <c r="BU12" s="6"/>
      <c r="BV12" s="3"/>
      <c r="BW12" s="6"/>
      <c r="BX12" s="6"/>
      <c r="BY12" s="6"/>
      <c r="BZ12" s="7"/>
      <c r="CA12" s="7"/>
      <c r="CB12" s="7"/>
      <c r="CC12" s="7"/>
      <c r="CD12" s="7"/>
      <c r="CE12" s="6"/>
      <c r="CF12" s="6"/>
      <c r="CG12" s="6"/>
      <c r="CH12" s="6"/>
      <c r="CI12" s="6"/>
    </row>
    <row r="13" spans="1:132" x14ac:dyDescent="0.2">
      <c r="T13" s="38" t="e">
        <f t="shared" si="0"/>
        <v>#DIV/0!</v>
      </c>
    </row>
    <row r="14" spans="1:132" x14ac:dyDescent="0.2">
      <c r="A14" t="s">
        <v>207</v>
      </c>
      <c r="C14" t="s">
        <v>208</v>
      </c>
      <c r="D14" t="s">
        <v>209</v>
      </c>
      <c r="E14" s="8">
        <v>197</v>
      </c>
      <c r="F14" s="8"/>
      <c r="I14" s="6">
        <v>0.283611</v>
      </c>
      <c r="J14" s="6">
        <v>26.641949999999998</v>
      </c>
      <c r="K14" s="32">
        <v>0.12862080000000001</v>
      </c>
      <c r="L14" s="6">
        <v>5.6991949999999996</v>
      </c>
      <c r="M14" s="3">
        <v>8.112192E-2</v>
      </c>
      <c r="N14" s="6">
        <v>5.9698800000000007</v>
      </c>
      <c r="O14" s="7">
        <v>15.111360000000001</v>
      </c>
      <c r="P14" s="3">
        <v>0.31543200000000005</v>
      </c>
      <c r="Q14" s="3">
        <v>2.7946719999999998E-2</v>
      </c>
      <c r="R14" s="3"/>
      <c r="S14" s="3"/>
      <c r="T14" s="38">
        <f t="shared" si="0"/>
        <v>65.123588409988528</v>
      </c>
      <c r="U14" s="3"/>
      <c r="W14" s="2">
        <v>0.17</v>
      </c>
      <c r="X14">
        <v>14.1</v>
      </c>
      <c r="Y14">
        <v>4.43</v>
      </c>
      <c r="Z14" s="2">
        <v>660</v>
      </c>
      <c r="AA14" s="2">
        <v>3.6</v>
      </c>
      <c r="AB14">
        <v>10.8</v>
      </c>
      <c r="AC14">
        <v>0.23400000000000001</v>
      </c>
      <c r="AD14">
        <v>232</v>
      </c>
      <c r="AE14" s="3"/>
      <c r="AF14" s="3"/>
      <c r="AG14" s="3"/>
      <c r="AH14" s="3"/>
      <c r="AI14" s="30">
        <v>12.5</v>
      </c>
      <c r="AJ14" s="8">
        <v>880</v>
      </c>
      <c r="AK14" s="31">
        <v>30</v>
      </c>
      <c r="AL14" s="33">
        <v>18.399999999999999</v>
      </c>
      <c r="AM14" s="31">
        <v>154</v>
      </c>
      <c r="AU14" s="31">
        <v>140</v>
      </c>
      <c r="AW14" s="31">
        <v>26</v>
      </c>
      <c r="BH14" s="31">
        <v>29</v>
      </c>
      <c r="BI14" s="30">
        <v>2.16</v>
      </c>
      <c r="BJ14" s="7">
        <v>5</v>
      </c>
      <c r="BK14" s="7"/>
      <c r="BL14" s="33">
        <v>3</v>
      </c>
      <c r="BM14" s="6">
        <v>0.96</v>
      </c>
      <c r="BN14" s="30">
        <v>0.72</v>
      </c>
      <c r="BO14" s="51">
        <v>1.1662180302343448</v>
      </c>
      <c r="BP14" s="30">
        <v>0.216</v>
      </c>
      <c r="BQ14" s="52">
        <v>1.4690905120307027</v>
      </c>
      <c r="BR14" s="52">
        <v>0.33362564735347278</v>
      </c>
      <c r="BS14" s="52">
        <v>0.94520439294763414</v>
      </c>
      <c r="BT14" s="53">
        <v>0.14270715031405146</v>
      </c>
      <c r="BU14">
        <v>0.95</v>
      </c>
      <c r="BV14" s="32">
        <v>0.13500000000000001</v>
      </c>
      <c r="BW14" s="30">
        <v>0.73</v>
      </c>
      <c r="BX14" s="30">
        <v>7.8E-2</v>
      </c>
      <c r="CE14" s="30">
        <v>0.28000000000000003</v>
      </c>
      <c r="CF14" s="30">
        <v>7.9000000000000001E-2</v>
      </c>
      <c r="CH14" s="6"/>
      <c r="CI14" s="29">
        <v>1.1182250922291803</v>
      </c>
      <c r="CJ14" s="41">
        <v>1.2064346213849311</v>
      </c>
      <c r="CK14" s="29">
        <v>1.1739943770889227</v>
      </c>
      <c r="CL14" s="29"/>
      <c r="CO14" s="134"/>
      <c r="CP14" s="134"/>
      <c r="CQ14" s="134">
        <v>4.9763343770479869E-2</v>
      </c>
      <c r="CR14" s="30">
        <v>1.0474953041613775</v>
      </c>
      <c r="CS14" s="29">
        <v>1.4233926019376422E-2</v>
      </c>
      <c r="CT14" s="29"/>
      <c r="CU14" s="29"/>
      <c r="CV14" s="29"/>
    </row>
    <row r="15" spans="1:132" x14ac:dyDescent="0.2">
      <c r="A15" t="s">
        <v>207</v>
      </c>
      <c r="C15" t="s">
        <v>208</v>
      </c>
      <c r="D15" s="2" t="s">
        <v>204</v>
      </c>
      <c r="E15" s="8">
        <v>197</v>
      </c>
      <c r="F15" s="8"/>
      <c r="H15" s="6">
        <v>44.9253</v>
      </c>
      <c r="I15" s="6">
        <v>0.28694759999999997</v>
      </c>
      <c r="J15" s="395">
        <v>27.694077032961147</v>
      </c>
      <c r="L15" s="6">
        <v>5.78925</v>
      </c>
      <c r="M15" s="396">
        <v>8.1098796232689327E-2</v>
      </c>
      <c r="N15" s="6">
        <v>5.8040500000000002</v>
      </c>
      <c r="O15" s="7">
        <v>15.3912</v>
      </c>
      <c r="P15" s="3"/>
      <c r="Q15" s="3"/>
      <c r="R15" s="3"/>
      <c r="S15" s="2"/>
      <c r="T15" s="38">
        <f t="shared" si="0"/>
        <v>64.121176289729377</v>
      </c>
      <c r="U15" s="2"/>
      <c r="V15" s="7">
        <v>21</v>
      </c>
      <c r="W15" s="3">
        <v>0.17199999999999999</v>
      </c>
      <c r="Y15">
        <v>4.5</v>
      </c>
      <c r="AA15" s="2">
        <v>3.5</v>
      </c>
      <c r="AB15" s="7">
        <v>11</v>
      </c>
      <c r="AC15" s="2">
        <v>0.221</v>
      </c>
      <c r="AD15" s="2"/>
      <c r="AE15" s="2"/>
      <c r="AF15" s="2"/>
      <c r="AG15" s="2"/>
      <c r="AH15" s="2"/>
      <c r="AI15" s="406">
        <v>12.9</v>
      </c>
      <c r="AJ15" s="266">
        <v>893</v>
      </c>
      <c r="AK15" s="8"/>
      <c r="AL15" s="7"/>
      <c r="AM15" s="8"/>
      <c r="AN15" s="8"/>
      <c r="AO15" s="7"/>
      <c r="AP15" s="2"/>
      <c r="AQ15" s="6"/>
      <c r="AR15" s="6"/>
      <c r="AS15" s="6"/>
      <c r="AT15" s="8"/>
      <c r="AU15" s="8"/>
      <c r="AV15" s="2"/>
      <c r="AW15" s="8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8"/>
      <c r="BI15" s="6"/>
      <c r="BJ15" s="2"/>
      <c r="BK15" s="2"/>
      <c r="BL15" s="7"/>
      <c r="BM15" s="6"/>
      <c r="BN15" s="6"/>
      <c r="BP15" s="6"/>
      <c r="BQ15" s="2"/>
      <c r="BR15" s="2"/>
      <c r="BS15" s="2"/>
      <c r="BT15" s="2"/>
      <c r="BU15" s="2"/>
      <c r="BV15" s="3"/>
      <c r="BW15" s="6"/>
      <c r="BX15" s="6"/>
      <c r="BY15" s="2"/>
      <c r="BZ15" s="7">
        <v>6.4</v>
      </c>
      <c r="CA15" s="7">
        <v>0.6</v>
      </c>
      <c r="CB15" s="2"/>
      <c r="CC15" s="2"/>
      <c r="CD15" s="2"/>
      <c r="CE15" s="6"/>
      <c r="CF15" s="6"/>
      <c r="CG15" s="2"/>
      <c r="CH15" s="6"/>
      <c r="CI15" s="29"/>
      <c r="CJ15" s="41"/>
      <c r="CK15" s="29"/>
      <c r="CL15" s="29"/>
      <c r="CM15" s="2"/>
      <c r="CN15" s="2"/>
      <c r="CO15" s="134"/>
      <c r="CP15" s="134"/>
      <c r="CQ15" s="134">
        <v>4.9565591397849454E-2</v>
      </c>
      <c r="CR15" s="30">
        <v>1.0025564624087748</v>
      </c>
      <c r="CS15" s="29"/>
      <c r="CT15" s="29"/>
      <c r="CU15" s="29"/>
      <c r="CV15" s="29"/>
      <c r="CW15" s="2"/>
      <c r="CX15" s="2"/>
      <c r="CY15" s="2"/>
      <c r="CZ15" s="2"/>
    </row>
    <row r="16" spans="1:132" x14ac:dyDescent="0.2">
      <c r="A16" t="s">
        <v>207</v>
      </c>
      <c r="C16" t="s">
        <v>212</v>
      </c>
      <c r="D16" t="s">
        <v>213</v>
      </c>
      <c r="E16" s="8">
        <v>59.3</v>
      </c>
      <c r="F16" s="8"/>
      <c r="I16" s="6">
        <v>0.36702599999999996</v>
      </c>
      <c r="J16" s="6">
        <v>25.13035</v>
      </c>
      <c r="K16" s="32">
        <v>0.15112944</v>
      </c>
      <c r="L16" s="6">
        <v>6.4968249999999994</v>
      </c>
      <c r="M16" s="3">
        <v>9.0217407999999999E-2</v>
      </c>
      <c r="N16" s="6">
        <v>7.0477750000000006</v>
      </c>
      <c r="O16" s="7">
        <v>15.95088</v>
      </c>
      <c r="P16" s="3">
        <v>0.32486799999999999</v>
      </c>
      <c r="Q16" s="3">
        <v>3.4933399999999996E-2</v>
      </c>
      <c r="R16" s="3"/>
      <c r="S16" s="3"/>
      <c r="T16" s="38">
        <f t="shared" si="0"/>
        <v>65.914190270618732</v>
      </c>
      <c r="U16" s="3"/>
      <c r="W16" s="2">
        <v>0.22</v>
      </c>
      <c r="X16">
        <v>13.3</v>
      </c>
      <c r="Y16">
        <v>5.05</v>
      </c>
      <c r="Z16" s="2">
        <v>734</v>
      </c>
      <c r="AA16" s="2">
        <v>4.25</v>
      </c>
      <c r="AB16">
        <v>11.4</v>
      </c>
      <c r="AC16">
        <v>0.24099999999999999</v>
      </c>
      <c r="AD16">
        <v>290</v>
      </c>
      <c r="AE16" s="3"/>
      <c r="AF16" s="3"/>
      <c r="AG16" s="3"/>
      <c r="AH16" s="3"/>
      <c r="AI16" s="30">
        <v>16.5</v>
      </c>
      <c r="AJ16" s="8">
        <v>1034</v>
      </c>
      <c r="AK16" s="31">
        <v>39</v>
      </c>
      <c r="AL16" s="33">
        <v>16.899999999999999</v>
      </c>
      <c r="AM16" s="31">
        <v>100</v>
      </c>
      <c r="AN16" s="31">
        <v>50</v>
      </c>
      <c r="AO16" s="33">
        <v>9.8699999999999992</v>
      </c>
      <c r="AU16" s="31">
        <v>118</v>
      </c>
      <c r="BH16" s="31">
        <v>34</v>
      </c>
      <c r="BI16" s="30">
        <v>3.24</v>
      </c>
      <c r="BJ16">
        <v>8.76</v>
      </c>
      <c r="BL16" s="33">
        <v>5.24</v>
      </c>
      <c r="BM16" s="30">
        <v>1.56</v>
      </c>
      <c r="BN16" s="30">
        <v>0.72299999999999998</v>
      </c>
      <c r="BO16" s="51">
        <v>1.8600602120661289</v>
      </c>
      <c r="BP16" s="30">
        <v>0.33</v>
      </c>
      <c r="BQ16" s="65">
        <v>2.2200000000000002</v>
      </c>
      <c r="BR16" s="65">
        <v>0.48</v>
      </c>
      <c r="BS16" s="52">
        <v>1.3789071883027684</v>
      </c>
      <c r="BT16" s="41">
        <v>0.23</v>
      </c>
      <c r="BU16">
        <v>1.34</v>
      </c>
      <c r="BV16" s="32">
        <v>0.19</v>
      </c>
      <c r="BW16" s="30">
        <v>1.1100000000000001</v>
      </c>
      <c r="BX16" s="30">
        <v>0.16</v>
      </c>
      <c r="BZ16" s="33">
        <v>5.9</v>
      </c>
      <c r="CA16" s="33">
        <v>1.3</v>
      </c>
      <c r="CE16" s="30">
        <v>0.43</v>
      </c>
      <c r="CF16" s="30">
        <v>0.14000000000000001</v>
      </c>
      <c r="CH16" s="6"/>
      <c r="CI16" s="29">
        <v>1.8762358983161678</v>
      </c>
      <c r="CJ16" s="41">
        <v>1.8814679537911421</v>
      </c>
      <c r="CK16" s="29">
        <v>1.8224767840910765</v>
      </c>
      <c r="CL16" s="29"/>
      <c r="CM16" s="3"/>
      <c r="CN16" s="3"/>
      <c r="CO16" s="134">
        <v>1.3000000000000001E-2</v>
      </c>
      <c r="CP16" s="134"/>
      <c r="CQ16" s="134">
        <v>5.6493133184286171E-2</v>
      </c>
      <c r="CR16" s="30">
        <v>1.0848029614465529</v>
      </c>
      <c r="CS16" s="29">
        <v>1.3886384195356963E-2</v>
      </c>
      <c r="CT16" s="29"/>
      <c r="CU16" s="29"/>
      <c r="CV16" s="29"/>
      <c r="CW16" s="3"/>
      <c r="CX16" s="3"/>
      <c r="CY16" s="3"/>
      <c r="CZ16" s="3"/>
    </row>
    <row r="17" spans="1:132" x14ac:dyDescent="0.2">
      <c r="A17" t="s">
        <v>207</v>
      </c>
      <c r="C17" t="s">
        <v>659</v>
      </c>
      <c r="D17" t="s">
        <v>213</v>
      </c>
      <c r="E17" s="8">
        <v>34.700000000000003</v>
      </c>
      <c r="F17" s="8"/>
      <c r="I17" s="6">
        <v>0.31697700000000001</v>
      </c>
      <c r="J17" s="6">
        <v>25.13035</v>
      </c>
      <c r="K17" s="32">
        <v>0.13271328000000002</v>
      </c>
      <c r="L17" s="6">
        <v>6.4968249999999994</v>
      </c>
      <c r="M17" s="3">
        <v>7.7926207999999997E-2</v>
      </c>
      <c r="N17" s="6">
        <v>6.3844550000000009</v>
      </c>
      <c r="O17" s="7">
        <v>15.95088</v>
      </c>
      <c r="P17" s="3">
        <v>0.32486799999999999</v>
      </c>
      <c r="Q17" s="3">
        <v>2.8910399999999999E-2</v>
      </c>
      <c r="R17" s="3"/>
      <c r="S17" s="3"/>
      <c r="T17" s="38">
        <f t="shared" si="0"/>
        <v>63.659754650428013</v>
      </c>
      <c r="U17" s="3"/>
      <c r="W17" s="2">
        <v>0.19</v>
      </c>
      <c r="X17">
        <v>13.85</v>
      </c>
      <c r="Y17">
        <v>4.57</v>
      </c>
      <c r="Z17" s="2">
        <v>634</v>
      </c>
      <c r="AA17" s="2">
        <v>3.85</v>
      </c>
      <c r="AB17">
        <v>10.6</v>
      </c>
      <c r="AC17">
        <v>0.23400000000000001</v>
      </c>
      <c r="AD17">
        <v>240</v>
      </c>
      <c r="AE17" s="3"/>
      <c r="AF17" s="3"/>
      <c r="AG17" s="3"/>
      <c r="AH17" s="3"/>
      <c r="AI17" s="30">
        <v>13</v>
      </c>
      <c r="AJ17" s="8">
        <v>908</v>
      </c>
      <c r="AK17" s="31">
        <v>37</v>
      </c>
      <c r="AL17" s="33">
        <v>18.5</v>
      </c>
      <c r="AM17" s="31">
        <v>200</v>
      </c>
      <c r="AN17" s="31">
        <v>34</v>
      </c>
      <c r="AO17" s="33">
        <v>3</v>
      </c>
      <c r="AU17" s="31">
        <v>117</v>
      </c>
      <c r="BH17" s="31">
        <v>32</v>
      </c>
      <c r="BI17" s="30">
        <v>2.12</v>
      </c>
      <c r="BJ17">
        <v>5.5</v>
      </c>
      <c r="BL17" s="33">
        <v>3.7</v>
      </c>
      <c r="BM17" s="30">
        <v>1.1299999999999999</v>
      </c>
      <c r="BN17" s="30">
        <v>0.70599999999999996</v>
      </c>
      <c r="BO17" s="51">
        <v>1.3978992428687433</v>
      </c>
      <c r="BP17" s="30">
        <v>0.25</v>
      </c>
      <c r="BQ17" s="65">
        <v>1.76</v>
      </c>
      <c r="BR17" s="65">
        <v>0.4</v>
      </c>
      <c r="BS17" s="52">
        <v>1.0558438763136795</v>
      </c>
      <c r="BT17" s="53">
        <v>0.15781186423389854</v>
      </c>
      <c r="BU17" s="65">
        <v>1.04</v>
      </c>
      <c r="BV17" s="29">
        <v>0.15</v>
      </c>
      <c r="BW17" s="65">
        <v>0.82</v>
      </c>
      <c r="BX17" s="65">
        <v>0.12</v>
      </c>
      <c r="BZ17" s="68">
        <v>7.8</v>
      </c>
      <c r="CA17" s="68">
        <v>2.1</v>
      </c>
      <c r="CE17" s="30">
        <v>0.36</v>
      </c>
      <c r="CF17" s="30">
        <v>0.1</v>
      </c>
      <c r="CH17" s="6"/>
      <c r="CI17" s="29">
        <v>1.4154889520317442</v>
      </c>
      <c r="CJ17" s="41">
        <v>1.4042060989655023</v>
      </c>
      <c r="CK17" s="29">
        <v>1.3740026776089826</v>
      </c>
      <c r="CL17" s="29"/>
      <c r="CM17" s="3"/>
      <c r="CN17" s="3"/>
      <c r="CO17" s="134">
        <v>1.0500000000000001E-2</v>
      </c>
      <c r="CP17" s="134"/>
      <c r="CQ17" s="134">
        <v>4.8789524113701702E-2</v>
      </c>
      <c r="CR17" s="30">
        <v>0.98270385919275971</v>
      </c>
      <c r="CS17" s="29">
        <v>1.1994506239586261E-2</v>
      </c>
      <c r="CT17" s="29"/>
      <c r="CU17" s="29"/>
      <c r="CV17" s="29"/>
      <c r="CW17" s="3"/>
      <c r="CX17" s="3"/>
      <c r="CY17" s="3"/>
      <c r="CZ17" s="3"/>
    </row>
    <row r="18" spans="1:132" x14ac:dyDescent="0.2">
      <c r="E18" s="8"/>
      <c r="F18" s="8"/>
      <c r="P18" s="3"/>
      <c r="Q18" s="3"/>
      <c r="R18" s="3"/>
      <c r="S18" s="3"/>
      <c r="T18" s="38" t="e">
        <f t="shared" si="0"/>
        <v>#DIV/0!</v>
      </c>
      <c r="U18" s="3"/>
      <c r="X18"/>
      <c r="Y18"/>
      <c r="AB18"/>
      <c r="AE18" s="3"/>
      <c r="AF18" s="3"/>
      <c r="AG18" s="3"/>
      <c r="AH18" s="3"/>
      <c r="AJ18" s="8"/>
      <c r="AK18" s="31"/>
      <c r="BO18" s="51"/>
      <c r="BQ18" s="65"/>
      <c r="BR18" s="65"/>
      <c r="BS18" s="52"/>
      <c r="BT18" s="53"/>
      <c r="BU18" s="65"/>
      <c r="BV18" s="29"/>
      <c r="BW18" s="65"/>
      <c r="BX18" s="65"/>
      <c r="BZ18" s="68"/>
      <c r="CA18" s="68"/>
      <c r="CH18" s="6"/>
      <c r="CI18" s="29"/>
      <c r="CJ18" s="41"/>
      <c r="CK18" s="29"/>
      <c r="CL18" s="29"/>
      <c r="CM18" s="3"/>
      <c r="CN18" s="3"/>
      <c r="CO18" s="134"/>
      <c r="CP18" s="134"/>
      <c r="CQ18" s="134"/>
      <c r="CR18" s="30"/>
      <c r="CS18" s="29"/>
      <c r="CT18" s="29"/>
      <c r="CU18" s="29"/>
      <c r="CV18" s="29"/>
      <c r="CW18" s="3"/>
      <c r="CX18" s="3"/>
      <c r="CY18" s="3"/>
      <c r="CZ18" s="3"/>
    </row>
    <row r="19" spans="1:132" x14ac:dyDescent="0.2">
      <c r="A19" t="s">
        <v>207</v>
      </c>
      <c r="C19" t="s">
        <v>279</v>
      </c>
      <c r="D19" t="s">
        <v>209</v>
      </c>
      <c r="E19" s="8">
        <v>197</v>
      </c>
      <c r="F19" s="8"/>
      <c r="H19" s="30">
        <v>44.9253</v>
      </c>
      <c r="I19" s="30">
        <v>0.28527930000000001</v>
      </c>
      <c r="J19" s="30">
        <v>27.168013516480571</v>
      </c>
      <c r="K19" s="32">
        <v>0.12862080000000001</v>
      </c>
      <c r="L19" s="30">
        <v>5.7442224999999993</v>
      </c>
      <c r="M19" s="32">
        <v>8.1110358116344664E-2</v>
      </c>
      <c r="N19" s="30">
        <v>5.886965</v>
      </c>
      <c r="O19" s="33">
        <v>15.251280000000001</v>
      </c>
      <c r="P19" s="32">
        <v>0.31543200000000005</v>
      </c>
      <c r="Q19" s="32">
        <v>2.7946719999999998E-2</v>
      </c>
      <c r="T19" s="38">
        <f t="shared" si="0"/>
        <v>64.625554622318887</v>
      </c>
      <c r="W19"/>
      <c r="X19"/>
      <c r="Y19"/>
      <c r="Z19" s="31">
        <v>660</v>
      </c>
      <c r="AA19"/>
      <c r="AB19"/>
      <c r="AI19" s="30">
        <v>12.7</v>
      </c>
      <c r="AJ19" s="31">
        <v>886.5</v>
      </c>
      <c r="AK19" s="31">
        <v>30</v>
      </c>
      <c r="AL19" s="33">
        <v>18.399999999999999</v>
      </c>
      <c r="AM19" s="31">
        <v>154</v>
      </c>
      <c r="AO19" s="30"/>
      <c r="AP19" s="30"/>
      <c r="AU19" s="31">
        <v>140</v>
      </c>
      <c r="AV19" s="54">
        <v>9.3200412474020879</v>
      </c>
      <c r="AW19" s="31">
        <v>26</v>
      </c>
      <c r="BH19" s="31">
        <v>29</v>
      </c>
      <c r="BI19" s="30">
        <v>2.16</v>
      </c>
      <c r="BJ19" s="30">
        <v>5</v>
      </c>
      <c r="BK19" s="30"/>
      <c r="BL19" s="33">
        <v>3</v>
      </c>
      <c r="BM19" s="30">
        <v>0.96</v>
      </c>
      <c r="BN19" s="30">
        <v>0.72</v>
      </c>
      <c r="BO19" s="51">
        <v>1.1662180302343448</v>
      </c>
      <c r="BP19" s="30">
        <v>0.216</v>
      </c>
      <c r="BQ19" s="51">
        <v>1.4690905120307027</v>
      </c>
      <c r="BR19" s="51">
        <v>0.33362564735347278</v>
      </c>
      <c r="BS19" s="51">
        <v>0.94520439294763414</v>
      </c>
      <c r="BT19" s="51">
        <v>0.14270715031405146</v>
      </c>
      <c r="BU19" s="30">
        <v>0.95</v>
      </c>
      <c r="BV19" s="32">
        <v>0.13500000000000001</v>
      </c>
      <c r="BW19" s="30">
        <v>0.73</v>
      </c>
      <c r="BX19" s="30">
        <v>7.8E-2</v>
      </c>
      <c r="BY19" s="30"/>
      <c r="BZ19" s="33">
        <v>6.4</v>
      </c>
      <c r="CA19" s="33">
        <v>0.6</v>
      </c>
      <c r="CB19" s="30"/>
      <c r="CC19" s="30"/>
      <c r="CD19" s="30"/>
      <c r="CE19" s="30">
        <v>0.28000000000000003</v>
      </c>
      <c r="CF19" s="30">
        <v>7.9000000000000001E-2</v>
      </c>
      <c r="CI19" s="29">
        <v>1.1182250922291803</v>
      </c>
      <c r="CJ19" s="41">
        <v>1.2064346213849311</v>
      </c>
      <c r="CK19" s="29">
        <v>1.1739943770889227</v>
      </c>
      <c r="CL19" s="29"/>
      <c r="CO19" s="134"/>
      <c r="CP19" s="134"/>
      <c r="CQ19" s="134">
        <v>4.9663692518874404E-2</v>
      </c>
      <c r="CR19" s="30"/>
      <c r="CS19" s="29"/>
      <c r="CT19" s="29"/>
      <c r="CU19" s="29"/>
      <c r="CV19" s="29"/>
    </row>
    <row r="20" spans="1:132" ht="16.5" x14ac:dyDescent="0.25">
      <c r="A20" t="s">
        <v>207</v>
      </c>
      <c r="D20" t="s">
        <v>2577</v>
      </c>
      <c r="F20" s="8"/>
      <c r="H20" s="30">
        <v>43.14</v>
      </c>
      <c r="I20" s="30">
        <v>0.35</v>
      </c>
      <c r="J20" s="30">
        <v>26.01</v>
      </c>
      <c r="K20" s="32">
        <v>0.13000932000000001</v>
      </c>
      <c r="L20" s="30">
        <v>7.03</v>
      </c>
      <c r="M20" s="32">
        <v>0.08</v>
      </c>
      <c r="N20" s="30">
        <v>6.22</v>
      </c>
      <c r="O20" s="33">
        <v>15.33</v>
      </c>
      <c r="P20" s="32">
        <v>0.33</v>
      </c>
      <c r="Q20" s="32">
        <v>0.02</v>
      </c>
      <c r="R20" s="32">
        <v>0.31</v>
      </c>
      <c r="T20" s="38">
        <f t="shared" si="0"/>
        <v>61.19834914237537</v>
      </c>
      <c r="W20"/>
      <c r="X20"/>
      <c r="Y20"/>
      <c r="Z20" s="31"/>
      <c r="AA20"/>
      <c r="AB20"/>
      <c r="AJ20" s="31">
        <v>889.5</v>
      </c>
      <c r="AK20" s="31"/>
      <c r="AO20" s="30"/>
      <c r="AP20" s="30"/>
      <c r="AV20" s="54"/>
      <c r="BJ20" s="30"/>
      <c r="BK20" s="30"/>
      <c r="BO20" s="51"/>
      <c r="BQ20" s="51"/>
      <c r="BR20" s="51"/>
      <c r="BS20" s="51"/>
      <c r="BT20" s="51"/>
      <c r="BU20" s="30"/>
      <c r="BY20" s="30"/>
      <c r="CB20" s="30"/>
      <c r="CC20" s="30"/>
      <c r="CD20" s="30"/>
      <c r="CI20" s="29"/>
      <c r="CJ20" s="41"/>
      <c r="CK20" s="29"/>
      <c r="CL20" s="29"/>
      <c r="CO20" s="134"/>
      <c r="CP20" s="134"/>
      <c r="CQ20" s="134">
        <v>4.9786628733997147E-2</v>
      </c>
      <c r="CR20" s="30"/>
      <c r="CS20" s="29"/>
      <c r="CT20" s="29"/>
      <c r="CU20" s="29"/>
      <c r="CV20" s="29"/>
    </row>
    <row r="21" spans="1:132" x14ac:dyDescent="0.2">
      <c r="A21" t="s">
        <v>207</v>
      </c>
      <c r="B21" s="2"/>
      <c r="C21" t="s">
        <v>208</v>
      </c>
      <c r="D21" t="s">
        <v>210</v>
      </c>
      <c r="E21" s="8">
        <v>64.290000000000006</v>
      </c>
      <c r="F21" s="8"/>
      <c r="H21" s="6"/>
      <c r="J21" s="395">
        <v>26.870181748303764</v>
      </c>
      <c r="K21" s="32">
        <v>0.12993624000000001</v>
      </c>
      <c r="L21" s="6">
        <v>6.4196350000000004</v>
      </c>
      <c r="M21" s="32">
        <v>8.2842687999999998E-2</v>
      </c>
      <c r="N21" s="395">
        <v>6.3857570353638078</v>
      </c>
      <c r="P21" s="3">
        <v>0.33700000000000002</v>
      </c>
      <c r="Q21" s="3">
        <v>2.8669479999999997E-2</v>
      </c>
      <c r="R21" s="3"/>
      <c r="S21" s="3"/>
      <c r="T21" s="38">
        <f t="shared" si="0"/>
        <v>63.940509059164206</v>
      </c>
      <c r="U21" s="3"/>
      <c r="V21" s="2"/>
      <c r="Y21" s="2">
        <v>4.99</v>
      </c>
      <c r="Z21" s="2">
        <v>674</v>
      </c>
      <c r="AC21" s="2">
        <v>0.25</v>
      </c>
      <c r="AD21" s="2">
        <v>238</v>
      </c>
      <c r="AE21" s="3"/>
      <c r="AF21" s="3"/>
      <c r="AG21" s="3"/>
      <c r="AH21" s="3"/>
      <c r="AI21" s="6">
        <v>12.1</v>
      </c>
      <c r="AJ21" s="8">
        <v>889</v>
      </c>
      <c r="AK21" s="8"/>
      <c r="AL21" s="7">
        <v>24.6</v>
      </c>
      <c r="AM21" s="8">
        <v>218</v>
      </c>
      <c r="AN21" s="8"/>
      <c r="AO21" s="7"/>
      <c r="AP21" s="2"/>
      <c r="AQ21" s="6"/>
      <c r="AR21" s="6"/>
      <c r="AS21" s="6"/>
      <c r="AT21" s="8"/>
      <c r="AU21" s="8">
        <v>158</v>
      </c>
      <c r="AV21" s="54">
        <v>10.719388968580008</v>
      </c>
      <c r="AW21" s="8">
        <v>35</v>
      </c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8">
        <v>30</v>
      </c>
      <c r="BI21" s="6">
        <v>2.4500000000000002</v>
      </c>
      <c r="BJ21" s="2">
        <v>4.53</v>
      </c>
      <c r="BK21" s="2"/>
      <c r="BL21" s="7">
        <v>3.58</v>
      </c>
      <c r="BM21" s="6">
        <v>1.17</v>
      </c>
      <c r="BN21" s="6">
        <v>0.71699999999999997</v>
      </c>
      <c r="BO21" s="51">
        <v>1.3244794351225717</v>
      </c>
      <c r="BP21" s="6">
        <v>0.23</v>
      </c>
      <c r="BQ21" s="52">
        <v>1.6749924584665101</v>
      </c>
      <c r="BR21" s="52">
        <v>0.38256998695942446</v>
      </c>
      <c r="BS21" s="52">
        <v>1.0903819568195161</v>
      </c>
      <c r="BT21" s="53">
        <v>0.16565883071578785</v>
      </c>
      <c r="BU21" s="2">
        <v>1.1100000000000001</v>
      </c>
      <c r="BV21" s="3">
        <v>0.14199999999999999</v>
      </c>
      <c r="BW21" s="6">
        <v>1.2</v>
      </c>
      <c r="BX21" s="6">
        <v>0.1</v>
      </c>
      <c r="BY21" s="2"/>
      <c r="BZ21" s="7">
        <v>6.7</v>
      </c>
      <c r="CA21" s="7">
        <v>6.6</v>
      </c>
      <c r="CB21" s="2"/>
      <c r="CC21" s="2"/>
      <c r="CD21" s="2"/>
      <c r="CE21" s="6">
        <v>0.34</v>
      </c>
      <c r="CF21" s="6">
        <v>0.1</v>
      </c>
      <c r="CG21" s="6"/>
      <c r="CH21" s="6"/>
      <c r="CI21" s="29">
        <v>1.4025707583329665</v>
      </c>
      <c r="CJ21" s="41">
        <v>1.3437814261860164</v>
      </c>
      <c r="CK21" s="29">
        <v>1.2270861208487323</v>
      </c>
      <c r="CL21" s="29"/>
      <c r="CM21" s="2"/>
      <c r="CN21" s="2"/>
      <c r="CO21" s="134"/>
      <c r="CP21" s="134"/>
      <c r="CQ21" s="134"/>
      <c r="CR21" s="30"/>
      <c r="CS21" s="29">
        <v>1.290457915442233E-2</v>
      </c>
      <c r="CT21" s="29"/>
      <c r="CU21" s="29"/>
      <c r="CV21" s="29"/>
      <c r="CW21" s="2"/>
      <c r="CX21" s="2"/>
      <c r="CY21" s="2"/>
      <c r="CZ21" s="2"/>
    </row>
    <row r="22" spans="1:132" x14ac:dyDescent="0.2">
      <c r="A22" t="s">
        <v>207</v>
      </c>
      <c r="C22" t="s">
        <v>199</v>
      </c>
      <c r="D22" t="s">
        <v>211</v>
      </c>
      <c r="E22" s="8">
        <v>96.53</v>
      </c>
      <c r="F22" s="8"/>
      <c r="J22" s="395">
        <v>27.317124893153352</v>
      </c>
      <c r="K22" s="32">
        <v>0.13665959999999999</v>
      </c>
      <c r="L22" s="30">
        <v>6.09</v>
      </c>
      <c r="M22" s="396">
        <v>8.5311857158885521E-2</v>
      </c>
      <c r="N22" s="395">
        <v>6.0578615988861655</v>
      </c>
      <c r="O22" s="7">
        <v>15</v>
      </c>
      <c r="P22" s="32">
        <v>0.32900000000000001</v>
      </c>
      <c r="Q22" s="32">
        <v>2.5000000000000001E-2</v>
      </c>
      <c r="T22" s="38">
        <f t="shared" si="0"/>
        <v>63.940509059164206</v>
      </c>
      <c r="AD22" s="31">
        <v>207.52500000000001</v>
      </c>
      <c r="AI22" s="30">
        <v>13.43</v>
      </c>
      <c r="AJ22" s="8">
        <v>935</v>
      </c>
      <c r="AK22" s="31"/>
      <c r="AL22" s="33">
        <v>19.7</v>
      </c>
      <c r="AM22" s="31">
        <v>189</v>
      </c>
      <c r="AU22" s="31">
        <v>149</v>
      </c>
      <c r="AV22" s="54">
        <v>11.080821212760959</v>
      </c>
      <c r="AW22" s="31">
        <v>45</v>
      </c>
      <c r="BH22" s="31">
        <v>33</v>
      </c>
      <c r="BI22" s="30">
        <v>2.5299999999999998</v>
      </c>
      <c r="BJ22">
        <v>6.45</v>
      </c>
      <c r="BL22" s="33">
        <v>4.0999999999999996</v>
      </c>
      <c r="BM22" s="30">
        <v>1.24</v>
      </c>
      <c r="BN22" s="6">
        <v>0.76600000000000001</v>
      </c>
      <c r="BO22" s="51">
        <v>1.57991256241454</v>
      </c>
      <c r="BP22" s="30">
        <v>0.28999999999999998</v>
      </c>
      <c r="BQ22" s="52">
        <v>1.8247766782409225</v>
      </c>
      <c r="BR22" s="52">
        <v>0.40248522418637739</v>
      </c>
      <c r="BS22" s="52">
        <v>1.1074992632511726</v>
      </c>
      <c r="BT22" s="53">
        <v>0.16240092898105091</v>
      </c>
      <c r="BU22">
        <v>1.05</v>
      </c>
      <c r="BV22" s="32">
        <v>0.156</v>
      </c>
      <c r="BW22" s="30">
        <v>0.92</v>
      </c>
      <c r="BX22" s="30">
        <v>0.11</v>
      </c>
      <c r="BZ22" s="33">
        <v>7.1</v>
      </c>
      <c r="CA22" s="33">
        <v>2.4</v>
      </c>
      <c r="CE22" s="30">
        <v>0.33</v>
      </c>
      <c r="CF22" s="6">
        <v>0.12</v>
      </c>
      <c r="CG22" s="6"/>
      <c r="CH22" s="6"/>
      <c r="CI22" s="29">
        <v>1.5020111557431668</v>
      </c>
      <c r="CJ22" s="41">
        <v>1.5990019279785217</v>
      </c>
      <c r="CK22" s="29">
        <v>1.6387246035219323</v>
      </c>
      <c r="CL22" s="29"/>
      <c r="CO22" s="134">
        <v>1.2698412698412698E-2</v>
      </c>
      <c r="CP22" s="134"/>
      <c r="CQ22" s="134"/>
      <c r="CR22" s="30"/>
      <c r="CS22" s="29"/>
      <c r="CT22" s="29"/>
      <c r="CU22" s="29"/>
      <c r="CV22" s="29"/>
    </row>
    <row r="23" spans="1:132" x14ac:dyDescent="0.2">
      <c r="A23" t="s">
        <v>207</v>
      </c>
      <c r="C23" t="s">
        <v>199</v>
      </c>
      <c r="D23" t="s">
        <v>703</v>
      </c>
      <c r="E23" s="8">
        <v>8.1999999999999993</v>
      </c>
      <c r="F23" s="8"/>
      <c r="H23" s="30">
        <v>44.9</v>
      </c>
      <c r="I23" s="6">
        <v>0.4</v>
      </c>
      <c r="J23" s="30">
        <v>27.3</v>
      </c>
      <c r="K23" s="32">
        <v>0.11</v>
      </c>
      <c r="L23" s="30">
        <v>5.71</v>
      </c>
      <c r="M23" s="3">
        <v>0.12</v>
      </c>
      <c r="N23" s="30">
        <v>5.76</v>
      </c>
      <c r="O23" s="7">
        <v>15.9</v>
      </c>
      <c r="P23" s="32">
        <v>0.3</v>
      </c>
      <c r="Q23" s="32">
        <v>0.03</v>
      </c>
      <c r="R23" s="32">
        <v>0.02</v>
      </c>
      <c r="T23" s="38">
        <f t="shared" si="0"/>
        <v>64.262889754907377</v>
      </c>
      <c r="AD23" s="31">
        <v>249.03</v>
      </c>
      <c r="AJ23" s="8"/>
      <c r="AK23" s="31"/>
      <c r="AV23" s="54"/>
      <c r="BJ23" s="30"/>
      <c r="BU23" s="30"/>
      <c r="BV23" s="30"/>
      <c r="CF23" s="6"/>
      <c r="CG23" s="6"/>
      <c r="CH23" s="6"/>
      <c r="CI23" s="29"/>
      <c r="CJ23" s="41"/>
      <c r="CK23" s="29"/>
      <c r="CL23" s="29"/>
      <c r="CO23" s="134"/>
      <c r="CP23" s="134"/>
      <c r="CQ23" s="134">
        <v>7.0052539404553416E-2</v>
      </c>
      <c r="CR23" s="30">
        <v>1.0087565674255692</v>
      </c>
      <c r="CS23" s="29">
        <v>2.1015761821366025E-2</v>
      </c>
      <c r="CT23" s="29"/>
      <c r="CU23" s="29"/>
      <c r="CV23" s="29"/>
    </row>
    <row r="24" spans="1:132" x14ac:dyDescent="0.2">
      <c r="A24" t="s">
        <v>207</v>
      </c>
      <c r="C24" t="s">
        <v>702</v>
      </c>
      <c r="D24" t="s">
        <v>701</v>
      </c>
      <c r="E24" s="8">
        <v>42</v>
      </c>
      <c r="F24" s="8"/>
      <c r="I24" s="265">
        <v>0</v>
      </c>
      <c r="J24" s="395">
        <v>28.104556838843969</v>
      </c>
      <c r="K24" s="32">
        <v>0.12642903181556195</v>
      </c>
      <c r="L24" s="30">
        <v>5.5092435158501436</v>
      </c>
      <c r="M24" s="396">
        <v>7.7176321162187797E-2</v>
      </c>
      <c r="N24" s="395">
        <v>5.4801699069919856</v>
      </c>
      <c r="O24" s="7">
        <v>15.648667146974063</v>
      </c>
      <c r="P24" s="32">
        <v>0.3247730547550432</v>
      </c>
      <c r="T24" s="38">
        <f t="shared" si="0"/>
        <v>63.940509059164199</v>
      </c>
      <c r="AD24" s="31"/>
      <c r="AI24" s="30">
        <v>11.700583573487032</v>
      </c>
      <c r="AJ24" s="8">
        <v>865.00432276657057</v>
      </c>
      <c r="AK24" s="31"/>
      <c r="AL24" s="33">
        <v>17.880360230547549</v>
      </c>
      <c r="AM24" s="31">
        <v>151.01440922190201</v>
      </c>
      <c r="AT24" s="31">
        <v>0.21938040345821325</v>
      </c>
      <c r="AU24" s="31">
        <v>150.38328530259366</v>
      </c>
      <c r="AV24" s="54">
        <v>9.1322302157959108</v>
      </c>
      <c r="AW24" s="31">
        <v>30.459654178674349</v>
      </c>
      <c r="BG24" s="30">
        <v>4.1894812680115273E-2</v>
      </c>
      <c r="BH24" s="31">
        <v>25.971902017291068</v>
      </c>
      <c r="BI24" s="30">
        <v>1.9299870317002881</v>
      </c>
      <c r="BJ24">
        <v>5.1831484149855909</v>
      </c>
      <c r="BL24" s="33">
        <v>2.9764409221902017</v>
      </c>
      <c r="BM24" s="30">
        <v>0.97528746397694532</v>
      </c>
      <c r="BN24" s="6">
        <v>0.73403818443804025</v>
      </c>
      <c r="BO24" s="51">
        <v>1.235912945744525</v>
      </c>
      <c r="BP24" s="30">
        <v>0.22674639769452448</v>
      </c>
      <c r="BQ24" s="52">
        <v>1.4729263134957615</v>
      </c>
      <c r="BR24" s="52">
        <v>0.32941742985883204</v>
      </c>
      <c r="BS24" s="52">
        <v>0.91908699288364759</v>
      </c>
      <c r="BT24" s="53">
        <v>0.13664993515483137</v>
      </c>
      <c r="BU24" s="30">
        <v>0.89579610951008648</v>
      </c>
      <c r="BV24" s="32">
        <v>0.12681340057636886</v>
      </c>
      <c r="BW24" s="30">
        <v>0.72693804034582132</v>
      </c>
      <c r="BX24" s="30">
        <v>9.9347982708933719E-2</v>
      </c>
      <c r="BZ24" s="33">
        <v>5.4621037463976938</v>
      </c>
      <c r="CA24" s="33">
        <v>1.5018011527377522</v>
      </c>
      <c r="CE24" s="30">
        <v>0.29085230547550434</v>
      </c>
      <c r="CF24" s="6">
        <v>8.5864553314121045E-2</v>
      </c>
      <c r="CG24" s="6"/>
      <c r="CH24" s="6"/>
      <c r="CI24" s="29">
        <v>1.1959002314757428</v>
      </c>
      <c r="CJ24" s="41">
        <v>1.2527019200717378</v>
      </c>
      <c r="CK24" s="29">
        <v>1.2591366856860948</v>
      </c>
      <c r="CL24" s="29"/>
      <c r="CO24" s="134">
        <v>9.9447540170222518E-3</v>
      </c>
      <c r="CP24" s="134"/>
      <c r="CQ24" s="134"/>
      <c r="CR24" s="30"/>
      <c r="CS24" s="29"/>
      <c r="CT24" s="29"/>
      <c r="CU24" s="29"/>
      <c r="CV24" s="29"/>
    </row>
    <row r="25" spans="1:132" x14ac:dyDescent="0.2">
      <c r="A25" t="s">
        <v>207</v>
      </c>
      <c r="C25" t="s">
        <v>279</v>
      </c>
      <c r="D25" t="s">
        <v>213</v>
      </c>
      <c r="E25" s="8">
        <v>94</v>
      </c>
      <c r="F25" s="8"/>
      <c r="I25" s="30">
        <v>0.34200149999999996</v>
      </c>
      <c r="J25" s="30">
        <v>25.13035</v>
      </c>
      <c r="K25" s="32">
        <v>0.14192136</v>
      </c>
      <c r="L25" s="30">
        <v>6.4968249999999994</v>
      </c>
      <c r="M25" s="32">
        <v>8.4071807999999998E-2</v>
      </c>
      <c r="N25" s="30">
        <v>6.7161150000000003</v>
      </c>
      <c r="O25" s="33">
        <v>15.95088</v>
      </c>
      <c r="P25" s="32">
        <v>0.32486799999999999</v>
      </c>
      <c r="Q25" s="32">
        <v>3.1921899999999996E-2</v>
      </c>
      <c r="T25" s="38">
        <f t="shared" si="0"/>
        <v>64.823056264733964</v>
      </c>
      <c r="W25"/>
      <c r="X25"/>
      <c r="Y25"/>
      <c r="Z25" s="31">
        <v>684</v>
      </c>
      <c r="AA25"/>
      <c r="AB25"/>
      <c r="AD25" s="31">
        <v>265</v>
      </c>
      <c r="AI25" s="30">
        <v>14.75</v>
      </c>
      <c r="AJ25" s="31">
        <v>971</v>
      </c>
      <c r="AK25" s="31">
        <v>38</v>
      </c>
      <c r="AL25" s="33">
        <v>17.7</v>
      </c>
      <c r="AM25" s="31">
        <v>150</v>
      </c>
      <c r="AN25" s="31">
        <v>42</v>
      </c>
      <c r="AO25" s="30">
        <v>6.4349999999999996</v>
      </c>
      <c r="AQ25"/>
      <c r="AR25"/>
      <c r="AS25"/>
      <c r="AU25" s="31">
        <v>117.5</v>
      </c>
      <c r="AV25" s="54">
        <v>12.146855820460265</v>
      </c>
      <c r="AX25"/>
      <c r="AY25"/>
      <c r="AZ25"/>
      <c r="BA25"/>
      <c r="BB25"/>
      <c r="BC25"/>
      <c r="BD25"/>
      <c r="BE25"/>
      <c r="BF25"/>
      <c r="BG25"/>
      <c r="BH25" s="31">
        <v>33</v>
      </c>
      <c r="BI25" s="30">
        <v>2.68</v>
      </c>
      <c r="BJ25" s="30">
        <v>7.13</v>
      </c>
      <c r="BL25" s="33">
        <v>4.4700000000000006</v>
      </c>
      <c r="BM25" s="30">
        <v>1.345</v>
      </c>
      <c r="BN25" s="30">
        <v>0.71449999999999991</v>
      </c>
      <c r="BO25" s="51">
        <v>1.6289797274674362</v>
      </c>
      <c r="BP25" s="30">
        <v>0.29000000000000004</v>
      </c>
      <c r="BQ25" s="30">
        <v>1.9900000000000002</v>
      </c>
      <c r="BR25" s="30">
        <v>0.44</v>
      </c>
      <c r="BS25" s="51">
        <v>1.2173755323082238</v>
      </c>
      <c r="BT25" s="51">
        <v>0.19390593211694929</v>
      </c>
      <c r="BU25" s="30">
        <v>1.19</v>
      </c>
      <c r="BV25" s="32">
        <v>0.16999999999999998</v>
      </c>
      <c r="BW25" s="30">
        <v>0.96500000000000008</v>
      </c>
      <c r="BX25" s="30">
        <v>0.14000000000000001</v>
      </c>
      <c r="BZ25" s="33">
        <v>6.85</v>
      </c>
      <c r="CA25" s="33">
        <v>1.7000000000000002</v>
      </c>
      <c r="CE25" s="30">
        <v>0.39500000000000002</v>
      </c>
      <c r="CF25" s="30">
        <v>0.12000000000000001</v>
      </c>
      <c r="CI25" s="29">
        <v>1.6447060424853479</v>
      </c>
      <c r="CJ25" s="41">
        <v>1.6429267739827178</v>
      </c>
      <c r="CK25" s="29">
        <v>1.5982122006369748</v>
      </c>
      <c r="CQ25" s="134">
        <v>5.2641328648993929E-2</v>
      </c>
      <c r="CW25" s="3"/>
      <c r="CX25" s="3"/>
      <c r="CY25" s="3"/>
      <c r="CZ25" s="3"/>
    </row>
    <row r="26" spans="1:132" x14ac:dyDescent="0.2">
      <c r="A26" t="s">
        <v>207</v>
      </c>
      <c r="D26" t="s">
        <v>551</v>
      </c>
      <c r="E26" s="171" t="s">
        <v>224</v>
      </c>
      <c r="F26" s="8"/>
      <c r="P26" s="3"/>
      <c r="Q26" s="3">
        <v>2.8910399999999999E-2</v>
      </c>
      <c r="R26" s="3"/>
      <c r="S26" s="3"/>
      <c r="T26" s="38" t="e">
        <f t="shared" si="0"/>
        <v>#DIV/0!</v>
      </c>
      <c r="U26" s="3"/>
      <c r="X26"/>
      <c r="Y26"/>
      <c r="AB26"/>
      <c r="AD26">
        <v>240</v>
      </c>
      <c r="AE26" s="3"/>
      <c r="AF26" s="3"/>
      <c r="AG26" s="3"/>
      <c r="AH26" s="3"/>
      <c r="AJ26" s="8"/>
      <c r="AK26" s="31"/>
      <c r="AT26" s="31" t="s">
        <v>704</v>
      </c>
      <c r="AU26" s="31">
        <v>139</v>
      </c>
      <c r="AV26">
        <v>11.4</v>
      </c>
      <c r="AW26" s="31">
        <v>37.5</v>
      </c>
      <c r="AX26" s="30">
        <v>2.5</v>
      </c>
      <c r="BC26" s="30">
        <v>0.24</v>
      </c>
      <c r="BG26" s="30">
        <v>3.2000000000000001E-2</v>
      </c>
      <c r="BH26" s="31">
        <v>31.9</v>
      </c>
      <c r="BI26" s="30">
        <v>2.9</v>
      </c>
      <c r="BJ26" s="30">
        <v>7.9</v>
      </c>
      <c r="BK26" s="30">
        <v>1.06</v>
      </c>
      <c r="BL26" s="33">
        <v>4.74</v>
      </c>
      <c r="BM26" s="30">
        <v>1.24</v>
      </c>
      <c r="BN26" s="30">
        <v>0.72</v>
      </c>
      <c r="BO26" s="30">
        <v>1.34</v>
      </c>
      <c r="BP26" s="30">
        <v>0.24</v>
      </c>
      <c r="BQ26" s="30">
        <v>1.66</v>
      </c>
      <c r="BR26" s="30">
        <v>0.38</v>
      </c>
      <c r="BS26" s="30">
        <v>1.25</v>
      </c>
      <c r="BT26" s="30">
        <v>0.2</v>
      </c>
      <c r="BU26" s="30">
        <v>1.34</v>
      </c>
      <c r="BV26" s="32">
        <v>0.18</v>
      </c>
      <c r="BW26" s="30">
        <v>1</v>
      </c>
      <c r="CE26" s="30">
        <v>0.38</v>
      </c>
      <c r="CF26" s="30">
        <v>0.12</v>
      </c>
      <c r="CH26" s="6">
        <v>1.0806451612903227</v>
      </c>
      <c r="CI26" s="29">
        <v>1.4222048901079698</v>
      </c>
      <c r="CJ26" s="41">
        <v>1.4094942084612236</v>
      </c>
      <c r="CK26" s="29">
        <v>1.2436516972515006</v>
      </c>
      <c r="CL26" s="29"/>
      <c r="CM26" s="3"/>
      <c r="CN26" s="3"/>
      <c r="CO26" s="134"/>
      <c r="CP26" s="134"/>
      <c r="CQ26" s="134"/>
      <c r="CR26" s="30"/>
      <c r="CS26" s="29"/>
      <c r="CT26" s="29"/>
      <c r="CU26" s="29"/>
      <c r="CV26" s="29"/>
      <c r="CW26" s="29">
        <v>0.36551724137931035</v>
      </c>
      <c r="CX26" s="29">
        <v>0.13417721518987341</v>
      </c>
      <c r="CY26" s="29">
        <v>0.22362869198312235</v>
      </c>
      <c r="CZ26" s="29">
        <v>0.85483870967741937</v>
      </c>
    </row>
    <row r="27" spans="1:132" x14ac:dyDescent="0.2">
      <c r="A27" t="s">
        <v>207</v>
      </c>
      <c r="D27" t="s">
        <v>666</v>
      </c>
      <c r="E27" s="171" t="s">
        <v>224</v>
      </c>
      <c r="F27" s="8"/>
      <c r="H27" s="30">
        <v>43.14</v>
      </c>
      <c r="I27" s="6">
        <v>0.35</v>
      </c>
      <c r="J27" s="6">
        <v>26.01</v>
      </c>
      <c r="K27" s="32">
        <v>0.13</v>
      </c>
      <c r="L27" s="6">
        <v>7.0559919999999998</v>
      </c>
      <c r="M27" s="3">
        <v>0.08</v>
      </c>
      <c r="N27" s="6">
        <v>6.22</v>
      </c>
      <c r="O27" s="7">
        <v>15.33</v>
      </c>
      <c r="P27" s="3">
        <v>0.33</v>
      </c>
      <c r="Q27" s="3">
        <v>0.02</v>
      </c>
      <c r="R27" s="3" t="s">
        <v>667</v>
      </c>
      <c r="S27" s="3"/>
      <c r="T27" s="38">
        <f t="shared" si="0"/>
        <v>61.110679005206954</v>
      </c>
      <c r="U27" s="3"/>
      <c r="X27"/>
      <c r="Y27"/>
      <c r="AB27"/>
      <c r="AE27" s="3"/>
      <c r="AF27" s="3"/>
      <c r="AG27" s="3"/>
      <c r="AH27" s="3"/>
      <c r="AJ27" s="8">
        <v>889.46</v>
      </c>
      <c r="AK27" s="31"/>
      <c r="BJ27" s="30"/>
      <c r="BK27" s="30"/>
      <c r="BQ27" s="30"/>
      <c r="BR27" s="30"/>
      <c r="BS27" s="30"/>
      <c r="BT27" s="30"/>
      <c r="BU27" s="30"/>
      <c r="CH27" s="6"/>
      <c r="CI27" s="29"/>
      <c r="CJ27" s="41"/>
      <c r="CK27" s="29"/>
      <c r="CL27" s="29"/>
      <c r="CM27" s="3"/>
      <c r="CN27" s="3"/>
      <c r="CO27" s="134"/>
      <c r="CP27" s="134"/>
      <c r="CQ27" s="134">
        <v>4.9603230842665352E-2</v>
      </c>
      <c r="CR27" s="30">
        <v>0.88152027383250997</v>
      </c>
      <c r="CS27" s="29">
        <v>1.1337881335466368E-2</v>
      </c>
      <c r="CT27" s="29"/>
      <c r="CU27" s="29"/>
      <c r="CV27" s="29"/>
      <c r="CW27" s="3"/>
      <c r="CX27" s="3"/>
      <c r="CY27" s="3"/>
      <c r="CZ27" s="3"/>
    </row>
    <row r="28" spans="1:132" ht="15" x14ac:dyDescent="0.25">
      <c r="A28" t="s">
        <v>207</v>
      </c>
      <c r="D28" s="50" t="s">
        <v>631</v>
      </c>
      <c r="E28" s="171" t="s">
        <v>224</v>
      </c>
      <c r="F28" s="8"/>
      <c r="P28" s="3"/>
      <c r="Q28" s="3"/>
      <c r="R28" s="3"/>
      <c r="S28" s="3"/>
      <c r="T28" s="38" t="e">
        <f t="shared" si="0"/>
        <v>#DIV/0!</v>
      </c>
      <c r="U28" s="3"/>
      <c r="X28"/>
      <c r="Y28"/>
      <c r="AB28"/>
      <c r="AE28" s="3"/>
      <c r="AF28" s="3"/>
      <c r="AG28" s="3"/>
      <c r="AH28" s="3"/>
      <c r="AJ28" s="8"/>
      <c r="AK28" s="31"/>
      <c r="BI28" s="30">
        <v>2.1884999999999999</v>
      </c>
      <c r="BJ28" s="30">
        <v>5.5510000000000002</v>
      </c>
      <c r="BK28" s="30"/>
      <c r="BL28" s="30">
        <v>3.5975000000000001</v>
      </c>
      <c r="BM28" s="30">
        <v>1.107</v>
      </c>
      <c r="BN28" s="30">
        <v>0.8105</v>
      </c>
      <c r="BO28" s="30">
        <v>1.4710000000000001</v>
      </c>
      <c r="BP28" s="30">
        <v>2.1884999999999999</v>
      </c>
      <c r="BQ28" s="30">
        <v>1.7765</v>
      </c>
      <c r="BR28" s="30"/>
      <c r="BS28" s="30">
        <v>1.147</v>
      </c>
      <c r="BT28" s="30"/>
      <c r="BU28" s="30">
        <v>1.1655</v>
      </c>
      <c r="BV28" s="30">
        <v>0.17300000000000001</v>
      </c>
      <c r="CH28" s="6"/>
      <c r="CI28" s="29"/>
      <c r="CJ28" s="41"/>
      <c r="CK28" s="29"/>
      <c r="CL28" s="29"/>
      <c r="CM28" s="3"/>
      <c r="CN28" s="3"/>
      <c r="CO28" s="134"/>
      <c r="CP28" s="134"/>
      <c r="CQ28" s="134"/>
      <c r="CR28" s="30"/>
      <c r="CS28" s="29"/>
      <c r="CT28" s="29"/>
      <c r="CU28" s="29"/>
      <c r="CV28" s="29"/>
      <c r="CW28" s="3"/>
      <c r="CX28" s="3"/>
      <c r="CY28" s="3"/>
      <c r="CZ28" s="3"/>
    </row>
    <row r="29" spans="1:132" s="130" customFormat="1" x14ac:dyDescent="0.2">
      <c r="A29" s="130" t="s">
        <v>207</v>
      </c>
      <c r="C29" s="130" t="s">
        <v>214</v>
      </c>
      <c r="D29" s="130" t="s">
        <v>215</v>
      </c>
      <c r="E29" s="135">
        <v>21.4</v>
      </c>
      <c r="F29" s="135"/>
      <c r="H29" s="146"/>
      <c r="I29" s="137">
        <v>0.3</v>
      </c>
      <c r="J29" s="146">
        <v>27.1</v>
      </c>
      <c r="K29" s="141">
        <v>0.12</v>
      </c>
      <c r="L29" s="146">
        <v>6.7</v>
      </c>
      <c r="M29" s="139">
        <v>8.5000000000000006E-2</v>
      </c>
      <c r="N29" s="137">
        <v>6.4</v>
      </c>
      <c r="O29" s="149">
        <v>15.3</v>
      </c>
      <c r="P29" s="141">
        <v>0.34</v>
      </c>
      <c r="Q29" s="141">
        <v>2.9000000000000001E-2</v>
      </c>
      <c r="R29" s="141"/>
      <c r="T29" s="38">
        <f t="shared" si="0"/>
        <v>63.001115843887085</v>
      </c>
      <c r="W29" s="136"/>
      <c r="X29" s="136"/>
      <c r="Y29" s="136"/>
      <c r="Z29" s="135">
        <v>658.32500000000005</v>
      </c>
      <c r="AA29" s="136"/>
      <c r="AB29" s="136"/>
      <c r="AD29" s="150">
        <v>240.72900000000001</v>
      </c>
      <c r="AI29" s="146">
        <v>12.9</v>
      </c>
      <c r="AJ29" s="135">
        <v>821.04</v>
      </c>
      <c r="AK29" s="150"/>
      <c r="AL29" s="138">
        <v>19.8</v>
      </c>
      <c r="AM29" s="150">
        <v>180</v>
      </c>
      <c r="AN29" s="150"/>
      <c r="AO29" s="149"/>
      <c r="AQ29" s="146"/>
      <c r="AR29" s="146"/>
      <c r="AS29" s="146"/>
      <c r="AT29" s="150"/>
      <c r="AU29" s="150">
        <v>137</v>
      </c>
      <c r="AV29" s="54">
        <v>10.165067100503142</v>
      </c>
      <c r="AW29" s="150">
        <v>32</v>
      </c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50">
        <v>39</v>
      </c>
      <c r="BI29" s="146">
        <v>2.17</v>
      </c>
      <c r="BJ29" s="130">
        <v>5.4</v>
      </c>
      <c r="BL29" s="149">
        <v>3.4</v>
      </c>
      <c r="BM29" s="146">
        <v>1.04</v>
      </c>
      <c r="BN29" s="146">
        <v>0.78</v>
      </c>
      <c r="BO29" s="143">
        <v>1.2961928271110246</v>
      </c>
      <c r="BP29" s="146">
        <v>0.24</v>
      </c>
      <c r="BQ29" s="151">
        <v>1.6079212504939786</v>
      </c>
      <c r="BR29" s="151">
        <v>0.36430285436967813</v>
      </c>
      <c r="BS29" s="151">
        <v>1.0296921874823561</v>
      </c>
      <c r="BT29" s="152">
        <v>0.15509492200827765</v>
      </c>
      <c r="BU29" s="130">
        <v>1.03</v>
      </c>
      <c r="BV29" s="141">
        <v>0.15</v>
      </c>
      <c r="BW29" s="146">
        <v>0.81</v>
      </c>
      <c r="BX29" s="146">
        <v>0.11</v>
      </c>
      <c r="BZ29" s="149">
        <v>6.5</v>
      </c>
      <c r="CA29" s="402">
        <v>2.0764425021945727</v>
      </c>
      <c r="CE29" s="146">
        <v>0.35</v>
      </c>
      <c r="CF29" s="146">
        <v>0.09</v>
      </c>
      <c r="CH29" s="6"/>
      <c r="CI29" s="29">
        <v>1.2485150705614929</v>
      </c>
      <c r="CJ29" s="41">
        <v>1.3292155742411411</v>
      </c>
      <c r="CK29" s="29">
        <v>1.3108478365304397</v>
      </c>
      <c r="CL29" s="29"/>
      <c r="CM29" s="139"/>
      <c r="CN29" s="139"/>
      <c r="CO29" s="134"/>
      <c r="CP29" s="134"/>
      <c r="CQ29" s="134">
        <v>4.4776119402985072E-2</v>
      </c>
      <c r="CR29" s="146">
        <v>0.95522388059701491</v>
      </c>
      <c r="CS29" s="29">
        <v>1.2686567164179105E-2</v>
      </c>
      <c r="CT29" s="29"/>
      <c r="CU29" s="29"/>
      <c r="CV29" s="29"/>
      <c r="CW29" s="139"/>
      <c r="CX29" s="139"/>
      <c r="CY29" s="139"/>
      <c r="CZ29" s="13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</row>
    <row r="30" spans="1:132" ht="20.100000000000001" customHeight="1" x14ac:dyDescent="0.2">
      <c r="A30" s="5" t="s">
        <v>207</v>
      </c>
      <c r="C30" t="s">
        <v>206</v>
      </c>
      <c r="H30" s="6">
        <v>44.026325</v>
      </c>
      <c r="I30" s="6">
        <v>0.2896115428571428</v>
      </c>
      <c r="J30" s="6">
        <v>26.778914110753515</v>
      </c>
      <c r="K30" s="3">
        <v>0.12817515020172912</v>
      </c>
      <c r="L30" s="6">
        <v>6.3062131128722383</v>
      </c>
      <c r="M30" s="3">
        <v>8.2238114599999995E-2</v>
      </c>
      <c r="N30" s="6">
        <v>6.1252076156935509</v>
      </c>
      <c r="O30" s="7">
        <v>15.463853393371757</v>
      </c>
      <c r="P30" s="3">
        <v>0.32567478386167148</v>
      </c>
      <c r="Q30" s="3">
        <v>2.6827611111111108E-2</v>
      </c>
      <c r="R30" s="3"/>
      <c r="S30" s="3"/>
      <c r="T30" s="38">
        <f t="shared" si="0"/>
        <v>63.389230058879313</v>
      </c>
      <c r="U30" s="3"/>
      <c r="Y30" s="6"/>
      <c r="Z30" s="8">
        <v>669.08124999999995</v>
      </c>
      <c r="AB30" s="6"/>
      <c r="AD30" s="8">
        <v>240.04733333333331</v>
      </c>
      <c r="AE30" s="3"/>
      <c r="AF30" s="3"/>
      <c r="AG30" s="3"/>
      <c r="AH30" s="3"/>
      <c r="AI30" s="6">
        <v>12.930097262247839</v>
      </c>
      <c r="AJ30" s="8">
        <v>893.31304034582126</v>
      </c>
      <c r="AK30" s="8">
        <v>34</v>
      </c>
      <c r="AL30" s="7">
        <v>19.680060038424593</v>
      </c>
      <c r="AM30" s="8">
        <v>173.66906820365034</v>
      </c>
      <c r="AN30" s="8"/>
      <c r="AO30" s="7"/>
      <c r="AP30" s="8"/>
      <c r="AQ30" s="6"/>
      <c r="AR30" s="6"/>
      <c r="AS30" s="6"/>
      <c r="AT30" s="8">
        <v>0.21938040345821325</v>
      </c>
      <c r="AU30" s="8">
        <v>141.55475504322766</v>
      </c>
      <c r="AV30" s="8">
        <v>10.56634350935748</v>
      </c>
      <c r="AW30" s="8">
        <v>34.326609029779057</v>
      </c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8">
        <v>31.695986002470157</v>
      </c>
      <c r="BI30" s="6">
        <v>2.3760608789625364</v>
      </c>
      <c r="BJ30" s="7">
        <v>5.8930185518731992</v>
      </c>
      <c r="BK30" s="169">
        <v>0.78707397382123356</v>
      </c>
      <c r="BL30" s="7">
        <v>3.7329926152737749</v>
      </c>
      <c r="BM30" s="6">
        <v>1.134660932997118</v>
      </c>
      <c r="BN30" s="6">
        <v>0.74525477305475507</v>
      </c>
      <c r="BO30" s="6">
        <v>1.3803369410118054</v>
      </c>
      <c r="BP30" s="6">
        <v>0.49015579971181555</v>
      </c>
      <c r="BQ30" s="6">
        <v>1.6845259015909846</v>
      </c>
      <c r="BR30" s="6">
        <v>0.3760573061039692</v>
      </c>
      <c r="BS30" s="6">
        <v>1.0882800407115689</v>
      </c>
      <c r="BT30" s="6">
        <v>0.1652025284701355</v>
      </c>
      <c r="BU30" s="6">
        <v>1.0914120136887606</v>
      </c>
      <c r="BV30" s="3">
        <v>0.15410167507204608</v>
      </c>
      <c r="BW30" s="6">
        <v>0.90741972004940308</v>
      </c>
      <c r="BX30" s="6">
        <v>0.10622466378482227</v>
      </c>
      <c r="BY30" s="6"/>
      <c r="BZ30" s="7">
        <v>6.5020172910662835</v>
      </c>
      <c r="CA30" s="7">
        <v>2.479707275822054</v>
      </c>
      <c r="CB30" s="6"/>
      <c r="CC30" s="6"/>
      <c r="CD30" s="6"/>
      <c r="CE30" s="6">
        <v>0.33797890078221499</v>
      </c>
      <c r="CF30" s="6">
        <v>0.102123507616303</v>
      </c>
      <c r="CG30" s="6"/>
      <c r="CH30" s="6"/>
      <c r="CI30" s="6"/>
      <c r="CO30" s="16">
        <v>1.1535791678858738E-2</v>
      </c>
      <c r="CP30" s="16"/>
      <c r="CQ30" s="16">
        <v>5.2113513201838657E-2</v>
      </c>
      <c r="CR30" s="16">
        <v>0.99472275843779401</v>
      </c>
      <c r="CS30" s="16">
        <v>1.4008515132821924E-2</v>
      </c>
      <c r="CT30" s="16"/>
      <c r="CU30" s="16"/>
      <c r="CV30" s="16"/>
    </row>
    <row r="31" spans="1:132" s="36" customFormat="1" x14ac:dyDescent="0.2">
      <c r="A31" s="36" t="s">
        <v>553</v>
      </c>
      <c r="H31" s="34">
        <v>44.026325</v>
      </c>
      <c r="I31" s="34">
        <v>0.2896115428571428</v>
      </c>
      <c r="J31" s="34">
        <v>26.778914110753515</v>
      </c>
      <c r="K31" s="37">
        <v>0.12817515020172912</v>
      </c>
      <c r="L31" s="34">
        <v>6.3062131128722383</v>
      </c>
      <c r="M31" s="37">
        <v>8.2238114599999995E-2</v>
      </c>
      <c r="N31" s="34">
        <v>6.1252076156935509</v>
      </c>
      <c r="O31" s="72">
        <v>15.463853393371757</v>
      </c>
      <c r="P31" s="37">
        <v>0.32567478386167148</v>
      </c>
      <c r="Q31" s="37">
        <v>2.6827611111111108E-2</v>
      </c>
      <c r="R31" s="37">
        <v>0</v>
      </c>
      <c r="S31" s="34"/>
      <c r="T31" s="38">
        <f t="shared" si="0"/>
        <v>63.389230058879313</v>
      </c>
      <c r="U31" s="34"/>
      <c r="W31" s="34">
        <v>0</v>
      </c>
      <c r="X31" s="34">
        <v>0</v>
      </c>
      <c r="Y31" s="34">
        <v>0</v>
      </c>
      <c r="Z31" s="35">
        <v>669.08124999999995</v>
      </c>
      <c r="AA31" s="34">
        <v>0</v>
      </c>
      <c r="AB31" s="34">
        <v>0</v>
      </c>
      <c r="AC31" s="34">
        <v>0</v>
      </c>
      <c r="AD31" s="35">
        <v>240.04733333333331</v>
      </c>
      <c r="AE31" s="34">
        <v>0</v>
      </c>
      <c r="AF31" s="34">
        <v>0</v>
      </c>
      <c r="AG31" s="34">
        <v>0</v>
      </c>
      <c r="AH31" s="34">
        <v>0</v>
      </c>
      <c r="AI31" s="34">
        <v>12.930097262247839</v>
      </c>
      <c r="AJ31" s="35">
        <v>893.31304034582126</v>
      </c>
      <c r="AK31" s="35">
        <v>34</v>
      </c>
      <c r="AL31" s="72">
        <v>19.680060038424593</v>
      </c>
      <c r="AM31" s="35">
        <v>173.66906820365034</v>
      </c>
      <c r="AN31" s="35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5">
        <v>0.21938040345821325</v>
      </c>
      <c r="AU31" s="35">
        <v>141.55475504322766</v>
      </c>
      <c r="AV31" s="34">
        <v>10.56634350935748</v>
      </c>
      <c r="AW31" s="35">
        <v>34.326609029779057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5">
        <v>31.695986002470157</v>
      </c>
      <c r="BI31" s="34">
        <v>2.3760608789625364</v>
      </c>
      <c r="BJ31" s="34">
        <v>5.8930185518731992</v>
      </c>
      <c r="BK31" s="158">
        <v>0.83250135801560377</v>
      </c>
      <c r="BL31" s="72">
        <v>3.7329926152737749</v>
      </c>
      <c r="BM31" s="34">
        <v>1.134660932997118</v>
      </c>
      <c r="BN31" s="34">
        <v>0.74525477305475507</v>
      </c>
      <c r="BO31" s="34">
        <v>1.3803369410118054</v>
      </c>
      <c r="BP31" s="34">
        <v>0.49015579971181555</v>
      </c>
      <c r="BQ31" s="34">
        <v>1.6845259015909846</v>
      </c>
      <c r="BR31" s="34">
        <v>0.3760573061039692</v>
      </c>
      <c r="BS31" s="34">
        <v>1.0882800407115689</v>
      </c>
      <c r="BT31" s="34">
        <v>0.1652025284701355</v>
      </c>
      <c r="BU31" s="34">
        <v>1.0914120136887606</v>
      </c>
      <c r="BV31" s="37">
        <v>0.15410167507204608</v>
      </c>
      <c r="BW31" s="34">
        <v>0.90741972004940308</v>
      </c>
      <c r="BX31" s="34">
        <v>0.10622466378482227</v>
      </c>
      <c r="BY31" s="34">
        <v>0</v>
      </c>
      <c r="BZ31" s="72">
        <v>6.5020172910662835</v>
      </c>
      <c r="CA31" s="72">
        <v>2.479707275822054</v>
      </c>
      <c r="CB31" s="34">
        <v>0</v>
      </c>
      <c r="CC31" s="34">
        <v>0</v>
      </c>
      <c r="CD31" s="34">
        <v>0</v>
      </c>
      <c r="CE31" s="34">
        <v>0.33797890078221499</v>
      </c>
      <c r="CF31" s="34">
        <v>0.102123507616303</v>
      </c>
      <c r="CG31" s="34"/>
      <c r="CH31" s="34"/>
      <c r="CI31" s="34"/>
      <c r="DA31" s="30">
        <v>0.81224444171261678</v>
      </c>
      <c r="DB31" s="30">
        <v>0.77478657666399642</v>
      </c>
      <c r="DC31" s="30">
        <v>0.86775922336362488</v>
      </c>
      <c r="DD31" s="30">
        <v>0.87521519032217676</v>
      </c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</row>
    <row r="32" spans="1:132" x14ac:dyDescent="0.2">
      <c r="E32" s="8"/>
      <c r="F32" s="8"/>
      <c r="J32" s="6">
        <v>26.466121172160189</v>
      </c>
      <c r="P32" s="3"/>
      <c r="Q32" s="3"/>
      <c r="R32" s="3"/>
      <c r="S32" s="3"/>
      <c r="T32" s="38" t="e">
        <f t="shared" si="0"/>
        <v>#DIV/0!</v>
      </c>
      <c r="U32" s="3"/>
      <c r="X32" s="6"/>
      <c r="Z32" s="8"/>
      <c r="AE32" s="3"/>
      <c r="AF32" s="3"/>
      <c r="AG32" s="3"/>
      <c r="AH32" s="3"/>
      <c r="AI32" s="6"/>
      <c r="AJ32" s="8"/>
      <c r="AK32" s="6"/>
      <c r="AL32" s="7"/>
      <c r="AM32" s="8"/>
      <c r="AN32" s="8"/>
      <c r="AO32" s="7"/>
      <c r="AP32" s="8"/>
      <c r="AQ32" s="6"/>
      <c r="AR32" s="6"/>
      <c r="AS32" s="6"/>
      <c r="AT32" s="8"/>
      <c r="AU32" s="8"/>
      <c r="AV32" s="8"/>
      <c r="AW32" s="8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8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6"/>
      <c r="BV32" s="3"/>
      <c r="BW32" s="6"/>
      <c r="BX32" s="6"/>
      <c r="BY32" s="6"/>
      <c r="BZ32" s="7"/>
      <c r="CA32" s="7"/>
      <c r="CB32" s="6"/>
      <c r="CC32" s="6"/>
      <c r="CD32" s="6"/>
      <c r="CE32" s="6"/>
      <c r="CF32" s="6"/>
      <c r="CG32" s="6"/>
      <c r="CH32" s="6"/>
      <c r="CI32" s="6"/>
    </row>
    <row r="33" spans="1:104" x14ac:dyDescent="0.2">
      <c r="E33" s="8"/>
      <c r="F33" s="8"/>
      <c r="P33" s="3"/>
      <c r="Q33" s="3"/>
      <c r="R33" s="3"/>
      <c r="S33" s="3"/>
      <c r="T33" s="38" t="e">
        <f t="shared" si="0"/>
        <v>#DIV/0!</v>
      </c>
      <c r="U33" s="3"/>
      <c r="X33" s="6"/>
      <c r="Z33" s="8"/>
      <c r="AE33" s="3"/>
      <c r="AF33" s="3"/>
      <c r="AG33" s="3"/>
      <c r="AH33" s="3"/>
      <c r="AI33" s="6"/>
      <c r="AJ33" s="8"/>
      <c r="AK33" s="6"/>
      <c r="AL33" s="7"/>
      <c r="AM33" s="8"/>
      <c r="AN33" s="8"/>
      <c r="AO33" s="7"/>
      <c r="AP33" s="8"/>
      <c r="AQ33" s="6"/>
      <c r="AR33" s="6"/>
      <c r="AS33" s="6"/>
      <c r="AT33" s="8"/>
      <c r="AU33" s="8"/>
      <c r="AV33" s="8"/>
      <c r="AW33" s="8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8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6"/>
      <c r="BV33" s="3"/>
      <c r="BW33" s="6"/>
      <c r="BX33" s="6"/>
      <c r="BY33" s="6"/>
      <c r="BZ33" s="7"/>
      <c r="CA33" s="7"/>
      <c r="CB33" s="6"/>
      <c r="CC33" s="6"/>
      <c r="CD33" s="6"/>
      <c r="CE33" s="6"/>
      <c r="CF33" s="6"/>
      <c r="CG33" s="6"/>
      <c r="CH33" s="6"/>
      <c r="CI33" s="6"/>
    </row>
    <row r="34" spans="1:104" x14ac:dyDescent="0.2">
      <c r="A34" s="2"/>
      <c r="B34" s="2"/>
      <c r="C34" s="2"/>
      <c r="D34" s="2"/>
      <c r="E34" s="2"/>
      <c r="F34" s="2"/>
      <c r="H34" s="6"/>
      <c r="K34" s="3"/>
      <c r="P34" s="3"/>
      <c r="Q34" s="3"/>
      <c r="R34" s="3"/>
      <c r="S34" s="2"/>
      <c r="T34" s="38" t="e">
        <f t="shared" si="0"/>
        <v>#DIV/0!</v>
      </c>
      <c r="U34" s="2"/>
      <c r="V34" s="2"/>
      <c r="AC34" s="2"/>
      <c r="AD34" s="2"/>
      <c r="AE34" s="2"/>
      <c r="AF34" s="2"/>
      <c r="AG34" s="2"/>
      <c r="AH34" s="2"/>
      <c r="AI34" s="6"/>
      <c r="AJ34" s="8"/>
      <c r="AK34" s="2"/>
      <c r="AL34" s="7"/>
      <c r="AM34" s="8"/>
      <c r="AN34" s="8"/>
      <c r="AO34" s="7"/>
      <c r="AP34" s="2"/>
      <c r="AQ34" s="6"/>
      <c r="AR34" s="6"/>
      <c r="AS34" s="6"/>
      <c r="AT34" s="8"/>
      <c r="AU34" s="8"/>
      <c r="AV34" s="2"/>
      <c r="AW34" s="8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8"/>
      <c r="BI34" s="6"/>
      <c r="BJ34" s="2"/>
      <c r="BK34" s="2"/>
      <c r="BL34" s="7"/>
      <c r="BM34" s="6"/>
      <c r="BN34" s="6"/>
      <c r="BO34" s="6"/>
      <c r="BP34" s="6"/>
      <c r="BQ34" s="2"/>
      <c r="BR34" s="2"/>
      <c r="BS34" s="2"/>
      <c r="BT34" s="2"/>
      <c r="BU34" s="2"/>
      <c r="BV34" s="3"/>
      <c r="BW34" s="6"/>
      <c r="BX34" s="6"/>
      <c r="BY34" s="2"/>
      <c r="BZ34" s="7"/>
      <c r="CA34" s="7"/>
      <c r="CB34" s="2"/>
      <c r="CC34" s="2"/>
      <c r="CD34" s="2"/>
      <c r="CE34" s="6"/>
      <c r="CF34" s="6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</row>
    <row r="35" spans="1:104" x14ac:dyDescent="0.2">
      <c r="A35" t="s">
        <v>216</v>
      </c>
      <c r="C35" s="2"/>
      <c r="D35" t="s">
        <v>218</v>
      </c>
      <c r="E35" s="7">
        <v>11.4</v>
      </c>
      <c r="F35" s="8"/>
      <c r="H35" s="6"/>
      <c r="K35" s="3"/>
      <c r="L35" s="6">
        <v>5.05</v>
      </c>
      <c r="O35" s="7">
        <v>14.4</v>
      </c>
      <c r="P35" s="3">
        <v>0.41099999999999998</v>
      </c>
      <c r="Q35" s="3" t="s">
        <v>559</v>
      </c>
      <c r="R35" s="3"/>
      <c r="S35" s="2"/>
      <c r="T35" s="38">
        <f t="shared" si="0"/>
        <v>0</v>
      </c>
      <c r="U35" s="2"/>
      <c r="V35" s="2"/>
      <c r="AC35" s="2"/>
      <c r="AD35" s="2"/>
      <c r="AE35" s="2"/>
      <c r="AF35" s="2"/>
      <c r="AG35" s="2"/>
      <c r="AH35" s="2"/>
      <c r="AI35" s="6">
        <v>10.9</v>
      </c>
      <c r="AJ35" s="8">
        <v>894</v>
      </c>
      <c r="AK35" s="2"/>
      <c r="AL35" s="7">
        <v>15.8</v>
      </c>
      <c r="AM35" s="8">
        <v>140</v>
      </c>
      <c r="AN35" s="8"/>
      <c r="AO35" s="7"/>
      <c r="AP35" s="2"/>
      <c r="AQ35" s="6"/>
      <c r="AR35" s="6"/>
      <c r="AS35" s="6"/>
      <c r="AT35" s="8"/>
      <c r="AU35" s="8">
        <v>163</v>
      </c>
      <c r="AV35" s="2"/>
      <c r="AW35" s="8">
        <v>37</v>
      </c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8">
        <v>29</v>
      </c>
      <c r="BI35" s="6">
        <v>1.18</v>
      </c>
      <c r="BJ35" s="6">
        <v>2.9</v>
      </c>
      <c r="BK35" s="2"/>
      <c r="BL35" s="7" t="s">
        <v>558</v>
      </c>
      <c r="BM35" s="6">
        <v>0.59599999999999997</v>
      </c>
      <c r="BN35" s="6">
        <v>0.86599999999999999</v>
      </c>
      <c r="BO35" s="6"/>
      <c r="BP35" s="6">
        <v>0.14000000000000001</v>
      </c>
      <c r="BQ35" s="3"/>
      <c r="BR35" s="3"/>
      <c r="BS35" s="3"/>
      <c r="BT35" s="3"/>
      <c r="BU35" s="3">
        <v>0.59</v>
      </c>
      <c r="BV35" s="3">
        <v>0.1</v>
      </c>
      <c r="BW35" s="6">
        <v>0.46</v>
      </c>
      <c r="BX35" s="6">
        <v>0.06</v>
      </c>
      <c r="BY35" s="3"/>
      <c r="BZ35" s="7">
        <v>3.2</v>
      </c>
      <c r="CA35" s="7">
        <v>2.5</v>
      </c>
      <c r="CB35" s="2"/>
      <c r="CC35" s="2"/>
      <c r="CD35" s="2"/>
      <c r="CE35" s="6">
        <v>0.13300000000000001</v>
      </c>
      <c r="CF35" s="6" t="s">
        <v>548</v>
      </c>
      <c r="CG35" s="6">
        <v>4.436090225563909</v>
      </c>
      <c r="CH35" s="2"/>
      <c r="CI35" s="2"/>
      <c r="CJ35" s="2"/>
      <c r="CK35" s="2"/>
      <c r="CL35" s="2"/>
      <c r="CM35" s="2"/>
      <c r="CN35" s="2"/>
      <c r="CO35" s="134">
        <v>1.7857142857142856E-2</v>
      </c>
      <c r="CP35" s="134"/>
      <c r="CQ35" s="134"/>
      <c r="CR35" s="2"/>
      <c r="CS35" s="2"/>
      <c r="CT35" s="2"/>
      <c r="CU35" s="2"/>
      <c r="CV35" s="2"/>
      <c r="CW35" s="2"/>
      <c r="CX35" s="2"/>
      <c r="CY35" s="2"/>
      <c r="CZ35" s="2"/>
    </row>
    <row r="36" spans="1:104" x14ac:dyDescent="0.2">
      <c r="A36" t="s">
        <v>216</v>
      </c>
      <c r="C36" s="2"/>
      <c r="D36" t="s">
        <v>218</v>
      </c>
      <c r="E36" s="7">
        <v>16.100000000000001</v>
      </c>
      <c r="F36" s="8"/>
      <c r="H36" s="6"/>
      <c r="K36" s="3"/>
      <c r="L36" s="6">
        <v>4.12</v>
      </c>
      <c r="O36" s="7">
        <v>15</v>
      </c>
      <c r="P36" s="3">
        <v>0.441</v>
      </c>
      <c r="Q36" s="3" t="s">
        <v>548</v>
      </c>
      <c r="R36" s="3"/>
      <c r="S36" s="2"/>
      <c r="T36" s="38">
        <f t="shared" si="0"/>
        <v>0</v>
      </c>
      <c r="U36" s="2"/>
      <c r="V36" s="2"/>
      <c r="AC36" s="2"/>
      <c r="AD36" s="2"/>
      <c r="AE36" s="2"/>
      <c r="AF36" s="2"/>
      <c r="AG36" s="2"/>
      <c r="AH36" s="2"/>
      <c r="AI36" s="6">
        <v>8.23</v>
      </c>
      <c r="AJ36" s="8">
        <v>701</v>
      </c>
      <c r="AK36" s="2"/>
      <c r="AL36" s="7">
        <v>13</v>
      </c>
      <c r="AM36" s="8">
        <v>110</v>
      </c>
      <c r="AN36" s="8"/>
      <c r="AO36" s="7"/>
      <c r="AP36" s="2"/>
      <c r="AQ36" s="6"/>
      <c r="AR36" s="6"/>
      <c r="AS36" s="6"/>
      <c r="AT36" s="8"/>
      <c r="AU36" s="8">
        <v>180</v>
      </c>
      <c r="AV36" s="2"/>
      <c r="AW36" s="8">
        <v>36</v>
      </c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8">
        <v>25</v>
      </c>
      <c r="BI36" s="6">
        <v>1.06</v>
      </c>
      <c r="BJ36" s="2">
        <v>2.76</v>
      </c>
      <c r="BK36" s="2"/>
      <c r="BL36" s="7" t="s">
        <v>558</v>
      </c>
      <c r="BM36" s="6">
        <v>0.53400000000000003</v>
      </c>
      <c r="BN36" s="6">
        <v>0.93899999999999995</v>
      </c>
      <c r="BO36" s="6"/>
      <c r="BP36" s="6">
        <v>0.123</v>
      </c>
      <c r="BQ36" s="3"/>
      <c r="BR36" s="3"/>
      <c r="BS36" s="3"/>
      <c r="BT36" s="3"/>
      <c r="BU36" s="3">
        <v>0.47499999999999998</v>
      </c>
      <c r="BV36" s="3">
        <v>8.2000000000000003E-2</v>
      </c>
      <c r="BW36" s="6">
        <v>0.43</v>
      </c>
      <c r="BX36" s="6">
        <v>5.8000000000000003E-2</v>
      </c>
      <c r="BY36" s="3"/>
      <c r="BZ36" s="7">
        <v>3.8</v>
      </c>
      <c r="CA36" s="7">
        <v>6.6</v>
      </c>
      <c r="CB36" s="2"/>
      <c r="CC36" s="2"/>
      <c r="CD36" s="2"/>
      <c r="CE36" s="6">
        <v>0.1</v>
      </c>
      <c r="CF36" s="6" t="s">
        <v>380</v>
      </c>
      <c r="CG36" s="6">
        <v>4.7499999999999991</v>
      </c>
      <c r="CH36" s="2"/>
      <c r="CI36" s="2"/>
      <c r="CJ36" s="2"/>
      <c r="CK36" s="2"/>
      <c r="CL36" s="2"/>
      <c r="CM36" s="2"/>
      <c r="CN36" s="2"/>
      <c r="CO36" s="134"/>
      <c r="CP36" s="134"/>
      <c r="CQ36" s="134"/>
      <c r="CR36" s="2"/>
      <c r="CS36" s="2"/>
      <c r="CT36" s="2"/>
      <c r="CU36" s="2"/>
      <c r="CV36" s="2"/>
      <c r="CW36" s="2"/>
      <c r="CX36" s="2"/>
      <c r="CY36" s="2"/>
      <c r="CZ36" s="2"/>
    </row>
    <row r="37" spans="1:104" x14ac:dyDescent="0.2">
      <c r="A37" t="s">
        <v>228</v>
      </c>
      <c r="B37" s="2" t="s">
        <v>229</v>
      </c>
      <c r="C37" s="2" t="s">
        <v>230</v>
      </c>
      <c r="D37" s="2" t="s">
        <v>231</v>
      </c>
      <c r="E37" s="8">
        <v>75.2</v>
      </c>
      <c r="F37" s="8"/>
      <c r="H37" s="6"/>
      <c r="K37" s="3"/>
      <c r="L37" s="6">
        <v>4.1168000000000005</v>
      </c>
      <c r="P37" s="3">
        <v>0.43136000000000002</v>
      </c>
      <c r="Q37" s="3">
        <v>1.6262099999999998E-2</v>
      </c>
      <c r="R37" s="3"/>
      <c r="S37" s="3"/>
      <c r="T37" s="38">
        <f t="shared" si="0"/>
        <v>0</v>
      </c>
      <c r="U37" s="3"/>
      <c r="V37" s="2"/>
      <c r="Y37" s="2">
        <v>3.2</v>
      </c>
      <c r="Z37" s="2">
        <v>390</v>
      </c>
      <c r="AC37" s="3">
        <v>0.32</v>
      </c>
      <c r="AD37" s="2">
        <v>135</v>
      </c>
      <c r="AE37" s="3"/>
      <c r="AF37" s="3"/>
      <c r="AG37" s="3"/>
      <c r="AH37" s="3"/>
      <c r="AI37" s="6">
        <v>7.26</v>
      </c>
      <c r="AJ37" s="8">
        <v>660</v>
      </c>
      <c r="AK37" s="2"/>
      <c r="AL37" s="7">
        <v>13.2</v>
      </c>
      <c r="AM37" s="8">
        <v>150</v>
      </c>
      <c r="AN37" s="8">
        <v>10</v>
      </c>
      <c r="AO37" s="7">
        <v>4.8</v>
      </c>
      <c r="AP37" s="2"/>
      <c r="AQ37" s="6">
        <v>0.27</v>
      </c>
      <c r="AR37" s="6">
        <v>0.3</v>
      </c>
      <c r="AS37" s="6"/>
      <c r="AT37" s="8"/>
      <c r="AU37" s="8">
        <v>118</v>
      </c>
      <c r="AV37" s="2"/>
      <c r="AW37" s="8">
        <v>25</v>
      </c>
      <c r="AX37" s="6"/>
      <c r="AY37" s="6"/>
      <c r="AZ37" s="6"/>
      <c r="BA37" s="6"/>
      <c r="BB37" s="6"/>
      <c r="BC37" s="6"/>
      <c r="BD37" s="6"/>
      <c r="BE37" s="6"/>
      <c r="BF37" s="6"/>
      <c r="BG37" s="6">
        <v>0.05</v>
      </c>
      <c r="BH37" s="8">
        <v>30</v>
      </c>
      <c r="BI37" s="6">
        <v>1</v>
      </c>
      <c r="BJ37" s="2">
        <v>2.6</v>
      </c>
      <c r="BK37" s="2"/>
      <c r="BL37" s="7">
        <v>1.73</v>
      </c>
      <c r="BM37" s="6">
        <v>0.56999999999999995</v>
      </c>
      <c r="BN37" s="6">
        <v>0.87</v>
      </c>
      <c r="BO37" s="6">
        <v>1.1000000000000001</v>
      </c>
      <c r="BP37" s="6">
        <v>0.21</v>
      </c>
      <c r="BQ37" s="2">
        <v>1.1000000000000001</v>
      </c>
      <c r="BR37" s="2"/>
      <c r="BS37" s="2"/>
      <c r="BT37" s="2"/>
      <c r="BU37" s="2">
        <v>0.59499999999999997</v>
      </c>
      <c r="BV37" s="3">
        <v>8.8999999999999996E-2</v>
      </c>
      <c r="BW37" s="6">
        <v>0.54</v>
      </c>
      <c r="BX37" s="6">
        <v>7.0000000000000007E-2</v>
      </c>
      <c r="BY37" s="2">
        <v>0.3</v>
      </c>
      <c r="BZ37" s="7">
        <v>8.5</v>
      </c>
      <c r="CA37" s="7">
        <v>6</v>
      </c>
      <c r="CB37" s="2"/>
      <c r="CC37" s="2"/>
      <c r="CD37" s="2"/>
      <c r="CE37" s="6">
        <v>0.22</v>
      </c>
      <c r="CF37" s="6">
        <v>7.0000000000000007E-2</v>
      </c>
      <c r="CG37" s="2"/>
      <c r="CH37" s="6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</row>
    <row r="38" spans="1:104" x14ac:dyDescent="0.2">
      <c r="A38" t="s">
        <v>228</v>
      </c>
      <c r="B38" t="s">
        <v>199</v>
      </c>
      <c r="C38" s="2" t="s">
        <v>230</v>
      </c>
      <c r="D38" s="2" t="s">
        <v>231</v>
      </c>
      <c r="E38" s="8">
        <v>34.479999999999997</v>
      </c>
      <c r="F38" s="8"/>
      <c r="H38" s="6"/>
      <c r="K38" s="3"/>
      <c r="L38" s="6">
        <v>4.5027499999999998</v>
      </c>
      <c r="P38" s="3">
        <v>0.405748</v>
      </c>
      <c r="Q38" s="3">
        <v>1.6262099999999998E-2</v>
      </c>
      <c r="R38" s="3"/>
      <c r="S38" s="3"/>
      <c r="T38" s="38">
        <f t="shared" si="0"/>
        <v>0</v>
      </c>
      <c r="U38" s="3"/>
      <c r="V38" s="2"/>
      <c r="Y38" s="2">
        <v>3.5</v>
      </c>
      <c r="Z38" s="2">
        <v>520</v>
      </c>
      <c r="AC38" s="3">
        <v>0.30099999999999999</v>
      </c>
      <c r="AD38" s="2">
        <v>135</v>
      </c>
      <c r="AE38" s="3"/>
      <c r="AF38" s="3"/>
      <c r="AG38" s="3"/>
      <c r="AH38" s="3"/>
      <c r="AI38" s="6">
        <v>8.67</v>
      </c>
      <c r="AJ38" s="8">
        <v>740</v>
      </c>
      <c r="AK38" s="2"/>
      <c r="AL38" s="7">
        <v>15.4</v>
      </c>
      <c r="AM38" s="8">
        <v>105</v>
      </c>
      <c r="AN38" s="8">
        <v>11.5</v>
      </c>
      <c r="AO38" s="7">
        <v>3.53</v>
      </c>
      <c r="AP38" s="2"/>
      <c r="AQ38" s="6">
        <v>0.28000000000000003</v>
      </c>
      <c r="AR38" s="6">
        <v>0.4</v>
      </c>
      <c r="AS38" s="6"/>
      <c r="AT38" s="8"/>
      <c r="AU38" s="8">
        <v>156</v>
      </c>
      <c r="AV38" s="2"/>
      <c r="AW38" s="8">
        <v>25</v>
      </c>
      <c r="AX38" s="6"/>
      <c r="AY38" s="6"/>
      <c r="AZ38" s="6"/>
      <c r="BA38" s="6"/>
      <c r="BB38" s="6"/>
      <c r="BC38" s="6"/>
      <c r="BD38" s="3">
        <v>2.1999999999999999E-2</v>
      </c>
      <c r="BE38" s="3"/>
      <c r="BF38" s="6"/>
      <c r="BG38" s="6">
        <v>0.03</v>
      </c>
      <c r="BH38" s="8">
        <v>28</v>
      </c>
      <c r="BI38" s="6">
        <v>1.31</v>
      </c>
      <c r="BJ38" s="2">
        <v>3.37</v>
      </c>
      <c r="BK38" s="2"/>
      <c r="BL38" s="7">
        <v>1.99</v>
      </c>
      <c r="BM38" s="6">
        <v>0.63</v>
      </c>
      <c r="BN38" s="6">
        <v>0.84</v>
      </c>
      <c r="BO38" s="6">
        <v>0.91</v>
      </c>
      <c r="BP38" s="6">
        <v>0.17</v>
      </c>
      <c r="BQ38" s="2">
        <v>1.06</v>
      </c>
      <c r="BR38" s="2"/>
      <c r="BS38" s="2"/>
      <c r="BT38" s="2"/>
      <c r="BU38" s="2">
        <v>0.63</v>
      </c>
      <c r="BV38" s="3">
        <v>8.7999999999999995E-2</v>
      </c>
      <c r="BW38" s="6">
        <v>0.49</v>
      </c>
      <c r="BX38" s="6">
        <v>0.06</v>
      </c>
      <c r="BY38" s="2">
        <v>0.2</v>
      </c>
      <c r="BZ38" s="7">
        <v>1.3</v>
      </c>
      <c r="CA38" s="7">
        <v>1.3</v>
      </c>
      <c r="CB38" s="2"/>
      <c r="CC38" s="2"/>
      <c r="CD38" s="2"/>
      <c r="CE38" s="6">
        <v>0.2</v>
      </c>
      <c r="CF38" s="6">
        <v>7.0000000000000007E-2</v>
      </c>
      <c r="CG38" s="2"/>
      <c r="CH38" s="6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</row>
    <row r="39" spans="1:104" x14ac:dyDescent="0.2">
      <c r="A39" t="s">
        <v>228</v>
      </c>
      <c r="B39" s="2" t="s">
        <v>232</v>
      </c>
      <c r="C39" s="2" t="s">
        <v>230</v>
      </c>
      <c r="D39" s="2" t="s">
        <v>231</v>
      </c>
      <c r="E39" s="8">
        <v>11.41</v>
      </c>
      <c r="F39" s="8"/>
      <c r="H39" s="6"/>
      <c r="K39" s="3"/>
      <c r="L39" s="6">
        <v>4.4126950000000003</v>
      </c>
      <c r="P39" s="3">
        <v>0.48393200000000003</v>
      </c>
      <c r="Q39" s="3">
        <v>1.6864399999999998E-2</v>
      </c>
      <c r="R39" s="3"/>
      <c r="S39" s="3"/>
      <c r="T39" s="38">
        <f t="shared" si="0"/>
        <v>0</v>
      </c>
      <c r="U39" s="3"/>
      <c r="V39" s="2"/>
      <c r="Y39" s="2">
        <v>3.43</v>
      </c>
      <c r="Z39" s="2">
        <v>479</v>
      </c>
      <c r="AC39" s="3">
        <v>0.35899999999999999</v>
      </c>
      <c r="AD39" s="2">
        <v>140</v>
      </c>
      <c r="AE39" s="3"/>
      <c r="AF39" s="3"/>
      <c r="AG39" s="3"/>
      <c r="AH39" s="3"/>
      <c r="AI39" s="6">
        <v>9.11</v>
      </c>
      <c r="AJ39" s="8">
        <v>755</v>
      </c>
      <c r="AK39" s="2"/>
      <c r="AL39" s="7">
        <v>16.7</v>
      </c>
      <c r="AM39" s="8">
        <v>240</v>
      </c>
      <c r="AN39" s="8">
        <v>11</v>
      </c>
      <c r="AO39" s="7">
        <v>5.4</v>
      </c>
      <c r="AP39" s="2"/>
      <c r="AQ39" s="6">
        <v>0.3</v>
      </c>
      <c r="AR39" s="6"/>
      <c r="AS39" s="6"/>
      <c r="AT39" s="8"/>
      <c r="AU39" s="8">
        <v>150</v>
      </c>
      <c r="AV39" s="2"/>
      <c r="AW39" s="8">
        <v>39</v>
      </c>
      <c r="AX39" s="6"/>
      <c r="AY39" s="6"/>
      <c r="AZ39" s="6"/>
      <c r="BA39" s="6"/>
      <c r="BB39" s="6"/>
      <c r="BC39" s="6"/>
      <c r="BD39" s="3">
        <v>1.4999999999999999E-2</v>
      </c>
      <c r="BE39" s="3"/>
      <c r="BF39" s="6"/>
      <c r="BG39" s="6">
        <v>3.5000000000000003E-2</v>
      </c>
      <c r="BH39" s="8">
        <v>21</v>
      </c>
      <c r="BI39" s="6">
        <v>1.49</v>
      </c>
      <c r="BJ39" s="2">
        <v>3.32</v>
      </c>
      <c r="BK39" s="2"/>
      <c r="BL39" s="7">
        <v>2.15</v>
      </c>
      <c r="BM39" s="6">
        <v>0.62</v>
      </c>
      <c r="BN39" s="6">
        <v>1.01</v>
      </c>
      <c r="BO39" s="51">
        <v>0.84467174011431256</v>
      </c>
      <c r="BP39" s="6">
        <v>0.17</v>
      </c>
      <c r="BQ39" s="2">
        <v>1.1000000000000001</v>
      </c>
      <c r="BR39" s="2"/>
      <c r="BS39" s="2"/>
      <c r="BT39" s="2"/>
      <c r="BU39" s="2">
        <v>0.68</v>
      </c>
      <c r="BV39" s="3">
        <v>9.8000000000000004E-2</v>
      </c>
      <c r="BW39" s="6">
        <v>0.35</v>
      </c>
      <c r="BX39" s="6">
        <v>7.0000000000000007E-2</v>
      </c>
      <c r="BY39" s="2"/>
      <c r="BZ39" s="7">
        <v>7</v>
      </c>
      <c r="CA39" s="7">
        <v>3</v>
      </c>
      <c r="CB39" s="2"/>
      <c r="CC39" s="2"/>
      <c r="CD39" s="2"/>
      <c r="CE39" s="6">
        <v>0.19</v>
      </c>
      <c r="CF39" s="6">
        <v>0.06</v>
      </c>
      <c r="CG39" s="2"/>
      <c r="CH39" s="6"/>
      <c r="CI39" s="29">
        <v>0.70340405148637086</v>
      </c>
      <c r="CJ39" s="41">
        <v>0.88893157447184601</v>
      </c>
      <c r="CK39" s="29">
        <v>0.94167959438472104</v>
      </c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</row>
    <row r="40" spans="1:104" x14ac:dyDescent="0.2">
      <c r="A40" s="23" t="s">
        <v>228</v>
      </c>
      <c r="B40" s="23" t="s">
        <v>196</v>
      </c>
      <c r="C40" s="23" t="s">
        <v>236</v>
      </c>
      <c r="D40" s="23" t="s">
        <v>237</v>
      </c>
      <c r="E40" s="24">
        <v>128.6</v>
      </c>
      <c r="F40" s="24"/>
      <c r="H40" s="25">
        <v>44.7</v>
      </c>
      <c r="I40" s="25">
        <v>0.18</v>
      </c>
      <c r="J40" s="25">
        <v>28.9</v>
      </c>
      <c r="K40" s="26"/>
      <c r="L40" s="25">
        <v>4.32</v>
      </c>
      <c r="M40" s="26"/>
      <c r="N40" s="25">
        <v>5.0999999999999996</v>
      </c>
      <c r="O40" s="27">
        <v>16.2</v>
      </c>
      <c r="P40" s="26">
        <v>0.443</v>
      </c>
      <c r="Q40" s="26"/>
      <c r="T40" s="38">
        <f t="shared" si="0"/>
        <v>67.788288737298799</v>
      </c>
      <c r="V40" s="23"/>
      <c r="W40" s="23"/>
      <c r="X40" s="23"/>
      <c r="Y40" s="23"/>
      <c r="Z40" s="23">
        <v>440</v>
      </c>
      <c r="AA40" s="23"/>
      <c r="AB40" s="23"/>
      <c r="AC40" s="23"/>
      <c r="AD40" s="23"/>
      <c r="AF40" s="23"/>
      <c r="AG40" s="23"/>
      <c r="AH40" s="23"/>
      <c r="AI40" s="25">
        <v>8.7899999999999991</v>
      </c>
      <c r="AJ40" s="24">
        <v>715</v>
      </c>
      <c r="AK40" s="23"/>
      <c r="AL40" s="27">
        <v>14.6</v>
      </c>
      <c r="AM40" s="24">
        <v>131</v>
      </c>
      <c r="AN40" s="24"/>
      <c r="AO40" s="27"/>
      <c r="AP40" s="23"/>
      <c r="AQ40" s="25"/>
      <c r="AR40" s="25"/>
      <c r="AS40" s="25"/>
      <c r="AT40" s="24"/>
      <c r="AU40" s="24">
        <v>168</v>
      </c>
      <c r="AV40" s="23"/>
      <c r="AW40" s="24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4">
        <v>23</v>
      </c>
      <c r="BI40" s="25">
        <v>1.28</v>
      </c>
      <c r="BJ40" s="23">
        <v>3.52</v>
      </c>
      <c r="BK40" s="23"/>
      <c r="BL40" s="27"/>
      <c r="BM40" s="25">
        <v>0.63700000000000001</v>
      </c>
      <c r="BN40" s="25">
        <v>0.92600000000000005</v>
      </c>
      <c r="BO40" s="25"/>
      <c r="BP40" s="25">
        <v>0.13100000000000001</v>
      </c>
      <c r="BQ40" s="23"/>
      <c r="BR40" s="23"/>
      <c r="BS40" s="23"/>
      <c r="BT40" s="23"/>
      <c r="BU40" s="26">
        <v>0.60799999999999998</v>
      </c>
      <c r="BV40" s="26">
        <v>8.5999999999999993E-2</v>
      </c>
      <c r="BW40" s="25">
        <v>0.45</v>
      </c>
      <c r="BX40" s="25">
        <v>5.7000000000000002E-2</v>
      </c>
      <c r="BY40" s="23"/>
      <c r="BZ40" s="27">
        <v>4</v>
      </c>
      <c r="CA40" s="27">
        <v>3</v>
      </c>
      <c r="CB40" s="27"/>
      <c r="CC40" s="27"/>
      <c r="CD40" s="27"/>
      <c r="CE40" s="25">
        <v>0.24399999999999999</v>
      </c>
      <c r="CF40" s="25">
        <v>4.5999999999999999E-2</v>
      </c>
      <c r="CG40" s="23"/>
      <c r="CH40" s="23"/>
      <c r="CI40" s="23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</row>
    <row r="41" spans="1:104" x14ac:dyDescent="0.2">
      <c r="A41" s="23" t="s">
        <v>228</v>
      </c>
      <c r="B41" s="23" t="s">
        <v>196</v>
      </c>
      <c r="C41" s="23" t="s">
        <v>236</v>
      </c>
      <c r="D41" s="23" t="s">
        <v>237</v>
      </c>
      <c r="E41" s="24">
        <v>100.7</v>
      </c>
      <c r="F41" s="24"/>
      <c r="H41" s="25">
        <v>44.4</v>
      </c>
      <c r="I41" s="25">
        <v>0.18</v>
      </c>
      <c r="J41" s="25">
        <v>29.9</v>
      </c>
      <c r="K41" s="26"/>
      <c r="L41" s="25">
        <v>4.0599999999999996</v>
      </c>
      <c r="M41" s="26"/>
      <c r="N41" s="25">
        <v>5.05</v>
      </c>
      <c r="O41" s="27">
        <v>16.7</v>
      </c>
      <c r="P41" s="26">
        <v>0.439</v>
      </c>
      <c r="Q41" s="26"/>
      <c r="R41" s="26"/>
      <c r="S41" s="23"/>
      <c r="T41" s="38">
        <f t="shared" si="0"/>
        <v>68.917806586655757</v>
      </c>
      <c r="U41" s="23"/>
      <c r="V41" s="23"/>
      <c r="W41" s="23"/>
      <c r="X41" s="23"/>
      <c r="Y41" s="23"/>
      <c r="Z41" s="23">
        <v>430</v>
      </c>
      <c r="AA41" s="23"/>
      <c r="AB41" s="23"/>
      <c r="AC41" s="23"/>
      <c r="AD41" s="23"/>
      <c r="AE41" s="23"/>
      <c r="AF41" s="23"/>
      <c r="AG41" s="23"/>
      <c r="AH41" s="23"/>
      <c r="AI41" s="25">
        <v>8.1300000000000008</v>
      </c>
      <c r="AJ41" s="24">
        <v>670</v>
      </c>
      <c r="AK41" s="23"/>
      <c r="AL41" s="27">
        <v>14.2</v>
      </c>
      <c r="AM41" s="24">
        <v>134</v>
      </c>
      <c r="AN41" s="24"/>
      <c r="AO41" s="27"/>
      <c r="AP41" s="23"/>
      <c r="AQ41" s="25"/>
      <c r="AR41" s="25"/>
      <c r="AS41" s="25"/>
      <c r="AT41" s="24"/>
      <c r="AU41" s="24">
        <v>170</v>
      </c>
      <c r="AV41" s="23"/>
      <c r="AW41" s="24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4">
        <v>37</v>
      </c>
      <c r="BI41" s="25">
        <v>1.21</v>
      </c>
      <c r="BJ41" s="23">
        <v>3.35</v>
      </c>
      <c r="BK41" s="23"/>
      <c r="BL41" s="27"/>
      <c r="BM41" s="25">
        <v>0.60199999999999998</v>
      </c>
      <c r="BN41" s="25">
        <v>0.92700000000000005</v>
      </c>
      <c r="BO41" s="25"/>
      <c r="BP41" s="25">
        <v>0.13300000000000001</v>
      </c>
      <c r="BQ41" s="23"/>
      <c r="BR41" s="23"/>
      <c r="BS41" s="23"/>
      <c r="BT41" s="23"/>
      <c r="BU41" s="26">
        <v>0.58099999999999996</v>
      </c>
      <c r="BV41" s="26">
        <v>8.1000000000000003E-2</v>
      </c>
      <c r="BW41" s="25">
        <v>0.46</v>
      </c>
      <c r="BX41" s="25">
        <v>5.7000000000000002E-2</v>
      </c>
      <c r="BY41" s="23"/>
      <c r="BZ41" s="27">
        <v>3.8</v>
      </c>
      <c r="CA41" s="27">
        <v>3.1</v>
      </c>
      <c r="CB41" s="27"/>
      <c r="CC41" s="27"/>
      <c r="CD41" s="27"/>
      <c r="CE41" s="25">
        <v>0.19600000000000001</v>
      </c>
      <c r="CF41" s="25">
        <v>4.5999999999999999E-2</v>
      </c>
      <c r="CG41" s="23"/>
      <c r="CH41" s="23"/>
      <c r="CI41" s="23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</row>
    <row r="42" spans="1:104" x14ac:dyDescent="0.2">
      <c r="A42" s="23" t="s">
        <v>228</v>
      </c>
      <c r="B42" s="23" t="s">
        <v>196</v>
      </c>
      <c r="C42" s="23" t="s">
        <v>236</v>
      </c>
      <c r="D42" s="23" t="s">
        <v>237</v>
      </c>
      <c r="E42" s="24">
        <v>27.2</v>
      </c>
      <c r="F42" s="24"/>
      <c r="H42" s="25">
        <v>43.6</v>
      </c>
      <c r="I42" s="25">
        <v>0.19</v>
      </c>
      <c r="J42" s="25">
        <v>28.4</v>
      </c>
      <c r="K42" s="26"/>
      <c r="L42" s="25">
        <v>4.4400000000000004</v>
      </c>
      <c r="M42" s="26"/>
      <c r="N42" s="25">
        <v>4.91</v>
      </c>
      <c r="O42" s="27">
        <v>16.3</v>
      </c>
      <c r="P42" s="26">
        <v>0.44800000000000001</v>
      </c>
      <c r="Q42" s="26"/>
      <c r="R42" s="26"/>
      <c r="S42" s="23"/>
      <c r="T42" s="38">
        <f t="shared" si="0"/>
        <v>66.344710146789168</v>
      </c>
      <c r="U42" s="23"/>
      <c r="V42" s="23"/>
      <c r="W42" s="23"/>
      <c r="X42" s="23"/>
      <c r="Y42" s="23"/>
      <c r="Z42" s="23">
        <v>470</v>
      </c>
      <c r="AA42" s="23"/>
      <c r="AB42" s="23"/>
      <c r="AC42" s="23"/>
      <c r="AD42" s="23"/>
      <c r="AE42" s="23"/>
      <c r="AF42" s="23"/>
      <c r="AG42" s="23"/>
      <c r="AH42" s="23"/>
      <c r="AI42" s="25">
        <v>9.27</v>
      </c>
      <c r="AJ42" s="24">
        <v>737</v>
      </c>
      <c r="AK42" s="23"/>
      <c r="AL42" s="27">
        <v>15.6</v>
      </c>
      <c r="AM42" s="24">
        <v>143</v>
      </c>
      <c r="AN42" s="24"/>
      <c r="AO42" s="27"/>
      <c r="AP42" s="23"/>
      <c r="AQ42" s="25"/>
      <c r="AR42" s="25"/>
      <c r="AS42" s="25"/>
      <c r="AT42" s="24"/>
      <c r="AU42" s="24">
        <v>176</v>
      </c>
      <c r="AV42" s="23"/>
      <c r="AW42" s="24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4">
        <v>28</v>
      </c>
      <c r="BI42" s="25">
        <v>1.25</v>
      </c>
      <c r="BJ42" s="23">
        <v>3.26</v>
      </c>
      <c r="BK42" s="23"/>
      <c r="BL42" s="27"/>
      <c r="BM42" s="25">
        <v>0.61199999999999999</v>
      </c>
      <c r="BN42" s="25">
        <v>0.94299999999999995</v>
      </c>
      <c r="BO42" s="25"/>
      <c r="BP42" s="25">
        <v>0.13700000000000001</v>
      </c>
      <c r="BQ42" s="23"/>
      <c r="BR42" s="23"/>
      <c r="BS42" s="23"/>
      <c r="BT42" s="23"/>
      <c r="BU42" s="26">
        <v>0.6</v>
      </c>
      <c r="BV42" s="26">
        <v>8.6999999999999994E-2</v>
      </c>
      <c r="BW42" s="25">
        <v>0.46</v>
      </c>
      <c r="BX42" s="25">
        <v>5.3999999999999999E-2</v>
      </c>
      <c r="BY42" s="23"/>
      <c r="BZ42" s="27">
        <v>3.8</v>
      </c>
      <c r="CA42" s="27">
        <v>3.9</v>
      </c>
      <c r="CB42" s="27"/>
      <c r="CC42" s="27"/>
      <c r="CD42" s="27"/>
      <c r="CE42" s="25">
        <v>0.19</v>
      </c>
      <c r="CF42" s="25">
        <v>5.8000000000000003E-2</v>
      </c>
      <c r="CG42" s="23"/>
      <c r="CH42" s="23"/>
      <c r="CI42" s="23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</row>
    <row r="43" spans="1:104" x14ac:dyDescent="0.2">
      <c r="A43" s="23" t="s">
        <v>228</v>
      </c>
      <c r="B43" s="23"/>
      <c r="C43" s="23" t="s">
        <v>240</v>
      </c>
      <c r="D43" s="23" t="s">
        <v>999</v>
      </c>
      <c r="E43" s="24">
        <v>81.900000000000006</v>
      </c>
      <c r="F43" s="24" t="s">
        <v>870</v>
      </c>
      <c r="H43" s="25">
        <v>45.56709</v>
      </c>
      <c r="I43" s="25">
        <v>0.11678100000000001</v>
      </c>
      <c r="J43" s="25">
        <v>28.720399999999998</v>
      </c>
      <c r="K43" s="26">
        <v>9.4711680000000006E-2</v>
      </c>
      <c r="L43" s="25">
        <v>4.4126950000000003</v>
      </c>
      <c r="M43" s="26">
        <v>6.8046239999999994E-2</v>
      </c>
      <c r="N43" s="25">
        <v>6.2849570000000003</v>
      </c>
      <c r="O43" s="27">
        <v>15.3912</v>
      </c>
      <c r="P43" s="26">
        <v>0.46371200000000001</v>
      </c>
      <c r="Q43" s="26">
        <v>4.4208820000000003E-2</v>
      </c>
      <c r="R43" s="26"/>
      <c r="S43" s="23"/>
      <c r="T43" s="38">
        <f t="shared" si="0"/>
        <v>71.742970236955216</v>
      </c>
      <c r="U43" s="23"/>
      <c r="V43" s="23">
        <v>21.3</v>
      </c>
      <c r="W43" s="23">
        <v>7.0000000000000007E-2</v>
      </c>
      <c r="X43" s="23">
        <v>15.2</v>
      </c>
      <c r="Y43" s="23">
        <v>3.43</v>
      </c>
      <c r="Z43" s="23">
        <v>527</v>
      </c>
      <c r="AA43" s="23">
        <v>3.79</v>
      </c>
      <c r="AB43" s="23">
        <v>11</v>
      </c>
      <c r="AC43" s="23">
        <v>0.34399999999999997</v>
      </c>
      <c r="AD43" s="23">
        <v>3.6700000000000003E-2</v>
      </c>
      <c r="AE43" s="23"/>
      <c r="AF43" s="23"/>
      <c r="AG43" s="23"/>
      <c r="AH43" s="23"/>
      <c r="AI43" s="25">
        <v>8.56</v>
      </c>
      <c r="AJ43" s="24">
        <v>648</v>
      </c>
      <c r="AK43" s="23">
        <v>35.1</v>
      </c>
      <c r="AL43" s="27">
        <v>16.2</v>
      </c>
      <c r="AM43" s="24">
        <v>130</v>
      </c>
      <c r="AN43" s="24"/>
      <c r="AO43" s="27">
        <v>3.65</v>
      </c>
      <c r="AP43" s="23"/>
      <c r="AQ43" s="25"/>
      <c r="AR43" s="25"/>
      <c r="AS43" s="25"/>
      <c r="AT43" s="24"/>
      <c r="AU43" s="24"/>
      <c r="AV43" s="23"/>
      <c r="AW43" s="24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4">
        <v>41</v>
      </c>
      <c r="BI43" s="25">
        <v>1.28</v>
      </c>
      <c r="BJ43" s="23">
        <v>3.15</v>
      </c>
      <c r="BK43" s="23">
        <v>0.45600000000000002</v>
      </c>
      <c r="BL43" s="27">
        <v>1.99</v>
      </c>
      <c r="BM43" s="25">
        <v>0.58599999999999997</v>
      </c>
      <c r="BN43" s="25">
        <v>0.89400000000000002</v>
      </c>
      <c r="BO43" s="25">
        <v>0.69199999999999995</v>
      </c>
      <c r="BP43" s="25">
        <v>0.129</v>
      </c>
      <c r="BQ43" s="23">
        <v>0.87</v>
      </c>
      <c r="BR43" s="23">
        <v>0.19400000000000001</v>
      </c>
      <c r="BS43" s="23">
        <v>0.55900000000000005</v>
      </c>
      <c r="BT43" s="23">
        <v>8.2699999999999996E-2</v>
      </c>
      <c r="BU43" s="26">
        <v>0.54700000000000004</v>
      </c>
      <c r="BV43" s="26">
        <v>8.1299999999999997E-2</v>
      </c>
      <c r="BW43" s="25">
        <v>0.45400000000000001</v>
      </c>
      <c r="BX43" s="25"/>
      <c r="BY43" s="23"/>
      <c r="BZ43" s="27"/>
      <c r="CA43" s="27"/>
      <c r="CB43" s="27"/>
      <c r="CC43" s="27"/>
      <c r="CD43" s="27"/>
      <c r="CE43" s="25">
        <v>0.185</v>
      </c>
      <c r="CF43" s="25">
        <v>5.2999999999999999E-2</v>
      </c>
      <c r="CG43" s="23"/>
      <c r="CH43" s="23"/>
      <c r="CI43" s="23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</row>
    <row r="44" spans="1:104" x14ac:dyDescent="0.2">
      <c r="A44" s="23" t="s">
        <v>228</v>
      </c>
      <c r="B44" s="23"/>
      <c r="C44" s="23" t="s">
        <v>240</v>
      </c>
      <c r="D44" s="23" t="s">
        <v>999</v>
      </c>
      <c r="E44" s="24">
        <v>92.8</v>
      </c>
      <c r="F44" s="24" t="s">
        <v>870</v>
      </c>
      <c r="H44" s="25">
        <v>44.497440000000005</v>
      </c>
      <c r="I44" s="25">
        <v>0.18017639999999999</v>
      </c>
      <c r="J44" s="25">
        <v>28.53145</v>
      </c>
      <c r="K44" s="26">
        <v>8.84268E-2</v>
      </c>
      <c r="L44" s="25">
        <v>4.4512900000000002</v>
      </c>
      <c r="M44" s="26">
        <v>6.8304479999999987E-2</v>
      </c>
      <c r="N44" s="25">
        <v>5.5718880000000004</v>
      </c>
      <c r="O44" s="27">
        <v>15.3912</v>
      </c>
      <c r="P44" s="26">
        <v>0.53515600000000008</v>
      </c>
      <c r="Q44" s="26">
        <v>1.2889219999999998E-2</v>
      </c>
      <c r="R44" s="26"/>
      <c r="S44" s="23"/>
      <c r="T44" s="38">
        <f t="shared" si="0"/>
        <v>69.053341305972509</v>
      </c>
      <c r="U44" s="23"/>
      <c r="V44" s="23">
        <v>20.8</v>
      </c>
      <c r="W44" s="23">
        <v>0.108</v>
      </c>
      <c r="X44" s="23">
        <v>15.1</v>
      </c>
      <c r="Y44" s="23">
        <v>3.46</v>
      </c>
      <c r="Z44" s="23">
        <v>529</v>
      </c>
      <c r="AA44" s="23">
        <v>3.36</v>
      </c>
      <c r="AB44" s="23">
        <v>11</v>
      </c>
      <c r="AC44" s="23">
        <v>0.39700000000000002</v>
      </c>
      <c r="AD44" s="23">
        <v>1.0699999999999999E-2</v>
      </c>
      <c r="AE44" s="23"/>
      <c r="AF44" s="23"/>
      <c r="AG44" s="23"/>
      <c r="AH44" s="23"/>
      <c r="AI44" s="25">
        <v>10.32</v>
      </c>
      <c r="AJ44" s="24">
        <v>605</v>
      </c>
      <c r="AK44" s="23">
        <v>18.5</v>
      </c>
      <c r="AL44" s="27">
        <v>14</v>
      </c>
      <c r="AM44" s="24">
        <v>110</v>
      </c>
      <c r="AN44" s="24"/>
      <c r="AO44" s="27">
        <v>2.86</v>
      </c>
      <c r="AP44" s="23"/>
      <c r="AQ44" s="25"/>
      <c r="AR44" s="25"/>
      <c r="AS44" s="25"/>
      <c r="AT44" s="24"/>
      <c r="AU44" s="24"/>
      <c r="AV44" s="23"/>
      <c r="AW44" s="24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4">
        <v>48.2</v>
      </c>
      <c r="BI44" s="25">
        <v>1.34</v>
      </c>
      <c r="BJ44" s="23">
        <v>3.26</v>
      </c>
      <c r="BK44" s="23">
        <v>0.50900000000000001</v>
      </c>
      <c r="BL44" s="27">
        <v>2.21</v>
      </c>
      <c r="BM44" s="25">
        <v>0.70799999999999996</v>
      </c>
      <c r="BN44" s="25">
        <v>0.98799999999999999</v>
      </c>
      <c r="BO44" s="25">
        <v>0.91500000000000004</v>
      </c>
      <c r="BP44" s="25">
        <v>0.16800000000000001</v>
      </c>
      <c r="BQ44" s="23">
        <v>1.1599999999999999</v>
      </c>
      <c r="BR44" s="23">
        <v>0.253</v>
      </c>
      <c r="BS44" s="23">
        <v>0.76</v>
      </c>
      <c r="BT44" s="23">
        <v>0.113</v>
      </c>
      <c r="BU44" s="26">
        <v>0.747</v>
      </c>
      <c r="BV44" s="26">
        <v>0.111</v>
      </c>
      <c r="BW44" s="25">
        <v>0.40799999999999997</v>
      </c>
      <c r="BX44" s="25"/>
      <c r="BY44" s="23"/>
      <c r="BZ44" s="27"/>
      <c r="CA44" s="27"/>
      <c r="CB44" s="27"/>
      <c r="CC44" s="27"/>
      <c r="CD44" s="27"/>
      <c r="CE44" s="25">
        <v>0.17100000000000001</v>
      </c>
      <c r="CF44" s="25">
        <v>5.1799999999999999E-2</v>
      </c>
      <c r="CG44" s="23"/>
      <c r="CH44" s="23"/>
      <c r="CI44" s="23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</row>
    <row r="45" spans="1:104" x14ac:dyDescent="0.2">
      <c r="A45" s="23" t="s">
        <v>228</v>
      </c>
      <c r="B45" s="23"/>
      <c r="C45" s="23" t="s">
        <v>240</v>
      </c>
      <c r="D45" s="23" t="s">
        <v>999</v>
      </c>
      <c r="E45" s="24">
        <v>238.6</v>
      </c>
      <c r="F45" s="24" t="s">
        <v>871</v>
      </c>
      <c r="H45" s="25">
        <v>44.069580000000002</v>
      </c>
      <c r="I45" s="25">
        <v>0.23356200000000002</v>
      </c>
      <c r="J45" s="25">
        <v>30.231999999999999</v>
      </c>
      <c r="K45" s="26">
        <v>0.10991231999999999</v>
      </c>
      <c r="L45" s="25">
        <v>5.0044849999999999</v>
      </c>
      <c r="M45" s="26">
        <v>7.5664319999999993E-2</v>
      </c>
      <c r="N45" s="25">
        <v>5.5387219999999999</v>
      </c>
      <c r="O45" s="27">
        <v>15.810960000000001</v>
      </c>
      <c r="P45" s="26">
        <v>0.50280400000000003</v>
      </c>
      <c r="Q45" s="26">
        <v>4.8304459999999994E-2</v>
      </c>
      <c r="R45" s="26"/>
      <c r="S45" s="23"/>
      <c r="T45" s="38">
        <f t="shared" si="0"/>
        <v>66.362787422434039</v>
      </c>
      <c r="U45" s="23"/>
      <c r="V45" s="23">
        <v>20.6</v>
      </c>
      <c r="W45" s="23">
        <v>0.14000000000000001</v>
      </c>
      <c r="X45" s="23">
        <v>16</v>
      </c>
      <c r="Y45" s="23">
        <v>3.89</v>
      </c>
      <c r="Z45" s="23">
        <v>586</v>
      </c>
      <c r="AA45" s="23">
        <v>3.34</v>
      </c>
      <c r="AB45" s="23">
        <v>11.3</v>
      </c>
      <c r="AC45" s="23">
        <v>0.373</v>
      </c>
      <c r="AD45" s="23">
        <v>4.0099999999999997E-2</v>
      </c>
      <c r="AE45" s="23"/>
      <c r="AF45" s="23"/>
      <c r="AG45" s="23"/>
      <c r="AH45" s="23"/>
      <c r="AI45" s="25">
        <v>10.34</v>
      </c>
      <c r="AJ45" s="24">
        <v>752</v>
      </c>
      <c r="AK45" s="23">
        <v>38.799999999999997</v>
      </c>
      <c r="AL45" s="27">
        <v>16.3</v>
      </c>
      <c r="AM45" s="24">
        <v>115</v>
      </c>
      <c r="AN45" s="24"/>
      <c r="AO45" s="27"/>
      <c r="AP45" s="23"/>
      <c r="AQ45" s="25"/>
      <c r="AR45" s="25"/>
      <c r="AS45" s="25"/>
      <c r="AT45" s="24"/>
      <c r="AU45" s="24"/>
      <c r="AV45" s="23"/>
      <c r="AW45" s="24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4">
        <v>44.8</v>
      </c>
      <c r="BI45" s="25">
        <v>1.3</v>
      </c>
      <c r="BJ45" s="23">
        <v>3.25</v>
      </c>
      <c r="BK45" s="23">
        <v>0.46400000000000002</v>
      </c>
      <c r="BL45" s="27">
        <v>2</v>
      </c>
      <c r="BM45" s="25">
        <v>0.58399999999999996</v>
      </c>
      <c r="BN45" s="25">
        <v>0.92800000000000005</v>
      </c>
      <c r="BO45" s="25">
        <v>0.70199999999999996</v>
      </c>
      <c r="BP45" s="25">
        <v>0.129</v>
      </c>
      <c r="BQ45" s="23">
        <v>0.873</v>
      </c>
      <c r="BR45" s="23">
        <v>0.19400000000000001</v>
      </c>
      <c r="BS45" s="23">
        <v>0.56999999999999995</v>
      </c>
      <c r="BT45" s="23">
        <v>8.4699999999999998E-2</v>
      </c>
      <c r="BU45" s="26">
        <v>0.58899999999999997</v>
      </c>
      <c r="BV45" s="26">
        <v>8.4400000000000003E-2</v>
      </c>
      <c r="BW45" s="25">
        <v>0.4</v>
      </c>
      <c r="BX45" s="25"/>
      <c r="BY45" s="23"/>
      <c r="BZ45" s="27"/>
      <c r="CA45" s="27"/>
      <c r="CB45" s="27"/>
      <c r="CC45" s="27"/>
      <c r="CD45" s="27"/>
      <c r="CE45" s="25">
        <v>0.191</v>
      </c>
      <c r="CF45" s="25">
        <v>5.6399999999999999E-2</v>
      </c>
      <c r="CG45" s="23"/>
      <c r="CH45" s="23"/>
      <c r="CI45" s="23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</row>
    <row r="46" spans="1:104" x14ac:dyDescent="0.2">
      <c r="T46" s="38" t="e">
        <f t="shared" si="0"/>
        <v>#DIV/0!</v>
      </c>
    </row>
    <row r="47" spans="1:104" x14ac:dyDescent="0.2">
      <c r="T47" s="38" t="e">
        <f t="shared" si="0"/>
        <v>#DIV/0!</v>
      </c>
    </row>
    <row r="48" spans="1:104" x14ac:dyDescent="0.2">
      <c r="T48" s="38" t="e">
        <f t="shared" si="0"/>
        <v>#DIV/0!</v>
      </c>
    </row>
    <row r="49" spans="1:132" x14ac:dyDescent="0.2">
      <c r="T49" s="38" t="e">
        <f t="shared" si="0"/>
        <v>#DIV/0!</v>
      </c>
    </row>
    <row r="50" spans="1:132" x14ac:dyDescent="0.2">
      <c r="A50" s="23"/>
      <c r="B50" s="23"/>
      <c r="C50" s="23"/>
      <c r="D50" s="23"/>
      <c r="E50" s="24"/>
      <c r="F50" s="24"/>
      <c r="H50" s="25"/>
      <c r="I50" s="25"/>
      <c r="J50" s="25"/>
      <c r="K50" s="26"/>
      <c r="L50" s="25"/>
      <c r="M50" s="26"/>
      <c r="N50" s="25"/>
      <c r="O50" s="27"/>
      <c r="P50" s="26"/>
      <c r="Q50" s="26"/>
      <c r="R50" s="26"/>
      <c r="S50" s="23"/>
      <c r="T50" s="38" t="e">
        <f t="shared" si="0"/>
        <v>#DIV/0!</v>
      </c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5"/>
      <c r="AJ50" s="24"/>
      <c r="AK50" s="23"/>
      <c r="AL50" s="27"/>
      <c r="AM50" s="24"/>
      <c r="AN50" s="24"/>
      <c r="AO50" s="27"/>
      <c r="AP50" s="23"/>
      <c r="AQ50" s="25"/>
      <c r="AR50" s="25"/>
      <c r="AS50" s="25"/>
      <c r="AT50" s="24"/>
      <c r="AU50" s="24"/>
      <c r="AV50" s="23"/>
      <c r="AW50" s="24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4"/>
      <c r="BI50" s="25"/>
      <c r="BJ50" s="23"/>
      <c r="BK50" s="23"/>
      <c r="BL50" s="27"/>
      <c r="BM50" s="25"/>
      <c r="BN50" s="25"/>
      <c r="BO50" s="25"/>
      <c r="BP50" s="25"/>
      <c r="BQ50" s="23"/>
      <c r="BR50" s="23"/>
      <c r="BS50" s="23"/>
      <c r="BT50" s="23"/>
      <c r="BU50" s="26"/>
      <c r="BV50" s="26"/>
      <c r="BW50" s="25"/>
      <c r="BX50" s="25"/>
      <c r="BY50" s="23"/>
      <c r="BZ50" s="27"/>
      <c r="CA50" s="27"/>
      <c r="CB50" s="27"/>
      <c r="CC50" s="27"/>
      <c r="CD50" s="27"/>
      <c r="CE50" s="25"/>
      <c r="CF50" s="25"/>
      <c r="CG50" s="23"/>
      <c r="CH50" s="23"/>
      <c r="CI50" s="23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</row>
    <row r="51" spans="1:132" x14ac:dyDescent="0.2">
      <c r="A51" s="2"/>
      <c r="B51" s="2"/>
      <c r="C51" s="2"/>
      <c r="D51" s="2"/>
      <c r="H51" s="6"/>
      <c r="K51" s="3"/>
      <c r="P51" s="3"/>
      <c r="Q51" s="3"/>
      <c r="R51" s="3"/>
      <c r="S51" s="2"/>
      <c r="T51" s="38" t="e">
        <f t="shared" si="0"/>
        <v>#DIV/0!</v>
      </c>
      <c r="U51" s="2"/>
      <c r="V51" s="2"/>
      <c r="AC51" s="2"/>
      <c r="AD51" s="2"/>
      <c r="AE51" s="2"/>
      <c r="AF51" s="2"/>
      <c r="AG51" s="2"/>
      <c r="AH51" s="2"/>
      <c r="AI51" s="6"/>
      <c r="AJ51" s="8"/>
      <c r="AK51" s="2"/>
      <c r="AL51" s="7"/>
      <c r="AM51" s="8"/>
      <c r="AN51" s="8"/>
      <c r="AO51" s="7"/>
      <c r="AP51" s="2"/>
      <c r="AQ51" s="6"/>
      <c r="AR51" s="6"/>
      <c r="AS51" s="6"/>
      <c r="AT51" s="8"/>
      <c r="AU51" s="8"/>
      <c r="AV51" s="2"/>
      <c r="AW51" s="8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8"/>
      <c r="BI51" s="6"/>
      <c r="BJ51" s="2"/>
      <c r="BK51" s="2"/>
      <c r="BL51" s="7"/>
      <c r="BM51" s="6"/>
      <c r="BN51" s="6"/>
      <c r="BO51" s="6"/>
      <c r="BP51" s="6"/>
      <c r="BQ51" s="2"/>
      <c r="BR51" s="2"/>
      <c r="BS51" s="2"/>
      <c r="BT51" s="2"/>
      <c r="BU51" s="2"/>
      <c r="BV51" s="3"/>
      <c r="BW51" s="6"/>
      <c r="BX51" s="6"/>
      <c r="BY51" s="2"/>
      <c r="BZ51" s="7"/>
      <c r="CA51" s="7"/>
      <c r="CB51" s="2"/>
      <c r="CC51" s="2"/>
      <c r="CD51" s="2"/>
      <c r="CE51" s="6"/>
      <c r="CF51" s="6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</row>
    <row r="52" spans="1:132" x14ac:dyDescent="0.2">
      <c r="A52" s="2"/>
      <c r="B52" s="2"/>
      <c r="C52" s="2"/>
      <c r="D52" s="2"/>
      <c r="H52" s="6"/>
      <c r="K52" s="3"/>
      <c r="P52" s="3"/>
      <c r="Q52" s="3"/>
      <c r="R52" s="3"/>
      <c r="S52" s="2"/>
      <c r="T52" s="38" t="e">
        <f t="shared" si="0"/>
        <v>#DIV/0!</v>
      </c>
      <c r="U52" s="2"/>
      <c r="V52" s="2"/>
      <c r="AC52" s="2"/>
      <c r="AD52" s="2"/>
      <c r="AE52" s="2"/>
      <c r="AF52" s="2"/>
      <c r="AG52" s="2"/>
      <c r="AH52" s="2"/>
      <c r="AI52" s="6"/>
      <c r="AJ52" s="8"/>
      <c r="AK52" s="2"/>
      <c r="AL52" s="7"/>
      <c r="AM52" s="8"/>
      <c r="AN52" s="8"/>
      <c r="AO52" s="7"/>
      <c r="AP52" s="2"/>
      <c r="AQ52" s="6"/>
      <c r="AR52" s="6"/>
      <c r="AS52" s="6"/>
      <c r="AT52" s="8"/>
      <c r="AU52" s="8"/>
      <c r="AV52" s="2"/>
      <c r="AW52" s="8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8"/>
      <c r="BI52" s="6"/>
      <c r="BJ52" s="2"/>
      <c r="BK52" s="2"/>
      <c r="BL52" s="7"/>
      <c r="BM52" s="6"/>
      <c r="BN52" s="6"/>
      <c r="BO52" s="6"/>
      <c r="BP52" s="6"/>
      <c r="BQ52" s="2"/>
      <c r="BR52" s="2"/>
      <c r="BS52" s="2"/>
      <c r="BT52" s="2"/>
      <c r="BU52" s="2"/>
      <c r="BV52" s="3"/>
      <c r="BW52" s="6"/>
      <c r="BX52" s="6"/>
      <c r="BY52" s="2"/>
      <c r="BZ52" s="7"/>
      <c r="CA52" s="7"/>
      <c r="CB52" s="2"/>
      <c r="CC52" s="2"/>
      <c r="CD52" s="2"/>
      <c r="CE52" s="6"/>
      <c r="CF52" s="6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</row>
    <row r="53" spans="1:132" x14ac:dyDescent="0.2">
      <c r="A53" t="s">
        <v>228</v>
      </c>
      <c r="B53" s="2" t="s">
        <v>196</v>
      </c>
      <c r="C53" s="2" t="s">
        <v>233</v>
      </c>
      <c r="D53" t="s">
        <v>233</v>
      </c>
      <c r="E53" s="8">
        <v>92.4</v>
      </c>
      <c r="F53" s="8"/>
      <c r="H53" s="6">
        <v>44</v>
      </c>
      <c r="I53" s="6">
        <v>0.17</v>
      </c>
      <c r="J53" s="6">
        <v>30.6</v>
      </c>
      <c r="L53" s="6">
        <v>3.8200000000000003</v>
      </c>
      <c r="M53" s="396"/>
      <c r="N53" s="6">
        <v>4.62</v>
      </c>
      <c r="O53" s="7">
        <v>16.25</v>
      </c>
      <c r="P53" s="3">
        <v>0.441</v>
      </c>
      <c r="Q53" s="3"/>
      <c r="R53" s="3"/>
      <c r="S53" s="2"/>
      <c r="T53" s="38">
        <f t="shared" si="0"/>
        <v>68.313539407495284</v>
      </c>
      <c r="U53" s="2"/>
      <c r="V53" s="2"/>
      <c r="Y53" s="6"/>
      <c r="Z53" s="8"/>
      <c r="AC53" s="2"/>
      <c r="AD53" s="2"/>
      <c r="AF53" s="2"/>
      <c r="AG53" s="2"/>
      <c r="AH53" s="2"/>
      <c r="AI53" s="6"/>
      <c r="AJ53" s="8"/>
      <c r="AK53" s="6"/>
      <c r="AL53" s="7"/>
      <c r="AM53" s="8"/>
      <c r="AN53" s="8"/>
      <c r="AO53" s="7"/>
      <c r="AP53" s="8"/>
      <c r="AQ53" s="6"/>
      <c r="AR53" s="6"/>
      <c r="AS53" s="6"/>
      <c r="AT53" s="8"/>
      <c r="AU53" s="8"/>
      <c r="AV53" s="54"/>
      <c r="AW53" s="8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8"/>
      <c r="BI53" s="6"/>
      <c r="BJ53" s="6"/>
      <c r="BK53" s="51"/>
      <c r="BL53" s="54"/>
      <c r="BM53" s="6"/>
      <c r="BN53" s="6"/>
      <c r="BO53" s="51"/>
      <c r="BP53" s="6"/>
      <c r="BQ53" s="52"/>
      <c r="BR53" s="52"/>
      <c r="BS53" s="52"/>
      <c r="BT53" s="53"/>
      <c r="BU53" s="6"/>
      <c r="BV53" s="3"/>
      <c r="BW53" s="6"/>
      <c r="BX53" s="6"/>
      <c r="BY53" s="3"/>
      <c r="BZ53" s="7"/>
      <c r="CA53" s="7"/>
      <c r="CB53" s="7"/>
      <c r="CC53" s="7"/>
      <c r="CD53" s="7"/>
      <c r="CE53" s="6"/>
      <c r="CF53" s="6"/>
      <c r="CG53" s="3"/>
      <c r="CH53" s="3"/>
      <c r="CI53" s="29"/>
      <c r="CJ53" s="41"/>
      <c r="CK53" s="29"/>
      <c r="CL53" s="29"/>
      <c r="CM53" s="29"/>
      <c r="CN53" s="29"/>
      <c r="CO53" s="29"/>
      <c r="CP53" s="29"/>
      <c r="CQ53" s="29">
        <v>4.4502617801047119E-2</v>
      </c>
      <c r="CR53" s="30">
        <v>1.2094240837696335</v>
      </c>
      <c r="CS53" s="29"/>
      <c r="CT53" s="29"/>
      <c r="CU53" s="29"/>
      <c r="CV53" s="29"/>
      <c r="CW53" s="29"/>
      <c r="CX53" s="29"/>
      <c r="CY53" s="29"/>
      <c r="CZ53" s="29"/>
    </row>
    <row r="54" spans="1:132" s="36" customFormat="1" x14ac:dyDescent="0.2">
      <c r="A54" s="36" t="s">
        <v>1341</v>
      </c>
      <c r="C54" s="36" t="s">
        <v>233</v>
      </c>
      <c r="D54" s="36" t="s">
        <v>233</v>
      </c>
      <c r="E54" s="35">
        <v>611.30899999999997</v>
      </c>
      <c r="F54" s="35"/>
      <c r="G54" s="34">
        <v>0.28301342592592593</v>
      </c>
      <c r="H54" s="34"/>
      <c r="I54" s="265">
        <v>0.2120283955243244</v>
      </c>
      <c r="J54" s="395">
        <v>28.742686272156472</v>
      </c>
      <c r="K54" s="37">
        <v>0.11190453802224408</v>
      </c>
      <c r="L54" s="34">
        <v>4.7014369884951801</v>
      </c>
      <c r="M54" s="396">
        <v>6.6601694845766182E-2</v>
      </c>
      <c r="N54" s="395">
        <v>5.349177999578683</v>
      </c>
      <c r="O54" s="72">
        <v>15.52788998689697</v>
      </c>
      <c r="P54" s="37">
        <v>0.44951271942667287</v>
      </c>
      <c r="Q54" s="37">
        <v>1.5792177115010575E-2</v>
      </c>
      <c r="R54" s="37"/>
      <c r="T54" s="38">
        <f t="shared" si="0"/>
        <v>66.977086951525209</v>
      </c>
      <c r="Y54" s="34"/>
      <c r="Z54" s="35"/>
      <c r="AI54" s="34">
        <v>9.35328760086961</v>
      </c>
      <c r="AJ54" s="35">
        <v>765.63039150413306</v>
      </c>
      <c r="AK54" s="34"/>
      <c r="AL54" s="72">
        <v>15.341554025869076</v>
      </c>
      <c r="AM54" s="35">
        <v>135.07315449306324</v>
      </c>
      <c r="AN54" s="35"/>
      <c r="AO54" s="72"/>
      <c r="AP54" s="35"/>
      <c r="AQ54" s="34"/>
      <c r="AR54" s="34"/>
      <c r="AS54" s="34"/>
      <c r="AT54" s="35"/>
      <c r="AU54" s="35">
        <v>167.36983751261636</v>
      </c>
      <c r="AV54" s="54">
        <v>6.1907126989239263</v>
      </c>
      <c r="AW54" s="35">
        <v>14.8</v>
      </c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5">
        <v>23.280065891390443</v>
      </c>
      <c r="BI54" s="34">
        <v>1.2261054589413865</v>
      </c>
      <c r="BJ54" s="34">
        <v>3.1778572047851412</v>
      </c>
      <c r="BK54" s="169">
        <v>2.0307048915687482</v>
      </c>
      <c r="BL54" s="411">
        <v>2.0307048915687482</v>
      </c>
      <c r="BM54" s="34">
        <v>0.63189605420499284</v>
      </c>
      <c r="BN54" s="34">
        <v>0.91613316015304858</v>
      </c>
      <c r="BO54" s="169">
        <v>0.77747042180061765</v>
      </c>
      <c r="BP54" s="34">
        <v>0.14095451073025264</v>
      </c>
      <c r="BQ54" s="52">
        <v>0.97017969120153058</v>
      </c>
      <c r="BR54" s="371">
        <v>0.2211769357914174</v>
      </c>
      <c r="BS54" s="371">
        <v>0.62905838294455285</v>
      </c>
      <c r="BT54" s="372">
        <v>9.5346291982896347E-2</v>
      </c>
      <c r="BU54" s="34">
        <v>0.63720997891410081</v>
      </c>
      <c r="BV54" s="37">
        <v>9.1698894667017833E-2</v>
      </c>
      <c r="BW54" s="34">
        <v>0.45477813838827824</v>
      </c>
      <c r="BX54" s="34">
        <v>6.1253094588824976E-2</v>
      </c>
      <c r="BY54" s="37"/>
      <c r="BZ54" s="72">
        <v>4.7406503094179868</v>
      </c>
      <c r="CA54" s="72">
        <v>1.3742989224761946</v>
      </c>
      <c r="CB54" s="72"/>
      <c r="CC54" s="72"/>
      <c r="CD54" s="72"/>
      <c r="CE54" s="34">
        <v>0.18683800500238015</v>
      </c>
      <c r="CF54" s="34">
        <v>4.3962838760757655E-2</v>
      </c>
      <c r="CG54" s="37"/>
      <c r="CH54" s="37"/>
      <c r="CI54" s="119">
        <v>0.78095098672596297</v>
      </c>
      <c r="CJ54" s="58">
        <v>0.78954883436728462</v>
      </c>
      <c r="CK54" s="119">
        <v>0.76191144430860525</v>
      </c>
      <c r="CL54" s="119"/>
      <c r="CM54" s="119"/>
      <c r="CN54" s="119">
        <v>6.9572896472772899E-2</v>
      </c>
      <c r="CO54" s="119">
        <v>1.0174478619634018E-2</v>
      </c>
      <c r="CP54" s="119"/>
      <c r="CQ54" s="29"/>
      <c r="CR54" s="34"/>
      <c r="CS54" s="119"/>
      <c r="CT54" s="119"/>
      <c r="CU54" s="119"/>
      <c r="CV54" s="119"/>
      <c r="CW54" s="119"/>
      <c r="CX54" s="119"/>
      <c r="CY54" s="119"/>
      <c r="CZ54" s="119"/>
      <c r="DA54" s="36">
        <v>32.543340918828711</v>
      </c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</row>
    <row r="55" spans="1:132" x14ac:dyDescent="0.2">
      <c r="A55" t="s">
        <v>216</v>
      </c>
      <c r="C55" t="s">
        <v>208</v>
      </c>
      <c r="D55" t="s">
        <v>226</v>
      </c>
      <c r="E55" s="8">
        <v>85.29</v>
      </c>
      <c r="F55" s="8"/>
      <c r="I55" s="6">
        <v>0.41707499999999997</v>
      </c>
      <c r="J55" s="6">
        <v>25.564934999999998</v>
      </c>
      <c r="K55" s="32">
        <v>0.1490832</v>
      </c>
      <c r="L55" s="6">
        <v>6.0980100000000004</v>
      </c>
      <c r="M55" s="3">
        <v>8.0753184000000006E-2</v>
      </c>
      <c r="N55" s="6">
        <v>5.7543010000000008</v>
      </c>
      <c r="O55" s="7">
        <v>14.831519999999999</v>
      </c>
      <c r="P55" s="3">
        <v>0.35722000000000004</v>
      </c>
      <c r="Q55" s="3">
        <v>1.8068999999999998E-2</v>
      </c>
      <c r="R55" s="3"/>
      <c r="S55" s="3"/>
      <c r="T55" s="38">
        <f t="shared" si="0"/>
        <v>62.716163406990134</v>
      </c>
      <c r="U55" s="3"/>
      <c r="W55" s="2">
        <v>0.25</v>
      </c>
      <c r="X55">
        <v>13.53</v>
      </c>
      <c r="Y55">
        <v>4.74</v>
      </c>
      <c r="Z55" s="2">
        <v>657</v>
      </c>
      <c r="AA55" s="2">
        <v>3.47</v>
      </c>
      <c r="AB55">
        <v>10.6</v>
      </c>
      <c r="AC55">
        <v>0.26500000000000001</v>
      </c>
      <c r="AD55">
        <v>150</v>
      </c>
      <c r="AE55" s="3"/>
      <c r="AF55" s="3"/>
      <c r="AG55" s="3"/>
      <c r="AH55" s="3"/>
      <c r="AI55" s="6">
        <v>14.5</v>
      </c>
      <c r="AJ55" s="8">
        <v>1020</v>
      </c>
      <c r="AK55" s="7"/>
      <c r="AL55" s="7">
        <v>19.899999999999999</v>
      </c>
      <c r="AM55" s="8">
        <v>120</v>
      </c>
      <c r="AN55" s="8"/>
      <c r="AO55" s="7"/>
      <c r="AP55" s="8"/>
      <c r="AQ55" s="6"/>
      <c r="AR55" s="6"/>
      <c r="AS55" s="6"/>
      <c r="AT55" s="8"/>
      <c r="AU55" s="8">
        <v>136</v>
      </c>
      <c r="AV55" s="54">
        <v>7.2012424916510529</v>
      </c>
      <c r="AW55" s="8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8">
        <v>21</v>
      </c>
      <c r="BI55" s="6">
        <v>1.1299999999999999</v>
      </c>
      <c r="BJ55" s="6">
        <v>2.98</v>
      </c>
      <c r="BK55" s="6"/>
      <c r="BL55" s="7">
        <v>1.97</v>
      </c>
      <c r="BM55" s="6">
        <v>0.63100000000000001</v>
      </c>
      <c r="BN55" s="6">
        <v>0.754</v>
      </c>
      <c r="BO55" s="51">
        <v>0.87346352850518849</v>
      </c>
      <c r="BP55" s="6">
        <v>0.17</v>
      </c>
      <c r="BQ55" s="52">
        <v>1.1116893737135864</v>
      </c>
      <c r="BR55" s="52">
        <v>0.25599420764088066</v>
      </c>
      <c r="BS55" s="52">
        <v>0.73541794723368592</v>
      </c>
      <c r="BT55" s="53">
        <v>0.1125884877545862</v>
      </c>
      <c r="BU55" s="6">
        <v>0.76</v>
      </c>
      <c r="BV55" s="32">
        <v>0.115</v>
      </c>
      <c r="BW55" s="6">
        <v>0.44</v>
      </c>
      <c r="BX55" s="6"/>
      <c r="BY55" s="6"/>
      <c r="BZ55" s="7">
        <v>5.6</v>
      </c>
      <c r="CA55" s="7">
        <v>1.1000000000000001</v>
      </c>
      <c r="CB55" s="7"/>
      <c r="CC55" s="7"/>
      <c r="CD55" s="7"/>
      <c r="CE55" s="6">
        <v>0.2</v>
      </c>
      <c r="CF55" s="6">
        <v>0.05</v>
      </c>
      <c r="CG55" s="6">
        <v>3.8</v>
      </c>
      <c r="CH55" s="6"/>
      <c r="CI55" s="29">
        <v>0.80526854098949063</v>
      </c>
      <c r="CJ55" s="41">
        <v>0.89415895738253592</v>
      </c>
      <c r="CK55" s="29">
        <v>0.92096308714353881</v>
      </c>
      <c r="CL55" s="29"/>
      <c r="CO55" s="134">
        <v>9.1666666666666667E-3</v>
      </c>
      <c r="CP55" s="134"/>
      <c r="CQ55" s="29">
        <v>6.8395263372805215E-2</v>
      </c>
      <c r="CR55" s="30">
        <v>0.94363587465419052</v>
      </c>
      <c r="CS55" s="29">
        <v>1.32425469948393E-2</v>
      </c>
      <c r="CT55" s="29"/>
      <c r="CU55" s="29"/>
      <c r="CV55" s="29"/>
      <c r="DA55" s="50"/>
    </row>
    <row r="56" spans="1:132" x14ac:dyDescent="0.2">
      <c r="A56" t="s">
        <v>216</v>
      </c>
      <c r="C56" s="2"/>
      <c r="D56" t="s">
        <v>223</v>
      </c>
      <c r="E56" s="14">
        <v>43.3</v>
      </c>
      <c r="F56" s="14"/>
      <c r="H56" s="6"/>
      <c r="I56" s="6">
        <v>0.22</v>
      </c>
      <c r="J56" s="6">
        <v>27</v>
      </c>
      <c r="K56" s="3">
        <v>0.11</v>
      </c>
      <c r="L56" s="6">
        <v>4.5999999999999996</v>
      </c>
      <c r="M56" s="3">
        <v>6.7000000000000004E-2</v>
      </c>
      <c r="N56" s="6">
        <v>4.5</v>
      </c>
      <c r="O56" s="7">
        <v>15.1</v>
      </c>
      <c r="P56" s="3">
        <v>0.49</v>
      </c>
      <c r="Q56" s="3">
        <v>0.02</v>
      </c>
      <c r="R56" s="3"/>
      <c r="S56" s="3"/>
      <c r="T56" s="38">
        <f t="shared" si="0"/>
        <v>63.554859059880236</v>
      </c>
      <c r="U56" s="3"/>
      <c r="V56" s="2" t="s">
        <v>224</v>
      </c>
      <c r="W56" s="2" t="s">
        <v>225</v>
      </c>
      <c r="Z56" s="8">
        <v>518.91499999999996</v>
      </c>
      <c r="AC56" s="2"/>
      <c r="AD56" s="31">
        <v>166.02</v>
      </c>
      <c r="AE56" s="3"/>
      <c r="AF56" s="3"/>
      <c r="AG56" s="3"/>
      <c r="AH56" s="3"/>
      <c r="AI56" s="6">
        <v>8.68</v>
      </c>
      <c r="AJ56" s="8">
        <v>752.62</v>
      </c>
      <c r="AK56" s="6"/>
      <c r="AL56" s="7">
        <v>14.4</v>
      </c>
      <c r="AM56" s="8">
        <v>121</v>
      </c>
      <c r="AN56" s="8"/>
      <c r="AO56" s="7"/>
      <c r="AP56" s="8"/>
      <c r="AQ56" s="6"/>
      <c r="AR56" s="6"/>
      <c r="AS56" s="6"/>
      <c r="AT56" s="8"/>
      <c r="AU56" s="8">
        <v>190</v>
      </c>
      <c r="AV56" s="54">
        <v>5.3169726838528133</v>
      </c>
      <c r="AW56" s="8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8">
        <v>26</v>
      </c>
      <c r="BI56" s="6">
        <v>1.1000000000000001</v>
      </c>
      <c r="BJ56" s="7">
        <v>2.7</v>
      </c>
      <c r="BK56" s="7"/>
      <c r="BL56" s="7">
        <v>1.5</v>
      </c>
      <c r="BM56" s="6">
        <v>0.54</v>
      </c>
      <c r="BN56" s="6">
        <v>0.94</v>
      </c>
      <c r="BO56" s="51">
        <v>0.65813596550732101</v>
      </c>
      <c r="BP56" s="6">
        <v>0.12</v>
      </c>
      <c r="BQ56" s="52">
        <v>0.83079728690453292</v>
      </c>
      <c r="BR56" s="52">
        <v>0.18977330297319689</v>
      </c>
      <c r="BS56" s="52">
        <v>0.5408081574832424</v>
      </c>
      <c r="BT56" s="53">
        <v>8.2133002803408933E-2</v>
      </c>
      <c r="BU56" s="6">
        <v>0.55000000000000004</v>
      </c>
      <c r="BV56" s="3">
        <v>8.2000000000000003E-2</v>
      </c>
      <c r="BW56" s="6">
        <v>0.36</v>
      </c>
      <c r="BX56" s="6">
        <v>4.2999999999999997E-2</v>
      </c>
      <c r="BY56" s="3"/>
      <c r="BZ56" s="7">
        <v>2.9</v>
      </c>
      <c r="CA56" s="7">
        <v>0.7</v>
      </c>
      <c r="CB56" s="7"/>
      <c r="CC56" s="7"/>
      <c r="CD56" s="7"/>
      <c r="CE56" s="6">
        <v>0.14000000000000001</v>
      </c>
      <c r="CF56" s="6">
        <v>3.1E-2</v>
      </c>
      <c r="CG56" s="6">
        <v>3.9285714285714284</v>
      </c>
      <c r="CH56" s="3"/>
      <c r="CI56" s="29">
        <v>0.65452342937429786</v>
      </c>
      <c r="CJ56" s="41">
        <v>0.67302313043847262</v>
      </c>
      <c r="CK56" s="29">
        <v>0.64686133670919266</v>
      </c>
      <c r="CL56" s="29"/>
      <c r="CM56" s="2"/>
      <c r="CN56" s="2"/>
      <c r="CO56" s="134">
        <v>5.7851239669421484E-3</v>
      </c>
      <c r="CP56" s="134"/>
      <c r="CQ56" s="29">
        <v>4.7826086956521741E-2</v>
      </c>
      <c r="CR56" s="30">
        <v>0.97826086956521752</v>
      </c>
      <c r="CS56" s="29">
        <v>1.456521739130435E-2</v>
      </c>
      <c r="CT56" s="29"/>
      <c r="CU56" s="29"/>
      <c r="CV56" s="29"/>
      <c r="CW56" s="2"/>
      <c r="CX56" s="2"/>
      <c r="CY56" s="2"/>
      <c r="CZ56" s="2"/>
      <c r="DA56" s="50"/>
    </row>
    <row r="57" spans="1:132" x14ac:dyDescent="0.2">
      <c r="A57" t="s">
        <v>216</v>
      </c>
      <c r="D57" t="s">
        <v>666</v>
      </c>
      <c r="E57" s="8"/>
      <c r="F57" s="8"/>
      <c r="H57" s="30">
        <v>43.05</v>
      </c>
      <c r="I57" s="6">
        <v>0.22</v>
      </c>
      <c r="J57" s="6">
        <v>27.78</v>
      </c>
      <c r="K57" s="32">
        <v>0.1</v>
      </c>
      <c r="L57" s="6">
        <v>5.0127059999999997</v>
      </c>
      <c r="M57" s="3">
        <v>0.08</v>
      </c>
      <c r="N57" s="6">
        <v>5.64</v>
      </c>
      <c r="O57" s="7">
        <v>16.28</v>
      </c>
      <c r="P57" s="3">
        <v>0.45</v>
      </c>
      <c r="Q57" s="3">
        <v>0.02</v>
      </c>
      <c r="R57" s="3" t="s">
        <v>668</v>
      </c>
      <c r="S57" s="3"/>
      <c r="T57" s="38">
        <f t="shared" si="0"/>
        <v>66.72964166057892</v>
      </c>
      <c r="U57" s="3"/>
      <c r="Y57"/>
      <c r="AE57" s="3"/>
      <c r="AF57" s="3"/>
      <c r="AG57" s="3"/>
      <c r="AH57" s="3"/>
      <c r="AI57" s="6"/>
      <c r="AJ57" s="8"/>
      <c r="AK57" s="6"/>
      <c r="AL57" s="7"/>
      <c r="AM57" s="8"/>
      <c r="AN57" s="8"/>
      <c r="AO57" s="7"/>
      <c r="AP57" s="8"/>
      <c r="AQ57" s="6"/>
      <c r="AR57" s="6"/>
      <c r="AS57" s="6"/>
      <c r="AT57" s="8"/>
      <c r="AU57" s="8"/>
      <c r="AV57" s="8"/>
      <c r="AW57" s="8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8"/>
      <c r="BI57" s="6"/>
      <c r="BJ57" s="6"/>
      <c r="BK57" s="6"/>
      <c r="BL57" s="7"/>
      <c r="BM57" s="6"/>
      <c r="BN57" s="6"/>
      <c r="BO57" s="6"/>
      <c r="BP57" s="153"/>
      <c r="BQ57" s="6"/>
      <c r="BR57" s="6"/>
      <c r="BS57" s="6"/>
      <c r="BT57" s="6"/>
      <c r="BU57" s="6"/>
      <c r="BV57" s="3"/>
      <c r="BW57" s="6"/>
      <c r="BX57" s="6"/>
      <c r="BY57" s="6"/>
      <c r="BZ57" s="7"/>
      <c r="CA57" s="7"/>
      <c r="CB57" s="7"/>
      <c r="CC57" s="7"/>
      <c r="CD57" s="7"/>
      <c r="CE57" s="6"/>
      <c r="CF57" s="6"/>
      <c r="CG57" s="6"/>
      <c r="CH57" s="3"/>
      <c r="CI57" s="29"/>
      <c r="CJ57" s="41"/>
      <c r="CK57" s="29"/>
      <c r="CL57" s="29"/>
      <c r="CO57" s="134"/>
      <c r="CP57" s="134"/>
      <c r="CQ57" s="29">
        <v>4.3888470618464362E-2</v>
      </c>
      <c r="CR57" s="30">
        <v>1.1251407922188135</v>
      </c>
      <c r="CS57" s="29">
        <v>1.5959443861259769E-2</v>
      </c>
      <c r="CT57" s="29"/>
      <c r="CU57" s="29"/>
      <c r="CV57" s="29"/>
      <c r="DA57" s="50"/>
    </row>
    <row r="58" spans="1:132" x14ac:dyDescent="0.2">
      <c r="A58" t="s">
        <v>216</v>
      </c>
      <c r="C58" t="s">
        <v>222</v>
      </c>
      <c r="D58" t="s">
        <v>210</v>
      </c>
      <c r="E58" s="8">
        <v>31.9</v>
      </c>
      <c r="F58" s="8"/>
      <c r="I58" s="265">
        <v>0.28342474575839949</v>
      </c>
      <c r="J58" s="30"/>
      <c r="K58" s="32">
        <v>0.16896095999999999</v>
      </c>
      <c r="L58" s="6">
        <v>6.2845525000000002</v>
      </c>
      <c r="M58" s="3">
        <v>9.1692351999999991E-2</v>
      </c>
      <c r="N58" s="30"/>
      <c r="P58" s="3">
        <v>0.39091999999999999</v>
      </c>
      <c r="Q58" s="3">
        <v>2.0478199999999998E-2</v>
      </c>
      <c r="R58" s="3"/>
      <c r="S58" s="3"/>
      <c r="T58" s="38">
        <f t="shared" si="0"/>
        <v>0</v>
      </c>
      <c r="U58" s="3"/>
      <c r="Y58">
        <v>4.8499999999999996</v>
      </c>
      <c r="Z58" s="2">
        <v>746</v>
      </c>
      <c r="AC58">
        <v>0.28999999999999998</v>
      </c>
      <c r="AD58">
        <v>170</v>
      </c>
      <c r="AE58" s="3"/>
      <c r="AF58" s="3"/>
      <c r="AG58" s="3"/>
      <c r="AH58" s="3"/>
      <c r="AI58" s="6">
        <v>13.8</v>
      </c>
      <c r="AJ58" s="8">
        <v>1156</v>
      </c>
      <c r="AK58" s="6"/>
      <c r="AL58" s="7">
        <v>18.600000000000001</v>
      </c>
      <c r="AM58" s="8">
        <v>159</v>
      </c>
      <c r="AN58" s="8"/>
      <c r="AO58" s="7"/>
      <c r="AP58" s="8"/>
      <c r="AQ58" s="6"/>
      <c r="AR58" s="6"/>
      <c r="AS58" s="6"/>
      <c r="AT58" s="8"/>
      <c r="AU58" s="8">
        <v>150</v>
      </c>
      <c r="AV58" s="54">
        <v>7.2569530705906216</v>
      </c>
      <c r="AW58" s="8">
        <v>30</v>
      </c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8">
        <v>20</v>
      </c>
      <c r="BI58" s="6">
        <v>1.1100000000000001</v>
      </c>
      <c r="BJ58" s="6">
        <v>2.77</v>
      </c>
      <c r="BK58" s="6"/>
      <c r="BL58" s="7">
        <v>2.1</v>
      </c>
      <c r="BM58" s="6">
        <v>0.627</v>
      </c>
      <c r="BN58" s="6">
        <v>0.77900000000000003</v>
      </c>
      <c r="BO58" s="51">
        <v>0.99448595213820079</v>
      </c>
      <c r="BP58" s="6">
        <v>0.20499999999999999</v>
      </c>
      <c r="BQ58" s="52">
        <v>1.1747108328509812</v>
      </c>
      <c r="BR58" s="52">
        <v>0.26202449697078767</v>
      </c>
      <c r="BS58" s="52">
        <v>0.7296527528853276</v>
      </c>
      <c r="BT58" s="53">
        <v>0.10835611277603704</v>
      </c>
      <c r="BU58" s="6">
        <v>0.71</v>
      </c>
      <c r="BV58" s="3">
        <v>0.1</v>
      </c>
      <c r="BW58" s="6">
        <v>0.92</v>
      </c>
      <c r="BX58" s="6"/>
      <c r="BY58" s="6"/>
      <c r="BZ58" s="7">
        <v>10</v>
      </c>
      <c r="CA58" s="7">
        <v>3.1</v>
      </c>
      <c r="CB58" s="7"/>
      <c r="CC58" s="7"/>
      <c r="CD58" s="7"/>
      <c r="CE58" s="6">
        <v>0.23</v>
      </c>
      <c r="CF58" s="6">
        <v>6.6000000000000003E-2</v>
      </c>
      <c r="CG58" s="6">
        <v>3.0869565217391299</v>
      </c>
      <c r="CH58" s="3"/>
      <c r="CI58" s="29">
        <v>0.80385251184231132</v>
      </c>
      <c r="CJ58" s="41">
        <v>1.0108618674668424</v>
      </c>
      <c r="CK58" s="29">
        <v>1.1687434771054486</v>
      </c>
      <c r="CL58" s="29"/>
      <c r="CO58" s="134">
        <v>1.9496855345911949E-2</v>
      </c>
      <c r="CP58" s="134"/>
      <c r="CQ58" s="29"/>
      <c r="CR58" s="30"/>
      <c r="CS58" s="29">
        <v>1.4590116320931362E-2</v>
      </c>
      <c r="CT58" s="29"/>
      <c r="CU58" s="29"/>
      <c r="CV58" s="29"/>
      <c r="DA58" s="50"/>
    </row>
    <row r="59" spans="1:132" x14ac:dyDescent="0.2">
      <c r="A59" t="s">
        <v>216</v>
      </c>
      <c r="C59" t="s">
        <v>219</v>
      </c>
      <c r="D59" t="s">
        <v>218</v>
      </c>
      <c r="E59" s="7">
        <v>27.5</v>
      </c>
      <c r="F59" s="8"/>
      <c r="H59" s="6"/>
      <c r="I59" s="265">
        <v>0.20319313455974192</v>
      </c>
      <c r="J59" s="395">
        <v>29.02736460327808</v>
      </c>
      <c r="K59" s="32">
        <v>0.11415202298181819</v>
      </c>
      <c r="L59" s="6">
        <v>4.5055272727272735</v>
      </c>
      <c r="M59" s="396">
        <v>6.3826390372086275E-2</v>
      </c>
      <c r="N59" s="395">
        <v>5.1262768006359263</v>
      </c>
      <c r="O59" s="7">
        <v>14.751272727272728</v>
      </c>
      <c r="P59" s="3">
        <v>0.42856363636363631</v>
      </c>
      <c r="Q59" s="3"/>
      <c r="R59" s="3"/>
      <c r="S59" s="2"/>
      <c r="T59" s="38">
        <f t="shared" si="0"/>
        <v>66.977086951525209</v>
      </c>
      <c r="U59" s="2"/>
      <c r="V59" s="2"/>
      <c r="AC59" s="2"/>
      <c r="AD59" s="2"/>
      <c r="AE59" s="2"/>
      <c r="AF59" s="2"/>
      <c r="AG59" s="2"/>
      <c r="AH59" s="2"/>
      <c r="AI59" s="6">
        <v>9.3368363636363654</v>
      </c>
      <c r="AJ59" s="8">
        <v>781.00727272727272</v>
      </c>
      <c r="AK59" s="6"/>
      <c r="AL59" s="7">
        <v>14.160727272727273</v>
      </c>
      <c r="AM59" s="8">
        <v>122.43636363636364</v>
      </c>
      <c r="AN59" s="8"/>
      <c r="AO59" s="7"/>
      <c r="AP59" s="8"/>
      <c r="AQ59" s="6"/>
      <c r="AR59" s="6"/>
      <c r="AS59" s="6"/>
      <c r="AT59" s="8"/>
      <c r="AU59" s="8">
        <v>172.95272727272729</v>
      </c>
      <c r="AV59" s="54">
        <v>5.291842416763326</v>
      </c>
      <c r="AW59" s="8">
        <v>36.414545454545461</v>
      </c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8">
        <v>26.658181818181824</v>
      </c>
      <c r="BI59" s="6">
        <v>1.1097454545454546</v>
      </c>
      <c r="BJ59" s="6">
        <v>2.8180363636363639</v>
      </c>
      <c r="BK59" s="6"/>
      <c r="BL59" s="7"/>
      <c r="BM59" s="6">
        <v>0.55970181818181819</v>
      </c>
      <c r="BN59" s="6">
        <v>0.90873818181818189</v>
      </c>
      <c r="BO59" s="51">
        <v>0.70802435561838928</v>
      </c>
      <c r="BP59" s="6">
        <v>0.13004727272727276</v>
      </c>
      <c r="BQ59" s="52">
        <v>0.84999363634536262</v>
      </c>
      <c r="BR59" s="52">
        <v>0.19062430914577649</v>
      </c>
      <c r="BS59" s="52">
        <v>0.53331649406124071</v>
      </c>
      <c r="BT59" s="53">
        <v>7.9512268701940308E-2</v>
      </c>
      <c r="BU59" s="3">
        <v>0.52267272727272729</v>
      </c>
      <c r="BV59" s="3">
        <v>8.9461818181818198E-2</v>
      </c>
      <c r="BW59" s="6">
        <v>0.44243636363636368</v>
      </c>
      <c r="BX59" s="6">
        <v>5.8829090909090907E-2</v>
      </c>
      <c r="BY59" s="3"/>
      <c r="BZ59" s="7">
        <v>3.5512727272727274</v>
      </c>
      <c r="CA59" s="7">
        <v>4.900363636363636</v>
      </c>
      <c r="CB59" s="7"/>
      <c r="CC59" s="7"/>
      <c r="CD59" s="7"/>
      <c r="CE59" s="6">
        <v>0.11368000000000003</v>
      </c>
      <c r="CF59" s="6"/>
      <c r="CG59" s="6">
        <v>4.5977544622864812</v>
      </c>
      <c r="CH59" s="2"/>
      <c r="CI59" s="29">
        <v>0.6857740739615158</v>
      </c>
      <c r="CJ59" s="41">
        <v>0.71861512597778765</v>
      </c>
      <c r="CK59" s="29">
        <v>0.71968386691586439</v>
      </c>
      <c r="CL59" s="29"/>
      <c r="CM59" s="2"/>
      <c r="CN59" s="2"/>
      <c r="CO59" s="134"/>
      <c r="CP59" s="134"/>
      <c r="CQ59" s="29"/>
      <c r="CR59" s="30"/>
      <c r="CS59" s="29"/>
      <c r="CT59" s="29"/>
      <c r="CU59" s="29"/>
      <c r="CV59" s="29"/>
      <c r="CW59" s="2"/>
      <c r="CX59" s="2"/>
      <c r="CY59" s="2"/>
      <c r="CZ59" s="2"/>
      <c r="DA59" s="50"/>
    </row>
    <row r="60" spans="1:132" x14ac:dyDescent="0.2">
      <c r="A60" t="s">
        <v>216</v>
      </c>
      <c r="C60" s="2"/>
      <c r="D60" t="s">
        <v>551</v>
      </c>
      <c r="E60" s="14">
        <v>29.6</v>
      </c>
      <c r="F60" s="14"/>
      <c r="H60" s="6"/>
      <c r="K60" s="3"/>
      <c r="P60" s="3"/>
      <c r="Q60" s="3">
        <v>1.2045999999999999E-2</v>
      </c>
      <c r="R60" s="3"/>
      <c r="S60" s="3"/>
      <c r="T60" s="38" t="e">
        <f t="shared" si="0"/>
        <v>#DIV/0!</v>
      </c>
      <c r="U60" s="3"/>
      <c r="V60" s="2"/>
      <c r="Z60" s="8"/>
      <c r="AC60" s="6"/>
      <c r="AD60" s="2">
        <v>100</v>
      </c>
      <c r="AE60" s="3"/>
      <c r="AF60" s="3"/>
      <c r="AG60" s="3"/>
      <c r="AH60" s="3"/>
      <c r="AI60" s="6"/>
      <c r="AJ60" s="8"/>
      <c r="AK60" s="7"/>
      <c r="AL60" s="7"/>
      <c r="AM60" s="8"/>
      <c r="AN60" s="8"/>
      <c r="AO60" s="7"/>
      <c r="AP60" s="8"/>
      <c r="AQ60" s="6"/>
      <c r="AR60" s="6"/>
      <c r="AS60" s="6"/>
      <c r="AT60" s="8">
        <v>0.3</v>
      </c>
      <c r="AU60" s="8">
        <v>147</v>
      </c>
      <c r="AV60" s="6">
        <v>4.8899999999999997</v>
      </c>
      <c r="AW60" s="8">
        <v>15.4</v>
      </c>
      <c r="AX60" s="7">
        <v>1</v>
      </c>
      <c r="AY60" s="6"/>
      <c r="AZ60" s="6"/>
      <c r="BA60" s="6"/>
      <c r="BB60" s="6"/>
      <c r="BC60" s="6">
        <v>0.71</v>
      </c>
      <c r="BD60" s="6"/>
      <c r="BE60" s="6"/>
      <c r="BF60" s="6"/>
      <c r="BG60" s="3">
        <v>6.1999999999999998E-3</v>
      </c>
      <c r="BH60" s="8">
        <v>18.3</v>
      </c>
      <c r="BI60" s="6">
        <v>0.98</v>
      </c>
      <c r="BJ60" s="7">
        <v>2.7</v>
      </c>
      <c r="BK60" s="6">
        <v>0.32</v>
      </c>
      <c r="BL60" s="7">
        <v>1.41</v>
      </c>
      <c r="BM60" s="6">
        <v>0.47199999999999998</v>
      </c>
      <c r="BN60" s="6">
        <v>0.64</v>
      </c>
      <c r="BO60" s="6">
        <v>0.5</v>
      </c>
      <c r="BP60" s="6">
        <v>0.09</v>
      </c>
      <c r="BQ60" s="6">
        <v>0.67</v>
      </c>
      <c r="BR60" s="6">
        <v>0.16</v>
      </c>
      <c r="BS60" s="6">
        <v>0.51</v>
      </c>
      <c r="BT60" s="6">
        <v>8.2000000000000003E-2</v>
      </c>
      <c r="BU60" s="6">
        <v>0.54200000000000004</v>
      </c>
      <c r="BV60" s="3">
        <v>7.3999999999999996E-2</v>
      </c>
      <c r="BW60" s="6">
        <v>0.41</v>
      </c>
      <c r="BX60" s="6"/>
      <c r="BY60" s="3"/>
      <c r="BZ60" s="7"/>
      <c r="CA60" s="7"/>
      <c r="CB60" s="7"/>
      <c r="CC60" s="7"/>
      <c r="CD60" s="7"/>
      <c r="CE60" s="6">
        <v>0.13</v>
      </c>
      <c r="CF60" s="195">
        <v>7.0000000000000007E-2</v>
      </c>
      <c r="CG60" s="6">
        <v>4.1692307692307695</v>
      </c>
      <c r="CH60" s="6"/>
      <c r="CI60" s="29">
        <v>0.56775291845470921</v>
      </c>
      <c r="CJ60" s="41">
        <v>0.5311999326501109</v>
      </c>
      <c r="CK60" s="29">
        <v>0.45936445869735953</v>
      </c>
      <c r="CL60" s="29"/>
      <c r="CM60" s="2"/>
      <c r="CN60" s="2"/>
      <c r="CO60" s="134"/>
      <c r="CP60" s="134"/>
      <c r="CQ60" s="29"/>
      <c r="CR60" s="30"/>
      <c r="CS60" s="29"/>
      <c r="CT60" s="29"/>
      <c r="CU60" s="29"/>
      <c r="CV60" s="29"/>
      <c r="CW60" s="29">
        <v>0.32653061224489799</v>
      </c>
      <c r="CX60" s="29">
        <v>0.11851851851851851</v>
      </c>
      <c r="CY60" s="29">
        <v>0.2269503546099291</v>
      </c>
      <c r="CZ60" s="29">
        <v>0.67796610169491534</v>
      </c>
      <c r="DA60" s="50"/>
    </row>
    <row r="61" spans="1:132" x14ac:dyDescent="0.2">
      <c r="A61" t="s">
        <v>216</v>
      </c>
      <c r="D61" t="s">
        <v>552</v>
      </c>
      <c r="E61" s="8"/>
      <c r="F61" s="8"/>
      <c r="P61" s="3"/>
      <c r="Q61" s="3"/>
      <c r="R61" s="3"/>
      <c r="S61" s="3"/>
      <c r="T61" s="38" t="e">
        <f t="shared" si="0"/>
        <v>#DIV/0!</v>
      </c>
      <c r="U61" s="3"/>
      <c r="Y61"/>
      <c r="AE61" s="3"/>
      <c r="AF61" s="3"/>
      <c r="AG61" s="3"/>
      <c r="AH61" s="3"/>
      <c r="AI61" s="6"/>
      <c r="AJ61" s="8"/>
      <c r="AK61" s="6"/>
      <c r="AL61" s="7"/>
      <c r="AM61" s="8"/>
      <c r="AN61" s="8"/>
      <c r="AO61" s="7"/>
      <c r="AP61" s="8"/>
      <c r="AQ61" s="6"/>
      <c r="AR61" s="6"/>
      <c r="AS61" s="6"/>
      <c r="AT61" s="8">
        <v>0.39</v>
      </c>
      <c r="AU61" s="8">
        <v>144</v>
      </c>
      <c r="AV61" s="54"/>
      <c r="AW61" s="8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8">
        <v>32.56</v>
      </c>
      <c r="BI61" s="6">
        <v>1.3120000000000001</v>
      </c>
      <c r="BJ61" s="6">
        <v>3.0910000000000002</v>
      </c>
      <c r="BK61" s="6"/>
      <c r="BL61" s="7">
        <v>2.0779999999999998</v>
      </c>
      <c r="BM61" s="6">
        <v>0.63539999999999996</v>
      </c>
      <c r="BN61" s="6">
        <v>0.84019999999999995</v>
      </c>
      <c r="BO61" s="6">
        <v>0.85680000000000001</v>
      </c>
      <c r="BP61" s="153">
        <v>0.15799594427782951</v>
      </c>
      <c r="BQ61" s="6">
        <v>1.0549999999999999</v>
      </c>
      <c r="BR61" s="6"/>
      <c r="BS61" s="6">
        <v>0.74329999999999996</v>
      </c>
      <c r="BT61" s="6"/>
      <c r="BU61" s="6">
        <v>0.73980000000000001</v>
      </c>
      <c r="BV61" s="3">
        <v>0.10718999999999999</v>
      </c>
      <c r="BW61" s="6"/>
      <c r="BX61" s="6"/>
      <c r="BY61" s="6"/>
      <c r="BZ61" s="7"/>
      <c r="CA61" s="7"/>
      <c r="CB61" s="7"/>
      <c r="CC61" s="7"/>
      <c r="CD61" s="7"/>
      <c r="CE61" s="6"/>
      <c r="CF61" s="6"/>
      <c r="CG61" s="6"/>
      <c r="CH61" s="3"/>
      <c r="CI61" s="29">
        <v>0.76599082585132861</v>
      </c>
      <c r="CJ61" s="41">
        <v>0.85353437209193739</v>
      </c>
      <c r="CK61" s="29">
        <v>0.84804421854768497</v>
      </c>
      <c r="CL61" s="29"/>
      <c r="CO61" s="134"/>
      <c r="CP61" s="134"/>
      <c r="CQ61" s="29"/>
      <c r="CR61" s="30"/>
      <c r="CS61" s="29"/>
      <c r="CT61" s="29"/>
      <c r="CU61" s="29"/>
      <c r="CV61" s="29"/>
      <c r="DA61" s="50"/>
    </row>
    <row r="62" spans="1:132" x14ac:dyDescent="0.2">
      <c r="A62" s="2" t="s">
        <v>216</v>
      </c>
      <c r="B62" s="2"/>
      <c r="C62" s="2" t="s">
        <v>220</v>
      </c>
      <c r="D62" s="2" t="s">
        <v>204</v>
      </c>
      <c r="E62" s="8">
        <v>171</v>
      </c>
      <c r="F62" s="8"/>
      <c r="G62" s="34">
        <v>7.9166666666666663E-2</v>
      </c>
      <c r="H62" s="6">
        <v>45.781019999999998</v>
      </c>
      <c r="I62" s="6">
        <v>0.31697700000000001</v>
      </c>
      <c r="J62" s="6">
        <v>27.019850000000002</v>
      </c>
      <c r="K62" s="32">
        <v>0.14762160000000002</v>
      </c>
      <c r="L62" s="6">
        <v>6.0465499999999999</v>
      </c>
      <c r="M62" s="3">
        <v>7.3747199999999999E-2</v>
      </c>
      <c r="N62" s="6">
        <v>5.6382200000000005</v>
      </c>
      <c r="O62" s="7">
        <v>14.831519999999999</v>
      </c>
      <c r="P62" s="3">
        <v>0.36800400000000005</v>
      </c>
      <c r="Q62" s="3">
        <v>2.0839579999999996E-2</v>
      </c>
      <c r="R62" s="3"/>
      <c r="S62" s="16"/>
      <c r="T62" s="38">
        <f t="shared" si="0"/>
        <v>62.437381025190881</v>
      </c>
      <c r="U62" s="16"/>
      <c r="V62" s="7">
        <v>21.4</v>
      </c>
      <c r="W62" s="3">
        <v>0.19</v>
      </c>
      <c r="X62" s="2">
        <v>14.3</v>
      </c>
      <c r="Y62" s="2">
        <v>4.7</v>
      </c>
      <c r="Z62" s="2">
        <v>600</v>
      </c>
      <c r="AA62" s="2">
        <v>3.4</v>
      </c>
      <c r="AB62" s="2">
        <v>10.6</v>
      </c>
      <c r="AC62" s="2">
        <v>0.27300000000000002</v>
      </c>
      <c r="AD62" s="2">
        <v>173</v>
      </c>
      <c r="AE62" s="16"/>
      <c r="AF62" s="16"/>
      <c r="AG62" s="16"/>
      <c r="AH62" s="16"/>
      <c r="AI62" s="6">
        <v>13.5</v>
      </c>
      <c r="AJ62" s="8">
        <v>1010</v>
      </c>
      <c r="AK62" s="6"/>
      <c r="AL62" s="7">
        <v>16.7</v>
      </c>
      <c r="AM62" s="8">
        <v>135</v>
      </c>
      <c r="AN62" s="8"/>
      <c r="AO62" s="7"/>
      <c r="AP62" s="8"/>
      <c r="AQ62" s="6"/>
      <c r="AR62" s="6"/>
      <c r="AS62" s="6"/>
      <c r="AT62" s="8"/>
      <c r="AU62" s="8">
        <v>143</v>
      </c>
      <c r="AV62" s="54">
        <v>7.4981038038119046</v>
      </c>
      <c r="AW62" s="8">
        <v>24</v>
      </c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8">
        <v>22</v>
      </c>
      <c r="BI62" s="6">
        <v>1.54</v>
      </c>
      <c r="BJ62" s="6">
        <v>3.8</v>
      </c>
      <c r="BK62" s="6"/>
      <c r="BL62" s="7">
        <v>2.2999999999999998</v>
      </c>
      <c r="BM62" s="6">
        <v>0.68</v>
      </c>
      <c r="BN62" s="6">
        <v>0.87</v>
      </c>
      <c r="BO62" s="51">
        <v>0.88693164103840949</v>
      </c>
      <c r="BP62" s="6">
        <v>0.17399999999999999</v>
      </c>
      <c r="BQ62" s="52">
        <v>1.1585963835253577</v>
      </c>
      <c r="BR62" s="52">
        <v>0.26663248020040897</v>
      </c>
      <c r="BS62" s="52">
        <v>0.76548967384309452</v>
      </c>
      <c r="BT62" s="53">
        <v>0.11711412924735043</v>
      </c>
      <c r="BU62" s="6">
        <v>0.79</v>
      </c>
      <c r="BV62" s="3">
        <v>0.121</v>
      </c>
      <c r="BW62" s="6">
        <v>0.49</v>
      </c>
      <c r="BX62" s="6">
        <v>3.7999999999999999E-2</v>
      </c>
      <c r="BY62" s="3"/>
      <c r="BZ62" s="7">
        <v>6.1</v>
      </c>
      <c r="CA62" s="7">
        <v>1.6</v>
      </c>
      <c r="CB62" s="7"/>
      <c r="CC62" s="7"/>
      <c r="CD62" s="7"/>
      <c r="CE62" s="6">
        <v>0.188</v>
      </c>
      <c r="CF62" s="6">
        <v>5.8000000000000003E-2</v>
      </c>
      <c r="CG62" s="6">
        <v>4.2021276595744679</v>
      </c>
      <c r="CH62" s="3"/>
      <c r="CI62" s="29">
        <v>0.79001474471306932</v>
      </c>
      <c r="CJ62" s="41">
        <v>0.93105704917029053</v>
      </c>
      <c r="CK62" s="29">
        <v>0.93972312923186851</v>
      </c>
      <c r="CL62" s="29"/>
      <c r="CM62" s="2"/>
      <c r="CN62" s="2"/>
      <c r="CO62" s="134">
        <v>1.1851851851851853E-2</v>
      </c>
      <c r="CP62" s="134"/>
      <c r="CQ62" s="29">
        <v>5.2422786547700759E-2</v>
      </c>
      <c r="CR62" s="30">
        <v>0.9324689285625688</v>
      </c>
      <c r="CS62" s="29">
        <v>1.2196574906351556E-2</v>
      </c>
      <c r="CT62" s="29"/>
      <c r="CU62" s="29"/>
      <c r="CV62" s="29"/>
      <c r="CW62" s="2"/>
      <c r="CX62" s="2"/>
      <c r="CY62" s="2"/>
      <c r="CZ62" s="2"/>
      <c r="DA62" s="50"/>
    </row>
    <row r="63" spans="1:132" x14ac:dyDescent="0.2">
      <c r="A63" s="2"/>
      <c r="B63" s="2"/>
      <c r="C63" s="2"/>
      <c r="D63" s="2" t="s">
        <v>2560</v>
      </c>
      <c r="E63" s="8"/>
      <c r="F63" s="8"/>
      <c r="G63" s="34"/>
      <c r="H63" s="6">
        <v>45.2</v>
      </c>
      <c r="I63" s="6">
        <v>0.21</v>
      </c>
      <c r="J63" s="6">
        <v>28.3</v>
      </c>
      <c r="K63" s="32">
        <v>0.13</v>
      </c>
      <c r="L63" s="6">
        <v>4.4000000000000004</v>
      </c>
      <c r="M63" s="3">
        <v>0.08</v>
      </c>
      <c r="N63" s="6">
        <v>5.18</v>
      </c>
      <c r="O63" s="7">
        <v>16.13</v>
      </c>
      <c r="P63" s="3">
        <v>0.42</v>
      </c>
      <c r="Q63" s="3">
        <v>2.5999999999999999E-2</v>
      </c>
      <c r="R63" s="3">
        <v>0.03</v>
      </c>
      <c r="S63" s="16"/>
      <c r="T63" s="38">
        <f t="shared" si="0"/>
        <v>67.727454280790738</v>
      </c>
      <c r="U63" s="16"/>
      <c r="V63" s="7"/>
      <c r="W63" s="3"/>
      <c r="AC63" s="2"/>
      <c r="AD63" s="2"/>
      <c r="AE63" s="16"/>
      <c r="AF63" s="16"/>
      <c r="AG63" s="16"/>
      <c r="AH63" s="16"/>
      <c r="AI63" s="6"/>
      <c r="AJ63" s="8"/>
      <c r="AK63" s="6"/>
      <c r="AL63" s="7"/>
      <c r="AM63" s="8"/>
      <c r="AN63" s="8"/>
      <c r="AO63" s="7"/>
      <c r="AP63" s="8"/>
      <c r="AQ63" s="6"/>
      <c r="AR63" s="6"/>
      <c r="AS63" s="6"/>
      <c r="AT63" s="8"/>
      <c r="AU63" s="8"/>
      <c r="AV63" s="54"/>
      <c r="AW63" s="8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8"/>
      <c r="BI63" s="6"/>
      <c r="BJ63" s="6"/>
      <c r="BK63" s="6"/>
      <c r="BL63" s="7"/>
      <c r="BM63" s="6"/>
      <c r="BN63" s="6"/>
      <c r="BO63" s="51"/>
      <c r="BP63" s="6"/>
      <c r="BQ63" s="52"/>
      <c r="BR63" s="52"/>
      <c r="BS63" s="52"/>
      <c r="BT63" s="53"/>
      <c r="BU63" s="6"/>
      <c r="BV63" s="3"/>
      <c r="BW63" s="6"/>
      <c r="BX63" s="6"/>
      <c r="BY63" s="3"/>
      <c r="BZ63" s="7"/>
      <c r="CA63" s="7"/>
      <c r="CB63" s="7"/>
      <c r="CC63" s="7"/>
      <c r="CD63" s="7"/>
      <c r="CE63" s="6"/>
      <c r="CF63" s="6"/>
      <c r="CG63" s="6"/>
      <c r="CH63" s="3"/>
      <c r="CI63" s="29"/>
      <c r="CJ63" s="41"/>
      <c r="CK63" s="29"/>
      <c r="CL63" s="29"/>
      <c r="CM63" s="2"/>
      <c r="CN63" s="2"/>
      <c r="CO63" s="134"/>
      <c r="CP63" s="134"/>
      <c r="CQ63" s="29"/>
      <c r="CR63" s="30"/>
      <c r="CS63" s="29"/>
      <c r="CT63" s="29"/>
      <c r="CU63" s="29"/>
      <c r="CV63" s="29"/>
      <c r="CW63" s="2"/>
      <c r="CX63" s="2"/>
      <c r="CY63" s="2"/>
      <c r="CZ63" s="2"/>
      <c r="DA63" s="50"/>
    </row>
    <row r="64" spans="1:132" x14ac:dyDescent="0.2">
      <c r="A64" s="2"/>
      <c r="B64" s="2"/>
      <c r="C64" s="2"/>
      <c r="D64" s="2"/>
      <c r="E64" s="8"/>
      <c r="F64" s="8"/>
      <c r="G64" s="34"/>
      <c r="H64" s="6">
        <f>AVERAGE(H62:H63)</f>
        <v>45.49051</v>
      </c>
      <c r="I64" s="6">
        <f t="shared" ref="I64:Q64" si="2">AVERAGE(I62:I63)</f>
        <v>0.26348850000000001</v>
      </c>
      <c r="J64" s="6">
        <f t="shared" si="2"/>
        <v>27.659925000000001</v>
      </c>
      <c r="K64" s="6">
        <f t="shared" si="2"/>
        <v>0.13881080000000001</v>
      </c>
      <c r="L64" s="6">
        <f t="shared" si="2"/>
        <v>5.2232750000000001</v>
      </c>
      <c r="M64" s="6">
        <f t="shared" si="2"/>
        <v>7.68736E-2</v>
      </c>
      <c r="N64" s="6">
        <f t="shared" si="2"/>
        <v>5.4091100000000001</v>
      </c>
      <c r="O64" s="6">
        <f t="shared" si="2"/>
        <v>15.48076</v>
      </c>
      <c r="P64" s="6">
        <f t="shared" si="2"/>
        <v>0.39400200000000002</v>
      </c>
      <c r="Q64" s="6">
        <f t="shared" si="2"/>
        <v>2.3419789999999996E-2</v>
      </c>
      <c r="R64" s="3"/>
      <c r="S64" s="16"/>
      <c r="T64" s="38">
        <f t="shared" si="0"/>
        <v>64.863263057420383</v>
      </c>
      <c r="U64" s="16"/>
      <c r="V64" s="7"/>
      <c r="W64" s="3"/>
      <c r="AC64" s="2"/>
      <c r="AD64" s="2"/>
      <c r="AE64" s="16"/>
      <c r="AF64" s="16"/>
      <c r="AG64" s="16"/>
      <c r="AH64" s="16"/>
      <c r="AI64" s="6"/>
      <c r="AJ64" s="8"/>
      <c r="AK64" s="6"/>
      <c r="AL64" s="7"/>
      <c r="AM64" s="8"/>
      <c r="AN64" s="8"/>
      <c r="AO64" s="7"/>
      <c r="AP64" s="8"/>
      <c r="AQ64" s="6"/>
      <c r="AR64" s="6"/>
      <c r="AS64" s="6"/>
      <c r="AT64" s="8"/>
      <c r="AU64" s="8"/>
      <c r="AV64" s="54"/>
      <c r="AW64" s="8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8"/>
      <c r="BI64" s="6"/>
      <c r="BJ64" s="6"/>
      <c r="BK64" s="6"/>
      <c r="BL64" s="7"/>
      <c r="BM64" s="6"/>
      <c r="BN64" s="6"/>
      <c r="BO64" s="51"/>
      <c r="BP64" s="6"/>
      <c r="BQ64" s="52"/>
      <c r="BR64" s="52"/>
      <c r="BS64" s="52"/>
      <c r="BT64" s="53"/>
      <c r="BU64" s="6"/>
      <c r="BV64" s="3"/>
      <c r="BW64" s="6"/>
      <c r="BX64" s="6"/>
      <c r="BY64" s="3"/>
      <c r="BZ64" s="7"/>
      <c r="CA64" s="7"/>
      <c r="CB64" s="7"/>
      <c r="CC64" s="7"/>
      <c r="CD64" s="7"/>
      <c r="CE64" s="6"/>
      <c r="CF64" s="6"/>
      <c r="CG64" s="6"/>
      <c r="CH64" s="3"/>
      <c r="CI64" s="29"/>
      <c r="CJ64" s="41"/>
      <c r="CK64" s="29"/>
      <c r="CL64" s="29"/>
      <c r="CM64" s="2"/>
      <c r="CN64" s="2"/>
      <c r="CO64" s="134"/>
      <c r="CP64" s="134"/>
      <c r="CQ64" s="29"/>
      <c r="CR64" s="30"/>
      <c r="CS64" s="29"/>
      <c r="CT64" s="29"/>
      <c r="CU64" s="29"/>
      <c r="CV64" s="29"/>
      <c r="CW64" s="2"/>
      <c r="CX64" s="2"/>
      <c r="CY64" s="2"/>
      <c r="CZ64" s="2"/>
      <c r="DA64" s="50"/>
    </row>
    <row r="65" spans="1:132" x14ac:dyDescent="0.2">
      <c r="A65" s="2"/>
      <c r="B65" s="2"/>
      <c r="C65" s="2"/>
      <c r="D65" s="2"/>
      <c r="E65" s="8"/>
      <c r="F65" s="8"/>
      <c r="G65" s="34"/>
      <c r="H65" s="6"/>
      <c r="P65" s="3"/>
      <c r="Q65" s="3"/>
      <c r="R65" s="3"/>
      <c r="S65" s="16"/>
      <c r="T65" s="38" t="e">
        <f t="shared" si="0"/>
        <v>#DIV/0!</v>
      </c>
      <c r="U65" s="16"/>
      <c r="V65" s="7"/>
      <c r="W65" s="3"/>
      <c r="AC65" s="2"/>
      <c r="AD65" s="2"/>
      <c r="AE65" s="16"/>
      <c r="AF65" s="16"/>
      <c r="AG65" s="16"/>
      <c r="AH65" s="16"/>
      <c r="AI65" s="6"/>
      <c r="AJ65" s="8"/>
      <c r="AK65" s="6"/>
      <c r="AL65" s="7"/>
      <c r="AM65" s="8"/>
      <c r="AN65" s="8"/>
      <c r="AO65" s="7"/>
      <c r="AP65" s="8"/>
      <c r="AQ65" s="6"/>
      <c r="AR65" s="6"/>
      <c r="AS65" s="6"/>
      <c r="AT65" s="8"/>
      <c r="AU65" s="8"/>
      <c r="AV65" s="54"/>
      <c r="AW65" s="8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8"/>
      <c r="BI65" s="6"/>
      <c r="BJ65" s="6"/>
      <c r="BK65" s="6"/>
      <c r="BL65" s="7"/>
      <c r="BM65" s="6"/>
      <c r="BN65" s="6"/>
      <c r="BO65" s="51"/>
      <c r="BP65" s="6"/>
      <c r="BQ65" s="52"/>
      <c r="BR65" s="52"/>
      <c r="BS65" s="52"/>
      <c r="BT65" s="53"/>
      <c r="BU65" s="6"/>
      <c r="BV65" s="3"/>
      <c r="BW65" s="6"/>
      <c r="BX65" s="6"/>
      <c r="BY65" s="3"/>
      <c r="BZ65" s="7"/>
      <c r="CA65" s="7"/>
      <c r="CB65" s="7"/>
      <c r="CC65" s="7"/>
      <c r="CD65" s="7"/>
      <c r="CE65" s="6"/>
      <c r="CF65" s="6"/>
      <c r="CG65" s="6"/>
      <c r="CH65" s="3"/>
      <c r="CI65" s="29"/>
      <c r="CJ65" s="41"/>
      <c r="CK65" s="29"/>
      <c r="CL65" s="29"/>
      <c r="CM65" s="2"/>
      <c r="CN65" s="2"/>
      <c r="CO65" s="134"/>
      <c r="CP65" s="134"/>
      <c r="CQ65" s="29"/>
      <c r="CR65" s="30"/>
      <c r="CS65" s="29"/>
      <c r="CT65" s="29"/>
      <c r="CU65" s="29"/>
      <c r="CV65" s="29"/>
      <c r="CW65" s="2"/>
      <c r="CX65" s="2"/>
      <c r="CY65" s="2"/>
      <c r="CZ65" s="2"/>
      <c r="DA65" s="50"/>
    </row>
    <row r="66" spans="1:132" x14ac:dyDescent="0.2">
      <c r="A66" s="2"/>
      <c r="B66" s="2"/>
      <c r="C66" s="2"/>
      <c r="D66" s="2"/>
      <c r="E66" s="8"/>
      <c r="F66" s="8"/>
      <c r="G66" s="34"/>
      <c r="H66" s="6"/>
      <c r="P66" s="3"/>
      <c r="Q66" s="3"/>
      <c r="R66" s="3"/>
      <c r="S66" s="16"/>
      <c r="T66" s="38" t="e">
        <f t="shared" si="0"/>
        <v>#DIV/0!</v>
      </c>
      <c r="U66" s="16"/>
      <c r="V66" s="7"/>
      <c r="W66" s="3"/>
      <c r="AC66" s="2"/>
      <c r="AD66" s="2"/>
      <c r="AE66" s="16"/>
      <c r="AF66" s="16"/>
      <c r="AG66" s="16"/>
      <c r="AH66" s="16"/>
      <c r="AI66" s="6"/>
      <c r="AJ66" s="8"/>
      <c r="AK66" s="6"/>
      <c r="AL66" s="7"/>
      <c r="AM66" s="8"/>
      <c r="AN66" s="8"/>
      <c r="AO66" s="7"/>
      <c r="AP66" s="8"/>
      <c r="AQ66" s="6"/>
      <c r="AR66" s="6"/>
      <c r="AS66" s="6"/>
      <c r="AT66" s="8"/>
      <c r="AU66" s="8"/>
      <c r="AV66" s="54"/>
      <c r="AW66" s="8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8"/>
      <c r="BI66" s="6"/>
      <c r="BJ66" s="6"/>
      <c r="BK66" s="6"/>
      <c r="BL66" s="7"/>
      <c r="BM66" s="6"/>
      <c r="BN66" s="6"/>
      <c r="BO66" s="51"/>
      <c r="BP66" s="6"/>
      <c r="BQ66" s="52"/>
      <c r="BR66" s="52"/>
      <c r="BS66" s="52"/>
      <c r="BT66" s="53"/>
      <c r="BU66" s="6"/>
      <c r="BV66" s="3"/>
      <c r="BW66" s="6"/>
      <c r="BX66" s="6"/>
      <c r="BY66" s="3"/>
      <c r="BZ66" s="7"/>
      <c r="CA66" s="7"/>
      <c r="CB66" s="7"/>
      <c r="CC66" s="7"/>
      <c r="CD66" s="7"/>
      <c r="CE66" s="6"/>
      <c r="CF66" s="6"/>
      <c r="CG66" s="6"/>
      <c r="CH66" s="3"/>
      <c r="CI66" s="29"/>
      <c r="CJ66" s="41"/>
      <c r="CK66" s="29"/>
      <c r="CL66" s="29"/>
      <c r="CM66" s="2"/>
      <c r="CN66" s="2"/>
      <c r="CO66" s="134"/>
      <c r="CP66" s="134"/>
      <c r="CQ66" s="29"/>
      <c r="CR66" s="30"/>
      <c r="CS66" s="29"/>
      <c r="CT66" s="29"/>
      <c r="CU66" s="29"/>
      <c r="CV66" s="29"/>
      <c r="CW66" s="2"/>
      <c r="CX66" s="2"/>
      <c r="CY66" s="2"/>
      <c r="CZ66" s="2"/>
      <c r="DA66" s="50"/>
    </row>
    <row r="67" spans="1:132" x14ac:dyDescent="0.2">
      <c r="A67" t="s">
        <v>221</v>
      </c>
      <c r="C67" s="2"/>
      <c r="D67" t="s">
        <v>223</v>
      </c>
      <c r="E67" s="14">
        <v>50.51</v>
      </c>
      <c r="F67" s="14"/>
      <c r="H67" s="6"/>
      <c r="I67" s="6">
        <v>0.27</v>
      </c>
      <c r="J67" s="6">
        <v>25.8</v>
      </c>
      <c r="K67" s="3">
        <v>0.154</v>
      </c>
      <c r="L67" s="6">
        <v>5.64</v>
      </c>
      <c r="M67" s="3">
        <v>8.1000000000000003E-2</v>
      </c>
      <c r="N67" s="6">
        <v>5.0999999999999996</v>
      </c>
      <c r="O67" s="7">
        <v>16.7</v>
      </c>
      <c r="P67" s="3">
        <v>0.41</v>
      </c>
      <c r="Q67" s="3">
        <v>3.6999999999999998E-2</v>
      </c>
      <c r="R67" s="3"/>
      <c r="S67" s="3"/>
      <c r="T67" s="38">
        <f t="shared" ref="T67:T130" si="3">100*(N67/40.304)/(N67/40.304+L67/71.846)</f>
        <v>61.714098731482224</v>
      </c>
      <c r="U67" s="3"/>
      <c r="V67" s="2"/>
      <c r="Z67" s="8">
        <v>627.34500000000003</v>
      </c>
      <c r="AC67" s="6"/>
      <c r="AD67" s="31">
        <v>307.137</v>
      </c>
      <c r="AE67" s="3"/>
      <c r="AF67" s="3"/>
      <c r="AG67" s="3"/>
      <c r="AH67" s="3"/>
      <c r="AI67" s="6">
        <v>12.2</v>
      </c>
      <c r="AJ67" s="8">
        <v>1053.6679999999999</v>
      </c>
      <c r="AK67" s="7"/>
      <c r="AL67" s="7">
        <v>19.2</v>
      </c>
      <c r="AM67" s="8">
        <v>148</v>
      </c>
      <c r="AN67" s="8"/>
      <c r="AO67" s="7"/>
      <c r="AP67" s="8"/>
      <c r="AQ67" s="6"/>
      <c r="AR67" s="6"/>
      <c r="AS67" s="6"/>
      <c r="AT67" s="8"/>
      <c r="AU67" s="8">
        <v>180</v>
      </c>
      <c r="AV67" s="54">
        <v>6.7328258755111898</v>
      </c>
      <c r="AW67" s="8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8">
        <v>28</v>
      </c>
      <c r="BI67" s="6">
        <v>1.27</v>
      </c>
      <c r="BJ67" s="7">
        <v>3</v>
      </c>
      <c r="BK67" s="7"/>
      <c r="BL67" s="7">
        <v>2</v>
      </c>
      <c r="BM67" s="6">
        <v>0.65</v>
      </c>
      <c r="BN67" s="6">
        <v>0.82</v>
      </c>
      <c r="BO67" s="51">
        <v>0.77665807267215359</v>
      </c>
      <c r="BP67" s="6">
        <v>0.14000000000000001</v>
      </c>
      <c r="BQ67" s="52">
        <v>1.023175772342261</v>
      </c>
      <c r="BR67" s="52">
        <v>0.23807890132473652</v>
      </c>
      <c r="BS67" s="52">
        <v>0.69123122472217924</v>
      </c>
      <c r="BT67" s="53">
        <v>0.10696850465387847</v>
      </c>
      <c r="BU67" s="6">
        <v>0.73</v>
      </c>
      <c r="BV67" s="3">
        <v>0.11700000000000001</v>
      </c>
      <c r="BW67" s="6">
        <v>0.45</v>
      </c>
      <c r="BX67" s="6">
        <v>3.4000000000000002E-2</v>
      </c>
      <c r="BY67" s="3"/>
      <c r="BZ67" s="7">
        <v>5.7</v>
      </c>
      <c r="CA67" s="7">
        <v>1.3</v>
      </c>
      <c r="CB67" s="7"/>
      <c r="CC67" s="7"/>
      <c r="CD67" s="7"/>
      <c r="CE67" s="6">
        <v>0.2</v>
      </c>
      <c r="CF67" s="6">
        <v>0.04</v>
      </c>
      <c r="CG67" s="6">
        <v>3.65</v>
      </c>
      <c r="CH67" s="6"/>
      <c r="CI67" s="29">
        <v>0.80110274236941859</v>
      </c>
      <c r="CJ67" s="41">
        <v>0.79341782627670443</v>
      </c>
      <c r="CK67" s="29">
        <v>0.73545364937033786</v>
      </c>
      <c r="CL67" s="29"/>
      <c r="CM67" s="2"/>
      <c r="CN67" s="2"/>
      <c r="CO67" s="134">
        <v>8.7837837837837843E-3</v>
      </c>
      <c r="CP67" s="134"/>
      <c r="CQ67" s="29">
        <v>4.7872340425531922E-2</v>
      </c>
      <c r="CR67" s="30">
        <v>0.9042553191489362</v>
      </c>
      <c r="CS67" s="29">
        <v>1.4361702127659576E-2</v>
      </c>
      <c r="CT67" s="29"/>
      <c r="CU67" s="29"/>
      <c r="CV67" s="29"/>
      <c r="CW67" s="2"/>
      <c r="CX67" s="2"/>
      <c r="CY67" s="2"/>
      <c r="CZ67" s="2"/>
      <c r="DA67" s="50"/>
    </row>
    <row r="68" spans="1:132" s="130" customFormat="1" x14ac:dyDescent="0.2">
      <c r="A68" s="136" t="s">
        <v>221</v>
      </c>
      <c r="B68" s="136"/>
      <c r="C68" s="136" t="s">
        <v>220</v>
      </c>
      <c r="D68" s="136" t="s">
        <v>204</v>
      </c>
      <c r="E68" s="135">
        <v>198</v>
      </c>
      <c r="F68" s="135"/>
      <c r="G68" s="809">
        <v>9.166666666666666E-2</v>
      </c>
      <c r="H68" s="137">
        <v>44.497440000000005</v>
      </c>
      <c r="I68" s="137">
        <v>0.1901862</v>
      </c>
      <c r="J68" s="137">
        <v>27.5867</v>
      </c>
      <c r="K68" s="141">
        <v>0.10085040000000001</v>
      </c>
      <c r="L68" s="137">
        <v>4.3097750000000001</v>
      </c>
      <c r="M68" s="3">
        <v>5.6539520000000003E-2</v>
      </c>
      <c r="N68" s="137">
        <v>5.9698800000000007</v>
      </c>
      <c r="O68" s="138">
        <v>15.810960000000001</v>
      </c>
      <c r="P68" s="139">
        <v>0.42731600000000003</v>
      </c>
      <c r="Q68" s="139">
        <v>1.9875899999999998E-2</v>
      </c>
      <c r="R68" s="139"/>
      <c r="S68" s="140"/>
      <c r="T68" s="38">
        <f t="shared" si="3"/>
        <v>71.175344279823776</v>
      </c>
      <c r="U68" s="140"/>
      <c r="V68" s="138">
        <v>20.8</v>
      </c>
      <c r="W68" s="139">
        <v>0.114</v>
      </c>
      <c r="X68" s="136">
        <v>14.6</v>
      </c>
      <c r="Y68" s="136">
        <v>3.35</v>
      </c>
      <c r="Z68" s="136">
        <v>460</v>
      </c>
      <c r="AA68" s="136">
        <v>3.6</v>
      </c>
      <c r="AB68" s="136">
        <v>11.3</v>
      </c>
      <c r="AC68" s="136">
        <v>0.317</v>
      </c>
      <c r="AD68" s="136">
        <v>165</v>
      </c>
      <c r="AE68" s="140"/>
      <c r="AF68" s="140"/>
      <c r="AG68" s="140"/>
      <c r="AH68" s="140"/>
      <c r="AI68" s="137">
        <v>7.7</v>
      </c>
      <c r="AJ68" s="135">
        <v>690</v>
      </c>
      <c r="AK68" s="137"/>
      <c r="AL68" s="138">
        <v>16</v>
      </c>
      <c r="AM68" s="135">
        <v>142</v>
      </c>
      <c r="AN68" s="135"/>
      <c r="AO68" s="138"/>
      <c r="AP68" s="135"/>
      <c r="AQ68" s="137"/>
      <c r="AR68" s="137"/>
      <c r="AS68" s="137"/>
      <c r="AT68" s="135"/>
      <c r="AU68" s="135">
        <v>154</v>
      </c>
      <c r="AV68" s="54">
        <v>5.7620295573129736</v>
      </c>
      <c r="AW68" s="135">
        <v>33</v>
      </c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5">
        <v>28</v>
      </c>
      <c r="BI68" s="137">
        <v>1.32</v>
      </c>
      <c r="BJ68" s="137">
        <v>3.9</v>
      </c>
      <c r="BK68" s="137"/>
      <c r="BL68" s="138">
        <v>2</v>
      </c>
      <c r="BM68" s="137">
        <v>0.59</v>
      </c>
      <c r="BN68" s="137">
        <v>0.93</v>
      </c>
      <c r="BO68" s="143">
        <v>0.77853444248015702</v>
      </c>
      <c r="BP68" s="137">
        <v>0.15</v>
      </c>
      <c r="BQ68" s="151">
        <v>0.93472055606703441</v>
      </c>
      <c r="BR68" s="151">
        <v>0.2082420873614278</v>
      </c>
      <c r="BS68" s="151">
        <v>0.57880456428972149</v>
      </c>
      <c r="BT68" s="152">
        <v>8.5737416940430661E-2</v>
      </c>
      <c r="BU68" s="137">
        <v>0.56000000000000005</v>
      </c>
      <c r="BV68" s="139">
        <v>0.08</v>
      </c>
      <c r="BW68" s="137">
        <v>0.42</v>
      </c>
      <c r="BX68" s="137">
        <v>5.7000000000000002E-2</v>
      </c>
      <c r="BY68" s="139"/>
      <c r="BZ68" s="138">
        <v>6</v>
      </c>
      <c r="CA68" s="402">
        <v>1.5737704918032791</v>
      </c>
      <c r="CB68" s="138"/>
      <c r="CC68" s="138"/>
      <c r="CD68" s="138"/>
      <c r="CE68" s="137">
        <v>0.19</v>
      </c>
      <c r="CF68" s="137">
        <v>5.7000000000000002E-2</v>
      </c>
      <c r="CG68" s="6">
        <v>2.9473684210526319</v>
      </c>
      <c r="CH68" s="139"/>
      <c r="CI68" s="29">
        <v>0.68880176506568691</v>
      </c>
      <c r="CJ68" s="41">
        <v>0.80436318690212705</v>
      </c>
      <c r="CK68" s="29">
        <v>0.84243837547265688</v>
      </c>
      <c r="CL68" s="29"/>
      <c r="CM68" s="136"/>
      <c r="CN68" s="136"/>
      <c r="CO68" s="134"/>
      <c r="CP68" s="134"/>
      <c r="CQ68" s="29">
        <v>4.4129032258064513E-2</v>
      </c>
      <c r="CR68" s="146">
        <v>1.3851952828163885</v>
      </c>
      <c r="CS68" s="29">
        <v>1.3118902958971177E-2</v>
      </c>
      <c r="CT68" s="29"/>
      <c r="CU68" s="29"/>
      <c r="CV68" s="29"/>
      <c r="CW68" s="136"/>
      <c r="CX68" s="136"/>
      <c r="CY68" s="136"/>
      <c r="CZ68" s="136"/>
      <c r="DA68" s="50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</row>
    <row r="69" spans="1:132" x14ac:dyDescent="0.2">
      <c r="E69" s="8"/>
      <c r="F69" s="8"/>
      <c r="P69" s="3"/>
      <c r="Q69" s="3"/>
      <c r="R69" s="3"/>
      <c r="S69" s="3"/>
      <c r="T69" s="38" t="e">
        <f t="shared" si="3"/>
        <v>#DIV/0!</v>
      </c>
      <c r="U69" s="3"/>
      <c r="X69"/>
      <c r="Y69"/>
      <c r="AB69"/>
      <c r="AE69" s="3"/>
      <c r="AF69" s="3"/>
      <c r="AG69" s="3"/>
      <c r="AH69" s="3"/>
      <c r="AI69" s="6"/>
      <c r="AJ69" s="8"/>
      <c r="AK69" s="7"/>
      <c r="AL69" s="7"/>
      <c r="AM69" s="8"/>
      <c r="AN69" s="8"/>
      <c r="AO69" s="7"/>
      <c r="AP69" s="8"/>
      <c r="AQ69" s="6"/>
      <c r="AR69" s="6"/>
      <c r="AS69" s="6"/>
      <c r="AT69" s="8"/>
      <c r="AU69" s="8"/>
      <c r="AV69" s="54"/>
      <c r="AW69" s="8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8"/>
      <c r="BI69" s="6"/>
      <c r="BJ69" s="6"/>
      <c r="BK69" s="6"/>
      <c r="BL69" s="7"/>
      <c r="BM69" s="6"/>
      <c r="BN69" s="6"/>
      <c r="BO69" s="51"/>
      <c r="BP69" s="6"/>
      <c r="BQ69" s="52"/>
      <c r="BR69" s="52"/>
      <c r="BS69" s="52"/>
      <c r="BT69" s="53"/>
      <c r="BU69" s="6"/>
      <c r="BW69" s="6"/>
      <c r="BX69" s="6"/>
      <c r="BY69" s="6"/>
      <c r="BZ69" s="7"/>
      <c r="CA69" s="7"/>
      <c r="CB69" s="7"/>
      <c r="CC69" s="7"/>
      <c r="CD69" s="7"/>
      <c r="CE69" s="6"/>
      <c r="CF69" s="6"/>
      <c r="CG69" s="6"/>
      <c r="CH69" s="6"/>
      <c r="CI69" s="29"/>
      <c r="CJ69" s="41"/>
      <c r="CK69" s="29"/>
      <c r="CL69" s="29"/>
      <c r="CO69" s="134"/>
      <c r="CP69" s="134"/>
      <c r="CQ69" s="29"/>
      <c r="CR69" s="30"/>
      <c r="CS69" s="29"/>
      <c r="CT69" s="29"/>
      <c r="CU69" s="29"/>
      <c r="CV69" s="29"/>
      <c r="DA69" s="50"/>
    </row>
    <row r="70" spans="1:132" x14ac:dyDescent="0.2">
      <c r="B70" s="2"/>
      <c r="C70" s="2"/>
      <c r="E70" s="8"/>
      <c r="F70" s="8"/>
      <c r="H70" s="6"/>
      <c r="M70" s="127"/>
      <c r="P70" s="3"/>
      <c r="Q70" s="3"/>
      <c r="R70" s="3"/>
      <c r="S70" s="2"/>
      <c r="T70" s="38" t="e">
        <f t="shared" si="3"/>
        <v>#DIV/0!</v>
      </c>
      <c r="U70" s="2"/>
      <c r="V70" s="2"/>
      <c r="Y70" s="6"/>
      <c r="Z70" s="8"/>
      <c r="AC70" s="2"/>
      <c r="AD70" s="2"/>
      <c r="AF70" s="2"/>
      <c r="AG70" s="2"/>
      <c r="AH70" s="2"/>
      <c r="AI70" s="6"/>
      <c r="AJ70" s="8"/>
      <c r="AK70" s="6"/>
      <c r="AL70" s="7"/>
      <c r="AM70" s="8"/>
      <c r="AN70" s="8"/>
      <c r="AO70" s="7"/>
      <c r="AP70" s="8"/>
      <c r="AQ70" s="6"/>
      <c r="AR70" s="6"/>
      <c r="AS70" s="6"/>
      <c r="AT70" s="8"/>
      <c r="AU70" s="8"/>
      <c r="AV70" s="54"/>
      <c r="AW70" s="8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8"/>
      <c r="BI70" s="6"/>
      <c r="BJ70" s="6"/>
      <c r="BK70" s="51"/>
      <c r="BL70" s="54"/>
      <c r="BM70" s="6"/>
      <c r="BN70" s="6"/>
      <c r="BO70" s="51"/>
      <c r="BP70" s="6"/>
      <c r="BQ70" s="52"/>
      <c r="BR70" s="52"/>
      <c r="BS70" s="52"/>
      <c r="BT70" s="53"/>
      <c r="BU70" s="6"/>
      <c r="BV70" s="3"/>
      <c r="BW70" s="6"/>
      <c r="BX70" s="6"/>
      <c r="BY70" s="3"/>
      <c r="BZ70" s="7"/>
      <c r="CA70" s="7"/>
      <c r="CB70" s="7"/>
      <c r="CC70" s="7"/>
      <c r="CD70" s="7"/>
      <c r="CE70" s="6"/>
      <c r="CF70" s="6"/>
      <c r="CG70" s="3"/>
      <c r="CH70" s="3"/>
      <c r="CI70" s="29"/>
      <c r="CJ70" s="41"/>
      <c r="CK70" s="29"/>
      <c r="CL70" s="29"/>
      <c r="CM70" s="29"/>
      <c r="CN70" s="29"/>
      <c r="CO70" s="29"/>
      <c r="CP70" s="29"/>
      <c r="CQ70" s="29"/>
      <c r="CR70" s="30"/>
      <c r="CS70" s="29"/>
      <c r="CT70" s="29"/>
      <c r="CU70" s="29"/>
      <c r="CV70" s="29"/>
      <c r="CW70" s="29"/>
      <c r="CX70" s="29"/>
      <c r="CY70" s="29"/>
      <c r="CZ70" s="29"/>
      <c r="DA70" s="50"/>
    </row>
    <row r="71" spans="1:132" x14ac:dyDescent="0.2">
      <c r="A71" t="s">
        <v>228</v>
      </c>
      <c r="B71" s="2" t="s">
        <v>196</v>
      </c>
      <c r="C71" s="2" t="s">
        <v>230</v>
      </c>
      <c r="D71" s="2" t="s">
        <v>234</v>
      </c>
      <c r="E71" s="8">
        <v>121.09</v>
      </c>
      <c r="F71" s="8"/>
      <c r="G71" s="34">
        <v>5.6060185185185185E-2</v>
      </c>
      <c r="H71" s="6"/>
      <c r="I71" s="265">
        <v>0.19187573166198457</v>
      </c>
      <c r="J71" s="30"/>
      <c r="K71" s="32">
        <v>0.10110345511602939</v>
      </c>
      <c r="L71" s="6">
        <v>4.2545794859195638</v>
      </c>
      <c r="M71" s="3">
        <v>5.6219278790981903E-2</v>
      </c>
      <c r="N71" s="30"/>
      <c r="P71" s="3">
        <v>0.42902078751341982</v>
      </c>
      <c r="Q71" s="3">
        <v>1.6318853183582459E-2</v>
      </c>
      <c r="R71" s="3"/>
      <c r="S71" s="3"/>
      <c r="T71" s="38">
        <f t="shared" si="3"/>
        <v>0</v>
      </c>
      <c r="U71" s="3"/>
      <c r="V71" s="2"/>
      <c r="Z71" s="8">
        <v>435.40333636138405</v>
      </c>
      <c r="AC71" s="2"/>
      <c r="AD71" s="31">
        <v>135.46280027691799</v>
      </c>
      <c r="AE71" s="3"/>
      <c r="AF71" s="3"/>
      <c r="AG71" s="3"/>
      <c r="AH71" s="3"/>
      <c r="AI71" s="6">
        <v>7.8358138574613925</v>
      </c>
      <c r="AJ71" s="8">
        <v>691.73135684201827</v>
      </c>
      <c r="AK71" s="6"/>
      <c r="AL71" s="7">
        <v>14.156239160954662</v>
      </c>
      <c r="AM71" s="8">
        <v>145.666859360806</v>
      </c>
      <c r="AN71" s="8">
        <v>10.521347757866049</v>
      </c>
      <c r="AO71" s="7">
        <v>4.4949079197291271</v>
      </c>
      <c r="AP71" s="8"/>
      <c r="AQ71" s="7">
        <v>0.27567429184903797</v>
      </c>
      <c r="AR71" s="6">
        <v>0.35</v>
      </c>
      <c r="AS71" s="6"/>
      <c r="AT71" s="8"/>
      <c r="AU71" s="8">
        <v>131.83565942687255</v>
      </c>
      <c r="AV71" s="54">
        <v>5.9771910179543486</v>
      </c>
      <c r="AW71" s="8">
        <v>26.319184077958539</v>
      </c>
      <c r="AX71" s="6"/>
      <c r="AY71" s="6"/>
      <c r="AZ71" s="6"/>
      <c r="BA71" s="6"/>
      <c r="BB71" s="6"/>
      <c r="BC71" s="6"/>
      <c r="BD71" s="3">
        <v>1.7999999999999999E-2</v>
      </c>
      <c r="BE71" s="3"/>
      <c r="BF71" s="6"/>
      <c r="BG71" s="6">
        <v>4.2891650838219504E-2</v>
      </c>
      <c r="BH71" s="8">
        <v>28.582459327772732</v>
      </c>
      <c r="BI71" s="6">
        <v>1.1344429762986208</v>
      </c>
      <c r="BJ71" s="6">
        <v>2.8870988520934842</v>
      </c>
      <c r="BK71" s="51">
        <v>0.38435437158472535</v>
      </c>
      <c r="BL71" s="7">
        <v>1.8436097117846229</v>
      </c>
      <c r="BM71" s="6">
        <v>0.591796184656041</v>
      </c>
      <c r="BN71" s="6">
        <v>0.87464943430506237</v>
      </c>
      <c r="BO71" s="6">
        <v>0.75</v>
      </c>
      <c r="BP71" s="6">
        <v>0.14000000000000001</v>
      </c>
      <c r="BQ71" s="6">
        <v>0.9</v>
      </c>
      <c r="BR71" s="52">
        <v>0.21370010746619766</v>
      </c>
      <c r="BS71" s="52">
        <v>0.60693058280026624</v>
      </c>
      <c r="BT71" s="53">
        <v>9.1858021050259572E-2</v>
      </c>
      <c r="BU71" s="6">
        <v>0.6129754727888348</v>
      </c>
      <c r="BV71" s="3">
        <v>8.9563300024774958E-2</v>
      </c>
      <c r="BW71" s="6">
        <v>0.50785944338921463</v>
      </c>
      <c r="BX71" s="6">
        <v>6.7152531175158972E-2</v>
      </c>
      <c r="BY71" s="6">
        <v>0.25</v>
      </c>
      <c r="BZ71" s="7">
        <v>6.3084812949046158</v>
      </c>
      <c r="CA71" s="7">
        <v>4.379007349905029</v>
      </c>
      <c r="CB71" s="7"/>
      <c r="CC71" s="7"/>
      <c r="CD71" s="7"/>
      <c r="CE71" s="6">
        <v>0.21147823932612106</v>
      </c>
      <c r="CF71" s="6">
        <v>6.9057725658601049E-2</v>
      </c>
      <c r="CG71" s="6"/>
      <c r="CH71" s="6"/>
      <c r="CI71" s="29">
        <v>0.73495198051048216</v>
      </c>
      <c r="CJ71" s="41">
        <v>0.76898671887414904</v>
      </c>
      <c r="CK71" s="29">
        <v>0.76160758368626069</v>
      </c>
      <c r="CL71" s="29"/>
      <c r="CM71" s="29"/>
      <c r="CN71" s="29">
        <v>0.11669173855647316</v>
      </c>
      <c r="CO71" s="29"/>
      <c r="CP71" s="29"/>
      <c r="CQ71" s="29"/>
      <c r="CR71" s="30"/>
      <c r="CS71" s="29">
        <v>1.3213827354040125E-2</v>
      </c>
      <c r="CT71" s="29"/>
      <c r="CU71" s="29"/>
      <c r="CV71" s="29"/>
      <c r="CW71" s="29"/>
      <c r="CX71" s="29"/>
      <c r="CY71" s="29"/>
      <c r="CZ71" s="29"/>
      <c r="DA71" s="50"/>
    </row>
    <row r="72" spans="1:132" x14ac:dyDescent="0.2">
      <c r="A72" s="17" t="s">
        <v>228</v>
      </c>
      <c r="B72" s="17" t="s">
        <v>196</v>
      </c>
      <c r="C72" s="17" t="s">
        <v>235</v>
      </c>
      <c r="D72" s="17" t="s">
        <v>204</v>
      </c>
      <c r="E72" s="17">
        <v>229</v>
      </c>
      <c r="F72" s="17"/>
      <c r="G72" s="34">
        <v>0.10601851851851851</v>
      </c>
      <c r="H72" s="21">
        <v>45.139230000000005</v>
      </c>
      <c r="I72" s="21">
        <v>0.17850809999999998</v>
      </c>
      <c r="J72" s="21">
        <v>27.5867</v>
      </c>
      <c r="K72" s="32">
        <v>0.10377360000000001</v>
      </c>
      <c r="L72" s="21">
        <v>4.4384250000000005</v>
      </c>
      <c r="M72" s="3">
        <v>6.32688E-2</v>
      </c>
      <c r="N72" s="21">
        <v>5.8040500000000002</v>
      </c>
      <c r="O72" s="19">
        <v>16.370639999999998</v>
      </c>
      <c r="P72" s="20">
        <v>0.481236</v>
      </c>
      <c r="Q72" s="20">
        <v>2.6862579999999997E-2</v>
      </c>
      <c r="R72" s="20"/>
      <c r="S72" s="22"/>
      <c r="T72" s="38">
        <f t="shared" si="3"/>
        <v>69.979683304415303</v>
      </c>
      <c r="U72" s="22"/>
      <c r="V72" s="19">
        <v>21.1</v>
      </c>
      <c r="W72" s="20">
        <v>0.107</v>
      </c>
      <c r="X72" s="17">
        <v>14.6</v>
      </c>
      <c r="Y72" s="17">
        <v>3.45</v>
      </c>
      <c r="Z72" s="17">
        <v>490</v>
      </c>
      <c r="AA72" s="17">
        <v>3.5</v>
      </c>
      <c r="AB72" s="17">
        <v>11.7</v>
      </c>
      <c r="AC72" s="17">
        <v>0.35699999999999998</v>
      </c>
      <c r="AD72" s="17">
        <v>223</v>
      </c>
      <c r="AE72" s="22"/>
      <c r="AF72" s="22"/>
      <c r="AG72" s="22"/>
      <c r="AH72" s="22"/>
      <c r="AI72" s="21">
        <v>8.3000000000000007</v>
      </c>
      <c r="AJ72" s="18">
        <v>710</v>
      </c>
      <c r="AK72" s="18">
        <v>20</v>
      </c>
      <c r="AL72" s="19">
        <v>16.5</v>
      </c>
      <c r="AM72" s="18">
        <v>140</v>
      </c>
      <c r="AN72" s="18">
        <v>5.6</v>
      </c>
      <c r="AO72" s="19">
        <v>3.8</v>
      </c>
      <c r="AP72" s="21">
        <v>0.41</v>
      </c>
      <c r="AQ72" s="21"/>
      <c r="AR72" s="21"/>
      <c r="AS72" s="21"/>
      <c r="AT72" s="18"/>
      <c r="AU72" s="18">
        <v>198</v>
      </c>
      <c r="AV72" s="54">
        <v>5.4091147463586235</v>
      </c>
      <c r="AW72" s="18"/>
      <c r="AX72" s="21"/>
      <c r="AY72" s="21"/>
      <c r="AZ72" s="21"/>
      <c r="BA72" s="21">
        <v>1.5699999999999999E-2</v>
      </c>
      <c r="BB72" s="21"/>
      <c r="BC72" s="21"/>
      <c r="BD72" s="21"/>
      <c r="BE72" s="21"/>
      <c r="BF72" s="21"/>
      <c r="BG72" s="21">
        <v>5.5E-2</v>
      </c>
      <c r="BH72" s="18">
        <v>24</v>
      </c>
      <c r="BI72" s="21">
        <v>1.26</v>
      </c>
      <c r="BJ72" s="19">
        <v>3.2</v>
      </c>
      <c r="BK72" s="51">
        <v>0.3917389862465665</v>
      </c>
      <c r="BL72" s="19">
        <v>1.8</v>
      </c>
      <c r="BM72" s="21">
        <v>0.54</v>
      </c>
      <c r="BN72" s="21">
        <v>1.03</v>
      </c>
      <c r="BO72" s="51">
        <v>0.63829195919951165</v>
      </c>
      <c r="BP72" s="21">
        <v>0.11799999999999999</v>
      </c>
      <c r="BQ72" s="21">
        <v>0.8</v>
      </c>
      <c r="BR72" s="52">
        <v>0.19235384403982558</v>
      </c>
      <c r="BS72" s="52">
        <v>0.55220586021926876</v>
      </c>
      <c r="BT72" s="53">
        <v>8.4487205485266309E-2</v>
      </c>
      <c r="BU72" s="21">
        <v>0.56999999999999995</v>
      </c>
      <c r="BV72" s="20">
        <v>8.1000000000000003E-2</v>
      </c>
      <c r="BW72" s="21">
        <v>0.36</v>
      </c>
      <c r="BX72" s="21">
        <v>4.7E-2</v>
      </c>
      <c r="BY72" s="20"/>
      <c r="BZ72" s="19">
        <v>5.9</v>
      </c>
      <c r="CA72" s="19">
        <v>2.2000000000000002</v>
      </c>
      <c r="CB72" s="19"/>
      <c r="CC72" s="19"/>
      <c r="CD72" s="19"/>
      <c r="CE72" s="21">
        <v>0.16900000000000001</v>
      </c>
      <c r="CF72" s="157">
        <v>4.5433101910405171E-2</v>
      </c>
      <c r="CG72" s="21"/>
      <c r="CH72" s="21"/>
      <c r="CI72" s="29">
        <v>0.61991772375294252</v>
      </c>
      <c r="CJ72" s="41">
        <v>0.66552491365849431</v>
      </c>
      <c r="CK72" s="29">
        <v>0.62943324018709845</v>
      </c>
      <c r="CL72" s="29"/>
      <c r="CM72" s="30">
        <v>0.31296296296296294</v>
      </c>
      <c r="CN72" s="29"/>
      <c r="CO72" s="29">
        <v>1.5714285714285715E-2</v>
      </c>
      <c r="CP72" s="29"/>
      <c r="CQ72" s="29">
        <v>4.0218793828891992E-2</v>
      </c>
      <c r="CR72" s="30">
        <v>1.3076823422723149</v>
      </c>
      <c r="CS72" s="29">
        <v>1.4254786326230586E-2</v>
      </c>
      <c r="CT72" s="29"/>
      <c r="CU72" s="29"/>
      <c r="CV72" s="29"/>
      <c r="CW72" s="29"/>
      <c r="CX72" s="29"/>
      <c r="CY72" s="29"/>
      <c r="CZ72" s="29"/>
      <c r="DA72" s="50"/>
    </row>
    <row r="73" spans="1:132" x14ac:dyDescent="0.2">
      <c r="A73" s="17" t="s">
        <v>228</v>
      </c>
      <c r="B73" s="17" t="s">
        <v>196</v>
      </c>
      <c r="C73" s="17" t="s">
        <v>235</v>
      </c>
      <c r="D73" s="17" t="s">
        <v>204</v>
      </c>
      <c r="E73" s="17">
        <v>276</v>
      </c>
      <c r="F73" s="17"/>
      <c r="G73" s="34">
        <v>0.12777777777777777</v>
      </c>
      <c r="H73" s="21">
        <v>45.139230000000005</v>
      </c>
      <c r="I73" s="21">
        <v>0.2102058</v>
      </c>
      <c r="J73" s="21">
        <v>27.964600000000001</v>
      </c>
      <c r="K73" s="32">
        <v>9.6465600000000012E-2</v>
      </c>
      <c r="L73" s="21">
        <v>4.206855</v>
      </c>
      <c r="M73" s="3">
        <v>6.1977599999999994E-2</v>
      </c>
      <c r="N73" s="21">
        <v>5.4226410000000005</v>
      </c>
      <c r="O73" s="19">
        <v>15.67104</v>
      </c>
      <c r="P73" s="20">
        <v>0.44618800000000003</v>
      </c>
      <c r="Q73" s="20">
        <v>2.517614E-2</v>
      </c>
      <c r="R73" s="20"/>
      <c r="S73" s="22"/>
      <c r="T73" s="38">
        <f t="shared" si="3"/>
        <v>69.676536681598904</v>
      </c>
      <c r="U73" s="22"/>
      <c r="V73" s="19">
        <v>21.1</v>
      </c>
      <c r="W73" s="20">
        <v>0.126</v>
      </c>
      <c r="X73" s="17">
        <v>14.8</v>
      </c>
      <c r="Y73" s="17">
        <v>3.27</v>
      </c>
      <c r="Z73" s="17">
        <v>480</v>
      </c>
      <c r="AA73" s="17">
        <v>3.27</v>
      </c>
      <c r="AB73" s="17">
        <v>11.2</v>
      </c>
      <c r="AC73" s="17">
        <v>0.33100000000000002</v>
      </c>
      <c r="AD73" s="17">
        <v>209</v>
      </c>
      <c r="AE73" s="22"/>
      <c r="AF73" s="22"/>
      <c r="AG73" s="22"/>
      <c r="AH73" s="22"/>
      <c r="AI73" s="21">
        <v>8.1</v>
      </c>
      <c r="AJ73" s="18">
        <v>660</v>
      </c>
      <c r="AK73" s="18">
        <v>30</v>
      </c>
      <c r="AL73" s="19">
        <v>14.4</v>
      </c>
      <c r="AM73" s="18">
        <v>119</v>
      </c>
      <c r="AN73" s="18">
        <v>6.4</v>
      </c>
      <c r="AO73" s="19">
        <v>3.4</v>
      </c>
      <c r="AP73" s="21">
        <v>0.43</v>
      </c>
      <c r="AQ73" s="21"/>
      <c r="AR73" s="21"/>
      <c r="AS73" s="21">
        <v>0.12</v>
      </c>
      <c r="AT73" s="18"/>
      <c r="AU73" s="18">
        <v>160</v>
      </c>
      <c r="AV73" s="54">
        <v>6.1058044251044565</v>
      </c>
      <c r="AW73" s="18">
        <v>29</v>
      </c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18">
        <v>26</v>
      </c>
      <c r="BI73" s="21">
        <v>1.56</v>
      </c>
      <c r="BJ73" s="19">
        <v>4</v>
      </c>
      <c r="BK73" s="51">
        <v>0.495319052474674</v>
      </c>
      <c r="BL73" s="19">
        <v>2.2999999999999998</v>
      </c>
      <c r="BM73" s="21">
        <v>0.66</v>
      </c>
      <c r="BN73" s="21">
        <v>1.03</v>
      </c>
      <c r="BO73" s="51">
        <v>0.78497374338367631</v>
      </c>
      <c r="BP73" s="21">
        <v>0.14399999999999999</v>
      </c>
      <c r="BQ73" s="21">
        <v>0.97</v>
      </c>
      <c r="BR73" s="52">
        <v>0.21944702182816481</v>
      </c>
      <c r="BS73" s="52">
        <v>0.61674491774788032</v>
      </c>
      <c r="BT73" s="53">
        <v>9.237140959927069E-2</v>
      </c>
      <c r="BU73" s="21">
        <v>0.61</v>
      </c>
      <c r="BV73" s="20">
        <v>8.5999999999999993E-2</v>
      </c>
      <c r="BW73" s="21">
        <v>0.47</v>
      </c>
      <c r="BX73" s="21">
        <v>6.0999999999999999E-2</v>
      </c>
      <c r="BY73" s="20"/>
      <c r="BZ73" s="19">
        <v>6.1</v>
      </c>
      <c r="CA73" s="19">
        <v>1.76</v>
      </c>
      <c r="CB73" s="21"/>
      <c r="CC73" s="21"/>
      <c r="CD73" s="21"/>
      <c r="CE73" s="21">
        <v>0.25</v>
      </c>
      <c r="CF73" s="21">
        <v>6.2E-2</v>
      </c>
      <c r="CG73" s="21"/>
      <c r="CH73" s="21"/>
      <c r="CI73" s="29">
        <v>0.75377664635909847</v>
      </c>
      <c r="CJ73" s="41">
        <v>0.81258364600222444</v>
      </c>
      <c r="CK73" s="29">
        <v>0.78856093778970593</v>
      </c>
      <c r="CL73" s="29"/>
      <c r="CM73" s="30">
        <v>0.37878787878787878</v>
      </c>
      <c r="CN73" s="29">
        <v>9.3939393939393934E-2</v>
      </c>
      <c r="CO73" s="29">
        <v>1.4789915966386555E-2</v>
      </c>
      <c r="CP73" s="29"/>
      <c r="CQ73" s="29">
        <v>4.9967445989937853E-2</v>
      </c>
      <c r="CR73" s="30">
        <v>1.2890011659541392</v>
      </c>
      <c r="CS73" s="29">
        <v>1.4732525841751141E-2</v>
      </c>
      <c r="CT73" s="29"/>
      <c r="CU73" s="29"/>
      <c r="CV73" s="29"/>
      <c r="CW73" s="29"/>
      <c r="CX73" s="29"/>
      <c r="CY73" s="29"/>
      <c r="CZ73" s="29"/>
      <c r="DA73" s="50"/>
    </row>
    <row r="74" spans="1:132" x14ac:dyDescent="0.2">
      <c r="A74" t="s">
        <v>228</v>
      </c>
      <c r="C74" s="2" t="s">
        <v>236</v>
      </c>
      <c r="D74" s="23" t="s">
        <v>237</v>
      </c>
      <c r="E74" s="31">
        <v>256.5</v>
      </c>
      <c r="F74" s="31"/>
      <c r="G74" s="34">
        <v>0.11874999999999999</v>
      </c>
      <c r="H74" s="30">
        <v>44.465575048732944</v>
      </c>
      <c r="I74" s="30">
        <v>0.18106042884990253</v>
      </c>
      <c r="J74" s="30">
        <v>29.239571150097461</v>
      </c>
      <c r="K74" s="32">
        <v>0.10226322301754386</v>
      </c>
      <c r="L74" s="30">
        <v>4.2306510721247568</v>
      </c>
      <c r="M74" s="3">
        <v>5.6716652163742685E-2</v>
      </c>
      <c r="N74" s="30">
        <v>5.0602222222222215</v>
      </c>
      <c r="O74" s="33">
        <v>16.40690058479532</v>
      </c>
      <c r="P74" s="32">
        <v>0.44195984405458083</v>
      </c>
      <c r="R74" s="49">
        <v>2.589282E-2</v>
      </c>
      <c r="S74" s="55"/>
      <c r="T74" s="38">
        <f t="shared" si="3"/>
        <v>68.073002361166587</v>
      </c>
      <c r="U74" s="55"/>
      <c r="Z74" s="31">
        <v>439.25536062378166</v>
      </c>
      <c r="AE74" s="2">
        <v>113</v>
      </c>
      <c r="AI74" s="30">
        <v>8.5817894736842106</v>
      </c>
      <c r="AJ74" s="31">
        <v>699.66627680311888</v>
      </c>
      <c r="AL74" s="33">
        <v>14.549005847953216</v>
      </c>
      <c r="AM74" s="31">
        <v>133.45029239766083</v>
      </c>
      <c r="AU74" s="31">
        <v>169.6335282651072</v>
      </c>
      <c r="AV74" s="54">
        <v>5.845145846405738</v>
      </c>
      <c r="BH74" s="31">
        <v>29.026510721247565</v>
      </c>
      <c r="BI74" s="30">
        <v>1.2493372319688107</v>
      </c>
      <c r="BJ74" s="30">
        <v>3.4256881091617939</v>
      </c>
      <c r="BK74" s="30"/>
      <c r="BM74" s="30">
        <v>0.62060818713450294</v>
      </c>
      <c r="BN74" s="30">
        <v>0.92819532163742691</v>
      </c>
      <c r="BO74" s="51">
        <v>0.74163312526960745</v>
      </c>
      <c r="BP74" s="30">
        <v>0.13242144249512669</v>
      </c>
      <c r="BQ74" s="52">
        <v>0.92081389932437874</v>
      </c>
      <c r="BR74" s="52">
        <v>0.20919120023685378</v>
      </c>
      <c r="BS74" s="52">
        <v>0.59292093450197725</v>
      </c>
      <c r="BT74" s="53">
        <v>8.9563338474106358E-2</v>
      </c>
      <c r="BU74" s="30">
        <v>0.59655165692007783</v>
      </c>
      <c r="BV74" s="32">
        <v>8.414307992202727E-2</v>
      </c>
      <c r="BW74" s="30">
        <v>0.45498635477582849</v>
      </c>
      <c r="BX74" s="30">
        <v>5.6681871345029236E-2</v>
      </c>
      <c r="BY74" s="30"/>
      <c r="BZ74" s="33">
        <v>3.9002729044834306</v>
      </c>
      <c r="CA74" s="33">
        <v>3.1346978557504874</v>
      </c>
      <c r="CB74" s="30"/>
      <c r="CC74" s="30"/>
      <c r="CD74" s="30"/>
      <c r="CE74" s="30">
        <v>0.21942923976608186</v>
      </c>
      <c r="CF74" s="30">
        <v>4.7272514619883035E-2</v>
      </c>
      <c r="CG74" s="30"/>
      <c r="CI74" s="29">
        <v>0.75579433990268663</v>
      </c>
      <c r="CJ74" s="41">
        <v>0.75281880543688828</v>
      </c>
      <c r="CK74" s="29">
        <v>0.71628623046924733</v>
      </c>
      <c r="CL74" s="29"/>
      <c r="CM74" s="29"/>
      <c r="CN74" s="29">
        <v>7.6171271342957286E-2</v>
      </c>
      <c r="CO74" s="29">
        <v>2.3489628980426523E-2</v>
      </c>
      <c r="CP74" s="29"/>
      <c r="CQ74" s="29">
        <v>4.2797296624835737E-2</v>
      </c>
      <c r="CR74" s="30">
        <v>1.1960859300270372</v>
      </c>
      <c r="CS74" s="29">
        <v>1.3406128559606765E-2</v>
      </c>
      <c r="CT74" s="29"/>
      <c r="CU74" s="29"/>
      <c r="CV74" s="29"/>
      <c r="CW74" s="29"/>
      <c r="CX74" s="29"/>
      <c r="CY74" s="29"/>
      <c r="CZ74" s="29"/>
      <c r="DA74" s="50"/>
    </row>
    <row r="75" spans="1:132" x14ac:dyDescent="0.2">
      <c r="A75" t="s">
        <v>228</v>
      </c>
      <c r="B75" s="2" t="s">
        <v>196</v>
      </c>
      <c r="C75" s="2" t="s">
        <v>238</v>
      </c>
      <c r="D75" s="2" t="s">
        <v>239</v>
      </c>
      <c r="E75" s="8">
        <v>122</v>
      </c>
      <c r="F75" s="8"/>
      <c r="G75" s="34">
        <v>5.648148148148148E-2</v>
      </c>
      <c r="I75" s="6">
        <v>0.20019599999999999</v>
      </c>
      <c r="J75" s="6">
        <v>27.5867</v>
      </c>
      <c r="K75" s="32">
        <v>0.10581984</v>
      </c>
      <c r="L75" s="6">
        <v>4.3612349999999998</v>
      </c>
      <c r="M75" s="3">
        <v>6.2364959999999997E-2</v>
      </c>
      <c r="N75" s="6">
        <v>5.9367140000000003</v>
      </c>
      <c r="O75" s="7">
        <v>16.72</v>
      </c>
      <c r="P75" s="3">
        <v>0.40440000000000004</v>
      </c>
      <c r="Q75" s="3">
        <v>1.8068999999999998E-2</v>
      </c>
      <c r="R75" s="3"/>
      <c r="S75" s="3"/>
      <c r="T75" s="38">
        <f t="shared" si="3"/>
        <v>70.816214468012532</v>
      </c>
      <c r="U75" s="3"/>
      <c r="V75" s="2"/>
      <c r="W75" s="2">
        <v>0.12</v>
      </c>
      <c r="X75" s="2">
        <v>14.6</v>
      </c>
      <c r="Y75" s="2">
        <v>3.39</v>
      </c>
      <c r="Z75" s="2">
        <v>483</v>
      </c>
      <c r="AA75" s="2">
        <v>3.58</v>
      </c>
      <c r="AB75" s="2">
        <v>11.5</v>
      </c>
      <c r="AC75" s="6">
        <v>0.3</v>
      </c>
      <c r="AD75" s="2">
        <v>150</v>
      </c>
      <c r="AE75" s="3"/>
      <c r="AF75" s="3"/>
      <c r="AG75" s="3"/>
      <c r="AH75" s="3"/>
      <c r="AI75" s="6">
        <v>8.84</v>
      </c>
      <c r="AJ75" s="8">
        <v>724</v>
      </c>
      <c r="AK75" s="2">
        <v>28</v>
      </c>
      <c r="AL75" s="7">
        <v>14.8</v>
      </c>
      <c r="AM75" s="8">
        <v>130</v>
      </c>
      <c r="AN75" s="8">
        <v>14</v>
      </c>
      <c r="AO75" s="7">
        <v>3.54</v>
      </c>
      <c r="AP75" s="2"/>
      <c r="AQ75" s="6"/>
      <c r="AR75" s="6"/>
      <c r="AS75" s="6"/>
      <c r="AT75" s="8"/>
      <c r="AU75" s="8">
        <v>174</v>
      </c>
      <c r="AV75" s="54">
        <v>6.3778313316281814</v>
      </c>
      <c r="AW75" s="8">
        <v>23</v>
      </c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8">
        <v>23</v>
      </c>
      <c r="BI75" s="6">
        <v>1.35</v>
      </c>
      <c r="BJ75" s="2">
        <v>3.36</v>
      </c>
      <c r="BK75" s="51">
        <v>0.4582311971747039</v>
      </c>
      <c r="BL75" s="7">
        <v>2.2000000000000002</v>
      </c>
      <c r="BM75" s="6">
        <v>0.65500000000000003</v>
      </c>
      <c r="BN75" s="6">
        <v>0.85799999999999998</v>
      </c>
      <c r="BO75" s="51">
        <v>0.79676591531111873</v>
      </c>
      <c r="BP75" s="6">
        <v>0.14499999999999999</v>
      </c>
      <c r="BQ75" s="2">
        <v>0.99</v>
      </c>
      <c r="BR75" s="2">
        <v>0.23</v>
      </c>
      <c r="BS75" s="52">
        <v>0.64204832224483921</v>
      </c>
      <c r="BT75" s="2">
        <v>9.8000000000000004E-2</v>
      </c>
      <c r="BU75" s="2">
        <v>0.64700000000000002</v>
      </c>
      <c r="BV75" s="3">
        <v>9.4E-2</v>
      </c>
      <c r="BW75" s="6">
        <v>0.47</v>
      </c>
      <c r="BX75" s="6">
        <v>5.5E-2</v>
      </c>
      <c r="BY75" s="2"/>
      <c r="BZ75" s="7">
        <v>5.9</v>
      </c>
      <c r="CA75" s="7">
        <v>1.3</v>
      </c>
      <c r="CB75" s="2"/>
      <c r="CC75" s="2"/>
      <c r="CD75" s="2"/>
      <c r="CE75" s="6">
        <v>0.21</v>
      </c>
      <c r="CF75" s="6">
        <v>0.05</v>
      </c>
      <c r="CG75" s="3"/>
      <c r="CH75" s="3"/>
      <c r="CI75" s="29">
        <v>0.79019689732101894</v>
      </c>
      <c r="CJ75" s="41">
        <v>0.81427378250504445</v>
      </c>
      <c r="CK75" s="29">
        <v>0.78582706610729269</v>
      </c>
      <c r="CL75" s="29"/>
      <c r="CM75" s="29"/>
      <c r="CN75" s="29">
        <v>7.6335877862595422E-2</v>
      </c>
      <c r="CO75" s="29"/>
      <c r="CP75" s="29"/>
      <c r="CQ75" s="29">
        <v>4.5903511276049101E-2</v>
      </c>
      <c r="CR75" s="30">
        <v>1.3612460690607135</v>
      </c>
      <c r="CS75" s="29">
        <v>1.4299839380359005E-2</v>
      </c>
      <c r="CT75" s="29"/>
      <c r="CU75" s="29"/>
      <c r="CV75" s="29"/>
      <c r="CW75" s="29"/>
      <c r="CX75" s="29"/>
      <c r="CY75" s="29"/>
      <c r="CZ75" s="29"/>
      <c r="DA75" s="50"/>
    </row>
    <row r="76" spans="1:132" x14ac:dyDescent="0.2">
      <c r="A76" t="s">
        <v>228</v>
      </c>
      <c r="B76" s="2" t="s">
        <v>196</v>
      </c>
      <c r="C76" s="2" t="s">
        <v>240</v>
      </c>
      <c r="D76" s="2" t="s">
        <v>239</v>
      </c>
      <c r="E76" s="8" t="s">
        <v>224</v>
      </c>
      <c r="F76" s="8"/>
      <c r="I76" s="6">
        <v>0.20019599999999999</v>
      </c>
      <c r="J76" s="6">
        <v>28.153549999999999</v>
      </c>
      <c r="K76" s="32">
        <v>7.7026319999999995E-2</v>
      </c>
      <c r="L76" s="6">
        <v>4.2840449999999999</v>
      </c>
      <c r="M76" s="3">
        <v>6.4947359999999996E-2</v>
      </c>
      <c r="N76" s="6">
        <v>4.8090700000000002</v>
      </c>
      <c r="O76" s="7">
        <v>16.72</v>
      </c>
      <c r="P76" s="3">
        <v>0.41788000000000003</v>
      </c>
      <c r="Q76" s="3">
        <v>1.3009680000000001E-2</v>
      </c>
      <c r="R76" s="3"/>
      <c r="S76" s="3"/>
      <c r="T76" s="38">
        <f t="shared" si="3"/>
        <v>66.67851229757855</v>
      </c>
      <c r="U76" s="3"/>
      <c r="V76" s="2"/>
      <c r="W76" s="2">
        <v>0.12</v>
      </c>
      <c r="X76" s="2">
        <v>14.9</v>
      </c>
      <c r="Y76" s="2">
        <v>3.33</v>
      </c>
      <c r="Z76" s="2">
        <v>503</v>
      </c>
      <c r="AA76" s="2">
        <v>2.9</v>
      </c>
      <c r="AB76" s="2">
        <v>11.6</v>
      </c>
      <c r="AC76" s="2">
        <v>0.31</v>
      </c>
      <c r="AD76" s="2">
        <v>108</v>
      </c>
      <c r="AE76" s="3"/>
      <c r="AF76" s="3"/>
      <c r="AG76" s="3"/>
      <c r="AH76" s="3"/>
      <c r="AI76" s="6">
        <v>8.69</v>
      </c>
      <c r="AJ76" s="8">
        <v>527</v>
      </c>
      <c r="AK76" s="2">
        <v>25</v>
      </c>
      <c r="AL76" s="7">
        <v>14.9</v>
      </c>
      <c r="AM76" s="8">
        <v>155</v>
      </c>
      <c r="AN76" s="8"/>
      <c r="AO76" s="7"/>
      <c r="AP76" s="2"/>
      <c r="AQ76" s="6"/>
      <c r="AR76" s="6"/>
      <c r="AS76" s="6"/>
      <c r="AT76" s="8"/>
      <c r="AU76" s="8"/>
      <c r="AV76" s="54"/>
      <c r="AW76" s="8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8">
        <v>24</v>
      </c>
      <c r="BI76" s="6">
        <v>1.25</v>
      </c>
      <c r="BJ76" s="2">
        <v>3.3</v>
      </c>
      <c r="BK76" s="51">
        <v>0.41912954712725864</v>
      </c>
      <c r="BL76" s="7">
        <v>2</v>
      </c>
      <c r="BM76" s="6">
        <v>0.61</v>
      </c>
      <c r="BN76" s="6">
        <v>0.8</v>
      </c>
      <c r="BO76" s="51" t="e">
        <v>#DIV/0!</v>
      </c>
      <c r="BP76" s="52" t="e">
        <v>#DIV/0!</v>
      </c>
      <c r="BQ76" s="50">
        <v>0.9</v>
      </c>
      <c r="BR76" s="52" t="e">
        <v>#DIV/0!</v>
      </c>
      <c r="BS76" s="52" t="e">
        <v>#DIV/0!</v>
      </c>
      <c r="BT76" s="53" t="e">
        <v>#DIV/0!</v>
      </c>
      <c r="BU76" s="6">
        <v>0.59</v>
      </c>
      <c r="BV76" s="3">
        <v>8.8999999999999996E-2</v>
      </c>
      <c r="BW76" s="6">
        <v>0.39</v>
      </c>
      <c r="BX76" s="6"/>
      <c r="BY76" s="2"/>
      <c r="BZ76" s="7">
        <v>4.3</v>
      </c>
      <c r="CA76" s="7">
        <v>1.4</v>
      </c>
      <c r="CB76" s="2"/>
      <c r="CC76" s="2"/>
      <c r="CD76" s="2"/>
      <c r="CE76" s="6">
        <v>0.2</v>
      </c>
      <c r="CF76" s="6">
        <v>3.2000000000000001E-2</v>
      </c>
      <c r="CG76" s="2"/>
      <c r="CH76" s="2"/>
      <c r="CI76" s="29">
        <v>0.73761335501716718</v>
      </c>
      <c r="CJ76" s="41" t="e">
        <v>#DIV/0!</v>
      </c>
      <c r="CK76" s="29" t="e">
        <v>#DIV/0!</v>
      </c>
      <c r="CL76" s="29"/>
      <c r="CM76" s="29"/>
      <c r="CN76" s="29">
        <v>5.2459016393442623E-2</v>
      </c>
      <c r="CO76" s="29"/>
      <c r="CP76" s="29"/>
      <c r="CQ76" s="29">
        <v>4.6730601569311248E-2</v>
      </c>
      <c r="CR76" s="30">
        <v>1.1225535679480492</v>
      </c>
      <c r="CS76" s="29">
        <v>1.5160288932539224E-2</v>
      </c>
      <c r="CT76" s="29"/>
      <c r="CU76" s="29"/>
      <c r="CV76" s="29"/>
      <c r="CW76" s="29"/>
      <c r="CX76" s="29"/>
      <c r="CY76" s="29"/>
      <c r="CZ76" s="29"/>
      <c r="DA76" s="50"/>
    </row>
    <row r="77" spans="1:132" x14ac:dyDescent="0.2">
      <c r="A77" t="s">
        <v>228</v>
      </c>
      <c r="B77" s="2" t="s">
        <v>196</v>
      </c>
      <c r="C77" s="2" t="s">
        <v>241</v>
      </c>
      <c r="D77" s="2" t="s">
        <v>239</v>
      </c>
      <c r="E77" s="8">
        <v>40.700000000000003</v>
      </c>
      <c r="F77" s="8"/>
      <c r="I77" s="6">
        <v>0.10009799999999999</v>
      </c>
      <c r="J77" s="395">
        <v>30.153055752864063</v>
      </c>
      <c r="K77" s="32">
        <v>0.10377360000000001</v>
      </c>
      <c r="L77" s="6">
        <v>3.7308499999999998</v>
      </c>
      <c r="M77" s="396">
        <v>5.2852124536260071E-2</v>
      </c>
      <c r="N77" s="395">
        <v>4.2448682793291868</v>
      </c>
      <c r="P77" s="3">
        <v>0.39091999999999999</v>
      </c>
      <c r="Q77" s="3">
        <v>1.6984859999999997E-2</v>
      </c>
      <c r="R77" s="3"/>
      <c r="S77" s="3"/>
      <c r="T77" s="38">
        <f t="shared" si="3"/>
        <v>66.977086951525195</v>
      </c>
      <c r="U77" s="3"/>
      <c r="V77" s="2"/>
      <c r="W77" s="2">
        <v>0.06</v>
      </c>
      <c r="Y77" s="2">
        <v>2.9</v>
      </c>
      <c r="AC77" s="2">
        <v>0.28999999999999998</v>
      </c>
      <c r="AD77" s="2">
        <v>141</v>
      </c>
      <c r="AE77" s="3"/>
      <c r="AF77" s="3"/>
      <c r="AG77" s="3"/>
      <c r="AH77" s="3"/>
      <c r="AI77" s="6">
        <v>7.3</v>
      </c>
      <c r="AJ77" s="8">
        <v>710</v>
      </c>
      <c r="AK77" s="2"/>
      <c r="AL77" s="7">
        <v>13.1</v>
      </c>
      <c r="AM77" s="8"/>
      <c r="AN77" s="8"/>
      <c r="AO77" s="7"/>
      <c r="AP77" s="2"/>
      <c r="AQ77" s="6"/>
      <c r="AR77" s="6"/>
      <c r="AS77" s="6"/>
      <c r="AT77" s="8"/>
      <c r="AU77" s="8"/>
      <c r="AV77" s="2">
        <v>4.5999999999999996</v>
      </c>
      <c r="AW77" s="8">
        <v>17</v>
      </c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8"/>
      <c r="BI77" s="6" t="s">
        <v>338</v>
      </c>
      <c r="BJ77" s="2"/>
      <c r="BL77" s="7"/>
      <c r="BM77" s="6" t="s">
        <v>339</v>
      </c>
      <c r="BN77" s="6" t="s">
        <v>340</v>
      </c>
      <c r="BO77" s="6"/>
      <c r="BP77" s="6"/>
      <c r="BQ77" s="2"/>
      <c r="BR77" s="2"/>
      <c r="BS77" s="2"/>
      <c r="BT77" s="2"/>
      <c r="BU77" s="2"/>
      <c r="BV77" s="3"/>
      <c r="BW77" s="6">
        <v>0.24</v>
      </c>
      <c r="BX77" s="6">
        <v>0.1</v>
      </c>
      <c r="BY77" s="6">
        <v>0.47</v>
      </c>
      <c r="BZ77" s="7"/>
      <c r="CA77" s="7"/>
      <c r="CB77" s="2"/>
      <c r="CC77" s="2"/>
      <c r="CD77" s="2"/>
      <c r="CE77" s="6"/>
      <c r="CF77" s="6"/>
      <c r="CG77" s="2"/>
      <c r="CH77" s="2"/>
      <c r="CI77" s="41"/>
      <c r="CJ77" s="41"/>
      <c r="CK77" s="29"/>
      <c r="CL77" s="29"/>
      <c r="CM77" s="29"/>
      <c r="CN77" s="29"/>
      <c r="CO77" s="29"/>
      <c r="CP77" s="29"/>
      <c r="CQ77" s="29">
        <v>2.6829810901001113E-2</v>
      </c>
      <c r="CR77" s="30"/>
      <c r="CS77" s="29"/>
      <c r="CT77" s="29"/>
      <c r="CU77" s="29"/>
      <c r="CV77" s="29"/>
      <c r="CW77" s="29"/>
      <c r="CX77" s="29"/>
      <c r="CY77" s="29"/>
      <c r="CZ77" s="29"/>
      <c r="DA77" s="50"/>
    </row>
    <row r="78" spans="1:132" x14ac:dyDescent="0.2">
      <c r="A78" s="40" t="s">
        <v>228</v>
      </c>
      <c r="B78" s="40" t="s">
        <v>196</v>
      </c>
      <c r="C78" s="40" t="s">
        <v>240</v>
      </c>
      <c r="D78" s="2" t="s">
        <v>239</v>
      </c>
      <c r="E78" s="8" t="s">
        <v>224</v>
      </c>
      <c r="F78" s="8"/>
      <c r="H78" s="6">
        <v>43.663113000000003</v>
      </c>
      <c r="I78" s="265">
        <v>0.22685583539720408</v>
      </c>
      <c r="J78" s="6">
        <v>29.079405000000001</v>
      </c>
      <c r="L78" s="6">
        <v>5.0302150000000001</v>
      </c>
      <c r="M78" s="396">
        <v>7.1259243771302369E-2</v>
      </c>
      <c r="N78" s="6">
        <v>5.0246490000000001</v>
      </c>
      <c r="O78" s="7">
        <v>16.72</v>
      </c>
      <c r="P78" s="3">
        <v>0.44484000000000007</v>
      </c>
      <c r="Q78" s="3"/>
      <c r="R78" s="49"/>
      <c r="S78" s="55"/>
      <c r="T78" s="38">
        <f t="shared" si="3"/>
        <v>64.036923649664317</v>
      </c>
      <c r="U78" s="55"/>
      <c r="V78" s="2">
        <v>20.41</v>
      </c>
      <c r="W78" s="2">
        <v>1.7999999999999999E-2</v>
      </c>
      <c r="X78" s="2">
        <v>15.39</v>
      </c>
      <c r="Y78" s="2">
        <v>3.91</v>
      </c>
      <c r="Z78" s="2" t="s">
        <v>556</v>
      </c>
      <c r="AA78" s="2">
        <v>3.03</v>
      </c>
      <c r="AB78" s="2">
        <v>11.88</v>
      </c>
      <c r="AC78" s="2">
        <v>0.33</v>
      </c>
      <c r="AD78" s="2"/>
      <c r="AE78" s="2">
        <v>260</v>
      </c>
      <c r="AF78" s="2"/>
      <c r="AG78" s="2"/>
      <c r="AH78" s="2"/>
      <c r="AI78" s="6"/>
      <c r="AJ78" s="8"/>
      <c r="AK78" s="2"/>
      <c r="AL78" s="7"/>
      <c r="AM78" s="8"/>
      <c r="AN78" s="8"/>
      <c r="AO78" s="7"/>
      <c r="AP78" s="2"/>
      <c r="AQ78" s="6"/>
      <c r="AR78" s="6"/>
      <c r="AS78" s="6"/>
      <c r="AT78" s="8"/>
      <c r="AU78" s="8"/>
      <c r="AV78" s="54"/>
      <c r="AW78" s="8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8"/>
      <c r="BI78" s="6"/>
      <c r="BJ78" s="2"/>
      <c r="BL78" s="7"/>
      <c r="BM78" s="6"/>
      <c r="BN78" s="6"/>
      <c r="BO78" s="6"/>
      <c r="BP78" s="6"/>
      <c r="BQ78" s="2"/>
      <c r="BR78" s="2"/>
      <c r="BS78" s="2"/>
      <c r="BT78" s="2"/>
      <c r="BU78" s="2"/>
      <c r="BV78" s="3"/>
      <c r="BW78" s="6"/>
      <c r="BX78" s="6"/>
      <c r="BY78" s="2"/>
      <c r="BZ78" s="7"/>
      <c r="CA78" s="7"/>
      <c r="CB78" s="2"/>
      <c r="CC78" s="2"/>
      <c r="CD78" s="2"/>
      <c r="CE78" s="6"/>
      <c r="CF78" s="6"/>
      <c r="CG78" s="2"/>
      <c r="CH78" s="2"/>
      <c r="CI78" s="41"/>
      <c r="CJ78" s="41"/>
      <c r="CK78" s="29"/>
      <c r="CL78" s="29"/>
      <c r="CM78" s="29"/>
      <c r="CN78" s="29"/>
      <c r="CO78" s="29"/>
      <c r="CP78" s="29"/>
      <c r="CQ78" s="29"/>
      <c r="CR78" s="30">
        <v>0.99889348666011291</v>
      </c>
      <c r="CS78" s="29"/>
      <c r="CT78" s="29"/>
      <c r="CU78" s="29"/>
      <c r="CV78" s="29"/>
      <c r="CW78" s="29"/>
      <c r="CX78" s="29"/>
      <c r="CY78" s="29"/>
      <c r="CZ78" s="29"/>
      <c r="DA78" s="50"/>
    </row>
    <row r="79" spans="1:132" x14ac:dyDescent="0.2">
      <c r="A79" s="23" t="s">
        <v>228</v>
      </c>
      <c r="B79" s="23"/>
      <c r="C79" s="23" t="s">
        <v>240</v>
      </c>
      <c r="D79" s="23" t="s">
        <v>999</v>
      </c>
      <c r="E79" s="8">
        <v>175</v>
      </c>
      <c r="F79" s="33">
        <v>100.47710750000002</v>
      </c>
      <c r="G79" s="34">
        <v>8.1018518518518517E-2</v>
      </c>
      <c r="H79" s="6">
        <v>44.283510000000007</v>
      </c>
      <c r="I79" s="6">
        <v>0.2068692</v>
      </c>
      <c r="J79" s="6">
        <v>29.381724999999999</v>
      </c>
      <c r="K79" s="3">
        <v>9.916955999999999E-2</v>
      </c>
      <c r="L79" s="6">
        <v>4.7278874999999996</v>
      </c>
      <c r="M79" s="3">
        <v>7.198439999999999E-2</v>
      </c>
      <c r="N79" s="6">
        <v>5.5553050000000006</v>
      </c>
      <c r="O79" s="7">
        <v>15.60108</v>
      </c>
      <c r="P79" s="3">
        <v>0.51898</v>
      </c>
      <c r="Q79" s="3">
        <v>3.0596839999999997E-2</v>
      </c>
      <c r="R79" s="49"/>
      <c r="S79" s="55"/>
      <c r="T79" s="38">
        <f t="shared" si="3"/>
        <v>67.685349751380357</v>
      </c>
      <c r="U79" s="55"/>
      <c r="V79" s="2"/>
      <c r="W79" s="6">
        <v>0.124</v>
      </c>
      <c r="X79" s="7">
        <v>15.55</v>
      </c>
      <c r="Y79" s="6">
        <v>3.6749999999999998</v>
      </c>
      <c r="Z79" s="8">
        <v>557.5</v>
      </c>
      <c r="AA79" s="6">
        <v>3.3499999999999996</v>
      </c>
      <c r="AB79" s="7">
        <v>11.15</v>
      </c>
      <c r="AC79" s="3">
        <v>0.38500000000000001</v>
      </c>
      <c r="AD79" s="8">
        <v>254</v>
      </c>
      <c r="AE79" s="2"/>
      <c r="AF79" s="2"/>
      <c r="AG79" s="2"/>
      <c r="AH79" s="2"/>
      <c r="AI79" s="6">
        <v>10.33</v>
      </c>
      <c r="AJ79" s="8">
        <v>678.5</v>
      </c>
      <c r="AK79" s="8">
        <v>28.65</v>
      </c>
      <c r="AL79" s="7">
        <v>15.15</v>
      </c>
      <c r="AM79" s="8">
        <v>112.5</v>
      </c>
      <c r="AN79" s="8"/>
      <c r="AO79" s="7"/>
      <c r="AP79" s="2"/>
      <c r="AQ79" s="6"/>
      <c r="AR79" s="6"/>
      <c r="AS79" s="6"/>
      <c r="AT79" s="8"/>
      <c r="AU79" s="8"/>
      <c r="AV79" s="2"/>
      <c r="AW79" s="8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8" t="s">
        <v>873</v>
      </c>
      <c r="BI79" s="6">
        <v>1.32</v>
      </c>
      <c r="BJ79" s="6">
        <v>3.2549999999999999</v>
      </c>
      <c r="BK79" s="6">
        <v>0.48650000000000004</v>
      </c>
      <c r="BL79" s="7">
        <v>2.105</v>
      </c>
      <c r="BM79" s="6">
        <v>0.64599999999999991</v>
      </c>
      <c r="BN79" s="6">
        <v>0.95799999999999996</v>
      </c>
      <c r="BO79" s="6">
        <v>0.8085</v>
      </c>
      <c r="BP79" s="6">
        <v>0.14850000000000002</v>
      </c>
      <c r="BQ79" s="6">
        <v>1.0165</v>
      </c>
      <c r="BR79" s="6">
        <v>0.2235</v>
      </c>
      <c r="BS79" s="6">
        <v>0.66500000000000004</v>
      </c>
      <c r="BT79" s="6">
        <v>9.8849999999999993E-2</v>
      </c>
      <c r="BU79" s="6">
        <v>0.66799999999999993</v>
      </c>
      <c r="BV79" s="3">
        <v>9.7700000000000009E-2</v>
      </c>
      <c r="BW79" s="6">
        <v>0.40400000000000003</v>
      </c>
      <c r="BX79" s="6"/>
      <c r="BY79" s="2"/>
      <c r="BZ79" s="7"/>
      <c r="CA79" s="7"/>
      <c r="CB79" s="2"/>
      <c r="CC79" s="2"/>
      <c r="CD79" s="2"/>
      <c r="CE79" s="6">
        <v>0.18099999999999999</v>
      </c>
      <c r="CF79" s="6">
        <v>5.4099999999999995E-2</v>
      </c>
      <c r="CG79" s="2"/>
      <c r="CH79" s="2"/>
      <c r="CI79" s="29">
        <v>0.78203638630841044</v>
      </c>
      <c r="CJ79" s="41">
        <v>0.8235160497149222</v>
      </c>
      <c r="CK79" s="29">
        <v>0.80349409313040487</v>
      </c>
      <c r="CL79" s="29"/>
      <c r="CM79" s="29"/>
      <c r="CN79" s="29">
        <v>8.3746130030959751E-2</v>
      </c>
      <c r="CO79" s="29"/>
      <c r="CP79" s="29"/>
      <c r="CQ79" s="29">
        <v>4.3755102040816334E-2</v>
      </c>
      <c r="CR79" s="30">
        <v>1.1750078655636373</v>
      </c>
      <c r="CS79" s="29">
        <v>1.5225489185180484E-2</v>
      </c>
      <c r="CT79" s="29"/>
      <c r="CU79" s="29"/>
      <c r="CV79" s="29"/>
      <c r="CW79" s="29">
        <v>0.36856060606060609</v>
      </c>
      <c r="CX79" s="29">
        <v>0.14946236559139786</v>
      </c>
      <c r="CY79" s="29">
        <v>0.2311163895486936</v>
      </c>
      <c r="CZ79" s="29">
        <v>0.75309597523219829</v>
      </c>
      <c r="DA79" s="50"/>
    </row>
    <row r="80" spans="1:132" x14ac:dyDescent="0.2">
      <c r="A80" s="130" t="s">
        <v>228</v>
      </c>
      <c r="D80" t="s">
        <v>1157</v>
      </c>
      <c r="F80" s="33">
        <v>102.65643755999997</v>
      </c>
      <c r="H80" s="6">
        <v>44.9253</v>
      </c>
      <c r="I80" s="6">
        <v>0.18017639999999999</v>
      </c>
      <c r="J80" s="6">
        <v>29.665149999999997</v>
      </c>
      <c r="K80" s="32">
        <v>8.228808E-2</v>
      </c>
      <c r="L80" s="6">
        <v>5.6734650000000002</v>
      </c>
      <c r="M80" s="3">
        <v>6.2364959999999997E-2</v>
      </c>
      <c r="N80" s="6">
        <v>5.1075640000000009</v>
      </c>
      <c r="O80" s="19">
        <v>16.370639999999998</v>
      </c>
      <c r="P80" s="3">
        <v>0.556724</v>
      </c>
      <c r="Q80" s="3">
        <v>3.2765119999999995E-2</v>
      </c>
      <c r="T80" s="38">
        <f t="shared" si="3"/>
        <v>61.609280260869831</v>
      </c>
      <c r="V80">
        <v>21</v>
      </c>
      <c r="W80">
        <v>0.108</v>
      </c>
      <c r="X80">
        <v>15.7</v>
      </c>
      <c r="Y80">
        <v>4.41</v>
      </c>
      <c r="Z80">
        <v>483</v>
      </c>
      <c r="AA80">
        <v>3.08</v>
      </c>
      <c r="AB80">
        <v>11.7</v>
      </c>
      <c r="AC80">
        <v>0.41299999999999998</v>
      </c>
      <c r="AD80">
        <v>272</v>
      </c>
      <c r="AI80" s="30">
        <v>8.34</v>
      </c>
      <c r="AJ80" s="31">
        <v>563</v>
      </c>
      <c r="AK80" s="275">
        <v>27.216999999999999</v>
      </c>
      <c r="AL80" s="33">
        <v>13.3</v>
      </c>
      <c r="AM80" s="31">
        <v>97.1</v>
      </c>
      <c r="AO80"/>
      <c r="AQ80"/>
      <c r="AR80"/>
      <c r="AS80"/>
      <c r="AX80"/>
      <c r="AY80"/>
      <c r="AZ80"/>
      <c r="BA80"/>
      <c r="BB80"/>
      <c r="BC80"/>
      <c r="BD80"/>
      <c r="BE80"/>
      <c r="BF80"/>
      <c r="BG80"/>
      <c r="BH80" s="31">
        <v>39.6</v>
      </c>
      <c r="BI80" s="30">
        <v>1.2</v>
      </c>
      <c r="BJ80">
        <v>2.93</v>
      </c>
      <c r="BK80">
        <v>0.42799999999999999</v>
      </c>
      <c r="BL80" s="33">
        <v>1.86</v>
      </c>
      <c r="BM80" s="30">
        <v>0.56100000000000005</v>
      </c>
      <c r="BN80" s="30">
        <v>1.01</v>
      </c>
      <c r="BO80" s="30">
        <v>0.68100000000000005</v>
      </c>
      <c r="BP80" s="30">
        <v>0.125</v>
      </c>
      <c r="BQ80">
        <v>0.84299999999999997</v>
      </c>
      <c r="BR80">
        <v>0.186</v>
      </c>
      <c r="BS80">
        <v>0.54400000000000004</v>
      </c>
      <c r="BT80">
        <v>8.0500000000000002E-2</v>
      </c>
      <c r="BU80">
        <v>0.54300000000000004</v>
      </c>
      <c r="BV80" s="32">
        <v>7.9500000000000001E-2</v>
      </c>
      <c r="BW80" s="30">
        <v>0.40200000000000002</v>
      </c>
      <c r="BZ80" s="7">
        <v>6.5</v>
      </c>
      <c r="CA80" s="403">
        <v>1.2866029528878713</v>
      </c>
      <c r="CE80" s="30">
        <v>0.156</v>
      </c>
      <c r="CF80" s="30">
        <v>4.6800000000000001E-2</v>
      </c>
      <c r="CO80" s="29"/>
      <c r="CP80" s="29"/>
      <c r="CQ80" s="29">
        <v>3.1757735352205392E-2</v>
      </c>
      <c r="DA80" s="50"/>
    </row>
    <row r="81" spans="1:132" x14ac:dyDescent="0.2">
      <c r="A81" s="130"/>
      <c r="F81" s="33">
        <v>100.98169999999999</v>
      </c>
      <c r="H81" s="6">
        <v>44.9</v>
      </c>
      <c r="I81" s="6">
        <v>0.18099999999999999</v>
      </c>
      <c r="J81" s="6">
        <v>29.6</v>
      </c>
      <c r="K81" s="32">
        <v>8.2299999999999998E-2</v>
      </c>
      <c r="L81" s="6">
        <v>4.0599999999999996</v>
      </c>
      <c r="M81" s="3">
        <v>6.2399999999999997E-2</v>
      </c>
      <c r="N81" s="6">
        <v>5.0999999999999996</v>
      </c>
      <c r="O81" s="7">
        <v>16.399999999999999</v>
      </c>
      <c r="P81" s="3">
        <v>0.55700000000000005</v>
      </c>
      <c r="Q81" s="3">
        <v>3.9E-2</v>
      </c>
      <c r="T81" s="38">
        <f t="shared" si="3"/>
        <v>69.128459935880628</v>
      </c>
      <c r="W81"/>
      <c r="X81"/>
      <c r="Y81"/>
      <c r="Z81"/>
      <c r="AA81"/>
      <c r="AB81"/>
      <c r="AK81" s="275"/>
      <c r="AO81"/>
      <c r="AQ81"/>
      <c r="AR81"/>
      <c r="AS81"/>
      <c r="AX81"/>
      <c r="AY81"/>
      <c r="AZ81"/>
      <c r="BA81"/>
      <c r="BB81"/>
      <c r="BC81"/>
      <c r="BD81"/>
      <c r="BE81"/>
      <c r="BF81"/>
      <c r="BG81"/>
      <c r="BZ81" s="7"/>
      <c r="CA81" s="403"/>
      <c r="CO81" s="29"/>
      <c r="CP81" s="29"/>
      <c r="CQ81" s="29">
        <v>4.4581280788177344E-2</v>
      </c>
      <c r="DA81" s="50"/>
    </row>
    <row r="82" spans="1:132" s="130" customFormat="1" x14ac:dyDescent="0.2">
      <c r="A82" s="130" t="s">
        <v>228</v>
      </c>
      <c r="B82" s="136"/>
      <c r="C82" s="136"/>
      <c r="D82" s="130" t="s">
        <v>551</v>
      </c>
      <c r="E82" s="135">
        <v>56.2</v>
      </c>
      <c r="F82" s="135"/>
      <c r="H82" s="137"/>
      <c r="I82" s="156"/>
      <c r="J82" s="137"/>
      <c r="K82" s="141"/>
      <c r="L82" s="137"/>
      <c r="M82" s="139"/>
      <c r="N82" s="137"/>
      <c r="O82" s="138"/>
      <c r="P82" s="139"/>
      <c r="Q82" s="139">
        <v>1.5659799999999998E-2</v>
      </c>
      <c r="R82" s="139"/>
      <c r="S82" s="136"/>
      <c r="T82" s="38" t="e">
        <f t="shared" si="3"/>
        <v>#DIV/0!</v>
      </c>
      <c r="U82" s="136"/>
      <c r="V82" s="136"/>
      <c r="W82" s="136"/>
      <c r="X82" s="136"/>
      <c r="Y82" s="137"/>
      <c r="Z82" s="136"/>
      <c r="AA82" s="136"/>
      <c r="AB82" s="136"/>
      <c r="AC82" s="136"/>
      <c r="AD82" s="136">
        <v>130</v>
      </c>
      <c r="AE82" s="136"/>
      <c r="AF82" s="136"/>
      <c r="AG82" s="136"/>
      <c r="AH82" s="136"/>
      <c r="AI82" s="137"/>
      <c r="AJ82" s="135"/>
      <c r="AK82" s="136"/>
      <c r="AL82" s="138"/>
      <c r="AM82" s="135"/>
      <c r="AN82" s="135"/>
      <c r="AO82" s="138"/>
      <c r="AP82" s="136"/>
      <c r="AQ82" s="137"/>
      <c r="AR82" s="137"/>
      <c r="AS82" s="137"/>
      <c r="AT82" s="135">
        <v>0.4</v>
      </c>
      <c r="AU82" s="135">
        <v>156</v>
      </c>
      <c r="AV82" s="136">
        <v>5.0199999999999996</v>
      </c>
      <c r="AW82" s="135">
        <v>17.8</v>
      </c>
      <c r="AX82" s="137">
        <v>1.1000000000000001</v>
      </c>
      <c r="AY82" s="137"/>
      <c r="AZ82" s="137"/>
      <c r="BA82" s="137"/>
      <c r="BB82" s="137"/>
      <c r="BC82" s="137">
        <v>0.11</v>
      </c>
      <c r="BD82" s="137"/>
      <c r="BE82" s="137"/>
      <c r="BF82" s="137"/>
      <c r="BG82" s="137">
        <v>1.0999999999999999E-2</v>
      </c>
      <c r="BH82" s="135">
        <v>22.5</v>
      </c>
      <c r="BI82" s="137">
        <v>1.3</v>
      </c>
      <c r="BJ82" s="137">
        <v>3.5</v>
      </c>
      <c r="BK82" s="137">
        <v>0.45</v>
      </c>
      <c r="BL82" s="138">
        <v>1.89</v>
      </c>
      <c r="BM82" s="137">
        <v>0.57599999999999996</v>
      </c>
      <c r="BN82" s="137">
        <v>0.72</v>
      </c>
      <c r="BO82" s="137">
        <v>0.61</v>
      </c>
      <c r="BP82" s="137">
        <v>0.12</v>
      </c>
      <c r="BQ82" s="137">
        <v>0.87</v>
      </c>
      <c r="BR82" s="137">
        <v>0.19</v>
      </c>
      <c r="BS82" s="137">
        <v>0.61</v>
      </c>
      <c r="BT82" s="137">
        <v>9.5000000000000001E-2</v>
      </c>
      <c r="BU82" s="137">
        <v>0.58799999999999997</v>
      </c>
      <c r="BV82" s="139">
        <v>8.5000000000000006E-2</v>
      </c>
      <c r="BW82" s="137">
        <v>0.44</v>
      </c>
      <c r="BX82" s="137"/>
      <c r="BY82" s="136"/>
      <c r="BZ82" s="138"/>
      <c r="CA82" s="138"/>
      <c r="CB82" s="136"/>
      <c r="CC82" s="136"/>
      <c r="CD82" s="136"/>
      <c r="CE82" s="137">
        <v>0.21</v>
      </c>
      <c r="CF82" s="137">
        <v>0.06</v>
      </c>
      <c r="CG82" s="136"/>
      <c r="CH82" s="136"/>
      <c r="CI82" s="145"/>
      <c r="CJ82" s="145"/>
      <c r="CK82" s="144"/>
      <c r="CL82" s="144"/>
      <c r="CM82" s="144"/>
      <c r="CN82" s="29">
        <v>0.10416666666666667</v>
      </c>
      <c r="CO82" s="29"/>
      <c r="CP82" s="29"/>
      <c r="CQ82" s="29"/>
      <c r="CR82" s="146"/>
      <c r="CS82" s="29"/>
      <c r="CT82" s="29"/>
      <c r="CU82" s="29"/>
      <c r="CV82" s="29"/>
      <c r="CW82" s="29">
        <v>0.34615384615384615</v>
      </c>
      <c r="CX82" s="29">
        <v>0.12857142857142859</v>
      </c>
      <c r="CY82" s="29">
        <v>0.23809523809523811</v>
      </c>
      <c r="CZ82" s="29">
        <v>0.78125000000000011</v>
      </c>
      <c r="DA82" s="50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</row>
    <row r="83" spans="1:132" s="50" customFormat="1" ht="20.100000000000001" customHeight="1" x14ac:dyDescent="0.2">
      <c r="A83" s="50" t="s">
        <v>228</v>
      </c>
      <c r="B83" s="50" t="s">
        <v>251</v>
      </c>
      <c r="E83" s="76"/>
      <c r="F83" s="76"/>
      <c r="G83" s="76"/>
      <c r="H83" s="38">
        <f>AVERAGE(H71:H82)</f>
        <v>44.645136864104707</v>
      </c>
      <c r="I83" s="38">
        <f t="shared" ref="I83:R83" si="4">AVERAGE(I71:I82)</f>
        <v>0.18700377235537191</v>
      </c>
      <c r="J83" s="38">
        <f t="shared" si="4"/>
        <v>28.841045690296152</v>
      </c>
      <c r="K83" s="38">
        <f t="shared" si="4"/>
        <v>9.5398327813357331E-2</v>
      </c>
      <c r="L83" s="38">
        <f t="shared" si="4"/>
        <v>4.4543825507313022</v>
      </c>
      <c r="M83" s="38">
        <f t="shared" si="4"/>
        <v>6.2395943569298826E-2</v>
      </c>
      <c r="N83" s="38">
        <f t="shared" si="4"/>
        <v>5.2065083501551417</v>
      </c>
      <c r="O83" s="38">
        <f t="shared" si="4"/>
        <v>16.331144509421701</v>
      </c>
      <c r="P83" s="38">
        <f t="shared" si="4"/>
        <v>0.46264987559709103</v>
      </c>
      <c r="Q83" s="38">
        <f t="shared" si="4"/>
        <v>2.3444287318358244E-2</v>
      </c>
      <c r="R83" s="38">
        <f t="shared" si="4"/>
        <v>2.589282E-2</v>
      </c>
      <c r="S83" s="49"/>
      <c r="T83" s="38">
        <f t="shared" si="3"/>
        <v>67.570329503375433</v>
      </c>
      <c r="U83" s="49"/>
      <c r="V83" s="39"/>
      <c r="W83" s="39"/>
      <c r="X83" s="39"/>
      <c r="Y83" s="39"/>
      <c r="Z83" s="76">
        <v>534.31562121322611</v>
      </c>
      <c r="AA83" s="38"/>
      <c r="AB83" s="39"/>
      <c r="AC83" s="39"/>
      <c r="AD83" s="76">
        <v>178.35123751730737</v>
      </c>
      <c r="AE83" s="76">
        <v>186.5</v>
      </c>
      <c r="AF83" s="49"/>
      <c r="AG83" s="49"/>
      <c r="AH83" s="49"/>
      <c r="AI83" s="316">
        <v>9.13122527314815</v>
      </c>
      <c r="AJ83" s="318">
        <v>737.22611064814805</v>
      </c>
      <c r="AK83" s="373">
        <v>26.477833333333336</v>
      </c>
      <c r="AL83" s="400">
        <v>15.30457363425926</v>
      </c>
      <c r="AM83" s="373">
        <v>132.20166686799337</v>
      </c>
      <c r="AN83" s="373">
        <v>9.1303369394665115</v>
      </c>
      <c r="AO83" s="374">
        <v>3.808726979932282</v>
      </c>
      <c r="AP83" s="375">
        <v>0.42</v>
      </c>
      <c r="AQ83" s="38"/>
      <c r="AR83" s="38"/>
      <c r="AS83" s="38"/>
      <c r="AT83" s="373">
        <v>0.36333333333333329</v>
      </c>
      <c r="AU83" s="373">
        <v>160.86198452983271</v>
      </c>
      <c r="AV83" s="374">
        <v>5.9672356228668217</v>
      </c>
      <c r="AW83" s="376">
        <v>22.599545893719807</v>
      </c>
      <c r="AX83" s="38"/>
      <c r="AY83" s="38"/>
      <c r="AZ83" s="38"/>
      <c r="BA83" s="38"/>
      <c r="BB83" s="38"/>
      <c r="BC83" s="38"/>
      <c r="BD83" s="38"/>
      <c r="BE83" s="38"/>
      <c r="BF83" s="38"/>
      <c r="BG83" s="316"/>
      <c r="BH83" s="376">
        <v>25.121610205314006</v>
      </c>
      <c r="BI83" s="316">
        <v>1.3179879638888889</v>
      </c>
      <c r="BJ83" s="316">
        <v>3.4302247731481477</v>
      </c>
      <c r="BK83" s="316"/>
      <c r="BL83" s="400">
        <v>1.8230119798888891</v>
      </c>
      <c r="BM83" s="316">
        <v>0.624541826388889</v>
      </c>
      <c r="BN83" s="316">
        <v>0.93954622499999985</v>
      </c>
      <c r="BO83" s="316">
        <v>0.77020867890710476</v>
      </c>
      <c r="BP83" s="316">
        <v>0.14212174120370369</v>
      </c>
      <c r="BQ83" s="316">
        <v>0.95881087671737419</v>
      </c>
      <c r="BR83" s="316">
        <v>0.21914672964679474</v>
      </c>
      <c r="BS83" s="316">
        <v>0.62361581830996526</v>
      </c>
      <c r="BT83" s="316">
        <v>9.4204390858510872E-2</v>
      </c>
      <c r="BU83" s="316">
        <v>0.62845689583333331</v>
      </c>
      <c r="BV83" s="397">
        <v>9.0678601666666664E-2</v>
      </c>
      <c r="BW83" s="316">
        <v>0.44600030972222221</v>
      </c>
      <c r="BX83" s="377">
        <v>5.6465362318840577E-2</v>
      </c>
      <c r="BY83" s="38"/>
      <c r="BZ83" s="378">
        <v>5.3582509057971013</v>
      </c>
      <c r="CA83" s="378">
        <v>1.9664814097106729</v>
      </c>
      <c r="CB83" s="39"/>
      <c r="CC83" s="39"/>
      <c r="CD83" s="39"/>
      <c r="CE83" s="316">
        <v>0.19947743240740742</v>
      </c>
      <c r="CF83" s="316">
        <v>5.1689888582167956E-2</v>
      </c>
      <c r="CG83" s="49"/>
      <c r="CH83" s="49"/>
      <c r="CI83" s="49"/>
      <c r="CN83" s="49">
        <v>8.4135373908157715E-2</v>
      </c>
      <c r="CO83" s="49">
        <v>1.3250287877321024E-2</v>
      </c>
      <c r="CP83" s="49"/>
      <c r="CQ83" s="38">
        <v>4.5098636021960112E-2</v>
      </c>
      <c r="CR83" s="38">
        <v>1.137775112730125</v>
      </c>
      <c r="CS83" s="49">
        <v>1.4166242152930317E-2</v>
      </c>
      <c r="CT83" s="49"/>
      <c r="CU83" s="38"/>
      <c r="CV83" s="38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</row>
    <row r="84" spans="1:132" s="36" customFormat="1" x14ac:dyDescent="0.2">
      <c r="A84" s="36" t="s">
        <v>553</v>
      </c>
      <c r="B84" s="36" t="s">
        <v>1342</v>
      </c>
      <c r="H84" s="34">
        <v>44.534349351901156</v>
      </c>
      <c r="I84" s="34">
        <v>0.21816232289134785</v>
      </c>
      <c r="J84" s="34">
        <v>28.030696790090825</v>
      </c>
      <c r="K84" s="37">
        <v>0.1052118191443492</v>
      </c>
      <c r="L84" s="34">
        <v>4.7</v>
      </c>
      <c r="M84" s="37">
        <v>6.5506793652413742E-2</v>
      </c>
      <c r="N84" s="34">
        <v>5.3237599325756104</v>
      </c>
      <c r="O84" s="72">
        <v>15.968466402280423</v>
      </c>
      <c r="P84" s="37">
        <v>0.44534284994448053</v>
      </c>
      <c r="Q84" s="37">
        <v>2.281459211999106E-2</v>
      </c>
      <c r="R84" s="37">
        <v>2.589282E-2</v>
      </c>
      <c r="S84" s="37"/>
      <c r="T84" s="38">
        <f t="shared" si="3"/>
        <v>66.878424622350067</v>
      </c>
      <c r="U84" s="37"/>
      <c r="W84" s="34">
        <v>0</v>
      </c>
      <c r="X84" s="34">
        <v>0</v>
      </c>
      <c r="Y84" s="34">
        <v>0</v>
      </c>
      <c r="Z84" s="35">
        <v>534.31562121322611</v>
      </c>
      <c r="AA84" s="34">
        <v>0</v>
      </c>
      <c r="AB84" s="34">
        <v>0</v>
      </c>
      <c r="AC84" s="34">
        <v>0</v>
      </c>
      <c r="AD84" s="35">
        <v>178.35123751730737</v>
      </c>
      <c r="AE84" s="35">
        <v>186.5</v>
      </c>
      <c r="AF84" s="34">
        <v>0</v>
      </c>
      <c r="AG84" s="34">
        <v>0</v>
      </c>
      <c r="AH84" s="34">
        <v>0</v>
      </c>
      <c r="AI84" s="34">
        <v>9.13122527314815</v>
      </c>
      <c r="AJ84" s="35">
        <v>737.22611064814805</v>
      </c>
      <c r="AK84" s="35">
        <v>26.477833333333336</v>
      </c>
      <c r="AL84" s="72">
        <v>15.30457363425926</v>
      </c>
      <c r="AM84" s="35">
        <v>132.20166686799337</v>
      </c>
      <c r="AN84" s="35">
        <v>9.1303369394665115</v>
      </c>
      <c r="AO84" s="34">
        <v>3.808726979932282</v>
      </c>
      <c r="AP84" s="34">
        <v>0.42</v>
      </c>
      <c r="AQ84" s="34">
        <v>0</v>
      </c>
      <c r="AR84" s="34">
        <v>0</v>
      </c>
      <c r="AS84" s="34">
        <v>0</v>
      </c>
      <c r="AT84" s="35">
        <v>0.36333333333333329</v>
      </c>
      <c r="AU84" s="35">
        <v>160.86198452983271</v>
      </c>
      <c r="AV84" s="34">
        <v>5.9672356228668217</v>
      </c>
      <c r="AW84" s="35">
        <v>22.599545893719807</v>
      </c>
      <c r="AX84" s="34">
        <v>0</v>
      </c>
      <c r="AY84" s="34">
        <v>0</v>
      </c>
      <c r="AZ84" s="34">
        <v>0</v>
      </c>
      <c r="BA84" s="34">
        <v>0</v>
      </c>
      <c r="BB84" s="34">
        <v>0</v>
      </c>
      <c r="BC84" s="34">
        <v>0</v>
      </c>
      <c r="BD84" s="34">
        <v>0</v>
      </c>
      <c r="BE84" s="34">
        <v>0</v>
      </c>
      <c r="BF84" s="34">
        <v>0</v>
      </c>
      <c r="BG84" s="35">
        <v>0.03</v>
      </c>
      <c r="BH84" s="35">
        <v>25.121610205314006</v>
      </c>
      <c r="BI84" s="34">
        <v>1.3179879638888889</v>
      </c>
      <c r="BJ84" s="34">
        <v>3.4302247731481477</v>
      </c>
      <c r="BK84" s="158">
        <v>0.45176154425390963</v>
      </c>
      <c r="BL84" s="72">
        <v>1.8230119798888891</v>
      </c>
      <c r="BM84" s="34">
        <v>0.624541826388889</v>
      </c>
      <c r="BN84" s="34">
        <v>0.93954622499999985</v>
      </c>
      <c r="BO84" s="34">
        <v>0.77020867890710476</v>
      </c>
      <c r="BP84" s="34">
        <v>0.14212174120370369</v>
      </c>
      <c r="BQ84" s="34">
        <v>0.95881087671737419</v>
      </c>
      <c r="BR84" s="34">
        <v>0.21914672964679474</v>
      </c>
      <c r="BS84" s="34">
        <v>0.62361581830996526</v>
      </c>
      <c r="BT84" s="34">
        <v>9.4204390858510872E-2</v>
      </c>
      <c r="BU84" s="34">
        <v>0.62845689583333331</v>
      </c>
      <c r="BV84" s="37">
        <v>9.0678601666666664E-2</v>
      </c>
      <c r="BW84" s="34">
        <v>0.44600030972222221</v>
      </c>
      <c r="BX84" s="34">
        <v>5.6465362318840577E-2</v>
      </c>
      <c r="BY84" s="34">
        <v>0</v>
      </c>
      <c r="BZ84" s="72">
        <v>5.3582509057971013</v>
      </c>
      <c r="CA84" s="72">
        <v>1.9664814097106729</v>
      </c>
      <c r="CB84" s="34">
        <v>0</v>
      </c>
      <c r="CC84" s="34">
        <v>0</v>
      </c>
      <c r="CD84" s="34">
        <v>0</v>
      </c>
      <c r="CE84" s="34">
        <v>0.19947743240740742</v>
      </c>
      <c r="CF84" s="34">
        <v>5.1689888582167956E-2</v>
      </c>
      <c r="CG84" s="34"/>
      <c r="CH84" s="34"/>
      <c r="CI84" s="3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</row>
    <row r="85" spans="1:132" x14ac:dyDescent="0.2">
      <c r="A85" t="s">
        <v>228</v>
      </c>
      <c r="B85" s="2" t="s">
        <v>196</v>
      </c>
      <c r="C85" s="2" t="s">
        <v>249</v>
      </c>
      <c r="D85" s="2" t="s">
        <v>239</v>
      </c>
      <c r="E85" s="8" t="s">
        <v>250</v>
      </c>
      <c r="F85" s="8"/>
      <c r="H85" s="6">
        <v>44.112366000000002</v>
      </c>
      <c r="I85" s="6">
        <v>0.20019599999999999</v>
      </c>
      <c r="J85" s="6">
        <v>29.249459999999999</v>
      </c>
      <c r="K85" s="3"/>
      <c r="L85" s="6">
        <v>4.206855</v>
      </c>
      <c r="M85" s="3">
        <v>5.6293695999999997E-2</v>
      </c>
      <c r="N85" s="6">
        <v>5.240228000000001</v>
      </c>
      <c r="O85" s="7">
        <v>16.230719999999998</v>
      </c>
      <c r="P85" s="3">
        <v>0.43136000000000002</v>
      </c>
      <c r="Q85" s="3">
        <v>1.9875899999999998E-2</v>
      </c>
      <c r="R85" s="3"/>
      <c r="S85" s="3"/>
      <c r="T85" s="38">
        <f t="shared" si="3"/>
        <v>68.948738893574145</v>
      </c>
      <c r="U85" s="3"/>
      <c r="V85" s="2">
        <v>20.62</v>
      </c>
      <c r="W85" s="2">
        <v>0.12</v>
      </c>
      <c r="X85" s="2">
        <v>15.48</v>
      </c>
      <c r="Y85" s="2">
        <v>3.27</v>
      </c>
      <c r="Z85" s="2">
        <v>458</v>
      </c>
      <c r="AA85" s="2">
        <v>3.16</v>
      </c>
      <c r="AB85" s="2">
        <v>11.6</v>
      </c>
      <c r="AC85" s="2">
        <v>0.32</v>
      </c>
      <c r="AD85" s="2">
        <v>165</v>
      </c>
      <c r="AE85" s="3"/>
      <c r="AF85" s="3"/>
      <c r="AG85" s="3"/>
      <c r="AH85" s="3"/>
      <c r="AI85" s="6">
        <v>8.27</v>
      </c>
      <c r="AJ85" s="8">
        <v>666</v>
      </c>
      <c r="AK85" s="2"/>
      <c r="AL85" s="7">
        <v>14.4</v>
      </c>
      <c r="AM85" s="8">
        <v>131</v>
      </c>
      <c r="AN85" s="8"/>
      <c r="AO85" s="7"/>
      <c r="AP85" s="2"/>
      <c r="AQ85" s="6"/>
      <c r="AR85" s="6"/>
      <c r="AS85" s="6"/>
      <c r="AT85" s="8"/>
      <c r="AU85" s="8">
        <v>161</v>
      </c>
      <c r="AV85" s="2"/>
      <c r="AW85" s="8">
        <v>27</v>
      </c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8">
        <v>27</v>
      </c>
      <c r="BI85" s="6">
        <v>1.33</v>
      </c>
      <c r="BJ85" s="2">
        <v>3.51</v>
      </c>
      <c r="BK85" s="2"/>
      <c r="BL85" s="7">
        <v>1.88</v>
      </c>
      <c r="BM85" s="6">
        <v>0.63</v>
      </c>
      <c r="BN85" s="6">
        <v>0.93</v>
      </c>
      <c r="BO85" s="6"/>
      <c r="BP85" s="6">
        <v>0.14699999999999999</v>
      </c>
      <c r="BQ85" s="2"/>
      <c r="BR85" s="2"/>
      <c r="BS85" s="2"/>
      <c r="BT85" s="2"/>
      <c r="BU85" s="6">
        <v>0.6008</v>
      </c>
      <c r="BV85" s="3">
        <v>8.6999999999999994E-2</v>
      </c>
      <c r="BW85" s="6">
        <v>0.47</v>
      </c>
      <c r="BX85" s="6">
        <v>0.06</v>
      </c>
      <c r="BY85" s="2"/>
      <c r="BZ85" s="7">
        <v>5.3</v>
      </c>
      <c r="CA85" s="7">
        <v>2.4</v>
      </c>
      <c r="CB85" s="2"/>
      <c r="CC85" s="2"/>
      <c r="CD85" s="2"/>
      <c r="CE85" s="6">
        <v>0.22</v>
      </c>
      <c r="CF85" s="6">
        <v>5.0999999999999997E-2</v>
      </c>
      <c r="CG85" s="2"/>
      <c r="CH85" s="2"/>
      <c r="CI85" s="29">
        <v>0.75277835022583539</v>
      </c>
      <c r="CJ85" s="41">
        <v>0.81115073620907152</v>
      </c>
      <c r="CK85" s="29">
        <v>0.81077631526340388</v>
      </c>
      <c r="CL85" s="29"/>
      <c r="CM85" s="29"/>
      <c r="CN85" s="29"/>
      <c r="CO85" s="29"/>
      <c r="CP85" s="29"/>
      <c r="CQ85" s="29"/>
      <c r="CR85" s="30"/>
      <c r="CS85" s="29"/>
      <c r="CT85" s="29"/>
      <c r="CU85" s="29"/>
      <c r="CV85" s="29"/>
      <c r="CW85" s="29"/>
      <c r="CX85" s="29"/>
      <c r="CY85" s="29"/>
      <c r="CZ85" s="29"/>
    </row>
    <row r="86" spans="1:132" x14ac:dyDescent="0.2">
      <c r="B86" s="2"/>
      <c r="C86" s="2"/>
      <c r="D86" s="2"/>
      <c r="E86" s="8"/>
      <c r="F86" s="8"/>
      <c r="H86" s="6"/>
      <c r="K86" s="3"/>
      <c r="P86" s="3"/>
      <c r="Q86" s="3"/>
      <c r="R86" s="3"/>
      <c r="S86" s="3"/>
      <c r="T86" s="38" t="e">
        <f t="shared" si="3"/>
        <v>#DIV/0!</v>
      </c>
      <c r="U86" s="3"/>
      <c r="V86" s="2"/>
      <c r="AC86" s="2"/>
      <c r="AD86" s="2"/>
      <c r="AE86" s="3"/>
      <c r="AF86" s="3"/>
      <c r="AG86" s="3"/>
      <c r="AH86" s="3"/>
      <c r="AI86" s="6"/>
      <c r="AJ86" s="8"/>
      <c r="AK86" s="2"/>
      <c r="AL86" s="7"/>
      <c r="AM86" s="8"/>
      <c r="AN86" s="8"/>
      <c r="AO86" s="7"/>
      <c r="AP86" s="2"/>
      <c r="AQ86" s="6"/>
      <c r="AR86" s="6"/>
      <c r="AS86" s="6"/>
      <c r="AT86" s="8"/>
      <c r="AU86" s="8"/>
      <c r="AV86" s="2"/>
      <c r="AW86" s="8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8"/>
      <c r="BI86" s="6"/>
      <c r="BJ86" s="2"/>
      <c r="BK86" s="2"/>
      <c r="BL86" s="7"/>
      <c r="BM86" s="6"/>
      <c r="BN86" s="6"/>
      <c r="BO86" s="6"/>
      <c r="BP86" s="6"/>
      <c r="BQ86" s="2"/>
      <c r="BR86" s="2"/>
      <c r="BS86" s="2"/>
      <c r="BT86" s="2"/>
      <c r="BU86" s="6"/>
      <c r="BV86" s="3"/>
      <c r="BW86" s="6"/>
      <c r="BX86" s="6"/>
      <c r="BY86" s="2"/>
      <c r="BZ86" s="7"/>
      <c r="CA86" s="7"/>
      <c r="CB86" s="2"/>
      <c r="CC86" s="2"/>
      <c r="CD86" s="2"/>
      <c r="CE86" s="6"/>
      <c r="CF86" s="6"/>
      <c r="CG86" s="2"/>
      <c r="CH86" s="2"/>
      <c r="CI86" s="29"/>
      <c r="CJ86" s="41"/>
      <c r="CK86" s="29"/>
      <c r="CL86" s="29"/>
      <c r="CM86" s="29"/>
      <c r="CN86" s="29"/>
      <c r="CO86" s="29"/>
      <c r="CP86" s="29"/>
      <c r="CQ86" s="29"/>
      <c r="CR86" s="30"/>
      <c r="CS86" s="29"/>
      <c r="CT86" s="29"/>
      <c r="CU86" s="29"/>
      <c r="CV86" s="29"/>
      <c r="CW86" s="29"/>
      <c r="CX86" s="29"/>
      <c r="CY86" s="29"/>
      <c r="CZ86" s="29"/>
    </row>
    <row r="87" spans="1:132" x14ac:dyDescent="0.2">
      <c r="B87" s="2"/>
      <c r="C87" s="2"/>
      <c r="D87" s="2"/>
      <c r="E87" s="8"/>
      <c r="F87" s="8"/>
      <c r="H87" s="6"/>
      <c r="K87" s="3"/>
      <c r="P87" s="3"/>
      <c r="Q87" s="3"/>
      <c r="R87" s="3"/>
      <c r="S87" s="3"/>
      <c r="T87" s="38" t="e">
        <f t="shared" si="3"/>
        <v>#DIV/0!</v>
      </c>
      <c r="U87" s="3"/>
      <c r="V87" s="2"/>
      <c r="AC87" s="2"/>
      <c r="AD87" s="2"/>
      <c r="AE87" s="3"/>
      <c r="AF87" s="3"/>
      <c r="AG87" s="3"/>
      <c r="AH87" s="3"/>
      <c r="AI87" s="6"/>
      <c r="AJ87" s="8"/>
      <c r="AK87" s="2"/>
      <c r="AL87" s="7"/>
      <c r="AM87" s="8"/>
      <c r="AN87" s="8"/>
      <c r="AO87" s="7"/>
      <c r="AP87" s="2"/>
      <c r="AQ87" s="6"/>
      <c r="AR87" s="6"/>
      <c r="AS87" s="6"/>
      <c r="AT87" s="8"/>
      <c r="AU87" s="8"/>
      <c r="AV87" s="2"/>
      <c r="AW87" s="8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8"/>
      <c r="BI87" s="6"/>
      <c r="BJ87" s="2"/>
      <c r="BK87" s="2"/>
      <c r="BL87" s="7"/>
      <c r="BM87" s="6"/>
      <c r="BN87" s="6"/>
      <c r="BO87" s="6"/>
      <c r="BP87" s="6"/>
      <c r="BQ87" s="2"/>
      <c r="BR87" s="2"/>
      <c r="BS87" s="2"/>
      <c r="BT87" s="2"/>
      <c r="BU87" s="6"/>
      <c r="BV87" s="3"/>
      <c r="BW87" s="6"/>
      <c r="BX87" s="6"/>
      <c r="BY87" s="2"/>
      <c r="BZ87" s="7"/>
      <c r="CA87" s="7"/>
      <c r="CB87" s="2"/>
      <c r="CC87" s="2"/>
      <c r="CD87" s="2"/>
      <c r="CE87" s="6"/>
      <c r="CF87" s="6"/>
      <c r="CG87" s="2"/>
      <c r="CH87" s="2"/>
      <c r="CI87" s="29"/>
      <c r="CJ87" s="41"/>
      <c r="CK87" s="29"/>
      <c r="CL87" s="29"/>
      <c r="CM87" s="29"/>
      <c r="CN87" s="29"/>
      <c r="CO87" s="29"/>
      <c r="CP87" s="29"/>
      <c r="CQ87" s="29"/>
      <c r="CR87" s="30"/>
      <c r="CS87" s="29"/>
      <c r="CT87" s="29"/>
      <c r="CU87" s="29"/>
      <c r="CV87" s="29"/>
      <c r="CW87" s="29"/>
      <c r="CX87" s="29"/>
      <c r="CY87" s="29"/>
      <c r="CZ87" s="29"/>
    </row>
    <row r="88" spans="1:132" x14ac:dyDescent="0.2">
      <c r="B88" s="2"/>
      <c r="C88" s="2"/>
      <c r="D88" s="2"/>
      <c r="E88" s="8"/>
      <c r="F88" s="8"/>
      <c r="H88" s="6"/>
      <c r="K88" s="3"/>
      <c r="P88" s="3"/>
      <c r="Q88" s="3"/>
      <c r="R88" s="3"/>
      <c r="S88" s="3"/>
      <c r="T88" s="38" t="e">
        <f t="shared" si="3"/>
        <v>#DIV/0!</v>
      </c>
      <c r="U88" s="3"/>
      <c r="V88" s="2"/>
      <c r="AC88" s="2"/>
      <c r="AD88" s="2"/>
      <c r="AE88" s="3"/>
      <c r="AF88" s="3"/>
      <c r="AG88" s="3"/>
      <c r="AH88" s="3"/>
      <c r="AI88" s="6"/>
      <c r="AJ88" s="8"/>
      <c r="AK88" s="2"/>
      <c r="AL88" s="7"/>
      <c r="AM88" s="8"/>
      <c r="AN88" s="8"/>
      <c r="AO88" s="7"/>
      <c r="AP88" s="2"/>
      <c r="AQ88" s="6"/>
      <c r="AR88" s="6"/>
      <c r="AS88" s="6"/>
      <c r="AT88" s="8"/>
      <c r="AU88" s="8"/>
      <c r="AV88" s="2"/>
      <c r="AW88" s="8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8"/>
      <c r="BI88" s="6"/>
      <c r="BJ88" s="2"/>
      <c r="BK88" s="2"/>
      <c r="BL88" s="7"/>
      <c r="BM88" s="6"/>
      <c r="BN88" s="6"/>
      <c r="BO88" s="6"/>
      <c r="BP88" s="6"/>
      <c r="BQ88" s="2"/>
      <c r="BR88" s="2"/>
      <c r="BS88" s="2"/>
      <c r="BT88" s="2"/>
      <c r="BU88" s="6"/>
      <c r="BV88" s="3"/>
      <c r="BW88" s="6"/>
      <c r="BX88" s="6"/>
      <c r="BY88" s="2"/>
      <c r="BZ88" s="7"/>
      <c r="CA88" s="7"/>
      <c r="CB88" s="2"/>
      <c r="CC88" s="2"/>
      <c r="CD88" s="2"/>
      <c r="CE88" s="6"/>
      <c r="CF88" s="6"/>
      <c r="CG88" s="2"/>
      <c r="CH88" s="2"/>
      <c r="CI88" s="29"/>
      <c r="CJ88" s="41"/>
      <c r="CK88" s="29"/>
      <c r="CL88" s="29"/>
      <c r="CM88" s="29"/>
      <c r="CN88" s="29"/>
      <c r="CO88" s="29"/>
      <c r="CP88" s="29"/>
      <c r="CQ88" s="29"/>
      <c r="CR88" s="30"/>
      <c r="CS88" s="29"/>
      <c r="CT88" s="29"/>
      <c r="CU88" s="29"/>
      <c r="CV88" s="29"/>
      <c r="CW88" s="29"/>
      <c r="CX88" s="29"/>
      <c r="CY88" s="29"/>
      <c r="CZ88" s="29"/>
    </row>
    <row r="89" spans="1:132" x14ac:dyDescent="0.2">
      <c r="B89" s="2"/>
      <c r="C89" s="2"/>
      <c r="D89" s="2"/>
      <c r="E89" s="8"/>
      <c r="F89" s="8"/>
      <c r="H89" s="6"/>
      <c r="K89" s="3"/>
      <c r="P89" s="3"/>
      <c r="Q89" s="3"/>
      <c r="R89" s="3"/>
      <c r="S89" s="3"/>
      <c r="T89" s="38" t="e">
        <f t="shared" si="3"/>
        <v>#DIV/0!</v>
      </c>
      <c r="U89" s="3"/>
      <c r="V89" s="2"/>
      <c r="AC89" s="2"/>
      <c r="AD89" s="2"/>
      <c r="AE89" s="3"/>
      <c r="AF89" s="3"/>
      <c r="AG89" s="3"/>
      <c r="AH89" s="3"/>
      <c r="AI89" s="6"/>
      <c r="AJ89" s="8"/>
      <c r="AK89" s="2"/>
      <c r="AL89" s="7"/>
      <c r="AM89" s="8"/>
      <c r="AN89" s="8"/>
      <c r="AO89" s="7"/>
      <c r="AP89" s="2"/>
      <c r="AQ89" s="6"/>
      <c r="AR89" s="6"/>
      <c r="AS89" s="6"/>
      <c r="AT89" s="8"/>
      <c r="AU89" s="8"/>
      <c r="AV89" s="2"/>
      <c r="AW89" s="8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8"/>
      <c r="BI89" s="6"/>
      <c r="BJ89" s="2"/>
      <c r="BK89" s="2"/>
      <c r="BL89" s="7"/>
      <c r="BM89" s="6"/>
      <c r="BN89" s="6"/>
      <c r="BO89" s="6"/>
      <c r="BP89" s="6"/>
      <c r="BQ89" s="2"/>
      <c r="BR89" s="2"/>
      <c r="BS89" s="2"/>
      <c r="BT89" s="2"/>
      <c r="BU89" s="6"/>
      <c r="BV89" s="3"/>
      <c r="BW89" s="6"/>
      <c r="BX89" s="6"/>
      <c r="BY89" s="2"/>
      <c r="BZ89" s="7"/>
      <c r="CA89" s="7"/>
      <c r="CB89" s="2"/>
      <c r="CC89" s="2"/>
      <c r="CD89" s="2"/>
      <c r="CE89" s="6"/>
      <c r="CF89" s="6"/>
      <c r="CG89" s="2"/>
      <c r="CH89" s="2"/>
      <c r="CI89" s="29"/>
      <c r="CJ89" s="41"/>
      <c r="CK89" s="29"/>
      <c r="CL89" s="29"/>
      <c r="CM89" s="29"/>
      <c r="CN89" s="29"/>
      <c r="CO89" s="29"/>
      <c r="CP89" s="29"/>
      <c r="CQ89" s="29"/>
      <c r="CR89" s="30"/>
      <c r="CS89" s="29"/>
      <c r="CT89" s="29"/>
      <c r="CU89" s="29"/>
      <c r="CV89" s="29"/>
      <c r="CW89" s="29"/>
      <c r="CX89" s="29"/>
      <c r="CY89" s="29"/>
      <c r="CZ89" s="29"/>
    </row>
    <row r="90" spans="1:132" x14ac:dyDescent="0.2">
      <c r="B90" s="2"/>
      <c r="C90" s="2"/>
      <c r="D90" s="2"/>
      <c r="E90" s="8"/>
      <c r="F90" s="8"/>
      <c r="H90" s="6"/>
      <c r="K90" s="3"/>
      <c r="P90" s="3"/>
      <c r="Q90" s="3"/>
      <c r="R90" s="3"/>
      <c r="S90" s="3"/>
      <c r="T90" s="38" t="e">
        <f t="shared" si="3"/>
        <v>#DIV/0!</v>
      </c>
      <c r="U90" s="3"/>
      <c r="V90" s="2"/>
      <c r="AC90" s="2"/>
      <c r="AD90" s="2"/>
      <c r="AE90" s="3"/>
      <c r="AF90" s="3"/>
      <c r="AG90" s="3"/>
      <c r="AH90" s="3"/>
      <c r="AI90" s="6"/>
      <c r="AJ90" s="8"/>
      <c r="AK90" s="2"/>
      <c r="AL90" s="7"/>
      <c r="AM90" s="8"/>
      <c r="AN90" s="8"/>
      <c r="AO90" s="7"/>
      <c r="AP90" s="2"/>
      <c r="AQ90" s="6"/>
      <c r="AR90" s="6"/>
      <c r="AS90" s="6"/>
      <c r="AT90" s="8"/>
      <c r="AU90" s="8"/>
      <c r="AV90" s="2"/>
      <c r="AW90" s="8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8"/>
      <c r="BI90" s="6"/>
      <c r="BJ90" s="2"/>
      <c r="BK90" s="2"/>
      <c r="BL90" s="7"/>
      <c r="BM90" s="6"/>
      <c r="BN90" s="6"/>
      <c r="BO90" s="6"/>
      <c r="BP90" s="6"/>
      <c r="BQ90" s="2"/>
      <c r="BR90" s="2"/>
      <c r="BS90" s="2"/>
      <c r="BT90" s="2"/>
      <c r="BU90" s="6"/>
      <c r="BV90" s="3"/>
      <c r="BW90" s="6"/>
      <c r="BX90" s="6"/>
      <c r="BY90" s="2"/>
      <c r="BZ90" s="7"/>
      <c r="CA90" s="7"/>
      <c r="CB90" s="2"/>
      <c r="CC90" s="2"/>
      <c r="CD90" s="2"/>
      <c r="CE90" s="6"/>
      <c r="CF90" s="6"/>
      <c r="CG90" s="2"/>
      <c r="CH90" s="2"/>
      <c r="CI90" s="29"/>
      <c r="CJ90" s="41"/>
      <c r="CK90" s="29"/>
      <c r="CL90" s="29"/>
      <c r="CM90" s="29"/>
      <c r="CN90" s="29"/>
      <c r="CO90" s="29"/>
      <c r="CP90" s="29"/>
      <c r="CQ90" s="29"/>
      <c r="CR90" s="30"/>
      <c r="CS90" s="29"/>
      <c r="CT90" s="29"/>
      <c r="CU90" s="29"/>
      <c r="CV90" s="29"/>
      <c r="CW90" s="29"/>
      <c r="CX90" s="29"/>
      <c r="CY90" s="29"/>
      <c r="CZ90" s="29"/>
    </row>
    <row r="91" spans="1:132" x14ac:dyDescent="0.2">
      <c r="B91" s="2"/>
      <c r="C91" s="2"/>
      <c r="D91" s="2"/>
      <c r="E91" s="8"/>
      <c r="F91" s="8"/>
      <c r="H91" s="6"/>
      <c r="K91" s="3"/>
      <c r="P91" s="3"/>
      <c r="Q91" s="3"/>
      <c r="R91" s="3"/>
      <c r="S91" s="3"/>
      <c r="T91" s="38" t="e">
        <f t="shared" si="3"/>
        <v>#DIV/0!</v>
      </c>
      <c r="U91" s="3"/>
      <c r="V91" s="2"/>
      <c r="AC91" s="2"/>
      <c r="AD91" s="2"/>
      <c r="AE91" s="3"/>
      <c r="AF91" s="3"/>
      <c r="AG91" s="3"/>
      <c r="AH91" s="3"/>
      <c r="AI91" s="6"/>
      <c r="AJ91" s="8"/>
      <c r="AK91" s="2"/>
      <c r="AL91" s="7"/>
      <c r="AM91" s="8"/>
      <c r="AN91" s="8"/>
      <c r="AO91" s="7"/>
      <c r="AP91" s="2"/>
      <c r="AQ91" s="6"/>
      <c r="AR91" s="6"/>
      <c r="AS91" s="6"/>
      <c r="AT91" s="8"/>
      <c r="AU91" s="8"/>
      <c r="AV91" s="2"/>
      <c r="AW91" s="8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8"/>
      <c r="BI91" s="6"/>
      <c r="BJ91" s="2"/>
      <c r="BK91" s="2"/>
      <c r="BL91" s="7"/>
      <c r="BM91" s="6"/>
      <c r="BN91" s="6"/>
      <c r="BO91" s="6"/>
      <c r="BP91" s="6"/>
      <c r="BQ91" s="2"/>
      <c r="BR91" s="2"/>
      <c r="BS91" s="2"/>
      <c r="BT91" s="2"/>
      <c r="BU91" s="6"/>
      <c r="BV91" s="3"/>
      <c r="BW91" s="6"/>
      <c r="BX91" s="6"/>
      <c r="BY91" s="2"/>
      <c r="BZ91" s="7"/>
      <c r="CA91" s="7"/>
      <c r="CB91" s="2"/>
      <c r="CC91" s="2"/>
      <c r="CD91" s="2"/>
      <c r="CE91" s="6"/>
      <c r="CF91" s="6"/>
      <c r="CG91" s="2"/>
      <c r="CH91" s="2"/>
      <c r="CI91" s="29"/>
      <c r="CJ91" s="41"/>
      <c r="CK91" s="29"/>
      <c r="CL91" s="29"/>
      <c r="CM91" s="29"/>
      <c r="CN91" s="29"/>
      <c r="CO91" s="29"/>
      <c r="CP91" s="29"/>
      <c r="CQ91" s="29"/>
      <c r="CR91" s="30"/>
      <c r="CS91" s="29"/>
      <c r="CT91" s="29"/>
      <c r="CU91" s="29"/>
      <c r="CV91" s="29"/>
      <c r="CW91" s="29"/>
      <c r="CX91" s="29"/>
      <c r="CY91" s="29"/>
      <c r="CZ91" s="29"/>
    </row>
    <row r="92" spans="1:132" x14ac:dyDescent="0.2">
      <c r="B92" s="2"/>
      <c r="C92" s="2"/>
      <c r="D92" s="2"/>
      <c r="E92" s="8"/>
      <c r="F92" s="8"/>
      <c r="H92" s="6"/>
      <c r="K92" s="3"/>
      <c r="P92" s="3"/>
      <c r="Q92" s="3"/>
      <c r="R92" s="3"/>
      <c r="S92" s="3"/>
      <c r="T92" s="38" t="e">
        <f t="shared" si="3"/>
        <v>#DIV/0!</v>
      </c>
      <c r="U92" s="3"/>
      <c r="V92" s="2"/>
      <c r="AC92" s="2"/>
      <c r="AD92" s="2"/>
      <c r="AE92" s="3"/>
      <c r="AF92" s="3"/>
      <c r="AG92" s="3"/>
      <c r="AH92" s="3"/>
      <c r="AI92" s="6"/>
      <c r="AJ92" s="8"/>
      <c r="AK92" s="2"/>
      <c r="AL92" s="7"/>
      <c r="AM92" s="8"/>
      <c r="AN92" s="8"/>
      <c r="AO92" s="7"/>
      <c r="AP92" s="2"/>
      <c r="AQ92" s="6"/>
      <c r="AR92" s="6"/>
      <c r="AS92" s="6"/>
      <c r="AT92" s="8"/>
      <c r="AU92" s="8"/>
      <c r="AV92" s="2"/>
      <c r="AW92" s="8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8"/>
      <c r="BI92" s="6"/>
      <c r="BJ92" s="2"/>
      <c r="BK92" s="2"/>
      <c r="BL92" s="7"/>
      <c r="BM92" s="6"/>
      <c r="BN92" s="6"/>
      <c r="BO92" s="6"/>
      <c r="BP92" s="6"/>
      <c r="BQ92" s="2"/>
      <c r="BR92" s="2"/>
      <c r="BS92" s="2"/>
      <c r="BT92" s="2"/>
      <c r="BU92" s="6"/>
      <c r="BV92" s="3"/>
      <c r="BW92" s="6"/>
      <c r="BX92" s="6"/>
      <c r="BY92" s="2"/>
      <c r="BZ92" s="7"/>
      <c r="CA92" s="7"/>
      <c r="CB92" s="2"/>
      <c r="CC92" s="2"/>
      <c r="CD92" s="2"/>
      <c r="CE92" s="6"/>
      <c r="CF92" s="6"/>
      <c r="CG92" s="2"/>
      <c r="CH92" s="2"/>
      <c r="CI92" s="29"/>
      <c r="CJ92" s="41"/>
      <c r="CK92" s="29"/>
      <c r="CL92" s="29"/>
      <c r="CM92" s="29"/>
      <c r="CN92" s="29"/>
      <c r="CO92" s="29"/>
      <c r="CP92" s="29"/>
      <c r="CQ92" s="29"/>
      <c r="CR92" s="30"/>
      <c r="CS92" s="29"/>
      <c r="CT92" s="29"/>
      <c r="CU92" s="29"/>
      <c r="CV92" s="29"/>
      <c r="CW92" s="29"/>
      <c r="CX92" s="29"/>
      <c r="CY92" s="29"/>
      <c r="CZ92" s="29"/>
    </row>
    <row r="93" spans="1:132" x14ac:dyDescent="0.2">
      <c r="B93" s="2"/>
      <c r="C93" s="2"/>
      <c r="D93" s="2"/>
      <c r="E93" s="8"/>
      <c r="F93" s="8"/>
      <c r="H93" s="6"/>
      <c r="K93" s="3"/>
      <c r="P93" s="3"/>
      <c r="Q93" s="3"/>
      <c r="R93" s="3"/>
      <c r="S93" s="3"/>
      <c r="T93" s="38" t="e">
        <f t="shared" si="3"/>
        <v>#DIV/0!</v>
      </c>
      <c r="U93" s="3"/>
      <c r="V93" s="2"/>
      <c r="AC93" s="2"/>
      <c r="AD93" s="2"/>
      <c r="AE93" s="3"/>
      <c r="AF93" s="3"/>
      <c r="AG93" s="3"/>
      <c r="AH93" s="3"/>
      <c r="AI93" s="6"/>
      <c r="AJ93" s="8"/>
      <c r="AK93" s="2"/>
      <c r="AL93" s="7"/>
      <c r="AM93" s="8"/>
      <c r="AN93" s="8"/>
      <c r="AO93" s="7"/>
      <c r="AP93" s="2"/>
      <c r="AQ93" s="6"/>
      <c r="AR93" s="6"/>
      <c r="AS93" s="6"/>
      <c r="AT93" s="8"/>
      <c r="AU93" s="8"/>
      <c r="AV93" s="2"/>
      <c r="AW93" s="8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8"/>
      <c r="BI93" s="6"/>
      <c r="BJ93" s="2"/>
      <c r="BK93" s="2"/>
      <c r="BL93" s="7"/>
      <c r="BM93" s="6"/>
      <c r="BN93" s="6"/>
      <c r="BO93" s="6"/>
      <c r="BP93" s="6"/>
      <c r="BQ93" s="2"/>
      <c r="BR93" s="2"/>
      <c r="BS93" s="2"/>
      <c r="BT93" s="2"/>
      <c r="BU93" s="6"/>
      <c r="BV93" s="3"/>
      <c r="BW93" s="6"/>
      <c r="BX93" s="6"/>
      <c r="BY93" s="2"/>
      <c r="BZ93" s="7"/>
      <c r="CA93" s="7"/>
      <c r="CB93" s="2"/>
      <c r="CC93" s="2"/>
      <c r="CD93" s="2"/>
      <c r="CE93" s="6"/>
      <c r="CF93" s="6"/>
      <c r="CG93" s="2"/>
      <c r="CH93" s="2"/>
      <c r="CI93" s="29"/>
      <c r="CJ93" s="41"/>
      <c r="CK93" s="29"/>
      <c r="CL93" s="29"/>
      <c r="CM93" s="29"/>
      <c r="CN93" s="29"/>
      <c r="CO93" s="29"/>
      <c r="CP93" s="29"/>
      <c r="CQ93" s="29"/>
      <c r="CR93" s="30"/>
      <c r="CS93" s="29"/>
      <c r="CT93" s="29"/>
      <c r="CU93" s="29"/>
      <c r="CV93" s="29"/>
      <c r="CW93" s="29"/>
      <c r="CX93" s="29"/>
      <c r="CY93" s="29"/>
      <c r="CZ93" s="29"/>
    </row>
    <row r="94" spans="1:132" x14ac:dyDescent="0.2">
      <c r="B94" s="2"/>
      <c r="C94" s="2"/>
      <c r="D94" s="2"/>
      <c r="E94" s="8"/>
      <c r="F94" s="8"/>
      <c r="H94" s="6"/>
      <c r="K94" s="3"/>
      <c r="P94" s="3"/>
      <c r="Q94" s="3"/>
      <c r="R94" s="3"/>
      <c r="S94" s="3"/>
      <c r="T94" s="38" t="e">
        <f t="shared" si="3"/>
        <v>#DIV/0!</v>
      </c>
      <c r="U94" s="3"/>
      <c r="V94" s="2"/>
      <c r="AC94" s="2"/>
      <c r="AD94" s="2"/>
      <c r="AE94" s="3"/>
      <c r="AF94" s="3"/>
      <c r="AG94" s="3"/>
      <c r="AH94" s="3"/>
      <c r="AI94" s="6"/>
      <c r="AJ94" s="8"/>
      <c r="AK94" s="2"/>
      <c r="AL94" s="7"/>
      <c r="AM94" s="8"/>
      <c r="AN94" s="8"/>
      <c r="AO94" s="7"/>
      <c r="AP94" s="2"/>
      <c r="AQ94" s="6"/>
      <c r="AR94" s="6"/>
      <c r="AS94" s="6"/>
      <c r="AT94" s="8"/>
      <c r="AU94" s="8"/>
      <c r="AV94" s="2"/>
      <c r="AW94" s="8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8"/>
      <c r="BI94" s="6"/>
      <c r="BJ94" s="2"/>
      <c r="BK94" s="2"/>
      <c r="BL94" s="7"/>
      <c r="BM94" s="6"/>
      <c r="BN94" s="6"/>
      <c r="BO94" s="6"/>
      <c r="BP94" s="6"/>
      <c r="BQ94" s="2"/>
      <c r="BR94" s="2"/>
      <c r="BS94" s="2"/>
      <c r="BT94" s="2"/>
      <c r="BU94" s="6"/>
      <c r="BV94" s="3"/>
      <c r="BW94" s="6"/>
      <c r="BX94" s="6"/>
      <c r="BY94" s="2"/>
      <c r="BZ94" s="7"/>
      <c r="CA94" s="7"/>
      <c r="CB94" s="2"/>
      <c r="CC94" s="2"/>
      <c r="CD94" s="2"/>
      <c r="CE94" s="6"/>
      <c r="CF94" s="6"/>
      <c r="CG94" s="2"/>
      <c r="CH94" s="2"/>
      <c r="CI94" s="29"/>
      <c r="CJ94" s="41"/>
      <c r="CK94" s="29"/>
      <c r="CL94" s="29"/>
      <c r="CM94" s="29"/>
      <c r="CN94" s="29"/>
      <c r="CO94" s="29"/>
      <c r="CP94" s="29"/>
      <c r="CQ94" s="29"/>
      <c r="CR94" s="30"/>
      <c r="CS94" s="29"/>
      <c r="CT94" s="29"/>
      <c r="CU94" s="29"/>
      <c r="CV94" s="29"/>
      <c r="CW94" s="29"/>
      <c r="CX94" s="29"/>
      <c r="CY94" s="29"/>
      <c r="CZ94" s="29"/>
    </row>
    <row r="95" spans="1:132" x14ac:dyDescent="0.2">
      <c r="B95" s="2"/>
      <c r="C95" s="2"/>
      <c r="D95" s="2"/>
      <c r="E95" s="2"/>
      <c r="F95" s="2"/>
      <c r="H95" s="9"/>
      <c r="K95" s="3"/>
      <c r="P95" s="3"/>
      <c r="Q95" s="3"/>
      <c r="R95" s="3"/>
      <c r="S95" s="2"/>
      <c r="T95" s="38" t="e">
        <f t="shared" si="3"/>
        <v>#DIV/0!</v>
      </c>
      <c r="U95" s="2"/>
      <c r="V95" s="2"/>
      <c r="AC95" s="2"/>
      <c r="AD95" s="2"/>
      <c r="AE95" s="2"/>
      <c r="AF95" s="2"/>
      <c r="AG95" s="2"/>
      <c r="AH95" s="2"/>
      <c r="AI95" s="6"/>
      <c r="AJ95" s="8"/>
      <c r="AK95" s="2"/>
      <c r="AL95" s="7"/>
      <c r="AM95" s="8"/>
      <c r="AN95" s="8"/>
      <c r="AO95" s="7"/>
      <c r="AP95" s="2"/>
      <c r="AQ95" s="6"/>
      <c r="AR95" s="6"/>
      <c r="AS95" s="6"/>
      <c r="AT95" s="8"/>
      <c r="AU95" s="8"/>
      <c r="AV95" s="2"/>
      <c r="AW95" s="8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8"/>
      <c r="BI95" s="6"/>
      <c r="BJ95" s="2"/>
      <c r="BK95" s="2"/>
      <c r="BL95" s="7"/>
      <c r="BM95" s="6"/>
      <c r="BN95" s="6"/>
      <c r="BO95" s="6"/>
      <c r="BP95" s="6"/>
      <c r="BQ95" s="2"/>
      <c r="BR95" s="2"/>
      <c r="BS95" s="2"/>
      <c r="BT95" s="2"/>
      <c r="BU95" s="2"/>
      <c r="BV95" s="3"/>
      <c r="BW95" s="6"/>
      <c r="BX95" s="6"/>
      <c r="BY95" s="2"/>
      <c r="BZ95" s="7"/>
      <c r="CA95" s="7"/>
      <c r="CB95" s="2"/>
      <c r="CC95" s="2"/>
      <c r="CD95" s="2"/>
      <c r="CE95" s="6"/>
      <c r="CF95" s="6"/>
      <c r="CG95" s="2"/>
      <c r="CH95" s="2"/>
      <c r="CI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</row>
    <row r="96" spans="1:132" x14ac:dyDescent="0.2">
      <c r="T96" s="38" t="e">
        <f t="shared" si="3"/>
        <v>#DIV/0!</v>
      </c>
    </row>
    <row r="97" spans="1:132" x14ac:dyDescent="0.2">
      <c r="A97" t="s">
        <v>252</v>
      </c>
      <c r="C97">
        <v>1</v>
      </c>
      <c r="D97" t="s">
        <v>253</v>
      </c>
      <c r="E97">
        <v>153.4</v>
      </c>
      <c r="T97" s="38" t="e">
        <f t="shared" si="3"/>
        <v>#DIV/0!</v>
      </c>
      <c r="Y97">
        <v>3.34</v>
      </c>
      <c r="Z97" s="2">
        <v>520</v>
      </c>
      <c r="AC97">
        <v>0.28999999999999998</v>
      </c>
      <c r="AD97">
        <v>190</v>
      </c>
      <c r="AI97" s="30">
        <v>8.64</v>
      </c>
      <c r="AJ97" s="31">
        <v>655</v>
      </c>
      <c r="AL97" s="33">
        <v>16.100000000000001</v>
      </c>
      <c r="AM97" s="31">
        <v>163</v>
      </c>
      <c r="AN97" s="31">
        <v>12</v>
      </c>
      <c r="AO97" s="33">
        <v>4.12</v>
      </c>
      <c r="AQ97" s="30">
        <v>0.06</v>
      </c>
      <c r="AR97" s="30">
        <v>0.26</v>
      </c>
      <c r="AS97" s="30">
        <v>0.12</v>
      </c>
      <c r="AT97" s="31">
        <v>0.9</v>
      </c>
      <c r="AU97" s="31">
        <v>150</v>
      </c>
      <c r="AW97" s="31">
        <v>44</v>
      </c>
      <c r="BD97" s="30">
        <v>0.04</v>
      </c>
      <c r="BG97" s="30">
        <v>5.8999999999999997E-2</v>
      </c>
      <c r="BH97" s="31">
        <v>25</v>
      </c>
      <c r="BI97" s="30">
        <v>2.54</v>
      </c>
      <c r="BJ97">
        <v>6.41</v>
      </c>
      <c r="BK97" s="51">
        <v>0.85669339788881205</v>
      </c>
      <c r="BL97" s="33">
        <v>4.0999999999999996</v>
      </c>
      <c r="BM97" s="30">
        <v>1.22</v>
      </c>
      <c r="BN97" s="30">
        <v>0.77</v>
      </c>
      <c r="BO97" s="30">
        <v>1.3</v>
      </c>
      <c r="BP97" s="30">
        <v>0.26</v>
      </c>
      <c r="BQ97">
        <v>1.71</v>
      </c>
      <c r="BR97" s="52">
        <v>0.38833988925012686</v>
      </c>
      <c r="BS97" s="52">
        <v>1.0813886532172132</v>
      </c>
      <c r="BT97" s="53">
        <v>0.16047455659739684</v>
      </c>
      <c r="BU97">
        <v>1.05</v>
      </c>
      <c r="BV97" s="32">
        <v>0.16</v>
      </c>
      <c r="BW97" s="30">
        <v>0.88</v>
      </c>
      <c r="BX97" s="30">
        <v>8.6999999999999994E-2</v>
      </c>
      <c r="BY97">
        <v>0.2</v>
      </c>
      <c r="BZ97" s="33">
        <v>5.8</v>
      </c>
      <c r="CA97" s="33">
        <v>3.5</v>
      </c>
      <c r="CE97" s="30">
        <v>0.33</v>
      </c>
      <c r="CF97" s="30">
        <v>9.5000000000000001E-2</v>
      </c>
      <c r="CI97" s="29">
        <v>1.4658896679667377</v>
      </c>
      <c r="CJ97" s="41">
        <v>1.4787041559090974</v>
      </c>
      <c r="CK97" s="29">
        <v>1.4374620712850155</v>
      </c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32" x14ac:dyDescent="0.2">
      <c r="A98" t="s">
        <v>252</v>
      </c>
      <c r="C98">
        <v>2</v>
      </c>
      <c r="D98" t="s">
        <v>253</v>
      </c>
      <c r="E98">
        <v>55.2</v>
      </c>
      <c r="T98" s="38" t="e">
        <f t="shared" si="3"/>
        <v>#DIV/0!</v>
      </c>
      <c r="Y98">
        <v>3.56</v>
      </c>
      <c r="Z98" s="2">
        <v>611</v>
      </c>
      <c r="AC98">
        <v>0.3</v>
      </c>
      <c r="AD98">
        <v>185</v>
      </c>
      <c r="AI98" s="30">
        <v>9.7100000000000009</v>
      </c>
      <c r="AJ98" s="31">
        <v>738</v>
      </c>
      <c r="AL98" s="33">
        <v>16.7</v>
      </c>
      <c r="AM98" s="31">
        <v>155</v>
      </c>
      <c r="AN98" s="31">
        <v>10</v>
      </c>
      <c r="AO98" s="33">
        <v>3.6</v>
      </c>
      <c r="AQ98" s="30">
        <v>0.08</v>
      </c>
      <c r="AR98" s="30">
        <v>0.22</v>
      </c>
      <c r="AU98" s="31">
        <v>200</v>
      </c>
      <c r="AW98" s="31">
        <v>40</v>
      </c>
      <c r="BG98" s="30">
        <v>6.2E-2</v>
      </c>
      <c r="BH98" s="31">
        <v>26</v>
      </c>
      <c r="BI98" s="30">
        <v>2.93</v>
      </c>
      <c r="BJ98">
        <v>7.56</v>
      </c>
      <c r="BK98" s="51">
        <v>1.0255594001828401</v>
      </c>
      <c r="BL98" s="33">
        <v>5</v>
      </c>
      <c r="BM98" s="30">
        <v>1.46</v>
      </c>
      <c r="BN98" s="30">
        <v>0.8</v>
      </c>
      <c r="BO98" s="30">
        <v>1.65</v>
      </c>
      <c r="BP98" s="30">
        <v>0.28999999999999998</v>
      </c>
      <c r="BQ98">
        <v>1.9</v>
      </c>
      <c r="BR98" s="52">
        <v>0.44074045791037575</v>
      </c>
      <c r="BS98" s="52">
        <v>1.2231947024857139</v>
      </c>
      <c r="BT98" s="53">
        <v>0.18092304744400312</v>
      </c>
      <c r="BU98">
        <v>1.18</v>
      </c>
      <c r="BV98" s="32">
        <v>0.18</v>
      </c>
      <c r="BW98" s="30">
        <v>0.97</v>
      </c>
      <c r="BX98" s="30">
        <v>9.6000000000000002E-2</v>
      </c>
      <c r="BY98">
        <v>0.1</v>
      </c>
      <c r="BZ98" s="33">
        <v>6.9</v>
      </c>
      <c r="CA98" s="7">
        <v>4</v>
      </c>
      <c r="CB98" s="7"/>
      <c r="CC98" s="7"/>
      <c r="CD98" s="7"/>
      <c r="CE98" s="30">
        <v>0.41</v>
      </c>
      <c r="CF98" s="30">
        <v>0.11</v>
      </c>
      <c r="CI98" s="29">
        <v>1.7802375509727599</v>
      </c>
      <c r="CJ98" s="41">
        <v>1.6884859052250589</v>
      </c>
      <c r="CK98" s="29">
        <v>1.6009118988018127</v>
      </c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32" x14ac:dyDescent="0.2">
      <c r="A99" t="s">
        <v>252</v>
      </c>
      <c r="C99" t="s">
        <v>254</v>
      </c>
      <c r="D99" t="s">
        <v>253</v>
      </c>
      <c r="E99">
        <v>208.60000000000002</v>
      </c>
      <c r="L99" s="6">
        <v>4.3718057622243522</v>
      </c>
      <c r="P99" s="3">
        <v>0.3944870949185042</v>
      </c>
      <c r="Q99" s="3">
        <v>2.2728018600191753E-2</v>
      </c>
      <c r="R99" s="3"/>
      <c r="S99" s="3"/>
      <c r="T99" s="38">
        <f t="shared" si="3"/>
        <v>0</v>
      </c>
      <c r="U99" s="3"/>
      <c r="Y99" s="6">
        <v>3.3982166826462121</v>
      </c>
      <c r="Z99" s="8">
        <v>544.08053691275165</v>
      </c>
      <c r="AC99" s="3">
        <v>0.29264621284755504</v>
      </c>
      <c r="AD99" s="8">
        <v>188.67689357622243</v>
      </c>
      <c r="AE99" s="3"/>
      <c r="AF99" s="3"/>
      <c r="AG99" s="3"/>
      <c r="AH99" s="3"/>
      <c r="AI99" s="6">
        <v>8.9231447746883994</v>
      </c>
      <c r="AJ99" s="8">
        <v>676.96356663470749</v>
      </c>
      <c r="AK99" s="6"/>
      <c r="AL99" s="7">
        <v>16.258772770853309</v>
      </c>
      <c r="AM99" s="8">
        <v>160.88302972195586</v>
      </c>
      <c r="AN99" s="8">
        <v>11.470757430488973</v>
      </c>
      <c r="AO99" s="7">
        <v>3.9823969319271333</v>
      </c>
      <c r="AP99" s="8"/>
      <c r="AQ99" s="6">
        <v>6.5292425695110262E-2</v>
      </c>
      <c r="AR99" s="6">
        <v>0.24941514860977945</v>
      </c>
      <c r="AS99" s="6"/>
      <c r="AT99" s="8"/>
      <c r="AU99" s="8">
        <v>163.23106423777563</v>
      </c>
      <c r="AV99" s="8"/>
      <c r="AW99" s="8">
        <v>42.941514860977946</v>
      </c>
      <c r="AX99" s="6"/>
      <c r="AY99" s="6"/>
      <c r="AZ99" s="6"/>
      <c r="BA99" s="6"/>
      <c r="BB99" s="6"/>
      <c r="BC99" s="6"/>
      <c r="BD99" s="6"/>
      <c r="BE99" s="6"/>
      <c r="BF99" s="6"/>
      <c r="BG99" s="6">
        <v>5.9793863854266528E-2</v>
      </c>
      <c r="BH99" s="8">
        <v>25.26462128475551</v>
      </c>
      <c r="BI99" s="6">
        <v>2.6432023010546501</v>
      </c>
      <c r="BJ99" s="6">
        <v>6.7143144774688404</v>
      </c>
      <c r="BK99" s="51">
        <v>0.90144395764821461</v>
      </c>
      <c r="BL99" s="7">
        <v>4.3381591562799606</v>
      </c>
      <c r="BM99" s="6">
        <v>1.283509108341323</v>
      </c>
      <c r="BN99" s="6">
        <v>0.77793863854266543</v>
      </c>
      <c r="BO99" s="6">
        <v>1.3926174496644295</v>
      </c>
      <c r="BP99" s="6">
        <v>0.26793863854266536</v>
      </c>
      <c r="BQ99" s="6">
        <v>1.7602780441035473</v>
      </c>
      <c r="BR99" s="6">
        <v>0.40220619505092131</v>
      </c>
      <c r="BS99" s="6">
        <v>1.1189135521607474</v>
      </c>
      <c r="BT99" s="6">
        <v>0.16588566251653714</v>
      </c>
      <c r="BU99" s="6">
        <v>1.0844007670182167</v>
      </c>
      <c r="BV99" s="3">
        <v>0.16529242569511027</v>
      </c>
      <c r="BW99" s="6">
        <v>0.90381591562799624</v>
      </c>
      <c r="BX99" s="6">
        <v>8.9381591562799609E-2</v>
      </c>
      <c r="BY99" s="6">
        <v>0.17353787152444869</v>
      </c>
      <c r="BZ99" s="7">
        <v>6.0910834132310638</v>
      </c>
      <c r="CA99" s="7">
        <v>3.6323106423777562</v>
      </c>
      <c r="CB99" s="7"/>
      <c r="CC99" s="7"/>
      <c r="CD99" s="7"/>
      <c r="CE99" s="6">
        <v>0.35116970278044102</v>
      </c>
      <c r="CF99" s="6">
        <v>9.8969319271332679E-2</v>
      </c>
      <c r="CG99" s="6"/>
      <c r="CH99" s="6"/>
      <c r="CI99" s="41"/>
      <c r="CJ99" s="41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32" x14ac:dyDescent="0.2">
      <c r="P100" s="3"/>
      <c r="Q100" s="3"/>
      <c r="R100" s="3"/>
      <c r="S100" s="3"/>
      <c r="T100" s="38" t="e">
        <f t="shared" si="3"/>
        <v>#DIV/0!</v>
      </c>
      <c r="U100" s="3"/>
      <c r="Y100" s="6"/>
      <c r="Z100" s="8"/>
      <c r="AC100" s="3"/>
      <c r="AD100" s="8"/>
      <c r="AE100" s="3"/>
      <c r="AF100" s="3"/>
      <c r="AG100" s="3"/>
      <c r="AH100" s="3"/>
      <c r="AI100" s="6"/>
      <c r="AJ100" s="8"/>
      <c r="AK100" s="6"/>
      <c r="AL100" s="7"/>
      <c r="AM100" s="8"/>
      <c r="AN100" s="8"/>
      <c r="AO100" s="7"/>
      <c r="AP100" s="8"/>
      <c r="AQ100" s="6"/>
      <c r="AR100" s="6"/>
      <c r="AS100" s="6"/>
      <c r="AT100" s="8"/>
      <c r="AU100" s="8"/>
      <c r="AV100" s="8"/>
      <c r="AW100" s="8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8"/>
      <c r="BI100" s="6"/>
      <c r="BJ100" s="6"/>
      <c r="BK100" s="51"/>
      <c r="BL100" s="7"/>
      <c r="BM100" s="6"/>
      <c r="BN100" s="6"/>
      <c r="BO100" s="6"/>
      <c r="BP100" s="6"/>
      <c r="BQ100" s="6"/>
      <c r="BR100" s="6"/>
      <c r="BS100" s="6"/>
      <c r="BT100" s="6"/>
      <c r="BU100" s="6"/>
      <c r="BV100" s="3"/>
      <c r="BW100" s="6"/>
      <c r="BX100" s="6"/>
      <c r="BY100" s="6"/>
      <c r="BZ100" s="7"/>
      <c r="CA100" s="7"/>
      <c r="CB100" s="7"/>
      <c r="CC100" s="7"/>
      <c r="CD100" s="7"/>
      <c r="CE100" s="6"/>
      <c r="CF100" s="6"/>
      <c r="CG100" s="6"/>
      <c r="CH100" s="6"/>
      <c r="CI100" s="41"/>
      <c r="CJ100" s="41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32" x14ac:dyDescent="0.2">
      <c r="A101" t="s">
        <v>1010</v>
      </c>
      <c r="D101" s="50" t="s">
        <v>1354</v>
      </c>
      <c r="E101">
        <v>140</v>
      </c>
      <c r="H101">
        <v>45.63</v>
      </c>
      <c r="I101">
        <v>0.246</v>
      </c>
      <c r="J101">
        <v>28.95</v>
      </c>
      <c r="K101">
        <v>8.8999999999999996E-2</v>
      </c>
      <c r="L101">
        <v>4.59</v>
      </c>
      <c r="M101">
        <v>6.8000000000000005E-2</v>
      </c>
      <c r="N101">
        <v>4.26</v>
      </c>
      <c r="O101">
        <v>16.32</v>
      </c>
      <c r="P101">
        <v>0.30299999999999999</v>
      </c>
      <c r="Q101">
        <v>0.11700000000000001</v>
      </c>
      <c r="R101">
        <v>3.6999999999999998E-2</v>
      </c>
      <c r="T101" s="38">
        <f t="shared" si="3"/>
        <v>62.327288686833185</v>
      </c>
      <c r="W101"/>
      <c r="AI101">
        <v>9.4700000000000006</v>
      </c>
      <c r="AJ101">
        <v>606</v>
      </c>
      <c r="AK101">
        <v>20.3</v>
      </c>
      <c r="AL101">
        <v>17</v>
      </c>
      <c r="AM101">
        <v>134</v>
      </c>
      <c r="AN101">
        <v>14.9</v>
      </c>
      <c r="AO101">
        <v>3.5</v>
      </c>
      <c r="AT101">
        <v>1.19</v>
      </c>
      <c r="AU101">
        <v>169</v>
      </c>
      <c r="AV101">
        <v>12.6</v>
      </c>
      <c r="AW101">
        <v>44.8</v>
      </c>
      <c r="AX101">
        <v>2.85</v>
      </c>
      <c r="AY101">
        <v>6.2E-2</v>
      </c>
      <c r="BA101" t="s">
        <v>1353</v>
      </c>
      <c r="BG101">
        <v>7.4999999999999997E-2</v>
      </c>
      <c r="BH101">
        <v>32.9</v>
      </c>
      <c r="BI101">
        <v>2.87</v>
      </c>
      <c r="BJ101">
        <v>7.18</v>
      </c>
      <c r="BK101">
        <v>1.04</v>
      </c>
      <c r="BL101">
        <v>4.58</v>
      </c>
      <c r="BM101">
        <v>1.31</v>
      </c>
      <c r="BN101">
        <v>0.84</v>
      </c>
      <c r="BO101">
        <v>1.56</v>
      </c>
      <c r="BP101">
        <v>0.28999999999999998</v>
      </c>
      <c r="BQ101">
        <v>1.91</v>
      </c>
      <c r="BR101">
        <v>0.4</v>
      </c>
      <c r="BS101">
        <v>1.19</v>
      </c>
      <c r="BT101">
        <v>0.17</v>
      </c>
      <c r="BU101">
        <v>1.1499999999999999</v>
      </c>
      <c r="BV101">
        <v>0.15</v>
      </c>
      <c r="BW101">
        <v>0.91</v>
      </c>
      <c r="BX101">
        <v>0.14000000000000001</v>
      </c>
      <c r="BY101">
        <v>0.09</v>
      </c>
      <c r="BZ101">
        <v>0.53</v>
      </c>
      <c r="CA101">
        <v>0.13</v>
      </c>
      <c r="CC101">
        <v>1.39</v>
      </c>
      <c r="CE101"/>
      <c r="CF101"/>
      <c r="CG101" s="30"/>
      <c r="CI101" s="30"/>
      <c r="CQ101" s="29">
        <v>5.3594771241830069E-2</v>
      </c>
    </row>
    <row r="102" spans="1:132" x14ac:dyDescent="0.2">
      <c r="A102" t="s">
        <v>1011</v>
      </c>
      <c r="D102" s="50" t="s">
        <v>1354</v>
      </c>
      <c r="E102">
        <v>140</v>
      </c>
      <c r="H102">
        <v>45.02</v>
      </c>
      <c r="I102">
        <v>0.221</v>
      </c>
      <c r="J102">
        <v>29.3</v>
      </c>
      <c r="K102">
        <v>8.3000000000000004E-2</v>
      </c>
      <c r="L102">
        <v>4.3179999999999996</v>
      </c>
      <c r="M102">
        <v>6.0999999999999999E-2</v>
      </c>
      <c r="N102">
        <v>4.25</v>
      </c>
      <c r="O102">
        <v>16.14</v>
      </c>
      <c r="P102">
        <v>0.29699999999999999</v>
      </c>
      <c r="Q102">
        <v>2.1999999999999999E-2</v>
      </c>
      <c r="R102">
        <v>2.5999999999999999E-2</v>
      </c>
      <c r="T102" s="38">
        <f t="shared" si="3"/>
        <v>63.696162619602973</v>
      </c>
      <c r="W102"/>
      <c r="AI102">
        <v>8.33</v>
      </c>
      <c r="AJ102">
        <v>566</v>
      </c>
      <c r="AK102">
        <v>17.600000000000001</v>
      </c>
      <c r="AL102">
        <v>16.399999999999999</v>
      </c>
      <c r="AM102">
        <v>133</v>
      </c>
      <c r="AN102">
        <v>15.6</v>
      </c>
      <c r="AO102">
        <v>3.9</v>
      </c>
      <c r="AT102">
        <v>1.03</v>
      </c>
      <c r="AU102">
        <v>161</v>
      </c>
      <c r="AV102">
        <v>10.5</v>
      </c>
      <c r="AW102">
        <v>36.1</v>
      </c>
      <c r="AX102">
        <v>2.62</v>
      </c>
      <c r="AY102">
        <v>0.06</v>
      </c>
      <c r="BA102" t="s">
        <v>1353</v>
      </c>
      <c r="BG102">
        <v>5.0999999999999997E-2</v>
      </c>
      <c r="BH102">
        <v>28</v>
      </c>
      <c r="BI102">
        <v>2.77</v>
      </c>
      <c r="BJ102">
        <v>6.6</v>
      </c>
      <c r="BK102">
        <v>1</v>
      </c>
      <c r="BL102">
        <v>4.4400000000000004</v>
      </c>
      <c r="BM102">
        <v>1.26</v>
      </c>
      <c r="BN102">
        <v>0.91</v>
      </c>
      <c r="BO102">
        <v>1.5</v>
      </c>
      <c r="BP102">
        <v>0.28000000000000003</v>
      </c>
      <c r="BQ102">
        <v>1.85</v>
      </c>
      <c r="BR102">
        <v>0.39</v>
      </c>
      <c r="BS102">
        <v>1.17</v>
      </c>
      <c r="BT102">
        <v>0.16</v>
      </c>
      <c r="BU102">
        <v>1.1000000000000001</v>
      </c>
      <c r="BV102">
        <v>0.15</v>
      </c>
      <c r="BW102">
        <v>0.81</v>
      </c>
      <c r="BX102">
        <v>0.12</v>
      </c>
      <c r="BY102">
        <v>6.8000000000000005E-2</v>
      </c>
      <c r="BZ102">
        <v>0.48</v>
      </c>
      <c r="CA102">
        <v>0.12</v>
      </c>
      <c r="CC102">
        <v>1.17</v>
      </c>
      <c r="CE102"/>
      <c r="CF102"/>
      <c r="CG102" s="30"/>
      <c r="CI102" s="30"/>
      <c r="CQ102" s="29">
        <v>5.1181102362204731E-2</v>
      </c>
    </row>
    <row r="103" spans="1:132" x14ac:dyDescent="0.2">
      <c r="A103" t="s">
        <v>103</v>
      </c>
      <c r="D103" s="50" t="s">
        <v>1354</v>
      </c>
      <c r="E103">
        <v>140</v>
      </c>
      <c r="H103">
        <v>44.24</v>
      </c>
      <c r="I103">
        <v>0.23499999999999999</v>
      </c>
      <c r="J103">
        <v>29.24</v>
      </c>
      <c r="K103">
        <v>0.1</v>
      </c>
      <c r="L103">
        <v>4.3899999999999997</v>
      </c>
      <c r="M103">
        <v>6.0999999999999999E-2</v>
      </c>
      <c r="N103">
        <v>4.13</v>
      </c>
      <c r="O103">
        <v>16.12</v>
      </c>
      <c r="P103">
        <v>0.309</v>
      </c>
      <c r="Q103">
        <v>2.9000000000000001E-2</v>
      </c>
      <c r="R103">
        <v>3.2000000000000001E-2</v>
      </c>
      <c r="T103" s="38">
        <f t="shared" si="3"/>
        <v>62.64512405920096</v>
      </c>
      <c r="W103"/>
      <c r="AI103">
        <v>8.58</v>
      </c>
      <c r="AJ103">
        <v>686</v>
      </c>
      <c r="AK103">
        <v>17.3</v>
      </c>
      <c r="AL103">
        <v>15.6</v>
      </c>
      <c r="AM103">
        <v>147</v>
      </c>
      <c r="AN103">
        <v>12.9</v>
      </c>
      <c r="AO103">
        <v>4.3</v>
      </c>
      <c r="AT103">
        <v>1</v>
      </c>
      <c r="AU103">
        <v>163</v>
      </c>
      <c r="AV103">
        <v>10.9</v>
      </c>
      <c r="AW103">
        <v>34</v>
      </c>
      <c r="AX103">
        <v>2.88</v>
      </c>
      <c r="AY103">
        <v>0.21</v>
      </c>
      <c r="BA103" t="s">
        <v>1353</v>
      </c>
      <c r="BG103">
        <v>3.7999999999999999E-2</v>
      </c>
      <c r="BH103">
        <v>30</v>
      </c>
      <c r="BI103">
        <v>2.82</v>
      </c>
      <c r="BJ103">
        <v>7.31</v>
      </c>
      <c r="BK103">
        <v>1.02</v>
      </c>
      <c r="BL103">
        <v>4.34</v>
      </c>
      <c r="BM103">
        <v>1.29</v>
      </c>
      <c r="BN103">
        <v>0.93</v>
      </c>
      <c r="BO103">
        <v>1.7</v>
      </c>
      <c r="BP103">
        <v>0.3</v>
      </c>
      <c r="BQ103">
        <v>1.85</v>
      </c>
      <c r="BR103">
        <v>0.41</v>
      </c>
      <c r="BS103">
        <v>1.2</v>
      </c>
      <c r="BT103">
        <v>0.18</v>
      </c>
      <c r="BU103">
        <v>1.1100000000000001</v>
      </c>
      <c r="BV103">
        <v>0.17</v>
      </c>
      <c r="BW103">
        <v>0.95</v>
      </c>
      <c r="BX103">
        <v>0.18</v>
      </c>
      <c r="BY103">
        <v>0.15</v>
      </c>
      <c r="BZ103">
        <v>0.45</v>
      </c>
      <c r="CA103">
        <v>0.13</v>
      </c>
      <c r="CC103">
        <v>0.15</v>
      </c>
      <c r="CE103"/>
      <c r="CF103"/>
      <c r="CG103" s="30"/>
      <c r="CI103" s="30"/>
      <c r="CQ103" s="29">
        <v>5.3530751708428248E-2</v>
      </c>
    </row>
    <row r="104" spans="1:132" x14ac:dyDescent="0.2">
      <c r="P104" s="3"/>
      <c r="Q104" s="3"/>
      <c r="R104" s="3"/>
      <c r="S104" s="3"/>
      <c r="T104" s="38" t="e">
        <f t="shared" si="3"/>
        <v>#DIV/0!</v>
      </c>
      <c r="U104" s="3"/>
      <c r="Y104" s="6"/>
      <c r="Z104" s="8"/>
      <c r="AC104" s="3"/>
      <c r="AD104" s="8"/>
      <c r="AE104" s="3"/>
      <c r="AF104" s="3"/>
      <c r="AG104" s="3"/>
      <c r="AH104" s="3"/>
      <c r="AI104" s="6"/>
      <c r="AJ104" s="8"/>
      <c r="AK104" s="6"/>
      <c r="AL104" s="7"/>
      <c r="AM104" s="8"/>
      <c r="AN104" s="8"/>
      <c r="AO104" s="7"/>
      <c r="AP104" s="8"/>
      <c r="AQ104" s="6"/>
      <c r="AR104" s="6"/>
      <c r="AS104" s="6"/>
      <c r="AT104" s="8"/>
      <c r="AU104" s="8"/>
      <c r="AV104" s="8"/>
      <c r="AW104" s="8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8"/>
      <c r="BI104" s="6"/>
      <c r="BJ104" s="6"/>
      <c r="BK104" s="51"/>
      <c r="BL104" s="7"/>
      <c r="BM104" s="6"/>
      <c r="BN104" s="6"/>
      <c r="BO104" s="6"/>
      <c r="BP104" s="6"/>
      <c r="BQ104" s="6"/>
      <c r="BR104" s="6"/>
      <c r="BS104" s="6"/>
      <c r="BT104" s="6"/>
      <c r="BU104" s="6"/>
      <c r="BV104" s="3"/>
      <c r="BW104" s="6"/>
      <c r="BX104" s="6"/>
      <c r="BY104" s="6"/>
      <c r="BZ104" s="7"/>
      <c r="CA104" s="7"/>
      <c r="CB104" s="7"/>
      <c r="CC104" s="7"/>
      <c r="CD104" s="7"/>
      <c r="CE104" s="6"/>
      <c r="CF104" s="6"/>
      <c r="CG104" s="6"/>
      <c r="CH104" s="6"/>
      <c r="CI104" s="41"/>
      <c r="CJ104" s="41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</row>
    <row r="105" spans="1:132" x14ac:dyDescent="0.2">
      <c r="P105" s="3"/>
      <c r="Q105" s="3"/>
      <c r="R105" s="3"/>
      <c r="S105" s="3"/>
      <c r="T105" s="38" t="e">
        <f t="shared" si="3"/>
        <v>#DIV/0!</v>
      </c>
      <c r="U105" s="3"/>
      <c r="Y105" s="6"/>
      <c r="Z105" s="8"/>
      <c r="AC105" s="3"/>
      <c r="AD105" s="8"/>
      <c r="AE105" s="3"/>
      <c r="AF105" s="3"/>
      <c r="AG105" s="3"/>
      <c r="AH105" s="3"/>
      <c r="AI105" s="6"/>
      <c r="AJ105" s="8"/>
      <c r="AK105" s="6"/>
      <c r="AL105" s="7"/>
      <c r="AM105" s="8"/>
      <c r="AN105" s="8"/>
      <c r="AO105" s="7"/>
      <c r="AP105" s="8"/>
      <c r="AQ105" s="6"/>
      <c r="AR105" s="6"/>
      <c r="AS105" s="6"/>
      <c r="AT105" s="8"/>
      <c r="AU105" s="8"/>
      <c r="AV105" s="8"/>
      <c r="AW105" s="8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8"/>
      <c r="BI105" s="6"/>
      <c r="BJ105" s="6"/>
      <c r="BK105" s="51"/>
      <c r="BL105" s="7"/>
      <c r="BM105" s="6"/>
      <c r="BN105" s="6"/>
      <c r="BO105" s="6"/>
      <c r="BP105" s="6"/>
      <c r="BQ105" s="6"/>
      <c r="BR105" s="6"/>
      <c r="BS105" s="6"/>
      <c r="BT105" s="6"/>
      <c r="BU105" s="6"/>
      <c r="BV105" s="3"/>
      <c r="BW105" s="6"/>
      <c r="BX105" s="6"/>
      <c r="BY105" s="6"/>
      <c r="BZ105" s="7"/>
      <c r="CA105" s="7"/>
      <c r="CB105" s="7"/>
      <c r="CC105" s="7"/>
      <c r="CD105" s="7"/>
      <c r="CE105" s="6"/>
      <c r="CF105" s="6"/>
      <c r="CG105" s="6"/>
      <c r="CH105" s="6"/>
      <c r="CI105" s="41"/>
      <c r="CJ105" s="41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</row>
    <row r="106" spans="1:132" x14ac:dyDescent="0.2">
      <c r="A106" t="s">
        <v>252</v>
      </c>
      <c r="B106" s="2" t="s">
        <v>196</v>
      </c>
      <c r="C106" t="s">
        <v>516</v>
      </c>
      <c r="D106" t="s">
        <v>256</v>
      </c>
      <c r="E106" s="2"/>
      <c r="F106" s="2"/>
      <c r="H106" s="6"/>
      <c r="I106" s="265">
        <v>0.23943134984946141</v>
      </c>
      <c r="J106" s="395">
        <v>29.812596069229013</v>
      </c>
      <c r="K106" s="3">
        <v>9.1350000000000001E-2</v>
      </c>
      <c r="L106" s="6">
        <v>4.3358823529411765</v>
      </c>
      <c r="M106" s="396">
        <v>6.4240360179695061E-2</v>
      </c>
      <c r="N106" s="395">
        <v>4.1407108295234663</v>
      </c>
      <c r="O106" s="7">
        <v>16.511176470588236</v>
      </c>
      <c r="P106" s="3">
        <v>0.34176470588235297</v>
      </c>
      <c r="Q106" s="3"/>
      <c r="R106" s="3"/>
      <c r="S106" s="2"/>
      <c r="T106" s="38">
        <f t="shared" si="3"/>
        <v>62.995331957430452</v>
      </c>
      <c r="U106" s="2"/>
      <c r="V106" s="2"/>
      <c r="AC106" s="2"/>
      <c r="AD106" s="2"/>
      <c r="AE106" s="2"/>
      <c r="AF106" s="2"/>
      <c r="AG106" s="2"/>
      <c r="AH106" s="2"/>
      <c r="AI106" s="6">
        <v>8.4229411764705873</v>
      </c>
      <c r="AJ106" s="8">
        <v>625</v>
      </c>
      <c r="AK106" s="2"/>
      <c r="AL106" s="7">
        <v>14.735294117647058</v>
      </c>
      <c r="AM106" s="8">
        <v>148.58823529411765</v>
      </c>
      <c r="AN106" s="8"/>
      <c r="AO106" s="7"/>
      <c r="AP106" s="2"/>
      <c r="AQ106" s="6"/>
      <c r="AR106" s="6"/>
      <c r="AS106" s="6"/>
      <c r="AT106" s="8"/>
      <c r="AU106" s="8">
        <v>148.70588235294119</v>
      </c>
      <c r="AV106" s="54">
        <v>9.775168695146542</v>
      </c>
      <c r="AW106" s="8">
        <v>38.117647058823529</v>
      </c>
      <c r="AX106" s="6"/>
      <c r="AY106" s="6"/>
      <c r="AZ106" s="6"/>
      <c r="BA106" s="6"/>
      <c r="BB106" s="6"/>
      <c r="BC106" s="6"/>
      <c r="BD106" s="6"/>
      <c r="BE106" s="6"/>
      <c r="BF106" s="6"/>
      <c r="BG106" s="6">
        <v>3.15625E-2</v>
      </c>
      <c r="BH106" s="8">
        <v>31.729411764705887</v>
      </c>
      <c r="BI106" s="6">
        <v>2.3652941176470592</v>
      </c>
      <c r="BJ106" s="2">
        <v>6.1294117647058819</v>
      </c>
      <c r="BL106" s="33">
        <v>3.6294117647058819</v>
      </c>
      <c r="BM106" s="6">
        <v>1.1291764705882352</v>
      </c>
      <c r="BN106" s="6">
        <v>0.77794117647058825</v>
      </c>
      <c r="BO106" s="51">
        <v>1.3400807931174297</v>
      </c>
      <c r="BP106" s="6">
        <v>0.23694117647058821</v>
      </c>
      <c r="BQ106" s="52">
        <v>1.5869434797579527</v>
      </c>
      <c r="BR106" s="52">
        <v>0.35337298278971058</v>
      </c>
      <c r="BS106" s="52">
        <v>0.9816680845378194</v>
      </c>
      <c r="BT106" s="53">
        <v>0.14532948104307924</v>
      </c>
      <c r="BU106" s="2">
        <v>0.94864705882352951</v>
      </c>
      <c r="BV106" s="3">
        <v>0.1318</v>
      </c>
      <c r="BW106" s="6">
        <v>0.88764705882352946</v>
      </c>
      <c r="BX106" s="6">
        <v>0.10652941176470589</v>
      </c>
      <c r="BY106" s="2"/>
      <c r="BZ106" s="7">
        <v>7.5352941176470605</v>
      </c>
      <c r="CA106" s="7">
        <v>1.8117647058823532</v>
      </c>
      <c r="CD106" s="2"/>
      <c r="CE106" s="6">
        <v>0.3888823529411764</v>
      </c>
      <c r="CF106" s="6">
        <v>0.10623529411764707</v>
      </c>
      <c r="CG106" s="6"/>
      <c r="CH106" s="2"/>
      <c r="CI106" s="29">
        <v>1.3534539835523598</v>
      </c>
      <c r="CJ106" s="41">
        <v>1.3545463401853133</v>
      </c>
      <c r="CK106" s="29">
        <v>1.3122420556146155</v>
      </c>
      <c r="CL106" s="29"/>
      <c r="CM106" s="29"/>
      <c r="CN106" s="29"/>
      <c r="CO106" s="29"/>
      <c r="CP106" s="29"/>
      <c r="CQ106" s="29"/>
      <c r="CR106" s="30"/>
      <c r="CS106" s="29"/>
      <c r="CT106" s="29"/>
      <c r="CU106" s="29"/>
      <c r="CV106" s="29"/>
      <c r="CW106" s="29"/>
      <c r="CX106" s="29"/>
      <c r="CY106" s="29"/>
      <c r="CZ106" s="29"/>
    </row>
    <row r="107" spans="1:132" x14ac:dyDescent="0.2">
      <c r="A107" t="s">
        <v>252</v>
      </c>
      <c r="B107" s="2" t="s">
        <v>196</v>
      </c>
      <c r="C107" t="s">
        <v>255</v>
      </c>
      <c r="D107" t="s">
        <v>256</v>
      </c>
      <c r="E107" s="2">
        <v>193</v>
      </c>
      <c r="F107" s="2"/>
      <c r="H107" s="30">
        <v>45.33</v>
      </c>
      <c r="I107" s="30">
        <v>0.24</v>
      </c>
      <c r="J107" s="6">
        <v>28.97</v>
      </c>
      <c r="K107" s="3">
        <v>9.3250079999999999E-2</v>
      </c>
      <c r="L107" s="6">
        <v>4.32</v>
      </c>
      <c r="M107" s="3">
        <v>0.06</v>
      </c>
      <c r="N107" s="30">
        <v>3.89</v>
      </c>
      <c r="O107" s="7">
        <v>16.72</v>
      </c>
      <c r="P107" s="3">
        <v>0.33400000000000002</v>
      </c>
      <c r="Q107" s="3">
        <v>0.03</v>
      </c>
      <c r="R107" s="3" t="s">
        <v>642</v>
      </c>
      <c r="S107" s="2"/>
      <c r="T107" s="38">
        <f t="shared" si="3"/>
        <v>61.614748971007607</v>
      </c>
      <c r="U107" s="2"/>
      <c r="V107" s="2"/>
      <c r="AC107" s="2"/>
      <c r="AD107" s="31">
        <v>249.03</v>
      </c>
      <c r="AE107" s="2"/>
      <c r="AF107" s="2"/>
      <c r="AG107" s="2"/>
      <c r="AH107" s="2"/>
      <c r="AI107" s="6">
        <v>8.4700000000000006</v>
      </c>
      <c r="AJ107" s="8">
        <v>638</v>
      </c>
      <c r="AK107" s="6"/>
      <c r="AL107" s="7">
        <v>14.512499999999999</v>
      </c>
      <c r="AM107" s="8">
        <v>150.25</v>
      </c>
      <c r="AN107" s="8"/>
      <c r="AO107" s="7"/>
      <c r="AP107" s="8"/>
      <c r="AQ107" s="6"/>
      <c r="AR107" s="6"/>
      <c r="AS107" s="6"/>
      <c r="AT107" s="8"/>
      <c r="AU107" s="8">
        <v>156.75</v>
      </c>
      <c r="AV107" s="54">
        <v>10.248660967166593</v>
      </c>
      <c r="AW107" s="8">
        <v>34.5</v>
      </c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8">
        <v>31.25</v>
      </c>
      <c r="BI107" s="6">
        <v>2.48</v>
      </c>
      <c r="BJ107" s="6">
        <v>6.3775000000000004</v>
      </c>
      <c r="BK107" s="51">
        <v>0.86022717264738313</v>
      </c>
      <c r="BL107" s="7">
        <v>4.1749999999999998</v>
      </c>
      <c r="BM107" s="6">
        <v>1.20275</v>
      </c>
      <c r="BN107" s="6">
        <v>0.78950000000000009</v>
      </c>
      <c r="BO107" s="51">
        <v>1.4260595197851302</v>
      </c>
      <c r="BP107" s="6">
        <v>0.2505</v>
      </c>
      <c r="BQ107" s="52">
        <v>1.6714779249657203</v>
      </c>
      <c r="BR107" s="52">
        <v>0.37105806456505419</v>
      </c>
      <c r="BS107" s="52">
        <v>1.0276420582882151</v>
      </c>
      <c r="BT107" s="53">
        <v>0.15166972753552938</v>
      </c>
      <c r="BU107" s="3">
        <v>0.98699999999999999</v>
      </c>
      <c r="BV107" s="3">
        <v>0.13775000000000001</v>
      </c>
      <c r="BW107" s="6">
        <v>0.90024999999999999</v>
      </c>
      <c r="BX107" s="6">
        <v>0.11175</v>
      </c>
      <c r="BY107" s="3"/>
      <c r="BZ107" s="7">
        <v>7.65</v>
      </c>
      <c r="CA107" s="7">
        <v>2.7314000000000003</v>
      </c>
      <c r="CB107" s="7"/>
      <c r="CC107" s="7"/>
      <c r="CD107" s="7"/>
      <c r="CE107" s="6">
        <v>0.42375000000000002</v>
      </c>
      <c r="CF107" s="6">
        <v>0.10224999999999999</v>
      </c>
      <c r="CG107" s="3"/>
      <c r="CH107" s="3"/>
      <c r="CI107" s="29">
        <v>1.4507609158940018</v>
      </c>
      <c r="CJ107" s="41">
        <v>1.4356328656693955</v>
      </c>
      <c r="CK107" s="29">
        <v>1.3917847777919943</v>
      </c>
      <c r="CL107" s="29"/>
      <c r="CM107" s="29"/>
      <c r="CN107" s="29"/>
      <c r="CO107" s="29"/>
      <c r="CP107" s="29"/>
      <c r="CQ107" s="29">
        <v>5.5555555555555552E-2</v>
      </c>
      <c r="CR107" s="30">
        <v>0.90046296296296291</v>
      </c>
      <c r="CS107" s="29">
        <v>1.3888888888888888E-2</v>
      </c>
      <c r="CT107" s="29"/>
      <c r="CU107" s="29"/>
      <c r="CV107" s="29"/>
      <c r="CW107" s="29"/>
      <c r="CX107" s="29"/>
      <c r="CY107" s="29"/>
      <c r="CZ107" s="29"/>
    </row>
    <row r="108" spans="1:132" x14ac:dyDescent="0.2">
      <c r="A108" t="s">
        <v>252</v>
      </c>
      <c r="B108" t="s">
        <v>196</v>
      </c>
      <c r="C108" t="s">
        <v>255</v>
      </c>
      <c r="D108" t="s">
        <v>257</v>
      </c>
      <c r="E108">
        <v>293</v>
      </c>
      <c r="H108" s="6">
        <v>44.9253</v>
      </c>
      <c r="I108" s="6">
        <v>0.23356200000000002</v>
      </c>
      <c r="J108" s="6">
        <v>28.90935</v>
      </c>
      <c r="K108" s="3">
        <v>8.9157600000000004E-2</v>
      </c>
      <c r="L108" s="6">
        <v>4.2711799999999993</v>
      </c>
      <c r="M108" s="3">
        <v>6.4559999999999992E-2</v>
      </c>
      <c r="N108" s="6">
        <v>3.9799199999999999</v>
      </c>
      <c r="O108" s="7">
        <v>16.930319999999998</v>
      </c>
      <c r="P108" s="3">
        <v>0.33160800000000001</v>
      </c>
      <c r="Q108" s="3">
        <v>2.8910399999999999E-2</v>
      </c>
      <c r="R108" s="3"/>
      <c r="S108" s="3"/>
      <c r="T108" s="38">
        <f t="shared" si="3"/>
        <v>62.420752039907228</v>
      </c>
      <c r="U108" s="3"/>
      <c r="V108" s="7">
        <v>21</v>
      </c>
      <c r="W108" s="2">
        <v>0.14000000000000001</v>
      </c>
      <c r="X108">
        <v>15.3</v>
      </c>
      <c r="Y108">
        <v>3.32</v>
      </c>
      <c r="Z108" s="2">
        <v>500</v>
      </c>
      <c r="AA108" s="2">
        <v>2.4</v>
      </c>
      <c r="AB108">
        <v>12.1</v>
      </c>
      <c r="AC108">
        <v>0.246</v>
      </c>
      <c r="AD108">
        <v>240</v>
      </c>
      <c r="AE108" s="3"/>
      <c r="AF108" s="3"/>
      <c r="AG108" s="3"/>
      <c r="AH108" s="3"/>
      <c r="AI108" s="30">
        <v>8.6</v>
      </c>
      <c r="AJ108" s="31">
        <v>610</v>
      </c>
      <c r="AL108" s="33">
        <v>14.4</v>
      </c>
      <c r="AM108" s="31">
        <v>138</v>
      </c>
      <c r="AN108" s="31">
        <v>6.8</v>
      </c>
      <c r="AO108" s="33">
        <v>3.6</v>
      </c>
      <c r="AP108">
        <v>0.77</v>
      </c>
      <c r="AU108" s="31">
        <v>148</v>
      </c>
      <c r="AV108" s="54">
        <v>9.7513026806228957</v>
      </c>
      <c r="AW108" s="31">
        <v>32</v>
      </c>
      <c r="BA108" s="32">
        <v>1.1900000000000001E-2</v>
      </c>
      <c r="BB108" s="32"/>
      <c r="BH108" s="31">
        <v>31</v>
      </c>
      <c r="BI108" s="30">
        <v>2.7</v>
      </c>
      <c r="BJ108">
        <v>6.2</v>
      </c>
      <c r="BK108" s="51">
        <v>0.84564730549761191</v>
      </c>
      <c r="BL108" s="33">
        <v>3.9</v>
      </c>
      <c r="BM108" s="30">
        <v>1.1499999999999999</v>
      </c>
      <c r="BN108" s="30">
        <v>0.82</v>
      </c>
      <c r="BO108" s="51">
        <v>1.3375764653929123</v>
      </c>
      <c r="BP108" s="30">
        <v>0.24</v>
      </c>
      <c r="BQ108">
        <v>1.56</v>
      </c>
      <c r="BR108">
        <v>0.34</v>
      </c>
      <c r="BS108" s="52">
        <v>1.0153034206193809</v>
      </c>
      <c r="BT108" s="53">
        <v>0.1509837977010437</v>
      </c>
      <c r="BU108">
        <v>0.99</v>
      </c>
      <c r="BV108" s="32">
        <v>0.14699999999999999</v>
      </c>
      <c r="BW108" s="30">
        <v>0.83</v>
      </c>
      <c r="BX108" s="30">
        <v>0.106</v>
      </c>
      <c r="BZ108" s="33">
        <v>6.9</v>
      </c>
      <c r="CA108" s="33">
        <v>2.7</v>
      </c>
      <c r="CE108" s="30">
        <v>0.39</v>
      </c>
      <c r="CF108" s="30">
        <v>8.1000000000000003E-2</v>
      </c>
      <c r="CI108" s="29">
        <v>1.3169293548085346</v>
      </c>
      <c r="CJ108" s="41">
        <v>1.3745266540574896</v>
      </c>
      <c r="CK108" s="29">
        <v>1.3212733873127134</v>
      </c>
      <c r="CL108" s="29"/>
      <c r="CM108" s="30">
        <v>0.33913043478260874</v>
      </c>
      <c r="CN108" s="29"/>
      <c r="CO108" s="29"/>
      <c r="CP108" s="29"/>
      <c r="CQ108" s="29">
        <v>5.4683249125534412E-2</v>
      </c>
      <c r="CR108" s="30">
        <v>0.93180807177407665</v>
      </c>
      <c r="CS108" s="29">
        <v>1.5115260888091816E-2</v>
      </c>
      <c r="CT108" s="29"/>
      <c r="CU108" s="29"/>
      <c r="CV108" s="29"/>
      <c r="CW108" s="29"/>
      <c r="CX108" s="29"/>
      <c r="CY108" s="29"/>
      <c r="CZ108" s="29"/>
    </row>
    <row r="109" spans="1:132" x14ac:dyDescent="0.2">
      <c r="A109" t="s">
        <v>252</v>
      </c>
      <c r="B109" t="s">
        <v>196</v>
      </c>
      <c r="C109" t="s">
        <v>255</v>
      </c>
      <c r="D109" t="s">
        <v>258</v>
      </c>
      <c r="E109">
        <v>351</v>
      </c>
      <c r="H109" s="30">
        <v>45.2</v>
      </c>
      <c r="I109" s="30">
        <v>0.24</v>
      </c>
      <c r="J109" s="6">
        <v>28.3</v>
      </c>
      <c r="K109" s="3">
        <v>9.0984599999999999E-2</v>
      </c>
      <c r="L109" s="30">
        <v>4.28</v>
      </c>
      <c r="M109" s="3">
        <v>6.5851199999999999E-2</v>
      </c>
      <c r="N109" s="30">
        <v>4.17</v>
      </c>
      <c r="O109" s="33">
        <v>16.899999999999999</v>
      </c>
      <c r="P109" s="32">
        <v>0.33500000000000002</v>
      </c>
      <c r="Q109" s="32">
        <v>3.4000000000000002E-2</v>
      </c>
      <c r="T109" s="38">
        <f t="shared" si="3"/>
        <v>63.460811837450855</v>
      </c>
      <c r="Z109" s="2">
        <v>510</v>
      </c>
      <c r="AD109" s="31">
        <v>282.23400000000004</v>
      </c>
      <c r="AI109" s="30">
        <v>8.82</v>
      </c>
      <c r="AJ109" s="31">
        <v>622.5</v>
      </c>
      <c r="AL109" s="33">
        <v>14.65</v>
      </c>
      <c r="AM109" s="31">
        <v>155</v>
      </c>
      <c r="AU109" s="31">
        <v>160</v>
      </c>
      <c r="AV109" s="54">
        <v>10.729818077168593</v>
      </c>
      <c r="AW109" s="31">
        <v>34</v>
      </c>
      <c r="BG109" s="30">
        <v>4.4999999999999998E-2</v>
      </c>
      <c r="BH109" s="31">
        <v>36.5</v>
      </c>
      <c r="BI109" s="30">
        <v>2.59</v>
      </c>
      <c r="BJ109">
        <v>6.68</v>
      </c>
      <c r="BK109" s="51">
        <v>0.93776387788362559</v>
      </c>
      <c r="BL109" s="33">
        <v>4.6500000000000004</v>
      </c>
      <c r="BM109" s="30">
        <v>1.2164999999999999</v>
      </c>
      <c r="BN109" s="6">
        <v>0.82899999999999996</v>
      </c>
      <c r="BO109" s="51">
        <v>1.4693035088738169</v>
      </c>
      <c r="BP109" s="30">
        <v>0.26400000000000001</v>
      </c>
      <c r="BQ109" s="52">
        <v>1.7431025890782312</v>
      </c>
      <c r="BR109" s="52">
        <v>0.38797419355388157</v>
      </c>
      <c r="BS109" s="52">
        <v>1.0772868788100851</v>
      </c>
      <c r="BT109" s="53">
        <v>0.15940678928348759</v>
      </c>
      <c r="BU109">
        <v>1.04</v>
      </c>
      <c r="BV109" s="32">
        <v>0.14649999999999999</v>
      </c>
      <c r="BW109" s="30">
        <v>0.94</v>
      </c>
      <c r="BX109" s="30">
        <v>0.115</v>
      </c>
      <c r="BZ109" s="33">
        <v>6.45</v>
      </c>
      <c r="CA109" s="33">
        <v>2.2000000000000002</v>
      </c>
      <c r="CE109" s="30">
        <v>0.43</v>
      </c>
      <c r="CF109" s="30">
        <v>0.115</v>
      </c>
      <c r="CI109" s="29">
        <v>1.4486653096908313</v>
      </c>
      <c r="CJ109" s="41">
        <v>1.492400027509879</v>
      </c>
      <c r="CK109" s="29">
        <v>1.4668451894207408</v>
      </c>
      <c r="CL109" s="29"/>
      <c r="CM109" s="29"/>
      <c r="CN109" s="29"/>
      <c r="CO109" s="29"/>
      <c r="CP109" s="29"/>
      <c r="CQ109" s="29">
        <v>5.6074766355140179E-2</v>
      </c>
      <c r="CR109" s="30">
        <v>0.97429906542056066</v>
      </c>
      <c r="CS109" s="29">
        <v>1.5385794392523364E-2</v>
      </c>
      <c r="CT109" s="29"/>
      <c r="CU109" s="29"/>
      <c r="CV109" s="29"/>
      <c r="CW109" s="29"/>
      <c r="CX109" s="29"/>
      <c r="CY109" s="29"/>
      <c r="CZ109" s="29"/>
    </row>
    <row r="110" spans="1:132" x14ac:dyDescent="0.2">
      <c r="A110" t="s">
        <v>252</v>
      </c>
      <c r="B110" t="s">
        <v>196</v>
      </c>
      <c r="C110" t="s">
        <v>1355</v>
      </c>
      <c r="D110" t="s">
        <v>1354</v>
      </c>
      <c r="H110" s="6">
        <v>44.963333333333338</v>
      </c>
      <c r="I110" s="6">
        <v>0.23399999999999999</v>
      </c>
      <c r="J110" s="6">
        <v>29.16333333333333</v>
      </c>
      <c r="K110" s="3">
        <v>9.0666666666666673E-2</v>
      </c>
      <c r="L110" s="6">
        <v>4.4326666666666661</v>
      </c>
      <c r="M110" s="3">
        <v>6.3333333333333339E-2</v>
      </c>
      <c r="N110" s="6">
        <v>4.2133333333333338</v>
      </c>
      <c r="O110" s="7">
        <v>16.193333333333332</v>
      </c>
      <c r="P110" s="3">
        <v>0.30299999999999999</v>
      </c>
      <c r="Q110" s="3">
        <v>5.6000000000000001E-2</v>
      </c>
      <c r="R110" s="3">
        <v>3.1666666666666669E-2</v>
      </c>
      <c r="S110" s="3"/>
      <c r="T110" s="38">
        <f t="shared" si="3"/>
        <v>62.885945247164841</v>
      </c>
      <c r="U110" s="3"/>
      <c r="V110" s="7"/>
      <c r="X110"/>
      <c r="Y110"/>
      <c r="AB110"/>
      <c r="AE110" s="3"/>
      <c r="AF110" s="3"/>
      <c r="AG110" s="3"/>
      <c r="AH110" s="3"/>
      <c r="AI110" s="30">
        <v>8.7933333333333348</v>
      </c>
      <c r="AJ110" s="31">
        <v>619.33333333333337</v>
      </c>
      <c r="AK110">
        <v>18.400000000000002</v>
      </c>
      <c r="AL110" s="33">
        <v>16.333333333333332</v>
      </c>
      <c r="AM110" s="31">
        <v>138</v>
      </c>
      <c r="AN110" s="31">
        <v>14.466666666666667</v>
      </c>
      <c r="AO110" s="33">
        <v>3.9</v>
      </c>
      <c r="AP110" t="e">
        <v>#DIV/0!</v>
      </c>
      <c r="AQ110" s="30" t="e">
        <v>#DIV/0!</v>
      </c>
      <c r="AT110" s="31">
        <v>1.0733333333333333</v>
      </c>
      <c r="AU110" s="31">
        <v>164.33333333333334</v>
      </c>
      <c r="AV110" s="54">
        <v>11.333333333333334</v>
      </c>
      <c r="AW110" s="31">
        <v>38.300000000000004</v>
      </c>
      <c r="AX110" s="30">
        <v>2.7833333333333337</v>
      </c>
      <c r="AY110" s="30">
        <v>0.11066666666666665</v>
      </c>
      <c r="BA110" s="32"/>
      <c r="BB110" s="32"/>
      <c r="BG110" s="30">
        <v>5.4666666666666669E-2</v>
      </c>
      <c r="BH110" s="31">
        <v>30.3</v>
      </c>
      <c r="BI110" s="30">
        <v>2.8200000000000003</v>
      </c>
      <c r="BJ110">
        <v>7.03</v>
      </c>
      <c r="BK110" s="51">
        <v>1.02</v>
      </c>
      <c r="BL110" s="33">
        <v>4.4533333333333331</v>
      </c>
      <c r="BM110" s="30">
        <v>1.2866666666666668</v>
      </c>
      <c r="BN110" s="30">
        <v>0.89333333333333342</v>
      </c>
      <c r="BO110" s="51">
        <v>1.5866666666666667</v>
      </c>
      <c r="BP110" s="30">
        <v>0.29000000000000004</v>
      </c>
      <c r="BQ110">
        <v>1.8699999999999999</v>
      </c>
      <c r="BR110">
        <v>0.39999999999999997</v>
      </c>
      <c r="BS110" s="52">
        <v>1.1866666666666665</v>
      </c>
      <c r="BT110" s="53">
        <v>0.17</v>
      </c>
      <c r="BU110">
        <v>1.1200000000000001</v>
      </c>
      <c r="BV110" s="32">
        <v>0.15666666666666665</v>
      </c>
      <c r="BW110" s="30">
        <v>0.89</v>
      </c>
      <c r="BX110" s="30">
        <v>0.14666666666666667</v>
      </c>
      <c r="BY110">
        <v>0.10266666666666667</v>
      </c>
      <c r="CB110" t="e">
        <v>#DIV/0!</v>
      </c>
      <c r="CC110">
        <v>0.90333333333333321</v>
      </c>
      <c r="CD110" t="e">
        <v>#DIV/0!</v>
      </c>
      <c r="CE110" s="30" t="e">
        <v>#DIV/0!</v>
      </c>
      <c r="CF110" s="30" t="e">
        <v>#DIV/0!</v>
      </c>
      <c r="CI110" s="29">
        <v>1.5145507630627084</v>
      </c>
      <c r="CJ110" s="41">
        <v>1.6188185734675802</v>
      </c>
      <c r="CK110" s="29">
        <v>1.6177083585564993</v>
      </c>
      <c r="CL110" s="29"/>
      <c r="CM110" s="30"/>
      <c r="CN110" s="29"/>
      <c r="CO110" s="29"/>
      <c r="CP110" s="29"/>
      <c r="CQ110" s="29">
        <v>5.2789893217025118E-2</v>
      </c>
      <c r="CR110" s="30">
        <v>0.95051887501880006</v>
      </c>
      <c r="CS110" s="29">
        <v>1.4287862836516773E-2</v>
      </c>
      <c r="CT110" s="29"/>
      <c r="CU110" s="29"/>
      <c r="CV110" s="29"/>
      <c r="CW110" s="29">
        <v>0.36170212765957444</v>
      </c>
      <c r="CX110" s="29">
        <v>0.14509246088193456</v>
      </c>
      <c r="CY110" s="29">
        <v>0.22904191616766467</v>
      </c>
      <c r="CZ110" s="29">
        <v>0.79274611398963724</v>
      </c>
    </row>
    <row r="111" spans="1:132" x14ac:dyDescent="0.2">
      <c r="A111" t="s">
        <v>252</v>
      </c>
      <c r="B111" t="s">
        <v>196</v>
      </c>
      <c r="C111" t="s">
        <v>259</v>
      </c>
      <c r="D111" t="s">
        <v>253</v>
      </c>
      <c r="E111" s="8">
        <v>208.6</v>
      </c>
      <c r="F111" s="8"/>
      <c r="I111" s="265">
        <v>0.24141507304020504</v>
      </c>
      <c r="J111" s="395">
        <v>29.764858773077947</v>
      </c>
      <c r="K111" s="3">
        <v>9.8944994899328842E-2</v>
      </c>
      <c r="L111" s="6">
        <v>4.3718057622243522</v>
      </c>
      <c r="M111" s="3">
        <v>7.0251678926174482E-2</v>
      </c>
      <c r="N111" s="395">
        <v>4.1750172146474416</v>
      </c>
      <c r="P111" s="3">
        <v>0.39448709491850431</v>
      </c>
      <c r="Q111" s="3">
        <v>2.2728018600191753E-2</v>
      </c>
      <c r="R111" s="3"/>
      <c r="S111" s="3"/>
      <c r="T111" s="38">
        <f t="shared" si="3"/>
        <v>62.995331957430452</v>
      </c>
      <c r="U111" s="3"/>
      <c r="Y111" s="6">
        <v>3.3982166826462126</v>
      </c>
      <c r="Z111" s="8">
        <v>544.08053691275165</v>
      </c>
      <c r="AC111" s="3">
        <v>0.2926462128475551</v>
      </c>
      <c r="AD111" s="8">
        <v>188.67689357622243</v>
      </c>
      <c r="AE111" s="3"/>
      <c r="AF111" s="3"/>
      <c r="AG111" s="3"/>
      <c r="AH111" s="3"/>
      <c r="AI111" s="6">
        <v>8.9231447746883994</v>
      </c>
      <c r="AJ111" s="8">
        <v>676.96356663470749</v>
      </c>
      <c r="AK111" s="6"/>
      <c r="AL111" s="7">
        <v>16.258772770853309</v>
      </c>
      <c r="AM111" s="8">
        <v>160.88302972195589</v>
      </c>
      <c r="AN111" s="31">
        <v>11.470757430488973</v>
      </c>
      <c r="AO111" s="7">
        <v>3.9823969319271333</v>
      </c>
      <c r="AP111" s="8"/>
      <c r="AQ111" s="6">
        <v>6.5292425695110262E-2</v>
      </c>
      <c r="AR111" s="6">
        <v>0.24941514860977945</v>
      </c>
      <c r="AS111" s="6">
        <v>0.12</v>
      </c>
      <c r="AT111" s="8">
        <v>0.9</v>
      </c>
      <c r="AU111" s="8">
        <v>163.23106423777563</v>
      </c>
      <c r="AV111" s="54">
        <v>11.134411983378238</v>
      </c>
      <c r="AW111" s="8">
        <v>42.941514860977946</v>
      </c>
      <c r="AX111" s="6"/>
      <c r="AY111" s="6"/>
      <c r="AZ111" s="6"/>
      <c r="BA111" s="6"/>
      <c r="BB111" s="6"/>
      <c r="BC111" s="6"/>
      <c r="BD111" s="6">
        <v>0.04</v>
      </c>
      <c r="BE111" s="6"/>
      <c r="BF111" s="6"/>
      <c r="BG111" s="6">
        <v>5.9793863854266528E-2</v>
      </c>
      <c r="BH111" s="8">
        <v>25.26462128475551</v>
      </c>
      <c r="BI111" s="6">
        <v>2.6432023010546501</v>
      </c>
      <c r="BJ111" s="6">
        <v>6.7143144774688395</v>
      </c>
      <c r="BK111" s="51">
        <v>0.90144395764821461</v>
      </c>
      <c r="BL111" s="7">
        <v>4.3381591562799615</v>
      </c>
      <c r="BM111" s="6">
        <v>1.283509108341323</v>
      </c>
      <c r="BN111" s="6">
        <v>0.77793863854266532</v>
      </c>
      <c r="BO111" s="6">
        <v>1.5</v>
      </c>
      <c r="BP111" s="6">
        <v>0.26793863854266536</v>
      </c>
      <c r="BQ111" s="6">
        <v>1.7602780441035473</v>
      </c>
      <c r="BR111" s="52">
        <v>0.40222618104728058</v>
      </c>
      <c r="BS111" s="52">
        <v>1.1189578557385098</v>
      </c>
      <c r="BT111" s="53">
        <v>0.16588947516459168</v>
      </c>
      <c r="BU111" s="6">
        <v>1.0844007670182165</v>
      </c>
      <c r="BV111" s="3">
        <v>0.16529242569511024</v>
      </c>
      <c r="BW111" s="6">
        <v>0.90381591562799612</v>
      </c>
      <c r="BX111" s="6">
        <v>8.9381591562799609E-2</v>
      </c>
      <c r="BY111" s="6">
        <v>0.17353787152444869</v>
      </c>
      <c r="BZ111" s="7">
        <v>6.0910834132310638</v>
      </c>
      <c r="CA111" s="7">
        <v>3.6323106423777562</v>
      </c>
      <c r="CB111" s="7"/>
      <c r="CC111" s="7"/>
      <c r="CD111" s="7"/>
      <c r="CE111" s="6">
        <v>0.35116970278044102</v>
      </c>
      <c r="CF111" s="6">
        <v>9.8969319271332692E-2</v>
      </c>
      <c r="CG111" s="6"/>
      <c r="CH111" s="6">
        <v>1.1686710988272204</v>
      </c>
      <c r="CI111" s="29">
        <v>1.5489499428881326</v>
      </c>
      <c r="CJ111" s="41">
        <v>1.5343917882643392</v>
      </c>
      <c r="CK111" s="29">
        <v>1.4807123165121312</v>
      </c>
      <c r="CL111" s="29"/>
      <c r="CM111" s="29"/>
      <c r="CN111" s="29"/>
      <c r="CO111" s="29"/>
      <c r="CP111" s="29"/>
      <c r="CQ111" s="29"/>
      <c r="CR111" s="30"/>
      <c r="CS111" s="29">
        <v>1.6069258962326541E-2</v>
      </c>
      <c r="CT111" s="29"/>
      <c r="CU111" s="29"/>
      <c r="CV111" s="29"/>
      <c r="CW111" s="29"/>
      <c r="CX111" s="29"/>
      <c r="CY111" s="29"/>
      <c r="CZ111" s="29"/>
    </row>
    <row r="112" spans="1:132" s="130" customFormat="1" x14ac:dyDescent="0.2">
      <c r="A112" s="130" t="s">
        <v>252</v>
      </c>
      <c r="B112" s="130" t="s">
        <v>196</v>
      </c>
      <c r="C112" s="130" t="s">
        <v>255</v>
      </c>
      <c r="D112" s="130" t="s">
        <v>334</v>
      </c>
      <c r="E112" s="135">
        <v>198.8</v>
      </c>
      <c r="F112" s="135"/>
      <c r="H112" s="146"/>
      <c r="I112" s="137">
        <v>0.23356200000000002</v>
      </c>
      <c r="J112" s="260">
        <f>X112*1.8893</f>
        <v>26.2518235</v>
      </c>
      <c r="K112" s="139">
        <v>9.4273200000000001E-2</v>
      </c>
      <c r="L112" s="137">
        <v>4.0975025</v>
      </c>
      <c r="M112" s="139">
        <v>5.7974879999999999E-2</v>
      </c>
      <c r="N112" s="137">
        <v>4.1706244999999997</v>
      </c>
      <c r="O112" s="138">
        <v>15.531120000000001</v>
      </c>
      <c r="P112" s="139">
        <v>0.29116800000000004</v>
      </c>
      <c r="Q112" s="139">
        <v>2.6501199999999999E-2</v>
      </c>
      <c r="R112" s="155">
        <v>2.7267659999999999E-2</v>
      </c>
      <c r="S112" s="155"/>
      <c r="T112" s="38">
        <f t="shared" si="3"/>
        <v>64.468620429717163</v>
      </c>
      <c r="U112" s="155"/>
      <c r="W112" s="136">
        <v>0.14000000000000001</v>
      </c>
      <c r="X112" s="137">
        <v>13.895</v>
      </c>
      <c r="Y112" s="137">
        <v>3.1850000000000001</v>
      </c>
      <c r="Z112" s="136">
        <v>449</v>
      </c>
      <c r="AA112" s="137">
        <v>2.5149999999999997</v>
      </c>
      <c r="AB112" s="137">
        <v>11.100000000000001</v>
      </c>
      <c r="AC112" s="137">
        <v>0.22449999999999998</v>
      </c>
      <c r="AD112" s="135">
        <v>220</v>
      </c>
      <c r="AE112" s="135">
        <v>119</v>
      </c>
      <c r="AF112" s="138">
        <v>2.8450000000000002</v>
      </c>
      <c r="AG112" s="135">
        <v>39</v>
      </c>
      <c r="AH112" s="135">
        <v>230.5</v>
      </c>
      <c r="AI112" s="137">
        <v>8.14</v>
      </c>
      <c r="AJ112" s="150">
        <v>645</v>
      </c>
      <c r="AK112" s="135">
        <v>18</v>
      </c>
      <c r="AL112" s="149">
        <v>15.4</v>
      </c>
      <c r="AM112" s="150">
        <v>170</v>
      </c>
      <c r="AN112" s="150">
        <v>19</v>
      </c>
      <c r="AO112" s="138">
        <v>3.3050000000000002</v>
      </c>
      <c r="AR112" s="146"/>
      <c r="AS112" s="146">
        <v>0.10200000000000001</v>
      </c>
      <c r="AT112" s="150"/>
      <c r="AU112" s="150">
        <v>142</v>
      </c>
      <c r="AV112" s="130">
        <v>8.61</v>
      </c>
      <c r="AW112" s="150">
        <v>32.700000000000003</v>
      </c>
      <c r="AX112" s="146">
        <v>2.21</v>
      </c>
      <c r="AY112" s="146"/>
      <c r="AZ112" s="146"/>
      <c r="BA112" s="146"/>
      <c r="BB112" s="146"/>
      <c r="BC112" s="146">
        <v>0.32</v>
      </c>
      <c r="BD112" s="146"/>
      <c r="BE112" s="146"/>
      <c r="BF112" s="149">
        <v>1.9</v>
      </c>
      <c r="BG112" s="146">
        <v>2.8000000000000001E-2</v>
      </c>
      <c r="BH112" s="150">
        <v>36.700000000000003</v>
      </c>
      <c r="BI112" s="146">
        <v>2.41</v>
      </c>
      <c r="BJ112" s="130">
        <v>6.65</v>
      </c>
      <c r="BK112" s="130">
        <v>0.83</v>
      </c>
      <c r="BL112" s="149">
        <v>3.8</v>
      </c>
      <c r="BM112" s="137">
        <v>1.1000000000000001</v>
      </c>
      <c r="BN112" s="146">
        <v>0.74</v>
      </c>
      <c r="BO112" s="146">
        <v>1.25</v>
      </c>
      <c r="BP112" s="146">
        <v>0.21</v>
      </c>
      <c r="BQ112" s="137">
        <v>1.38</v>
      </c>
      <c r="BR112" s="137">
        <v>0.3</v>
      </c>
      <c r="BS112" s="137">
        <v>0.88</v>
      </c>
      <c r="BT112" s="137">
        <v>0.13</v>
      </c>
      <c r="BU112" s="130">
        <v>0.89</v>
      </c>
      <c r="BV112" s="141">
        <v>0.13</v>
      </c>
      <c r="BW112" s="146">
        <v>0.86</v>
      </c>
      <c r="BX112" s="137">
        <v>0.1</v>
      </c>
      <c r="BY112" s="137">
        <v>0.27</v>
      </c>
      <c r="BZ112" s="138">
        <v>6</v>
      </c>
      <c r="CA112" s="138">
        <v>3.8</v>
      </c>
      <c r="CB112" s="138"/>
      <c r="CC112" s="137">
        <v>0.67</v>
      </c>
      <c r="CD112" s="137"/>
      <c r="CE112" s="146">
        <v>0.38</v>
      </c>
      <c r="CF112" s="146">
        <v>0.11</v>
      </c>
      <c r="CH112" s="137">
        <v>1.1363636363636362</v>
      </c>
      <c r="CI112" s="144">
        <v>1.2950124680338717</v>
      </c>
      <c r="CJ112" s="145">
        <v>1.2389660192111147</v>
      </c>
      <c r="CK112" s="144">
        <v>1.1498770043033957</v>
      </c>
      <c r="CL112" s="144"/>
      <c r="CM112" s="144"/>
      <c r="CN112" s="144"/>
      <c r="CO112" s="144"/>
      <c r="CP112" s="29"/>
      <c r="CQ112" s="29">
        <v>5.7001063452676359E-2</v>
      </c>
      <c r="CR112" s="30">
        <v>1.0178455046702228</v>
      </c>
      <c r="CS112" s="29">
        <v>1.4148833344213945E-2</v>
      </c>
      <c r="CT112" s="29"/>
      <c r="CU112" s="29"/>
      <c r="CV112" s="29"/>
      <c r="CW112" s="29">
        <v>0.3443983402489626</v>
      </c>
      <c r="CX112" s="29">
        <v>0.12481203007518796</v>
      </c>
      <c r="CY112" s="29">
        <v>0.21842105263157896</v>
      </c>
      <c r="CZ112" s="29">
        <v>0.75454545454545441</v>
      </c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</row>
    <row r="113" spans="1:132" ht="20.100000000000001" customHeight="1" x14ac:dyDescent="0.2">
      <c r="A113" s="50" t="s">
        <v>252</v>
      </c>
      <c r="C113" t="s">
        <v>206</v>
      </c>
      <c r="H113" s="6">
        <v>45.10465833333334</v>
      </c>
      <c r="I113" s="6">
        <v>0.23742434612709523</v>
      </c>
      <c r="J113" s="6">
        <v>28.738591167948613</v>
      </c>
      <c r="K113" s="32">
        <v>9.2661020223713628E-2</v>
      </c>
      <c r="L113" s="6">
        <v>4.3012910402617424</v>
      </c>
      <c r="M113" s="32">
        <v>6.3744493205600411E-2</v>
      </c>
      <c r="N113" s="6">
        <v>4.1056579825006061</v>
      </c>
      <c r="O113" s="7">
        <v>16.464324967320259</v>
      </c>
      <c r="P113" s="32">
        <v>0.33300397154297962</v>
      </c>
      <c r="Q113" s="32">
        <v>3.3023269766698622E-2</v>
      </c>
      <c r="R113" s="32">
        <v>2.9467163333333334E-2</v>
      </c>
      <c r="T113" s="38">
        <f t="shared" si="3"/>
        <v>62.983872800560128</v>
      </c>
      <c r="X113" s="6"/>
      <c r="Z113" s="31">
        <v>500.77013422818789</v>
      </c>
      <c r="AD113" s="31">
        <v>235.98817871524449</v>
      </c>
      <c r="AF113" s="33">
        <v>2.8450000000000002</v>
      </c>
      <c r="AG113">
        <v>39</v>
      </c>
      <c r="AH113" s="31">
        <v>230.5</v>
      </c>
      <c r="AI113" s="30">
        <v>8.5956313263560453</v>
      </c>
      <c r="AJ113" s="31">
        <v>633.82812856686303</v>
      </c>
      <c r="AK113" s="31">
        <v>18.200000000000003</v>
      </c>
      <c r="AL113" s="7">
        <v>15.184271460261957</v>
      </c>
      <c r="AM113" s="8">
        <v>151.53160928801051</v>
      </c>
      <c r="AN113" s="8">
        <v>12.93435602428891</v>
      </c>
      <c r="AO113" s="7">
        <v>3.6968492329817835</v>
      </c>
      <c r="AP113" s="6" t="e">
        <v>#DIV/0!</v>
      </c>
      <c r="AQ113" s="6" t="e">
        <v>#DIV/0!</v>
      </c>
      <c r="AR113" s="6">
        <v>0.24941514860977945</v>
      </c>
      <c r="AS113" s="6">
        <v>0.111</v>
      </c>
      <c r="AT113" s="8">
        <v>0.98666666666666658</v>
      </c>
      <c r="AU113" s="8">
        <v>154.71718284629287</v>
      </c>
      <c r="AV113" s="6">
        <v>10.226099390973742</v>
      </c>
      <c r="AW113" s="8">
        <v>36.079880274257356</v>
      </c>
      <c r="AX113" s="6">
        <v>2.496666666666667</v>
      </c>
      <c r="AY113" s="6"/>
      <c r="AZ113" s="6"/>
      <c r="BA113" s="3">
        <v>1.1900000000000001E-2</v>
      </c>
      <c r="BB113" s="3"/>
      <c r="BC113" s="6">
        <v>0.32</v>
      </c>
      <c r="BD113" s="6">
        <v>0.04</v>
      </c>
      <c r="BE113" s="6"/>
      <c r="BF113" s="6">
        <v>1.9</v>
      </c>
      <c r="BG113" s="6">
        <v>4.3804606104186641E-2</v>
      </c>
      <c r="BH113" s="8">
        <v>31.820576149923063</v>
      </c>
      <c r="BI113" s="6">
        <v>2.5726423455288159</v>
      </c>
      <c r="BJ113" s="6">
        <v>6.5401751774535315</v>
      </c>
      <c r="BK113" s="6">
        <v>0.89918038561280589</v>
      </c>
      <c r="BL113" s="7">
        <v>4.1351291791884535</v>
      </c>
      <c r="BM113" s="6">
        <v>1.1955146065137465</v>
      </c>
      <c r="BN113" s="6">
        <v>0.80395902119236962</v>
      </c>
      <c r="BO113" s="6">
        <v>1.4156695648337079</v>
      </c>
      <c r="BP113" s="6">
        <v>0.25133997357332194</v>
      </c>
      <c r="BQ113" s="6">
        <v>1.6531145768436357</v>
      </c>
      <c r="BR113" s="6">
        <v>0.36494734599370382</v>
      </c>
      <c r="BS113" s="6">
        <v>1.0410749949515252</v>
      </c>
      <c r="BT113" s="6">
        <v>0.15332561010396167</v>
      </c>
      <c r="BU113" s="6">
        <v>1.0085782608345351</v>
      </c>
      <c r="BV113" s="3">
        <v>0.14500129890882527</v>
      </c>
      <c r="BW113" s="6">
        <v>0.88738756777878947</v>
      </c>
      <c r="BX113" s="6">
        <v>0.11076109571345316</v>
      </c>
      <c r="BY113" s="6">
        <v>0.18206817939703845</v>
      </c>
      <c r="BZ113" s="7">
        <v>6.7710629218130203</v>
      </c>
      <c r="CA113" s="7">
        <v>2.8125792247100185</v>
      </c>
      <c r="CB113" s="7"/>
      <c r="CC113" s="6">
        <v>0.78666666666666663</v>
      </c>
      <c r="CD113" s="6"/>
      <c r="CE113" s="6" t="e">
        <v>#DIV/0!</v>
      </c>
      <c r="CF113" s="6" t="e">
        <v>#DIV/0!</v>
      </c>
      <c r="CG113" s="6"/>
      <c r="CH113" s="6"/>
      <c r="CI113" s="6"/>
      <c r="CQ113" s="3">
        <v>5.5220905541186326E-2</v>
      </c>
      <c r="CR113" s="6">
        <v>0.95498689596932462</v>
      </c>
      <c r="CS113" s="3">
        <v>1.4815983218760221E-2</v>
      </c>
      <c r="CT113" s="3"/>
      <c r="CU113" s="3"/>
      <c r="CV113" s="3"/>
    </row>
    <row r="114" spans="1:132" s="36" customFormat="1" x14ac:dyDescent="0.2">
      <c r="A114" s="36" t="s">
        <v>553</v>
      </c>
      <c r="H114" s="34">
        <v>45.10465833333334</v>
      </c>
      <c r="I114" s="34">
        <v>0.23742434612709523</v>
      </c>
      <c r="J114" s="158">
        <v>28.72645</v>
      </c>
      <c r="K114" s="37">
        <v>9.2661020223713628E-2</v>
      </c>
      <c r="L114" s="158">
        <v>4.2903933333333333</v>
      </c>
      <c r="M114" s="160">
        <v>6.3470399999999996E-2</v>
      </c>
      <c r="N114" s="34">
        <v>4.1056579825006061</v>
      </c>
      <c r="O114" s="398">
        <v>16.850106666666665</v>
      </c>
      <c r="P114" s="160">
        <v>0.333536</v>
      </c>
      <c r="Q114" s="37">
        <v>3.3023269766698622E-2</v>
      </c>
      <c r="R114" s="37">
        <v>2.9467163333333334E-2</v>
      </c>
      <c r="S114" s="37"/>
      <c r="T114" s="38">
        <f t="shared" si="3"/>
        <v>63.042996843471379</v>
      </c>
      <c r="U114" s="37"/>
      <c r="W114" s="34">
        <v>0</v>
      </c>
      <c r="X114" s="34">
        <v>0</v>
      </c>
      <c r="Y114" s="34">
        <v>0</v>
      </c>
      <c r="Z114" s="159">
        <v>505</v>
      </c>
      <c r="AA114" s="34">
        <v>0</v>
      </c>
      <c r="AB114" s="34">
        <v>0</v>
      </c>
      <c r="AC114" s="34">
        <v>0</v>
      </c>
      <c r="AD114" s="35">
        <v>235.98817871524449</v>
      </c>
      <c r="AE114" s="35">
        <v>0</v>
      </c>
      <c r="AF114" s="34">
        <v>2.8450000000000002</v>
      </c>
      <c r="AG114" s="34">
        <v>39</v>
      </c>
      <c r="AH114" s="34">
        <v>230.5</v>
      </c>
      <c r="AI114" s="34">
        <v>8.5956313263560453</v>
      </c>
      <c r="AJ114" s="35">
        <v>633.82812856686303</v>
      </c>
      <c r="AK114" s="35">
        <v>18.200000000000003</v>
      </c>
      <c r="AL114" s="72">
        <v>15.184271460261957</v>
      </c>
      <c r="AM114" s="35">
        <v>151.53160928801051</v>
      </c>
      <c r="AN114" s="35">
        <v>12.93435602428891</v>
      </c>
      <c r="AO114" s="34">
        <v>3.6968492329817835</v>
      </c>
      <c r="AP114" s="34" t="e">
        <v>#DIV/0!</v>
      </c>
      <c r="AQ114" s="34" t="e">
        <v>#DIV/0!</v>
      </c>
      <c r="AR114" s="34">
        <v>0.24941514860977945</v>
      </c>
      <c r="AS114" s="34">
        <v>0.111</v>
      </c>
      <c r="AT114" s="35">
        <v>0.98666666666666658</v>
      </c>
      <c r="AU114" s="35">
        <v>154.71718284629287</v>
      </c>
      <c r="AV114" s="34">
        <v>10.226099390973742</v>
      </c>
      <c r="AW114" s="35">
        <v>36.079880274257356</v>
      </c>
      <c r="AX114" s="34">
        <v>2.496666666666667</v>
      </c>
      <c r="AY114" s="34">
        <v>0</v>
      </c>
      <c r="AZ114" s="34">
        <v>0</v>
      </c>
      <c r="BA114" s="34">
        <v>1.1900000000000001E-2</v>
      </c>
      <c r="BB114" s="34">
        <v>0</v>
      </c>
      <c r="BC114" s="34">
        <v>0.32</v>
      </c>
      <c r="BD114" s="34">
        <v>0.04</v>
      </c>
      <c r="BE114" s="34">
        <v>0</v>
      </c>
      <c r="BF114" s="34">
        <v>1.9</v>
      </c>
      <c r="BG114" s="34">
        <v>4.3804606104186641E-2</v>
      </c>
      <c r="BH114" s="35">
        <v>31.820576149923063</v>
      </c>
      <c r="BI114" s="34">
        <v>2.5726423455288159</v>
      </c>
      <c r="BJ114" s="34">
        <v>6.5401751774535315</v>
      </c>
      <c r="BK114" s="158">
        <v>0.90567737026717865</v>
      </c>
      <c r="BL114" s="72">
        <v>4.1351291791884535</v>
      </c>
      <c r="BM114" s="34">
        <v>1.1955146065137465</v>
      </c>
      <c r="BN114" s="34">
        <v>0.80395902119236962</v>
      </c>
      <c r="BO114" s="34">
        <v>1.4156695648337079</v>
      </c>
      <c r="BP114" s="34">
        <v>0.25133997357332194</v>
      </c>
      <c r="BQ114" s="34">
        <v>1.6531145768436357</v>
      </c>
      <c r="BR114" s="34">
        <v>0.36494734599370382</v>
      </c>
      <c r="BS114" s="34">
        <v>1.0410749949515252</v>
      </c>
      <c r="BT114" s="34">
        <v>0.15332561010396167</v>
      </c>
      <c r="BU114" s="34">
        <v>1.0085782608345351</v>
      </c>
      <c r="BV114" s="37">
        <v>0.14500129890882527</v>
      </c>
      <c r="BW114" s="34">
        <v>0.88738756777878947</v>
      </c>
      <c r="BX114" s="34">
        <v>0.11076109571345316</v>
      </c>
      <c r="BY114" s="34">
        <v>0.18206817939703845</v>
      </c>
      <c r="BZ114" s="72">
        <v>6.7710629218130203</v>
      </c>
      <c r="CA114" s="72">
        <v>2.8125792247100185</v>
      </c>
      <c r="CB114" s="34">
        <v>0</v>
      </c>
      <c r="CC114" s="34">
        <v>0.78666666666666663</v>
      </c>
      <c r="CD114" s="34">
        <v>0</v>
      </c>
      <c r="CE114" s="34" t="e">
        <v>#DIV/0!</v>
      </c>
      <c r="CF114" s="34" t="e">
        <v>#DIV/0!</v>
      </c>
      <c r="CG114" s="34"/>
      <c r="CH114" s="34"/>
      <c r="CI114" s="3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</row>
    <row r="115" spans="1:132" x14ac:dyDescent="0.2">
      <c r="A115" s="50"/>
      <c r="H115" s="6"/>
      <c r="M115" s="32"/>
      <c r="T115" s="38" t="e">
        <f t="shared" si="3"/>
        <v>#DIV/0!</v>
      </c>
      <c r="X115" s="6"/>
      <c r="Z115" s="31"/>
      <c r="AF115" s="33"/>
      <c r="AH115" s="31"/>
      <c r="AK115" s="31"/>
      <c r="AL115" s="7"/>
      <c r="AM115" s="8"/>
      <c r="AN115" s="8"/>
      <c r="AO115" s="7"/>
      <c r="AP115" s="6"/>
      <c r="AQ115" s="6"/>
      <c r="AR115" s="6"/>
      <c r="AS115" s="6"/>
      <c r="AT115" s="8"/>
      <c r="AU115" s="8"/>
      <c r="AV115" s="6"/>
      <c r="AW115" s="8"/>
      <c r="AX115" s="6"/>
      <c r="AY115" s="6"/>
      <c r="AZ115" s="6"/>
      <c r="BA115" s="3"/>
      <c r="BB115" s="3"/>
      <c r="BC115" s="6"/>
      <c r="BD115" s="6"/>
      <c r="BE115" s="6"/>
      <c r="BF115" s="6"/>
      <c r="BG115" s="6"/>
      <c r="BH115" s="8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6"/>
      <c r="BV115" s="3"/>
      <c r="BW115" s="6"/>
      <c r="BX115" s="6"/>
      <c r="BY115" s="6"/>
      <c r="BZ115" s="7"/>
      <c r="CA115" s="7"/>
      <c r="CB115" s="7"/>
      <c r="CC115" s="6"/>
      <c r="CD115" s="6"/>
      <c r="CE115" s="6"/>
      <c r="CF115" s="6"/>
      <c r="CG115" s="6"/>
      <c r="CH115" s="6"/>
      <c r="CI115" s="6"/>
    </row>
    <row r="116" spans="1:132" x14ac:dyDescent="0.2">
      <c r="A116" s="2"/>
      <c r="B116" s="2"/>
      <c r="C116" s="2"/>
      <c r="D116" s="2"/>
      <c r="E116" s="2"/>
      <c r="F116" s="2"/>
      <c r="H116" s="6"/>
      <c r="K116" s="3"/>
      <c r="P116" s="3"/>
      <c r="Q116" s="3"/>
      <c r="R116" s="3"/>
      <c r="S116" s="2"/>
      <c r="T116" s="38" t="e">
        <f t="shared" si="3"/>
        <v>#DIV/0!</v>
      </c>
      <c r="U116" s="2"/>
      <c r="V116" s="2"/>
      <c r="AC116" s="2"/>
      <c r="AD116" s="2"/>
      <c r="AE116" s="2"/>
      <c r="AF116" s="2"/>
      <c r="AG116" s="2"/>
      <c r="AH116" s="2"/>
      <c r="AI116" s="6"/>
      <c r="AJ116" s="8"/>
      <c r="AK116" s="2"/>
      <c r="AL116" s="7"/>
      <c r="AM116" s="8"/>
      <c r="AN116" s="8"/>
      <c r="AO116" s="7"/>
      <c r="AP116" s="2"/>
      <c r="AQ116" s="6"/>
      <c r="AR116" s="6"/>
      <c r="AS116" s="6"/>
      <c r="AT116" s="8"/>
      <c r="AU116" s="8"/>
      <c r="AV116" s="2"/>
      <c r="AW116" s="8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8"/>
      <c r="BI116" s="6"/>
      <c r="BJ116" s="2"/>
      <c r="BK116" s="2"/>
      <c r="BL116" s="7"/>
      <c r="BM116" s="6"/>
      <c r="BN116" s="6"/>
      <c r="BO116" s="6"/>
      <c r="BP116" s="6"/>
      <c r="BQ116" s="2"/>
      <c r="BR116" s="2"/>
      <c r="BS116" s="2"/>
      <c r="BT116" s="2"/>
      <c r="BU116" s="2"/>
      <c r="BV116" s="3"/>
      <c r="BW116" s="6"/>
      <c r="BX116" s="6"/>
      <c r="BY116" s="2"/>
      <c r="BZ116" s="7"/>
      <c r="CA116" s="7"/>
      <c r="CB116" s="2"/>
      <c r="CC116" s="2"/>
      <c r="CD116" s="2"/>
      <c r="CE116" s="6"/>
      <c r="CF116" s="6"/>
      <c r="CG116" s="2"/>
      <c r="CH116" s="2"/>
      <c r="CI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1:132" x14ac:dyDescent="0.2">
      <c r="A117" s="2" t="s">
        <v>260</v>
      </c>
      <c r="B117" s="2">
        <v>1</v>
      </c>
      <c r="C117" s="2"/>
      <c r="D117" s="2" t="s">
        <v>327</v>
      </c>
      <c r="E117" s="2"/>
      <c r="F117" s="2"/>
      <c r="H117" s="6">
        <v>44.2</v>
      </c>
      <c r="I117" s="6">
        <v>0.24</v>
      </c>
      <c r="J117" s="6">
        <v>29</v>
      </c>
      <c r="K117" s="3">
        <v>7.0000000000000007E-2</v>
      </c>
      <c r="L117" s="6">
        <v>4.38</v>
      </c>
      <c r="M117" s="3">
        <v>7.0000000000000007E-2</v>
      </c>
      <c r="N117" s="6">
        <v>4.5199999999999996</v>
      </c>
      <c r="O117" s="7">
        <v>16.8</v>
      </c>
      <c r="Q117" s="3">
        <v>0.03</v>
      </c>
      <c r="R117" s="3">
        <v>0.03</v>
      </c>
      <c r="S117" s="2"/>
      <c r="T117" s="38">
        <f t="shared" si="3"/>
        <v>64.783528991566001</v>
      </c>
      <c r="U117" s="2"/>
      <c r="V117" s="2"/>
      <c r="Z117" s="8">
        <v>542.15000000000009</v>
      </c>
      <c r="AC117" s="2"/>
      <c r="AD117" s="31">
        <v>249.03</v>
      </c>
      <c r="AE117" s="2"/>
      <c r="AF117" s="2"/>
      <c r="AG117" s="2"/>
      <c r="AH117" s="2"/>
      <c r="AI117" s="6"/>
      <c r="AJ117" s="8">
        <v>478.94000000000005</v>
      </c>
      <c r="AK117" s="2"/>
      <c r="AL117" s="7"/>
      <c r="AM117" s="8"/>
      <c r="AN117" s="8"/>
      <c r="AO117" s="7"/>
      <c r="AP117" s="2"/>
      <c r="AQ117" s="6"/>
      <c r="AR117" s="6"/>
      <c r="AS117" s="6"/>
      <c r="AT117" s="8"/>
      <c r="AU117" s="8"/>
      <c r="AW117" s="8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8"/>
      <c r="BI117" s="6"/>
      <c r="BJ117" s="2"/>
      <c r="BK117" s="2"/>
      <c r="BL117" s="7"/>
      <c r="BV117" s="3"/>
      <c r="BW117" s="6"/>
      <c r="BX117" s="6"/>
      <c r="BY117" s="2"/>
      <c r="BZ117" s="7"/>
      <c r="CA117" s="7"/>
      <c r="CB117" s="2"/>
      <c r="CC117" s="2"/>
      <c r="CD117" s="2"/>
      <c r="CE117" s="6"/>
      <c r="CF117" s="6"/>
      <c r="CG117" s="2"/>
      <c r="CH117" s="2"/>
      <c r="CI117" s="2"/>
      <c r="CK117" s="2"/>
      <c r="CL117" s="2"/>
      <c r="CM117" s="2"/>
      <c r="CN117" s="2"/>
      <c r="CO117" s="2"/>
      <c r="CP117" s="2"/>
      <c r="CQ117" s="29">
        <v>5.4794520547945202E-2</v>
      </c>
      <c r="CR117" s="30">
        <v>1.0319634703196345</v>
      </c>
      <c r="CS117" s="29">
        <v>1.5981735159817354E-2</v>
      </c>
      <c r="CT117" s="29"/>
      <c r="CU117" s="29"/>
      <c r="CV117" s="29"/>
      <c r="CW117" s="2"/>
      <c r="CX117" s="2"/>
      <c r="CY117" s="2"/>
      <c r="CZ117" s="2"/>
    </row>
    <row r="118" spans="1:132" x14ac:dyDescent="0.2">
      <c r="A118" s="2" t="s">
        <v>260</v>
      </c>
      <c r="B118">
        <v>2</v>
      </c>
      <c r="D118" s="2" t="s">
        <v>327</v>
      </c>
      <c r="I118" s="265">
        <v>0.24642113383414369</v>
      </c>
      <c r="J118" s="395">
        <v>29.361786988420093</v>
      </c>
      <c r="K118" s="3">
        <v>8.8154295747997866E-2</v>
      </c>
      <c r="L118" s="6">
        <v>4.4624609361096281</v>
      </c>
      <c r="M118" s="396">
        <v>0.26337837427841287</v>
      </c>
      <c r="N118" s="395">
        <v>4.6773501412667482</v>
      </c>
      <c r="O118" s="7">
        <v>16.258508631429081</v>
      </c>
      <c r="P118" s="3">
        <v>0.35479063890371954</v>
      </c>
      <c r="T118" s="38">
        <f t="shared" si="3"/>
        <v>65.13788376762426</v>
      </c>
      <c r="AI118" s="6">
        <v>7.7498537106246665</v>
      </c>
      <c r="AJ118" s="8">
        <v>603.13557572521802</v>
      </c>
      <c r="AK118" s="6"/>
      <c r="AL118" s="7">
        <v>22.002843922406125</v>
      </c>
      <c r="AM118" s="8">
        <v>294.54874532835026</v>
      </c>
      <c r="AN118" s="8"/>
      <c r="AO118" s="7"/>
      <c r="AP118" s="8"/>
      <c r="AQ118" s="6"/>
      <c r="AR118" s="6"/>
      <c r="AS118" s="6"/>
      <c r="AT118" s="8"/>
      <c r="AU118" s="8">
        <v>157.91546538529988</v>
      </c>
      <c r="AV118" s="161">
        <v>12.909981372841688</v>
      </c>
      <c r="AW118" s="8">
        <v>46.12279765082755</v>
      </c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8">
        <v>41.490087204128848</v>
      </c>
      <c r="BI118" s="6">
        <v>3.3511365011567897</v>
      </c>
      <c r="BJ118" s="6">
        <v>8.8213472148069059</v>
      </c>
      <c r="BK118" s="51">
        <v>1.0818053407519419</v>
      </c>
      <c r="BL118" s="7">
        <v>5.0651254671649761</v>
      </c>
      <c r="BM118" s="6">
        <v>1.6227869727709558</v>
      </c>
      <c r="BN118" s="6">
        <v>0.82955878270154837</v>
      </c>
      <c r="BO118" s="51">
        <v>1.8762594500377527</v>
      </c>
      <c r="BP118" s="6">
        <v>0.3212041288485496</v>
      </c>
      <c r="BQ118" s="52">
        <v>2.1383160269284343</v>
      </c>
      <c r="BR118" s="52">
        <v>0.46982377195645592</v>
      </c>
      <c r="BS118" s="52">
        <v>1.2878513457194174</v>
      </c>
      <c r="BT118" s="53">
        <v>0.18813188925982621</v>
      </c>
      <c r="BU118" s="6">
        <v>1.2117951236874889</v>
      </c>
      <c r="BV118" s="3">
        <v>0.1693061042890194</v>
      </c>
      <c r="BW118" s="6">
        <v>1.169699982203239</v>
      </c>
      <c r="BX118" s="6">
        <v>0.14920430681615945</v>
      </c>
      <c r="BY118" s="6"/>
      <c r="BZ118" s="7">
        <v>16.045064958177612</v>
      </c>
      <c r="CA118" s="7">
        <v>4.0185726997686428</v>
      </c>
      <c r="CB118" s="7"/>
      <c r="CC118" s="7"/>
      <c r="CD118" s="7"/>
      <c r="CE118" s="6">
        <v>0.52285869371774341</v>
      </c>
      <c r="CF118" s="6">
        <v>0.13802235273180283</v>
      </c>
      <c r="CG118" s="6"/>
      <c r="CH118" s="6"/>
      <c r="CI118" s="29">
        <v>1.9562316358245213</v>
      </c>
      <c r="CJ118" s="41">
        <v>1.8723592239279885</v>
      </c>
      <c r="CK118" s="29">
        <v>1.8001874903607484</v>
      </c>
      <c r="CL118" s="29">
        <v>3.1212510034611181</v>
      </c>
      <c r="CM118" s="29"/>
      <c r="CN118" s="29"/>
      <c r="CO118" s="29"/>
      <c r="CP118" s="29"/>
      <c r="CQ118" s="29"/>
      <c r="CR118" s="30"/>
      <c r="CS118" s="29"/>
      <c r="CT118" s="29"/>
      <c r="CU118" s="29"/>
      <c r="CV118" s="29"/>
      <c r="CW118" s="29"/>
      <c r="CX118" s="29"/>
      <c r="CY118" s="29"/>
      <c r="CZ118" s="29"/>
    </row>
    <row r="119" spans="1:132" x14ac:dyDescent="0.2">
      <c r="A119" s="2" t="s">
        <v>260</v>
      </c>
      <c r="B119">
        <v>3</v>
      </c>
      <c r="D119" s="50" t="s">
        <v>946</v>
      </c>
      <c r="E119">
        <v>267</v>
      </c>
      <c r="F119" s="33">
        <v>99.949439999999996</v>
      </c>
      <c r="H119" s="6">
        <v>44.711369999999995</v>
      </c>
      <c r="I119" s="6">
        <v>0.29028419999999994</v>
      </c>
      <c r="J119" s="6">
        <v>29.28725</v>
      </c>
      <c r="K119" s="32">
        <v>7.74648E-2</v>
      </c>
      <c r="L119" s="6">
        <v>4.1682600000000001</v>
      </c>
      <c r="M119" s="3">
        <v>6.9735600000000009E-2</v>
      </c>
      <c r="N119" s="6">
        <v>4.4774100000000008</v>
      </c>
      <c r="O119" s="7">
        <v>16.510560000000002</v>
      </c>
      <c r="P119" s="3">
        <v>0.32217200000000001</v>
      </c>
      <c r="Q119" s="49">
        <v>3.4933399999999996E-2</v>
      </c>
      <c r="T119" s="38">
        <f t="shared" si="3"/>
        <v>65.692489113729621</v>
      </c>
      <c r="V119" s="33">
        <v>20.9</v>
      </c>
      <c r="W119" s="2">
        <v>0.17399999999999999</v>
      </c>
      <c r="X119" s="2">
        <v>15.5</v>
      </c>
      <c r="Y119" s="2">
        <v>3.24</v>
      </c>
      <c r="Z119" s="8">
        <v>540</v>
      </c>
      <c r="AA119" s="6">
        <v>2.7</v>
      </c>
      <c r="AB119" s="2">
        <v>11.8</v>
      </c>
      <c r="AC119">
        <v>0.23899999999999999</v>
      </c>
      <c r="AD119" s="31">
        <v>290</v>
      </c>
      <c r="AI119" s="6">
        <v>7.2</v>
      </c>
      <c r="AJ119" s="8">
        <v>530</v>
      </c>
      <c r="AK119" s="8">
        <v>29</v>
      </c>
      <c r="AL119" s="7">
        <v>22.2</v>
      </c>
      <c r="AM119" s="8">
        <v>270</v>
      </c>
      <c r="AN119" s="8"/>
      <c r="AO119" s="7">
        <v>3</v>
      </c>
      <c r="AP119" s="8"/>
      <c r="AQ119" s="6">
        <v>0.06</v>
      </c>
      <c r="AR119" s="6"/>
      <c r="AS119" s="6"/>
      <c r="AT119" s="8"/>
      <c r="AU119" s="8">
        <v>140</v>
      </c>
      <c r="AV119" s="161">
        <v>13.712558899096605</v>
      </c>
      <c r="AW119" s="8">
        <v>46</v>
      </c>
      <c r="AX119" s="6"/>
      <c r="AY119" s="6"/>
      <c r="AZ119" s="6"/>
      <c r="BA119" s="6"/>
      <c r="BB119" s="6"/>
      <c r="BC119" s="6"/>
      <c r="BD119" s="3">
        <v>2.3E-2</v>
      </c>
      <c r="BE119" s="6"/>
      <c r="BF119" s="6"/>
      <c r="BG119" s="6"/>
      <c r="BH119" s="8">
        <v>42</v>
      </c>
      <c r="BI119" s="6">
        <v>3.7</v>
      </c>
      <c r="BJ119" s="7">
        <v>8.8000000000000007</v>
      </c>
      <c r="BK119" s="51">
        <v>1.2096937081527779</v>
      </c>
      <c r="BL119" s="7">
        <v>5.7</v>
      </c>
      <c r="BM119" s="6">
        <v>1.63</v>
      </c>
      <c r="BN119" s="6">
        <v>0.79</v>
      </c>
      <c r="BO119" s="51">
        <v>1.9535796163453842</v>
      </c>
      <c r="BP119" s="6">
        <v>0.35</v>
      </c>
      <c r="BQ119" s="52">
        <v>2.2387112242130041</v>
      </c>
      <c r="BR119" s="52">
        <v>0.51</v>
      </c>
      <c r="BS119" s="52">
        <v>1.3384936894584423</v>
      </c>
      <c r="BT119" s="53">
        <v>0.19480042246378979</v>
      </c>
      <c r="BU119" s="6">
        <v>1.25</v>
      </c>
      <c r="BV119" s="3">
        <v>0.17899999999999999</v>
      </c>
      <c r="BW119" s="6">
        <v>1.1599999999999999</v>
      </c>
      <c r="BX119" s="6">
        <v>0.156</v>
      </c>
      <c r="BY119" s="6"/>
      <c r="BZ119" s="7">
        <v>11.2</v>
      </c>
      <c r="CA119" s="7">
        <v>4.5</v>
      </c>
      <c r="CB119" s="7"/>
      <c r="CC119" s="7"/>
      <c r="CD119" s="7"/>
      <c r="CE119" s="6">
        <v>0.55000000000000004</v>
      </c>
      <c r="CF119" s="6">
        <v>0.13800000000000001</v>
      </c>
      <c r="CG119" s="6"/>
      <c r="CH119" s="6"/>
      <c r="CI119" s="29">
        <v>1.8919644164725167</v>
      </c>
      <c r="CJ119" s="41">
        <v>1.9855772940376375</v>
      </c>
      <c r="CK119" s="29">
        <v>1.9831971385259985</v>
      </c>
      <c r="CL119" s="29">
        <v>3.4969325153374236</v>
      </c>
      <c r="CM119" s="29"/>
      <c r="CN119" s="29"/>
      <c r="CO119" s="29"/>
      <c r="CP119" s="29"/>
      <c r="CQ119" s="29">
        <v>6.9641577060931881E-2</v>
      </c>
      <c r="CR119" s="30">
        <v>1.0741676382951162</v>
      </c>
      <c r="CS119" s="29">
        <v>1.6730146392019692E-2</v>
      </c>
      <c r="CT119" s="29"/>
      <c r="CU119" s="29"/>
      <c r="CV119" s="29"/>
      <c r="CW119" s="29"/>
      <c r="CX119" s="29"/>
      <c r="CY119" s="29"/>
      <c r="CZ119" s="29"/>
    </row>
    <row r="120" spans="1:132" x14ac:dyDescent="0.2">
      <c r="A120" s="2" t="s">
        <v>260</v>
      </c>
      <c r="D120" s="50" t="s">
        <v>946</v>
      </c>
      <c r="E120">
        <v>268</v>
      </c>
      <c r="F120" s="33">
        <v>98.8131676</v>
      </c>
      <c r="H120" s="6">
        <v>44.9253</v>
      </c>
      <c r="I120" s="6">
        <v>0.26025480000000001</v>
      </c>
      <c r="J120" s="6">
        <v>28.53145</v>
      </c>
      <c r="K120" s="32">
        <v>8.1849599999999995E-2</v>
      </c>
      <c r="L120" s="6">
        <v>4.1296650000000001</v>
      </c>
      <c r="M120" s="3">
        <v>5.940440000000001E-2</v>
      </c>
      <c r="N120" s="6">
        <v>4.3779120000000002</v>
      </c>
      <c r="O120" s="7">
        <v>16.090800000000002</v>
      </c>
      <c r="P120" s="3">
        <v>0.31678000000000001</v>
      </c>
      <c r="Q120" s="49">
        <v>3.9751799999999997E-2</v>
      </c>
      <c r="T120" s="38">
        <f t="shared" si="3"/>
        <v>65.395049914714448</v>
      </c>
      <c r="V120" s="33">
        <v>21</v>
      </c>
      <c r="W120" s="2">
        <v>0.156</v>
      </c>
      <c r="X120" s="2">
        <v>15.1</v>
      </c>
      <c r="Y120" s="2">
        <v>3.21</v>
      </c>
      <c r="Z120" s="8">
        <v>460</v>
      </c>
      <c r="AA120" s="6">
        <v>2.64</v>
      </c>
      <c r="AB120" s="2">
        <v>11.5</v>
      </c>
      <c r="AC120">
        <v>0.23499999999999999</v>
      </c>
      <c r="AD120" s="31">
        <v>330</v>
      </c>
      <c r="AI120" s="6">
        <v>7.2</v>
      </c>
      <c r="AJ120" s="8">
        <v>560</v>
      </c>
      <c r="AK120" s="8">
        <v>19</v>
      </c>
      <c r="AL120" s="7">
        <v>21.2</v>
      </c>
      <c r="AM120" s="8">
        <v>288</v>
      </c>
      <c r="AN120" s="8"/>
      <c r="AO120" s="7">
        <v>3.1</v>
      </c>
      <c r="AP120" s="8"/>
      <c r="AQ120" s="6"/>
      <c r="AR120" s="6"/>
      <c r="AS120" s="6" t="s">
        <v>879</v>
      </c>
      <c r="AT120" s="8"/>
      <c r="AU120" s="8">
        <v>145</v>
      </c>
      <c r="AV120" s="161">
        <v>9.6145171532550595</v>
      </c>
      <c r="AW120" s="8">
        <v>38</v>
      </c>
      <c r="AX120" s="6"/>
      <c r="AY120" s="6"/>
      <c r="AZ120" s="6"/>
      <c r="BA120" s="6"/>
      <c r="BB120" s="6"/>
      <c r="BC120" s="6"/>
      <c r="BD120" s="3">
        <v>1.2999999999999999E-2</v>
      </c>
      <c r="BE120" s="6"/>
      <c r="BF120" s="6"/>
      <c r="BG120" s="6">
        <v>0.1</v>
      </c>
      <c r="BH120" s="8">
        <v>42</v>
      </c>
      <c r="BI120" s="6">
        <v>3.17</v>
      </c>
      <c r="BJ120" s="7">
        <v>7.9</v>
      </c>
      <c r="BK120" s="51"/>
      <c r="BL120" s="7">
        <v>4.7</v>
      </c>
      <c r="BM120" s="6">
        <v>1.48</v>
      </c>
      <c r="BN120" s="6">
        <v>0.78</v>
      </c>
      <c r="BO120" s="51"/>
      <c r="BP120" s="6">
        <v>0.31</v>
      </c>
      <c r="BQ120" s="65">
        <v>2.04</v>
      </c>
      <c r="BR120" s="52">
        <v>0.28000000000000003</v>
      </c>
      <c r="BS120" s="52">
        <v>1.198523124863254</v>
      </c>
      <c r="BT120" s="53">
        <v>0.17448491924763268</v>
      </c>
      <c r="BU120" s="6">
        <v>1.1200000000000001</v>
      </c>
      <c r="BV120" s="3">
        <v>0.16</v>
      </c>
      <c r="BW120" s="6">
        <v>1.08</v>
      </c>
      <c r="BX120" s="6">
        <v>0.14799999999999999</v>
      </c>
      <c r="BY120" s="6"/>
      <c r="BZ120" s="7">
        <v>22</v>
      </c>
      <c r="CA120" s="7">
        <v>5.0999999999999996</v>
      </c>
      <c r="CB120" s="7"/>
      <c r="CC120" s="7"/>
      <c r="CD120" s="7"/>
      <c r="CE120" s="6">
        <v>0.56999999999999995</v>
      </c>
      <c r="CF120" s="6">
        <v>0.11</v>
      </c>
      <c r="CG120" s="6"/>
      <c r="CH120" s="6"/>
      <c r="CI120" s="29">
        <v>1.7582219767605778</v>
      </c>
      <c r="CJ120" s="41">
        <v>1.7732691278534463</v>
      </c>
      <c r="CK120" s="29">
        <v>1.7524945037313957</v>
      </c>
      <c r="CL120" s="29">
        <v>3.1756756756756759</v>
      </c>
      <c r="CM120" s="29"/>
      <c r="CN120" s="29"/>
      <c r="CO120" s="29"/>
      <c r="CP120" s="29"/>
      <c r="CQ120" s="29">
        <v>6.302080192945432E-2</v>
      </c>
      <c r="CR120" s="30">
        <v>1.060113108448264</v>
      </c>
      <c r="CS120" s="29">
        <v>1.4384798766970203E-2</v>
      </c>
      <c r="CT120" s="29"/>
      <c r="CU120" s="29"/>
      <c r="CV120" s="29"/>
      <c r="CW120" s="29"/>
      <c r="CX120" s="29"/>
      <c r="CY120" s="29"/>
      <c r="CZ120" s="29"/>
    </row>
    <row r="121" spans="1:132" s="50" customFormat="1" x14ac:dyDescent="0.2">
      <c r="A121" s="36" t="s">
        <v>709</v>
      </c>
      <c r="B121" s="50">
        <v>11</v>
      </c>
      <c r="D121" s="50" t="s">
        <v>946</v>
      </c>
      <c r="E121" s="50">
        <v>261</v>
      </c>
      <c r="F121" s="33">
        <v>98.963639500000014</v>
      </c>
      <c r="H121" s="6">
        <v>44.711369999999995</v>
      </c>
      <c r="I121" s="6">
        <v>0.24857669999999998</v>
      </c>
      <c r="J121" s="6">
        <v>28.153549999999999</v>
      </c>
      <c r="K121" s="32">
        <v>8.0388000000000001E-2</v>
      </c>
      <c r="L121" s="6">
        <v>4.386965</v>
      </c>
      <c r="M121" s="3">
        <v>5.68216E-2</v>
      </c>
      <c r="N121" s="6">
        <v>4.328163</v>
      </c>
      <c r="O121" s="7">
        <v>16.650480000000002</v>
      </c>
      <c r="P121" s="3">
        <v>0.320824</v>
      </c>
      <c r="Q121" s="49">
        <v>2.6501199999999999E-2</v>
      </c>
      <c r="R121" s="49"/>
      <c r="S121" s="49"/>
      <c r="T121" s="38">
        <f t="shared" si="3"/>
        <v>63.751154897562316</v>
      </c>
      <c r="U121" s="49"/>
      <c r="V121" s="33">
        <v>20.9</v>
      </c>
      <c r="W121" s="2">
        <v>0.14899999999999999</v>
      </c>
      <c r="X121" s="2">
        <v>14.9</v>
      </c>
      <c r="Y121" s="2">
        <v>3.41</v>
      </c>
      <c r="Z121" s="8">
        <v>440</v>
      </c>
      <c r="AA121" s="6">
        <v>2.61</v>
      </c>
      <c r="AB121" s="2">
        <v>11.9</v>
      </c>
      <c r="AC121">
        <v>0.23799999999999999</v>
      </c>
      <c r="AD121" s="31">
        <v>220</v>
      </c>
      <c r="AE121" s="76"/>
      <c r="AF121" s="38"/>
      <c r="AG121" s="38"/>
      <c r="AH121" s="38"/>
      <c r="AI121" s="38">
        <v>7.4</v>
      </c>
      <c r="AJ121" s="8">
        <v>550</v>
      </c>
      <c r="AK121" s="76">
        <v>17</v>
      </c>
      <c r="AL121" s="39">
        <v>21.9</v>
      </c>
      <c r="AM121" s="76">
        <v>286</v>
      </c>
      <c r="AN121" s="76"/>
      <c r="AO121" s="39">
        <v>3.4</v>
      </c>
      <c r="AP121" s="38"/>
      <c r="AQ121" s="38" t="s">
        <v>879</v>
      </c>
      <c r="AR121" s="38"/>
      <c r="AS121" s="38">
        <v>0.3</v>
      </c>
      <c r="AT121" s="76"/>
      <c r="AU121" s="76">
        <v>147</v>
      </c>
      <c r="AV121" s="161">
        <v>11.026255546677595</v>
      </c>
      <c r="AW121" s="76">
        <v>43</v>
      </c>
      <c r="AX121" s="38"/>
      <c r="AY121" s="38"/>
      <c r="AZ121" s="38"/>
      <c r="BA121" s="38"/>
      <c r="BB121" s="38"/>
      <c r="BC121" s="38"/>
      <c r="BD121" s="49"/>
      <c r="BE121" s="38"/>
      <c r="BF121" s="38"/>
      <c r="BG121" s="38" t="s">
        <v>710</v>
      </c>
      <c r="BH121" s="76">
        <v>35</v>
      </c>
      <c r="BI121" s="38">
        <v>3.17</v>
      </c>
      <c r="BJ121" s="39">
        <v>7.2</v>
      </c>
      <c r="BK121" s="199">
        <v>0.90730093471243789</v>
      </c>
      <c r="BL121" s="39">
        <v>4</v>
      </c>
      <c r="BM121" s="38">
        <v>1.44</v>
      </c>
      <c r="BN121" s="38">
        <v>0.84</v>
      </c>
      <c r="BO121" s="199">
        <v>1.661595688392721</v>
      </c>
      <c r="BP121" s="38">
        <v>0.28999999999999998</v>
      </c>
      <c r="BQ121" s="38">
        <v>1.8</v>
      </c>
      <c r="BR121" s="38">
        <v>0.37</v>
      </c>
      <c r="BS121" s="200">
        <v>1.1928995510134257</v>
      </c>
      <c r="BT121" s="201">
        <v>0.17561750087857703</v>
      </c>
      <c r="BU121" s="38">
        <v>1.1399999999999999</v>
      </c>
      <c r="BV121" s="49">
        <v>0.17</v>
      </c>
      <c r="BW121" s="38">
        <v>1.06</v>
      </c>
      <c r="BX121" s="38">
        <v>0.13</v>
      </c>
      <c r="BY121" s="38"/>
      <c r="BZ121" s="39">
        <v>14.2</v>
      </c>
      <c r="CA121" s="39">
        <v>4.5999999999999996</v>
      </c>
      <c r="CB121" s="38"/>
      <c r="CC121" s="38"/>
      <c r="CD121" s="38"/>
      <c r="CE121" s="38">
        <v>0.44</v>
      </c>
      <c r="CF121" s="38">
        <v>0.1</v>
      </c>
      <c r="CG121" s="38"/>
      <c r="CH121" s="38"/>
      <c r="CI121" s="117">
        <v>1.6920562309823284</v>
      </c>
      <c r="CJ121" s="78">
        <v>1.68073890259931</v>
      </c>
      <c r="CK121" s="117">
        <v>1.611991931596525</v>
      </c>
      <c r="CL121" s="117">
        <v>2.7777777777777777</v>
      </c>
      <c r="CM121" s="117"/>
      <c r="CN121" s="117"/>
      <c r="CO121" s="117"/>
      <c r="CP121" s="117"/>
      <c r="CQ121" s="29">
        <v>5.6662567401381134E-2</v>
      </c>
      <c r="CR121" s="38">
        <v>0.98659620033439976</v>
      </c>
      <c r="CS121" s="117">
        <v>1.295237140027331E-2</v>
      </c>
      <c r="CT121" s="117"/>
      <c r="CU121" s="117"/>
      <c r="CV121" s="117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</row>
    <row r="122" spans="1:132" x14ac:dyDescent="0.2">
      <c r="A122" s="2" t="s">
        <v>260</v>
      </c>
      <c r="B122">
        <v>4</v>
      </c>
      <c r="D122" s="2" t="s">
        <v>549</v>
      </c>
      <c r="I122" s="265">
        <v>0.24580426462642729</v>
      </c>
      <c r="J122" s="6">
        <v>28.569239999999997</v>
      </c>
      <c r="K122" s="3"/>
      <c r="L122" s="6">
        <v>4.4512900000000002</v>
      </c>
      <c r="M122" s="3">
        <v>5.7906376000000002E-2</v>
      </c>
      <c r="N122" s="6">
        <v>5.0312821999999997</v>
      </c>
      <c r="O122" s="7">
        <v>16.062816000000002</v>
      </c>
      <c r="P122" s="3"/>
      <c r="Q122" s="3">
        <v>4.0534790000000001E-2</v>
      </c>
      <c r="T122" s="38">
        <f t="shared" si="3"/>
        <v>66.831084239906318</v>
      </c>
      <c r="X122" s="33">
        <v>15.12</v>
      </c>
      <c r="Y122" s="30">
        <v>3.46</v>
      </c>
      <c r="Z122" s="31">
        <v>448.4</v>
      </c>
      <c r="AA122" s="33">
        <v>3.0339999999999998</v>
      </c>
      <c r="AB122" s="33">
        <v>11.48</v>
      </c>
      <c r="AD122" s="31">
        <v>336.5</v>
      </c>
      <c r="AI122" s="6"/>
      <c r="AJ122" s="8"/>
      <c r="AK122" s="6"/>
      <c r="AL122" s="7"/>
      <c r="AM122" s="8"/>
      <c r="AN122" s="8"/>
      <c r="AO122" s="7"/>
      <c r="AP122" s="8"/>
      <c r="AQ122" s="6"/>
      <c r="AR122" s="6"/>
      <c r="AS122" s="6"/>
      <c r="AT122" s="8"/>
      <c r="AU122" s="8"/>
      <c r="AW122" s="8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8"/>
      <c r="BI122" s="6"/>
      <c r="BW122" s="6"/>
      <c r="BX122" s="6"/>
      <c r="BY122" s="6"/>
      <c r="BZ122" s="7"/>
      <c r="CA122" s="7"/>
      <c r="CB122" s="7"/>
      <c r="CC122" s="7"/>
      <c r="CD122" s="7"/>
      <c r="CE122" s="6"/>
      <c r="CF122" s="6"/>
      <c r="CG122" s="6"/>
      <c r="CH122" s="6"/>
      <c r="CI122" s="29"/>
      <c r="CJ122" s="41"/>
      <c r="CK122" s="29"/>
      <c r="CL122" s="29"/>
      <c r="CM122" s="29"/>
      <c r="CN122" s="29"/>
      <c r="CO122" s="29"/>
      <c r="CP122" s="29"/>
      <c r="CQ122" s="29"/>
      <c r="CR122" s="30">
        <v>1.1302975541921554</v>
      </c>
      <c r="CS122" s="29">
        <v>1.300889764540167E-2</v>
      </c>
      <c r="CT122" s="29"/>
      <c r="CU122" s="29"/>
      <c r="CV122" s="29"/>
      <c r="CW122" s="29"/>
      <c r="CX122" s="29"/>
      <c r="CY122" s="29"/>
      <c r="CZ122" s="29"/>
    </row>
    <row r="123" spans="1:132" x14ac:dyDescent="0.2">
      <c r="A123" s="2" t="s">
        <v>260</v>
      </c>
      <c r="B123">
        <v>5</v>
      </c>
      <c r="D123" s="2" t="s">
        <v>323</v>
      </c>
      <c r="E123">
        <v>58.38</v>
      </c>
      <c r="I123" s="265">
        <v>0.26853760701962287</v>
      </c>
      <c r="J123" s="395">
        <v>28.804201374335864</v>
      </c>
      <c r="K123" s="32">
        <v>9.1496159999999993E-2</v>
      </c>
      <c r="L123" s="6">
        <v>4.8629699999999998</v>
      </c>
      <c r="M123" s="3">
        <v>6.9735600000000009E-2</v>
      </c>
      <c r="N123" s="395">
        <v>5.0971456651687239</v>
      </c>
      <c r="P123" s="3">
        <v>0.40440000000000004</v>
      </c>
      <c r="Q123" s="3">
        <v>2.1321419999999997E-2</v>
      </c>
      <c r="R123" s="3"/>
      <c r="S123" s="3"/>
      <c r="T123" s="38">
        <f t="shared" si="3"/>
        <v>65.137883767624245</v>
      </c>
      <c r="U123" s="3"/>
      <c r="Y123" s="2">
        <v>3.78</v>
      </c>
      <c r="Z123" s="2">
        <v>540</v>
      </c>
      <c r="AC123" s="30">
        <v>0.3</v>
      </c>
      <c r="AD123">
        <v>177</v>
      </c>
      <c r="AE123" s="3"/>
      <c r="AF123" s="3"/>
      <c r="AG123" s="3"/>
      <c r="AH123" s="3"/>
      <c r="AI123" s="6">
        <v>7.81</v>
      </c>
      <c r="AJ123" s="8">
        <v>626</v>
      </c>
      <c r="AK123" s="6"/>
      <c r="AL123" s="7">
        <v>25.1</v>
      </c>
      <c r="AM123" s="8">
        <v>365</v>
      </c>
      <c r="AN123" s="8">
        <v>15.8</v>
      </c>
      <c r="AO123" s="7">
        <v>4.5999999999999996</v>
      </c>
      <c r="AP123" s="8"/>
      <c r="AQ123" s="6">
        <v>0.11</v>
      </c>
      <c r="AR123" s="6">
        <v>0.18</v>
      </c>
      <c r="AS123" s="6">
        <v>0.11</v>
      </c>
      <c r="AT123" s="8">
        <v>1.1000000000000001</v>
      </c>
      <c r="AU123" s="8">
        <v>167</v>
      </c>
      <c r="AV123" s="161">
        <v>13.543511877542263</v>
      </c>
      <c r="AW123" s="8" t="s">
        <v>882</v>
      </c>
      <c r="AX123" s="6"/>
      <c r="AY123" s="6"/>
      <c r="AZ123" s="6">
        <v>0.03</v>
      </c>
      <c r="BA123" s="6"/>
      <c r="BB123" s="6"/>
      <c r="BC123" s="6"/>
      <c r="BD123" s="6">
        <v>4.2000000000000003E-2</v>
      </c>
      <c r="BE123" s="6"/>
      <c r="BF123" s="6"/>
      <c r="BG123" s="6">
        <v>4.9000000000000002E-2</v>
      </c>
      <c r="BH123" s="8">
        <v>51</v>
      </c>
      <c r="BI123" s="6">
        <v>4.04</v>
      </c>
      <c r="BJ123" s="6">
        <v>9.6300000000000008</v>
      </c>
      <c r="BK123" s="51">
        <v>1.2237162310811616</v>
      </c>
      <c r="BL123" s="7">
        <v>5.55</v>
      </c>
      <c r="BM123" s="6">
        <v>1.61</v>
      </c>
      <c r="BN123" s="6">
        <v>0.86</v>
      </c>
      <c r="BO123" s="6">
        <v>2.1</v>
      </c>
      <c r="BP123" s="195">
        <v>0.35</v>
      </c>
      <c r="BQ123" s="195">
        <v>2.2000000000000002</v>
      </c>
      <c r="BR123" s="52">
        <v>0.49296121858966879</v>
      </c>
      <c r="BS123" s="52">
        <v>1.3508257272915443</v>
      </c>
      <c r="BT123" s="6">
        <v>0.2</v>
      </c>
      <c r="BU123" s="6">
        <v>1.27</v>
      </c>
      <c r="BV123" s="3">
        <v>0.19</v>
      </c>
      <c r="BW123" s="6">
        <v>1.24</v>
      </c>
      <c r="BX123" s="6">
        <v>0.18</v>
      </c>
      <c r="BY123" s="6">
        <v>0.15</v>
      </c>
      <c r="BZ123" s="7">
        <v>19.600000000000001</v>
      </c>
      <c r="CA123" s="7">
        <v>4.5</v>
      </c>
      <c r="CB123" s="7"/>
      <c r="CC123" s="7"/>
      <c r="CD123" s="7"/>
      <c r="CE123" s="48">
        <v>0.81</v>
      </c>
      <c r="CF123" s="6">
        <v>0.19</v>
      </c>
      <c r="CG123" s="6"/>
      <c r="CH123" s="6">
        <v>1.3043478260869565</v>
      </c>
      <c r="CI123" s="29"/>
      <c r="CL123" s="29">
        <v>3.4472049689440989</v>
      </c>
      <c r="CQ123" s="29"/>
      <c r="CR123" s="30"/>
      <c r="CS123" s="29">
        <v>1.4340125478874024E-2</v>
      </c>
      <c r="CT123" s="29"/>
      <c r="CU123" s="29"/>
      <c r="CV123" s="29"/>
    </row>
    <row r="124" spans="1:132" x14ac:dyDescent="0.2">
      <c r="A124" s="2" t="s">
        <v>260</v>
      </c>
      <c r="B124">
        <v>6</v>
      </c>
      <c r="D124" s="2" t="s">
        <v>294</v>
      </c>
      <c r="I124" s="48" t="s">
        <v>328</v>
      </c>
      <c r="J124" s="6">
        <v>27.775649999999999</v>
      </c>
      <c r="L124" s="6">
        <v>4.2454499999999999</v>
      </c>
      <c r="M124" s="396">
        <v>6.1017917125663998E-2</v>
      </c>
      <c r="N124" s="6">
        <v>4.3613290000000005</v>
      </c>
      <c r="P124" s="3"/>
      <c r="Q124" s="3">
        <v>3.2524199999999996E-2</v>
      </c>
      <c r="R124" s="3"/>
      <c r="S124" s="3"/>
      <c r="T124" s="38">
        <f t="shared" si="3"/>
        <v>64.680012954687626</v>
      </c>
      <c r="U124" s="3"/>
      <c r="W124" s="2">
        <v>0.251</v>
      </c>
      <c r="X124" s="2">
        <v>14.7</v>
      </c>
      <c r="Y124" s="2">
        <v>3.3</v>
      </c>
      <c r="AA124" s="2">
        <v>2.63</v>
      </c>
      <c r="AD124">
        <v>270</v>
      </c>
      <c r="AE124" s="3"/>
      <c r="AF124" s="3"/>
      <c r="AG124" s="3"/>
      <c r="AH124" s="8">
        <v>86</v>
      </c>
      <c r="AI124" s="6"/>
      <c r="AJ124" s="8"/>
      <c r="AK124" s="6"/>
      <c r="AL124" s="7"/>
      <c r="AM124" s="8"/>
      <c r="AN124" s="8"/>
      <c r="AO124" s="7"/>
      <c r="AP124" s="8"/>
      <c r="AQ124" s="6"/>
      <c r="AR124" s="6"/>
      <c r="AS124" s="6"/>
      <c r="AT124" s="8"/>
      <c r="AU124" s="8">
        <v>153</v>
      </c>
      <c r="AV124" s="8">
        <v>11.3</v>
      </c>
      <c r="AW124" s="8" t="s">
        <v>881</v>
      </c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8">
        <v>42.2</v>
      </c>
      <c r="BI124" s="6" t="s">
        <v>445</v>
      </c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6"/>
      <c r="BV124" s="3"/>
      <c r="BW124" s="6"/>
      <c r="BX124" s="6"/>
      <c r="BY124" s="6"/>
      <c r="BZ124" s="7"/>
      <c r="CA124" s="7"/>
      <c r="CB124" s="7"/>
      <c r="CC124" s="7"/>
      <c r="CD124" s="7"/>
      <c r="CE124" s="6"/>
      <c r="CF124" s="6"/>
      <c r="CG124" s="6"/>
      <c r="CH124" s="6"/>
      <c r="CI124" s="6"/>
      <c r="CQ124" s="29"/>
      <c r="CR124" s="30">
        <v>1.0272948686240564</v>
      </c>
      <c r="CS124" s="29"/>
      <c r="CT124" s="29"/>
      <c r="CU124" s="29"/>
      <c r="CV124" s="29"/>
    </row>
    <row r="125" spans="1:132" x14ac:dyDescent="0.2">
      <c r="A125" s="2" t="s">
        <v>260</v>
      </c>
      <c r="B125">
        <v>7</v>
      </c>
      <c r="D125" s="2" t="s">
        <v>295</v>
      </c>
      <c r="E125">
        <v>200</v>
      </c>
      <c r="P125" s="3"/>
      <c r="T125" s="38" t="e">
        <f t="shared" si="3"/>
        <v>#DIV/0!</v>
      </c>
      <c r="AI125" s="6"/>
      <c r="AJ125" s="8"/>
      <c r="AK125" s="6"/>
      <c r="AL125" s="7"/>
      <c r="AM125" s="8"/>
      <c r="AN125" s="8"/>
      <c r="AO125" s="7"/>
      <c r="AP125" s="8"/>
      <c r="AQ125" s="6"/>
      <c r="AR125" s="6"/>
      <c r="AS125" s="6"/>
      <c r="AT125" s="8"/>
      <c r="AU125" s="8"/>
      <c r="AW125" s="8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8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6"/>
      <c r="BV125" s="3"/>
      <c r="BW125" s="6"/>
      <c r="BX125" s="6"/>
      <c r="BY125" s="6"/>
      <c r="BZ125" s="7"/>
      <c r="CA125" s="7"/>
      <c r="CB125" s="7"/>
      <c r="CC125" s="7"/>
      <c r="CD125" s="7"/>
      <c r="CE125" s="6"/>
      <c r="CF125" s="6"/>
      <c r="CG125" s="6"/>
      <c r="CH125" s="6"/>
      <c r="CI125" s="6"/>
      <c r="CQ125" s="29"/>
      <c r="CR125" s="30"/>
      <c r="CS125" s="29"/>
      <c r="CT125" s="29"/>
      <c r="CU125" s="29"/>
      <c r="CV125" s="29"/>
    </row>
    <row r="126" spans="1:132" x14ac:dyDescent="0.2">
      <c r="A126" s="2" t="s">
        <v>260</v>
      </c>
      <c r="B126">
        <v>8</v>
      </c>
      <c r="D126" s="2" t="s">
        <v>296</v>
      </c>
      <c r="I126" s="265">
        <v>0.24076314815957239</v>
      </c>
      <c r="J126" s="395">
        <v>29.504432309415797</v>
      </c>
      <c r="K126" s="3">
        <v>8.7549840000000004E-2</v>
      </c>
      <c r="L126" s="6">
        <v>4.3600000000000003</v>
      </c>
      <c r="M126" s="396">
        <v>6.2664292046283682E-2</v>
      </c>
      <c r="N126" s="395">
        <v>4.5699552125831833</v>
      </c>
      <c r="O126" s="7">
        <v>16.399999999999999</v>
      </c>
      <c r="P126" s="3">
        <v>0.35399999999999998</v>
      </c>
      <c r="T126" s="38">
        <f t="shared" si="3"/>
        <v>65.137883767624245</v>
      </c>
      <c r="AI126" s="6">
        <v>7.62</v>
      </c>
      <c r="AJ126" s="8">
        <v>599</v>
      </c>
      <c r="AK126" s="6"/>
      <c r="AL126" s="7">
        <v>23.7</v>
      </c>
      <c r="AM126" s="8">
        <v>326</v>
      </c>
      <c r="AN126" s="8"/>
      <c r="AO126" s="7"/>
      <c r="AP126" s="8"/>
      <c r="AQ126" s="6"/>
      <c r="AR126" s="6"/>
      <c r="AS126" s="6"/>
      <c r="AT126" s="8"/>
      <c r="AU126" s="8"/>
      <c r="AV126" s="161">
        <v>12.685318265239211</v>
      </c>
      <c r="AW126" s="8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8"/>
      <c r="BI126" s="6">
        <v>3.22</v>
      </c>
      <c r="BJ126" s="51">
        <v>8.4761507094304029</v>
      </c>
      <c r="BK126" s="51">
        <v>1.0496930025962792</v>
      </c>
      <c r="BL126" s="54">
        <v>4.9388757710278748</v>
      </c>
      <c r="BM126" s="6">
        <v>1.52</v>
      </c>
      <c r="BN126" s="6">
        <v>0.83</v>
      </c>
      <c r="BO126" s="51">
        <v>1.7422557637108127</v>
      </c>
      <c r="BP126" s="51">
        <v>0.30085912941248721</v>
      </c>
      <c r="BQ126" s="52">
        <v>2.0608791173474685</v>
      </c>
      <c r="BR126" s="52">
        <v>0.45867454075186109</v>
      </c>
      <c r="BS126" s="52">
        <v>1.2736426477475367</v>
      </c>
      <c r="BT126" s="53">
        <v>0.18848625732738067</v>
      </c>
      <c r="BU126" s="6">
        <v>1.23</v>
      </c>
      <c r="BV126" s="394">
        <v>0.17184960081519424</v>
      </c>
      <c r="BW126" s="6">
        <v>1.1299999999999999</v>
      </c>
      <c r="BX126" s="6"/>
      <c r="BY126" s="6"/>
      <c r="BZ126" s="7">
        <v>14.9</v>
      </c>
      <c r="CA126" s="7">
        <v>5.2</v>
      </c>
      <c r="CB126" s="7"/>
      <c r="CC126" s="7"/>
      <c r="CD126" s="7"/>
      <c r="CE126" s="6"/>
      <c r="CF126" s="6"/>
      <c r="CG126" s="6"/>
      <c r="CH126" s="6"/>
      <c r="CI126" s="29">
        <v>1.8137176610680887</v>
      </c>
      <c r="CJ126" s="41">
        <v>1.7537643992242187</v>
      </c>
      <c r="CK126" s="29">
        <v>1.6592852308401302</v>
      </c>
      <c r="CL126" s="29"/>
      <c r="CM126" s="29"/>
      <c r="CN126" s="29"/>
      <c r="CO126" s="29"/>
      <c r="CP126" s="29"/>
      <c r="CQ126" s="29"/>
      <c r="CR126" s="30"/>
      <c r="CS126" s="29"/>
      <c r="CT126" s="29"/>
      <c r="CU126" s="29"/>
      <c r="CV126" s="29"/>
      <c r="CW126" s="29"/>
      <c r="CX126" s="29"/>
      <c r="CY126" s="29"/>
      <c r="CZ126" s="29"/>
    </row>
    <row r="127" spans="1:132" x14ac:dyDescent="0.2">
      <c r="A127" s="2" t="s">
        <v>260</v>
      </c>
      <c r="B127">
        <v>9</v>
      </c>
      <c r="D127" s="2" t="s">
        <v>296</v>
      </c>
      <c r="I127" s="265">
        <v>0.2402109391041605</v>
      </c>
      <c r="J127" s="395">
        <v>29.518354231897856</v>
      </c>
      <c r="K127" s="3">
        <v>8.8134480000000001E-2</v>
      </c>
      <c r="L127" s="6">
        <v>4.3499999999999996</v>
      </c>
      <c r="M127" s="396">
        <v>6.252056660581054E-2</v>
      </c>
      <c r="N127" s="395">
        <v>4.5594736639304685</v>
      </c>
      <c r="O127" s="7">
        <v>16.3</v>
      </c>
      <c r="P127" s="3">
        <v>0.35</v>
      </c>
      <c r="T127" s="38">
        <f t="shared" si="3"/>
        <v>65.137883767624245</v>
      </c>
      <c r="AI127" s="6">
        <v>7.59</v>
      </c>
      <c r="AJ127" s="8">
        <v>603</v>
      </c>
      <c r="AK127" s="6"/>
      <c r="AL127" s="7">
        <v>22.9</v>
      </c>
      <c r="AM127" s="8">
        <v>302</v>
      </c>
      <c r="AN127" s="8"/>
      <c r="AO127" s="7"/>
      <c r="AP127" s="8"/>
      <c r="AQ127" s="6"/>
      <c r="AR127" s="6"/>
      <c r="AS127" s="6"/>
      <c r="AT127" s="8"/>
      <c r="AU127" s="8"/>
      <c r="AV127" s="161">
        <v>12.937009819341089</v>
      </c>
      <c r="AW127" s="8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8"/>
      <c r="BI127" s="6">
        <v>3.33</v>
      </c>
      <c r="BJ127" s="51">
        <v>8.7657086529202601</v>
      </c>
      <c r="BK127" s="51">
        <v>1.0708036544306514</v>
      </c>
      <c r="BL127" s="54">
        <v>5.0038609785413994</v>
      </c>
      <c r="BM127" s="6">
        <v>1.54</v>
      </c>
      <c r="BN127" s="6">
        <v>0.82</v>
      </c>
      <c r="BO127" s="51">
        <v>1.7589390966997536</v>
      </c>
      <c r="BP127" s="51">
        <v>0.30481780216791471</v>
      </c>
      <c r="BQ127" s="52">
        <v>2.0962156336268034</v>
      </c>
      <c r="BR127" s="52">
        <v>0.46736143776747552</v>
      </c>
      <c r="BS127" s="52">
        <v>1.300063100577338</v>
      </c>
      <c r="BT127" s="53">
        <v>0.1927387006062361</v>
      </c>
      <c r="BU127" s="6">
        <v>1.26</v>
      </c>
      <c r="BV127" s="394">
        <v>0.1760410544936136</v>
      </c>
      <c r="BW127" s="6">
        <v>1.32</v>
      </c>
      <c r="BX127" s="6"/>
      <c r="BY127" s="6"/>
      <c r="BZ127" s="7">
        <v>13</v>
      </c>
      <c r="CA127" s="7">
        <v>5.5</v>
      </c>
      <c r="CB127" s="7"/>
      <c r="CC127" s="7"/>
      <c r="CD127" s="7"/>
      <c r="CE127" s="6"/>
      <c r="CF127" s="6"/>
      <c r="CG127" s="6"/>
      <c r="CH127" s="6"/>
      <c r="CI127" s="29">
        <v>1.8225620511737035</v>
      </c>
      <c r="CJ127" s="41">
        <v>1.7768402465824309</v>
      </c>
      <c r="CK127" s="29">
        <v>1.6774149923431263</v>
      </c>
      <c r="CL127" s="29"/>
      <c r="CM127" s="29"/>
      <c r="CN127" s="29"/>
      <c r="CO127" s="29"/>
      <c r="CP127" s="29"/>
      <c r="CQ127" s="29"/>
      <c r="CR127" s="30"/>
      <c r="CS127" s="29"/>
      <c r="CT127" s="29"/>
      <c r="CU127" s="29"/>
      <c r="CV127" s="29"/>
      <c r="CW127" s="29"/>
      <c r="CX127" s="29"/>
      <c r="CY127" s="29"/>
      <c r="CZ127" s="29"/>
    </row>
    <row r="128" spans="1:132" x14ac:dyDescent="0.2">
      <c r="A128" s="2" t="s">
        <v>260</v>
      </c>
      <c r="B128">
        <v>10</v>
      </c>
      <c r="D128" s="2" t="s">
        <v>290</v>
      </c>
      <c r="H128" s="30">
        <v>44.9</v>
      </c>
      <c r="I128" s="30">
        <v>0.22</v>
      </c>
      <c r="J128" s="30">
        <v>28.6</v>
      </c>
      <c r="K128" s="32">
        <v>8.4000000000000005E-2</v>
      </c>
      <c r="L128" s="30">
        <v>4.3150000000000004</v>
      </c>
      <c r="M128" s="3">
        <v>5.7000000000000002E-2</v>
      </c>
      <c r="N128" s="30">
        <v>4.43</v>
      </c>
      <c r="O128" s="33">
        <v>16.899999999999999</v>
      </c>
      <c r="P128" s="3">
        <v>0.33700000000000002</v>
      </c>
      <c r="Q128" s="3">
        <v>4.7E-2</v>
      </c>
      <c r="R128" s="3"/>
      <c r="S128" s="3"/>
      <c r="T128" s="38">
        <f t="shared" si="3"/>
        <v>64.66569362689016</v>
      </c>
      <c r="U128" s="3"/>
      <c r="Z128" s="8">
        <v>441.46500000000003</v>
      </c>
      <c r="AD128" s="31">
        <v>390.14699999999999</v>
      </c>
      <c r="AE128" s="3"/>
      <c r="AF128" s="3"/>
      <c r="AG128" s="3"/>
      <c r="AH128" s="3"/>
      <c r="AI128" s="6">
        <v>7.36</v>
      </c>
      <c r="AJ128" s="8">
        <v>574.72800000000007</v>
      </c>
      <c r="AK128" s="2"/>
      <c r="AL128" s="7">
        <v>22.3</v>
      </c>
      <c r="AM128" s="8">
        <v>330</v>
      </c>
      <c r="AN128" s="8">
        <v>15</v>
      </c>
      <c r="AO128" s="7">
        <v>3.2</v>
      </c>
      <c r="AP128" s="2"/>
      <c r="AQ128" s="6"/>
      <c r="AR128" s="6"/>
      <c r="AS128" s="6"/>
      <c r="AT128" s="8">
        <v>1.1000000000000001</v>
      </c>
      <c r="AU128" s="8">
        <v>151</v>
      </c>
      <c r="AV128" s="2">
        <v>11.8</v>
      </c>
      <c r="AW128" s="8">
        <v>42.6</v>
      </c>
      <c r="AX128" s="6">
        <v>3.24</v>
      </c>
      <c r="AY128" s="6"/>
      <c r="AZ128" s="6"/>
      <c r="BA128" s="6"/>
      <c r="BB128" s="6"/>
      <c r="BC128" s="6">
        <v>0.19</v>
      </c>
      <c r="BD128" s="6">
        <v>0.02</v>
      </c>
      <c r="BE128" s="6"/>
      <c r="BF128" s="6"/>
      <c r="BG128" s="6">
        <v>2.5000000000000001E-2</v>
      </c>
      <c r="BH128" s="8">
        <v>47</v>
      </c>
      <c r="BI128" s="6">
        <v>3.22</v>
      </c>
      <c r="BJ128" s="2">
        <v>8.9700000000000006</v>
      </c>
      <c r="BK128" s="2">
        <v>1.21</v>
      </c>
      <c r="BL128" s="7">
        <v>5.22</v>
      </c>
      <c r="BM128" s="6">
        <v>1.53</v>
      </c>
      <c r="BN128" s="6">
        <v>0.78200000000000003</v>
      </c>
      <c r="BO128" s="6">
        <v>1.72</v>
      </c>
      <c r="BP128" s="6">
        <v>0.315</v>
      </c>
      <c r="BQ128" s="2">
        <v>2.0299999999999998</v>
      </c>
      <c r="BR128" s="2">
        <v>0.45</v>
      </c>
      <c r="BS128" s="2">
        <v>1.3</v>
      </c>
      <c r="BT128" s="53">
        <v>0.18684135268219987</v>
      </c>
      <c r="BU128" s="2">
        <v>1.21</v>
      </c>
      <c r="BV128" s="3">
        <v>0.17649999999999999</v>
      </c>
      <c r="BW128" s="6">
        <v>1.1200000000000001</v>
      </c>
      <c r="BX128" s="6">
        <v>0.16500000000000001</v>
      </c>
      <c r="BY128" s="2"/>
      <c r="BZ128" s="7">
        <v>14.6</v>
      </c>
      <c r="CA128" s="7">
        <v>5.2</v>
      </c>
      <c r="CB128" s="2"/>
      <c r="CC128" s="2">
        <v>0.85</v>
      </c>
      <c r="CD128" s="2"/>
      <c r="CE128" s="6">
        <v>0.53600000000000003</v>
      </c>
      <c r="CF128" s="6">
        <v>0.14299999999999999</v>
      </c>
      <c r="CG128" s="2"/>
      <c r="CH128" s="6">
        <v>1.1241830065359477</v>
      </c>
      <c r="CI128" s="2"/>
      <c r="CL128" s="29">
        <v>3.4117647058823528</v>
      </c>
      <c r="CQ128" s="29">
        <v>5.0984936268829661E-2</v>
      </c>
      <c r="CR128" s="30">
        <v>1.0266512166859789</v>
      </c>
      <c r="CS128" s="29">
        <v>1.320973348783314E-2</v>
      </c>
      <c r="CT128" s="29"/>
      <c r="CU128" s="29"/>
      <c r="CV128" s="29"/>
      <c r="CW128" s="29">
        <v>0.37577639751552794</v>
      </c>
      <c r="CX128" s="29">
        <v>0.13489409141583053</v>
      </c>
      <c r="CY128" s="29">
        <v>0.23180076628352492</v>
      </c>
      <c r="CZ128" s="29">
        <v>0.79084967320261434</v>
      </c>
    </row>
    <row r="129" spans="1:132" s="130" customFormat="1" x14ac:dyDescent="0.2">
      <c r="A129" s="163" t="s">
        <v>709</v>
      </c>
      <c r="B129" s="130">
        <v>12</v>
      </c>
      <c r="D129" s="136" t="s">
        <v>875</v>
      </c>
      <c r="H129" s="146"/>
      <c r="I129" s="265">
        <v>0.24171299585767428</v>
      </c>
      <c r="J129" s="395">
        <v>29.480485389507233</v>
      </c>
      <c r="K129" s="139">
        <v>8.6968817380392152E-2</v>
      </c>
      <c r="L129" s="137">
        <v>4.3772008714596948</v>
      </c>
      <c r="M129" s="396">
        <v>0</v>
      </c>
      <c r="N129" s="395">
        <v>4.5879843896905692</v>
      </c>
      <c r="O129" s="138">
        <v>16.336932461873637</v>
      </c>
      <c r="P129" s="139">
        <v>0.34420078431372547</v>
      </c>
      <c r="Q129" s="141">
        <v>2.7200871459694992E-2</v>
      </c>
      <c r="R129" s="141"/>
      <c r="T129" s="38">
        <f t="shared" si="3"/>
        <v>65.13788376762426</v>
      </c>
      <c r="W129" s="136"/>
      <c r="X129" s="136"/>
      <c r="Y129" s="136"/>
      <c r="Z129" s="136"/>
      <c r="AA129" s="136"/>
      <c r="AB129" s="136"/>
      <c r="AI129" s="137">
        <v>7.5992723311546833</v>
      </c>
      <c r="AJ129" s="135">
        <v>595.02474945533766</v>
      </c>
      <c r="AK129" s="137"/>
      <c r="AL129" s="138">
        <v>22.583067538126357</v>
      </c>
      <c r="AM129" s="135">
        <v>307.93298474945533</v>
      </c>
      <c r="AN129" s="135">
        <v>12.893185185185185</v>
      </c>
      <c r="AO129" s="138"/>
      <c r="AP129" s="135"/>
      <c r="AQ129" s="137">
        <v>3.0818300653594775E-2</v>
      </c>
      <c r="AR129" s="137"/>
      <c r="AS129" s="137">
        <v>0.13981437908496733</v>
      </c>
      <c r="AT129" s="408">
        <v>2.1160958605664488</v>
      </c>
      <c r="AU129" s="135">
        <v>158.04810457516339</v>
      </c>
      <c r="AV129" s="202">
        <v>12.352026203731246</v>
      </c>
      <c r="AW129" s="135">
        <v>41.83904139433551</v>
      </c>
      <c r="AX129" s="137"/>
      <c r="AY129" s="137"/>
      <c r="AZ129" s="137"/>
      <c r="BA129" s="137"/>
      <c r="BB129" s="137"/>
      <c r="BC129" s="137"/>
      <c r="BD129" s="139">
        <v>7.9250544662309366E-3</v>
      </c>
      <c r="BE129" s="137"/>
      <c r="BF129" s="137"/>
      <c r="BG129" s="137">
        <v>4.311137254901961E-2</v>
      </c>
      <c r="BH129" s="135">
        <v>39.812897603485837</v>
      </c>
      <c r="BI129" s="137">
        <v>3.1868618736383443</v>
      </c>
      <c r="BJ129" s="137">
        <v>8.3025882352941167</v>
      </c>
      <c r="BK129" s="203">
        <v>1.0486388393692887</v>
      </c>
      <c r="BL129" s="138">
        <v>4.9570108932461876</v>
      </c>
      <c r="BM129" s="137">
        <v>1.4956813071895423</v>
      </c>
      <c r="BN129" s="137">
        <v>0.81875503267973859</v>
      </c>
      <c r="BO129" s="143">
        <v>1.7915745980668569</v>
      </c>
      <c r="BP129" s="137">
        <v>0.31692967320261445</v>
      </c>
      <c r="BQ129" s="151">
        <v>2.04910462713379</v>
      </c>
      <c r="BR129" s="151">
        <v>0.44976068333329144</v>
      </c>
      <c r="BS129" s="204">
        <v>1.2315283465282119</v>
      </c>
      <c r="BT129" s="205">
        <v>0.17970128403329907</v>
      </c>
      <c r="BU129" s="137">
        <v>1.1561281045751635</v>
      </c>
      <c r="BV129" s="139">
        <v>0.16273376906318082</v>
      </c>
      <c r="BW129" s="137">
        <v>1.1188205664488018</v>
      </c>
      <c r="BX129" s="137">
        <v>0.14164366013071897</v>
      </c>
      <c r="BY129" s="137">
        <v>9.5529411764705877E-2</v>
      </c>
      <c r="BZ129" s="138">
        <v>13.216906318082788</v>
      </c>
      <c r="CA129" s="138">
        <v>4.651851851851851</v>
      </c>
      <c r="CB129" s="138"/>
      <c r="CC129" s="138"/>
      <c r="CD129" s="138"/>
      <c r="CE129" s="137">
        <v>0.51785525054466242</v>
      </c>
      <c r="CF129" s="137">
        <v>0.13037124183006538</v>
      </c>
      <c r="CG129" s="137"/>
      <c r="CH129" s="137"/>
      <c r="CI129" s="206">
        <v>1.7805755420953673</v>
      </c>
      <c r="CJ129" s="207">
        <v>1.8059299801777791</v>
      </c>
      <c r="CK129" s="206">
        <v>1.7882182719274244</v>
      </c>
      <c r="CL129" s="206">
        <v>3.3142159826551896</v>
      </c>
      <c r="CM129" s="144"/>
      <c r="CN129" s="144"/>
      <c r="CO129" s="144"/>
      <c r="CP129" s="144"/>
      <c r="CQ129" s="29"/>
      <c r="CR129" s="146"/>
      <c r="CS129" s="144"/>
      <c r="CT129" s="144"/>
      <c r="CU129" s="144"/>
      <c r="CV129" s="144"/>
      <c r="CW129" s="144"/>
      <c r="CX129" s="144"/>
      <c r="CY129" s="144"/>
      <c r="CZ129" s="144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</row>
    <row r="130" spans="1:132" ht="20.100000000000001" customHeight="1" x14ac:dyDescent="0.2">
      <c r="A130" s="36" t="s">
        <v>260</v>
      </c>
      <c r="C130" t="s">
        <v>254</v>
      </c>
      <c r="D130" s="2"/>
      <c r="H130" s="30">
        <v>44.689608</v>
      </c>
      <c r="I130" s="30">
        <v>0.24932416260014553</v>
      </c>
      <c r="J130" s="30">
        <v>28.882200024464737</v>
      </c>
      <c r="K130" s="3">
        <v>8.3600599312839002E-2</v>
      </c>
      <c r="L130" s="6">
        <v>4.3741051506307764</v>
      </c>
      <c r="M130" s="32">
        <v>7.418206050468093E-2</v>
      </c>
      <c r="N130" s="30">
        <v>4.5848337727199739</v>
      </c>
      <c r="O130" s="7">
        <v>16.431009709330272</v>
      </c>
      <c r="P130" s="3">
        <v>0.34490749146860505</v>
      </c>
      <c r="Q130" s="32">
        <v>3.3307520162188332E-2</v>
      </c>
      <c r="R130" s="32">
        <v>0.03</v>
      </c>
      <c r="T130" s="38">
        <f t="shared" si="3"/>
        <v>65.138350229126431</v>
      </c>
      <c r="Z130" s="8">
        <v>487.43071428571432</v>
      </c>
      <c r="AD130" s="8">
        <v>282.83462500000002</v>
      </c>
      <c r="AH130">
        <v>86</v>
      </c>
      <c r="AI130" s="6">
        <v>7.503236226864372</v>
      </c>
      <c r="AJ130" s="8">
        <v>571.9828325180556</v>
      </c>
      <c r="AK130" s="8">
        <v>21.666666666666668</v>
      </c>
      <c r="AL130" s="7">
        <v>22.653990162281385</v>
      </c>
      <c r="AM130" s="8">
        <v>307.72019223086733</v>
      </c>
      <c r="AN130" s="8">
        <v>14.564395061728396</v>
      </c>
      <c r="AO130" s="7">
        <v>3.46</v>
      </c>
      <c r="AP130" s="7"/>
      <c r="AQ130" s="6">
        <v>6.693943355119826E-2</v>
      </c>
      <c r="AR130" s="6">
        <v>0.18</v>
      </c>
      <c r="AS130" s="6">
        <v>0.18327145969498912</v>
      </c>
      <c r="AT130" s="8">
        <v>1.4386986201888163</v>
      </c>
      <c r="AU130" s="8">
        <v>152.37044624505791</v>
      </c>
      <c r="AV130" s="7">
        <v>12.188117913772475</v>
      </c>
      <c r="AW130" s="8">
        <v>42.926973174193847</v>
      </c>
      <c r="AX130" s="7">
        <v>3.24</v>
      </c>
      <c r="AY130" s="6"/>
      <c r="AZ130" s="6">
        <v>0.03</v>
      </c>
      <c r="BA130" s="6"/>
      <c r="BB130" s="6"/>
      <c r="BC130" s="6">
        <v>0.19</v>
      </c>
      <c r="BD130" s="6">
        <v>2.1185010893246186E-2</v>
      </c>
      <c r="BE130" s="6"/>
      <c r="BF130" s="6"/>
      <c r="BG130" s="6">
        <v>5.4277843137254908E-2</v>
      </c>
      <c r="BH130" s="8">
        <v>42.56287310095184</v>
      </c>
      <c r="BI130" s="6">
        <v>3.3764442638661256</v>
      </c>
      <c r="BJ130" s="6">
        <v>8.5406438680501893</v>
      </c>
      <c r="BK130" s="6">
        <v>1.1002064638868174</v>
      </c>
      <c r="BL130" s="7">
        <v>5.014985901108937</v>
      </c>
      <c r="BM130" s="6">
        <v>1.5409409199956108</v>
      </c>
      <c r="BN130" s="6">
        <v>0.81670153504236531</v>
      </c>
      <c r="BO130" s="6">
        <v>1.8255255266566601</v>
      </c>
      <c r="BP130" s="6">
        <v>0.31764563707017401</v>
      </c>
      <c r="BQ130" s="6">
        <v>2.0725807365832778</v>
      </c>
      <c r="BR130" s="6">
        <v>0.4387312947109725</v>
      </c>
      <c r="BS130" s="6">
        <v>1.2748697259110189</v>
      </c>
      <c r="BT130" s="6">
        <v>0.1867558140554379</v>
      </c>
      <c r="BU130" s="6">
        <v>1.2053248031402946</v>
      </c>
      <c r="BV130" s="3">
        <v>0.17282561429566756</v>
      </c>
      <c r="BW130" s="6">
        <v>1.1553911720724492</v>
      </c>
      <c r="BX130" s="6">
        <v>0.15283542384955404</v>
      </c>
      <c r="BY130" s="6">
        <v>0.12276470588235294</v>
      </c>
      <c r="BZ130" s="7">
        <v>15.417996808473378</v>
      </c>
      <c r="CA130" s="7">
        <v>4.8078249501800556</v>
      </c>
      <c r="CB130" s="7"/>
      <c r="CC130" s="6">
        <v>0.85</v>
      </c>
      <c r="CD130" s="6"/>
      <c r="CE130" s="6">
        <v>0.52035697213120291</v>
      </c>
      <c r="CF130" s="6">
        <v>0.13562765636598115</v>
      </c>
      <c r="CG130" s="6"/>
      <c r="CH130" s="6"/>
      <c r="CI130" s="6"/>
      <c r="CL130" s="6">
        <v>3.2492603756762333</v>
      </c>
      <c r="CQ130" s="6">
        <v>5.9020880641708441E-2</v>
      </c>
      <c r="CR130" s="6">
        <v>1.0481548652713721</v>
      </c>
      <c r="CS130" s="3">
        <v>1.4372544047312769E-2</v>
      </c>
      <c r="CT130" s="3"/>
      <c r="CU130" s="3"/>
      <c r="CV130" s="3"/>
    </row>
    <row r="131" spans="1:132" s="36" customFormat="1" x14ac:dyDescent="0.2">
      <c r="A131" s="36" t="s">
        <v>553</v>
      </c>
      <c r="H131" s="34">
        <v>44.689608</v>
      </c>
      <c r="I131" s="34">
        <v>0.24932416260014553</v>
      </c>
      <c r="J131" s="34">
        <v>28.882200024464737</v>
      </c>
      <c r="K131" s="37">
        <v>8.3600599312839002E-2</v>
      </c>
      <c r="L131" s="34">
        <v>4.3741051506307764</v>
      </c>
      <c r="M131" s="37">
        <v>7.418206050468093E-2</v>
      </c>
      <c r="N131" s="34">
        <v>4.5848337727199739</v>
      </c>
      <c r="O131" s="72">
        <v>16.431009709330272</v>
      </c>
      <c r="P131" s="37">
        <v>0.34490749146860505</v>
      </c>
      <c r="Q131" s="37">
        <v>3.3307520162188332E-2</v>
      </c>
      <c r="R131" s="37">
        <v>0.03</v>
      </c>
      <c r="S131" s="37"/>
      <c r="T131" s="38">
        <f t="shared" ref="T131:T194" si="5">100*(N131/40.304)/(N131/40.304+L131/71.846)</f>
        <v>65.138350229126431</v>
      </c>
      <c r="U131" s="37"/>
      <c r="W131" s="34">
        <v>0</v>
      </c>
      <c r="X131" s="34">
        <v>0</v>
      </c>
      <c r="Y131" s="34">
        <v>0</v>
      </c>
      <c r="Z131" s="35">
        <v>487.43071428571432</v>
      </c>
      <c r="AA131" s="34">
        <v>0</v>
      </c>
      <c r="AB131" s="34">
        <v>0</v>
      </c>
      <c r="AC131" s="34">
        <v>0</v>
      </c>
      <c r="AD131" s="35">
        <v>282.83462500000002</v>
      </c>
      <c r="AE131" s="35">
        <v>0</v>
      </c>
      <c r="AF131" s="34">
        <v>0</v>
      </c>
      <c r="AG131" s="34">
        <v>0</v>
      </c>
      <c r="AH131" s="34">
        <v>86</v>
      </c>
      <c r="AI131" s="34">
        <v>7.503236226864372</v>
      </c>
      <c r="AJ131" s="35">
        <v>571.9828325180556</v>
      </c>
      <c r="AK131" s="35">
        <v>21.666666666666668</v>
      </c>
      <c r="AL131" s="72">
        <v>22.653990162281385</v>
      </c>
      <c r="AM131" s="35">
        <v>307.72019223086733</v>
      </c>
      <c r="AN131" s="35">
        <v>14.564395061728396</v>
      </c>
      <c r="AO131" s="34">
        <v>3.46</v>
      </c>
      <c r="AP131" s="34">
        <v>0</v>
      </c>
      <c r="AQ131" s="34">
        <v>6.693943355119826E-2</v>
      </c>
      <c r="AR131" s="34">
        <v>0.18</v>
      </c>
      <c r="AS131" s="34">
        <v>0.18327145969498912</v>
      </c>
      <c r="AT131" s="35">
        <v>1.4386986201888163</v>
      </c>
      <c r="AU131" s="35">
        <v>152.37044624505791</v>
      </c>
      <c r="AV131" s="34">
        <v>12.188117913772475</v>
      </c>
      <c r="AW131" s="35">
        <v>42.926973174193847</v>
      </c>
      <c r="AX131" s="34">
        <v>3.24</v>
      </c>
      <c r="AY131" s="34">
        <v>0</v>
      </c>
      <c r="AZ131" s="34">
        <v>0.03</v>
      </c>
      <c r="BA131" s="34">
        <v>0</v>
      </c>
      <c r="BB131" s="34">
        <v>0</v>
      </c>
      <c r="BC131" s="34">
        <v>0.19</v>
      </c>
      <c r="BD131" s="34">
        <v>2.1185010893246186E-2</v>
      </c>
      <c r="BE131" s="34">
        <v>0</v>
      </c>
      <c r="BF131" s="34">
        <v>0</v>
      </c>
      <c r="BG131" s="34">
        <v>5.4277843137254908E-2</v>
      </c>
      <c r="BH131" s="35">
        <v>42.56287310095184</v>
      </c>
      <c r="BI131" s="34">
        <v>3.3764442638661256</v>
      </c>
      <c r="BJ131" s="34">
        <v>8.5406438680501893</v>
      </c>
      <c r="BK131" s="158">
        <v>1.1578672299694488</v>
      </c>
      <c r="BL131" s="72">
        <v>5.014985901108937</v>
      </c>
      <c r="BM131" s="34">
        <v>1.5409409199956108</v>
      </c>
      <c r="BN131" s="34">
        <v>0.81670153504236531</v>
      </c>
      <c r="BO131" s="34">
        <v>1.8255255266566601</v>
      </c>
      <c r="BP131" s="34">
        <v>0.31764563707017401</v>
      </c>
      <c r="BQ131" s="34">
        <v>2.0725807365832778</v>
      </c>
      <c r="BR131" s="34">
        <v>0.4387312947109725</v>
      </c>
      <c r="BS131" s="34">
        <v>1.2748697259110189</v>
      </c>
      <c r="BT131" s="34">
        <v>0.1867558140554379</v>
      </c>
      <c r="BU131" s="34">
        <v>1.2053248031402946</v>
      </c>
      <c r="BV131" s="37">
        <v>0.17282561429566756</v>
      </c>
      <c r="BW131" s="34">
        <v>1.1553911720724492</v>
      </c>
      <c r="BX131" s="34">
        <v>0.15283542384955404</v>
      </c>
      <c r="BY131" s="34">
        <v>0.12276470588235294</v>
      </c>
      <c r="BZ131" s="72">
        <v>15.417996808473378</v>
      </c>
      <c r="CA131" s="72">
        <v>4.8078249501800556</v>
      </c>
      <c r="CB131" s="34">
        <v>0</v>
      </c>
      <c r="CC131" s="34">
        <v>0.85</v>
      </c>
      <c r="CD131" s="34">
        <v>0</v>
      </c>
      <c r="CE131" s="34">
        <v>0.52035697213120291</v>
      </c>
      <c r="CF131" s="34">
        <v>0.13562765636598115</v>
      </c>
      <c r="CG131" s="34"/>
      <c r="CH131" s="34"/>
      <c r="CI131" s="34"/>
      <c r="DA131" s="30">
        <v>1.1542204622615437</v>
      </c>
      <c r="DB131" s="30">
        <v>1.1228839968490465</v>
      </c>
      <c r="DC131" s="30">
        <v>1.1657671791045485</v>
      </c>
      <c r="DD131" s="30">
        <v>1.1885972816626569</v>
      </c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</row>
    <row r="132" spans="1:132" s="36" customFormat="1" x14ac:dyDescent="0.2">
      <c r="H132" s="34"/>
      <c r="I132" s="34"/>
      <c r="J132" s="30"/>
      <c r="K132" s="37"/>
      <c r="L132" s="34"/>
      <c r="M132" s="37"/>
      <c r="N132" s="34"/>
      <c r="O132" s="72"/>
      <c r="P132" s="37"/>
      <c r="Q132" s="37"/>
      <c r="R132" s="37"/>
      <c r="S132" s="37"/>
      <c r="T132" s="38" t="e">
        <f t="shared" si="5"/>
        <v>#DIV/0!</v>
      </c>
      <c r="U132" s="37"/>
      <c r="W132" s="34"/>
      <c r="X132" s="34"/>
      <c r="Y132" s="34"/>
      <c r="Z132" s="35"/>
      <c r="AA132" s="34"/>
      <c r="AB132" s="34"/>
      <c r="AC132" s="34"/>
      <c r="AD132" s="35"/>
      <c r="AE132" s="35"/>
      <c r="AF132" s="34"/>
      <c r="AG132" s="34"/>
      <c r="AH132" s="34"/>
      <c r="AI132" s="34"/>
      <c r="AJ132" s="35"/>
      <c r="AK132" s="35"/>
      <c r="AL132" s="72"/>
      <c r="AM132" s="35"/>
      <c r="AN132" s="35"/>
      <c r="AO132" s="34"/>
      <c r="AP132" s="34"/>
      <c r="AQ132" s="34"/>
      <c r="AR132" s="34"/>
      <c r="AS132" s="34"/>
      <c r="AT132" s="35"/>
      <c r="AU132" s="35"/>
      <c r="AV132" s="34"/>
      <c r="AW132" s="35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5"/>
      <c r="BI132" s="34"/>
      <c r="BJ132" s="34"/>
      <c r="BK132" s="34"/>
      <c r="BL132" s="72"/>
      <c r="BM132" s="34"/>
      <c r="BN132" s="34"/>
      <c r="BO132" s="34"/>
      <c r="BP132" s="34"/>
      <c r="BQ132" s="34"/>
      <c r="BR132" s="34"/>
      <c r="BS132" s="34"/>
      <c r="BT132" s="34"/>
      <c r="BU132" s="34"/>
      <c r="BV132" s="37"/>
      <c r="BW132" s="34"/>
      <c r="BX132" s="34"/>
      <c r="BY132" s="34"/>
      <c r="BZ132" s="72"/>
      <c r="CA132" s="72"/>
      <c r="CB132" s="34"/>
      <c r="CC132" s="34"/>
      <c r="CD132" s="34"/>
      <c r="CE132" s="34"/>
      <c r="CF132" s="34"/>
      <c r="CG132" s="34"/>
      <c r="CH132" s="34"/>
      <c r="CI132" s="34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</row>
    <row r="133" spans="1:132" x14ac:dyDescent="0.2">
      <c r="I133" s="30"/>
      <c r="J133" s="30"/>
      <c r="L133" s="30"/>
      <c r="M133" s="32"/>
      <c r="N133" s="30"/>
      <c r="O133" s="33"/>
      <c r="T133" s="38" t="e">
        <f t="shared" si="5"/>
        <v>#DIV/0!</v>
      </c>
      <c r="W133"/>
      <c r="X133"/>
      <c r="Y133"/>
      <c r="Z133"/>
      <c r="AA133"/>
      <c r="AB133"/>
      <c r="AO133"/>
      <c r="AQ133"/>
      <c r="AR133"/>
      <c r="AS133"/>
      <c r="AX133"/>
      <c r="AY133"/>
      <c r="AZ133"/>
      <c r="BA133"/>
      <c r="BB133"/>
      <c r="BC133"/>
      <c r="BD133"/>
      <c r="BE133"/>
      <c r="BF133"/>
      <c r="BG133"/>
    </row>
    <row r="134" spans="1:132" x14ac:dyDescent="0.2">
      <c r="I134" s="30"/>
      <c r="J134" s="30"/>
      <c r="L134" s="30"/>
      <c r="M134" s="32"/>
      <c r="N134" s="30"/>
      <c r="O134" s="33"/>
      <c r="T134" s="38" t="e">
        <f t="shared" si="5"/>
        <v>#DIV/0!</v>
      </c>
      <c r="W134"/>
      <c r="X134"/>
      <c r="Y134"/>
      <c r="Z134"/>
      <c r="AA134"/>
      <c r="AB134"/>
      <c r="AO134"/>
      <c r="AQ134"/>
      <c r="AR134"/>
      <c r="AS134"/>
      <c r="AX134"/>
      <c r="AY134"/>
      <c r="AZ134"/>
      <c r="BA134"/>
      <c r="BB134"/>
      <c r="BC134"/>
      <c r="BD134"/>
      <c r="BE134"/>
      <c r="BF134"/>
      <c r="BG134"/>
    </row>
    <row r="135" spans="1:132" x14ac:dyDescent="0.2">
      <c r="I135" s="30"/>
      <c r="J135" s="30"/>
      <c r="L135" s="30"/>
      <c r="M135" s="32"/>
      <c r="N135" s="30"/>
      <c r="O135" s="33"/>
      <c r="T135" s="38" t="e">
        <f t="shared" si="5"/>
        <v>#DIV/0!</v>
      </c>
      <c r="W135"/>
      <c r="X135"/>
      <c r="Y135"/>
      <c r="Z135"/>
      <c r="AA135"/>
      <c r="AB135"/>
      <c r="AO135"/>
      <c r="AQ135"/>
      <c r="AR135"/>
      <c r="AS135"/>
      <c r="AX135"/>
      <c r="AY135"/>
      <c r="AZ135"/>
      <c r="BA135"/>
      <c r="BB135"/>
      <c r="BC135"/>
      <c r="BD135"/>
      <c r="BE135"/>
      <c r="BF135"/>
      <c r="BG135"/>
    </row>
    <row r="136" spans="1:132" s="36" customFormat="1" x14ac:dyDescent="0.2">
      <c r="D136" s="40"/>
      <c r="E136" s="50"/>
      <c r="H136" s="34"/>
      <c r="I136" s="34"/>
      <c r="J136" s="34"/>
      <c r="K136" s="37"/>
      <c r="L136" s="34"/>
      <c r="M136" s="37"/>
      <c r="N136" s="34"/>
      <c r="O136" s="72"/>
      <c r="P136" s="37"/>
      <c r="Q136" s="37"/>
      <c r="R136" s="37"/>
      <c r="S136" s="37"/>
      <c r="T136" s="38" t="e">
        <f t="shared" si="5"/>
        <v>#DIV/0!</v>
      </c>
      <c r="U136" s="37"/>
      <c r="W136" s="34"/>
      <c r="X136" s="34"/>
      <c r="Y136" s="34"/>
      <c r="Z136" s="35"/>
      <c r="AA136" s="34"/>
      <c r="AB136" s="34"/>
      <c r="AC136" s="34"/>
      <c r="AD136" s="35"/>
      <c r="AE136" s="35"/>
      <c r="AF136" s="34"/>
      <c r="AG136" s="34"/>
      <c r="AH136" s="34"/>
      <c r="AI136" s="34"/>
      <c r="AJ136" s="35"/>
      <c r="AK136" s="35"/>
      <c r="AL136" s="72"/>
      <c r="AM136" s="35"/>
      <c r="AN136" s="35"/>
      <c r="AO136" s="34"/>
      <c r="AP136" s="34"/>
      <c r="AQ136" s="34"/>
      <c r="AR136" s="34"/>
      <c r="AS136" s="34"/>
      <c r="AT136" s="35"/>
      <c r="AU136" s="35"/>
      <c r="AV136"/>
      <c r="AW136" s="35"/>
      <c r="AX136" s="34"/>
      <c r="AY136" s="34"/>
      <c r="AZ136" s="34"/>
      <c r="BA136" s="34"/>
      <c r="BB136" s="34"/>
      <c r="BC136" s="34"/>
      <c r="BD136" s="34"/>
      <c r="BE136"/>
      <c r="BF136"/>
      <c r="BG136"/>
      <c r="BH136" s="31"/>
      <c r="BI136" s="30"/>
      <c r="BJ136"/>
      <c r="BK136"/>
      <c r="BL136" s="33"/>
      <c r="BM136" s="30"/>
      <c r="BN136" s="30"/>
      <c r="BO136" s="30"/>
      <c r="BP136" s="30"/>
      <c r="BQ136"/>
      <c r="BR136"/>
      <c r="BS136"/>
      <c r="BT136"/>
      <c r="BU136"/>
      <c r="BV136" s="32"/>
      <c r="BW136" s="30"/>
      <c r="BX136" s="30"/>
      <c r="BY136" s="34"/>
      <c r="BZ136" s="72"/>
      <c r="CA136" s="72"/>
      <c r="CB136" s="34"/>
      <c r="CC136" s="34"/>
      <c r="CD136" s="34"/>
      <c r="CE136" s="34"/>
      <c r="CF136" s="34"/>
      <c r="CG136" s="34"/>
      <c r="CH136" s="34"/>
      <c r="CI136" s="29"/>
      <c r="CJ136" s="41"/>
      <c r="CK136" s="29"/>
      <c r="CL136" s="29"/>
      <c r="CM136" s="29"/>
      <c r="CN136" s="29"/>
      <c r="CO136" s="29"/>
      <c r="CP136" s="29"/>
      <c r="CQ136" s="29"/>
      <c r="CR136" s="30"/>
      <c r="CS136" s="29"/>
      <c r="CT136" s="29"/>
      <c r="CU136" s="29"/>
      <c r="CV136" s="29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</row>
    <row r="137" spans="1:132" x14ac:dyDescent="0.2">
      <c r="A137" s="36"/>
      <c r="D137" s="2"/>
      <c r="I137" s="30"/>
      <c r="K137" s="3"/>
      <c r="M137" s="32"/>
      <c r="N137" s="30"/>
      <c r="P137" s="3"/>
      <c r="T137" s="38" t="e">
        <f t="shared" si="5"/>
        <v>#DIV/0!</v>
      </c>
      <c r="Z137" s="8"/>
      <c r="AI137" s="6"/>
      <c r="AJ137" s="8"/>
      <c r="AK137" s="6"/>
      <c r="AL137" s="7"/>
      <c r="AM137" s="8"/>
      <c r="AN137" s="8"/>
      <c r="AO137" s="7"/>
      <c r="AP137" s="8"/>
      <c r="AQ137" s="6"/>
      <c r="AR137" s="6"/>
      <c r="AS137" s="6"/>
      <c r="AT137" s="8"/>
      <c r="AU137" s="8"/>
      <c r="AW137" s="8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8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6"/>
      <c r="BV137" s="3"/>
      <c r="BW137" s="6"/>
      <c r="BX137" s="6"/>
      <c r="BY137" s="6"/>
      <c r="BZ137" s="7"/>
      <c r="CA137" s="7"/>
      <c r="CB137" s="7"/>
      <c r="CC137" s="7"/>
      <c r="CD137" s="7"/>
      <c r="CE137" s="6"/>
      <c r="CF137" s="6"/>
      <c r="CG137" s="6"/>
      <c r="CH137" s="6"/>
      <c r="CI137" s="6"/>
    </row>
    <row r="138" spans="1:132" x14ac:dyDescent="0.2">
      <c r="T138" s="38" t="e">
        <f t="shared" si="5"/>
        <v>#DIV/0!</v>
      </c>
    </row>
    <row r="139" spans="1:132" x14ac:dyDescent="0.2">
      <c r="A139" t="s">
        <v>301</v>
      </c>
      <c r="D139" t="s">
        <v>302</v>
      </c>
      <c r="E139" s="31">
        <v>120</v>
      </c>
      <c r="F139" s="33">
        <v>98.611389079999995</v>
      </c>
      <c r="H139" s="34">
        <v>44.240724</v>
      </c>
      <c r="I139" s="34">
        <v>0.21687899999999999</v>
      </c>
      <c r="J139" s="34">
        <v>27.246589999999998</v>
      </c>
      <c r="K139" s="37">
        <v>9.4711680000000006E-2</v>
      </c>
      <c r="L139" s="34">
        <v>4.5799399999999997</v>
      </c>
      <c r="M139" s="37">
        <v>6.58614E-2</v>
      </c>
      <c r="N139" s="34">
        <v>5.2070620000000005</v>
      </c>
      <c r="O139" s="72">
        <v>16.902336000000002</v>
      </c>
      <c r="P139" s="3"/>
      <c r="Q139" s="49"/>
      <c r="R139" s="37">
        <v>5.7285000000000003E-2</v>
      </c>
      <c r="S139" s="37"/>
      <c r="T139" s="38">
        <f t="shared" si="5"/>
        <v>66.960611180019555</v>
      </c>
      <c r="U139" s="37"/>
      <c r="V139" s="36">
        <v>20.68</v>
      </c>
      <c r="W139" s="36">
        <v>0.13</v>
      </c>
      <c r="X139" s="36">
        <v>14.42</v>
      </c>
      <c r="Y139" s="36">
        <v>3.56</v>
      </c>
      <c r="Z139" s="36">
        <v>510</v>
      </c>
      <c r="AA139" s="36">
        <v>3.14</v>
      </c>
      <c r="AB139" s="36">
        <v>12.08</v>
      </c>
      <c r="AD139" s="76"/>
      <c r="AE139" s="35">
        <v>250</v>
      </c>
      <c r="AF139" s="45"/>
      <c r="AG139" s="45"/>
      <c r="AH139" s="8"/>
      <c r="AJ139" s="35">
        <v>648</v>
      </c>
      <c r="AU139" s="46"/>
      <c r="BH139" s="46"/>
      <c r="CH139" s="6"/>
      <c r="CI139" s="29"/>
      <c r="CJ139" s="41"/>
      <c r="CK139" s="29"/>
      <c r="CL139" s="29"/>
      <c r="CM139" s="30"/>
      <c r="CN139" s="29"/>
      <c r="CO139" s="29"/>
      <c r="CP139" s="29"/>
      <c r="CQ139" s="29">
        <v>4.7354113809351214E-2</v>
      </c>
      <c r="CR139" s="30">
        <v>1.1369279946898869</v>
      </c>
      <c r="CS139" s="29">
        <v>1.4380406730219175E-2</v>
      </c>
      <c r="CT139" s="29"/>
      <c r="CU139" s="29"/>
      <c r="CV139" s="29"/>
      <c r="CW139" s="29"/>
      <c r="CX139" s="29"/>
      <c r="CY139" s="29"/>
      <c r="CZ139" s="29"/>
    </row>
    <row r="140" spans="1:132" x14ac:dyDescent="0.2">
      <c r="A140" t="s">
        <v>301</v>
      </c>
      <c r="D140" t="s">
        <v>302</v>
      </c>
      <c r="E140" s="31">
        <v>105.6</v>
      </c>
      <c r="F140" s="33"/>
      <c r="H140" s="6"/>
      <c r="I140" s="265">
        <v>0.20084897193931925</v>
      </c>
      <c r="K140" s="37">
        <v>9.2080800000000004E-2</v>
      </c>
      <c r="L140" s="34">
        <v>4.2969099999999996</v>
      </c>
      <c r="M140" s="37">
        <v>6.58614E-2</v>
      </c>
      <c r="N140" s="265">
        <v>5.203344371405926</v>
      </c>
      <c r="O140" s="72">
        <v>15.3912</v>
      </c>
      <c r="P140" s="37">
        <v>0.34374000000000005</v>
      </c>
      <c r="Q140" s="37">
        <v>4.8183999999999998E-2</v>
      </c>
      <c r="R140" s="45"/>
      <c r="S140" s="45"/>
      <c r="T140" s="38">
        <f t="shared" si="5"/>
        <v>68.340831592334354</v>
      </c>
      <c r="U140" s="45"/>
      <c r="Y140" s="36">
        <v>3.34</v>
      </c>
      <c r="Z140" s="36">
        <v>510</v>
      </c>
      <c r="AB140" s="34">
        <v>11</v>
      </c>
      <c r="AC140" s="36">
        <v>0.255</v>
      </c>
      <c r="AD140" s="35">
        <v>400</v>
      </c>
      <c r="AE140" s="46"/>
      <c r="AF140" s="45"/>
      <c r="AG140" s="45"/>
      <c r="AH140" s="8"/>
      <c r="AI140" s="30">
        <v>7.7</v>
      </c>
      <c r="AJ140" s="35">
        <v>630</v>
      </c>
      <c r="AL140" s="33" t="s">
        <v>1245</v>
      </c>
      <c r="AM140" s="31">
        <v>230</v>
      </c>
      <c r="AN140" s="31">
        <v>40</v>
      </c>
      <c r="AO140" s="33">
        <v>3.8</v>
      </c>
      <c r="AQ140" s="30">
        <v>0.3</v>
      </c>
      <c r="AR140" s="30" t="s">
        <v>1246</v>
      </c>
      <c r="AS140" s="30">
        <v>0.8</v>
      </c>
      <c r="AT140" s="31" t="s">
        <v>311</v>
      </c>
      <c r="AU140" s="76">
        <v>220</v>
      </c>
      <c r="AV140" s="54">
        <v>8.8561913836280599</v>
      </c>
      <c r="AW140" s="31">
        <v>38</v>
      </c>
      <c r="AY140" s="30">
        <v>0.9</v>
      </c>
      <c r="BG140" s="30">
        <v>0.08</v>
      </c>
      <c r="BH140" s="76">
        <v>190</v>
      </c>
      <c r="BI140" s="30">
        <v>2.2999999999999998</v>
      </c>
      <c r="BJ140">
        <v>7.7</v>
      </c>
      <c r="BK140" s="51">
        <v>0.86876571385532775</v>
      </c>
      <c r="BL140" s="33">
        <v>4.4000000000000004</v>
      </c>
      <c r="BM140" s="30">
        <v>1.2</v>
      </c>
      <c r="BN140" s="30">
        <v>0.74</v>
      </c>
      <c r="BO140" s="30">
        <v>1.2</v>
      </c>
      <c r="BP140" s="30">
        <v>0.23</v>
      </c>
      <c r="BQ140" s="33">
        <v>2</v>
      </c>
      <c r="BR140" s="33">
        <v>0.3</v>
      </c>
      <c r="BS140" s="52">
        <v>0.9491224009834951</v>
      </c>
      <c r="BT140" s="53">
        <v>0.13918230277639304</v>
      </c>
      <c r="BU140">
        <v>0.9</v>
      </c>
      <c r="BV140" s="32">
        <v>0.12</v>
      </c>
      <c r="BW140" s="30">
        <v>0.83</v>
      </c>
      <c r="BX140" s="30">
        <v>0.11</v>
      </c>
      <c r="BZ140" s="33">
        <v>11</v>
      </c>
      <c r="CA140" s="33">
        <v>5</v>
      </c>
      <c r="CE140" s="30">
        <v>0.4</v>
      </c>
      <c r="CF140" s="30">
        <v>0.16</v>
      </c>
      <c r="CH140" s="6"/>
      <c r="CI140" s="29">
        <v>1.4903683445945384</v>
      </c>
      <c r="CJ140" s="41">
        <v>1.3551722346972075</v>
      </c>
      <c r="CK140" s="29">
        <v>1.2796498138905534</v>
      </c>
      <c r="CL140" s="29"/>
      <c r="CM140" s="30">
        <v>0.33333333333333337</v>
      </c>
      <c r="CN140" s="29">
        <v>0.13333333333333333</v>
      </c>
      <c r="CO140" s="29"/>
      <c r="CP140" s="29"/>
      <c r="CQ140" s="29"/>
      <c r="CR140" s="30"/>
      <c r="CS140" s="29">
        <v>1.5327619149574929E-2</v>
      </c>
      <c r="CT140" s="29"/>
      <c r="CU140" s="29"/>
      <c r="CV140" s="29"/>
      <c r="CW140" s="29"/>
      <c r="CX140" s="29"/>
      <c r="CY140" s="29"/>
      <c r="CZ140" s="29"/>
    </row>
    <row r="141" spans="1:132" x14ac:dyDescent="0.2">
      <c r="A141" t="s">
        <v>301</v>
      </c>
      <c r="D141" t="s">
        <v>302</v>
      </c>
      <c r="E141" s="31">
        <v>123.07</v>
      </c>
      <c r="F141" s="33"/>
      <c r="H141" s="6"/>
      <c r="I141" s="265">
        <v>0.20986913534976775</v>
      </c>
      <c r="K141" s="37">
        <v>9.3396240000000005E-2</v>
      </c>
      <c r="L141" s="34">
        <v>4.4898850000000001</v>
      </c>
      <c r="M141" s="37">
        <v>6.9219040000000009E-2</v>
      </c>
      <c r="N141" s="265">
        <v>5.4370275018582888</v>
      </c>
      <c r="O141" s="72">
        <v>17.070239999999998</v>
      </c>
      <c r="P141" s="37">
        <v>0.36261200000000005</v>
      </c>
      <c r="Q141" s="37">
        <v>5.9025399999999992E-2</v>
      </c>
      <c r="R141" s="45"/>
      <c r="S141" s="45"/>
      <c r="T141" s="38">
        <f t="shared" si="5"/>
        <v>68.340831592334354</v>
      </c>
      <c r="U141" s="45"/>
      <c r="Y141" s="36">
        <v>3.49</v>
      </c>
      <c r="Z141" s="36">
        <v>536</v>
      </c>
      <c r="AB141" s="36">
        <v>12.2</v>
      </c>
      <c r="AC141" s="36">
        <v>0.26900000000000002</v>
      </c>
      <c r="AD141" s="35">
        <v>490</v>
      </c>
      <c r="AE141" s="46"/>
      <c r="AF141" s="45"/>
      <c r="AG141" s="45"/>
      <c r="AH141" s="8">
        <v>370</v>
      </c>
      <c r="AI141" s="30">
        <v>7.99</v>
      </c>
      <c r="AJ141" s="35">
        <v>639</v>
      </c>
      <c r="AL141" s="33">
        <v>22</v>
      </c>
      <c r="AM141" s="31">
        <v>310</v>
      </c>
      <c r="AN141" s="31">
        <v>33</v>
      </c>
      <c r="AO141" s="33">
        <v>4.7</v>
      </c>
      <c r="AQ141" s="30">
        <v>0.53</v>
      </c>
      <c r="AR141" s="30" t="s">
        <v>310</v>
      </c>
      <c r="AS141" s="30">
        <v>1.22</v>
      </c>
      <c r="AT141" s="31" t="s">
        <v>732</v>
      </c>
      <c r="AU141" s="76">
        <v>270</v>
      </c>
      <c r="AV141" s="54">
        <v>8.9380527744802389</v>
      </c>
      <c r="AW141" s="31">
        <v>30</v>
      </c>
      <c r="AY141" s="30">
        <v>0.87</v>
      </c>
      <c r="BG141" s="30">
        <v>0.15</v>
      </c>
      <c r="BH141" s="76">
        <v>390</v>
      </c>
      <c r="BI141" s="30">
        <v>2.57</v>
      </c>
      <c r="BJ141">
        <v>6.8</v>
      </c>
      <c r="BK141" s="51">
        <v>0.72907012625406475</v>
      </c>
      <c r="BL141" s="33">
        <v>3.2</v>
      </c>
      <c r="BM141" s="30">
        <v>1.0900000000000001</v>
      </c>
      <c r="BN141" s="30">
        <v>0.72499999999999998</v>
      </c>
      <c r="BO141" s="51">
        <v>1.311397608923573</v>
      </c>
      <c r="BP141" s="30">
        <v>0.24</v>
      </c>
      <c r="BQ141" s="33">
        <v>1.5</v>
      </c>
      <c r="BR141" s="33">
        <v>0.3</v>
      </c>
      <c r="BS141" s="52">
        <v>0.96674974587396234</v>
      </c>
      <c r="BT141" s="53">
        <v>0.14279881548575452</v>
      </c>
      <c r="BU141">
        <v>0.93</v>
      </c>
      <c r="BV141" s="32">
        <v>0.13</v>
      </c>
      <c r="BW141" s="30">
        <v>0.87</v>
      </c>
      <c r="BX141" s="30">
        <v>0.11</v>
      </c>
      <c r="BZ141" s="33">
        <v>13</v>
      </c>
      <c r="CA141" s="33">
        <v>3.8</v>
      </c>
      <c r="CE141" s="30">
        <v>0.46</v>
      </c>
      <c r="CF141" s="30">
        <v>0.26</v>
      </c>
      <c r="CH141" s="6"/>
      <c r="CI141" s="29">
        <v>1.2461056216849755</v>
      </c>
      <c r="CJ141" s="41">
        <v>1.3501887973952929</v>
      </c>
      <c r="CK141" s="29">
        <v>1.3378984076904505</v>
      </c>
      <c r="CL141" s="29"/>
      <c r="CM141" s="30">
        <v>0.42201834862385318</v>
      </c>
      <c r="CN141" s="29">
        <v>0.2385321100917431</v>
      </c>
      <c r="CO141" s="29"/>
      <c r="CP141" s="29"/>
      <c r="CQ141" s="29"/>
      <c r="CR141" s="30"/>
      <c r="CS141" s="29">
        <v>1.5416662119408404E-2</v>
      </c>
      <c r="CT141" s="29"/>
      <c r="CU141" s="29"/>
      <c r="CV141" s="29"/>
      <c r="CW141" s="29"/>
      <c r="CX141" s="29"/>
      <c r="CY141" s="29"/>
      <c r="CZ141" s="29"/>
    </row>
    <row r="142" spans="1:132" x14ac:dyDescent="0.2">
      <c r="A142" t="s">
        <v>301</v>
      </c>
      <c r="D142" s="40" t="s">
        <v>705</v>
      </c>
      <c r="E142" s="31">
        <v>105</v>
      </c>
      <c r="F142" s="33">
        <v>98.856295200000005</v>
      </c>
      <c r="H142" s="6">
        <v>44.28351</v>
      </c>
      <c r="I142" s="6">
        <v>0.22355220000000003</v>
      </c>
      <c r="J142" s="6">
        <v>27.397750000000002</v>
      </c>
      <c r="K142" s="49">
        <v>9.6465600000000012E-2</v>
      </c>
      <c r="L142" s="6">
        <v>4.5027499999999998</v>
      </c>
      <c r="M142" s="3">
        <v>6.0686400000000001E-2</v>
      </c>
      <c r="N142" s="6">
        <v>5.5055560000000003</v>
      </c>
      <c r="O142" s="7">
        <v>16.370639999999998</v>
      </c>
      <c r="P142" s="3">
        <v>0.349132</v>
      </c>
      <c r="Q142" s="49">
        <v>6.6253000000000006E-2</v>
      </c>
      <c r="R142" s="3"/>
      <c r="S142" s="6"/>
      <c r="T142" s="38">
        <f t="shared" si="5"/>
        <v>68.549552431725061</v>
      </c>
      <c r="U142" s="6"/>
      <c r="Z142" s="8">
        <v>470</v>
      </c>
      <c r="AD142" s="31">
        <v>550</v>
      </c>
      <c r="AE142" s="8"/>
      <c r="AF142" s="45"/>
      <c r="AG142" s="45"/>
      <c r="AH142" s="8"/>
      <c r="AI142" s="6">
        <v>8.4</v>
      </c>
      <c r="AJ142" s="8">
        <v>660</v>
      </c>
      <c r="AK142" s="7"/>
      <c r="AL142" s="7">
        <v>22.2</v>
      </c>
      <c r="AM142" s="8">
        <v>230</v>
      </c>
      <c r="AN142" s="8"/>
      <c r="AO142" s="7">
        <v>4.4000000000000004</v>
      </c>
      <c r="AQ142" s="6" t="s">
        <v>706</v>
      </c>
      <c r="AS142" s="7">
        <v>5.5</v>
      </c>
      <c r="AU142" s="8">
        <v>176</v>
      </c>
      <c r="AV142" s="54">
        <v>10.286646955464207</v>
      </c>
      <c r="AW142" s="8">
        <v>37</v>
      </c>
      <c r="AY142" s="6"/>
      <c r="BD142" s="30" t="s">
        <v>707</v>
      </c>
      <c r="BG142" s="6">
        <v>0.122</v>
      </c>
      <c r="BH142" s="8">
        <v>240</v>
      </c>
      <c r="BI142" s="6">
        <v>2.65</v>
      </c>
      <c r="BJ142" s="7">
        <v>6.6</v>
      </c>
      <c r="BK142" s="51">
        <v>0.88295742211924588</v>
      </c>
      <c r="BL142" s="7">
        <v>4.2</v>
      </c>
      <c r="BM142" s="6">
        <v>1.22</v>
      </c>
      <c r="BN142" s="6">
        <v>0.86</v>
      </c>
      <c r="BO142" s="51">
        <v>1.4222028146428529</v>
      </c>
      <c r="BP142" s="6">
        <v>0.25</v>
      </c>
      <c r="BQ142" s="6">
        <v>1.81</v>
      </c>
      <c r="BR142" s="6">
        <v>0.37</v>
      </c>
      <c r="BS142" s="52">
        <v>1.0382344557263714</v>
      </c>
      <c r="BT142" s="53">
        <v>0.1534484766039092</v>
      </c>
      <c r="BU142" s="6">
        <v>1</v>
      </c>
      <c r="BV142" s="3">
        <v>0.14299999999999999</v>
      </c>
      <c r="BW142" s="6">
        <v>0.87</v>
      </c>
      <c r="BX142" s="6">
        <v>0.13</v>
      </c>
      <c r="BZ142" s="7">
        <v>10.4</v>
      </c>
      <c r="CA142" s="7">
        <v>7</v>
      </c>
      <c r="CE142" s="6">
        <v>0.38</v>
      </c>
      <c r="CF142" s="6">
        <v>6.9000000000000006E-2</v>
      </c>
      <c r="CG142" s="6"/>
      <c r="CH142" s="6"/>
      <c r="CI142" s="29">
        <v>1.4412403780285625</v>
      </c>
      <c r="CJ142" s="41">
        <v>1.4405451329812897</v>
      </c>
      <c r="CK142" s="29">
        <v>1.3848229329187063</v>
      </c>
      <c r="CL142" s="29"/>
      <c r="CM142" s="30">
        <v>0.31147540983606559</v>
      </c>
      <c r="CN142" s="29">
        <v>5.6557377049180332E-2</v>
      </c>
      <c r="CQ142" s="29">
        <v>4.9647926267281116E-2</v>
      </c>
      <c r="CR142" s="30">
        <v>1.2227096774193549</v>
      </c>
      <c r="CS142" s="29">
        <v>1.3477630337016268E-2</v>
      </c>
      <c r="CT142" s="29"/>
      <c r="CU142" s="29"/>
      <c r="CV142" s="29"/>
      <c r="CW142" s="29"/>
      <c r="CX142" s="29"/>
      <c r="CY142" s="29"/>
      <c r="CZ142" s="29"/>
    </row>
    <row r="143" spans="1:132" x14ac:dyDescent="0.2">
      <c r="A143" t="s">
        <v>373</v>
      </c>
      <c r="D143" s="32">
        <v>329.01</v>
      </c>
      <c r="E143" s="31">
        <v>34.03</v>
      </c>
      <c r="I143" s="265">
        <v>0.2052002454818955</v>
      </c>
      <c r="K143" s="3">
        <v>9.3103920000000007E-2</v>
      </c>
      <c r="L143" s="30">
        <v>4.3899999999999997</v>
      </c>
      <c r="M143" s="396">
        <v>6.2463404407356843E-2</v>
      </c>
      <c r="N143" s="265">
        <v>5.3160717330528255</v>
      </c>
      <c r="O143" s="33">
        <v>16.559999999999999</v>
      </c>
      <c r="P143" s="32">
        <v>0.35</v>
      </c>
      <c r="Q143" s="32">
        <v>4.9000000000000002E-2</v>
      </c>
      <c r="T143" s="38">
        <f t="shared" si="5"/>
        <v>68.340831592334354</v>
      </c>
      <c r="AI143" s="30">
        <v>7.57</v>
      </c>
      <c r="AJ143" s="31">
        <v>637</v>
      </c>
      <c r="AL143" s="33">
        <v>20.9</v>
      </c>
      <c r="AM143" s="31">
        <v>263</v>
      </c>
      <c r="AN143" s="31">
        <v>28.4</v>
      </c>
      <c r="AQ143">
        <v>0.62</v>
      </c>
      <c r="AS143" s="30">
        <v>1.38</v>
      </c>
      <c r="AT143" s="31">
        <v>2.2000000000000002</v>
      </c>
      <c r="AU143" s="31">
        <v>205</v>
      </c>
      <c r="AV143" s="54">
        <v>8.0843804994240838</v>
      </c>
      <c r="AW143" s="8">
        <v>28</v>
      </c>
      <c r="BD143" s="2">
        <v>2.1000000000000001E-2</v>
      </c>
      <c r="BG143">
        <v>4.8000000000000001E-2</v>
      </c>
      <c r="BH143" s="31">
        <v>143</v>
      </c>
      <c r="BI143" s="30">
        <v>2.0499999999999998</v>
      </c>
      <c r="BJ143" s="33">
        <v>5.48</v>
      </c>
      <c r="BK143" s="51">
        <v>0.66198887791027206</v>
      </c>
      <c r="BL143" s="33">
        <v>3.1</v>
      </c>
      <c r="BM143" s="30">
        <v>0.95399999999999996</v>
      </c>
      <c r="BN143" s="30">
        <v>0.73799999999999999</v>
      </c>
      <c r="BO143" s="51">
        <v>1.1047525947200041</v>
      </c>
      <c r="BP143" s="30">
        <v>0.193</v>
      </c>
      <c r="BQ143" s="74">
        <v>1.3121698283562697</v>
      </c>
      <c r="BR143" s="74">
        <v>0.29222568628013051</v>
      </c>
      <c r="BS143" s="52">
        <v>0.81194123236790017</v>
      </c>
      <c r="BT143" s="53">
        <v>0.12022837056902923</v>
      </c>
      <c r="BU143">
        <v>0.78500000000000003</v>
      </c>
      <c r="BV143" s="32">
        <v>0.1164</v>
      </c>
      <c r="BW143" s="30">
        <v>0.70899999999999996</v>
      </c>
      <c r="BX143" s="30">
        <v>9.4E-2</v>
      </c>
      <c r="BY143" s="30">
        <v>0</v>
      </c>
      <c r="BZ143" s="33">
        <v>11.4</v>
      </c>
      <c r="CA143" s="79">
        <v>67.099999999999994</v>
      </c>
      <c r="CE143" s="30">
        <v>0.35299999999999998</v>
      </c>
      <c r="CF143" s="30">
        <v>0.16</v>
      </c>
      <c r="CG143" s="30"/>
      <c r="CI143" s="29">
        <v>1.1318716640777766</v>
      </c>
      <c r="CJ143" s="41">
        <v>1.1168674202516806</v>
      </c>
      <c r="CK143" s="29">
        <v>1.065518699830555</v>
      </c>
      <c r="CL143" s="29"/>
      <c r="CM143" s="30">
        <v>0.37002096436058701</v>
      </c>
      <c r="CN143" s="29">
        <v>0.16771488469601678</v>
      </c>
      <c r="CO143" s="29"/>
      <c r="CP143" s="29"/>
      <c r="CQ143" s="29"/>
      <c r="CR143" s="30"/>
      <c r="CS143" s="29"/>
      <c r="CT143" s="29"/>
      <c r="CU143" s="29"/>
      <c r="CV143" s="29"/>
      <c r="CW143" s="29"/>
      <c r="CX143" s="29"/>
      <c r="CY143" s="29"/>
      <c r="CZ143" s="29"/>
    </row>
    <row r="144" spans="1:132" x14ac:dyDescent="0.2">
      <c r="A144" t="s">
        <v>374</v>
      </c>
      <c r="D144" s="32">
        <v>329.01100000000002</v>
      </c>
      <c r="E144" s="31">
        <v>12.9</v>
      </c>
      <c r="I144" s="265">
        <v>0.20426539242730829</v>
      </c>
      <c r="K144" s="3">
        <v>9.456552E-2</v>
      </c>
      <c r="L144" s="30">
        <v>4.37</v>
      </c>
      <c r="M144" s="396">
        <v>6.2178833088872308E-2</v>
      </c>
      <c r="N144" s="265">
        <v>5.2918527274352734</v>
      </c>
      <c r="O144" s="33">
        <v>16.899999999999999</v>
      </c>
      <c r="P144" s="32">
        <v>0.34499999999999997</v>
      </c>
      <c r="Q144" s="32">
        <v>4.9000000000000002E-2</v>
      </c>
      <c r="T144" s="38">
        <f t="shared" si="5"/>
        <v>68.340831592334368</v>
      </c>
      <c r="AI144" s="30">
        <v>7.94</v>
      </c>
      <c r="AJ144" s="31">
        <v>647</v>
      </c>
      <c r="AL144" s="33">
        <v>17.98</v>
      </c>
      <c r="AM144" s="31">
        <v>187</v>
      </c>
      <c r="AN144" s="31">
        <v>34.299999999999997</v>
      </c>
      <c r="AQ144">
        <v>0.41</v>
      </c>
      <c r="AS144" s="30">
        <v>1.28</v>
      </c>
      <c r="AT144" s="31">
        <v>2.6</v>
      </c>
      <c r="AU144" s="31">
        <v>194</v>
      </c>
      <c r="AV144" s="54">
        <v>9.6447289968348873</v>
      </c>
      <c r="AW144" s="8">
        <v>25</v>
      </c>
      <c r="BD144" s="2">
        <v>1.6E-2</v>
      </c>
      <c r="BG144">
        <v>5.2999999999999999E-2</v>
      </c>
      <c r="BH144" s="31">
        <v>168</v>
      </c>
      <c r="BI144" s="30">
        <v>2.63</v>
      </c>
      <c r="BJ144" s="33">
        <v>6.74</v>
      </c>
      <c r="BK144" s="51">
        <v>0.79471582298185584</v>
      </c>
      <c r="BL144" s="33">
        <v>3.6</v>
      </c>
      <c r="BM144" s="30">
        <v>1.177</v>
      </c>
      <c r="BN144" s="30">
        <v>0.77700000000000002</v>
      </c>
      <c r="BO144" s="51">
        <v>1.3639936532801356</v>
      </c>
      <c r="BP144" s="30">
        <v>0.23899999999999999</v>
      </c>
      <c r="BQ144" s="74">
        <v>1.5882786771657549</v>
      </c>
      <c r="BR144" s="74">
        <v>0.35032006739088906</v>
      </c>
      <c r="BS144" s="52">
        <v>0.96397225566279099</v>
      </c>
      <c r="BT144" s="53">
        <v>0.14135902403183456</v>
      </c>
      <c r="BU144">
        <v>0.91400000000000003</v>
      </c>
      <c r="BV144" s="32">
        <v>0.1338</v>
      </c>
      <c r="BW144" s="30">
        <v>0.81399999999999995</v>
      </c>
      <c r="BX144" s="30">
        <v>0.112</v>
      </c>
      <c r="BY144" s="30">
        <v>0.14000000000000001</v>
      </c>
      <c r="BZ144" s="33">
        <v>8.1999999999999993</v>
      </c>
      <c r="CA144" s="79">
        <v>46.9</v>
      </c>
      <c r="CE144" s="30">
        <v>0.39300000000000002</v>
      </c>
      <c r="CF144" s="30">
        <v>0.23699999999999999</v>
      </c>
      <c r="CG144" s="30"/>
      <c r="CI144" s="29">
        <v>1.374788074109214</v>
      </c>
      <c r="CJ144" s="41">
        <v>1.3813527786992115</v>
      </c>
      <c r="CK144" s="29">
        <v>1.335840107031981</v>
      </c>
      <c r="CL144" s="29"/>
      <c r="CM144" s="30">
        <v>0.33389974511469839</v>
      </c>
      <c r="CN144" s="29">
        <v>0.20135938827527611</v>
      </c>
      <c r="CO144" s="29"/>
      <c r="CP144" s="29"/>
      <c r="CQ144" s="29"/>
      <c r="CR144" s="30"/>
      <c r="CS144" s="29"/>
      <c r="CT144" s="29"/>
      <c r="CU144" s="29"/>
      <c r="CV144" s="29"/>
      <c r="CW144" s="29"/>
      <c r="CX144" s="29"/>
      <c r="CY144" s="29"/>
      <c r="CZ144" s="29"/>
    </row>
    <row r="145" spans="1:132" x14ac:dyDescent="0.2">
      <c r="T145" s="38" t="e">
        <f t="shared" si="5"/>
        <v>#DIV/0!</v>
      </c>
      <c r="CQ145" s="29"/>
      <c r="CR145" s="30"/>
      <c r="CW145" s="29"/>
      <c r="CX145" s="29"/>
      <c r="CY145" s="29"/>
      <c r="CZ145" s="29"/>
    </row>
    <row r="146" spans="1:132" x14ac:dyDescent="0.2">
      <c r="A146" t="s">
        <v>1476</v>
      </c>
      <c r="D146" t="s">
        <v>1247</v>
      </c>
      <c r="F146" s="33">
        <v>98.611389079999995</v>
      </c>
      <c r="H146" s="30">
        <v>44.240724</v>
      </c>
      <c r="I146" s="30">
        <v>0.21687899999999999</v>
      </c>
      <c r="J146" s="30">
        <v>27.246589999999998</v>
      </c>
      <c r="K146" s="32">
        <v>9.4711680000000006E-2</v>
      </c>
      <c r="L146" s="30">
        <v>4.5799399999999997</v>
      </c>
      <c r="M146" s="32">
        <v>6.58614E-2</v>
      </c>
      <c r="N146" s="30">
        <v>5.2070620000000005</v>
      </c>
      <c r="O146" s="33">
        <v>16.902336000000002</v>
      </c>
      <c r="R146" s="32">
        <v>5.7285000000000003E-2</v>
      </c>
      <c r="S146" s="30"/>
      <c r="T146" s="38">
        <f t="shared" si="5"/>
        <v>66.960611180019555</v>
      </c>
      <c r="U146" s="30"/>
      <c r="V146" s="33">
        <v>20.68</v>
      </c>
      <c r="W146" s="33">
        <v>0.13</v>
      </c>
      <c r="X146" s="33">
        <v>14.42</v>
      </c>
      <c r="Y146" s="30">
        <v>3.56</v>
      </c>
      <c r="Z146" s="31">
        <v>510</v>
      </c>
      <c r="AA146" s="30">
        <v>3.14</v>
      </c>
      <c r="AB146" s="33">
        <v>12.08</v>
      </c>
      <c r="AC146" s="32"/>
      <c r="AD146" s="33"/>
      <c r="AE146" s="31">
        <v>250</v>
      </c>
      <c r="AF146" s="33"/>
      <c r="AG146" s="33"/>
      <c r="AH146" s="33"/>
      <c r="AJ146" s="31">
        <v>648</v>
      </c>
      <c r="AK146" s="33"/>
      <c r="AP146" s="33"/>
      <c r="AQ146" s="33"/>
      <c r="AR146" s="33"/>
      <c r="AS146" s="33"/>
      <c r="AV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J146" s="33"/>
      <c r="BK146" s="33"/>
      <c r="BQ146" s="33"/>
      <c r="BR146" s="33"/>
      <c r="BS146" s="33"/>
      <c r="BT146" s="33"/>
      <c r="BU146" s="33"/>
      <c r="BY146" s="33"/>
      <c r="CB146" s="33"/>
      <c r="CC146" s="33"/>
      <c r="CD146" s="33"/>
      <c r="CG146" s="6"/>
      <c r="CH146" s="6"/>
      <c r="CQ146" s="29">
        <v>4.7354113809351214E-2</v>
      </c>
      <c r="CR146" s="30">
        <v>1.1369279946898869</v>
      </c>
      <c r="CS146" s="29">
        <v>1.4380406730219175E-2</v>
      </c>
      <c r="CT146" s="29"/>
      <c r="CU146" s="29"/>
      <c r="CV146" s="29"/>
      <c r="CW146" s="29"/>
      <c r="CX146" s="29"/>
      <c r="CY146" s="29"/>
      <c r="CZ146" s="29"/>
    </row>
    <row r="147" spans="1:132" x14ac:dyDescent="0.2">
      <c r="A147" t="s">
        <v>1476</v>
      </c>
      <c r="D147" t="s">
        <v>1247</v>
      </c>
      <c r="F147" s="33"/>
      <c r="I147" s="265">
        <v>0.20084897193931925</v>
      </c>
      <c r="J147" s="395">
        <v>29.116782878440784</v>
      </c>
      <c r="K147" s="32">
        <v>9.2080800000000004E-2</v>
      </c>
      <c r="L147" s="30">
        <v>4.2969099999999996</v>
      </c>
      <c r="M147" s="32">
        <v>6.58614E-2</v>
      </c>
      <c r="N147" s="265">
        <v>5.203344371405926</v>
      </c>
      <c r="O147" s="33"/>
      <c r="P147" s="32">
        <v>0.34374000000000005</v>
      </c>
      <c r="Q147" s="32">
        <v>4.8183999999999998E-2</v>
      </c>
      <c r="S147" s="33"/>
      <c r="T147" s="38">
        <f t="shared" si="5"/>
        <v>68.340831592334354</v>
      </c>
      <c r="U147" s="33"/>
      <c r="V147" s="33"/>
      <c r="W147" s="33"/>
      <c r="X147" s="33"/>
      <c r="Y147" s="30">
        <v>3.34</v>
      </c>
      <c r="Z147" s="31">
        <v>510</v>
      </c>
      <c r="AA147" s="33"/>
      <c r="AB147" s="33">
        <v>11</v>
      </c>
      <c r="AC147" s="32">
        <v>0.255</v>
      </c>
      <c r="AD147" s="31">
        <v>400</v>
      </c>
      <c r="AE147" s="33"/>
      <c r="AF147" s="33"/>
      <c r="AG147" s="33"/>
      <c r="AH147" s="33"/>
      <c r="AI147" s="30">
        <v>7.7</v>
      </c>
      <c r="AJ147" s="31">
        <v>630</v>
      </c>
      <c r="AK147" s="33"/>
      <c r="AL147" s="33" t="s">
        <v>1245</v>
      </c>
      <c r="AM147" s="31">
        <v>230</v>
      </c>
      <c r="AN147" s="31">
        <v>40</v>
      </c>
      <c r="AO147" s="33">
        <v>3.8</v>
      </c>
      <c r="AP147" s="33"/>
      <c r="AQ147" s="33">
        <v>0.3</v>
      </c>
      <c r="AR147" s="33" t="s">
        <v>1246</v>
      </c>
      <c r="AS147" s="33">
        <v>0.8</v>
      </c>
      <c r="AT147" s="31" t="s">
        <v>311</v>
      </c>
      <c r="AU147" s="31">
        <v>220</v>
      </c>
      <c r="AV147" s="33">
        <v>8.8561913836280599</v>
      </c>
      <c r="AW147" s="31">
        <v>38</v>
      </c>
      <c r="AX147" s="33"/>
      <c r="AY147" s="33"/>
      <c r="AZ147" s="33"/>
      <c r="BA147" s="33"/>
      <c r="BB147" s="33"/>
      <c r="BC147" s="33"/>
      <c r="BD147" s="33"/>
      <c r="BE147" s="33"/>
      <c r="BF147" s="33"/>
      <c r="BG147" s="30">
        <v>0.08</v>
      </c>
      <c r="BH147" s="31">
        <v>190</v>
      </c>
      <c r="BI147" s="30">
        <v>2.2999999999999998</v>
      </c>
      <c r="BJ147" s="33">
        <v>7.7</v>
      </c>
      <c r="BK147" s="33">
        <v>0.86876571385532775</v>
      </c>
      <c r="BL147" s="33">
        <v>4.4000000000000004</v>
      </c>
      <c r="BM147" s="30">
        <v>1.2</v>
      </c>
      <c r="BN147" s="30">
        <v>0.74</v>
      </c>
      <c r="BO147" s="30">
        <v>1.2</v>
      </c>
      <c r="BP147" s="30">
        <v>0.23</v>
      </c>
      <c r="BQ147" s="33">
        <v>2</v>
      </c>
      <c r="BR147" s="33">
        <v>0.3</v>
      </c>
      <c r="BS147" s="33">
        <v>0.9491224009834951</v>
      </c>
      <c r="BT147" s="33">
        <v>0.13918230277639304</v>
      </c>
      <c r="BU147" s="30">
        <v>0.9</v>
      </c>
      <c r="BV147" s="32">
        <v>0.12</v>
      </c>
      <c r="BW147" s="30">
        <v>0.83</v>
      </c>
      <c r="BX147" s="30">
        <v>0.11</v>
      </c>
      <c r="BY147" s="33"/>
      <c r="BZ147" s="33">
        <v>11</v>
      </c>
      <c r="CA147" s="33">
        <v>5</v>
      </c>
      <c r="CB147" s="33"/>
      <c r="CC147" s="33"/>
      <c r="CD147" s="33"/>
      <c r="CE147" s="30">
        <v>0.4</v>
      </c>
      <c r="CF147" s="30">
        <v>0.16</v>
      </c>
      <c r="CG147" s="6"/>
      <c r="CH147" s="6"/>
      <c r="CQ147" s="29"/>
      <c r="CR147" s="30"/>
      <c r="CS147" s="29"/>
      <c r="CT147" s="29"/>
      <c r="CU147" s="29"/>
      <c r="CV147" s="29"/>
      <c r="CW147" s="29"/>
      <c r="CX147" s="29"/>
      <c r="CY147" s="29"/>
      <c r="CZ147" s="29"/>
    </row>
    <row r="148" spans="1:132" x14ac:dyDescent="0.2">
      <c r="A148" t="s">
        <v>1476</v>
      </c>
      <c r="D148" t="s">
        <v>1247</v>
      </c>
      <c r="F148" s="33"/>
      <c r="I148" s="265">
        <v>0.20986913534976775</v>
      </c>
      <c r="J148" s="395">
        <v>28.826770559586691</v>
      </c>
      <c r="K148" s="32">
        <v>9.3396240000000005E-2</v>
      </c>
      <c r="L148" s="30">
        <v>4.4898850000000001</v>
      </c>
      <c r="M148" s="32">
        <v>6.9219040000000009E-2</v>
      </c>
      <c r="N148" s="265">
        <v>5.4370275018582888</v>
      </c>
      <c r="O148" s="33">
        <v>17.070239999999998</v>
      </c>
      <c r="P148" s="32">
        <v>0.36261200000000005</v>
      </c>
      <c r="Q148" s="32">
        <v>5.9025399999999992E-2</v>
      </c>
      <c r="S148" s="33"/>
      <c r="T148" s="38">
        <f t="shared" si="5"/>
        <v>68.340831592334354</v>
      </c>
      <c r="U148" s="33"/>
      <c r="V148" s="33"/>
      <c r="W148" s="33"/>
      <c r="X148" s="33"/>
      <c r="Y148" s="30">
        <v>3.49</v>
      </c>
      <c r="Z148" s="31">
        <v>536</v>
      </c>
      <c r="AA148" s="33"/>
      <c r="AB148" s="33">
        <v>12.2</v>
      </c>
      <c r="AC148" s="32">
        <v>0.26900000000000002</v>
      </c>
      <c r="AD148" s="31">
        <v>490</v>
      </c>
      <c r="AE148" s="33"/>
      <c r="AF148" s="33"/>
      <c r="AG148" s="33"/>
      <c r="AH148" s="31">
        <v>370</v>
      </c>
      <c r="AI148" s="30">
        <v>7.99</v>
      </c>
      <c r="AJ148" s="31">
        <v>639</v>
      </c>
      <c r="AK148" s="33"/>
      <c r="AL148" s="33">
        <v>22</v>
      </c>
      <c r="AM148" s="31">
        <v>310</v>
      </c>
      <c r="AN148" s="31">
        <v>33</v>
      </c>
      <c r="AO148" s="33">
        <v>4.7</v>
      </c>
      <c r="AP148" s="33"/>
      <c r="AQ148" s="33">
        <v>0.53</v>
      </c>
      <c r="AR148" s="33" t="s">
        <v>310</v>
      </c>
      <c r="AS148" s="33">
        <v>1.22</v>
      </c>
      <c r="AT148" s="31" t="s">
        <v>732</v>
      </c>
      <c r="AU148" s="31">
        <v>270</v>
      </c>
      <c r="AV148" s="33">
        <v>8.9380527744802389</v>
      </c>
      <c r="AW148" s="31">
        <v>30</v>
      </c>
      <c r="AX148" s="33"/>
      <c r="AY148" s="33"/>
      <c r="AZ148" s="33"/>
      <c r="BA148" s="33"/>
      <c r="BB148" s="33"/>
      <c r="BC148" s="33"/>
      <c r="BD148" s="33"/>
      <c r="BE148" s="33"/>
      <c r="BF148" s="33"/>
      <c r="BG148" s="30">
        <v>0.15</v>
      </c>
      <c r="BH148" s="31">
        <v>390</v>
      </c>
      <c r="BI148" s="30">
        <v>2.57</v>
      </c>
      <c r="BJ148" s="33">
        <v>6.8</v>
      </c>
      <c r="BK148" s="33">
        <v>0.72907012625406475</v>
      </c>
      <c r="BL148" s="33">
        <v>3.2</v>
      </c>
      <c r="BM148" s="30">
        <v>1.0900000000000001</v>
      </c>
      <c r="BN148" s="30">
        <v>0.72499999999999998</v>
      </c>
      <c r="BO148" s="30">
        <v>1.311397608923573</v>
      </c>
      <c r="BP148" s="30">
        <v>0.24</v>
      </c>
      <c r="BQ148" s="33">
        <v>1.5</v>
      </c>
      <c r="BR148" s="33">
        <v>0.3</v>
      </c>
      <c r="BS148" s="33">
        <v>0.96674974587396234</v>
      </c>
      <c r="BT148" s="33">
        <v>0.14279881548575452</v>
      </c>
      <c r="BU148" s="30">
        <v>0.93</v>
      </c>
      <c r="BV148" s="32">
        <v>0.13</v>
      </c>
      <c r="BW148" s="30">
        <v>0.87</v>
      </c>
      <c r="BX148" s="30">
        <v>0.11</v>
      </c>
      <c r="BY148" s="33"/>
      <c r="BZ148" s="33">
        <v>13</v>
      </c>
      <c r="CA148" s="33">
        <v>3.8</v>
      </c>
      <c r="CB148" s="33"/>
      <c r="CC148" s="33"/>
      <c r="CD148" s="33"/>
      <c r="CE148" s="30">
        <v>0.46</v>
      </c>
      <c r="CF148" s="30">
        <v>0.26</v>
      </c>
      <c r="CG148" s="6"/>
      <c r="CH148" s="6"/>
      <c r="CQ148" s="29"/>
      <c r="CR148" s="30"/>
      <c r="CS148" s="29"/>
      <c r="CT148" s="29"/>
      <c r="CU148" s="29"/>
      <c r="CV148" s="29"/>
      <c r="CW148" s="29"/>
      <c r="CX148" s="29"/>
      <c r="CY148" s="29"/>
      <c r="CZ148" s="29"/>
    </row>
    <row r="149" spans="1:132" x14ac:dyDescent="0.2">
      <c r="A149" t="s">
        <v>1476</v>
      </c>
      <c r="D149" s="50" t="s">
        <v>946</v>
      </c>
      <c r="E149">
        <v>126</v>
      </c>
      <c r="F149" s="33">
        <v>99.335127200000002</v>
      </c>
      <c r="H149" s="6">
        <v>44.28351</v>
      </c>
      <c r="I149" s="6">
        <v>0.250245</v>
      </c>
      <c r="J149" s="6">
        <v>27.964600000000001</v>
      </c>
      <c r="K149" s="32">
        <v>9.6465600000000012E-2</v>
      </c>
      <c r="L149" s="6">
        <v>4.5156149999999995</v>
      </c>
      <c r="M149" s="3">
        <v>6.4570000000000002E-2</v>
      </c>
      <c r="N149" s="6">
        <v>5.3728920000000011</v>
      </c>
      <c r="O149" s="7">
        <v>16.370639999999998</v>
      </c>
      <c r="P149" s="3">
        <v>0.34913200000000005</v>
      </c>
      <c r="Q149" s="49">
        <v>6.7457599999999993E-2</v>
      </c>
      <c r="R149" s="3"/>
      <c r="S149" s="6"/>
      <c r="T149" s="38">
        <f t="shared" si="5"/>
        <v>67.959237152482388</v>
      </c>
      <c r="U149" s="6"/>
      <c r="V149">
        <v>20.7</v>
      </c>
      <c r="W149" s="2">
        <v>0.15</v>
      </c>
      <c r="X149" s="2">
        <v>14.8</v>
      </c>
      <c r="Y149" s="6">
        <v>3.51</v>
      </c>
      <c r="Z149" s="8">
        <v>500</v>
      </c>
      <c r="AA149" s="2">
        <v>3.24</v>
      </c>
      <c r="AB149" s="2">
        <v>11.7</v>
      </c>
      <c r="AC149">
        <v>0.25900000000000001</v>
      </c>
      <c r="AD149" s="31">
        <v>560</v>
      </c>
      <c r="AE149" s="8"/>
      <c r="AF149" s="45"/>
      <c r="AG149" s="45"/>
      <c r="AH149" s="8"/>
      <c r="AI149" s="6">
        <v>8.4</v>
      </c>
      <c r="AJ149" s="8">
        <v>660</v>
      </c>
      <c r="AK149" s="46">
        <v>10</v>
      </c>
      <c r="AL149" s="7">
        <v>22.2</v>
      </c>
      <c r="AM149" s="8">
        <v>230</v>
      </c>
      <c r="AN149" s="8"/>
      <c r="AO149" s="7">
        <v>4.4000000000000004</v>
      </c>
      <c r="AQ149" s="6" t="s">
        <v>706</v>
      </c>
      <c r="AS149" s="7">
        <v>5.5</v>
      </c>
      <c r="AU149" s="8">
        <v>176</v>
      </c>
      <c r="AV149" s="54">
        <v>10.286646955464207</v>
      </c>
      <c r="AW149" s="8">
        <v>37</v>
      </c>
      <c r="AY149" s="6"/>
      <c r="BD149" s="30" t="s">
        <v>380</v>
      </c>
      <c r="BG149" s="6" t="s">
        <v>948</v>
      </c>
      <c r="BH149" s="8">
        <v>240</v>
      </c>
      <c r="BI149" s="6">
        <v>2.65</v>
      </c>
      <c r="BJ149" s="7">
        <v>6.6</v>
      </c>
      <c r="BK149" s="51">
        <v>0.88295742211924588</v>
      </c>
      <c r="BL149" s="7">
        <v>4.2</v>
      </c>
      <c r="BM149" s="6">
        <v>1.22</v>
      </c>
      <c r="BN149" s="6">
        <v>0.86</v>
      </c>
      <c r="BO149" s="51">
        <v>1.4222028146428529</v>
      </c>
      <c r="BP149" s="6">
        <v>0.25</v>
      </c>
      <c r="BQ149" s="6">
        <v>1.81</v>
      </c>
      <c r="BR149" s="6">
        <v>0.37</v>
      </c>
      <c r="BS149" s="52">
        <v>1.0382344557263714</v>
      </c>
      <c r="BT149" s="53">
        <v>0.1534484766039092</v>
      </c>
      <c r="BU149" s="6">
        <v>1</v>
      </c>
      <c r="BV149" s="3">
        <v>0.14299999999999999</v>
      </c>
      <c r="BW149" s="6">
        <v>0.87</v>
      </c>
      <c r="BX149" s="6">
        <v>0.13</v>
      </c>
      <c r="BZ149" s="7">
        <v>10.4</v>
      </c>
      <c r="CA149" s="7">
        <v>7</v>
      </c>
      <c r="CE149" s="6">
        <v>0.38</v>
      </c>
      <c r="CF149" s="6">
        <v>6.9000000000000006E-2</v>
      </c>
      <c r="CG149" s="6"/>
      <c r="CH149" s="6"/>
      <c r="CI149" s="29">
        <v>1.4412403780285625</v>
      </c>
      <c r="CJ149" s="41">
        <v>1.4405451329812897</v>
      </c>
      <c r="CK149" s="29">
        <v>1.3848229329187063</v>
      </c>
      <c r="CL149" s="29"/>
      <c r="CM149" s="30">
        <v>0.31147540983606559</v>
      </c>
      <c r="CN149" s="29">
        <v>5.6557377049180332E-2</v>
      </c>
      <c r="CQ149" s="29">
        <v>5.5417700578990904E-2</v>
      </c>
      <c r="CR149" s="30">
        <v>1.1898472301115135</v>
      </c>
      <c r="CS149" s="29">
        <v>1.4299270420529654E-2</v>
      </c>
      <c r="CT149" s="29"/>
      <c r="CU149" s="29"/>
      <c r="CV149" s="29"/>
      <c r="CW149" s="29"/>
      <c r="CX149" s="29"/>
      <c r="CY149" s="29"/>
      <c r="CZ149" s="29"/>
    </row>
    <row r="150" spans="1:132" x14ac:dyDescent="0.2">
      <c r="A150" t="s">
        <v>1476</v>
      </c>
      <c r="D150" s="50" t="s">
        <v>946</v>
      </c>
      <c r="E150">
        <v>231</v>
      </c>
      <c r="F150" s="33">
        <v>99.445893400000003</v>
      </c>
      <c r="H150" s="6">
        <v>44.28351</v>
      </c>
      <c r="I150" s="6">
        <v>0.18351299999999998</v>
      </c>
      <c r="J150" s="6">
        <v>27.397749999999998</v>
      </c>
      <c r="K150" s="32">
        <v>9.0619199999999997E-2</v>
      </c>
      <c r="L150" s="6">
        <v>4.3226399999999998</v>
      </c>
      <c r="M150" s="3">
        <v>6.1987200000000006E-2</v>
      </c>
      <c r="N150" s="6">
        <v>5.323143</v>
      </c>
      <c r="O150" s="7">
        <v>17.350080000000002</v>
      </c>
      <c r="P150" s="3">
        <v>0.33026</v>
      </c>
      <c r="Q150" s="49">
        <v>0.10239099999999998</v>
      </c>
      <c r="R150" s="3"/>
      <c r="S150" s="6"/>
      <c r="T150" s="38">
        <f t="shared" si="5"/>
        <v>68.70302561749827</v>
      </c>
      <c r="U150" s="6"/>
      <c r="V150">
        <v>20.7</v>
      </c>
      <c r="W150" s="2">
        <v>0.11</v>
      </c>
      <c r="X150" s="2">
        <v>14.5</v>
      </c>
      <c r="Y150" s="6">
        <v>3.36</v>
      </c>
      <c r="Z150" s="8">
        <v>480</v>
      </c>
      <c r="AA150" s="2">
        <v>3.21</v>
      </c>
      <c r="AB150" s="2">
        <v>12.4</v>
      </c>
      <c r="AC150">
        <v>0.245</v>
      </c>
      <c r="AD150" s="31">
        <v>850</v>
      </c>
      <c r="AE150" s="8"/>
      <c r="AF150" s="45"/>
      <c r="AG150" s="45"/>
      <c r="AH150" s="8"/>
      <c r="AI150" s="6">
        <v>8</v>
      </c>
      <c r="AJ150" s="8">
        <v>620</v>
      </c>
      <c r="AK150" s="8">
        <v>26</v>
      </c>
      <c r="AL150" s="7">
        <v>17.899999999999999</v>
      </c>
      <c r="AM150" s="8">
        <v>186</v>
      </c>
      <c r="AN150" s="8"/>
      <c r="AO150" s="7">
        <v>4.3</v>
      </c>
      <c r="AQ150" s="6">
        <v>0.21</v>
      </c>
      <c r="AS150" s="7">
        <v>3.4</v>
      </c>
      <c r="AU150" s="8">
        <v>209</v>
      </c>
      <c r="AV150" s="54">
        <v>7.7338041895131333</v>
      </c>
      <c r="AW150" s="8" t="s">
        <v>947</v>
      </c>
      <c r="AY150" s="6"/>
      <c r="BD150" s="32">
        <v>4.1000000000000002E-2</v>
      </c>
      <c r="BG150" s="6" t="s">
        <v>948</v>
      </c>
      <c r="BH150" s="8">
        <v>117</v>
      </c>
      <c r="BI150" s="6">
        <v>2.25</v>
      </c>
      <c r="BJ150" s="7">
        <v>5.3</v>
      </c>
      <c r="BK150" s="51">
        <v>0.71191543555169545</v>
      </c>
      <c r="BL150" s="7">
        <v>3.3</v>
      </c>
      <c r="BM150" s="6">
        <v>1.01</v>
      </c>
      <c r="BN150" s="6">
        <v>0.74</v>
      </c>
      <c r="BO150" s="51">
        <v>1.1876592889108644</v>
      </c>
      <c r="BP150" s="6">
        <v>0.21</v>
      </c>
      <c r="BQ150" s="6">
        <v>1.5</v>
      </c>
      <c r="BR150" s="6">
        <v>0.26</v>
      </c>
      <c r="BS150" s="52">
        <v>0.83514615938453618</v>
      </c>
      <c r="BT150" s="53">
        <v>0.12232570387437372</v>
      </c>
      <c r="BU150" s="6">
        <v>0.79</v>
      </c>
      <c r="BV150" s="3">
        <v>0.11</v>
      </c>
      <c r="BW150" s="6">
        <v>0.78</v>
      </c>
      <c r="BX150" s="6">
        <v>0.114</v>
      </c>
      <c r="BZ150" s="7">
        <v>9.8000000000000007</v>
      </c>
      <c r="CA150" s="7">
        <v>4.5999999999999996</v>
      </c>
      <c r="CE150" s="6">
        <v>0.38</v>
      </c>
      <c r="CF150" s="6">
        <v>0.16</v>
      </c>
      <c r="CG150" s="6"/>
      <c r="CH150" s="6"/>
      <c r="CI150" s="29">
        <v>1.18115780359537</v>
      </c>
      <c r="CJ150" s="41">
        <v>1.2042033195054873</v>
      </c>
      <c r="CK150" s="29">
        <v>1.177616743631736</v>
      </c>
      <c r="CL150" s="29"/>
      <c r="CM150" s="30">
        <v>0.37623762376237624</v>
      </c>
      <c r="CN150" s="29">
        <v>0.15841584158415842</v>
      </c>
      <c r="CQ150" s="29">
        <v>4.2453917050691244E-2</v>
      </c>
      <c r="CR150" s="30">
        <v>1.2314564710454723</v>
      </c>
      <c r="CS150" s="29">
        <v>1.4340125478874024E-2</v>
      </c>
      <c r="CT150" s="29"/>
      <c r="CU150" s="29"/>
      <c r="CV150" s="29"/>
      <c r="CW150" s="29"/>
      <c r="CX150" s="29"/>
      <c r="CY150" s="29"/>
      <c r="CZ150" s="29"/>
    </row>
    <row r="151" spans="1:132" x14ac:dyDescent="0.2">
      <c r="A151" t="s">
        <v>1476</v>
      </c>
      <c r="B151">
        <v>1</v>
      </c>
      <c r="D151" s="32" t="s">
        <v>557</v>
      </c>
      <c r="E151" s="30"/>
      <c r="F151" s="33"/>
      <c r="I151" s="265">
        <v>0.20494327543279736</v>
      </c>
      <c r="J151" s="395">
        <v>28.985144636847444</v>
      </c>
      <c r="K151" s="32">
        <v>9.3505680920519932E-2</v>
      </c>
      <c r="L151" s="6">
        <v>4.3845024504581289</v>
      </c>
      <c r="M151" s="396">
        <v>6.2385182161278627E-2</v>
      </c>
      <c r="N151" s="265">
        <v>5.3094144738909588</v>
      </c>
      <c r="O151" s="7">
        <v>16.653458342211803</v>
      </c>
      <c r="P151" s="32">
        <v>0.34862561261453223</v>
      </c>
      <c r="Q151" s="32" t="s">
        <v>1478</v>
      </c>
      <c r="T151" s="38">
        <f t="shared" si="5"/>
        <v>68.340831592334354</v>
      </c>
      <c r="AD151" s="31"/>
      <c r="AH151" s="31"/>
      <c r="AI151" s="30">
        <v>7.6717046665246107</v>
      </c>
      <c r="AJ151" s="31">
        <v>639.74877477093548</v>
      </c>
      <c r="AL151" s="33">
        <v>20.097357766886851</v>
      </c>
      <c r="AM151" s="31">
        <v>242.10931174089066</v>
      </c>
      <c r="AN151" s="31">
        <v>0</v>
      </c>
      <c r="AQ151">
        <v>0.56227572981035578</v>
      </c>
      <c r="AR151" s="30">
        <v>0</v>
      </c>
      <c r="AS151" s="30">
        <v>1.3525122522906456</v>
      </c>
      <c r="AT151" s="31">
        <v>0.66256126145322836</v>
      </c>
      <c r="AU151" s="31">
        <v>201.97634775197102</v>
      </c>
      <c r="AV151" s="54">
        <v>8.5140448621719536</v>
      </c>
      <c r="AW151" s="8">
        <v>27.175367568719373</v>
      </c>
      <c r="AZ151" s="30">
        <v>0</v>
      </c>
      <c r="BD151" s="2">
        <v>1.9625612614532283E-2</v>
      </c>
      <c r="BG151">
        <v>4.9374387385467719E-2</v>
      </c>
      <c r="BH151" s="31">
        <v>149.8719369273386</v>
      </c>
      <c r="BI151" s="30">
        <v>2.2094289367142554</v>
      </c>
      <c r="BJ151" s="33">
        <v>5.8263456211378655</v>
      </c>
      <c r="BK151" s="51">
        <v>0.6986387368510143</v>
      </c>
      <c r="BL151" s="33">
        <v>3.2374387385467722</v>
      </c>
      <c r="BM151" s="30">
        <v>1.0152976773918603</v>
      </c>
      <c r="BN151" s="30">
        <v>0.7487202216066482</v>
      </c>
      <c r="BO151" s="51">
        <v>1.1759376332129572</v>
      </c>
      <c r="BP151" s="30">
        <v>0.205644363946303</v>
      </c>
      <c r="BQ151" s="74">
        <v>1.3881744157360418</v>
      </c>
      <c r="BR151" s="74">
        <v>0.30822257915285933</v>
      </c>
      <c r="BS151" s="52">
        <v>0.85380149382366988</v>
      </c>
      <c r="BT151" s="53">
        <v>0.12604328054282393</v>
      </c>
      <c r="BU151">
        <v>0.82045919454506722</v>
      </c>
      <c r="BV151" s="32">
        <v>0.12118286810142767</v>
      </c>
      <c r="BW151" s="30">
        <v>0.73786213509482212</v>
      </c>
      <c r="BX151" s="30">
        <v>9.8947794587683796E-2</v>
      </c>
      <c r="BY151" s="30">
        <v>3.8482846793096104E-2</v>
      </c>
      <c r="BZ151" s="33">
        <v>10.520392073300661</v>
      </c>
      <c r="CA151" s="79">
        <v>61.547474962710417</v>
      </c>
      <c r="CE151" s="30">
        <v>0.36399509908374178</v>
      </c>
      <c r="CF151" s="30">
        <v>0.18116556573620288</v>
      </c>
      <c r="CG151" s="30"/>
      <c r="CI151" s="29">
        <v>1.1985322989663181</v>
      </c>
      <c r="CJ151" s="41">
        <v>1.1895688842562853</v>
      </c>
      <c r="CK151" s="29">
        <v>1.1397117164162687</v>
      </c>
      <c r="CL151" s="29"/>
      <c r="CM151" s="30">
        <v>0.35851071778159466</v>
      </c>
      <c r="CN151" s="29">
        <v>0.17843591073860099</v>
      </c>
      <c r="CO151" s="29"/>
      <c r="CP151" s="29"/>
      <c r="CQ151" s="29"/>
      <c r="CR151" s="30"/>
      <c r="CS151" s="29"/>
      <c r="CT151" s="29"/>
      <c r="CU151" s="29"/>
      <c r="CV151" s="29"/>
      <c r="CW151" s="29"/>
      <c r="CX151" s="29"/>
      <c r="CY151" s="29"/>
      <c r="CZ151" s="29"/>
    </row>
    <row r="152" spans="1:132" x14ac:dyDescent="0.2">
      <c r="A152" t="s">
        <v>1476</v>
      </c>
      <c r="B152">
        <v>2</v>
      </c>
      <c r="D152" s="32" t="s">
        <v>700</v>
      </c>
      <c r="E152" s="30">
        <v>12.9</v>
      </c>
      <c r="F152" s="33">
        <v>99.64</v>
      </c>
      <c r="H152" s="30">
        <v>43.8</v>
      </c>
      <c r="I152" s="6">
        <v>0.2</v>
      </c>
      <c r="J152" s="6">
        <v>28.4</v>
      </c>
      <c r="K152" s="32" t="s">
        <v>642</v>
      </c>
      <c r="L152" s="6">
        <v>4.47</v>
      </c>
      <c r="M152" s="3">
        <v>0.06</v>
      </c>
      <c r="N152" s="6">
        <v>5.5</v>
      </c>
      <c r="O152" s="7">
        <v>17.100000000000001</v>
      </c>
      <c r="P152" s="32" t="s">
        <v>1286</v>
      </c>
      <c r="Q152" s="32">
        <v>0.05</v>
      </c>
      <c r="R152" s="32">
        <v>0.06</v>
      </c>
      <c r="T152" s="38">
        <f t="shared" si="5"/>
        <v>68.685006122244516</v>
      </c>
      <c r="AD152" s="31">
        <v>415.05</v>
      </c>
      <c r="AH152" s="31"/>
      <c r="AJ152" s="31" t="s">
        <v>1061</v>
      </c>
      <c r="AQ152"/>
      <c r="AW152" s="8"/>
      <c r="BD152" s="2"/>
      <c r="BG152"/>
      <c r="BJ152" s="33"/>
      <c r="BY152" s="30"/>
      <c r="CA152" s="79"/>
      <c r="CG152" s="30"/>
      <c r="CI152" s="29"/>
      <c r="CJ152" s="41"/>
      <c r="CK152" s="29"/>
      <c r="CL152" s="29"/>
      <c r="CM152" s="30"/>
      <c r="CN152" s="29"/>
      <c r="CO152" s="29"/>
      <c r="CP152" s="29"/>
      <c r="CQ152" s="29">
        <v>4.4742729306487698E-2</v>
      </c>
      <c r="CR152" s="30">
        <v>1.2304250559284118</v>
      </c>
      <c r="CS152" s="29">
        <v>1.3422818791946308E-2</v>
      </c>
      <c r="CT152" s="29"/>
      <c r="CU152" s="29"/>
      <c r="CV152" s="29"/>
      <c r="CW152" s="29"/>
      <c r="CX152" s="29"/>
      <c r="CY152" s="29"/>
      <c r="CZ152" s="29"/>
    </row>
    <row r="153" spans="1:132" x14ac:dyDescent="0.2">
      <c r="A153" t="s">
        <v>1477</v>
      </c>
      <c r="B153">
        <v>3</v>
      </c>
      <c r="D153" s="32" t="s">
        <v>557</v>
      </c>
      <c r="E153" s="30">
        <v>233.56</v>
      </c>
      <c r="I153" s="265">
        <v>0.19887878001391623</v>
      </c>
      <c r="J153" s="395">
        <v>29.180127620977473</v>
      </c>
      <c r="K153" s="32">
        <v>9.0331085322829269E-2</v>
      </c>
      <c r="L153" s="30">
        <v>4.2547602329165954</v>
      </c>
      <c r="M153" s="396">
        <v>6.0539136465833511E-2</v>
      </c>
      <c r="N153" s="265">
        <v>5.1523030991173506</v>
      </c>
      <c r="O153" s="33">
        <v>16.044532454187358</v>
      </c>
      <c r="P153" s="32">
        <v>0.35680300565165268</v>
      </c>
      <c r="Q153" s="32" t="s">
        <v>1479</v>
      </c>
      <c r="T153" s="38">
        <f t="shared" si="5"/>
        <v>68.340831592334354</v>
      </c>
      <c r="AH153" s="31"/>
      <c r="AI153" s="30">
        <v>7.8098411543072439</v>
      </c>
      <c r="AJ153" s="31">
        <v>618.02877205000868</v>
      </c>
      <c r="AL153" s="33">
        <v>17.881048980989895</v>
      </c>
      <c r="AM153" s="31">
        <v>187.38426956670665</v>
      </c>
      <c r="AN153" s="46">
        <v>31.375055660215789</v>
      </c>
      <c r="AQ153" s="30">
        <v>0.62719001541359809</v>
      </c>
      <c r="AR153">
        <v>0.5859166809385169</v>
      </c>
      <c r="AS153" s="30">
        <v>2.2845178969001543</v>
      </c>
      <c r="AT153" s="31">
        <v>0.90633241993492031</v>
      </c>
      <c r="AU153" s="31">
        <v>247.16766569618082</v>
      </c>
      <c r="AV153" s="54">
        <v>9.6630074056440165</v>
      </c>
      <c r="AW153" s="31">
        <v>32.602329165953073</v>
      </c>
      <c r="AZ153" s="30">
        <v>2.3274533310498374E-2</v>
      </c>
      <c r="BD153">
        <v>2.6250128446651824E-2</v>
      </c>
      <c r="BG153">
        <v>7.6384569275560879E-2</v>
      </c>
      <c r="BH153" s="31">
        <v>305.80257749614663</v>
      </c>
      <c r="BI153" s="30">
        <v>3.0584603528001373</v>
      </c>
      <c r="BJ153">
        <v>7.2819142832676826</v>
      </c>
      <c r="BK153" s="51">
        <v>0.9292056108324882</v>
      </c>
      <c r="BL153" s="33">
        <v>4.2206456585031686</v>
      </c>
      <c r="BM153" s="30">
        <v>1.2117612604898098</v>
      </c>
      <c r="BN153" s="30">
        <v>0.77625158417537254</v>
      </c>
      <c r="BO153" s="51">
        <v>1.3689488985161231</v>
      </c>
      <c r="BP153" s="30">
        <v>0.24142866929268711</v>
      </c>
      <c r="BQ153" s="74">
        <v>1.6015227398617018</v>
      </c>
      <c r="BR153" s="74">
        <v>0.35173406799563367</v>
      </c>
      <c r="BS153" s="52">
        <v>0.96373954991512045</v>
      </c>
      <c r="BT153" s="53">
        <v>0.14072366191412378</v>
      </c>
      <c r="BU153">
        <v>0.90602658845692752</v>
      </c>
      <c r="BV153" s="32">
        <v>0.1284774790203802</v>
      </c>
      <c r="BW153" s="30">
        <v>0.88408319061483132</v>
      </c>
      <c r="BX153" s="30">
        <v>0.11012425072786435</v>
      </c>
      <c r="BY153">
        <v>0.21347405377633161</v>
      </c>
      <c r="BZ153" s="33">
        <v>8.4672161328994697</v>
      </c>
      <c r="CA153" s="33">
        <v>4.6328480904264424</v>
      </c>
      <c r="CE153" s="30">
        <v>0.44048415824627496</v>
      </c>
      <c r="CF153" s="30">
        <v>0.41752911457441344</v>
      </c>
      <c r="CG153" s="30"/>
      <c r="CH153" s="6"/>
      <c r="CI153" s="29">
        <v>1.3480740704309488</v>
      </c>
      <c r="CJ153" s="41">
        <v>1.4042550117118251</v>
      </c>
      <c r="CK153" s="29">
        <v>1.354517613405595</v>
      </c>
      <c r="CL153" s="29"/>
      <c r="CM153" s="30">
        <v>0.36350737773893305</v>
      </c>
      <c r="CN153" s="29">
        <v>0.34456384123523037</v>
      </c>
      <c r="CO153" s="29"/>
      <c r="CP153" s="29"/>
      <c r="CQ153" s="29"/>
      <c r="CR153" s="30"/>
      <c r="CS153" s="29"/>
      <c r="CT153" s="29"/>
      <c r="CU153" s="29"/>
      <c r="CV153" s="29"/>
      <c r="CW153" s="29"/>
      <c r="CX153" s="29"/>
      <c r="CY153" s="29"/>
      <c r="CZ153" s="29"/>
    </row>
    <row r="154" spans="1:132" x14ac:dyDescent="0.2">
      <c r="A154" t="s">
        <v>1477</v>
      </c>
      <c r="B154">
        <v>4</v>
      </c>
      <c r="D154" s="32" t="s">
        <v>700</v>
      </c>
      <c r="E154" s="30"/>
      <c r="H154" s="30">
        <v>43.932611676594838</v>
      </c>
      <c r="I154" s="30">
        <v>0.19077181493016043</v>
      </c>
      <c r="J154" s="30">
        <v>27.59977587461071</v>
      </c>
      <c r="K154" s="32" t="s">
        <v>1098</v>
      </c>
      <c r="L154" s="30">
        <v>4.3610166757559554</v>
      </c>
      <c r="M154" s="32">
        <v>6.4107853095392547E-2</v>
      </c>
      <c r="N154" s="30">
        <v>5.5214598931303023</v>
      </c>
      <c r="O154" s="33">
        <v>16.935446062751602</v>
      </c>
      <c r="P154" s="32" t="s">
        <v>1099</v>
      </c>
      <c r="Q154" s="32">
        <v>5.1177461246535688E-2</v>
      </c>
      <c r="R154" s="32">
        <v>0.24954539169371487</v>
      </c>
      <c r="T154" s="38">
        <f t="shared" si="5"/>
        <v>69.296362992061731</v>
      </c>
      <c r="W154"/>
      <c r="X154"/>
      <c r="Y154"/>
      <c r="Z154"/>
      <c r="AA154"/>
      <c r="AB154"/>
      <c r="AG154">
        <v>99.34092345094723</v>
      </c>
      <c r="AH154" s="31"/>
      <c r="AR154"/>
      <c r="AV154" s="54"/>
      <c r="BD154"/>
      <c r="BG154"/>
      <c r="BK154" s="6"/>
      <c r="BO154" s="6"/>
      <c r="BQ154" s="29"/>
      <c r="BR154" s="29"/>
      <c r="BS154" s="65"/>
      <c r="BT154" s="41"/>
      <c r="CG154" s="30"/>
      <c r="CH154" s="6"/>
      <c r="CI154" s="29"/>
      <c r="CJ154" s="41"/>
      <c r="CK154" s="29"/>
      <c r="CL154" s="29"/>
      <c r="CM154" s="30"/>
      <c r="CN154" s="29"/>
      <c r="CO154" s="29"/>
      <c r="CP154" s="29"/>
      <c r="CQ154" s="29">
        <v>4.3744802901284782E-2</v>
      </c>
      <c r="CR154" s="30">
        <v>1.2660946526129004</v>
      </c>
      <c r="CS154" s="29">
        <v>1.4700208199566182E-2</v>
      </c>
      <c r="CT154" s="29"/>
      <c r="CU154" s="29"/>
      <c r="CV154" s="29"/>
      <c r="CW154" s="29"/>
      <c r="CX154" s="29"/>
      <c r="CY154" s="29"/>
      <c r="CZ154" s="29"/>
    </row>
    <row r="155" spans="1:132" s="130" customFormat="1" x14ac:dyDescent="0.2">
      <c r="A155" s="130" t="s">
        <v>1260</v>
      </c>
      <c r="D155" s="141" t="s">
        <v>557</v>
      </c>
      <c r="E155" s="146"/>
      <c r="H155" s="146"/>
      <c r="I155" s="265">
        <v>0.20158333583554494</v>
      </c>
      <c r="J155" s="395">
        <v>29.093171934078018</v>
      </c>
      <c r="K155" s="141">
        <v>9.3938746173541962E-2</v>
      </c>
      <c r="L155" s="146">
        <v>4.3126207877569041</v>
      </c>
      <c r="M155" s="396">
        <v>6.1362409184791196E-2</v>
      </c>
      <c r="N155" s="265">
        <v>5.222369354252959</v>
      </c>
      <c r="O155" s="149">
        <v>17.607980575857166</v>
      </c>
      <c r="P155" s="141">
        <v>0.34208907637219793</v>
      </c>
      <c r="Q155" s="141" t="s">
        <v>1480</v>
      </c>
      <c r="R155" s="141"/>
      <c r="T155" s="38">
        <f t="shared" si="5"/>
        <v>68.340831592334354</v>
      </c>
      <c r="W155" s="136"/>
      <c r="X155" s="136"/>
      <c r="Y155" s="136"/>
      <c r="Z155" s="136"/>
      <c r="AA155" s="136"/>
      <c r="AB155" s="136"/>
      <c r="AH155" s="150"/>
      <c r="AI155" s="146">
        <v>7.6943665080688675</v>
      </c>
      <c r="AJ155" s="150">
        <v>642.71172806200025</v>
      </c>
      <c r="AL155" s="149">
        <v>22.549362338745276</v>
      </c>
      <c r="AM155" s="150">
        <v>293.73345759552654</v>
      </c>
      <c r="AN155" s="165">
        <v>39.142924412615884</v>
      </c>
      <c r="AO155" s="149"/>
      <c r="AQ155" s="146">
        <v>0.4189135233236867</v>
      </c>
      <c r="AR155" s="130">
        <v>0.41299700789718935</v>
      </c>
      <c r="AS155" s="146">
        <v>0.9959621327316428</v>
      </c>
      <c r="AT155" s="150">
        <v>0</v>
      </c>
      <c r="AU155" s="150">
        <v>236.0306077402266</v>
      </c>
      <c r="AV155" s="54">
        <v>9.2204534295215073</v>
      </c>
      <c r="AW155" s="150">
        <v>34.602884190905968</v>
      </c>
      <c r="AX155" s="146"/>
      <c r="AY155" s="146"/>
      <c r="AZ155" s="146">
        <v>1.3116201500956494E-2</v>
      </c>
      <c r="BA155" s="146"/>
      <c r="BB155" s="146"/>
      <c r="BC155" s="146"/>
      <c r="BD155" s="130">
        <v>2.537126600284495E-2</v>
      </c>
      <c r="BE155" s="146"/>
      <c r="BF155" s="146"/>
      <c r="BG155" s="130">
        <v>6.8729092068475009E-2</v>
      </c>
      <c r="BH155" s="150">
        <v>263.14832981802124</v>
      </c>
      <c r="BI155" s="146">
        <v>2.7140638642272035</v>
      </c>
      <c r="BJ155" s="130">
        <v>6.6700068671212032</v>
      </c>
      <c r="BK155" s="51">
        <v>0.83242228256737016</v>
      </c>
      <c r="BL155" s="149">
        <v>3.7989895521655956</v>
      </c>
      <c r="BM155" s="146">
        <v>1.1193259920537595</v>
      </c>
      <c r="BN155" s="146">
        <v>0.73804949232353934</v>
      </c>
      <c r="BO155" s="51">
        <v>1.2950615546164175</v>
      </c>
      <c r="BP155" s="146">
        <v>0.23073792122430961</v>
      </c>
      <c r="BQ155" s="74">
        <v>1.5207682448886075</v>
      </c>
      <c r="BR155" s="74">
        <v>0.33508441689102009</v>
      </c>
      <c r="BS155" s="52">
        <v>0.9210852293719296</v>
      </c>
      <c r="BT155" s="53">
        <v>0.13492675294754528</v>
      </c>
      <c r="BU155" s="130">
        <v>0.87147142787070186</v>
      </c>
      <c r="BV155" s="141">
        <v>0.12514057978123314</v>
      </c>
      <c r="BW155" s="146">
        <v>0.84087114337568059</v>
      </c>
      <c r="BX155" s="146">
        <v>0.11499818511796732</v>
      </c>
      <c r="BY155" s="130">
        <v>0.1804532299995095</v>
      </c>
      <c r="BZ155" s="149">
        <v>11.935915043900522</v>
      </c>
      <c r="CA155" s="149">
        <v>4.2119978417619066</v>
      </c>
      <c r="CE155" s="146">
        <v>0.44600721047726494</v>
      </c>
      <c r="CF155" s="146">
        <v>0.44373571393535099</v>
      </c>
      <c r="CG155" s="146"/>
      <c r="CH155" s="137"/>
      <c r="CI155" s="144">
        <v>1.2653836148798863</v>
      </c>
      <c r="CJ155" s="145">
        <v>1.3269205742691947</v>
      </c>
      <c r="CK155" s="144">
        <v>1.2928804747001721</v>
      </c>
      <c r="CL155" s="144"/>
      <c r="CM155" s="146">
        <v>0.398460514312656</v>
      </c>
      <c r="CN155" s="144">
        <v>0.39643117115611398</v>
      </c>
      <c r="CO155" s="144"/>
      <c r="CP155" s="144"/>
      <c r="CQ155" s="29"/>
      <c r="CR155" s="146"/>
      <c r="CS155" s="144"/>
      <c r="CT155" s="144"/>
      <c r="CU155" s="144"/>
      <c r="CV155" s="144"/>
      <c r="CW155" s="144"/>
      <c r="CX155" s="144"/>
      <c r="CY155" s="144"/>
      <c r="CZ155" s="144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</row>
    <row r="156" spans="1:132" ht="20.100000000000001" customHeight="1" x14ac:dyDescent="0.2">
      <c r="A156" s="36" t="s">
        <v>301</v>
      </c>
      <c r="B156" t="s">
        <v>279</v>
      </c>
      <c r="D156" s="2"/>
      <c r="H156" s="30">
        <v>44.108071135318973</v>
      </c>
      <c r="I156" s="30">
        <v>0.20575323135015058</v>
      </c>
      <c r="J156" s="30">
        <v>28.381071350454118</v>
      </c>
      <c r="K156" s="3">
        <v>9.3131129052111392E-2</v>
      </c>
      <c r="L156" s="6">
        <v>4.3987890146887576</v>
      </c>
      <c r="M156" s="32">
        <v>6.3589362090729601E-2</v>
      </c>
      <c r="N156" s="30">
        <v>5.3249015693655792</v>
      </c>
      <c r="O156" s="7">
        <v>16.892745937223104</v>
      </c>
      <c r="P156" s="3">
        <v>0.34760881351976902</v>
      </c>
      <c r="Q156" s="32">
        <v>6.3039243541089265E-2</v>
      </c>
      <c r="R156" s="32">
        <v>0.1222767972312383</v>
      </c>
      <c r="T156" s="38">
        <f t="shared" si="5"/>
        <v>68.333464897175574</v>
      </c>
      <c r="Z156" s="8">
        <v>507.2</v>
      </c>
      <c r="AD156" s="8">
        <v>543.01</v>
      </c>
      <c r="AE156" s="31">
        <v>250</v>
      </c>
      <c r="AH156" s="31">
        <v>370</v>
      </c>
      <c r="AI156" s="6">
        <v>7.8951303327001039</v>
      </c>
      <c r="AJ156" s="8">
        <v>637.18615936036804</v>
      </c>
      <c r="AK156" s="6">
        <v>18</v>
      </c>
      <c r="AL156" s="7">
        <v>20.437961514437006</v>
      </c>
      <c r="AM156" s="8">
        <v>239.88957698616056</v>
      </c>
      <c r="AN156" s="8">
        <v>28.703596014566337</v>
      </c>
      <c r="AO156" s="7">
        <v>4.3</v>
      </c>
      <c r="AP156" s="7"/>
      <c r="AQ156" s="6">
        <v>0.44139654475794005</v>
      </c>
      <c r="AR156" s="6"/>
      <c r="AS156" s="6">
        <v>2.221856040274635</v>
      </c>
      <c r="AT156" s="8">
        <v>0.52296456046271622</v>
      </c>
      <c r="AU156" s="8">
        <v>222.8820887411969</v>
      </c>
      <c r="AV156" s="7">
        <v>9.0303144286318737</v>
      </c>
      <c r="AW156" s="8">
        <v>33.230096820929738</v>
      </c>
      <c r="AX156" s="7"/>
      <c r="AY156" s="6" t="e">
        <v>#DIV/0!</v>
      </c>
      <c r="AZ156" s="6"/>
      <c r="BA156" s="6"/>
      <c r="BB156" s="6"/>
      <c r="BC156" s="6"/>
      <c r="BD156" s="6">
        <v>2.8061751766007264E-2</v>
      </c>
      <c r="BE156" s="6"/>
      <c r="BF156" s="6"/>
      <c r="BG156" s="6">
        <v>8.4897609745900715E-2</v>
      </c>
      <c r="BH156" s="8">
        <v>236.54612060592947</v>
      </c>
      <c r="BI156" s="6">
        <v>2.5359933076773706</v>
      </c>
      <c r="BJ156" s="6">
        <v>6.5968952530752505</v>
      </c>
      <c r="BK156" s="6">
        <v>0.80756790400445821</v>
      </c>
      <c r="BL156" s="7">
        <v>3.7652962784593629</v>
      </c>
      <c r="BM156" s="6">
        <v>1.1237692757050615</v>
      </c>
      <c r="BN156" s="6">
        <v>0.76114589972936564</v>
      </c>
      <c r="BO156" s="6">
        <v>1.2801725426889696</v>
      </c>
      <c r="BP156" s="6">
        <v>0.22968727920904281</v>
      </c>
      <c r="BQ156" s="6">
        <v>1.6172093429266217</v>
      </c>
      <c r="BR156" s="6">
        <v>0.31786300914850185</v>
      </c>
      <c r="BS156" s="6">
        <v>0.93255414786844071</v>
      </c>
      <c r="BT156" s="6">
        <v>0.13706414202070336</v>
      </c>
      <c r="BU156" s="6">
        <v>0.88827960155324237</v>
      </c>
      <c r="BV156" s="3">
        <v>0.12540013241472014</v>
      </c>
      <c r="BW156" s="6">
        <v>0.83040235272647622</v>
      </c>
      <c r="BX156" s="6">
        <v>0.1125814614905022</v>
      </c>
      <c r="BY156" s="6">
        <v>0.14413671018964572</v>
      </c>
      <c r="BZ156" s="7">
        <v>10.731931892871524</v>
      </c>
      <c r="CA156" s="7">
        <v>12.970331556414108</v>
      </c>
      <c r="CB156" s="7"/>
      <c r="CC156" s="6"/>
      <c r="CD156" s="6"/>
      <c r="CE156" s="6">
        <v>0.41006949540104021</v>
      </c>
      <c r="CF156" s="6">
        <v>0.24163291346370963</v>
      </c>
      <c r="CG156" s="6"/>
      <c r="CH156" s="6"/>
      <c r="CI156" s="6"/>
      <c r="CQ156" s="6">
        <v>4.6742652729361164E-2</v>
      </c>
      <c r="CR156" s="6">
        <v>1.2109502808776369</v>
      </c>
      <c r="CS156" s="3">
        <v>1.4228565924227072E-2</v>
      </c>
      <c r="CT156" s="3"/>
      <c r="CU156" s="3"/>
      <c r="CV156" s="3"/>
    </row>
    <row r="157" spans="1:132" s="36" customFormat="1" x14ac:dyDescent="0.2">
      <c r="A157" s="36" t="s">
        <v>553</v>
      </c>
      <c r="H157" s="34">
        <v>44.108071135318973</v>
      </c>
      <c r="I157" s="34">
        <v>0.20575323135015058</v>
      </c>
      <c r="J157" s="34">
        <v>28.381071350454118</v>
      </c>
      <c r="K157" s="37">
        <v>9.3131129052111392E-2</v>
      </c>
      <c r="L157" s="34">
        <v>4.3987890146887576</v>
      </c>
      <c r="M157" s="37">
        <v>6.3589362090729601E-2</v>
      </c>
      <c r="N157" s="34">
        <v>5.3249015693655792</v>
      </c>
      <c r="O157" s="72">
        <v>16.892745937223104</v>
      </c>
      <c r="P157" s="37">
        <v>0.34760881351976902</v>
      </c>
      <c r="Q157" s="37">
        <v>6.3039243541089265E-2</v>
      </c>
      <c r="R157" s="37">
        <v>0.1222767972312383</v>
      </c>
      <c r="S157" s="37"/>
      <c r="T157" s="38">
        <f t="shared" si="5"/>
        <v>68.333464897175574</v>
      </c>
      <c r="U157" s="37"/>
      <c r="W157" s="34"/>
      <c r="X157" s="34"/>
      <c r="Y157" s="34"/>
      <c r="Z157" s="35">
        <v>507.2</v>
      </c>
      <c r="AA157" s="34"/>
      <c r="AB157" s="34"/>
      <c r="AC157" s="34"/>
      <c r="AD157" s="35">
        <v>543.01</v>
      </c>
      <c r="AE157" s="35">
        <v>250</v>
      </c>
      <c r="AF157" s="34"/>
      <c r="AG157" s="34"/>
      <c r="AH157" s="35">
        <v>370</v>
      </c>
      <c r="AI157" s="34">
        <v>7.8951303327001039</v>
      </c>
      <c r="AJ157" s="35">
        <v>637.18615936036804</v>
      </c>
      <c r="AK157" s="35">
        <v>18</v>
      </c>
      <c r="AL157" s="72">
        <v>20.437961514437006</v>
      </c>
      <c r="AM157" s="35">
        <v>239.88957698616056</v>
      </c>
      <c r="AN157" s="35">
        <v>28.703596014566337</v>
      </c>
      <c r="AO157" s="34">
        <v>4.3</v>
      </c>
      <c r="AP157" s="34"/>
      <c r="AQ157" s="34">
        <v>0.44139654475794005</v>
      </c>
      <c r="AR157" s="34"/>
      <c r="AS157" s="34">
        <v>2.221856040274635</v>
      </c>
      <c r="AT157" s="35">
        <v>0.52296456046271622</v>
      </c>
      <c r="AU157" s="35">
        <v>222.8820887411969</v>
      </c>
      <c r="AV157" s="34">
        <v>9.0303144286318737</v>
      </c>
      <c r="AW157" s="35">
        <v>33.230096820929738</v>
      </c>
      <c r="AX157" s="34"/>
      <c r="AY157" s="34" t="e">
        <v>#DIV/0!</v>
      </c>
      <c r="AZ157" s="34"/>
      <c r="BA157" s="34"/>
      <c r="BB157" s="34"/>
      <c r="BC157" s="34"/>
      <c r="BD157" s="34">
        <v>2.8061751766007264E-2</v>
      </c>
      <c r="BE157" s="34"/>
      <c r="BF157" s="34"/>
      <c r="BG157" s="34">
        <v>8.4897609745900715E-2</v>
      </c>
      <c r="BH157" s="35">
        <v>236.54612060592947</v>
      </c>
      <c r="BI157" s="34">
        <v>2.5359933076773706</v>
      </c>
      <c r="BJ157" s="34">
        <v>6.5968952530752505</v>
      </c>
      <c r="BK157" s="158">
        <v>0.86908198190020114</v>
      </c>
      <c r="BL157" s="72">
        <v>3.7652962784593629</v>
      </c>
      <c r="BM157" s="34">
        <v>1.1237692757050615</v>
      </c>
      <c r="BN157" s="34">
        <v>0.76114589972936564</v>
      </c>
      <c r="BO157" s="34">
        <v>1.2801725426889696</v>
      </c>
      <c r="BP157" s="34">
        <v>0.22968727920904281</v>
      </c>
      <c r="BQ157" s="34">
        <v>1.6172093429266217</v>
      </c>
      <c r="BR157" s="34">
        <v>0.31786300914850185</v>
      </c>
      <c r="BS157" s="34">
        <v>0.93255414786844071</v>
      </c>
      <c r="BT157" s="34">
        <v>0.13706414202070336</v>
      </c>
      <c r="BU157" s="34">
        <v>0.88827960155324237</v>
      </c>
      <c r="BV157" s="37">
        <v>0.12540013241472014</v>
      </c>
      <c r="BW157" s="34">
        <v>0.83040235272647622</v>
      </c>
      <c r="BX157" s="34">
        <v>0.1125814614905022</v>
      </c>
      <c r="BY157" s="34">
        <v>0.14413671018964572</v>
      </c>
      <c r="BZ157" s="72">
        <v>10.731931892871524</v>
      </c>
      <c r="CA157" s="132">
        <v>0</v>
      </c>
      <c r="CB157" s="34"/>
      <c r="CC157" s="34"/>
      <c r="CD157" s="34"/>
      <c r="CE157" s="34">
        <v>0.41006949540104021</v>
      </c>
      <c r="CF157" s="34">
        <v>0.24163291346370963</v>
      </c>
      <c r="CG157" s="34"/>
      <c r="CH157" s="34"/>
      <c r="CI157" s="34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</row>
    <row r="158" spans="1:132" x14ac:dyDescent="0.2">
      <c r="T158" s="38" t="e">
        <f t="shared" si="5"/>
        <v>#DIV/0!</v>
      </c>
    </row>
    <row r="159" spans="1:132" x14ac:dyDescent="0.2">
      <c r="T159" s="38" t="e">
        <f t="shared" si="5"/>
        <v>#DIV/0!</v>
      </c>
    </row>
    <row r="160" spans="1:132" x14ac:dyDescent="0.2">
      <c r="T160" s="38" t="e">
        <f t="shared" si="5"/>
        <v>#DIV/0!</v>
      </c>
    </row>
    <row r="161" spans="1:132" x14ac:dyDescent="0.2">
      <c r="T161" s="38" t="e">
        <f t="shared" si="5"/>
        <v>#DIV/0!</v>
      </c>
      <c r="BH161" s="31">
        <v>1.5803770258820957</v>
      </c>
    </row>
    <row r="162" spans="1:132" x14ac:dyDescent="0.2">
      <c r="A162" s="50" t="s">
        <v>376</v>
      </c>
      <c r="D162" t="s">
        <v>377</v>
      </c>
      <c r="F162" s="33">
        <v>10.081877940000002</v>
      </c>
      <c r="H162" s="6">
        <v>44.9253</v>
      </c>
      <c r="I162" s="6">
        <v>0.18351299999999998</v>
      </c>
      <c r="J162" s="6">
        <v>28.90935</v>
      </c>
      <c r="K162" s="32">
        <v>8.0388000000000001E-2</v>
      </c>
      <c r="L162" s="6">
        <v>3.7823099999999998</v>
      </c>
      <c r="M162" s="3">
        <v>5.1656000000000007E-2</v>
      </c>
      <c r="N162" s="6">
        <v>5.1407300000000005</v>
      </c>
      <c r="O162" s="178">
        <v>17.350080000000002</v>
      </c>
      <c r="P162" s="3">
        <v>0.29116800000000004</v>
      </c>
      <c r="Q162" s="49">
        <v>7.4685199999999993E-2</v>
      </c>
      <c r="R162" s="45">
        <v>0.10998719999999998</v>
      </c>
      <c r="S162" s="45"/>
      <c r="T162" s="38">
        <f t="shared" si="5"/>
        <v>70.784370101096584</v>
      </c>
      <c r="U162" s="45"/>
      <c r="V162">
        <v>21</v>
      </c>
      <c r="W162" s="2">
        <v>0.11</v>
      </c>
      <c r="X162" s="2">
        <v>15.3</v>
      </c>
      <c r="Y162" s="2">
        <v>2.94</v>
      </c>
      <c r="Z162" s="2">
        <v>400</v>
      </c>
      <c r="AA162" s="2">
        <v>3.1</v>
      </c>
      <c r="AB162" s="2">
        <v>12.4</v>
      </c>
      <c r="AC162">
        <v>0.24</v>
      </c>
      <c r="AD162">
        <v>620</v>
      </c>
      <c r="AE162">
        <v>480</v>
      </c>
      <c r="AI162" s="30">
        <v>5.4</v>
      </c>
      <c r="AJ162" s="31">
        <v>550</v>
      </c>
      <c r="AL162" s="33">
        <v>14</v>
      </c>
      <c r="AM162" s="31">
        <v>113</v>
      </c>
      <c r="AQ162" s="30">
        <v>0.3</v>
      </c>
      <c r="AS162" s="30">
        <v>0.45</v>
      </c>
      <c r="AU162" s="31">
        <v>190</v>
      </c>
      <c r="BH162" s="126">
        <v>140</v>
      </c>
      <c r="BZ162" s="33">
        <v>4</v>
      </c>
      <c r="CQ162" s="29">
        <v>4.8518762343647132E-2</v>
      </c>
      <c r="CR162" s="30">
        <v>1.3591508892713713</v>
      </c>
      <c r="CS162" s="29">
        <v>1.3657262360832404E-2</v>
      </c>
      <c r="CT162" s="29"/>
      <c r="CU162" s="29"/>
      <c r="CV162" s="29"/>
    </row>
    <row r="163" spans="1:132" x14ac:dyDescent="0.2">
      <c r="A163" s="50" t="s">
        <v>376</v>
      </c>
      <c r="B163" t="s">
        <v>647</v>
      </c>
      <c r="D163" t="s">
        <v>646</v>
      </c>
      <c r="F163" s="33"/>
      <c r="H163" s="6" t="s">
        <v>655</v>
      </c>
      <c r="I163" s="6" t="s">
        <v>654</v>
      </c>
      <c r="J163" s="6" t="s">
        <v>653</v>
      </c>
      <c r="K163" s="32" t="s">
        <v>648</v>
      </c>
      <c r="L163" s="6" t="s">
        <v>652</v>
      </c>
      <c r="M163" s="3" t="s">
        <v>651</v>
      </c>
      <c r="N163" s="6" t="s">
        <v>445</v>
      </c>
      <c r="O163" s="178">
        <v>18.68</v>
      </c>
      <c r="P163" s="3" t="s">
        <v>650</v>
      </c>
      <c r="Q163" s="45" t="s">
        <v>649</v>
      </c>
      <c r="R163" s="45"/>
      <c r="S163" s="45"/>
      <c r="T163" s="38" t="e">
        <f t="shared" si="5"/>
        <v>#VALUE!</v>
      </c>
      <c r="U163" s="45"/>
      <c r="Z163" s="8"/>
      <c r="CQ163" s="29"/>
      <c r="CR163" s="30"/>
      <c r="CS163" s="29"/>
      <c r="CT163" s="29"/>
      <c r="CU163" s="29"/>
      <c r="CV163" s="29"/>
    </row>
    <row r="164" spans="1:132" x14ac:dyDescent="0.2">
      <c r="A164" s="50" t="s">
        <v>376</v>
      </c>
      <c r="D164" s="50" t="s">
        <v>946</v>
      </c>
      <c r="E164">
        <v>146</v>
      </c>
      <c r="F164" s="33">
        <v>99.094711399999994</v>
      </c>
      <c r="H164" s="6">
        <v>42.999929999999999</v>
      </c>
      <c r="I164" s="6">
        <v>0.14013719999999999</v>
      </c>
      <c r="J164" s="6">
        <v>27.019850000000002</v>
      </c>
      <c r="K164" s="32">
        <v>7.3079999999999992E-2</v>
      </c>
      <c r="L164" s="6">
        <v>3.7179850000000001</v>
      </c>
      <c r="M164" s="3">
        <v>6.9735600000000009E-2</v>
      </c>
      <c r="N164" s="6">
        <v>4.8090700000000002</v>
      </c>
      <c r="O164" s="178">
        <v>19.868639999999999</v>
      </c>
      <c r="P164" s="3">
        <v>0.31678000000000001</v>
      </c>
      <c r="Q164" s="49">
        <v>7.9503599999999994E-2</v>
      </c>
      <c r="R164" s="45"/>
      <c r="S164" s="45"/>
      <c r="T164" s="38">
        <f t="shared" si="5"/>
        <v>69.749469284127017</v>
      </c>
      <c r="U164" s="45"/>
      <c r="V164">
        <v>20.100000000000001</v>
      </c>
      <c r="W164" s="2">
        <v>8.4000000000000005E-2</v>
      </c>
      <c r="X164" s="2">
        <v>14.3</v>
      </c>
      <c r="Y164" s="2">
        <v>2.89</v>
      </c>
      <c r="Z164" s="8">
        <v>540</v>
      </c>
      <c r="AA164" s="2">
        <v>2.9</v>
      </c>
      <c r="AB164" s="2">
        <v>14.2</v>
      </c>
      <c r="AC164">
        <v>0.23499999999999999</v>
      </c>
      <c r="AD164" s="31">
        <v>660</v>
      </c>
      <c r="AI164" s="30">
        <v>6.4</v>
      </c>
      <c r="AJ164" s="8">
        <v>500</v>
      </c>
      <c r="AK164">
        <v>23</v>
      </c>
      <c r="AL164" s="33">
        <v>15.1</v>
      </c>
      <c r="AM164" s="31">
        <v>160</v>
      </c>
      <c r="AO164" s="33">
        <v>2.9</v>
      </c>
      <c r="AQ164" s="30">
        <v>1.02</v>
      </c>
      <c r="AS164" s="30">
        <v>3.6</v>
      </c>
      <c r="AU164" s="31">
        <v>300</v>
      </c>
      <c r="AV164" s="54">
        <v>7.3461204978553338</v>
      </c>
      <c r="AW164" s="31" t="s">
        <v>708</v>
      </c>
      <c r="BD164" s="30">
        <v>7.1999999999999995E-2</v>
      </c>
      <c r="BG164" s="30">
        <v>6.6000000000000003E-2</v>
      </c>
      <c r="BH164" s="126">
        <v>820</v>
      </c>
      <c r="BI164" s="30">
        <v>2.5</v>
      </c>
      <c r="BJ164">
        <v>5.3</v>
      </c>
      <c r="BK164" s="51">
        <v>0.62900463383144911</v>
      </c>
      <c r="BL164" s="79">
        <v>2.6</v>
      </c>
      <c r="BM164" s="30">
        <v>0.93</v>
      </c>
      <c r="BN164" s="30">
        <v>0.78</v>
      </c>
      <c r="BO164" s="51">
        <v>1.1255842938188523</v>
      </c>
      <c r="BP164" s="30">
        <v>0.21</v>
      </c>
      <c r="BQ164">
        <v>1.36</v>
      </c>
      <c r="BR164">
        <v>0.25</v>
      </c>
      <c r="BS164" s="52">
        <v>0.78365620906046551</v>
      </c>
      <c r="BT164" s="53">
        <v>0.11390625953694879</v>
      </c>
      <c r="BU164">
        <v>0.73</v>
      </c>
      <c r="BV164" s="32">
        <v>7.8E-2</v>
      </c>
      <c r="BW164" s="30">
        <v>0.65</v>
      </c>
      <c r="BX164" s="30">
        <v>0.107</v>
      </c>
      <c r="BZ164" s="33">
        <v>5.3</v>
      </c>
      <c r="CA164" s="33">
        <v>2.2999999999999998</v>
      </c>
      <c r="CE164" s="30">
        <v>0.37</v>
      </c>
      <c r="CF164" s="549" t="s">
        <v>1482</v>
      </c>
      <c r="CI164" s="29">
        <v>1.0088605316504933</v>
      </c>
      <c r="CJ164" s="41">
        <v>1.1715242671563735</v>
      </c>
      <c r="CK164" s="29">
        <v>1.1963680826496899</v>
      </c>
      <c r="CM164" s="30">
        <v>0.39784946236559138</v>
      </c>
      <c r="CN164" s="29" t="e">
        <v>#VALUE!</v>
      </c>
      <c r="CQ164" s="29">
        <v>3.7691706663690143E-2</v>
      </c>
      <c r="CR164" s="30"/>
      <c r="CS164" s="29">
        <v>1.8756288688631075E-2</v>
      </c>
      <c r="CT164" s="29"/>
      <c r="CU164" s="29"/>
      <c r="CV164" s="29"/>
      <c r="CW164" s="29">
        <v>0.25160185353257963</v>
      </c>
      <c r="CX164" s="29">
        <v>0.11868011959083946</v>
      </c>
      <c r="CY164" s="29">
        <v>0.24192485916594195</v>
      </c>
      <c r="CZ164" s="29">
        <v>0.67634906863596678</v>
      </c>
    </row>
    <row r="165" spans="1:132" x14ac:dyDescent="0.2">
      <c r="A165" s="50" t="s">
        <v>376</v>
      </c>
      <c r="D165" s="50" t="s">
        <v>1354</v>
      </c>
      <c r="E165">
        <v>140</v>
      </c>
      <c r="H165">
        <v>41.42</v>
      </c>
      <c r="I165">
        <v>0.17299999999999999</v>
      </c>
      <c r="J165">
        <v>27.76</v>
      </c>
      <c r="K165">
        <v>0.08</v>
      </c>
      <c r="L165">
        <v>3.61</v>
      </c>
      <c r="M165">
        <v>6.9000000000000006E-2</v>
      </c>
      <c r="N165">
        <v>4.84</v>
      </c>
      <c r="O165">
        <v>17.239999999999998</v>
      </c>
      <c r="P165">
        <v>0.38700000000000001</v>
      </c>
      <c r="Q165">
        <v>7.6999999999999999E-2</v>
      </c>
      <c r="R165">
        <v>0.434</v>
      </c>
      <c r="T165" s="38">
        <f t="shared" si="5"/>
        <v>70.501221250653444</v>
      </c>
      <c r="W165"/>
      <c r="AI165">
        <v>6.52</v>
      </c>
      <c r="AJ165">
        <v>527</v>
      </c>
      <c r="AK165">
        <v>18.100000000000001</v>
      </c>
      <c r="AL165">
        <v>15.3</v>
      </c>
      <c r="AM165">
        <v>143</v>
      </c>
      <c r="AN165">
        <v>5.4</v>
      </c>
      <c r="AO165">
        <v>3.7</v>
      </c>
      <c r="AT165">
        <v>0.88</v>
      </c>
      <c r="AU165">
        <v>440</v>
      </c>
      <c r="AV165">
        <v>9.6</v>
      </c>
      <c r="AW165">
        <v>39.9</v>
      </c>
      <c r="AX165">
        <v>2.2599999999999998</v>
      </c>
      <c r="AY165">
        <v>0.94</v>
      </c>
      <c r="BA165">
        <v>0.16</v>
      </c>
      <c r="BG165">
        <v>2.1999999999999999E-2</v>
      </c>
      <c r="BH165">
        <v>1203</v>
      </c>
      <c r="BI165">
        <v>3.52</v>
      </c>
      <c r="BJ165">
        <v>7.62</v>
      </c>
      <c r="BK165">
        <v>1.07</v>
      </c>
      <c r="BL165">
        <v>4.8499999999999996</v>
      </c>
      <c r="BM165">
        <v>1.33</v>
      </c>
      <c r="BN165">
        <v>1.02</v>
      </c>
      <c r="BO165">
        <v>1.48</v>
      </c>
      <c r="BP165">
        <v>0.27</v>
      </c>
      <c r="BQ165">
        <v>1.62</v>
      </c>
      <c r="BR165">
        <v>0.34</v>
      </c>
      <c r="BS165">
        <v>1</v>
      </c>
      <c r="BT165">
        <v>0.14000000000000001</v>
      </c>
      <c r="BU165">
        <v>0.9</v>
      </c>
      <c r="BV165">
        <v>0.13</v>
      </c>
      <c r="BW165">
        <v>0.69</v>
      </c>
      <c r="BX165">
        <v>0.2</v>
      </c>
      <c r="BY165" t="s">
        <v>1352</v>
      </c>
      <c r="BZ165">
        <v>0.39</v>
      </c>
      <c r="CA165">
        <v>0.47</v>
      </c>
      <c r="CC165">
        <v>1.35</v>
      </c>
      <c r="CE165"/>
      <c r="CF165"/>
      <c r="CG165" s="30"/>
      <c r="CI165" s="30"/>
      <c r="CQ165" s="29">
        <v>4.7922437673130189E-2</v>
      </c>
    </row>
    <row r="166" spans="1:132" x14ac:dyDescent="0.2">
      <c r="A166" s="50" t="s">
        <v>376</v>
      </c>
      <c r="F166" s="33"/>
      <c r="H166" s="6"/>
      <c r="O166" s="178"/>
      <c r="P166" s="3"/>
      <c r="Q166" s="49"/>
      <c r="R166" s="45"/>
      <c r="S166" s="45"/>
      <c r="T166" s="38" t="e">
        <f t="shared" si="5"/>
        <v>#DIV/0!</v>
      </c>
      <c r="U166" s="45"/>
      <c r="Z166" s="8"/>
      <c r="AD166" s="31"/>
      <c r="AJ166" s="8"/>
      <c r="AQ166" s="274"/>
      <c r="AT166" s="30"/>
      <c r="BH166" s="126"/>
      <c r="BK166" s="6"/>
      <c r="BL166" s="79"/>
      <c r="BO166" s="6"/>
      <c r="BS166" s="65"/>
      <c r="BT166" s="41"/>
      <c r="CF166" s="48"/>
      <c r="CI166" s="29"/>
      <c r="CJ166" s="41"/>
      <c r="CK166" s="29"/>
      <c r="CM166" s="30"/>
      <c r="CN166" s="29"/>
      <c r="CQ166" s="29"/>
      <c r="CR166" s="30"/>
      <c r="CS166" s="29"/>
      <c r="CT166" s="29"/>
      <c r="CU166" s="29"/>
      <c r="CV166" s="29"/>
      <c r="CW166" s="29"/>
      <c r="CX166" s="29"/>
      <c r="CY166" s="29"/>
      <c r="CZ166" s="29"/>
    </row>
    <row r="167" spans="1:132" x14ac:dyDescent="0.2">
      <c r="A167" s="50" t="s">
        <v>1481</v>
      </c>
      <c r="D167" t="s">
        <v>1093</v>
      </c>
      <c r="E167">
        <v>679.51</v>
      </c>
      <c r="H167" s="47"/>
      <c r="I167" s="265">
        <v>0.14023303501020454</v>
      </c>
      <c r="J167" s="395">
        <v>30.767944961180508</v>
      </c>
      <c r="K167" s="32">
        <v>6.4968977158246372E-2</v>
      </c>
      <c r="L167" s="6">
        <v>3.0509209135995055</v>
      </c>
      <c r="M167" s="396">
        <v>5.2628963018285638E-2</v>
      </c>
      <c r="N167" s="265">
        <v>4.0201893094504744</v>
      </c>
      <c r="O167" s="7">
        <v>18.316959720975408</v>
      </c>
      <c r="P167" s="32">
        <v>0.34180990713896775</v>
      </c>
      <c r="Q167" s="32">
        <v>8.5597960294918396E-2</v>
      </c>
      <c r="T167" s="38">
        <f t="shared" si="5"/>
        <v>70.139712581547528</v>
      </c>
      <c r="AI167" s="30">
        <v>5.4554717369869463</v>
      </c>
      <c r="AJ167" s="31">
        <v>444.50586452002176</v>
      </c>
      <c r="AL167" s="33">
        <v>11.131490191461493</v>
      </c>
      <c r="AM167" s="31">
        <v>101.00098600462097</v>
      </c>
      <c r="AN167" s="31">
        <v>4.0279009874762703</v>
      </c>
      <c r="AQ167" s="30">
        <v>0.46082956836543976</v>
      </c>
      <c r="AR167" s="30">
        <v>0.18960393167259471</v>
      </c>
      <c r="AS167" s="30">
        <v>0.6176511015290429</v>
      </c>
      <c r="AT167" s="31">
        <v>0.63260731998057418</v>
      </c>
      <c r="AU167" s="31">
        <v>280.04167709084487</v>
      </c>
      <c r="AV167" s="54">
        <v>5.755182374257199</v>
      </c>
      <c r="AW167" s="31">
        <v>17.267840061220582</v>
      </c>
      <c r="AZ167" s="30">
        <v>2.381539638857412E-2</v>
      </c>
      <c r="BD167" s="30">
        <v>4.9661667966623005E-3</v>
      </c>
      <c r="BG167" s="30">
        <v>1.649360568645053E-2</v>
      </c>
      <c r="BH167" s="31">
        <v>221.2527836234934</v>
      </c>
      <c r="BI167" s="30">
        <v>1.4262357434033348</v>
      </c>
      <c r="BJ167">
        <v>3.7638605760032964</v>
      </c>
      <c r="BK167" s="51">
        <v>0.47977917724411184</v>
      </c>
      <c r="BL167" s="33">
        <v>2.2931318155729867</v>
      </c>
      <c r="BM167" s="30">
        <v>0.68100282556548108</v>
      </c>
      <c r="BN167" s="30">
        <v>0.70878619887860361</v>
      </c>
      <c r="BO167" s="51">
        <v>0.80864212858415285</v>
      </c>
      <c r="BP167" s="30">
        <v>0.14242839987638151</v>
      </c>
      <c r="BQ167" s="74">
        <v>0.94274319254720385</v>
      </c>
      <c r="BR167" s="74">
        <v>0.20867430651186472</v>
      </c>
      <c r="BS167" s="52">
        <v>0.57623375359915208</v>
      </c>
      <c r="BT167" s="53">
        <v>8.4797065731844812E-2</v>
      </c>
      <c r="BU167">
        <v>0.55019867257288335</v>
      </c>
      <c r="BV167" s="32">
        <v>7.745488072287382E-2</v>
      </c>
      <c r="BW167" s="30">
        <v>0.484319656811526</v>
      </c>
      <c r="BX167" s="30">
        <v>6.0891333460876225E-2</v>
      </c>
      <c r="BY167">
        <v>0.10117128519079926</v>
      </c>
      <c r="BZ167" s="33">
        <v>4.0371488278318193</v>
      </c>
      <c r="CA167" s="33">
        <v>2.2523288840487998</v>
      </c>
      <c r="CE167" s="30">
        <v>0.21635943547556324</v>
      </c>
      <c r="CF167" s="30">
        <v>0.2518781769216053</v>
      </c>
      <c r="CG167" s="13"/>
      <c r="CH167" s="6"/>
      <c r="CI167" s="29">
        <v>0.81632474327503413</v>
      </c>
      <c r="CJ167" s="41">
        <v>0.81513028757468675</v>
      </c>
      <c r="CK167" s="29">
        <v>0.79447135490273757</v>
      </c>
      <c r="CL167" s="29"/>
      <c r="CM167" s="30">
        <v>0.31770710392560542</v>
      </c>
      <c r="CN167" s="29">
        <v>0.36986362973230608</v>
      </c>
      <c r="CQ167" s="29"/>
    </row>
    <row r="168" spans="1:132" x14ac:dyDescent="0.2">
      <c r="A168" s="50" t="s">
        <v>376</v>
      </c>
      <c r="D168" t="s">
        <v>1094</v>
      </c>
      <c r="H168" s="30">
        <v>43.5</v>
      </c>
      <c r="I168" s="6">
        <v>0.18</v>
      </c>
      <c r="J168" s="6">
        <v>28.8</v>
      </c>
      <c r="K168" s="32" t="s">
        <v>642</v>
      </c>
      <c r="L168" s="6">
        <v>3.62</v>
      </c>
      <c r="M168" s="3">
        <v>7.0000000000000007E-2</v>
      </c>
      <c r="N168" s="6">
        <v>4.62</v>
      </c>
      <c r="O168" s="186">
        <v>18.399999999999999</v>
      </c>
      <c r="P168" s="32" t="s">
        <v>1483</v>
      </c>
      <c r="Q168" s="32">
        <v>0.09</v>
      </c>
      <c r="R168" s="32">
        <v>0.22</v>
      </c>
      <c r="T168" s="38">
        <f t="shared" si="5"/>
        <v>69.465963765280051</v>
      </c>
      <c r="Z168" s="8">
        <v>542.13135068153667</v>
      </c>
      <c r="AD168" s="31">
        <v>747.08999999999992</v>
      </c>
      <c r="AJ168" s="31" t="e">
        <v>#VALUE!</v>
      </c>
      <c r="CQ168" s="29">
        <v>4.9723756906077346E-2</v>
      </c>
      <c r="CR168" s="30">
        <v>1.2762430939226519</v>
      </c>
      <c r="CS168" s="29">
        <v>1.9337016574585638E-2</v>
      </c>
      <c r="CT168" s="29"/>
      <c r="CU168" s="29"/>
      <c r="CV168" s="29"/>
    </row>
    <row r="169" spans="1:132" s="130" customFormat="1" ht="20.100000000000001" customHeight="1" x14ac:dyDescent="0.2">
      <c r="A169" s="163" t="s">
        <v>376</v>
      </c>
      <c r="D169" s="130" t="s">
        <v>279</v>
      </c>
      <c r="H169" s="146">
        <v>43.211307500000004</v>
      </c>
      <c r="I169" s="146">
        <v>0.16337664700204088</v>
      </c>
      <c r="J169" s="146">
        <v>28.651428992236099</v>
      </c>
      <c r="K169" s="139">
        <v>7.4609244289561588E-2</v>
      </c>
      <c r="L169" s="137">
        <v>3.5562431827199008</v>
      </c>
      <c r="M169" s="141">
        <v>6.2604112603657142E-2</v>
      </c>
      <c r="N169" s="146">
        <v>4.6859978618900948</v>
      </c>
      <c r="O169" s="399">
        <v>18.309279953495899</v>
      </c>
      <c r="P169" s="139">
        <v>0.33418947678474198</v>
      </c>
      <c r="Q169" s="141">
        <v>8.1357352058983673E-2</v>
      </c>
      <c r="R169" s="141">
        <v>0.25466240000000001</v>
      </c>
      <c r="T169" s="38">
        <f t="shared" si="5"/>
        <v>70.139475336851646</v>
      </c>
      <c r="W169" s="136">
        <v>9.7000000000000003E-2</v>
      </c>
      <c r="X169" s="136">
        <v>14.8</v>
      </c>
      <c r="Y169" s="136">
        <v>2.915</v>
      </c>
      <c r="Z169" s="135">
        <v>494.04378356051228</v>
      </c>
      <c r="AA169" s="136">
        <v>3</v>
      </c>
      <c r="AB169" s="136">
        <v>13.3</v>
      </c>
      <c r="AC169" s="130">
        <v>0.23749999999999999</v>
      </c>
      <c r="AD169" s="135">
        <v>675.6966666666666</v>
      </c>
      <c r="AE169" s="150">
        <v>480</v>
      </c>
      <c r="AF169" s="130" t="e">
        <v>#DIV/0!</v>
      </c>
      <c r="AG169" s="130" t="e">
        <v>#DIV/0!</v>
      </c>
      <c r="AH169" s="150" t="e">
        <v>#DIV/0!</v>
      </c>
      <c r="AI169" s="137">
        <v>5.9438679342467369</v>
      </c>
      <c r="AJ169" s="135" t="e">
        <v>#VALUE!</v>
      </c>
      <c r="AK169" s="137">
        <v>20.55</v>
      </c>
      <c r="AL169" s="138">
        <v>13.882872547865375</v>
      </c>
      <c r="AM169" s="135">
        <v>129.25024650115523</v>
      </c>
      <c r="AN169" s="135">
        <v>4.7139504937381353</v>
      </c>
      <c r="AO169" s="138">
        <v>3.3</v>
      </c>
      <c r="AP169" s="138" t="e">
        <v>#DIV/0!</v>
      </c>
      <c r="AQ169" s="137">
        <v>0.59360985612181327</v>
      </c>
      <c r="AR169" s="137">
        <v>0.18960393167259471</v>
      </c>
      <c r="AS169" s="137">
        <v>1.5558837005096808</v>
      </c>
      <c r="AT169" s="135">
        <v>0.75630365999028704</v>
      </c>
      <c r="AU169" s="135">
        <v>302.5104192727112</v>
      </c>
      <c r="AV169" s="138">
        <v>7.5671009573708439</v>
      </c>
      <c r="AW169" s="135">
        <v>28.58392003061029</v>
      </c>
      <c r="AX169" s="138">
        <v>2.2599999999999998</v>
      </c>
      <c r="AY169" s="137">
        <v>0.94</v>
      </c>
      <c r="AZ169" s="137">
        <v>2.381539638857412E-2</v>
      </c>
      <c r="BA169" s="137">
        <v>0.16</v>
      </c>
      <c r="BB169" s="137" t="e">
        <v>#DIV/0!</v>
      </c>
      <c r="BC169" s="137" t="e">
        <v>#DIV/0!</v>
      </c>
      <c r="BD169" s="137">
        <v>3.8483083398331147E-2</v>
      </c>
      <c r="BE169" s="137" t="e">
        <v>#DIV/0!</v>
      </c>
      <c r="BF169" s="137" t="e">
        <v>#DIV/0!</v>
      </c>
      <c r="BG169" s="137">
        <v>3.4831201895483506E-2</v>
      </c>
      <c r="BH169" s="135">
        <v>596.06319590587339</v>
      </c>
      <c r="BI169" s="137">
        <v>2.4820785811344446</v>
      </c>
      <c r="BJ169" s="137">
        <v>5.5612868586677662</v>
      </c>
      <c r="BK169" s="137">
        <v>0.72626127035852039</v>
      </c>
      <c r="BL169" s="138">
        <v>3.2477106051909956</v>
      </c>
      <c r="BM169" s="137">
        <v>0.98033427518849381</v>
      </c>
      <c r="BN169" s="137">
        <v>0.83626206629286781</v>
      </c>
      <c r="BO169" s="137">
        <v>1.1380754741343351</v>
      </c>
      <c r="BP169" s="137">
        <v>0.20747613329212719</v>
      </c>
      <c r="BQ169" s="137">
        <v>1.3075810641824015</v>
      </c>
      <c r="BR169" s="137">
        <v>0.26622476883728824</v>
      </c>
      <c r="BS169" s="137">
        <v>0.7866299875532059</v>
      </c>
      <c r="BT169" s="137">
        <v>0.1129011084229312</v>
      </c>
      <c r="BU169" s="137">
        <v>0.72673289085762782</v>
      </c>
      <c r="BV169" s="139">
        <v>9.5151626907624617E-2</v>
      </c>
      <c r="BW169" s="137">
        <v>0.60810655227050858</v>
      </c>
      <c r="BX169" s="137">
        <v>0.12263044448695874</v>
      </c>
      <c r="BY169" s="137">
        <v>0.10117128519079926</v>
      </c>
      <c r="BZ169" s="138">
        <v>3.4317872069579551</v>
      </c>
      <c r="CA169" s="138">
        <v>1.6741096280162664</v>
      </c>
      <c r="CB169" s="138" t="e">
        <v>#DIV/0!</v>
      </c>
      <c r="CC169" s="137">
        <v>1.35</v>
      </c>
      <c r="CD169" s="137" t="e">
        <v>#DIV/0!</v>
      </c>
      <c r="CE169" s="137">
        <v>0.29317971773778162</v>
      </c>
      <c r="CF169" s="137">
        <v>0.2518781769216053</v>
      </c>
      <c r="CQ169" s="29"/>
      <c r="CR169" s="137">
        <v>1.3176969915970116</v>
      </c>
      <c r="CS169" s="139">
        <v>1.7250189208016371E-2</v>
      </c>
      <c r="CT169" s="139"/>
      <c r="CU169" s="139"/>
      <c r="CV169" s="13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</row>
    <row r="170" spans="1:132" s="36" customFormat="1" x14ac:dyDescent="0.2">
      <c r="A170" s="36" t="s">
        <v>553</v>
      </c>
      <c r="H170" s="34">
        <v>43.211307500000004</v>
      </c>
      <c r="I170" s="34">
        <v>0.16337664700204088</v>
      </c>
      <c r="J170" s="34">
        <v>28.651428992236099</v>
      </c>
      <c r="K170" s="37">
        <v>7.4609244289561588E-2</v>
      </c>
      <c r="L170" s="34">
        <v>3.5562431827199008</v>
      </c>
      <c r="M170" s="37">
        <v>6.2604112603657142E-2</v>
      </c>
      <c r="N170" s="34">
        <v>4.6859978618900948</v>
      </c>
      <c r="O170" s="72">
        <v>18.309279953495899</v>
      </c>
      <c r="P170" s="160">
        <v>0.33799969196185486</v>
      </c>
      <c r="Q170" s="37">
        <v>8.1357352058983673E-2</v>
      </c>
      <c r="R170" s="37">
        <v>0.25466240000000001</v>
      </c>
      <c r="S170" s="37"/>
      <c r="T170" s="38">
        <f t="shared" si="5"/>
        <v>70.139475336851646</v>
      </c>
      <c r="U170" s="37"/>
      <c r="W170" s="34"/>
      <c r="X170" s="34"/>
      <c r="Y170" s="34"/>
      <c r="Z170" s="35">
        <v>494.04378356051228</v>
      </c>
      <c r="AA170" s="34"/>
      <c r="AB170" s="34"/>
      <c r="AC170" s="34"/>
      <c r="AD170" s="35">
        <v>675.6966666666666</v>
      </c>
      <c r="AE170" s="35">
        <v>480</v>
      </c>
      <c r="AF170" s="34"/>
      <c r="AG170" s="34"/>
      <c r="AH170" s="35" t="e">
        <v>#DIV/0!</v>
      </c>
      <c r="AI170" s="34">
        <v>5.9438679342467369</v>
      </c>
      <c r="AJ170" s="35" t="e">
        <v>#VALUE!</v>
      </c>
      <c r="AK170" s="35">
        <v>20.55</v>
      </c>
      <c r="AL170" s="72">
        <v>13.882872547865375</v>
      </c>
      <c r="AM170" s="35">
        <v>129.25024650115523</v>
      </c>
      <c r="AN170" s="35">
        <v>4.7139504937381353</v>
      </c>
      <c r="AO170" s="34">
        <v>3.3</v>
      </c>
      <c r="AP170" s="34"/>
      <c r="AQ170" s="34">
        <v>0.59360985612181327</v>
      </c>
      <c r="AR170" s="34"/>
      <c r="AS170" s="34">
        <v>1.5558837005096808</v>
      </c>
      <c r="AT170" s="35">
        <v>0.75630365999028704</v>
      </c>
      <c r="AU170" s="35">
        <v>302.5104192727112</v>
      </c>
      <c r="AV170" s="34">
        <v>7.5671009573708439</v>
      </c>
      <c r="AW170" s="35">
        <v>28.58392003061029</v>
      </c>
      <c r="AX170" s="34"/>
      <c r="AY170" s="34">
        <v>0.94</v>
      </c>
      <c r="AZ170" s="34"/>
      <c r="BA170" s="34"/>
      <c r="BB170" s="34"/>
      <c r="BC170" s="34"/>
      <c r="BD170" s="34">
        <v>3.8483083398331147E-2</v>
      </c>
      <c r="BE170" s="34"/>
      <c r="BF170" s="34"/>
      <c r="BG170" s="34">
        <v>3.4831201895483506E-2</v>
      </c>
      <c r="BH170" s="35">
        <v>596.06319590587339</v>
      </c>
      <c r="BI170" s="34">
        <v>2.4820785811344446</v>
      </c>
      <c r="BJ170" s="34">
        <v>5.5612868586677662</v>
      </c>
      <c r="BK170" s="158">
        <v>0.77269658326703594</v>
      </c>
      <c r="BL170" s="72">
        <v>3.2477106051909956</v>
      </c>
      <c r="BM170" s="34">
        <v>0.98033427518849381</v>
      </c>
      <c r="BN170" s="34">
        <v>0.83626206629286781</v>
      </c>
      <c r="BO170" s="34">
        <v>1.1380754741343351</v>
      </c>
      <c r="BP170" s="34">
        <v>0.20747613329212719</v>
      </c>
      <c r="BQ170" s="34">
        <v>1.3075810641824015</v>
      </c>
      <c r="BR170" s="34">
        <v>0.26622476883728824</v>
      </c>
      <c r="BS170" s="34">
        <v>0.7866299875532059</v>
      </c>
      <c r="BT170" s="34">
        <v>0.1129011084229312</v>
      </c>
      <c r="BU170" s="34">
        <v>0.72673289085762782</v>
      </c>
      <c r="BV170" s="37">
        <v>9.5151626907624617E-2</v>
      </c>
      <c r="BW170" s="34">
        <v>0.60810655227050858</v>
      </c>
      <c r="BX170" s="34">
        <v>0.12263044448695874</v>
      </c>
      <c r="BY170" s="34">
        <v>0.10117128519079926</v>
      </c>
      <c r="BZ170" s="72">
        <v>3.4317872069579551</v>
      </c>
      <c r="CA170" s="72">
        <v>1.6741096280162664</v>
      </c>
      <c r="CB170" s="34"/>
      <c r="CC170" s="34"/>
      <c r="CD170" s="34"/>
      <c r="CE170" s="34">
        <v>0.29317971773778162</v>
      </c>
      <c r="CF170" s="34">
        <v>0.2518781769216053</v>
      </c>
      <c r="CG170" s="34"/>
      <c r="CH170" s="34"/>
      <c r="CI170" s="34"/>
      <c r="CQ170" s="37">
        <v>4.5964165896636197E-2</v>
      </c>
      <c r="CR170" s="34">
        <v>1.3176969915970116</v>
      </c>
      <c r="CS170" s="34">
        <v>1.7250189208016371E-2</v>
      </c>
      <c r="CT170" s="34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</row>
    <row r="171" spans="1:132" x14ac:dyDescent="0.2">
      <c r="T171" s="38" t="e">
        <f t="shared" si="5"/>
        <v>#DIV/0!</v>
      </c>
      <c r="CM171" s="30"/>
    </row>
    <row r="172" spans="1:132" x14ac:dyDescent="0.2">
      <c r="T172" s="38" t="e">
        <f t="shared" si="5"/>
        <v>#DIV/0!</v>
      </c>
      <c r="CM172" s="30"/>
    </row>
    <row r="173" spans="1:132" x14ac:dyDescent="0.2">
      <c r="A173" t="s">
        <v>455</v>
      </c>
      <c r="B173" t="s">
        <v>1285</v>
      </c>
      <c r="D173" t="s">
        <v>460</v>
      </c>
      <c r="H173" s="30">
        <v>43.85</v>
      </c>
      <c r="I173" s="6">
        <v>0.30199999999999999</v>
      </c>
      <c r="J173" s="6">
        <v>26.65</v>
      </c>
      <c r="K173" s="32">
        <v>0.10199999999999999</v>
      </c>
      <c r="L173" s="6">
        <v>4.9800000000000004</v>
      </c>
      <c r="M173" s="3">
        <v>7.5999999999999998E-2</v>
      </c>
      <c r="N173" s="6">
        <v>6.53</v>
      </c>
      <c r="O173" s="7">
        <v>16.11</v>
      </c>
      <c r="P173" s="32" t="s">
        <v>949</v>
      </c>
      <c r="Q173" s="32">
        <v>6.5000000000000002E-2</v>
      </c>
      <c r="T173" s="38">
        <f t="shared" si="5"/>
        <v>70.036808727924566</v>
      </c>
      <c r="Z173" s="2">
        <v>588.62</v>
      </c>
      <c r="AD173">
        <v>539.56500000000005</v>
      </c>
      <c r="AI173" s="30">
        <v>10.199999999999999</v>
      </c>
      <c r="AJ173" s="31">
        <v>674</v>
      </c>
      <c r="AL173" s="33">
        <v>16.5</v>
      </c>
      <c r="AM173" s="31">
        <v>200</v>
      </c>
      <c r="AU173" s="31">
        <v>2010</v>
      </c>
      <c r="AV173">
        <v>12.952961823825635</v>
      </c>
      <c r="AW173" s="31">
        <v>62</v>
      </c>
      <c r="BG173" s="30">
        <v>0.55000000000000004</v>
      </c>
      <c r="BI173" s="30">
        <v>3.6</v>
      </c>
      <c r="BJ173">
        <v>8.6</v>
      </c>
      <c r="BK173">
        <v>1.1275297406634832</v>
      </c>
      <c r="BL173" s="33">
        <v>5.2</v>
      </c>
      <c r="BM173" s="30">
        <v>1.5</v>
      </c>
      <c r="BN173" s="30" t="s">
        <v>660</v>
      </c>
      <c r="BO173" s="30">
        <v>1.8778216233004397</v>
      </c>
      <c r="BP173" s="30">
        <v>0.35</v>
      </c>
      <c r="BQ173">
        <v>2.1622984153232885</v>
      </c>
      <c r="BR173">
        <v>0.47262165419528412</v>
      </c>
      <c r="BS173">
        <v>1.2887659322359584</v>
      </c>
      <c r="BT173">
        <v>0.18728163868441655</v>
      </c>
      <c r="BU173">
        <v>1.2</v>
      </c>
      <c r="BV173" s="32">
        <v>0.2</v>
      </c>
      <c r="BW173" s="30">
        <v>1.3</v>
      </c>
      <c r="BZ173" s="33">
        <v>7.2</v>
      </c>
      <c r="CA173" s="33">
        <v>3</v>
      </c>
      <c r="CE173" s="30">
        <v>0.8</v>
      </c>
      <c r="CF173" s="30">
        <v>0.27</v>
      </c>
      <c r="CM173" s="30"/>
      <c r="DB173">
        <v>1.5</v>
      </c>
    </row>
    <row r="174" spans="1:132" x14ac:dyDescent="0.2">
      <c r="K174" s="32">
        <v>9.8511839999999989E-2</v>
      </c>
      <c r="T174" s="38" t="e">
        <f t="shared" si="5"/>
        <v>#DIV/0!</v>
      </c>
      <c r="BN174" s="30">
        <v>1.3</v>
      </c>
      <c r="CM174" s="30"/>
    </row>
    <row r="175" spans="1:132" x14ac:dyDescent="0.2">
      <c r="A175" t="s">
        <v>455</v>
      </c>
      <c r="D175" t="s">
        <v>1282</v>
      </c>
      <c r="E175" s="41" t="s">
        <v>1288</v>
      </c>
      <c r="F175" s="39">
        <v>98.84</v>
      </c>
      <c r="H175" s="30">
        <v>43.9</v>
      </c>
      <c r="I175" s="6">
        <v>0.3</v>
      </c>
      <c r="J175" s="6">
        <v>26.7</v>
      </c>
      <c r="K175" s="32">
        <v>0.1</v>
      </c>
      <c r="L175" s="6">
        <v>4.9800000000000004</v>
      </c>
      <c r="M175" s="3">
        <v>0.08</v>
      </c>
      <c r="N175" s="6">
        <v>6.53</v>
      </c>
      <c r="O175" s="7">
        <v>16.100000000000001</v>
      </c>
      <c r="P175" s="32" t="s">
        <v>1283</v>
      </c>
      <c r="Q175" s="32">
        <v>7.0000000000000007E-2</v>
      </c>
      <c r="R175" s="32">
        <v>0.08</v>
      </c>
      <c r="S175">
        <v>0.27</v>
      </c>
      <c r="T175" s="38">
        <f t="shared" si="5"/>
        <v>70.036808727924566</v>
      </c>
      <c r="V175" s="63"/>
      <c r="Z175" s="8"/>
      <c r="AD175" s="31"/>
      <c r="AE175" s="8"/>
      <c r="AG175" s="33"/>
      <c r="AI175" s="30">
        <v>10.199999999999999</v>
      </c>
      <c r="AJ175" s="31">
        <v>674</v>
      </c>
      <c r="AL175" s="33">
        <v>16.5</v>
      </c>
      <c r="AM175" s="31">
        <v>200</v>
      </c>
      <c r="AU175" s="31">
        <v>2010</v>
      </c>
      <c r="AV175" s="54">
        <v>12.952961823825635</v>
      </c>
      <c r="AW175" s="31">
        <v>62</v>
      </c>
      <c r="BG175" s="30">
        <v>0.55000000000000004</v>
      </c>
      <c r="BH175" s="31">
        <v>340</v>
      </c>
      <c r="BI175" s="30">
        <v>3.6</v>
      </c>
      <c r="BJ175">
        <v>8.6</v>
      </c>
      <c r="BK175" s="51">
        <v>1.1275297406634832</v>
      </c>
      <c r="BL175" s="33">
        <v>5.2</v>
      </c>
      <c r="BM175" s="30">
        <v>1.5</v>
      </c>
      <c r="BN175" s="413">
        <v>0.90093349854047933</v>
      </c>
      <c r="BO175" s="51">
        <v>1.8778216233004397</v>
      </c>
      <c r="BP175" s="30">
        <v>0.35</v>
      </c>
      <c r="BQ175" s="74">
        <v>2.1622984153232885</v>
      </c>
      <c r="BR175" s="74">
        <v>0.47262165419528412</v>
      </c>
      <c r="BS175" s="52">
        <v>1.2887659322359584</v>
      </c>
      <c r="BT175" s="53">
        <v>0.18728163868441655</v>
      </c>
      <c r="BU175">
        <v>1.2</v>
      </c>
      <c r="BV175" s="32">
        <v>0.21</v>
      </c>
      <c r="BW175" s="30">
        <v>1.3</v>
      </c>
      <c r="BX175" s="30">
        <v>0.1</v>
      </c>
      <c r="BZ175" s="33">
        <v>7.2</v>
      </c>
      <c r="CA175" s="33">
        <v>3</v>
      </c>
      <c r="CE175" s="30">
        <v>0.8</v>
      </c>
      <c r="CF175" s="30">
        <v>0.27</v>
      </c>
      <c r="CH175" s="6"/>
      <c r="CI175" s="29">
        <v>1.7026985645013175</v>
      </c>
      <c r="CJ175" s="41">
        <v>1.9313112766882667</v>
      </c>
      <c r="CK175" s="29">
        <v>1.9994550287117343</v>
      </c>
      <c r="CL175" s="29"/>
      <c r="CM175" s="30">
        <v>0.53333333333333333</v>
      </c>
      <c r="CN175" s="29">
        <v>0.18000000000000002</v>
      </c>
      <c r="CO175" s="29"/>
      <c r="CP175" s="29"/>
      <c r="CQ175" s="29">
        <v>6.0240963855421679E-2</v>
      </c>
      <c r="CR175" s="30">
        <v>1.3112449799196786</v>
      </c>
      <c r="CS175" s="29">
        <v>1.6064257028112448E-2</v>
      </c>
      <c r="CT175" s="29"/>
      <c r="CU175" s="29"/>
      <c r="CV175" s="29"/>
      <c r="CW175" s="29"/>
      <c r="CX175" s="29"/>
      <c r="CY175" s="29"/>
      <c r="CZ175" s="29"/>
      <c r="DB175" s="30"/>
    </row>
    <row r="176" spans="1:132" x14ac:dyDescent="0.2">
      <c r="A176" t="s">
        <v>455</v>
      </c>
      <c r="D176" s="50" t="s">
        <v>946</v>
      </c>
      <c r="E176">
        <v>104</v>
      </c>
      <c r="F176" s="39"/>
      <c r="H176" s="6">
        <v>44.711369999999995</v>
      </c>
      <c r="I176" s="6">
        <v>0.30029399999999995</v>
      </c>
      <c r="J176" s="6">
        <v>26.641949999999998</v>
      </c>
      <c r="K176" s="32">
        <v>0.1183896</v>
      </c>
      <c r="L176" s="6">
        <v>4.8243749999999999</v>
      </c>
      <c r="M176" s="3">
        <v>7.3609800000000003E-2</v>
      </c>
      <c r="N176" s="6">
        <v>6.3678720000000002</v>
      </c>
      <c r="O176" s="7">
        <v>15.67104</v>
      </c>
      <c r="P176" s="3">
        <v>0.34104400000000001</v>
      </c>
      <c r="Q176" s="49">
        <v>5.4206999999999991E-2</v>
      </c>
      <c r="T176" s="38">
        <f t="shared" si="5"/>
        <v>70.17527670401914</v>
      </c>
      <c r="V176" s="33">
        <v>20.9</v>
      </c>
      <c r="W176" s="2">
        <v>0.18</v>
      </c>
      <c r="X176" s="2">
        <v>14.1</v>
      </c>
      <c r="Y176" s="2">
        <v>3.75</v>
      </c>
      <c r="Z176" s="8">
        <v>570</v>
      </c>
      <c r="AA176" s="2">
        <v>3.84</v>
      </c>
      <c r="AB176" s="2">
        <v>11.2</v>
      </c>
      <c r="AC176">
        <v>0.253</v>
      </c>
      <c r="AD176" s="31">
        <v>450</v>
      </c>
      <c r="AE176" s="8"/>
      <c r="AG176" s="33"/>
      <c r="AI176" s="30">
        <v>9.8000000000000007</v>
      </c>
      <c r="AJ176" s="8">
        <v>810</v>
      </c>
      <c r="AK176">
        <v>23</v>
      </c>
      <c r="AL176" s="33">
        <v>15.3</v>
      </c>
      <c r="AM176" s="76">
        <v>113</v>
      </c>
      <c r="AO176" s="33">
        <v>3.1</v>
      </c>
      <c r="AQ176" s="30">
        <v>0.17</v>
      </c>
      <c r="AS176" s="30">
        <v>1.1100000000000001</v>
      </c>
      <c r="AU176" s="31">
        <v>1410</v>
      </c>
      <c r="AV176" s="54">
        <v>10.816347886525483</v>
      </c>
      <c r="AW176" s="31">
        <v>42</v>
      </c>
      <c r="BD176" s="30">
        <v>2.1999999999999999E-2</v>
      </c>
      <c r="BG176" s="30" t="s">
        <v>418</v>
      </c>
      <c r="BH176" s="31">
        <v>110</v>
      </c>
      <c r="BI176" s="30">
        <v>3</v>
      </c>
      <c r="BJ176">
        <v>7.4</v>
      </c>
      <c r="BK176" s="51">
        <v>0.99189096313125202</v>
      </c>
      <c r="BL176" s="39">
        <v>4.7</v>
      </c>
      <c r="BM176" s="30">
        <v>1.35</v>
      </c>
      <c r="BN176" s="30">
        <v>0.74</v>
      </c>
      <c r="BO176" s="51">
        <v>1.5490572333715154</v>
      </c>
      <c r="BP176" s="30">
        <v>0.27</v>
      </c>
      <c r="BQ176" s="68">
        <v>1.6</v>
      </c>
      <c r="BR176" s="29">
        <v>0.38</v>
      </c>
      <c r="BS176" s="52">
        <v>1.1177049892682898</v>
      </c>
      <c r="BT176" s="53">
        <v>0.16468964527574759</v>
      </c>
      <c r="BU176">
        <v>1.07</v>
      </c>
      <c r="BV176" s="32">
        <v>0.16</v>
      </c>
      <c r="BW176" s="30">
        <v>0.98</v>
      </c>
      <c r="BX176" s="30">
        <v>0.13</v>
      </c>
      <c r="BZ176" s="39">
        <v>4.5</v>
      </c>
      <c r="CA176" s="33">
        <v>4.9000000000000004</v>
      </c>
      <c r="CE176" s="38">
        <v>0.46</v>
      </c>
      <c r="CF176" s="38">
        <v>0.19</v>
      </c>
      <c r="CG176" s="40"/>
      <c r="CH176" s="6"/>
      <c r="CI176" s="29">
        <v>1.5803372666565145</v>
      </c>
      <c r="CJ176" s="41">
        <v>1.5684405278594304</v>
      </c>
      <c r="CK176" s="29">
        <v>1.4983939055986015</v>
      </c>
      <c r="CL176" s="29"/>
      <c r="CM176" s="30">
        <v>0.34074074074074073</v>
      </c>
      <c r="CN176" s="29">
        <v>0.14074074074074072</v>
      </c>
      <c r="CO176" s="29"/>
      <c r="CP176" s="29"/>
      <c r="CQ176" s="29">
        <v>6.2245161290322572E-2</v>
      </c>
      <c r="CR176" s="30">
        <v>1.3199371939370386</v>
      </c>
      <c r="CS176" s="29">
        <v>1.5257893509521959E-2</v>
      </c>
      <c r="CT176" s="29"/>
      <c r="CU176" s="29"/>
      <c r="CV176" s="29"/>
      <c r="CW176" s="29"/>
      <c r="CX176" s="29"/>
      <c r="CY176" s="29"/>
      <c r="CZ176" s="29"/>
      <c r="DB176" s="30">
        <v>2.3260869565217392</v>
      </c>
    </row>
    <row r="177" spans="1:132" x14ac:dyDescent="0.2">
      <c r="A177" t="s">
        <v>455</v>
      </c>
      <c r="D177" t="s">
        <v>233</v>
      </c>
      <c r="E177">
        <v>32</v>
      </c>
      <c r="F177" s="39"/>
      <c r="H177" s="30">
        <v>44.155972821056316</v>
      </c>
      <c r="I177" s="6">
        <v>0.2829056500438985</v>
      </c>
      <c r="J177" s="6">
        <v>27.28257134955544</v>
      </c>
      <c r="K177" s="32">
        <v>0.11460402198228883</v>
      </c>
      <c r="L177" s="6">
        <v>4.6868358310626697</v>
      </c>
      <c r="M177" s="3">
        <v>4.5752315816533301E-2</v>
      </c>
      <c r="N177" s="6">
        <v>6.8553541682066506</v>
      </c>
      <c r="O177" s="7">
        <v>16.313035778192511</v>
      </c>
      <c r="P177" s="32">
        <v>0.33840043142597637</v>
      </c>
      <c r="Q177" s="32">
        <v>3.8274050973802945E-2</v>
      </c>
      <c r="R177" s="32">
        <v>5.4620782278337318E-2</v>
      </c>
      <c r="T177" s="38">
        <f t="shared" si="5"/>
        <v>72.279062583095836</v>
      </c>
      <c r="V177" s="63"/>
      <c r="Z177" s="8"/>
      <c r="AD177" s="31">
        <v>317.71289713353826</v>
      </c>
      <c r="AE177" s="8"/>
      <c r="AG177" s="33"/>
      <c r="AJ177" s="31">
        <v>784.12071840282022</v>
      </c>
      <c r="AM177" s="46"/>
      <c r="AX177"/>
      <c r="AY177"/>
      <c r="AZ177"/>
      <c r="BA177"/>
      <c r="BB177"/>
      <c r="BC177"/>
      <c r="BD177"/>
      <c r="BE177"/>
      <c r="BF177"/>
      <c r="BG177"/>
      <c r="BZ177" s="79"/>
      <c r="CE177" s="48"/>
      <c r="CF177" s="48"/>
      <c r="CG177" s="40"/>
      <c r="CH177" s="6"/>
      <c r="CI177" s="29"/>
      <c r="CJ177" s="41"/>
      <c r="CK177" s="29"/>
      <c r="CL177" s="29"/>
      <c r="CM177" s="30"/>
      <c r="CN177" s="29"/>
      <c r="CO177" s="29"/>
      <c r="CP177" s="29"/>
      <c r="CQ177" s="29">
        <v>6.0361757962355149E-2</v>
      </c>
      <c r="CR177" s="30">
        <v>1.4626828024937033</v>
      </c>
      <c r="CS177" s="29">
        <v>9.7618771951224186E-3</v>
      </c>
      <c r="CT177" s="29"/>
      <c r="CU177" s="29"/>
      <c r="CV177" s="29"/>
      <c r="CW177" s="29"/>
      <c r="CX177" s="29"/>
      <c r="CY177" s="29"/>
      <c r="CZ177" s="29"/>
      <c r="DB177" s="30" t="e">
        <v>#DIV/0!</v>
      </c>
    </row>
    <row r="178" spans="1:132" s="130" customFormat="1" x14ac:dyDescent="0.2">
      <c r="A178" s="130" t="s">
        <v>455</v>
      </c>
      <c r="D178" s="130" t="s">
        <v>233</v>
      </c>
      <c r="E178" s="130">
        <v>73</v>
      </c>
      <c r="F178" s="154"/>
      <c r="H178"/>
      <c r="I178" s="265">
        <v>0.29504382889680331</v>
      </c>
      <c r="J178" s="395">
        <v>28.147438428941321</v>
      </c>
      <c r="K178" s="32">
        <v>0.11196729553941057</v>
      </c>
      <c r="L178" s="137">
        <v>4.7643755997258399</v>
      </c>
      <c r="M178" s="396">
        <v>7.4794248025613005E-2</v>
      </c>
      <c r="N178" s="265">
        <v>6.1619516096269766</v>
      </c>
      <c r="O178" s="138">
        <v>15.498999314599043</v>
      </c>
      <c r="P178" s="141">
        <v>0.34522028786840303</v>
      </c>
      <c r="Q178" s="141" t="s">
        <v>462</v>
      </c>
      <c r="R178" s="141"/>
      <c r="T178" s="38">
        <f t="shared" si="5"/>
        <v>69.747468881762103</v>
      </c>
      <c r="V178" s="164"/>
      <c r="W178" s="136"/>
      <c r="X178" s="136"/>
      <c r="Y178" s="136"/>
      <c r="AA178" s="136"/>
      <c r="AB178" s="136"/>
      <c r="AD178" s="31"/>
      <c r="AE178" s="8"/>
      <c r="AG178" s="33"/>
      <c r="AI178" s="146">
        <v>9.817084304318028</v>
      </c>
      <c r="AJ178" s="150">
        <v>766.05976696367384</v>
      </c>
      <c r="AL178" s="149">
        <v>15.388047978067171</v>
      </c>
      <c r="AM178" s="150">
        <v>126.84208361891707</v>
      </c>
      <c r="AN178" s="165">
        <v>16.1395339273475</v>
      </c>
      <c r="AO178" s="149"/>
      <c r="AQ178" s="146"/>
      <c r="AR178" s="146"/>
      <c r="AS178" s="146"/>
      <c r="AT178" s="150"/>
      <c r="AU178" s="150">
        <v>2091.5743660041126</v>
      </c>
      <c r="AV178" s="142">
        <v>13.521418527119861</v>
      </c>
      <c r="AW178" s="150">
        <v>51.905414667580544</v>
      </c>
      <c r="AX178" s="146"/>
      <c r="AY178" s="146"/>
      <c r="AZ178" s="146"/>
      <c r="BA178" s="146"/>
      <c r="BB178" s="146"/>
      <c r="BC178" s="146"/>
      <c r="BD178" s="146">
        <v>3.4600959561343389E-2</v>
      </c>
      <c r="BE178" s="146"/>
      <c r="BF178" s="146"/>
      <c r="BG178" s="146">
        <v>2.2638793694311175E-2</v>
      </c>
      <c r="BH178" s="150">
        <v>109.76586703221385</v>
      </c>
      <c r="BI178" s="146">
        <v>3.2736298834818376</v>
      </c>
      <c r="BJ178" s="130">
        <v>8.7065633995887612</v>
      </c>
      <c r="BK178" s="143">
        <v>1.0841875165521317</v>
      </c>
      <c r="BL178" s="149">
        <v>5.1416723783413314</v>
      </c>
      <c r="BM178" s="146">
        <v>1.6458461960246746</v>
      </c>
      <c r="BN178" s="146">
        <v>0.81925633995887603</v>
      </c>
      <c r="BO178" s="143">
        <v>1.9457999013207752</v>
      </c>
      <c r="BP178" s="146">
        <v>0.33651172035640853</v>
      </c>
      <c r="BQ178" s="162">
        <v>2.2281000200681533</v>
      </c>
      <c r="BR178" s="162">
        <v>0.4912360728398516</v>
      </c>
      <c r="BS178" s="151">
        <v>1.3511505820694429</v>
      </c>
      <c r="BT178" s="152">
        <v>0.19804936907913284</v>
      </c>
      <c r="BU178" s="130">
        <v>1.2799810829335163</v>
      </c>
      <c r="BV178" s="141">
        <v>0.17913145990404392</v>
      </c>
      <c r="BW178" s="146">
        <v>1.2557258396161757</v>
      </c>
      <c r="BX178" s="146">
        <v>0.13380342700479783</v>
      </c>
      <c r="BZ178" s="149">
        <v>3.7015490061686096</v>
      </c>
      <c r="CA178" s="149">
        <v>7.4329129540781365</v>
      </c>
      <c r="CE178" s="146">
        <v>0.52512090472926665</v>
      </c>
      <c r="CF178" s="146">
        <v>0.20402604523646337</v>
      </c>
      <c r="CG178" s="146"/>
      <c r="CH178" s="137"/>
      <c r="CI178" s="144">
        <v>2.0140216009355139</v>
      </c>
      <c r="CJ178" s="145">
        <v>1.9404845860977711</v>
      </c>
      <c r="CK178" s="144">
        <v>1.8828935169290404</v>
      </c>
      <c r="CL178" s="144"/>
      <c r="CM178" s="146">
        <v>0.31905830933511725</v>
      </c>
      <c r="CN178" s="144">
        <v>0.12396422322405429</v>
      </c>
      <c r="CO178" s="144"/>
      <c r="CP178" s="144"/>
      <c r="CQ178" s="29"/>
      <c r="CR178" s="146"/>
      <c r="CS178" s="144"/>
      <c r="CT178" s="144"/>
      <c r="CU178" s="144"/>
      <c r="CV178" s="144"/>
      <c r="CW178" s="144"/>
      <c r="CX178" s="144"/>
      <c r="CY178" s="144"/>
      <c r="CZ178" s="144"/>
      <c r="DB178" s="30">
        <v>2.4374978626939794</v>
      </c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</row>
    <row r="179" spans="1:132" s="50" customFormat="1" ht="20.100000000000001" customHeight="1" x14ac:dyDescent="0.2">
      <c r="A179" s="50" t="s">
        <v>455</v>
      </c>
      <c r="D179" s="50" t="s">
        <v>279</v>
      </c>
      <c r="F179" s="39"/>
      <c r="H179" s="38">
        <v>44.255780940352103</v>
      </c>
      <c r="I179" s="38">
        <v>0.29456086973517542</v>
      </c>
      <c r="J179" s="38">
        <v>27.192989944624188</v>
      </c>
      <c r="K179" s="49">
        <v>0.10869455150433986</v>
      </c>
      <c r="L179" s="38">
        <v>4.8138966076971279</v>
      </c>
      <c r="M179" s="49">
        <v>6.8539090960536578E-2</v>
      </c>
      <c r="N179" s="38">
        <v>6.4787944444584067</v>
      </c>
      <c r="O179" s="39">
        <v>15.89576877319789</v>
      </c>
      <c r="P179" s="49">
        <v>0.3415549064314598</v>
      </c>
      <c r="Q179" s="49">
        <v>5.4160350324600981E-2</v>
      </c>
      <c r="R179" s="49">
        <v>6.731039113916866E-2</v>
      </c>
      <c r="S179" s="38"/>
      <c r="T179" s="38">
        <f t="shared" si="5"/>
        <v>70.580616821742652</v>
      </c>
      <c r="U179" s="38"/>
      <c r="V179" s="55"/>
      <c r="W179" s="38"/>
      <c r="X179" s="38"/>
      <c r="Y179" s="38"/>
      <c r="Z179" s="76">
        <v>570</v>
      </c>
      <c r="AA179" s="38"/>
      <c r="AB179" s="38"/>
      <c r="AC179" s="38"/>
      <c r="AD179" s="76">
        <v>383.85644856676913</v>
      </c>
      <c r="AE179" s="76"/>
      <c r="AF179" s="38"/>
      <c r="AG179" s="38"/>
      <c r="AH179" s="38"/>
      <c r="AI179" s="38">
        <v>9.9390281014393427</v>
      </c>
      <c r="AJ179" s="76">
        <v>758.5451213416236</v>
      </c>
      <c r="AK179" s="38"/>
      <c r="AL179" s="39">
        <v>15.729349326022392</v>
      </c>
      <c r="AM179" s="76">
        <v>146.61402787297234</v>
      </c>
      <c r="AN179" s="76"/>
      <c r="AO179" s="38"/>
      <c r="AP179" s="38"/>
      <c r="AQ179" s="38"/>
      <c r="AR179" s="38"/>
      <c r="AS179" s="38"/>
      <c r="AT179" s="76"/>
      <c r="AU179" s="76">
        <v>1837.1914553347042</v>
      </c>
      <c r="AV179" s="39">
        <v>12.43024274582366</v>
      </c>
      <c r="AW179" s="76">
        <v>51.968471555860184</v>
      </c>
      <c r="AX179" s="38"/>
      <c r="AY179" s="38"/>
      <c r="AZ179" s="38"/>
      <c r="BA179" s="38"/>
      <c r="BB179" s="38"/>
      <c r="BC179" s="38"/>
      <c r="BD179" s="38"/>
      <c r="BE179" s="38"/>
      <c r="BF179" s="38"/>
      <c r="BG179" s="38">
        <v>0.28631939684715563</v>
      </c>
      <c r="BH179" s="76">
        <v>186.58862234407127</v>
      </c>
      <c r="BI179" s="38">
        <v>3.2912099611606123</v>
      </c>
      <c r="BJ179" s="38">
        <v>8.2355211331962526</v>
      </c>
      <c r="BK179" s="38">
        <v>1.0678694067822889</v>
      </c>
      <c r="BL179" s="39">
        <v>5.0138907927804439</v>
      </c>
      <c r="BM179" s="38">
        <v>1.4986153986748916</v>
      </c>
      <c r="BN179" s="38">
        <v>0.82006327949978519</v>
      </c>
      <c r="BO179" s="38">
        <v>1.7908929193309102</v>
      </c>
      <c r="BP179" s="38">
        <v>0.31883724011880282</v>
      </c>
      <c r="BQ179" s="38">
        <v>1.9967994784638139</v>
      </c>
      <c r="BR179" s="38">
        <v>0.4479525756783786</v>
      </c>
      <c r="BS179" s="38">
        <v>1.2525405011912303</v>
      </c>
      <c r="BT179" s="38">
        <v>0.18334021767976569</v>
      </c>
      <c r="BU179" s="38">
        <v>1.1833270276445054</v>
      </c>
      <c r="BV179" s="49">
        <v>0.18304381996801464</v>
      </c>
      <c r="BW179" s="38">
        <v>1.1785752798720586</v>
      </c>
      <c r="BX179" s="38">
        <v>0.12126780900159928</v>
      </c>
      <c r="BY179" s="38"/>
      <c r="BZ179" s="39">
        <v>5.1338496687228696</v>
      </c>
      <c r="CA179" s="39">
        <v>5.1109709846927123</v>
      </c>
      <c r="CB179" s="38"/>
      <c r="CC179" s="38"/>
      <c r="CD179" s="38"/>
      <c r="CE179" s="38">
        <v>0.59504030157642218</v>
      </c>
      <c r="CF179" s="38">
        <v>0.22134201507882112</v>
      </c>
      <c r="CG179" s="38"/>
      <c r="CH179" s="38" t="e">
        <v>#DIV/0!</v>
      </c>
      <c r="CI179" s="38">
        <v>1.7656858106977822</v>
      </c>
      <c r="CJ179" s="38">
        <v>1.8134121302151562</v>
      </c>
      <c r="CK179" s="38">
        <v>1.793580817079792</v>
      </c>
      <c r="CL179" s="38"/>
      <c r="CM179" s="38">
        <v>0.39771079446973046</v>
      </c>
      <c r="CN179" s="38">
        <v>0.14823498798826504</v>
      </c>
      <c r="CO179" s="117"/>
      <c r="CP179" s="117"/>
      <c r="CQ179" s="38"/>
      <c r="CR179" s="38"/>
      <c r="CS179" s="38"/>
      <c r="CT179" s="38"/>
      <c r="CU179" s="38"/>
      <c r="CV179" s="38"/>
      <c r="CW179" s="117"/>
      <c r="CX179" s="117"/>
      <c r="CY179" s="117"/>
      <c r="CZ179" s="117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</row>
    <row r="180" spans="1:132" s="36" customFormat="1" x14ac:dyDescent="0.2">
      <c r="A180" s="36" t="s">
        <v>553</v>
      </c>
      <c r="H180" s="34">
        <v>44.255780940352103</v>
      </c>
      <c r="I180" s="34">
        <v>0.29456086973517542</v>
      </c>
      <c r="J180" s="34">
        <v>27.192989944624188</v>
      </c>
      <c r="K180" s="37">
        <v>0.10869455150433986</v>
      </c>
      <c r="L180" s="34">
        <v>4.8138966076971279</v>
      </c>
      <c r="M180" s="37">
        <v>6.8539090960536578E-2</v>
      </c>
      <c r="N180" s="34">
        <v>6.4787944444584067</v>
      </c>
      <c r="O180" s="72">
        <v>15.89576877319789</v>
      </c>
      <c r="P180" s="37">
        <v>0.3415549064314598</v>
      </c>
      <c r="Q180" s="37">
        <v>5.4160350324600981E-2</v>
      </c>
      <c r="R180" s="37">
        <v>6.731039113916866E-2</v>
      </c>
      <c r="S180" s="37"/>
      <c r="T180" s="38">
        <f t="shared" si="5"/>
        <v>70.580616821742652</v>
      </c>
      <c r="U180" s="37"/>
      <c r="W180" s="34"/>
      <c r="X180" s="34"/>
      <c r="Y180" s="34"/>
      <c r="Z180" s="35">
        <v>570</v>
      </c>
      <c r="AA180" s="34"/>
      <c r="AB180" s="34"/>
      <c r="AC180" s="34"/>
      <c r="AD180" s="35">
        <v>383.85644856676913</v>
      </c>
      <c r="AE180" s="35"/>
      <c r="AF180" s="34"/>
      <c r="AG180" s="34"/>
      <c r="AH180" s="35">
        <v>0</v>
      </c>
      <c r="AI180" s="34">
        <v>9.9390281014393427</v>
      </c>
      <c r="AJ180" s="35">
        <v>758.5451213416236</v>
      </c>
      <c r="AK180" s="35">
        <v>0</v>
      </c>
      <c r="AL180" s="72">
        <v>15.729349326022392</v>
      </c>
      <c r="AM180" s="35">
        <v>146.61402787297234</v>
      </c>
      <c r="AN180" s="35">
        <v>0</v>
      </c>
      <c r="AO180" s="34">
        <v>0</v>
      </c>
      <c r="AP180" s="34"/>
      <c r="AQ180" s="34">
        <v>0</v>
      </c>
      <c r="AR180" s="34"/>
      <c r="AS180" s="34">
        <v>0</v>
      </c>
      <c r="AT180" s="35">
        <v>0</v>
      </c>
      <c r="AU180" s="35">
        <v>1837.1914553347042</v>
      </c>
      <c r="AV180" s="72">
        <v>12.43024274582366</v>
      </c>
      <c r="AW180" s="35">
        <v>51.968471555860184</v>
      </c>
      <c r="AX180" s="34"/>
      <c r="AY180" s="34">
        <v>0</v>
      </c>
      <c r="AZ180" s="34"/>
      <c r="BA180" s="34"/>
      <c r="BB180" s="34"/>
      <c r="BC180" s="34"/>
      <c r="BD180" s="34">
        <v>0</v>
      </c>
      <c r="BE180" s="34"/>
      <c r="BF180" s="34"/>
      <c r="BG180" s="34">
        <v>0.28631939684715563</v>
      </c>
      <c r="BH180" s="35">
        <v>186.58862234407127</v>
      </c>
      <c r="BI180" s="34">
        <v>3.2912099611606123</v>
      </c>
      <c r="BJ180" s="34">
        <v>8.2355211331962526</v>
      </c>
      <c r="BK180" s="158">
        <v>1.1323284348645073</v>
      </c>
      <c r="BL180" s="72">
        <v>5.0138907927804439</v>
      </c>
      <c r="BM180" s="34">
        <v>1.4986153986748916</v>
      </c>
      <c r="BN180" s="34">
        <v>0.82006327949978519</v>
      </c>
      <c r="BO180" s="34">
        <v>1.7908929193309102</v>
      </c>
      <c r="BP180" s="34">
        <v>0.31883724011880282</v>
      </c>
      <c r="BQ180" s="34">
        <v>1.9967994784638139</v>
      </c>
      <c r="BR180" s="34">
        <v>0.4479525756783786</v>
      </c>
      <c r="BS180" s="34">
        <v>1.2525405011912303</v>
      </c>
      <c r="BT180" s="34">
        <v>0.18334021767976569</v>
      </c>
      <c r="BU180" s="34">
        <v>1.1833270276445054</v>
      </c>
      <c r="BV180" s="37">
        <v>0.18304381996801464</v>
      </c>
      <c r="BW180" s="34">
        <v>1.1785752798720586</v>
      </c>
      <c r="BX180" s="34">
        <v>0.12126780900159928</v>
      </c>
      <c r="BY180" s="34"/>
      <c r="BZ180" s="72">
        <v>5.1338496687228696</v>
      </c>
      <c r="CA180" s="72">
        <v>5.1109709846927123</v>
      </c>
      <c r="CB180" s="34"/>
      <c r="CC180" s="34"/>
      <c r="CD180" s="34"/>
      <c r="CE180" s="166">
        <v>0.49256045236463331</v>
      </c>
      <c r="CF180" s="34">
        <v>0.22134201507882112</v>
      </c>
      <c r="CG180" s="34"/>
      <c r="CH180" s="34"/>
      <c r="CI180" s="34"/>
      <c r="CR180" s="34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</row>
    <row r="181" spans="1:132" s="36" customFormat="1" x14ac:dyDescent="0.2">
      <c r="H181" s="34"/>
      <c r="I181" s="34"/>
      <c r="J181" s="34"/>
      <c r="K181" s="37"/>
      <c r="L181" s="34"/>
      <c r="M181" s="37"/>
      <c r="N181" s="34"/>
      <c r="O181" s="72"/>
      <c r="P181" s="37"/>
      <c r="Q181" s="37"/>
      <c r="R181" s="37"/>
      <c r="S181" s="37"/>
      <c r="T181" s="38" t="e">
        <f t="shared" si="5"/>
        <v>#DIV/0!</v>
      </c>
      <c r="U181" s="37"/>
      <c r="W181" s="34"/>
      <c r="X181" s="34"/>
      <c r="Y181" s="34"/>
      <c r="Z181" s="35"/>
      <c r="AA181" s="34"/>
      <c r="AB181" s="34"/>
      <c r="AC181" s="34"/>
      <c r="AD181" s="35"/>
      <c r="AE181" s="35"/>
      <c r="AF181" s="34"/>
      <c r="AG181" s="34"/>
      <c r="AH181" s="35"/>
      <c r="AI181" s="34"/>
      <c r="AJ181" s="35"/>
      <c r="AK181" s="35"/>
      <c r="AL181" s="72"/>
      <c r="AM181" s="35"/>
      <c r="AN181" s="35"/>
      <c r="AO181" s="34"/>
      <c r="AP181" s="34"/>
      <c r="AQ181" s="34"/>
      <c r="AR181" s="34"/>
      <c r="AS181" s="34"/>
      <c r="AT181" s="35"/>
      <c r="AU181" s="35"/>
      <c r="AV181" s="72"/>
      <c r="AW181" s="35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5"/>
      <c r="BI181" s="34"/>
      <c r="BJ181" s="34"/>
      <c r="BK181"/>
      <c r="BL181" s="72"/>
      <c r="BM181" s="34"/>
      <c r="BN181" s="34"/>
      <c r="BO181" s="34"/>
      <c r="BP181" s="34"/>
      <c r="BQ181" s="34"/>
      <c r="BR181" s="34"/>
      <c r="BS181" s="34"/>
      <c r="BT181" s="34"/>
      <c r="BU181" s="34"/>
      <c r="BV181" s="37"/>
      <c r="BW181" s="34"/>
      <c r="BX181" s="34"/>
      <c r="BY181" s="34"/>
      <c r="BZ181" s="72"/>
      <c r="CA181" s="72"/>
      <c r="CB181" s="34"/>
      <c r="CC181" s="34"/>
      <c r="CD181" s="34"/>
      <c r="CE181" s="30"/>
      <c r="CF181" s="34"/>
      <c r="CG181" s="34"/>
      <c r="CH181" s="34"/>
      <c r="CI181" s="34"/>
      <c r="CR181" s="34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</row>
    <row r="182" spans="1:132" s="36" customFormat="1" x14ac:dyDescent="0.2">
      <c r="A182" s="50" t="s">
        <v>507</v>
      </c>
      <c r="D182" s="50" t="s">
        <v>1282</v>
      </c>
      <c r="E182" s="41" t="s">
        <v>1288</v>
      </c>
      <c r="H182" s="38">
        <v>44.1</v>
      </c>
      <c r="I182" s="38">
        <v>0.36</v>
      </c>
      <c r="J182" s="38">
        <v>28.6</v>
      </c>
      <c r="K182" s="49">
        <v>0.1</v>
      </c>
      <c r="L182" s="38">
        <v>4.2699999999999996</v>
      </c>
      <c r="M182" s="49">
        <v>7.0000000000000007E-2</v>
      </c>
      <c r="N182" s="38">
        <v>4.83</v>
      </c>
      <c r="O182" s="39">
        <v>16.5</v>
      </c>
      <c r="P182" s="49" t="s">
        <v>1095</v>
      </c>
      <c r="Q182" s="49">
        <v>0.04</v>
      </c>
      <c r="R182" s="49">
        <v>7.0000000000000007E-2</v>
      </c>
      <c r="S182" s="38"/>
      <c r="T182" s="38">
        <f t="shared" si="5"/>
        <v>66.847745619625258</v>
      </c>
      <c r="U182" s="38"/>
      <c r="AE182" s="76"/>
      <c r="AF182" s="38"/>
      <c r="AG182" s="38"/>
      <c r="AH182" s="76"/>
      <c r="AI182" s="38">
        <v>9.9700000000000006</v>
      </c>
      <c r="AJ182" s="76">
        <v>651</v>
      </c>
      <c r="AK182" s="76"/>
      <c r="AL182" s="39">
        <v>13.6</v>
      </c>
      <c r="AM182" s="76">
        <v>260</v>
      </c>
      <c r="AN182" s="76"/>
      <c r="AO182" s="38"/>
      <c r="AP182" s="38"/>
      <c r="AQ182" s="38"/>
      <c r="AR182" s="38"/>
      <c r="AS182" s="38"/>
      <c r="AT182" s="76"/>
      <c r="AU182" s="76">
        <v>1710</v>
      </c>
      <c r="AV182" s="39"/>
      <c r="AW182" s="76">
        <v>27</v>
      </c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76">
        <v>375</v>
      </c>
      <c r="BI182" s="38">
        <v>3.68</v>
      </c>
      <c r="BJ182" s="38">
        <v>8.4</v>
      </c>
      <c r="BK182" s="199">
        <v>1.0466772162490632</v>
      </c>
      <c r="BL182" s="39">
        <v>4.5999999999999996</v>
      </c>
      <c r="BM182" s="38">
        <v>1.28</v>
      </c>
      <c r="BN182" s="38">
        <v>0.74</v>
      </c>
      <c r="BO182" s="199">
        <v>1.4074958722164881</v>
      </c>
      <c r="BP182" s="38">
        <v>0.24</v>
      </c>
      <c r="BQ182" s="345">
        <v>1.4259019544382832</v>
      </c>
      <c r="BR182" s="345">
        <v>0.29441248010885346</v>
      </c>
      <c r="BS182" s="200">
        <v>0.75835120767560971</v>
      </c>
      <c r="BT182" s="201">
        <v>0.10409513628550487</v>
      </c>
      <c r="BU182" s="38">
        <v>0.63</v>
      </c>
      <c r="BV182" s="49">
        <v>9.9000000000000005E-2</v>
      </c>
      <c r="BW182" s="38">
        <v>0.79</v>
      </c>
      <c r="BX182" s="38"/>
      <c r="BY182" s="38"/>
      <c r="BZ182" s="39">
        <v>5.6</v>
      </c>
      <c r="CA182" s="39">
        <v>4</v>
      </c>
      <c r="CB182" s="38"/>
      <c r="CC182" s="38"/>
      <c r="CD182" s="38"/>
      <c r="CE182" s="38">
        <v>0.66</v>
      </c>
      <c r="CF182" s="38"/>
      <c r="CG182" s="34"/>
      <c r="CH182" s="34"/>
      <c r="CI182" s="117">
        <v>1.3517171922865587</v>
      </c>
      <c r="CJ182" s="78">
        <v>1.4244929682501222</v>
      </c>
      <c r="CK182" s="117">
        <v>1.4462774561127836</v>
      </c>
      <c r="CL182" s="117"/>
      <c r="CM182" s="38">
        <v>0.515625</v>
      </c>
      <c r="CN182" s="117"/>
      <c r="CO182" s="117"/>
      <c r="CP182" s="117"/>
      <c r="CQ182" s="29">
        <v>8.4309133489461369E-2</v>
      </c>
      <c r="CR182" s="38">
        <v>1.1311475409836067</v>
      </c>
      <c r="CS182" s="117">
        <v>1.6393442622950824E-2</v>
      </c>
      <c r="CT182" s="117"/>
      <c r="DA182" s="50"/>
      <c r="DB182" s="50"/>
      <c r="DC182" s="50"/>
      <c r="DD182" s="50"/>
      <c r="DE182" s="50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</row>
    <row r="183" spans="1:132" s="36" customFormat="1" x14ac:dyDescent="0.2">
      <c r="A183" s="50"/>
      <c r="D183" s="50"/>
      <c r="H183" s="48"/>
      <c r="I183" s="48"/>
      <c r="J183" s="48"/>
      <c r="K183" s="49">
        <v>9.5150160000000011E-2</v>
      </c>
      <c r="L183" s="48"/>
      <c r="M183" s="45"/>
      <c r="N183" s="48"/>
      <c r="O183" s="79"/>
      <c r="P183" s="45"/>
      <c r="Q183" s="45"/>
      <c r="R183" s="45"/>
      <c r="S183" s="48"/>
      <c r="T183" s="38" t="e">
        <f t="shared" si="5"/>
        <v>#DIV/0!</v>
      </c>
      <c r="U183" s="48"/>
      <c r="AE183" s="76"/>
      <c r="AF183" s="34"/>
      <c r="AG183" s="34"/>
      <c r="AH183" s="35"/>
      <c r="AI183" s="34"/>
      <c r="AJ183" s="35"/>
      <c r="AK183" s="35"/>
      <c r="AL183" s="72"/>
      <c r="AM183" s="35"/>
      <c r="AN183" s="35"/>
      <c r="AO183" s="34"/>
      <c r="AP183" s="34"/>
      <c r="AQ183" s="34"/>
      <c r="AR183" s="34"/>
      <c r="AS183" s="34"/>
      <c r="AT183" s="35"/>
      <c r="AU183" s="35"/>
      <c r="AV183" s="72"/>
      <c r="AW183" s="35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5"/>
      <c r="BI183" s="34"/>
      <c r="BJ183" s="34"/>
      <c r="BK183"/>
      <c r="BL183" s="72"/>
      <c r="BM183" s="34"/>
      <c r="BN183" s="34"/>
      <c r="BO183" s="34"/>
      <c r="BP183" s="34"/>
      <c r="BQ183" s="34"/>
      <c r="BR183" s="34"/>
      <c r="BS183" s="34"/>
      <c r="BT183" s="34"/>
      <c r="BU183" s="34"/>
      <c r="BV183" s="37"/>
      <c r="BW183" s="34"/>
      <c r="BX183" s="34"/>
      <c r="BY183" s="34"/>
      <c r="BZ183" s="72"/>
      <c r="CA183" s="72"/>
      <c r="CB183" s="34"/>
      <c r="CC183" s="34"/>
      <c r="CD183" s="34"/>
      <c r="CE183" s="30"/>
      <c r="CF183" s="34"/>
      <c r="CG183" s="34"/>
      <c r="CH183" s="34"/>
      <c r="CI183" s="34"/>
      <c r="CR183" s="34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</row>
    <row r="184" spans="1:132" s="36" customFormat="1" x14ac:dyDescent="0.2">
      <c r="A184" s="50" t="s">
        <v>507</v>
      </c>
      <c r="D184" s="50" t="s">
        <v>1093</v>
      </c>
      <c r="H184" s="38"/>
      <c r="I184" s="265">
        <v>0.29117411764497819</v>
      </c>
      <c r="J184" s="30"/>
      <c r="K184" s="32">
        <v>0.11749691613356081</v>
      </c>
      <c r="L184" s="38">
        <v>4.701887399463808</v>
      </c>
      <c r="M184" s="396">
        <v>7.3813267863313964E-2</v>
      </c>
      <c r="N184" s="265">
        <v>6.0811331984569001</v>
      </c>
      <c r="O184" s="39">
        <v>15.526785279064102</v>
      </c>
      <c r="P184" s="49">
        <v>0.3363593468194005</v>
      </c>
      <c r="Q184" s="49">
        <v>5.0198878869120167E-2</v>
      </c>
      <c r="R184" s="49"/>
      <c r="S184" s="49"/>
      <c r="T184" s="38">
        <f t="shared" si="5"/>
        <v>69.747468881762103</v>
      </c>
      <c r="U184" s="49"/>
      <c r="W184" s="34"/>
      <c r="X184" s="34"/>
      <c r="Y184" s="34"/>
      <c r="Z184" s="76"/>
      <c r="AA184" s="38"/>
      <c r="AB184" s="38"/>
      <c r="AC184" s="38"/>
      <c r="AD184" s="76"/>
      <c r="AE184" s="76"/>
      <c r="AF184" s="38"/>
      <c r="AG184" s="38"/>
      <c r="AH184" s="76"/>
      <c r="AI184" s="38">
        <v>8.8214930538630281</v>
      </c>
      <c r="AJ184" s="76">
        <v>803.89242018035588</v>
      </c>
      <c r="AK184" s="76"/>
      <c r="AL184" s="39">
        <v>16.560217889349261</v>
      </c>
      <c r="AM184" s="76">
        <v>125.27974652693156</v>
      </c>
      <c r="AN184" s="76">
        <v>14.652171581769441</v>
      </c>
      <c r="AO184" s="38"/>
      <c r="AP184" s="38"/>
      <c r="AQ184" s="38">
        <v>0.65053034365098716</v>
      </c>
      <c r="AR184" s="38">
        <v>0.39226175968803323</v>
      </c>
      <c r="AS184" s="38">
        <v>0.45952425054837931</v>
      </c>
      <c r="AT184" s="76">
        <v>0.42610285157202055</v>
      </c>
      <c r="AU184" s="76">
        <v>3737.6422130148676</v>
      </c>
      <c r="AV184" s="54">
        <v>14.778102932039801</v>
      </c>
      <c r="AW184" s="76">
        <v>51.951840116987569</v>
      </c>
      <c r="AX184" s="38"/>
      <c r="AY184" s="38"/>
      <c r="AZ184" s="38">
        <v>2.507628564465026E-2</v>
      </c>
      <c r="BA184" s="38"/>
      <c r="BB184" s="38"/>
      <c r="BC184" s="38"/>
      <c r="BD184" s="38">
        <v>5.0090275408237878E-2</v>
      </c>
      <c r="BE184" s="38"/>
      <c r="BF184" s="38"/>
      <c r="BG184" s="38">
        <v>4.4580014623446268E-2</v>
      </c>
      <c r="BH184" s="76">
        <v>597.36271021204004</v>
      </c>
      <c r="BI184" s="38">
        <v>4.0300965147453089</v>
      </c>
      <c r="BJ184" s="38">
        <v>10.341587618815502</v>
      </c>
      <c r="BK184" s="51">
        <v>1.3117085522831882</v>
      </c>
      <c r="BL184" s="39">
        <v>6.1668145259566174</v>
      </c>
      <c r="BM184" s="38">
        <v>1.7647683636145308</v>
      </c>
      <c r="BN184" s="38">
        <v>0.8218341213746041</v>
      </c>
      <c r="BO184" s="199">
        <v>2.069168329567288</v>
      </c>
      <c r="BP184" s="38">
        <v>0.3678666341701195</v>
      </c>
      <c r="BQ184" s="345">
        <v>2.4278212467205385</v>
      </c>
      <c r="BR184" s="345">
        <v>0.53635220990270283</v>
      </c>
      <c r="BS184" s="200">
        <v>1.478212233271909</v>
      </c>
      <c r="BT184" s="201">
        <v>0.21710765404801985</v>
      </c>
      <c r="BU184" s="38">
        <v>1.4059480380209606</v>
      </c>
      <c r="BV184" s="49">
        <v>0.1974176163782598</v>
      </c>
      <c r="BW184" s="38">
        <v>1.3783504265171829</v>
      </c>
      <c r="BX184" s="38">
        <v>0.15786502559103097</v>
      </c>
      <c r="BY184" s="38">
        <v>0.24548135510602001</v>
      </c>
      <c r="BZ184" s="39">
        <v>3.8518888618084333</v>
      </c>
      <c r="CA184" s="39">
        <v>3.7867804045820135</v>
      </c>
      <c r="CB184" s="38"/>
      <c r="CC184" s="38"/>
      <c r="CD184" s="38"/>
      <c r="CE184" s="166">
        <v>0.64660745795759211</v>
      </c>
      <c r="CF184" s="38">
        <v>0.39220814038508411</v>
      </c>
      <c r="CG184" s="38">
        <v>205.15</v>
      </c>
      <c r="CH184" s="34"/>
      <c r="CI184" s="117">
        <v>2.0434669702070285</v>
      </c>
      <c r="CJ184" s="78">
        <v>2.1076699050123167</v>
      </c>
      <c r="CK184" s="117">
        <v>2.0563681134825189</v>
      </c>
      <c r="CR184" s="3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</row>
    <row r="185" spans="1:132" s="36" customFormat="1" x14ac:dyDescent="0.2">
      <c r="A185" s="50" t="s">
        <v>507</v>
      </c>
      <c r="D185" s="50" t="s">
        <v>1094</v>
      </c>
      <c r="H185" s="38">
        <v>44.42869039619238</v>
      </c>
      <c r="I185" s="38">
        <v>0.25090619903217148</v>
      </c>
      <c r="J185" s="30">
        <v>27.473428572645282</v>
      </c>
      <c r="K185" s="49">
        <v>0.11749691613356081</v>
      </c>
      <c r="L185" s="38">
        <v>4.701887399463808</v>
      </c>
      <c r="M185" s="49">
        <v>6.9840328186255782E-2</v>
      </c>
      <c r="N185" s="30">
        <v>6.4471025518719642</v>
      </c>
      <c r="O185" s="39">
        <v>15.959007665760861</v>
      </c>
      <c r="P185" s="49">
        <v>0.3363593468194005</v>
      </c>
      <c r="Q185" s="49">
        <v>3.5949597205274408E-2</v>
      </c>
      <c r="R185" s="49">
        <v>4.4910565069081504E-2</v>
      </c>
      <c r="S185" s="49"/>
      <c r="T185" s="38">
        <f t="shared" si="5"/>
        <v>70.966158619970827</v>
      </c>
      <c r="U185" s="49"/>
      <c r="W185" s="34"/>
      <c r="X185" s="34"/>
      <c r="Y185" s="34"/>
      <c r="Z185" s="76"/>
      <c r="AA185" s="38"/>
      <c r="AB185" s="38"/>
      <c r="AC185" s="38"/>
      <c r="AD185" s="76"/>
      <c r="AE185" s="76"/>
      <c r="AF185" s="34"/>
      <c r="AG185" s="34"/>
      <c r="AH185" s="35"/>
      <c r="AI185" s="34"/>
      <c r="AJ185" s="76">
        <v>803.89242018035577</v>
      </c>
      <c r="AK185" s="35"/>
      <c r="AL185" s="72"/>
      <c r="AM185" s="35"/>
      <c r="AN185" s="35"/>
      <c r="AO185" s="34"/>
      <c r="AP185" s="34"/>
      <c r="AQ185" s="34"/>
      <c r="AR185" s="34"/>
      <c r="AS185" s="34"/>
      <c r="AT185" s="35"/>
      <c r="AU185" s="35"/>
      <c r="AV185" s="72"/>
      <c r="AW185" s="35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5"/>
      <c r="BI185" s="34"/>
      <c r="BJ185" s="34"/>
      <c r="BK185"/>
      <c r="BL185" s="72"/>
      <c r="BM185" s="34"/>
      <c r="BN185" s="34"/>
      <c r="BO185" s="34"/>
      <c r="BP185" s="34"/>
      <c r="BQ185" s="34"/>
      <c r="BR185" s="34"/>
      <c r="BS185" s="34"/>
      <c r="BT185" s="34"/>
      <c r="BU185" s="34"/>
      <c r="BV185" s="37"/>
      <c r="BW185" s="34"/>
      <c r="BX185" s="34"/>
      <c r="BY185" s="34"/>
      <c r="BZ185" s="72"/>
      <c r="CA185" s="72"/>
      <c r="CB185" s="34"/>
      <c r="CC185" s="34"/>
      <c r="CD185" s="34"/>
      <c r="CE185" s="166"/>
      <c r="CF185" s="34"/>
      <c r="CG185" s="34"/>
      <c r="CH185" s="34"/>
      <c r="CI185" s="34"/>
      <c r="CQ185" s="29">
        <v>5.3362868506971098E-2</v>
      </c>
      <c r="CR185" s="34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</row>
    <row r="186" spans="1:132" s="36" customFormat="1" x14ac:dyDescent="0.2">
      <c r="A186" s="36" t="s">
        <v>507</v>
      </c>
      <c r="H186" s="34">
        <v>44.42869039619238</v>
      </c>
      <c r="I186" s="34">
        <v>0.27104015833857487</v>
      </c>
      <c r="J186" s="34">
        <v>27.473428572645282</v>
      </c>
      <c r="K186" s="37">
        <v>0.11749691613356081</v>
      </c>
      <c r="L186" s="34">
        <v>4.701887399463808</v>
      </c>
      <c r="M186" s="37">
        <v>7.1826798024784866E-2</v>
      </c>
      <c r="N186" s="34">
        <v>6.2641178751644322</v>
      </c>
      <c r="O186" s="72">
        <v>15.742896472412482</v>
      </c>
      <c r="P186" s="37">
        <v>0.3363593468194005</v>
      </c>
      <c r="Q186" s="37">
        <v>4.3074238037197288E-2</v>
      </c>
      <c r="R186" s="37">
        <v>4.4910565069081504E-2</v>
      </c>
      <c r="T186" s="38">
        <f t="shared" si="5"/>
        <v>70.369339434387228</v>
      </c>
      <c r="Z186" s="34"/>
      <c r="AD186" s="31">
        <v>357.55924994677468</v>
      </c>
      <c r="AI186" s="34">
        <v>8.8214930538630281</v>
      </c>
      <c r="AJ186" s="35">
        <v>803.89242018035588</v>
      </c>
      <c r="AK186" s="34"/>
      <c r="AL186" s="72">
        <v>16.560217889349261</v>
      </c>
      <c r="AM186" s="35">
        <v>125.27974652693156</v>
      </c>
      <c r="AN186" s="35">
        <v>14.652171581769441</v>
      </c>
      <c r="AO186" s="34"/>
      <c r="AP186" s="34"/>
      <c r="AQ186" s="34">
        <v>0.65053034365098716</v>
      </c>
      <c r="AR186" s="34"/>
      <c r="AS186" s="34"/>
      <c r="AT186" s="35">
        <v>0.42610285157202055</v>
      </c>
      <c r="AU186" s="35"/>
      <c r="AV186" s="34"/>
      <c r="AW186" s="35">
        <v>51.951840116987569</v>
      </c>
      <c r="AX186" s="34"/>
      <c r="AY186" s="34"/>
      <c r="AZ186" s="34"/>
      <c r="BA186" s="34"/>
      <c r="BB186" s="34"/>
      <c r="BC186" s="34"/>
      <c r="BD186" s="34">
        <v>5.0090275408237878E-2</v>
      </c>
      <c r="BE186" s="34"/>
      <c r="BF186" s="34"/>
      <c r="BG186" s="34">
        <v>4.4580014623446268E-2</v>
      </c>
      <c r="BH186" s="35">
        <v>597.36271021204004</v>
      </c>
      <c r="BI186" s="34">
        <v>4.0300965147453089</v>
      </c>
      <c r="BJ186" s="34">
        <v>10.341587618815502</v>
      </c>
      <c r="BK186"/>
      <c r="BL186" s="72">
        <v>6.1668145259566174</v>
      </c>
      <c r="BM186" s="34">
        <v>1.7647683636145308</v>
      </c>
      <c r="BN186" s="34">
        <v>0.8218341213746041</v>
      </c>
      <c r="BO186" s="34">
        <v>2.069168329567288</v>
      </c>
      <c r="BP186" s="34">
        <v>0.3678666341701195</v>
      </c>
      <c r="BQ186" s="34">
        <v>2.4278212467205385</v>
      </c>
      <c r="BR186" s="34">
        <v>0.53635220990270283</v>
      </c>
      <c r="BS186" s="34">
        <v>1.478212233271909</v>
      </c>
      <c r="BT186" s="34">
        <v>0.21710765404801985</v>
      </c>
      <c r="BU186" s="34">
        <v>1.4059480380209606</v>
      </c>
      <c r="BV186" s="37">
        <v>0.1974176163782598</v>
      </c>
      <c r="BW186" s="34">
        <v>1.3783504265171829</v>
      </c>
      <c r="BX186" s="34">
        <v>0.15786502559103097</v>
      </c>
      <c r="BY186" s="34">
        <v>0.24548135510602001</v>
      </c>
      <c r="BZ186" s="72">
        <v>3.8518888618084333</v>
      </c>
      <c r="CA186" s="72">
        <v>3.7867804045820135</v>
      </c>
      <c r="CB186" s="34"/>
      <c r="CC186" s="34"/>
      <c r="CD186" s="34"/>
      <c r="CE186" s="34">
        <v>0.64660745795759211</v>
      </c>
      <c r="CF186" s="34">
        <v>0.39220814038508411</v>
      </c>
      <c r="CG186" s="34"/>
      <c r="CH186" s="34"/>
      <c r="CI186" s="34"/>
      <c r="CR186" s="34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</row>
    <row r="187" spans="1:132" s="36" customFormat="1" x14ac:dyDescent="0.2">
      <c r="H187" s="34"/>
      <c r="I187" s="34"/>
      <c r="J187" s="34"/>
      <c r="K187" s="37"/>
      <c r="L187" s="34"/>
      <c r="M187" s="37"/>
      <c r="N187" s="34"/>
      <c r="O187" s="72"/>
      <c r="P187" s="37"/>
      <c r="Q187" s="37"/>
      <c r="R187" s="37"/>
      <c r="S187" s="37"/>
      <c r="T187" s="38" t="e">
        <f t="shared" si="5"/>
        <v>#DIV/0!</v>
      </c>
      <c r="U187" s="37"/>
      <c r="W187" s="34"/>
      <c r="X187" s="34"/>
      <c r="Y187" s="34"/>
      <c r="Z187" s="35"/>
      <c r="AA187" s="34"/>
      <c r="AB187" s="34"/>
      <c r="AC187" s="34"/>
      <c r="AD187" s="35"/>
      <c r="AE187" s="35"/>
      <c r="AF187" s="34"/>
      <c r="AG187" s="34"/>
      <c r="AH187" s="35"/>
      <c r="AI187" s="34"/>
      <c r="AJ187" s="35"/>
      <c r="AK187" s="35"/>
      <c r="AL187" s="72"/>
      <c r="AM187" s="35"/>
      <c r="AN187" s="35"/>
      <c r="AO187" s="34"/>
      <c r="AP187" s="34"/>
      <c r="AQ187" s="34"/>
      <c r="AR187" s="34"/>
      <c r="AS187" s="34"/>
      <c r="AT187" s="35"/>
      <c r="AU187" s="35"/>
      <c r="AV187" s="72"/>
      <c r="AW187" s="35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5"/>
      <c r="BI187" s="34"/>
      <c r="BJ187" s="34"/>
      <c r="BK187"/>
      <c r="BL187" s="72"/>
      <c r="BM187" s="34"/>
      <c r="BN187" s="34"/>
      <c r="BO187" s="34"/>
      <c r="BP187" s="34"/>
      <c r="BQ187" s="34"/>
      <c r="BR187" s="34"/>
      <c r="BS187" s="34"/>
      <c r="BT187" s="34"/>
      <c r="BU187" s="34"/>
      <c r="BV187" s="37"/>
      <c r="BW187" s="34"/>
      <c r="BX187" s="34"/>
      <c r="BY187" s="34"/>
      <c r="BZ187" s="72"/>
      <c r="CA187" s="72"/>
      <c r="CB187" s="34"/>
      <c r="CC187" s="34"/>
      <c r="CD187" s="34"/>
      <c r="CE187" s="166"/>
      <c r="CF187" s="34"/>
      <c r="CG187" s="34"/>
      <c r="CH187" s="34"/>
      <c r="CI187" s="34"/>
      <c r="CR187" s="34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</row>
    <row r="188" spans="1:132" s="36" customFormat="1" x14ac:dyDescent="0.2">
      <c r="A188" s="50" t="s">
        <v>665</v>
      </c>
      <c r="D188" s="50" t="s">
        <v>1282</v>
      </c>
      <c r="E188" s="41" t="s">
        <v>1288</v>
      </c>
      <c r="H188" s="440">
        <v>45</v>
      </c>
      <c r="I188" s="38">
        <v>0.34</v>
      </c>
      <c r="J188" s="38">
        <v>25.3</v>
      </c>
      <c r="K188" s="552" t="s">
        <v>1269</v>
      </c>
      <c r="L188" s="38">
        <v>5.71</v>
      </c>
      <c r="M188" s="49">
        <v>0.12</v>
      </c>
      <c r="N188" s="38">
        <v>7.09</v>
      </c>
      <c r="O188" s="39">
        <v>14.8</v>
      </c>
      <c r="P188" s="49">
        <v>0.37</v>
      </c>
      <c r="Q188" s="49">
        <v>0.04</v>
      </c>
      <c r="R188" s="49">
        <v>7.0000000000000007E-2</v>
      </c>
      <c r="S188" s="38"/>
      <c r="T188" s="38">
        <f t="shared" si="5"/>
        <v>68.880543941252597</v>
      </c>
      <c r="U188" s="38"/>
      <c r="W188" s="50"/>
      <c r="X188" s="50"/>
      <c r="Y188" s="50"/>
      <c r="Z188" s="50"/>
      <c r="AA188" s="50"/>
      <c r="AB188" s="50"/>
      <c r="AC188" s="50"/>
      <c r="AD188" s="50"/>
      <c r="AE188" s="76"/>
      <c r="AF188" s="38"/>
      <c r="AG188" s="38"/>
      <c r="AH188" s="76"/>
      <c r="AI188" s="38">
        <v>9.3000000000000007</v>
      </c>
      <c r="AJ188" s="76">
        <v>591</v>
      </c>
      <c r="AK188" s="76"/>
      <c r="AL188" s="39">
        <v>18.100000000000001</v>
      </c>
      <c r="AM188" s="76">
        <v>200</v>
      </c>
      <c r="AN188" s="76"/>
      <c r="AO188" s="38"/>
      <c r="AP188" s="38"/>
      <c r="AQ188" s="38"/>
      <c r="AR188" s="38"/>
      <c r="AS188" s="38"/>
      <c r="AT188" s="76"/>
      <c r="AU188" s="76">
        <v>3120</v>
      </c>
      <c r="AV188" s="39"/>
      <c r="AW188" s="76">
        <v>65</v>
      </c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76">
        <v>2302</v>
      </c>
      <c r="BI188" s="38">
        <v>4.0999999999999996</v>
      </c>
      <c r="BJ188" s="38">
        <v>9</v>
      </c>
      <c r="BK188" s="199">
        <v>1.1007401322866452</v>
      </c>
      <c r="BL188" s="39">
        <v>4.7</v>
      </c>
      <c r="BM188" s="38">
        <v>1.3</v>
      </c>
      <c r="BN188" s="38">
        <v>0.74</v>
      </c>
      <c r="BO188" s="199">
        <v>1.5584709677747206</v>
      </c>
      <c r="BP188" s="38">
        <v>0.3</v>
      </c>
      <c r="BQ188" s="345">
        <v>1.9022375812526666</v>
      </c>
      <c r="BR188" s="345">
        <v>0.42009623509972271</v>
      </c>
      <c r="BS188" s="200">
        <v>1.1573950578113565</v>
      </c>
      <c r="BT188" s="201">
        <v>0.1699266645944757</v>
      </c>
      <c r="BU188" s="38">
        <v>1.1000000000000001</v>
      </c>
      <c r="BV188" s="49">
        <v>0.18</v>
      </c>
      <c r="BW188" s="38">
        <v>0.79</v>
      </c>
      <c r="BX188" s="38"/>
      <c r="BY188" s="38"/>
      <c r="BZ188" s="39">
        <v>20</v>
      </c>
      <c r="CA188" s="39">
        <v>13</v>
      </c>
      <c r="CB188" s="38"/>
      <c r="CC188" s="38"/>
      <c r="CD188" s="38"/>
      <c r="CE188" s="38">
        <v>0.5</v>
      </c>
      <c r="CF188" s="34"/>
      <c r="CG188" s="34"/>
      <c r="CH188" s="34"/>
      <c r="CI188" s="117">
        <v>1.3229339387597547</v>
      </c>
      <c r="CJ188" s="78">
        <v>1.6615194678014258</v>
      </c>
      <c r="CK188" s="117">
        <v>1.6909594967629813</v>
      </c>
      <c r="CL188" s="117"/>
      <c r="CM188" s="38">
        <v>0.38461538461538458</v>
      </c>
      <c r="CN188" s="117"/>
      <c r="CO188" s="117"/>
      <c r="CP188" s="117"/>
      <c r="CQ188" s="29">
        <v>5.954465849387041E-2</v>
      </c>
      <c r="CR188" s="38">
        <v>1.2416812609457093</v>
      </c>
      <c r="CS188" s="117">
        <v>2.1015761821366025E-2</v>
      </c>
      <c r="CT188" s="117"/>
      <c r="DA188" s="50"/>
      <c r="DB188" s="50"/>
      <c r="DC188" s="50"/>
      <c r="DD188" s="50"/>
      <c r="DE188" s="50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</row>
    <row r="189" spans="1:132" s="36" customFormat="1" x14ac:dyDescent="0.2">
      <c r="A189" s="50"/>
      <c r="D189" s="50"/>
      <c r="H189" s="440"/>
      <c r="I189" s="48"/>
      <c r="J189" s="48"/>
      <c r="K189"/>
      <c r="L189" s="48"/>
      <c r="M189" s="45"/>
      <c r="N189" s="48"/>
      <c r="O189" s="79"/>
      <c r="P189" s="45"/>
      <c r="Q189" s="45"/>
      <c r="R189" s="45"/>
      <c r="S189" s="48"/>
      <c r="T189" s="38" t="e">
        <f t="shared" si="5"/>
        <v>#DIV/0!</v>
      </c>
      <c r="U189" s="48"/>
      <c r="AE189" s="35"/>
      <c r="AF189" s="34"/>
      <c r="AG189" s="34"/>
      <c r="AH189" s="35"/>
      <c r="AI189" s="34"/>
      <c r="AJ189" s="35"/>
      <c r="AK189" s="35"/>
      <c r="AL189" s="72"/>
      <c r="AM189" s="35"/>
      <c r="AN189" s="35"/>
      <c r="AO189" s="34"/>
      <c r="AP189" s="34"/>
      <c r="AQ189" s="34"/>
      <c r="AR189" s="34"/>
      <c r="AS189" s="34"/>
      <c r="AT189" s="35"/>
      <c r="AU189" s="35"/>
      <c r="AV189" s="72"/>
      <c r="AW189" s="35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5"/>
      <c r="BI189" s="34"/>
      <c r="BJ189" s="34"/>
      <c r="BK189"/>
      <c r="BL189" s="72"/>
      <c r="BM189" s="34"/>
      <c r="BN189" s="34"/>
      <c r="BO189" s="34"/>
      <c r="BP189" s="34"/>
      <c r="BQ189" s="34"/>
      <c r="BR189" s="34"/>
      <c r="BS189" s="34"/>
      <c r="BT189" s="34"/>
      <c r="BU189" s="34"/>
      <c r="BV189" s="37"/>
      <c r="BW189" s="34"/>
      <c r="BX189" s="34"/>
      <c r="BY189" s="34"/>
      <c r="BZ189" s="72"/>
      <c r="CA189" s="72"/>
      <c r="CB189" s="34"/>
      <c r="CC189" s="34"/>
      <c r="CD189" s="34"/>
      <c r="CE189" s="166"/>
      <c r="CF189" s="34"/>
      <c r="CG189" s="34"/>
      <c r="CH189" s="34"/>
      <c r="CI189" s="34"/>
      <c r="CR189" s="34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</row>
    <row r="190" spans="1:132" s="36" customFormat="1" x14ac:dyDescent="0.2">
      <c r="A190" s="50" t="s">
        <v>665</v>
      </c>
      <c r="D190" s="50" t="s">
        <v>1093</v>
      </c>
      <c r="H190"/>
      <c r="I190" s="265">
        <v>0.28294597495144447</v>
      </c>
      <c r="J190"/>
      <c r="K190" s="49">
        <v>0.10919944045270817</v>
      </c>
      <c r="L190" s="38">
        <v>4.5690191323093501</v>
      </c>
      <c r="M190" s="396">
        <v>7.1727415914769901E-2</v>
      </c>
      <c r="N190" s="265">
        <v>5.9092895191491914</v>
      </c>
      <c r="O190" s="39">
        <v>15.632508757747237</v>
      </c>
      <c r="P190" s="49">
        <v>0.33733899218539481</v>
      </c>
      <c r="Q190" s="49">
        <v>4.4586364861223395E-2</v>
      </c>
      <c r="R190" s="49"/>
      <c r="S190" s="50"/>
      <c r="T190" s="38">
        <f t="shared" si="5"/>
        <v>69.747468881762117</v>
      </c>
      <c r="U190" s="50"/>
      <c r="W190" s="34"/>
      <c r="X190" s="34"/>
      <c r="Y190" s="34"/>
      <c r="Z190" s="50"/>
      <c r="AA190" s="50"/>
      <c r="AB190" s="50"/>
      <c r="AC190" s="50"/>
      <c r="AD190" s="50"/>
      <c r="AE190" s="50"/>
      <c r="AF190" s="50"/>
      <c r="AG190" s="50"/>
      <c r="AH190" s="50"/>
      <c r="AI190" s="38">
        <v>9.2561870115871745</v>
      </c>
      <c r="AJ190" s="76">
        <v>747.1226084613312</v>
      </c>
      <c r="AK190" s="50"/>
      <c r="AL190" s="39">
        <v>17.039285906763677</v>
      </c>
      <c r="AM190" s="76">
        <v>115.64780382646187</v>
      </c>
      <c r="AN190" s="46">
        <v>10.892104554028565</v>
      </c>
      <c r="AO190" s="50"/>
      <c r="AP190" s="50"/>
      <c r="AQ190" s="38">
        <v>1.0278199946106172</v>
      </c>
      <c r="AR190" s="38">
        <v>0.32492589598490973</v>
      </c>
      <c r="AS190" s="38">
        <v>0.37974669900296421</v>
      </c>
      <c r="AT190" s="76">
        <v>0.71029372136890334</v>
      </c>
      <c r="AU190" s="76">
        <v>3903.7456211263811</v>
      </c>
      <c r="AV190" s="54">
        <v>11.737395181725155</v>
      </c>
      <c r="AW190" s="76">
        <v>35.064133656696306</v>
      </c>
      <c r="AX190" s="39"/>
      <c r="AY190" s="50"/>
      <c r="AZ190" s="50">
        <v>0</v>
      </c>
      <c r="BA190" s="50"/>
      <c r="BB190" s="50"/>
      <c r="BC190" s="50"/>
      <c r="BD190" s="38">
        <v>5.1655348962543791E-2</v>
      </c>
      <c r="BE190" s="50"/>
      <c r="BF190" s="50"/>
      <c r="BG190" s="38">
        <v>4.1476960388035562E-2</v>
      </c>
      <c r="BH190" s="76">
        <v>1437.8291565615737</v>
      </c>
      <c r="BI190" s="38">
        <v>3.1132578819725145</v>
      </c>
      <c r="BJ190" s="39">
        <v>7.948663433036919</v>
      </c>
      <c r="BK190" s="51">
        <v>1.0191299111048078</v>
      </c>
      <c r="BL190" s="39">
        <v>4.8050660199407167</v>
      </c>
      <c r="BM190" s="38">
        <v>1.3823537418821439</v>
      </c>
      <c r="BN190" s="38">
        <v>0.80772325518728105</v>
      </c>
      <c r="BO190" s="199">
        <v>1.6306439991837725</v>
      </c>
      <c r="BP190" s="38">
        <v>0.29071840474265692</v>
      </c>
      <c r="BQ190" s="345">
        <v>1.9216173792593523</v>
      </c>
      <c r="BR190" s="345">
        <v>0.42550274778671054</v>
      </c>
      <c r="BS190" s="200">
        <v>1.1754132361389478</v>
      </c>
      <c r="BT190" s="201">
        <v>0.17303334972975942</v>
      </c>
      <c r="BU190" s="49">
        <v>1.1231150633252494</v>
      </c>
      <c r="BV190" s="49">
        <v>0.15990573969280519</v>
      </c>
      <c r="BW190" s="38">
        <v>0.99841174885475614</v>
      </c>
      <c r="BX190" s="38">
        <v>0.11617192131500943</v>
      </c>
      <c r="BY190" s="39">
        <v>0.15691188358932903</v>
      </c>
      <c r="BZ190" s="39">
        <v>3.8787388843977366</v>
      </c>
      <c r="CA190" s="39">
        <v>6.5097008892481814</v>
      </c>
      <c r="CB190" s="50"/>
      <c r="CC190" s="50"/>
      <c r="CD190" s="50"/>
      <c r="CE190" s="38">
        <v>0.44678496362166537</v>
      </c>
      <c r="CF190" s="38">
        <v>0.28236054971705743</v>
      </c>
      <c r="CG190" s="38">
        <v>28.16</v>
      </c>
      <c r="CH190" s="34"/>
      <c r="CI190" s="117">
        <v>1.6095772996401676</v>
      </c>
      <c r="CJ190" s="78">
        <v>1.6607372133748355</v>
      </c>
      <c r="CK190" s="117">
        <v>1.6216174845363145</v>
      </c>
      <c r="CR190" s="34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</row>
    <row r="191" spans="1:132" s="36" customFormat="1" x14ac:dyDescent="0.2">
      <c r="A191" s="50" t="s">
        <v>665</v>
      </c>
      <c r="D191" s="50" t="s">
        <v>1094</v>
      </c>
      <c r="H191" s="197">
        <v>44.374590379464479</v>
      </c>
      <c r="I191" s="197">
        <v>0.24409965344659032</v>
      </c>
      <c r="J191" s="197">
        <v>27.69728234887566</v>
      </c>
      <c r="K191" s="388">
        <v>0.10919944045270817</v>
      </c>
      <c r="L191" s="197">
        <v>4.5690191323093501</v>
      </c>
      <c r="M191" s="388">
        <v>7.2693924218110093E-2</v>
      </c>
      <c r="N191" s="197">
        <v>6.3790000155030633</v>
      </c>
      <c r="O191" s="172">
        <v>15.987754091835795</v>
      </c>
      <c r="P191" s="388">
        <v>0.33733899218539481</v>
      </c>
      <c r="Q191" s="388">
        <v>3.1994592949635275E-2</v>
      </c>
      <c r="R191" s="388">
        <v>4.5689895885175857E-2</v>
      </c>
      <c r="S191" s="37"/>
      <c r="T191" s="38">
        <f t="shared" si="5"/>
        <v>71.336570257755227</v>
      </c>
      <c r="U191" s="37"/>
      <c r="W191" s="34"/>
      <c r="X191" s="34"/>
      <c r="Y191" s="34"/>
      <c r="Z191" s="35"/>
      <c r="AA191" s="34"/>
      <c r="AB191" s="34"/>
      <c r="AC191" s="34"/>
      <c r="AD191" s="35"/>
      <c r="AE191" s="35"/>
      <c r="AF191" s="34"/>
      <c r="AG191" s="34"/>
      <c r="AH191" s="35"/>
      <c r="AI191" s="34"/>
      <c r="AJ191" s="35"/>
      <c r="AK191" s="35"/>
      <c r="AL191" s="72"/>
      <c r="AM191" s="35"/>
      <c r="AN191" s="35"/>
      <c r="AO191" s="34"/>
      <c r="AP191" s="34"/>
      <c r="AQ191" s="34"/>
      <c r="AR191" s="34"/>
      <c r="AS191" s="34"/>
      <c r="AT191" s="35"/>
      <c r="AU191" s="35"/>
      <c r="AV191" s="72"/>
      <c r="AW191" s="35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5"/>
      <c r="BI191" s="34"/>
      <c r="BJ191" s="34"/>
      <c r="BK191"/>
      <c r="BL191" s="72"/>
      <c r="BM191" s="34"/>
      <c r="BN191" s="34"/>
      <c r="BO191" s="34"/>
      <c r="BP191" s="34"/>
      <c r="BQ191" s="34"/>
      <c r="BR191" s="34"/>
      <c r="BS191" s="34"/>
      <c r="BT191" s="34"/>
      <c r="BU191" s="34"/>
      <c r="BV191" s="37"/>
      <c r="BW191" s="34"/>
      <c r="BX191" s="34"/>
      <c r="BY191" s="34"/>
      <c r="BZ191" s="72"/>
      <c r="CA191" s="72"/>
      <c r="CB191" s="34"/>
      <c r="CC191" s="34"/>
      <c r="CD191" s="34"/>
      <c r="CE191" s="166"/>
      <c r="CF191" s="34"/>
      <c r="CG191" s="34"/>
      <c r="CH191" s="34"/>
      <c r="CI191" s="34"/>
      <c r="CQ191" s="29">
        <v>5.3424957606429062E-2</v>
      </c>
      <c r="CR191" s="34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</row>
    <row r="192" spans="1:132" s="36" customFormat="1" x14ac:dyDescent="0.2">
      <c r="A192" s="36" t="s">
        <v>665</v>
      </c>
      <c r="H192" s="34">
        <v>44.374590379464479</v>
      </c>
      <c r="I192" s="34">
        <v>0.26352281419901741</v>
      </c>
      <c r="J192" s="34">
        <v>27.69728234887566</v>
      </c>
      <c r="K192" s="37">
        <v>0.10919944045270817</v>
      </c>
      <c r="L192" s="34">
        <v>4.5690191323093501</v>
      </c>
      <c r="M192" s="34">
        <v>7.2210670066439997E-2</v>
      </c>
      <c r="N192" s="34">
        <v>6.1441447673261269</v>
      </c>
      <c r="O192" s="72">
        <v>15.810131424791516</v>
      </c>
      <c r="P192" s="37">
        <v>0.33733899218539481</v>
      </c>
      <c r="Q192" s="37">
        <v>3.8290478905429332E-2</v>
      </c>
      <c r="R192" s="34">
        <v>4.5689895885175857E-2</v>
      </c>
      <c r="T192" s="38">
        <f t="shared" si="5"/>
        <v>70.563450461713089</v>
      </c>
      <c r="Z192" s="8">
        <v>559.27163966457783</v>
      </c>
      <c r="AD192" s="31">
        <v>317.84926539396889</v>
      </c>
      <c r="AI192" s="34">
        <v>9.2561870115871745</v>
      </c>
      <c r="AJ192" s="35">
        <v>747.1226084613312</v>
      </c>
      <c r="AL192" s="72">
        <v>17.039285906763677</v>
      </c>
      <c r="AM192" s="35">
        <v>115.64780382646187</v>
      </c>
      <c r="AN192" s="35">
        <v>10.892104554028565</v>
      </c>
      <c r="AO192" s="72"/>
      <c r="AQ192" s="34">
        <v>1.0278199946106172</v>
      </c>
      <c r="AR192" s="34"/>
      <c r="AS192" s="34"/>
      <c r="AT192" s="35">
        <v>0.71029372136890334</v>
      </c>
      <c r="AU192" s="35">
        <v>3903.7456211263811</v>
      </c>
      <c r="AW192" s="35">
        <v>35.064133656696306</v>
      </c>
      <c r="AX192" s="34"/>
      <c r="AY192" s="34"/>
      <c r="AZ192" s="34"/>
      <c r="BA192" s="34"/>
      <c r="BB192" s="34"/>
      <c r="BC192" s="34"/>
      <c r="BD192" s="34">
        <v>5.1655348962543791E-2</v>
      </c>
      <c r="BE192" s="34"/>
      <c r="BF192" s="34"/>
      <c r="BG192" s="34">
        <v>4.1476960388035562E-2</v>
      </c>
      <c r="BH192" s="35">
        <v>1437.8291565615737</v>
      </c>
      <c r="BI192" s="34">
        <v>3.1132578819725145</v>
      </c>
      <c r="BJ192" s="34">
        <v>7.948663433036919</v>
      </c>
      <c r="BK192" s="34">
        <v>1.0191299111048078</v>
      </c>
      <c r="BL192" s="72">
        <v>4.8050660199407167</v>
      </c>
      <c r="BM192" s="34">
        <v>1.3823537418821439</v>
      </c>
      <c r="BN192" s="34">
        <v>0.80772325518728105</v>
      </c>
      <c r="BO192" s="34">
        <v>1.6306439991837725</v>
      </c>
      <c r="BP192" s="34">
        <v>0.29071840474265692</v>
      </c>
      <c r="BQ192" s="34">
        <v>1.9216173792593523</v>
      </c>
      <c r="BR192" s="34">
        <v>0.42550274778671054</v>
      </c>
      <c r="BS192" s="34">
        <v>1.1754132361389478</v>
      </c>
      <c r="BT192" s="34">
        <v>0.17303334972975942</v>
      </c>
      <c r="BU192" s="34">
        <v>1.1231150633252494</v>
      </c>
      <c r="BV192" s="37">
        <v>0.15990573969280519</v>
      </c>
      <c r="BW192" s="34">
        <v>0.99841174885475614</v>
      </c>
      <c r="BX192" s="34">
        <v>0.11617192131500943</v>
      </c>
      <c r="BZ192" s="72">
        <v>3.8787388843977366</v>
      </c>
      <c r="CA192" s="72">
        <v>6.5097008892481814</v>
      </c>
      <c r="CE192" s="34">
        <v>0.44678496362166537</v>
      </c>
      <c r="CF192" s="34">
        <v>0.28236054971705743</v>
      </c>
      <c r="CG192" s="34"/>
      <c r="CH192" s="34"/>
      <c r="CI192" s="34"/>
      <c r="CR192" s="34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</row>
    <row r="193" spans="1:132" s="36" customFormat="1" x14ac:dyDescent="0.2">
      <c r="H193" s="34"/>
      <c r="I193" s="34"/>
      <c r="J193" s="34"/>
      <c r="K193" s="37"/>
      <c r="L193" s="34"/>
      <c r="M193" s="34"/>
      <c r="N193" s="34"/>
      <c r="O193" s="72"/>
      <c r="P193" s="37"/>
      <c r="Q193" s="37"/>
      <c r="R193" s="34"/>
      <c r="T193" s="38" t="e">
        <f t="shared" si="5"/>
        <v>#DIV/0!</v>
      </c>
      <c r="Z193" s="8"/>
      <c r="AD193" s="31"/>
      <c r="AI193" s="34"/>
      <c r="AJ193" s="35"/>
      <c r="AL193" s="72"/>
      <c r="AM193" s="35"/>
      <c r="AN193" s="35"/>
      <c r="AO193" s="72"/>
      <c r="AQ193" s="34"/>
      <c r="AR193" s="34"/>
      <c r="AS193" s="34"/>
      <c r="AT193" s="35"/>
      <c r="AU193" s="35"/>
      <c r="AW193" s="35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5"/>
      <c r="BI193" s="34"/>
      <c r="BJ193" s="34"/>
      <c r="BK193"/>
      <c r="BL193" s="72"/>
      <c r="BM193" s="34"/>
      <c r="BN193" s="34"/>
      <c r="BO193" s="34"/>
      <c r="BP193" s="34"/>
      <c r="BQ193" s="37"/>
      <c r="BR193" s="37"/>
      <c r="BS193" s="37"/>
      <c r="BT193" s="37"/>
      <c r="BU193" s="37"/>
      <c r="BV193" s="37"/>
      <c r="BW193" s="34"/>
      <c r="BX193" s="34"/>
      <c r="BZ193" s="72"/>
      <c r="CA193" s="72"/>
      <c r="CE193" s="34"/>
      <c r="CF193" s="34"/>
      <c r="CG193" s="34"/>
      <c r="CH193" s="34"/>
      <c r="CI193" s="34"/>
      <c r="CR193" s="34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</row>
    <row r="194" spans="1:132" s="36" customFormat="1" x14ac:dyDescent="0.2">
      <c r="A194" s="36" t="s">
        <v>1486</v>
      </c>
      <c r="H194" s="34">
        <v>44.31412471934263</v>
      </c>
      <c r="I194" s="34">
        <v>0.28355252451629809</v>
      </c>
      <c r="J194" s="34">
        <v>27.159046454215275</v>
      </c>
      <c r="K194" s="37">
        <v>0.11193799571371157</v>
      </c>
      <c r="L194" s="34">
        <v>4.7524234725671652</v>
      </c>
      <c r="M194" s="37">
        <v>6.8679916781551636E-2</v>
      </c>
      <c r="N194" s="34">
        <v>6.4322977621394415</v>
      </c>
      <c r="O194" s="72">
        <v>15.927420735079304</v>
      </c>
      <c r="P194" s="37">
        <v>0.33828569260769298</v>
      </c>
      <c r="Q194" s="37">
        <v>4.8769153583285915E-2</v>
      </c>
      <c r="R194" s="37">
        <v>5.630531080814867E-2</v>
      </c>
      <c r="S194" s="37"/>
      <c r="T194" s="38">
        <f t="shared" si="5"/>
        <v>70.697789544990187</v>
      </c>
      <c r="U194" s="37"/>
      <c r="W194" s="34"/>
      <c r="X194" s="34"/>
      <c r="Y194" s="34"/>
      <c r="Z194" s="35"/>
      <c r="AA194" s="34"/>
      <c r="AB194" s="34"/>
      <c r="AC194" s="34"/>
      <c r="AD194" s="35"/>
      <c r="AE194" s="35"/>
      <c r="AF194" s="34"/>
      <c r="AG194" s="34"/>
      <c r="AH194" s="35"/>
      <c r="AI194" s="34">
        <v>9.5194200163625506</v>
      </c>
      <c r="AJ194" s="35">
        <v>763.82714940890151</v>
      </c>
      <c r="AK194" s="35">
        <v>23</v>
      </c>
      <c r="AL194" s="72">
        <v>16.349875949028235</v>
      </c>
      <c r="AM194" s="35">
        <v>138.48188758834834</v>
      </c>
      <c r="AN194" s="35">
        <v>12.772138067899004</v>
      </c>
      <c r="AO194" s="34">
        <v>3.1</v>
      </c>
      <c r="AP194" s="34" t="e">
        <v>#DIV/0!</v>
      </c>
      <c r="AQ194" s="34">
        <v>0.61611677942053478</v>
      </c>
      <c r="AR194" s="34" t="e">
        <v>#DIV/0!</v>
      </c>
      <c r="AS194" s="34">
        <v>1.1100000000000001</v>
      </c>
      <c r="AT194" s="35">
        <v>0.568198286470462</v>
      </c>
      <c r="AU194" s="35">
        <v>2441.2485403754604</v>
      </c>
      <c r="AV194" s="72">
        <v>11.884654855175558</v>
      </c>
      <c r="AW194" s="35">
        <v>47.753993443420967</v>
      </c>
      <c r="AX194" s="34" t="e">
        <v>#DIV/0!</v>
      </c>
      <c r="AY194" s="34" t="e">
        <v>#DIV/0!</v>
      </c>
      <c r="AZ194" s="34" t="e">
        <v>#DIV/0!</v>
      </c>
      <c r="BA194" s="34" t="e">
        <v>#DIV/0!</v>
      </c>
      <c r="BB194" s="34" t="e">
        <v>#DIV/0!</v>
      </c>
      <c r="BC194" s="34" t="e">
        <v>#DIV/0!</v>
      </c>
      <c r="BD194" s="34">
        <v>4.1248541456927218E-2</v>
      </c>
      <c r="BE194" s="34" t="e">
        <v>#DIV/0!</v>
      </c>
      <c r="BF194" s="34" t="e">
        <v>#DIV/0!</v>
      </c>
      <c r="BG194" s="34">
        <v>0.21201899167049398</v>
      </c>
      <c r="BH194" s="35">
        <v>621.2979666934034</v>
      </c>
      <c r="BI194" s="34">
        <v>3.4358385991794558</v>
      </c>
      <c r="BJ194" s="34">
        <v>8.5725627629631056</v>
      </c>
      <c r="BK194" s="158">
        <v>1.0461835382998477</v>
      </c>
      <c r="BL194" s="72">
        <v>5.2179701364743334</v>
      </c>
      <c r="BM194" s="34">
        <v>1.4992805263741689</v>
      </c>
      <c r="BN194" s="34">
        <v>0.81762271877559112</v>
      </c>
      <c r="BO194" s="34">
        <v>1.7816727963557539</v>
      </c>
      <c r="BP194" s="34">
        <v>0.3196462597281941</v>
      </c>
      <c r="BQ194" s="34">
        <v>2.0279342603257948</v>
      </c>
      <c r="BR194" s="34">
        <v>0.45361915297117439</v>
      </c>
      <c r="BS194" s="34">
        <v>1.2650240977287761</v>
      </c>
      <c r="BT194" s="34">
        <v>0.18552807193448584</v>
      </c>
      <c r="BU194" s="34">
        <v>1.1997657753365525</v>
      </c>
      <c r="BV194" s="37">
        <v>0.18183083901776625</v>
      </c>
      <c r="BW194" s="34">
        <v>1.1641905438429847</v>
      </c>
      <c r="BX194" s="34">
        <v>0.1260092367265101</v>
      </c>
      <c r="BY194" s="34">
        <v>0.24548135510602001</v>
      </c>
      <c r="BZ194" s="72">
        <v>4.8576569365515425</v>
      </c>
      <c r="CA194" s="72">
        <v>4.549120323457549</v>
      </c>
      <c r="CB194" s="34" t="e">
        <v>#DIV/0!</v>
      </c>
      <c r="CC194" s="34" t="e">
        <v>#DIV/0!</v>
      </c>
      <c r="CD194" s="34" t="e">
        <v>#DIV/0!</v>
      </c>
      <c r="CE194" s="166">
        <v>0.5883481053948143</v>
      </c>
      <c r="CF194" s="34">
        <v>0.28364217252553536</v>
      </c>
      <c r="CG194" s="34" t="e">
        <v>#DIV/0!</v>
      </c>
      <c r="CH194" s="34" t="e">
        <v>#DIV/0!</v>
      </c>
      <c r="CI194" s="34">
        <v>1.6415179155789161</v>
      </c>
      <c r="CJ194" s="36">
        <v>1.7498759022738486</v>
      </c>
      <c r="CK194" s="36">
        <v>1.748924467155168</v>
      </c>
      <c r="CL194" s="36" t="e">
        <v>#DIV/0!</v>
      </c>
      <c r="CM194" s="36">
        <v>0.437037037037037</v>
      </c>
      <c r="CN194" s="36">
        <v>0.16037037037037039</v>
      </c>
      <c r="CQ194" s="36">
        <v>6.1927071600690185E-2</v>
      </c>
      <c r="CR194" s="34">
        <v>1.2933387556559475</v>
      </c>
      <c r="CS194" s="36">
        <v>1.5698646435414736E-2</v>
      </c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</row>
    <row r="195" spans="1:132" s="36" customFormat="1" x14ac:dyDescent="0.2">
      <c r="H195" s="34"/>
      <c r="I195" s="34"/>
      <c r="J195" s="34"/>
      <c r="K195" s="37"/>
      <c r="L195" s="34"/>
      <c r="M195" s="37"/>
      <c r="N195" s="34"/>
      <c r="O195" s="72"/>
      <c r="P195" s="37"/>
      <c r="Q195" s="37"/>
      <c r="R195" s="37"/>
      <c r="S195" s="37"/>
      <c r="T195" s="38" t="e">
        <f t="shared" ref="T195:T258" si="6">100*(N195/40.304)/(N195/40.304+L195/71.846)</f>
        <v>#DIV/0!</v>
      </c>
      <c r="U195" s="37"/>
      <c r="W195" s="34"/>
      <c r="X195" s="34"/>
      <c r="Y195" s="34"/>
      <c r="Z195" s="35"/>
      <c r="AA195" s="34"/>
      <c r="AB195" s="34"/>
      <c r="AC195" s="34"/>
      <c r="AD195" s="35"/>
      <c r="AE195" s="35"/>
      <c r="AF195" s="34"/>
      <c r="AG195" s="34"/>
      <c r="AH195" s="35"/>
      <c r="AI195" s="34"/>
      <c r="AJ195" s="35"/>
      <c r="AK195" s="35"/>
      <c r="AL195" s="72"/>
      <c r="AM195" s="35"/>
      <c r="AN195" s="35"/>
      <c r="AO195" s="34"/>
      <c r="AP195" s="34"/>
      <c r="AQ195" s="34"/>
      <c r="AR195" s="34"/>
      <c r="AS195" s="34"/>
      <c r="AT195" s="35"/>
      <c r="AU195" s="35"/>
      <c r="AV195" s="72"/>
      <c r="AW195" s="35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5"/>
      <c r="BI195" s="34"/>
      <c r="BJ195" s="34"/>
      <c r="BK195"/>
      <c r="BL195" s="72"/>
      <c r="BM195" s="34"/>
      <c r="BN195" s="34"/>
      <c r="BO195" s="34"/>
      <c r="BP195" s="34"/>
      <c r="BQ195" s="34"/>
      <c r="BR195" s="34"/>
      <c r="BS195" s="34"/>
      <c r="BT195" s="34"/>
      <c r="BU195" s="34"/>
      <c r="BV195" s="37"/>
      <c r="BW195" s="34"/>
      <c r="BX195" s="34"/>
      <c r="BY195" s="34"/>
      <c r="BZ195" s="72"/>
      <c r="CA195" s="72"/>
      <c r="CB195" s="34"/>
      <c r="CC195" s="34"/>
      <c r="CD195" s="34"/>
      <c r="CE195" s="166"/>
      <c r="CF195" s="34"/>
      <c r="CG195" s="34"/>
      <c r="CH195" s="34"/>
      <c r="CI195" s="34"/>
      <c r="CR195" s="34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</row>
    <row r="196" spans="1:132" s="50" customFormat="1" x14ac:dyDescent="0.2">
      <c r="A196" s="333" t="s">
        <v>754</v>
      </c>
      <c r="B196" s="257"/>
      <c r="C196" s="257"/>
      <c r="D196" s="50" t="s">
        <v>1282</v>
      </c>
      <c r="E196" s="41" t="s">
        <v>1288</v>
      </c>
      <c r="F196" s="38"/>
      <c r="H196"/>
      <c r="I196"/>
      <c r="J196"/>
      <c r="K196" s="49"/>
      <c r="L196" s="38">
        <v>5.41</v>
      </c>
      <c r="M196"/>
      <c r="N196"/>
      <c r="O196"/>
      <c r="P196" s="49">
        <v>0.47</v>
      </c>
      <c r="Q196" s="49"/>
      <c r="R196" s="49"/>
      <c r="T196" s="38">
        <f t="shared" si="6"/>
        <v>0</v>
      </c>
      <c r="AC196" s="38"/>
      <c r="AD196" s="76"/>
      <c r="AE196" s="38"/>
      <c r="AI196" s="38">
        <v>10.3</v>
      </c>
      <c r="AJ196" s="76">
        <v>632</v>
      </c>
      <c r="AL196" s="39">
        <v>22</v>
      </c>
      <c r="AM196" s="76">
        <v>130</v>
      </c>
      <c r="AN196" s="76"/>
      <c r="AO196" s="39"/>
      <c r="AQ196" s="38"/>
      <c r="AR196" s="38"/>
      <c r="AS196" s="38"/>
      <c r="AT196" s="76"/>
      <c r="AU196" s="76">
        <v>5680</v>
      </c>
      <c r="AW196" s="76">
        <v>115</v>
      </c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76">
        <v>1140</v>
      </c>
      <c r="BI196" s="38">
        <v>4</v>
      </c>
      <c r="BJ196" s="50">
        <v>9.6999999999999993</v>
      </c>
      <c r="BL196" s="39">
        <v>6</v>
      </c>
      <c r="BM196" s="38">
        <v>1.8</v>
      </c>
      <c r="BN196" s="38">
        <v>1</v>
      </c>
      <c r="BO196" s="38"/>
      <c r="BP196" s="38">
        <v>0.39</v>
      </c>
      <c r="BU196" s="50">
        <v>1.2</v>
      </c>
      <c r="BV196" s="49">
        <v>0.19</v>
      </c>
      <c r="BW196" s="38">
        <v>1.4</v>
      </c>
      <c r="BX196" s="38">
        <v>0.44</v>
      </c>
      <c r="BZ196" s="39">
        <v>26</v>
      </c>
      <c r="CA196" s="39">
        <v>9</v>
      </c>
      <c r="CE196" s="38">
        <v>1.7</v>
      </c>
      <c r="CF196" s="38">
        <v>1</v>
      </c>
      <c r="CQ196" s="29"/>
      <c r="CS196" s="55"/>
      <c r="CT196" s="55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</row>
    <row r="197" spans="1:132" s="36" customFormat="1" x14ac:dyDescent="0.2">
      <c r="H197" s="34"/>
      <c r="I197" s="34"/>
      <c r="J197" s="34"/>
      <c r="K197" s="37"/>
      <c r="L197" s="34"/>
      <c r="M197" s="37"/>
      <c r="N197" s="34"/>
      <c r="O197" s="72"/>
      <c r="P197" s="37"/>
      <c r="Q197" s="37"/>
      <c r="R197" s="37"/>
      <c r="S197" s="37"/>
      <c r="T197" s="38" t="e">
        <f t="shared" si="6"/>
        <v>#DIV/0!</v>
      </c>
      <c r="U197" s="37"/>
      <c r="W197" s="34"/>
      <c r="X197" s="34"/>
      <c r="Y197" s="34"/>
      <c r="Z197" s="35"/>
      <c r="AA197" s="34"/>
      <c r="AB197" s="34"/>
      <c r="AC197" s="34"/>
      <c r="AD197" s="35"/>
      <c r="AE197" s="35"/>
      <c r="AF197" s="34"/>
      <c r="AG197" s="34"/>
      <c r="AH197" s="35"/>
      <c r="AI197" s="34"/>
      <c r="AJ197" s="35"/>
      <c r="AK197" s="35"/>
      <c r="AL197" s="72"/>
      <c r="AM197" s="35"/>
      <c r="AN197" s="35"/>
      <c r="AO197" s="34"/>
      <c r="AP197" s="34"/>
      <c r="AQ197" s="34"/>
      <c r="AR197" s="34"/>
      <c r="AS197" s="34"/>
      <c r="AT197" s="35"/>
      <c r="AU197" s="35"/>
      <c r="AV197" s="72"/>
      <c r="AW197" s="35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5"/>
      <c r="BI197" s="34"/>
      <c r="BJ197" s="34"/>
      <c r="BK197"/>
      <c r="BL197" s="72"/>
      <c r="BM197" s="34"/>
      <c r="BN197" s="34"/>
      <c r="BO197" s="34"/>
      <c r="BP197" s="34"/>
      <c r="BQ197" s="34"/>
      <c r="BR197" s="34"/>
      <c r="BS197" s="34"/>
      <c r="BT197" s="34"/>
      <c r="BU197" s="34"/>
      <c r="BV197" s="37"/>
      <c r="BW197" s="34"/>
      <c r="BX197" s="34"/>
      <c r="BY197" s="34"/>
      <c r="BZ197" s="72"/>
      <c r="CA197" s="72"/>
      <c r="CB197" s="34"/>
      <c r="CC197" s="34"/>
      <c r="CD197" s="34"/>
      <c r="CE197" s="166"/>
      <c r="CF197" s="34"/>
      <c r="CG197" s="34"/>
      <c r="CH197" s="34"/>
      <c r="CI197" s="34"/>
      <c r="CR197" s="34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</row>
    <row r="198" spans="1:132" s="36" customFormat="1" x14ac:dyDescent="0.2">
      <c r="A198" s="50"/>
      <c r="D198" s="50"/>
      <c r="H198" s="48"/>
      <c r="I198" s="48"/>
      <c r="J198" s="48"/>
      <c r="K198" s="45"/>
      <c r="L198" s="48"/>
      <c r="M198" s="45"/>
      <c r="N198" s="48"/>
      <c r="O198" s="79"/>
      <c r="P198" s="45"/>
      <c r="Q198" s="45"/>
      <c r="R198" s="45"/>
      <c r="S198" s="48"/>
      <c r="T198" s="38" t="e">
        <f t="shared" si="6"/>
        <v>#DIV/0!</v>
      </c>
      <c r="U198" s="48"/>
      <c r="AE198" s="76"/>
      <c r="AF198" s="38"/>
      <c r="AG198" s="38"/>
      <c r="AH198" s="76"/>
      <c r="AI198" s="38"/>
      <c r="AJ198" s="35"/>
      <c r="AK198" s="76"/>
      <c r="AL198" s="39"/>
      <c r="AM198" s="76"/>
      <c r="AN198" s="76"/>
      <c r="AO198" s="38"/>
      <c r="AP198" s="38"/>
      <c r="AQ198" s="38"/>
      <c r="AR198" s="38"/>
      <c r="AS198" s="38"/>
      <c r="AT198" s="76"/>
      <c r="AU198" s="76"/>
      <c r="AV198" s="39"/>
      <c r="AW198" s="76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76"/>
      <c r="BI198" s="38"/>
      <c r="BJ198" s="38"/>
      <c r="BK198"/>
      <c r="BL198" s="39"/>
      <c r="BM198" s="38"/>
      <c r="BN198" s="38"/>
      <c r="BO198" s="38"/>
      <c r="BP198" s="38"/>
      <c r="BQ198" s="38"/>
      <c r="BR198" s="38"/>
      <c r="BS198" s="38"/>
      <c r="BT198" s="38"/>
      <c r="BU198" s="38"/>
      <c r="BV198" s="49"/>
      <c r="BW198" s="38"/>
      <c r="BX198" s="38"/>
      <c r="BY198" s="38"/>
      <c r="BZ198" s="39"/>
      <c r="CA198" s="39"/>
      <c r="CB198" s="38"/>
      <c r="CC198" s="38"/>
      <c r="CD198" s="38"/>
      <c r="CE198" s="166"/>
      <c r="CF198" s="38"/>
      <c r="CG198" s="38"/>
      <c r="CH198" s="34"/>
      <c r="CI198" s="34"/>
      <c r="CR198" s="34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</row>
    <row r="199" spans="1:132" s="36" customFormat="1" x14ac:dyDescent="0.2">
      <c r="A199" s="50"/>
      <c r="D199" s="50"/>
      <c r="H199" s="34"/>
      <c r="I199" s="34"/>
      <c r="J199" s="34"/>
      <c r="K199" s="37"/>
      <c r="L199" s="34"/>
      <c r="M199" s="37"/>
      <c r="N199" s="34"/>
      <c r="O199" s="72"/>
      <c r="P199" s="37"/>
      <c r="Q199" s="37"/>
      <c r="R199" s="37"/>
      <c r="T199" s="38" t="e">
        <f t="shared" si="6"/>
        <v>#DIV/0!</v>
      </c>
      <c r="AF199" s="34"/>
      <c r="AG199" s="34"/>
      <c r="AH199" s="35"/>
      <c r="AI199" s="34"/>
      <c r="AJ199" s="35"/>
      <c r="AK199" s="35"/>
      <c r="AL199" s="72"/>
      <c r="AM199" s="35"/>
      <c r="AN199" s="35"/>
      <c r="AO199" s="34"/>
      <c r="AP199" s="34"/>
      <c r="AQ199" s="34"/>
      <c r="AR199" s="34"/>
      <c r="AS199" s="34"/>
      <c r="AT199" s="35"/>
      <c r="AU199" s="35"/>
      <c r="AV199" s="72"/>
      <c r="AW199" s="35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5"/>
      <c r="BI199" s="34"/>
      <c r="BJ199" s="34"/>
      <c r="BK199"/>
      <c r="BL199" s="72"/>
      <c r="BM199" s="34"/>
      <c r="BN199" s="34"/>
      <c r="BO199" s="34"/>
      <c r="BP199" s="34"/>
      <c r="BQ199" s="34"/>
      <c r="BR199" s="34"/>
      <c r="BS199" s="34"/>
      <c r="BT199" s="34"/>
      <c r="BU199" s="34"/>
      <c r="BV199" s="37"/>
      <c r="BW199" s="34"/>
      <c r="BX199" s="34"/>
      <c r="BY199" s="34"/>
      <c r="BZ199" s="72"/>
      <c r="CA199" s="72"/>
      <c r="CB199" s="34"/>
      <c r="CC199" s="34"/>
      <c r="CD199" s="34"/>
      <c r="CE199" s="166"/>
      <c r="CF199" s="34"/>
      <c r="CG199" s="34"/>
      <c r="CH199" s="34"/>
      <c r="CI199" s="34"/>
      <c r="CR199" s="34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</row>
    <row r="200" spans="1:132" x14ac:dyDescent="0.2">
      <c r="A200" s="36"/>
      <c r="F200" s="39"/>
      <c r="H200" s="34"/>
      <c r="I200" s="34"/>
      <c r="J200" s="34"/>
      <c r="K200" s="37"/>
      <c r="L200" s="34"/>
      <c r="M200" s="37"/>
      <c r="N200" s="34"/>
      <c r="O200" s="72"/>
      <c r="P200" s="37"/>
      <c r="Q200" s="37"/>
      <c r="R200" s="37"/>
      <c r="S200" s="34"/>
      <c r="T200" s="38" t="e">
        <f t="shared" si="6"/>
        <v>#DIV/0!</v>
      </c>
      <c r="U200" s="34"/>
      <c r="V200" s="63"/>
      <c r="W200" s="34"/>
      <c r="X200" s="34"/>
      <c r="Y200" s="34"/>
      <c r="Z200" s="35"/>
      <c r="AA200" s="34"/>
      <c r="AB200" s="34"/>
      <c r="AC200" s="34"/>
      <c r="AD200" s="34"/>
      <c r="AE200" s="34"/>
      <c r="AF200" s="34"/>
      <c r="AG200" s="34"/>
      <c r="AH200" s="34"/>
      <c r="AI200" s="34"/>
      <c r="AJ200" s="35"/>
      <c r="AK200" s="34"/>
      <c r="AL200" s="72"/>
      <c r="AM200" s="35"/>
      <c r="AN200" s="35"/>
      <c r="AO200" s="34"/>
      <c r="AP200" s="34"/>
      <c r="AQ200" s="34"/>
      <c r="AR200" s="34"/>
      <c r="AS200" s="34"/>
      <c r="AT200" s="35"/>
      <c r="AU200" s="35"/>
      <c r="AV200" s="34"/>
      <c r="AW200" s="35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5"/>
      <c r="BI200" s="34"/>
      <c r="BJ200" s="34"/>
      <c r="BL200" s="72"/>
      <c r="BM200" s="34"/>
      <c r="BN200" s="34"/>
      <c r="BP200" s="34"/>
      <c r="BQ200" s="34"/>
      <c r="BR200" s="34"/>
      <c r="BS200" s="34"/>
      <c r="BT200" s="34"/>
      <c r="BU200" s="34"/>
      <c r="BV200" s="37"/>
      <c r="BW200" s="34"/>
      <c r="BX200" s="34"/>
      <c r="BY200" s="34"/>
      <c r="BZ200" s="72"/>
      <c r="CA200" s="72"/>
      <c r="CB200" s="34"/>
      <c r="CC200" s="34"/>
      <c r="CD200" s="34"/>
      <c r="CE200" s="34"/>
      <c r="CF200" s="34"/>
      <c r="CG200" s="34"/>
      <c r="CH200" s="34"/>
      <c r="CI200" s="119"/>
      <c r="CJ200" s="58"/>
      <c r="CK200" s="119"/>
      <c r="CL200" s="119"/>
      <c r="CM200" s="30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</row>
    <row r="201" spans="1:132" x14ac:dyDescent="0.2">
      <c r="F201" s="39"/>
      <c r="T201" s="38" t="e">
        <f t="shared" si="6"/>
        <v>#DIV/0!</v>
      </c>
      <c r="V201" s="63"/>
      <c r="Z201"/>
      <c r="CM201" s="30"/>
    </row>
    <row r="202" spans="1:132" x14ac:dyDescent="0.2">
      <c r="A202" t="s">
        <v>456</v>
      </c>
      <c r="D202" t="s">
        <v>460</v>
      </c>
      <c r="F202" s="39"/>
      <c r="H202" s="30">
        <v>44.31</v>
      </c>
      <c r="I202" s="6">
        <v>0.222</v>
      </c>
      <c r="J202" s="6">
        <v>29.59</v>
      </c>
      <c r="K202" s="32">
        <v>0.08</v>
      </c>
      <c r="L202" s="6">
        <v>4.0599999999999996</v>
      </c>
      <c r="M202" s="3">
        <v>6.4000000000000001E-2</v>
      </c>
      <c r="N202" s="6">
        <v>3.92</v>
      </c>
      <c r="O202" s="7">
        <v>16.989999999999998</v>
      </c>
      <c r="P202" s="32">
        <v>0.24299999999999999</v>
      </c>
      <c r="Q202" s="32">
        <v>8.2000000000000003E-2</v>
      </c>
      <c r="R202" s="32">
        <v>0.05</v>
      </c>
      <c r="T202" s="38">
        <f t="shared" si="6"/>
        <v>63.250604306738808</v>
      </c>
      <c r="V202" s="63"/>
      <c r="Z202" s="8">
        <v>495.68</v>
      </c>
      <c r="AI202" s="30">
        <v>7.9</v>
      </c>
      <c r="AJ202" s="31">
        <v>465</v>
      </c>
      <c r="AL202" s="33">
        <v>13.9</v>
      </c>
      <c r="AM202" s="31">
        <v>170</v>
      </c>
      <c r="AU202" s="31">
        <v>200</v>
      </c>
      <c r="AW202" s="31">
        <v>32</v>
      </c>
      <c r="BG202" s="30">
        <v>0.44</v>
      </c>
      <c r="BI202" s="30">
        <v>2.9</v>
      </c>
      <c r="BJ202">
        <v>6.6</v>
      </c>
      <c r="BK202" s="51">
        <v>0.85116418331610777</v>
      </c>
      <c r="BL202" s="33">
        <v>3.8</v>
      </c>
      <c r="BM202" s="30">
        <v>1.1000000000000001</v>
      </c>
      <c r="BN202" s="30" t="s">
        <v>338</v>
      </c>
      <c r="BO202" s="51">
        <v>1.3416136132146717</v>
      </c>
      <c r="BP202" s="30">
        <v>0.25</v>
      </c>
      <c r="BQ202" s="74">
        <v>1.5499546302026235</v>
      </c>
      <c r="BR202" s="74">
        <v>0.33778135257562869</v>
      </c>
      <c r="BS202" s="52">
        <v>0.91834963284132565</v>
      </c>
      <c r="BT202" s="53">
        <v>0.13305598642845168</v>
      </c>
      <c r="BU202">
        <v>0.85</v>
      </c>
      <c r="BV202" s="32">
        <v>0.15</v>
      </c>
      <c r="BW202" s="30">
        <v>0.86</v>
      </c>
      <c r="BX202" s="30">
        <v>0.24</v>
      </c>
      <c r="BZ202" s="33">
        <v>6.3</v>
      </c>
      <c r="CA202" s="33">
        <v>9</v>
      </c>
      <c r="CE202" s="30">
        <v>0.36</v>
      </c>
      <c r="CI202" s="29">
        <v>1.2026010192174745</v>
      </c>
      <c r="CJ202" s="41">
        <v>1.3916653787175841</v>
      </c>
      <c r="CK202" s="29">
        <v>1.4305744417089563</v>
      </c>
      <c r="CM202" s="30">
        <v>0.32727272727272722</v>
      </c>
      <c r="CN202" s="29"/>
      <c r="CO202" s="29"/>
      <c r="CP202" s="29"/>
      <c r="CQ202" s="29"/>
      <c r="CR202" s="30">
        <v>0.96551724137931039</v>
      </c>
      <c r="CS202" s="29">
        <v>1.5763546798029559E-2</v>
      </c>
      <c r="CT202" s="29"/>
      <c r="CU202" s="29"/>
      <c r="CV202" s="29"/>
      <c r="CW202" s="29"/>
      <c r="CX202" s="29"/>
      <c r="CY202" s="29"/>
      <c r="CZ202" s="29"/>
    </row>
    <row r="203" spans="1:132" x14ac:dyDescent="0.2">
      <c r="A203" t="s">
        <v>456</v>
      </c>
      <c r="D203" t="s">
        <v>1282</v>
      </c>
      <c r="E203" s="41" t="s">
        <v>1288</v>
      </c>
      <c r="F203" s="39"/>
      <c r="H203" s="30">
        <v>44.3</v>
      </c>
      <c r="I203" s="6">
        <v>0.22</v>
      </c>
      <c r="J203" s="6">
        <v>29.6</v>
      </c>
      <c r="K203" s="32">
        <v>0.08</v>
      </c>
      <c r="L203" s="6">
        <v>4.0599999999999996</v>
      </c>
      <c r="M203" s="3">
        <v>0.06</v>
      </c>
      <c r="N203" s="6">
        <v>3.92</v>
      </c>
      <c r="O203" s="7">
        <v>16.989999999999998</v>
      </c>
      <c r="P203" s="32">
        <v>0.24</v>
      </c>
      <c r="Q203" s="32">
        <v>0.08</v>
      </c>
      <c r="R203" s="32">
        <v>0.05</v>
      </c>
      <c r="S203">
        <v>0.56999999999999995</v>
      </c>
      <c r="T203" s="38">
        <f t="shared" si="6"/>
        <v>63.250604306738808</v>
      </c>
      <c r="V203" s="63"/>
      <c r="Z203" s="8">
        <v>464.7</v>
      </c>
      <c r="AI203" s="30">
        <v>8</v>
      </c>
      <c r="AJ203" s="31">
        <v>497</v>
      </c>
      <c r="AL203" s="33">
        <v>14</v>
      </c>
      <c r="AM203" s="31">
        <v>170</v>
      </c>
      <c r="AU203" s="31">
        <v>175</v>
      </c>
      <c r="AW203" s="31">
        <v>27</v>
      </c>
      <c r="BG203" s="30">
        <v>0.44</v>
      </c>
      <c r="BH203" s="31">
        <v>30</v>
      </c>
      <c r="BI203" s="30">
        <v>2.9</v>
      </c>
      <c r="BJ203">
        <v>6.6</v>
      </c>
      <c r="BK203" s="51">
        <v>0.85116418331610777</v>
      </c>
      <c r="BL203" s="33">
        <v>3.8</v>
      </c>
      <c r="BM203" s="30">
        <v>1.1000000000000001</v>
      </c>
      <c r="BN203" s="30" t="s">
        <v>338</v>
      </c>
      <c r="BO203" s="51">
        <v>1.3416136132146717</v>
      </c>
      <c r="BP203" s="30">
        <v>0.25</v>
      </c>
      <c r="BQ203" s="74">
        <v>1.5499546302026235</v>
      </c>
      <c r="BR203" s="74">
        <v>0.33778135257562869</v>
      </c>
      <c r="BS203" s="52">
        <v>0.91834963284132565</v>
      </c>
      <c r="BT203" s="53">
        <v>0.13305598642845168</v>
      </c>
      <c r="BU203">
        <v>0.85</v>
      </c>
      <c r="BV203" s="32">
        <v>0.15</v>
      </c>
      <c r="BW203" s="30">
        <v>0.86</v>
      </c>
      <c r="BX203" s="30">
        <v>0.24</v>
      </c>
      <c r="BZ203" s="33">
        <v>6.3</v>
      </c>
      <c r="CA203" s="33">
        <v>9</v>
      </c>
      <c r="CE203" s="30">
        <v>0.36</v>
      </c>
      <c r="CF203" s="30">
        <v>0.2</v>
      </c>
      <c r="CI203" s="29">
        <v>1.2026010192174745</v>
      </c>
      <c r="CJ203" s="41">
        <v>1.3916653787175841</v>
      </c>
      <c r="CK203" s="29">
        <v>1.4305744417089563</v>
      </c>
      <c r="CM203" s="30">
        <v>0.32727272727272722</v>
      </c>
      <c r="CN203" s="29"/>
      <c r="CO203" s="29"/>
      <c r="CP203" s="29"/>
      <c r="CQ203" s="29"/>
      <c r="CR203" s="30">
        <v>0.96551724137931039</v>
      </c>
      <c r="CS203" s="29">
        <v>1.477832512315271E-2</v>
      </c>
      <c r="CT203" s="29"/>
      <c r="CU203" s="29"/>
      <c r="CV203" s="29"/>
      <c r="CW203" s="29"/>
      <c r="CX203" s="29"/>
      <c r="CY203" s="29"/>
      <c r="CZ203" s="29"/>
    </row>
    <row r="204" spans="1:132" x14ac:dyDescent="0.2">
      <c r="F204" s="39"/>
      <c r="K204" s="32">
        <v>7.2641520000000001E-2</v>
      </c>
      <c r="T204" s="38" t="e">
        <f t="shared" si="6"/>
        <v>#DIV/0!</v>
      </c>
      <c r="V204" s="63"/>
      <c r="Z204" s="8"/>
      <c r="BK204" s="51"/>
      <c r="BO204" s="51"/>
      <c r="BQ204" s="74"/>
      <c r="BR204" s="74"/>
      <c r="BS204" s="52"/>
      <c r="BT204" s="53"/>
      <c r="CI204" s="29"/>
      <c r="CJ204" s="41"/>
      <c r="CK204" s="29"/>
      <c r="CM204" s="30"/>
      <c r="CN204" s="29"/>
      <c r="CO204" s="29"/>
      <c r="CP204" s="29"/>
      <c r="CQ204" s="29"/>
      <c r="CR204" s="30"/>
      <c r="CS204" s="29"/>
      <c r="CT204" s="29"/>
      <c r="CU204" s="29"/>
      <c r="CV204" s="29"/>
      <c r="CW204" s="29"/>
      <c r="CX204" s="29"/>
      <c r="CY204" s="29"/>
      <c r="CZ204" s="29"/>
    </row>
    <row r="205" spans="1:132" x14ac:dyDescent="0.2">
      <c r="A205" t="s">
        <v>456</v>
      </c>
      <c r="D205" s="50" t="s">
        <v>946</v>
      </c>
      <c r="E205">
        <v>57</v>
      </c>
      <c r="F205" s="33">
        <v>100.11777580000002</v>
      </c>
      <c r="H205" s="6">
        <v>44.711369999999995</v>
      </c>
      <c r="I205" s="6">
        <v>0.283611</v>
      </c>
      <c r="J205" s="6">
        <v>27.019850000000002</v>
      </c>
      <c r="K205" s="32">
        <v>9.2080800000000004E-2</v>
      </c>
      <c r="L205" s="6">
        <v>4.6957249999999995</v>
      </c>
      <c r="M205" s="3">
        <v>6.8444199999999997E-2</v>
      </c>
      <c r="N205" s="6">
        <v>6.6332000000000004</v>
      </c>
      <c r="O205" s="7">
        <v>16.230719999999998</v>
      </c>
      <c r="P205" s="3">
        <v>0.33700000000000002</v>
      </c>
      <c r="Q205" s="49">
        <v>4.577479999999999E-2</v>
      </c>
      <c r="S205" s="30"/>
      <c r="T205" s="38">
        <f t="shared" si="6"/>
        <v>71.575655731274495</v>
      </c>
      <c r="U205" s="30"/>
      <c r="V205" s="33">
        <v>20.9</v>
      </c>
      <c r="W205" s="6">
        <v>0.17</v>
      </c>
      <c r="X205" s="7">
        <v>14.3</v>
      </c>
      <c r="Y205" s="2">
        <v>3.65</v>
      </c>
      <c r="Z205" s="8">
        <v>530</v>
      </c>
      <c r="AA205" s="7">
        <v>4</v>
      </c>
      <c r="AB205" s="7">
        <v>11.6</v>
      </c>
      <c r="AC205">
        <v>0.25</v>
      </c>
      <c r="AD205" s="31">
        <v>380</v>
      </c>
      <c r="AF205" s="33"/>
      <c r="AH205">
        <v>72.413793103448285</v>
      </c>
      <c r="AI205" s="30">
        <v>8.6999999999999993</v>
      </c>
      <c r="AJ205" s="8">
        <v>630</v>
      </c>
      <c r="AK205" t="s">
        <v>711</v>
      </c>
      <c r="AL205" s="33">
        <v>16.2</v>
      </c>
      <c r="AM205" s="76">
        <v>155</v>
      </c>
      <c r="AN205" s="208"/>
      <c r="AO205" s="33">
        <v>3.7</v>
      </c>
      <c r="AS205" s="30">
        <v>1.7</v>
      </c>
      <c r="AU205" s="31">
        <v>128</v>
      </c>
      <c r="AW205" s="31">
        <v>56</v>
      </c>
      <c r="BH205" s="31">
        <v>52</v>
      </c>
      <c r="BI205" s="30">
        <v>3.1</v>
      </c>
      <c r="BJ205" s="39">
        <v>7.3</v>
      </c>
      <c r="BK205" s="51"/>
      <c r="BL205" s="39">
        <v>5</v>
      </c>
      <c r="BM205" s="30">
        <v>1.39</v>
      </c>
      <c r="BN205" s="38">
        <v>0.78</v>
      </c>
      <c r="BO205" s="51"/>
      <c r="BP205" s="38">
        <v>0.27</v>
      </c>
      <c r="BQ205" s="50" t="s">
        <v>715</v>
      </c>
      <c r="BR205" s="29">
        <v>0.35</v>
      </c>
      <c r="BS205" s="52"/>
      <c r="BT205" s="53"/>
      <c r="BU205" s="30">
        <v>1.01</v>
      </c>
      <c r="BV205" s="32">
        <v>0.15</v>
      </c>
      <c r="BW205" s="30">
        <v>0.99</v>
      </c>
      <c r="BX205" s="30">
        <v>0.1</v>
      </c>
      <c r="BY205" s="30"/>
      <c r="BZ205" s="33">
        <v>487</v>
      </c>
      <c r="CA205" s="33">
        <v>4.0999999999999996</v>
      </c>
      <c r="CC205">
        <v>2.1489361702127661</v>
      </c>
      <c r="CE205" s="38">
        <v>0.47</v>
      </c>
      <c r="CF205" s="38">
        <v>0.15</v>
      </c>
      <c r="CG205" s="40"/>
      <c r="CI205" s="29"/>
      <c r="CJ205" s="41"/>
      <c r="CK205" s="29"/>
      <c r="CL205" s="29"/>
      <c r="CM205" s="30"/>
      <c r="CN205" s="144"/>
      <c r="CO205" s="29"/>
      <c r="CP205" s="29"/>
      <c r="CQ205" s="29">
        <v>6.0397702165267353E-2</v>
      </c>
      <c r="CR205" s="6">
        <v>1.4126040174839885</v>
      </c>
      <c r="CS205" s="29">
        <v>1.4575853568937706E-2</v>
      </c>
      <c r="CT205" s="29"/>
      <c r="CU205" s="29"/>
      <c r="CV205" s="29"/>
      <c r="CW205" s="29"/>
      <c r="CX205" s="29"/>
      <c r="CY205" s="29"/>
      <c r="CZ205" s="29"/>
    </row>
    <row r="206" spans="1:132" x14ac:dyDescent="0.2">
      <c r="A206" s="50" t="s">
        <v>923</v>
      </c>
      <c r="D206" s="50" t="s">
        <v>946</v>
      </c>
      <c r="E206">
        <v>241</v>
      </c>
      <c r="F206" s="33">
        <v>99.479968</v>
      </c>
      <c r="H206" s="6">
        <v>44.9253</v>
      </c>
      <c r="I206" s="6">
        <v>0.16683000000000001</v>
      </c>
      <c r="J206" s="6">
        <v>28.342500000000001</v>
      </c>
      <c r="K206" s="32">
        <v>9.0619199999999997E-2</v>
      </c>
      <c r="L206" s="315">
        <v>4.3612349999999998</v>
      </c>
      <c r="M206" s="3">
        <v>6.9735600000000009E-2</v>
      </c>
      <c r="N206" s="6">
        <v>4.2286650000000003</v>
      </c>
      <c r="O206" s="7">
        <v>16.930319999999998</v>
      </c>
      <c r="P206" s="3">
        <v>0.32621600000000001</v>
      </c>
      <c r="Q206" s="49">
        <v>3.8547199999999997E-2</v>
      </c>
      <c r="S206" s="30"/>
      <c r="T206" s="38">
        <f t="shared" si="6"/>
        <v>63.34869532931242</v>
      </c>
      <c r="U206" s="30"/>
      <c r="V206" s="33">
        <v>21</v>
      </c>
      <c r="W206" s="6">
        <v>0.1</v>
      </c>
      <c r="X206" s="7">
        <v>15</v>
      </c>
      <c r="Y206" s="2">
        <v>3.39</v>
      </c>
      <c r="Z206" s="8">
        <v>540</v>
      </c>
      <c r="AA206" s="2">
        <v>2.5499999999999998</v>
      </c>
      <c r="AB206" s="7">
        <v>12.1</v>
      </c>
      <c r="AC206">
        <v>0.24199999999999999</v>
      </c>
      <c r="AD206" s="31">
        <v>320</v>
      </c>
      <c r="AF206" s="33"/>
      <c r="AH206">
        <v>74.698795180722882</v>
      </c>
      <c r="AI206" s="30">
        <v>8.3000000000000007</v>
      </c>
      <c r="AJ206" s="8">
        <v>620</v>
      </c>
      <c r="AK206">
        <v>16</v>
      </c>
      <c r="AL206" s="33">
        <v>17.3</v>
      </c>
      <c r="AM206" s="76">
        <v>153</v>
      </c>
      <c r="AN206" s="208"/>
      <c r="AO206" s="33">
        <v>4.3</v>
      </c>
      <c r="AS206" s="30">
        <v>1.9</v>
      </c>
      <c r="AU206" s="31">
        <v>209</v>
      </c>
      <c r="AW206" s="31">
        <v>34</v>
      </c>
      <c r="BH206" s="31">
        <v>81</v>
      </c>
      <c r="BI206" s="30">
        <v>3.8</v>
      </c>
      <c r="BJ206" s="39">
        <v>7.9</v>
      </c>
      <c r="BK206" s="51"/>
      <c r="BL206" s="39">
        <v>5.3</v>
      </c>
      <c r="BM206" s="30">
        <v>1.45</v>
      </c>
      <c r="BN206" s="38">
        <v>0.86</v>
      </c>
      <c r="BO206" s="51"/>
      <c r="BP206" s="38">
        <v>0.28000000000000003</v>
      </c>
      <c r="BQ206" s="38">
        <v>1.94</v>
      </c>
      <c r="BR206" s="29">
        <v>0.43</v>
      </c>
      <c r="BS206" s="52"/>
      <c r="BT206" s="53"/>
      <c r="BU206" s="30">
        <v>1.1299999999999999</v>
      </c>
      <c r="BV206" s="32">
        <v>0.152</v>
      </c>
      <c r="BW206" s="30">
        <v>1.01</v>
      </c>
      <c r="BX206" s="30">
        <v>0.14000000000000001</v>
      </c>
      <c r="BY206" s="30"/>
      <c r="BZ206" s="33">
        <v>13</v>
      </c>
      <c r="CA206" s="33">
        <v>7.8</v>
      </c>
      <c r="CC206">
        <v>2.5111111111111106</v>
      </c>
      <c r="CE206" s="38">
        <v>0.45</v>
      </c>
      <c r="CF206" s="38">
        <v>0.15</v>
      </c>
      <c r="CG206" s="40"/>
      <c r="CI206" s="29"/>
      <c r="CJ206" s="41"/>
      <c r="CK206" s="29"/>
      <c r="CL206" s="29"/>
      <c r="CM206" s="30"/>
      <c r="CN206" s="144"/>
      <c r="CO206" s="29"/>
      <c r="CP206" s="29"/>
      <c r="CQ206" s="29">
        <v>3.8252926063374257E-2</v>
      </c>
      <c r="CR206" s="6">
        <v>0.96960264695665344</v>
      </c>
      <c r="CS206" s="29">
        <v>1.5989874427771035E-2</v>
      </c>
      <c r="CT206" s="29"/>
      <c r="CU206" s="29"/>
      <c r="CV206" s="29"/>
      <c r="CW206" s="29"/>
      <c r="CX206" s="29"/>
      <c r="CY206" s="29"/>
      <c r="CZ206" s="29"/>
    </row>
    <row r="207" spans="1:132" x14ac:dyDescent="0.2">
      <c r="A207" s="50" t="s">
        <v>924</v>
      </c>
      <c r="D207" s="50" t="s">
        <v>946</v>
      </c>
      <c r="E207">
        <v>274</v>
      </c>
      <c r="F207" s="33">
        <v>99.569374199999999</v>
      </c>
      <c r="H207" s="6">
        <v>44.9253</v>
      </c>
      <c r="I207" s="6">
        <v>0.21687899999999999</v>
      </c>
      <c r="J207" s="6">
        <v>28.90935</v>
      </c>
      <c r="K207" s="32">
        <v>8.1849599999999995E-2</v>
      </c>
      <c r="L207" s="6">
        <v>4.1039349999999999</v>
      </c>
      <c r="M207" s="3">
        <v>6.7152799999999999E-2</v>
      </c>
      <c r="N207" s="6">
        <v>4.112584</v>
      </c>
      <c r="O207" s="7">
        <v>16.790399999999998</v>
      </c>
      <c r="P207" s="3">
        <v>0.32217200000000001</v>
      </c>
      <c r="Q207" s="49">
        <v>3.9751799999999997E-2</v>
      </c>
      <c r="S207" s="30"/>
      <c r="T207" s="38">
        <f t="shared" si="6"/>
        <v>64.110870632805785</v>
      </c>
      <c r="U207" s="30"/>
      <c r="V207" s="33">
        <v>21</v>
      </c>
      <c r="W207" s="6">
        <v>0.13</v>
      </c>
      <c r="X207" s="7">
        <v>15.3</v>
      </c>
      <c r="Y207" s="2">
        <v>3.19</v>
      </c>
      <c r="Z207" s="8">
        <v>520</v>
      </c>
      <c r="AA207" s="2">
        <v>2.48</v>
      </c>
      <c r="AB207" s="7">
        <v>12</v>
      </c>
      <c r="AC207">
        <v>0.23899999999999999</v>
      </c>
      <c r="AD207" s="31">
        <v>330</v>
      </c>
      <c r="AF207" s="33"/>
      <c r="AH207">
        <v>74.666666666666671</v>
      </c>
      <c r="AI207" s="30">
        <v>7.5</v>
      </c>
      <c r="AJ207" s="8">
        <v>560</v>
      </c>
      <c r="AK207">
        <v>18</v>
      </c>
      <c r="AL207" s="33">
        <v>16</v>
      </c>
      <c r="AM207" s="76">
        <v>138</v>
      </c>
      <c r="AN207" s="208"/>
      <c r="AO207" s="33">
        <v>3.8</v>
      </c>
      <c r="AS207" s="30">
        <v>1.9</v>
      </c>
      <c r="AU207" s="31">
        <v>254</v>
      </c>
      <c r="AW207" s="31">
        <v>46</v>
      </c>
      <c r="BH207" s="31">
        <v>168</v>
      </c>
      <c r="BI207" s="30">
        <v>3.06</v>
      </c>
      <c r="BJ207" s="39">
        <v>6.8</v>
      </c>
      <c r="BK207" s="51"/>
      <c r="BL207" s="39">
        <v>4</v>
      </c>
      <c r="BM207" s="30">
        <v>1.22</v>
      </c>
      <c r="BN207" s="38">
        <v>0.79</v>
      </c>
      <c r="BO207" s="51"/>
      <c r="BP207" s="38">
        <v>0.26</v>
      </c>
      <c r="BQ207" s="38">
        <v>1.76</v>
      </c>
      <c r="BR207" s="29">
        <v>0.37</v>
      </c>
      <c r="BS207" s="52"/>
      <c r="BT207" s="53"/>
      <c r="BU207" s="30">
        <v>0.94</v>
      </c>
      <c r="BV207" s="32">
        <v>0.13400000000000001</v>
      </c>
      <c r="BW207" s="30">
        <v>0.83</v>
      </c>
      <c r="BX207" s="30">
        <v>0.11600000000000001</v>
      </c>
      <c r="BY207" s="30"/>
      <c r="BZ207" s="33">
        <v>5.2</v>
      </c>
      <c r="CA207" s="33">
        <v>11.4</v>
      </c>
      <c r="CC207">
        <v>2.5405405405405403</v>
      </c>
      <c r="CE207" s="38">
        <v>0.37</v>
      </c>
      <c r="CF207" s="38">
        <v>0.13</v>
      </c>
      <c r="CG207" s="40"/>
      <c r="CI207" s="29"/>
      <c r="CJ207" s="41"/>
      <c r="CK207" s="29"/>
      <c r="CL207" s="29"/>
      <c r="CM207" s="30"/>
      <c r="CN207" s="144"/>
      <c r="CO207" s="29"/>
      <c r="CP207" s="29"/>
      <c r="CQ207" s="29">
        <v>5.2846597229244612E-2</v>
      </c>
      <c r="CR207" s="6">
        <v>1.0021074895192055</v>
      </c>
      <c r="CS207" s="29">
        <v>1.6363027192194807E-2</v>
      </c>
      <c r="CT207" s="29"/>
      <c r="CU207" s="29"/>
      <c r="CV207" s="29"/>
      <c r="CW207" s="29"/>
      <c r="CX207" s="29"/>
      <c r="CY207" s="29"/>
      <c r="CZ207" s="29"/>
    </row>
    <row r="208" spans="1:132" x14ac:dyDescent="0.2">
      <c r="A208" s="50" t="s">
        <v>925</v>
      </c>
      <c r="D208" s="50" t="s">
        <v>946</v>
      </c>
      <c r="E208">
        <v>185</v>
      </c>
      <c r="F208" s="33">
        <v>99.750259799999995</v>
      </c>
      <c r="H208" s="6">
        <v>45.139230000000005</v>
      </c>
      <c r="I208" s="6">
        <v>0.21687899999999999</v>
      </c>
      <c r="J208" s="6">
        <v>29.28725</v>
      </c>
      <c r="K208" s="32">
        <v>8.9157600000000004E-2</v>
      </c>
      <c r="L208" s="6">
        <v>3.9624199999999998</v>
      </c>
      <c r="M208" s="3">
        <v>7.6192599999999999E-2</v>
      </c>
      <c r="N208" s="6">
        <v>3.9799199999999999</v>
      </c>
      <c r="O208" s="7">
        <v>16.650480000000002</v>
      </c>
      <c r="P208" s="3">
        <v>0.31138800000000005</v>
      </c>
      <c r="Q208" s="49">
        <v>3.7342599999999997E-2</v>
      </c>
      <c r="S208" s="30"/>
      <c r="T208" s="38">
        <f t="shared" si="6"/>
        <v>64.16380817791817</v>
      </c>
      <c r="U208" s="30"/>
      <c r="V208" s="33">
        <v>21.1</v>
      </c>
      <c r="W208" s="6">
        <v>0.13</v>
      </c>
      <c r="X208" s="7">
        <v>15.5</v>
      </c>
      <c r="Y208" s="2">
        <v>3.08</v>
      </c>
      <c r="Z208" s="8">
        <v>590</v>
      </c>
      <c r="AA208" s="2">
        <v>2.4</v>
      </c>
      <c r="AB208" s="7">
        <v>11.9</v>
      </c>
      <c r="AC208">
        <v>0.23100000000000001</v>
      </c>
      <c r="AD208" s="31">
        <v>310</v>
      </c>
      <c r="AF208" s="33"/>
      <c r="AH208">
        <v>77.215189873417714</v>
      </c>
      <c r="AI208" s="30">
        <v>7.9</v>
      </c>
      <c r="AJ208" s="8">
        <v>610</v>
      </c>
      <c r="AK208">
        <v>15</v>
      </c>
      <c r="AL208" s="33">
        <v>16.600000000000001</v>
      </c>
      <c r="AM208" s="76">
        <v>125</v>
      </c>
      <c r="AN208" s="208"/>
      <c r="AO208" s="33">
        <v>3.3</v>
      </c>
      <c r="AS208" s="30">
        <v>1.6</v>
      </c>
      <c r="AU208" s="31">
        <v>540</v>
      </c>
      <c r="AW208" s="31">
        <v>16</v>
      </c>
      <c r="BH208" s="31">
        <v>430</v>
      </c>
      <c r="BI208" s="30">
        <v>2.48</v>
      </c>
      <c r="BJ208" s="39">
        <v>6.3</v>
      </c>
      <c r="BK208" s="51"/>
      <c r="BL208" s="39">
        <v>3.2</v>
      </c>
      <c r="BM208" s="30">
        <v>1.0900000000000001</v>
      </c>
      <c r="BN208" s="38">
        <v>0.78</v>
      </c>
      <c r="BO208" s="51"/>
      <c r="BP208" s="38">
        <v>0.26</v>
      </c>
      <c r="BQ208" s="38">
        <v>1.53</v>
      </c>
      <c r="BR208" s="29">
        <v>0.28999999999999998</v>
      </c>
      <c r="BS208" s="52"/>
      <c r="BT208" s="53"/>
      <c r="BU208" s="30">
        <v>0.89</v>
      </c>
      <c r="BV208" s="32">
        <v>0.13100000000000001</v>
      </c>
      <c r="BW208" s="30">
        <v>0.8</v>
      </c>
      <c r="BX208" s="30">
        <v>0.109</v>
      </c>
      <c r="BY208" s="30"/>
      <c r="BZ208" s="33">
        <v>5.6</v>
      </c>
      <c r="CA208" s="33">
        <v>17.8</v>
      </c>
      <c r="CC208">
        <v>2.4054054054054053</v>
      </c>
      <c r="CE208" s="38">
        <v>0.37</v>
      </c>
      <c r="CF208" s="38">
        <v>0.18099999999999999</v>
      </c>
      <c r="CG208" s="40"/>
      <c r="CI208" s="29"/>
      <c r="CJ208" s="41"/>
      <c r="CK208" s="29"/>
      <c r="CL208" s="29"/>
      <c r="CM208" s="30"/>
      <c r="CN208" s="144"/>
      <c r="CO208" s="29"/>
      <c r="CP208" s="29"/>
      <c r="CQ208" s="29">
        <v>5.473397570171764E-2</v>
      </c>
      <c r="CR208" s="6">
        <v>1.0044164929512773</v>
      </c>
      <c r="CS208" s="29">
        <v>1.9228804619399256E-2</v>
      </c>
      <c r="CT208" s="29"/>
      <c r="CU208" s="29"/>
      <c r="CV208" s="29"/>
      <c r="CW208" s="29"/>
      <c r="CX208" s="29"/>
      <c r="CY208" s="29"/>
      <c r="CZ208" s="29"/>
    </row>
    <row r="209" spans="1:104" x14ac:dyDescent="0.2">
      <c r="A209" s="50"/>
      <c r="D209" s="50"/>
      <c r="F209" s="33"/>
      <c r="H209" s="6"/>
      <c r="P209" s="3"/>
      <c r="Q209" s="49"/>
      <c r="S209" s="30"/>
      <c r="T209" s="38" t="e">
        <f t="shared" si="6"/>
        <v>#DIV/0!</v>
      </c>
      <c r="U209" s="30"/>
      <c r="V209" s="33"/>
      <c r="W209" s="6"/>
      <c r="X209" s="7"/>
      <c r="Z209" s="8"/>
      <c r="AB209" s="7"/>
      <c r="AD209" s="31"/>
      <c r="AF209" s="33"/>
      <c r="AJ209" s="8"/>
      <c r="AM209" s="76"/>
      <c r="AN209" s="208"/>
      <c r="BJ209" s="39"/>
      <c r="BK209" s="51"/>
      <c r="BL209" s="39"/>
      <c r="BN209" s="38"/>
      <c r="BO209" s="51"/>
      <c r="BP209" s="38"/>
      <c r="BQ209" s="38"/>
      <c r="BR209" s="29"/>
      <c r="BS209" s="52"/>
      <c r="BT209" s="53"/>
      <c r="BU209" s="30"/>
      <c r="BY209" s="30"/>
      <c r="CE209" s="38"/>
      <c r="CF209" s="38"/>
      <c r="CG209" s="40"/>
      <c r="CI209" s="29"/>
      <c r="CJ209" s="41"/>
      <c r="CK209" s="29"/>
      <c r="CL209" s="29"/>
      <c r="CM209" s="30"/>
      <c r="CN209" s="144"/>
      <c r="CO209" s="29"/>
      <c r="CP209" s="29"/>
      <c r="CQ209" s="29"/>
      <c r="CR209" s="6"/>
      <c r="CS209" s="29"/>
      <c r="CT209" s="29"/>
      <c r="CU209" s="29"/>
      <c r="CV209" s="29"/>
      <c r="CW209" s="29"/>
      <c r="CX209" s="29"/>
      <c r="CY209" s="29"/>
      <c r="CZ209" s="29"/>
    </row>
    <row r="210" spans="1:104" x14ac:dyDescent="0.2">
      <c r="A210" s="50" t="s">
        <v>661</v>
      </c>
      <c r="D210" s="50" t="s">
        <v>946</v>
      </c>
      <c r="E210">
        <v>234</v>
      </c>
      <c r="F210" s="33">
        <v>99.623804399999997</v>
      </c>
      <c r="H210" s="6">
        <v>44.9253</v>
      </c>
      <c r="I210" s="6">
        <v>0.21687899999999999</v>
      </c>
      <c r="J210" s="6">
        <v>29.28725</v>
      </c>
      <c r="K210" s="32">
        <v>8.0388000000000001E-2</v>
      </c>
      <c r="L210" s="6">
        <v>4.0782049999999996</v>
      </c>
      <c r="M210" s="3">
        <v>6.0695800000000008E-2</v>
      </c>
      <c r="N210" s="6">
        <v>3.9799199999999999</v>
      </c>
      <c r="O210" s="7">
        <v>16.650480000000002</v>
      </c>
      <c r="P210" s="3">
        <v>0.30734400000000001</v>
      </c>
      <c r="Q210" s="49">
        <v>3.7342599999999997E-2</v>
      </c>
      <c r="S210" s="30"/>
      <c r="T210" s="38">
        <f t="shared" si="6"/>
        <v>63.498872464698124</v>
      </c>
      <c r="U210" s="30"/>
      <c r="V210" s="33">
        <v>21</v>
      </c>
      <c r="W210" s="6">
        <v>0.13</v>
      </c>
      <c r="X210" s="7">
        <v>15.5</v>
      </c>
      <c r="Y210" s="2">
        <v>3.17</v>
      </c>
      <c r="Z210" s="8">
        <v>470</v>
      </c>
      <c r="AA210" s="2">
        <v>2.4</v>
      </c>
      <c r="AB210" s="7">
        <v>11.9</v>
      </c>
      <c r="AC210">
        <v>0.22800000000000001</v>
      </c>
      <c r="AD210" s="31">
        <v>310</v>
      </c>
      <c r="AF210" s="33"/>
      <c r="AH210">
        <v>74.324324324324323</v>
      </c>
      <c r="AI210" s="30">
        <v>7.4</v>
      </c>
      <c r="AJ210" s="8">
        <v>550</v>
      </c>
      <c r="AK210">
        <v>15</v>
      </c>
      <c r="AL210" s="33">
        <v>14.8</v>
      </c>
      <c r="AM210" s="76">
        <v>116</v>
      </c>
      <c r="AN210" s="208"/>
      <c r="AO210" s="33">
        <v>3.1</v>
      </c>
      <c r="AS210" s="30">
        <v>1.34</v>
      </c>
      <c r="AU210" s="31">
        <v>350</v>
      </c>
      <c r="AW210" s="31" t="s">
        <v>953</v>
      </c>
      <c r="BH210" s="31">
        <v>109</v>
      </c>
      <c r="BI210" s="30">
        <v>2.2999999999999998</v>
      </c>
      <c r="BJ210" s="39">
        <v>5.8</v>
      </c>
      <c r="BK210" s="51"/>
      <c r="BL210" s="39">
        <v>3.6</v>
      </c>
      <c r="BM210" s="30">
        <v>1.06</v>
      </c>
      <c r="BN210" s="38">
        <v>0.71</v>
      </c>
      <c r="BO210" s="51"/>
      <c r="BP210" s="38">
        <v>0.25</v>
      </c>
      <c r="BQ210" s="38">
        <v>1.8</v>
      </c>
      <c r="BR210" s="29">
        <v>0.28999999999999998</v>
      </c>
      <c r="BS210" s="52"/>
      <c r="BT210" s="53"/>
      <c r="BU210" s="30">
        <v>0.88</v>
      </c>
      <c r="BV210" s="32">
        <v>0.126</v>
      </c>
      <c r="BW210" s="30">
        <v>0.8</v>
      </c>
      <c r="BX210" s="30">
        <v>0.10100000000000001</v>
      </c>
      <c r="BY210" s="30"/>
      <c r="BZ210" s="33">
        <v>5.3</v>
      </c>
      <c r="CA210" s="33">
        <v>16.100000000000001</v>
      </c>
      <c r="CC210">
        <v>2.5882352941176467</v>
      </c>
      <c r="CE210" s="38">
        <v>0.34</v>
      </c>
      <c r="CF210" s="38">
        <v>0.127</v>
      </c>
      <c r="CG210" s="40"/>
      <c r="CI210" s="29"/>
      <c r="CJ210" s="41"/>
      <c r="CK210" s="29"/>
      <c r="CL210" s="29"/>
      <c r="CM210" s="30"/>
      <c r="CN210" s="144"/>
      <c r="CO210" s="29"/>
      <c r="CP210" s="29"/>
      <c r="CQ210" s="29">
        <v>5.3180014246463826E-2</v>
      </c>
      <c r="CR210" s="6">
        <v>0.97589993636906436</v>
      </c>
      <c r="CS210" s="29">
        <v>1.4882969345582189E-2</v>
      </c>
      <c r="CT210" s="29"/>
      <c r="CU210" s="29"/>
      <c r="CV210" s="29"/>
      <c r="CW210" s="29"/>
      <c r="CX210" s="29"/>
      <c r="CY210" s="29"/>
      <c r="CZ210" s="29"/>
    </row>
    <row r="211" spans="1:104" x14ac:dyDescent="0.2">
      <c r="A211" s="50" t="s">
        <v>927</v>
      </c>
      <c r="D211" s="50" t="s">
        <v>946</v>
      </c>
      <c r="E211">
        <v>173</v>
      </c>
      <c r="F211" s="33">
        <v>99.80328999999999</v>
      </c>
      <c r="H211" s="6">
        <v>44.9253</v>
      </c>
      <c r="I211" s="6">
        <v>0.20019599999999999</v>
      </c>
      <c r="J211" s="6">
        <v>28.90935</v>
      </c>
      <c r="K211" s="32">
        <v>8.3311200000000002E-2</v>
      </c>
      <c r="L211" s="6">
        <v>4.2197199999999997</v>
      </c>
      <c r="M211" s="3">
        <v>5.8112999999999998E-2</v>
      </c>
      <c r="N211" s="6">
        <v>4.1291670000000007</v>
      </c>
      <c r="O211" s="7">
        <v>16.930319999999998</v>
      </c>
      <c r="P211" s="3">
        <v>0.31408400000000003</v>
      </c>
      <c r="Q211" s="49">
        <v>3.3728799999999996E-2</v>
      </c>
      <c r="S211" s="30"/>
      <c r="T211" s="38">
        <f t="shared" si="6"/>
        <v>63.561479230629033</v>
      </c>
      <c r="U211" s="30"/>
      <c r="V211" s="33">
        <v>21</v>
      </c>
      <c r="W211" s="6">
        <v>0.12</v>
      </c>
      <c r="X211" s="7">
        <v>15.3</v>
      </c>
      <c r="Y211" s="2">
        <v>3.28</v>
      </c>
      <c r="Z211" s="8">
        <v>450</v>
      </c>
      <c r="AA211" s="2">
        <v>2.4900000000000002</v>
      </c>
      <c r="AB211" s="7">
        <v>12.1</v>
      </c>
      <c r="AC211">
        <v>0.23300000000000001</v>
      </c>
      <c r="AD211" s="31">
        <v>280</v>
      </c>
      <c r="AF211" s="33"/>
      <c r="AH211">
        <v>75</v>
      </c>
      <c r="AI211" s="30">
        <v>7.6</v>
      </c>
      <c r="AJ211" s="8">
        <v>570</v>
      </c>
      <c r="AK211">
        <v>20</v>
      </c>
      <c r="AL211" s="33">
        <v>16.399999999999999</v>
      </c>
      <c r="AM211" s="76">
        <v>147</v>
      </c>
      <c r="AN211" s="208"/>
      <c r="AO211" s="33">
        <v>3.8</v>
      </c>
      <c r="AS211" s="30">
        <v>2.8</v>
      </c>
      <c r="AU211" s="31">
        <v>206</v>
      </c>
      <c r="AW211" s="31">
        <v>39</v>
      </c>
      <c r="BH211" s="31">
        <v>79</v>
      </c>
      <c r="BI211" s="30">
        <v>2.66</v>
      </c>
      <c r="BJ211" s="39">
        <v>6.2</v>
      </c>
      <c r="BK211" s="51"/>
      <c r="BL211" s="39">
        <v>3.6</v>
      </c>
      <c r="BM211" s="30">
        <v>1.1599999999999999</v>
      </c>
      <c r="BN211" s="38">
        <v>0.79</v>
      </c>
      <c r="BO211" s="51"/>
      <c r="BP211" s="38">
        <v>0.23</v>
      </c>
      <c r="BQ211" s="38">
        <v>1.54</v>
      </c>
      <c r="BR211" s="29">
        <v>0.35</v>
      </c>
      <c r="BS211" s="52"/>
      <c r="BT211" s="53"/>
      <c r="BU211" s="30">
        <v>0.93</v>
      </c>
      <c r="BV211" s="32">
        <v>0.13</v>
      </c>
      <c r="BW211" s="30">
        <v>0.87</v>
      </c>
      <c r="BX211" s="30">
        <v>0.125</v>
      </c>
      <c r="BY211" s="30"/>
      <c r="BZ211" s="33">
        <v>6.3</v>
      </c>
      <c r="CA211" s="33">
        <v>23.7</v>
      </c>
      <c r="CC211">
        <v>2.4473684210526319</v>
      </c>
      <c r="CE211" s="38">
        <v>0.38</v>
      </c>
      <c r="CF211" s="38">
        <v>7.4999999999999997E-2</v>
      </c>
      <c r="CG211" s="40"/>
      <c r="CI211" s="29"/>
      <c r="CJ211" s="41"/>
      <c r="CK211" s="29"/>
      <c r="CL211" s="29"/>
      <c r="CM211" s="30"/>
      <c r="CN211" s="144"/>
      <c r="CO211" s="29"/>
      <c r="CP211" s="29"/>
      <c r="CQ211" s="29">
        <v>4.7442958300550744E-2</v>
      </c>
      <c r="CR211" s="6">
        <v>0.9785405192761607</v>
      </c>
      <c r="CS211" s="29">
        <v>1.3771766847089381E-2</v>
      </c>
      <c r="CT211" s="29"/>
      <c r="CU211" s="29"/>
      <c r="CV211" s="29"/>
      <c r="CW211" s="29"/>
      <c r="CX211" s="29"/>
      <c r="CY211" s="29"/>
      <c r="CZ211" s="29"/>
    </row>
    <row r="212" spans="1:104" x14ac:dyDescent="0.2">
      <c r="A212" s="50" t="s">
        <v>928</v>
      </c>
      <c r="D212" s="50" t="s">
        <v>946</v>
      </c>
      <c r="E212">
        <v>300</v>
      </c>
      <c r="F212" s="33">
        <v>99.437566800000013</v>
      </c>
      <c r="H212" s="6">
        <v>44.9253</v>
      </c>
      <c r="I212" s="6">
        <v>0.16683000000000001</v>
      </c>
      <c r="J212" s="6">
        <v>29.28725</v>
      </c>
      <c r="K212" s="32">
        <v>8.3311200000000002E-2</v>
      </c>
      <c r="L212" s="6">
        <v>3.8980949999999996</v>
      </c>
      <c r="M212" s="3">
        <v>5.8112999999999998E-2</v>
      </c>
      <c r="N212" s="6">
        <v>3.9799199999999999</v>
      </c>
      <c r="O212" s="7">
        <v>16.790399999999998</v>
      </c>
      <c r="P212" s="3">
        <v>0.21702800000000003</v>
      </c>
      <c r="Q212" s="49">
        <v>3.1319599999999996E-2</v>
      </c>
      <c r="S212" s="30"/>
      <c r="T212" s="38">
        <f t="shared" si="6"/>
        <v>64.53926948331771</v>
      </c>
      <c r="U212" s="30"/>
      <c r="V212" s="33">
        <v>21</v>
      </c>
      <c r="W212" s="6">
        <v>0.1</v>
      </c>
      <c r="X212" s="7">
        <v>15.5</v>
      </c>
      <c r="Y212" s="2">
        <v>3.03</v>
      </c>
      <c r="Z212" s="8">
        <v>450</v>
      </c>
      <c r="AA212" s="2">
        <v>2.4</v>
      </c>
      <c r="AB212" s="7">
        <v>12</v>
      </c>
      <c r="AC212">
        <v>0.161</v>
      </c>
      <c r="AD212" s="31">
        <v>260</v>
      </c>
      <c r="AF212" s="33"/>
      <c r="AH212">
        <v>76</v>
      </c>
      <c r="AI212" s="30">
        <v>7.5</v>
      </c>
      <c r="AJ212" s="8">
        <v>570</v>
      </c>
      <c r="AK212">
        <v>20</v>
      </c>
      <c r="AL212" s="33">
        <v>16</v>
      </c>
      <c r="AM212" s="76">
        <v>134</v>
      </c>
      <c r="AN212" s="208"/>
      <c r="AO212" s="33">
        <v>3.9</v>
      </c>
      <c r="AS212" s="30">
        <v>1.2</v>
      </c>
      <c r="AU212" s="31">
        <v>890</v>
      </c>
      <c r="AW212" s="31">
        <v>33</v>
      </c>
      <c r="BH212" s="31">
        <v>350</v>
      </c>
      <c r="BI212" s="30">
        <v>2.5</v>
      </c>
      <c r="BJ212" s="39">
        <v>6.1</v>
      </c>
      <c r="BK212" s="51"/>
      <c r="BL212" s="39">
        <v>3.6</v>
      </c>
      <c r="BM212" s="30">
        <v>1.05</v>
      </c>
      <c r="BN212" s="38">
        <v>0.69</v>
      </c>
      <c r="BO212" s="51"/>
      <c r="BP212" s="38">
        <v>0.25</v>
      </c>
      <c r="BQ212" s="38">
        <v>1.08</v>
      </c>
      <c r="BR212" s="29">
        <v>0.26</v>
      </c>
      <c r="BS212" s="52"/>
      <c r="BT212" s="53"/>
      <c r="BU212" s="30">
        <v>0.83</v>
      </c>
      <c r="BV212" s="32">
        <v>0.123</v>
      </c>
      <c r="BW212" s="30">
        <v>0.79</v>
      </c>
      <c r="BX212" s="30">
        <v>0.106</v>
      </c>
      <c r="BY212" s="30"/>
      <c r="BZ212" s="33">
        <v>6.1</v>
      </c>
      <c r="CA212" s="33">
        <v>10.4</v>
      </c>
      <c r="CC212">
        <v>2.4411764705882351</v>
      </c>
      <c r="CE212" s="38">
        <v>0.34</v>
      </c>
      <c r="CF212" s="38">
        <v>0.23</v>
      </c>
      <c r="CG212" s="40"/>
      <c r="CI212" s="29"/>
      <c r="CJ212" s="41"/>
      <c r="CK212" s="29"/>
      <c r="CL212" s="29"/>
      <c r="CM212" s="30"/>
      <c r="CN212" s="144"/>
      <c r="CO212" s="29"/>
      <c r="CP212" s="29"/>
      <c r="CQ212" s="29">
        <v>4.2797828169913774E-2</v>
      </c>
      <c r="CR212" s="6">
        <v>1.0209910225379319</v>
      </c>
      <c r="CS212" s="29">
        <v>1.4908051240413587E-2</v>
      </c>
      <c r="CT212" s="29"/>
      <c r="CU212" s="29"/>
      <c r="CV212" s="29"/>
      <c r="CW212" s="29"/>
      <c r="CX212" s="29"/>
      <c r="CY212" s="29"/>
      <c r="CZ212" s="29"/>
    </row>
    <row r="213" spans="1:104" x14ac:dyDescent="0.2">
      <c r="A213" s="50" t="s">
        <v>929</v>
      </c>
      <c r="D213" s="50" t="s">
        <v>946</v>
      </c>
      <c r="E213">
        <v>272</v>
      </c>
      <c r="F213" s="33">
        <v>99.685391199999998</v>
      </c>
      <c r="H213" s="6">
        <v>44.9253</v>
      </c>
      <c r="I213" s="6">
        <v>0.20019599999999999</v>
      </c>
      <c r="J213" s="6">
        <v>29.098299999999998</v>
      </c>
      <c r="K213" s="32">
        <v>8.6234400000000003E-2</v>
      </c>
      <c r="L213" s="6">
        <v>4.026745</v>
      </c>
      <c r="M213" s="3">
        <v>5.940440000000001E-2</v>
      </c>
      <c r="N213" s="6">
        <v>4.1457500000000005</v>
      </c>
      <c r="O213" s="7">
        <v>16.790399999999998</v>
      </c>
      <c r="P213" s="3">
        <v>0.31812800000000002</v>
      </c>
      <c r="Q213" s="49">
        <v>3.4933399999999996E-2</v>
      </c>
      <c r="S213" s="30"/>
      <c r="T213" s="38">
        <f t="shared" si="6"/>
        <v>64.730172307580887</v>
      </c>
      <c r="U213" s="30"/>
      <c r="V213" s="33">
        <v>21</v>
      </c>
      <c r="W213" s="6">
        <v>0.12</v>
      </c>
      <c r="X213" s="7">
        <v>15.4</v>
      </c>
      <c r="Y213" s="2">
        <v>3.13</v>
      </c>
      <c r="Z213" s="8">
        <v>460</v>
      </c>
      <c r="AA213" s="2">
        <v>2.5</v>
      </c>
      <c r="AB213" s="7">
        <v>12</v>
      </c>
      <c r="AC213">
        <v>0.23599999999999999</v>
      </c>
      <c r="AD213" s="31">
        <v>290</v>
      </c>
      <c r="AF213" s="33"/>
      <c r="AH213">
        <v>75.641025641025649</v>
      </c>
      <c r="AI213" s="30">
        <v>7.8</v>
      </c>
      <c r="AJ213" s="8">
        <v>590</v>
      </c>
      <c r="AK213">
        <v>18</v>
      </c>
      <c r="AL213" s="33">
        <v>15.5</v>
      </c>
      <c r="AM213" s="76">
        <v>127</v>
      </c>
      <c r="AN213" s="208"/>
      <c r="AO213" s="33">
        <v>3.7</v>
      </c>
      <c r="AS213" s="30">
        <v>1.36</v>
      </c>
      <c r="AU213" s="31">
        <v>630</v>
      </c>
      <c r="AW213" s="31">
        <v>33</v>
      </c>
      <c r="BH213" s="31">
        <v>121</v>
      </c>
      <c r="BI213" s="30">
        <v>2.92</v>
      </c>
      <c r="BJ213" s="39">
        <v>6.4</v>
      </c>
      <c r="BK213" s="51"/>
      <c r="BL213" s="39">
        <v>4.0999999999999996</v>
      </c>
      <c r="BM213" s="30">
        <v>1.24</v>
      </c>
      <c r="BN213" s="38">
        <v>0.76</v>
      </c>
      <c r="BO213" s="51"/>
      <c r="BP213" s="38">
        <v>0.27</v>
      </c>
      <c r="BQ213" s="38">
        <v>1.59</v>
      </c>
      <c r="BR213" s="29">
        <v>0.41</v>
      </c>
      <c r="BS213" s="52"/>
      <c r="BT213" s="53"/>
      <c r="BU213" s="30">
        <v>0.95</v>
      </c>
      <c r="BV213" s="32">
        <v>0.13500000000000001</v>
      </c>
      <c r="BW213" s="30">
        <v>0.84</v>
      </c>
      <c r="BX213" s="30">
        <v>0.107</v>
      </c>
      <c r="BY213" s="30"/>
      <c r="BZ213" s="33">
        <v>5.5</v>
      </c>
      <c r="CA213" s="33">
        <v>19.8</v>
      </c>
      <c r="CC213">
        <v>2.4358974358974357</v>
      </c>
      <c r="CE213" s="38">
        <v>0.39</v>
      </c>
      <c r="CF213" s="38" t="s">
        <v>954</v>
      </c>
      <c r="CG213" s="40"/>
      <c r="CI213" s="29"/>
      <c r="CJ213" s="41"/>
      <c r="CK213" s="29"/>
      <c r="CL213" s="29"/>
      <c r="CM213" s="30"/>
      <c r="CN213" s="144"/>
      <c r="CO213" s="29"/>
      <c r="CP213" s="29"/>
      <c r="CQ213" s="29">
        <v>4.971658250025765E-2</v>
      </c>
      <c r="CR213" s="6">
        <v>1.0295536469282263</v>
      </c>
      <c r="CS213" s="29">
        <v>1.4752461355263372E-2</v>
      </c>
      <c r="CT213" s="29"/>
      <c r="CU213" s="29"/>
      <c r="CV213" s="29"/>
      <c r="CW213" s="29"/>
      <c r="CX213" s="29"/>
      <c r="CY213" s="29"/>
      <c r="CZ213" s="29"/>
    </row>
    <row r="214" spans="1:104" x14ac:dyDescent="0.2">
      <c r="A214" s="50" t="s">
        <v>930</v>
      </c>
      <c r="D214" s="50" t="s">
        <v>946</v>
      </c>
      <c r="E214">
        <v>259</v>
      </c>
      <c r="F214" s="33">
        <v>99.765275599999967</v>
      </c>
      <c r="H214" s="6">
        <v>44.711369999999995</v>
      </c>
      <c r="I214" s="6">
        <v>0.20019599999999999</v>
      </c>
      <c r="J214" s="6">
        <v>29.28725</v>
      </c>
      <c r="K214" s="32">
        <v>8.6234400000000003E-2</v>
      </c>
      <c r="L214" s="6">
        <v>4.0010149999999998</v>
      </c>
      <c r="M214" s="3">
        <v>7.1027000000000007E-2</v>
      </c>
      <c r="N214" s="6">
        <v>3.9799199999999999</v>
      </c>
      <c r="O214" s="7">
        <v>17.070239999999998</v>
      </c>
      <c r="P214" s="3">
        <v>0.31947599999999998</v>
      </c>
      <c r="Q214" s="49">
        <v>3.8547199999999997E-2</v>
      </c>
      <c r="S214" s="30"/>
      <c r="T214" s="38">
        <f t="shared" si="6"/>
        <v>63.940621000056382</v>
      </c>
      <c r="U214" s="30"/>
      <c r="V214" s="33">
        <v>20.9</v>
      </c>
      <c r="W214" s="6">
        <v>0.12</v>
      </c>
      <c r="X214" s="7">
        <v>15.5</v>
      </c>
      <c r="Y214" s="2">
        <v>3.11</v>
      </c>
      <c r="Z214" s="8">
        <v>550</v>
      </c>
      <c r="AA214" s="2">
        <v>2.4</v>
      </c>
      <c r="AB214" s="7">
        <v>12.2</v>
      </c>
      <c r="AC214">
        <v>0.23699999999999999</v>
      </c>
      <c r="AD214" s="31">
        <v>320</v>
      </c>
      <c r="AF214" s="33"/>
      <c r="AH214">
        <v>75.641025641025649</v>
      </c>
      <c r="AI214" s="30">
        <v>7.8</v>
      </c>
      <c r="AJ214" s="8">
        <v>590</v>
      </c>
      <c r="AK214">
        <v>23</v>
      </c>
      <c r="AL214" s="33">
        <v>16</v>
      </c>
      <c r="AM214" s="76">
        <v>127</v>
      </c>
      <c r="AN214" s="208"/>
      <c r="AO214" s="33">
        <v>3.5</v>
      </c>
      <c r="AS214" s="30">
        <v>1.8</v>
      </c>
      <c r="AU214" s="31">
        <v>670</v>
      </c>
      <c r="AW214" s="31">
        <v>33</v>
      </c>
      <c r="BH214" s="31">
        <v>320</v>
      </c>
      <c r="BI214" s="30">
        <v>2.95</v>
      </c>
      <c r="BJ214" s="39">
        <v>6.1</v>
      </c>
      <c r="BK214" s="51"/>
      <c r="BL214" s="39">
        <v>4.0999999999999996</v>
      </c>
      <c r="BM214" s="30">
        <v>1.1499999999999999</v>
      </c>
      <c r="BN214" s="38">
        <v>0.78</v>
      </c>
      <c r="BO214" s="51"/>
      <c r="BP214" s="38">
        <v>0.25</v>
      </c>
      <c r="BQ214" s="38">
        <v>1.41</v>
      </c>
      <c r="BR214" s="29">
        <v>0.31</v>
      </c>
      <c r="BS214" s="52"/>
      <c r="BT214" s="53"/>
      <c r="BU214" s="30">
        <v>0.87</v>
      </c>
      <c r="BV214" s="32">
        <v>0.124</v>
      </c>
      <c r="BW214" s="30">
        <v>0.77</v>
      </c>
      <c r="BX214" s="30">
        <v>9.5000000000000001E-2</v>
      </c>
      <c r="BY214" s="30"/>
      <c r="BZ214" s="33">
        <v>5.2</v>
      </c>
      <c r="CA214" s="33">
        <v>17.600000000000001</v>
      </c>
      <c r="CC214">
        <v>2.4857142857142858</v>
      </c>
      <c r="CE214" s="38">
        <v>0.35</v>
      </c>
      <c r="CF214" s="38" t="s">
        <v>955</v>
      </c>
      <c r="CG214" s="40"/>
      <c r="CI214" s="29"/>
      <c r="CJ214" s="41"/>
      <c r="CK214" s="29"/>
      <c r="CL214" s="29"/>
      <c r="CM214" s="30"/>
      <c r="CN214" s="144"/>
      <c r="CO214" s="29"/>
      <c r="CP214" s="29"/>
      <c r="CQ214" s="29">
        <v>5.0036303288040658E-2</v>
      </c>
      <c r="CR214" s="6">
        <v>0.99472758787457682</v>
      </c>
      <c r="CS214" s="29">
        <v>1.7752245367737941E-2</v>
      </c>
      <c r="CT214" s="29"/>
      <c r="CU214" s="29"/>
      <c r="CV214" s="29"/>
      <c r="CW214" s="29"/>
      <c r="CX214" s="29"/>
      <c r="CY214" s="29"/>
      <c r="CZ214" s="29"/>
    </row>
    <row r="215" spans="1:104" x14ac:dyDescent="0.2">
      <c r="A215" s="50" t="s">
        <v>931</v>
      </c>
      <c r="D215" s="50" t="s">
        <v>946</v>
      </c>
      <c r="E215">
        <v>481</v>
      </c>
      <c r="F215" s="33">
        <v>99.637178200000008</v>
      </c>
      <c r="H215" s="6">
        <v>44.711369999999995</v>
      </c>
      <c r="I215" s="6">
        <v>0.23356200000000002</v>
      </c>
      <c r="J215" s="6">
        <v>29.476199999999999</v>
      </c>
      <c r="K215" s="32">
        <v>7.6003200000000007E-2</v>
      </c>
      <c r="L215" s="6">
        <v>3.7823099999999998</v>
      </c>
      <c r="M215" s="3">
        <v>5.5530200000000002E-2</v>
      </c>
      <c r="N215" s="6">
        <v>3.6150940000000005</v>
      </c>
      <c r="O215" s="7">
        <v>17.350080000000002</v>
      </c>
      <c r="P215" s="3">
        <v>0.30330000000000001</v>
      </c>
      <c r="Q215" s="49">
        <v>3.3728799999999996E-2</v>
      </c>
      <c r="S215" s="30"/>
      <c r="T215" s="38">
        <f t="shared" si="6"/>
        <v>63.014924850066272</v>
      </c>
      <c r="U215" s="30"/>
      <c r="V215" s="33">
        <v>20.9</v>
      </c>
      <c r="W215" s="6">
        <v>0.14000000000000001</v>
      </c>
      <c r="X215" s="7">
        <v>15.6</v>
      </c>
      <c r="Y215" s="2">
        <v>2.94</v>
      </c>
      <c r="Z215" s="8">
        <v>430</v>
      </c>
      <c r="AA215" s="2">
        <v>2.1800000000000002</v>
      </c>
      <c r="AB215" s="7">
        <v>12.4</v>
      </c>
      <c r="AC215">
        <v>0.22500000000000001</v>
      </c>
      <c r="AD215" s="31">
        <v>280</v>
      </c>
      <c r="AF215" s="33"/>
      <c r="AH215">
        <v>73.239436619718319</v>
      </c>
      <c r="AI215" s="30">
        <v>7.1</v>
      </c>
      <c r="AJ215" s="8">
        <v>520</v>
      </c>
      <c r="AK215">
        <v>18</v>
      </c>
      <c r="AL215" s="33">
        <v>13.2</v>
      </c>
      <c r="AM215" s="76">
        <v>118</v>
      </c>
      <c r="AN215" s="208"/>
      <c r="AO215" s="33">
        <v>2.7</v>
      </c>
      <c r="AS215" s="30">
        <v>1.1299999999999999</v>
      </c>
      <c r="AU215" s="31">
        <v>310</v>
      </c>
      <c r="AW215" s="31">
        <v>30</v>
      </c>
      <c r="BH215" s="31">
        <v>220</v>
      </c>
      <c r="BI215" s="30">
        <v>2.2999999999999998</v>
      </c>
      <c r="BJ215" s="39">
        <v>4.9000000000000004</v>
      </c>
      <c r="BK215" s="51"/>
      <c r="BL215" s="39">
        <v>3</v>
      </c>
      <c r="BM215" s="30">
        <v>0.94</v>
      </c>
      <c r="BN215" s="38">
        <v>0.75</v>
      </c>
      <c r="BO215" s="51"/>
      <c r="BP215" s="38">
        <v>0.2</v>
      </c>
      <c r="BQ215" s="38">
        <v>1.4</v>
      </c>
      <c r="BR215" s="29">
        <v>0.3</v>
      </c>
      <c r="BS215" s="52"/>
      <c r="BT215" s="53"/>
      <c r="BU215" s="30">
        <v>0.78</v>
      </c>
      <c r="BV215" s="32">
        <v>0.104</v>
      </c>
      <c r="BW215" s="30">
        <v>0.66</v>
      </c>
      <c r="BX215" s="30">
        <v>0.10199999999999999</v>
      </c>
      <c r="BY215" s="30"/>
      <c r="BZ215" s="33">
        <v>4.5999999999999996</v>
      </c>
      <c r="CA215" s="33">
        <v>6.3</v>
      </c>
      <c r="CC215">
        <v>2.8888888888888888</v>
      </c>
      <c r="CE215" s="38">
        <v>0.27</v>
      </c>
      <c r="CF215" s="38">
        <v>7.8E-2</v>
      </c>
      <c r="CG215" s="40"/>
      <c r="CI215" s="29"/>
      <c r="CJ215" s="41"/>
      <c r="CK215" s="29"/>
      <c r="CL215" s="29"/>
      <c r="CM215" s="30"/>
      <c r="CN215" s="144"/>
      <c r="CO215" s="29"/>
      <c r="CP215" s="29"/>
      <c r="CQ215" s="29">
        <v>6.1751152073732725E-2</v>
      </c>
      <c r="CR215" s="6">
        <v>0.955789980197287</v>
      </c>
      <c r="CS215" s="29">
        <v>1.4681557037894833E-2</v>
      </c>
      <c r="CT215" s="29"/>
      <c r="CU215" s="29"/>
      <c r="CV215" s="29"/>
      <c r="CW215" s="29"/>
      <c r="CX215" s="29"/>
      <c r="CY215" s="29"/>
      <c r="CZ215" s="29"/>
    </row>
    <row r="216" spans="1:104" x14ac:dyDescent="0.2">
      <c r="A216" s="50" t="s">
        <v>932</v>
      </c>
      <c r="D216" s="50" t="s">
        <v>946</v>
      </c>
      <c r="E216">
        <v>249</v>
      </c>
      <c r="F216" s="33">
        <v>99.523270999999994</v>
      </c>
      <c r="H216" s="6">
        <v>44.711369999999995</v>
      </c>
      <c r="I216" s="6">
        <v>0.18351299999999998</v>
      </c>
      <c r="J216" s="6">
        <v>28.53145</v>
      </c>
      <c r="K216" s="32">
        <v>8.4772799999999995E-2</v>
      </c>
      <c r="L216" s="315">
        <v>4.3612349999999998</v>
      </c>
      <c r="M216" s="3">
        <v>6.9735600000000009E-2</v>
      </c>
      <c r="N216" s="6">
        <v>4.3115800000000002</v>
      </c>
      <c r="O216" s="7">
        <v>16.930319999999998</v>
      </c>
      <c r="P216" s="3">
        <v>0.301952</v>
      </c>
      <c r="Q216" s="49">
        <v>3.7342599999999997E-2</v>
      </c>
      <c r="S216" s="30"/>
      <c r="T216" s="38">
        <f t="shared" si="6"/>
        <v>63.798367135345096</v>
      </c>
      <c r="U216" s="30"/>
      <c r="V216" s="33">
        <v>20.9</v>
      </c>
      <c r="W216" s="6">
        <v>0.11</v>
      </c>
      <c r="X216" s="7">
        <v>15.1</v>
      </c>
      <c r="Y216" s="2">
        <v>3.39</v>
      </c>
      <c r="Z216" s="8">
        <v>540</v>
      </c>
      <c r="AA216" s="2">
        <v>2.6</v>
      </c>
      <c r="AB216" s="7">
        <v>12.1</v>
      </c>
      <c r="AC216">
        <v>0.224</v>
      </c>
      <c r="AD216" s="31">
        <v>310</v>
      </c>
      <c r="AF216" s="33"/>
      <c r="AH216">
        <v>75.324675324675326</v>
      </c>
      <c r="AI216" s="30">
        <v>7.7</v>
      </c>
      <c r="AJ216" s="8">
        <v>580</v>
      </c>
      <c r="AK216">
        <v>22</v>
      </c>
      <c r="AL216" s="33">
        <v>15.7</v>
      </c>
      <c r="AM216" s="76">
        <v>136</v>
      </c>
      <c r="AN216" s="208"/>
      <c r="AO216" s="33">
        <v>3.4</v>
      </c>
      <c r="AS216" s="30">
        <v>1.9</v>
      </c>
      <c r="AU216" s="31">
        <v>300</v>
      </c>
      <c r="AW216" s="31">
        <v>36</v>
      </c>
      <c r="BH216" s="31">
        <v>165</v>
      </c>
      <c r="BI216" s="30">
        <v>3.08</v>
      </c>
      <c r="BJ216" s="39">
        <v>6.3</v>
      </c>
      <c r="BK216" s="51"/>
      <c r="BL216" s="39">
        <v>4.0999999999999996</v>
      </c>
      <c r="BM216" s="30">
        <v>1.22</v>
      </c>
      <c r="BN216" s="38">
        <v>0.73</v>
      </c>
      <c r="BO216" s="51"/>
      <c r="BP216" s="38">
        <v>0.27</v>
      </c>
      <c r="BQ216" s="38">
        <v>1.8</v>
      </c>
      <c r="BR216" s="29">
        <v>0.32</v>
      </c>
      <c r="BS216" s="52"/>
      <c r="BT216" s="53"/>
      <c r="BU216" s="30">
        <v>0.92</v>
      </c>
      <c r="BV216" s="32">
        <v>0.13600000000000001</v>
      </c>
      <c r="BW216" s="30">
        <v>0.9</v>
      </c>
      <c r="BX216" s="30">
        <v>0.11600000000000001</v>
      </c>
      <c r="BY216" s="30"/>
      <c r="BZ216" s="33">
        <v>6.5</v>
      </c>
      <c r="CA216" s="33">
        <v>5.3</v>
      </c>
      <c r="CC216">
        <v>2.2999999999999998</v>
      </c>
      <c r="CE216" s="38">
        <v>0.4</v>
      </c>
      <c r="CF216" s="38" t="s">
        <v>954</v>
      </c>
      <c r="CG216" s="40"/>
      <c r="CI216" s="29"/>
      <c r="CJ216" s="41"/>
      <c r="CK216" s="29"/>
      <c r="CL216" s="29"/>
      <c r="CM216" s="30"/>
      <c r="CN216" s="144"/>
      <c r="CO216" s="29"/>
      <c r="CP216" s="29"/>
      <c r="CQ216" s="29">
        <v>4.2078218669711676E-2</v>
      </c>
      <c r="CR216" s="6">
        <v>0.98861446356364668</v>
      </c>
      <c r="CS216" s="29">
        <v>1.5989874427771035E-2</v>
      </c>
      <c r="CT216" s="29"/>
      <c r="CU216" s="29"/>
      <c r="CV216" s="29"/>
      <c r="CW216" s="29"/>
      <c r="CX216" s="29"/>
      <c r="CY216" s="29"/>
      <c r="CZ216" s="29"/>
    </row>
    <row r="217" spans="1:104" x14ac:dyDescent="0.2">
      <c r="A217" s="50" t="s">
        <v>933</v>
      </c>
      <c r="D217" s="50" t="s">
        <v>946</v>
      </c>
      <c r="E217">
        <v>227</v>
      </c>
      <c r="F217" s="33">
        <v>99.121725000000012</v>
      </c>
      <c r="H217" s="6">
        <v>44.9253</v>
      </c>
      <c r="I217" s="6">
        <v>0.23356200000000002</v>
      </c>
      <c r="J217" s="6">
        <v>28.53145</v>
      </c>
      <c r="K217" s="32">
        <v>8.0388000000000001E-2</v>
      </c>
      <c r="L217" s="6">
        <v>4.0138800000000003</v>
      </c>
      <c r="M217" s="3">
        <v>6.1987200000000006E-2</v>
      </c>
      <c r="N217" s="6">
        <v>4.1457500000000005</v>
      </c>
      <c r="O217" s="7">
        <v>16.790399999999998</v>
      </c>
      <c r="P217" s="3">
        <v>0.29925600000000002</v>
      </c>
      <c r="Q217" s="49">
        <v>3.9751799999999997E-2</v>
      </c>
      <c r="S217" s="30"/>
      <c r="T217" s="38">
        <f t="shared" si="6"/>
        <v>64.803194592155435</v>
      </c>
      <c r="U217" s="30"/>
      <c r="V217" s="33">
        <v>21</v>
      </c>
      <c r="W217" s="6">
        <v>0.14000000000000001</v>
      </c>
      <c r="X217" s="7">
        <v>15.1</v>
      </c>
      <c r="Y217" s="2">
        <v>3.12</v>
      </c>
      <c r="Z217" s="8">
        <v>480</v>
      </c>
      <c r="AA217" s="2">
        <v>2.5</v>
      </c>
      <c r="AB217" s="7">
        <v>12</v>
      </c>
      <c r="AC217">
        <v>0.222</v>
      </c>
      <c r="AD217" s="31">
        <v>330</v>
      </c>
      <c r="AF217" s="33"/>
      <c r="AH217">
        <v>73.333333333333329</v>
      </c>
      <c r="AI217" s="30">
        <v>7.5</v>
      </c>
      <c r="AJ217" s="8">
        <v>550</v>
      </c>
      <c r="AK217">
        <v>18</v>
      </c>
      <c r="AL217" s="33">
        <v>17</v>
      </c>
      <c r="AM217" s="76">
        <v>174</v>
      </c>
      <c r="AN217" s="208"/>
      <c r="AO217" s="33">
        <v>3.3</v>
      </c>
      <c r="AS217" s="30">
        <v>2.1</v>
      </c>
      <c r="AU217" s="31">
        <v>1260</v>
      </c>
      <c r="AW217" s="31">
        <v>49</v>
      </c>
      <c r="BH217" s="31">
        <v>1340</v>
      </c>
      <c r="BI217" s="30">
        <v>2.57</v>
      </c>
      <c r="BJ217" s="39">
        <v>5.8</v>
      </c>
      <c r="BK217" s="51"/>
      <c r="BL217" s="39">
        <v>3.8</v>
      </c>
      <c r="BM217" s="30">
        <v>1.08</v>
      </c>
      <c r="BN217" s="38">
        <v>0.73</v>
      </c>
      <c r="BO217" s="51"/>
      <c r="BP217" s="38">
        <v>0.23</v>
      </c>
      <c r="BQ217" s="38">
        <v>1.53</v>
      </c>
      <c r="BR217" s="29">
        <v>0.28000000000000003</v>
      </c>
      <c r="BS217" s="52"/>
      <c r="BT217" s="53"/>
      <c r="BU217" s="30">
        <v>0.88</v>
      </c>
      <c r="BV217" s="32">
        <v>0.126</v>
      </c>
      <c r="BW217" s="30">
        <v>0.81</v>
      </c>
      <c r="BX217" s="30">
        <v>0.11600000000000001</v>
      </c>
      <c r="BY217" s="30"/>
      <c r="BZ217" s="33">
        <v>7.1</v>
      </c>
      <c r="CA217" s="33">
        <v>13.4</v>
      </c>
      <c r="CC217">
        <v>2.6666666666666665</v>
      </c>
      <c r="CE217" s="38">
        <v>0.33</v>
      </c>
      <c r="CF217" s="38">
        <v>9.1999999999999998E-2</v>
      </c>
      <c r="CG217" s="40"/>
      <c r="CI217" s="29"/>
      <c r="CJ217" s="41"/>
      <c r="CK217" s="29"/>
      <c r="CL217" s="29"/>
      <c r="CM217" s="30"/>
      <c r="CN217" s="144"/>
      <c r="CO217" s="29"/>
      <c r="CP217" s="29"/>
      <c r="CQ217" s="29">
        <v>5.8188585607940449E-2</v>
      </c>
      <c r="CR217" s="6">
        <v>1.0328534983606885</v>
      </c>
      <c r="CS217" s="29">
        <v>1.5443212054172024E-2</v>
      </c>
      <c r="CT217" s="29"/>
      <c r="CU217" s="29"/>
      <c r="CV217" s="29"/>
      <c r="CW217" s="29"/>
      <c r="CX217" s="29"/>
      <c r="CY217" s="29"/>
      <c r="CZ217" s="29"/>
    </row>
    <row r="218" spans="1:104" x14ac:dyDescent="0.2">
      <c r="F218" s="39"/>
      <c r="P218" s="49"/>
      <c r="Q218" s="45"/>
      <c r="T218" s="38" t="e">
        <f t="shared" si="6"/>
        <v>#DIV/0!</v>
      </c>
      <c r="V218" s="63"/>
      <c r="Z218" s="8"/>
      <c r="AM218" s="46"/>
      <c r="AU218" s="46"/>
      <c r="BJ218" s="40"/>
      <c r="BL218" s="79"/>
      <c r="BN218" s="38"/>
      <c r="BO218" s="38"/>
      <c r="BP218" s="38"/>
      <c r="BQ218" s="50"/>
      <c r="BR218" s="50"/>
      <c r="CE218" s="48"/>
      <c r="CF218" s="48"/>
      <c r="CG218" s="40"/>
      <c r="CM218" s="30"/>
      <c r="CN218" s="29"/>
      <c r="CO218" s="29"/>
      <c r="CP218" s="29"/>
      <c r="CQ218" s="29"/>
      <c r="CR218" s="175"/>
      <c r="CS218" s="29"/>
      <c r="CT218" s="29"/>
      <c r="CU218" s="29"/>
      <c r="CV218" s="29"/>
      <c r="CW218" s="29"/>
      <c r="CX218" s="29"/>
      <c r="CY218" s="29"/>
      <c r="CZ218" s="29"/>
    </row>
    <row r="219" spans="1:104" x14ac:dyDescent="0.2">
      <c r="A219" t="s">
        <v>456</v>
      </c>
      <c r="C219" t="s">
        <v>235</v>
      </c>
      <c r="D219" s="2" t="s">
        <v>503</v>
      </c>
      <c r="E219">
        <v>57</v>
      </c>
      <c r="F219" s="33">
        <v>100.7097722</v>
      </c>
      <c r="H219" s="30">
        <v>44.9253</v>
      </c>
      <c r="I219" s="6">
        <v>0.283611</v>
      </c>
      <c r="J219" s="6">
        <v>26.641949999999998</v>
      </c>
      <c r="K219" s="32">
        <v>0.1213128</v>
      </c>
      <c r="L219" s="6">
        <v>4.8887</v>
      </c>
      <c r="M219" s="3">
        <v>6.8433599999999983E-2</v>
      </c>
      <c r="N219" s="6">
        <v>6.4673699999999998</v>
      </c>
      <c r="O219" s="7">
        <v>16.930319999999998</v>
      </c>
      <c r="P219" s="49">
        <v>0.33700000000000002</v>
      </c>
      <c r="Q219" s="49">
        <v>4.5774799999999997E-2</v>
      </c>
      <c r="T219" s="38">
        <f t="shared" si="6"/>
        <v>70.222534230538628</v>
      </c>
      <c r="V219" s="63"/>
      <c r="Z219" s="8">
        <v>530</v>
      </c>
      <c r="AD219" s="31">
        <v>379.97661479999999</v>
      </c>
      <c r="AI219" s="30">
        <v>9.1</v>
      </c>
      <c r="AJ219" s="31">
        <v>830</v>
      </c>
      <c r="AL219" s="33">
        <v>18</v>
      </c>
      <c r="AM219" s="76">
        <v>170</v>
      </c>
      <c r="AO219" s="33">
        <v>3.7</v>
      </c>
      <c r="AU219" s="31">
        <v>200</v>
      </c>
      <c r="BH219" s="31">
        <v>56</v>
      </c>
      <c r="BI219" s="30">
        <v>3.1</v>
      </c>
      <c r="BJ219" s="50">
        <v>8.6999999999999993</v>
      </c>
      <c r="BK219" s="51">
        <v>1.1270353184379911</v>
      </c>
      <c r="BL219" s="39">
        <v>5.6</v>
      </c>
      <c r="BM219" s="30">
        <v>1.5</v>
      </c>
      <c r="BN219" s="38">
        <v>0.9</v>
      </c>
      <c r="BO219" s="51">
        <v>1.9955651282635734</v>
      </c>
      <c r="BP219" s="38">
        <v>0.37</v>
      </c>
      <c r="BQ219" s="52">
        <v>2.1478868284471697</v>
      </c>
      <c r="BR219" s="50">
        <v>0.41</v>
      </c>
      <c r="BS219" s="52">
        <v>1.2293078910345123</v>
      </c>
      <c r="BT219" s="53">
        <v>0.17510657193934903</v>
      </c>
      <c r="BU219">
        <v>1.1000000000000001</v>
      </c>
      <c r="BV219" s="32">
        <v>0.17</v>
      </c>
      <c r="BW219" s="30">
        <v>0.97</v>
      </c>
      <c r="BX219" s="30" t="s">
        <v>310</v>
      </c>
      <c r="BZ219" s="132">
        <v>510</v>
      </c>
      <c r="CA219" s="33">
        <v>4.4000000000000004</v>
      </c>
      <c r="CE219" s="38">
        <v>0.5</v>
      </c>
      <c r="CF219" s="38">
        <v>0.2</v>
      </c>
      <c r="CG219" s="50"/>
      <c r="CI219" s="29">
        <v>1.8076489475885085</v>
      </c>
      <c r="CJ219" s="41">
        <v>2.0041941363763378</v>
      </c>
      <c r="CK219" s="29">
        <v>2.174852300825874</v>
      </c>
      <c r="CL219" s="29"/>
      <c r="CM219" s="30"/>
      <c r="CN219" s="29"/>
      <c r="CO219" s="29"/>
      <c r="CP219" s="29"/>
      <c r="CQ219" s="29">
        <v>5.8013582342954159E-2</v>
      </c>
      <c r="CR219" s="6">
        <v>1.3229222492687216</v>
      </c>
      <c r="CS219" s="29">
        <v>1.3998322662466501E-2</v>
      </c>
      <c r="CT219" s="29"/>
      <c r="CU219" s="29"/>
      <c r="CV219" s="29"/>
      <c r="CW219" s="29"/>
      <c r="CX219" s="29"/>
      <c r="CY219" s="29"/>
      <c r="CZ219" s="29"/>
    </row>
    <row r="220" spans="1:104" x14ac:dyDescent="0.2">
      <c r="F220" s="33"/>
      <c r="P220" s="49"/>
      <c r="Q220" s="49"/>
      <c r="T220" s="38" t="e">
        <f t="shared" si="6"/>
        <v>#DIV/0!</v>
      </c>
      <c r="V220" s="63"/>
      <c r="Z220" s="8"/>
      <c r="AD220" s="31"/>
      <c r="AM220" s="76"/>
      <c r="BJ220" s="50"/>
      <c r="BK220" s="51"/>
      <c r="BL220" s="39"/>
      <c r="BN220" s="38"/>
      <c r="BO220" s="51"/>
      <c r="BP220" s="38"/>
      <c r="BQ220" s="52"/>
      <c r="BR220" s="50"/>
      <c r="BS220" s="52"/>
      <c r="BT220" s="53"/>
      <c r="CE220" s="38"/>
      <c r="CF220" s="38"/>
      <c r="CG220" s="50"/>
      <c r="CI220" s="29"/>
      <c r="CJ220" s="41"/>
      <c r="CK220" s="29"/>
      <c r="CL220" s="29"/>
      <c r="CM220" s="30"/>
      <c r="CN220" s="29"/>
      <c r="CO220" s="29"/>
      <c r="CP220" s="29"/>
      <c r="CQ220" s="29"/>
      <c r="CR220" s="6"/>
      <c r="CS220" s="29"/>
      <c r="CT220" s="29"/>
      <c r="CU220" s="29"/>
      <c r="CV220" s="29"/>
      <c r="CW220" s="29"/>
      <c r="CX220" s="29"/>
      <c r="CY220" s="29"/>
      <c r="CZ220" s="29"/>
    </row>
    <row r="221" spans="1:104" x14ac:dyDescent="0.2">
      <c r="A221" t="s">
        <v>456</v>
      </c>
      <c r="C221" s="2" t="s">
        <v>233</v>
      </c>
      <c r="D221" t="s">
        <v>1249</v>
      </c>
      <c r="F221" s="33"/>
      <c r="K221" s="32">
        <v>9.0396703771195575E-2</v>
      </c>
      <c r="L221" s="6">
        <v>4.3325240016453526</v>
      </c>
      <c r="O221" s="7">
        <v>16.35313484615822</v>
      </c>
      <c r="P221" s="49">
        <v>0.32747295683330496</v>
      </c>
      <c r="Q221" s="49">
        <v>3.4558380253654104E-2</v>
      </c>
      <c r="T221" s="38">
        <f t="shared" si="6"/>
        <v>0</v>
      </c>
      <c r="V221" s="63"/>
      <c r="Z221" s="8"/>
      <c r="AD221" s="31"/>
      <c r="AI221" s="30">
        <v>7.8617761474151173</v>
      </c>
      <c r="AJ221" s="31">
        <v>618.47772147780222</v>
      </c>
      <c r="AL221" s="33">
        <v>15.811022671740314</v>
      </c>
      <c r="AM221" s="76">
        <v>168.09860732287626</v>
      </c>
      <c r="AN221" s="31">
        <v>19.017425922766311</v>
      </c>
      <c r="AQ221" s="30">
        <v>3.0149874945276465E-2</v>
      </c>
      <c r="AR221" s="30">
        <v>0.21226334355402762</v>
      </c>
      <c r="AS221" s="30">
        <v>0.1205550816129216</v>
      </c>
      <c r="AT221" s="31">
        <v>0</v>
      </c>
      <c r="AU221" s="31">
        <v>177.93721207984987</v>
      </c>
      <c r="AW221" s="31">
        <v>33.941420690439635</v>
      </c>
      <c r="AZ221" s="30">
        <v>0</v>
      </c>
      <c r="BD221" s="30">
        <v>8.6730364556674051E-3</v>
      </c>
      <c r="BG221" s="30">
        <v>3.7810555650344087E-2</v>
      </c>
      <c r="BH221" s="31">
        <v>55.424273445942106</v>
      </c>
      <c r="BI221" s="30">
        <v>2.5302354547005632</v>
      </c>
      <c r="BJ221" s="50">
        <v>6.6252522322698058</v>
      </c>
      <c r="BK221" s="51"/>
      <c r="BL221" s="39">
        <v>4.2330262185065122</v>
      </c>
      <c r="BM221" s="30">
        <v>1.2077844508900644</v>
      </c>
      <c r="BN221" s="38">
        <v>0.74575493374281987</v>
      </c>
      <c r="BO221" s="51"/>
      <c r="BP221" s="38">
        <v>0.25323477222317009</v>
      </c>
      <c r="BQ221" s="52"/>
      <c r="BR221" s="50"/>
      <c r="BS221" s="52"/>
      <c r="BT221" s="53"/>
      <c r="BU221">
        <v>0.9546053574475345</v>
      </c>
      <c r="BV221" s="32">
        <v>0.13450623898083378</v>
      </c>
      <c r="BW221" s="30">
        <v>0.94328664050503341</v>
      </c>
      <c r="BX221" s="30">
        <v>0.11788210203037025</v>
      </c>
      <c r="BY221">
        <v>0.11140827517065333</v>
      </c>
      <c r="BZ221" s="33">
        <v>6.7023564304315935</v>
      </c>
      <c r="CA221" s="33">
        <v>10.297258715805039</v>
      </c>
      <c r="CE221" s="38">
        <v>0.42003742251037934</v>
      </c>
      <c r="CF221" s="38">
        <v>0.13020423135983622</v>
      </c>
      <c r="CG221" s="50">
        <v>175.82999999999998</v>
      </c>
      <c r="CI221" s="29"/>
      <c r="CJ221" s="41"/>
      <c r="CK221" s="29"/>
      <c r="CL221" s="29"/>
      <c r="CM221" s="30"/>
      <c r="CN221" s="29"/>
      <c r="CO221" s="29"/>
      <c r="CP221" s="29"/>
      <c r="CQ221" s="29"/>
      <c r="CR221" s="6"/>
      <c r="CS221" s="29"/>
      <c r="CT221" s="29"/>
      <c r="CU221" s="29"/>
      <c r="CV221" s="29"/>
      <c r="CW221" s="29"/>
      <c r="CX221" s="29"/>
      <c r="CY221" s="29"/>
      <c r="CZ221" s="29"/>
    </row>
    <row r="222" spans="1:104" x14ac:dyDescent="0.2">
      <c r="A222" t="s">
        <v>456</v>
      </c>
      <c r="C222" s="2"/>
      <c r="D222" t="s">
        <v>125</v>
      </c>
      <c r="F222" s="33"/>
      <c r="H222" s="30">
        <v>44.20823382298223</v>
      </c>
      <c r="I222" s="6">
        <v>0.17548080122412363</v>
      </c>
      <c r="J222" s="6">
        <v>29.884065510786911</v>
      </c>
      <c r="K222" s="32">
        <v>9.0396703771195575E-2</v>
      </c>
      <c r="L222" s="6">
        <v>4.3325240016453526</v>
      </c>
      <c r="M222" s="3">
        <v>6.2457552820128888E-2</v>
      </c>
      <c r="N222" s="6">
        <v>4.2201274550565984</v>
      </c>
      <c r="O222" s="7">
        <v>17.107722643539709</v>
      </c>
      <c r="P222" s="49">
        <v>0.32747295683330496</v>
      </c>
      <c r="Q222" s="49">
        <v>2.5255494018945834E-2</v>
      </c>
      <c r="R222" s="32">
        <v>2.3087709949824359E-2</v>
      </c>
      <c r="T222" s="38">
        <f t="shared" si="6"/>
        <v>63.455061503754315</v>
      </c>
      <c r="V222" s="63"/>
      <c r="Z222" s="8"/>
      <c r="AD222" s="31"/>
      <c r="AM222" s="76"/>
      <c r="BJ222" s="50"/>
      <c r="BK222" s="51"/>
      <c r="BL222" s="39"/>
      <c r="BN222" s="38"/>
      <c r="BO222" s="51"/>
      <c r="BP222" s="38"/>
      <c r="BQ222" s="52"/>
      <c r="BR222" s="50"/>
      <c r="BS222" s="52"/>
      <c r="BT222" s="53"/>
      <c r="CE222" s="38"/>
      <c r="CF222" s="38"/>
      <c r="CG222" s="50"/>
      <c r="CI222" s="29"/>
      <c r="CJ222" s="41"/>
      <c r="CK222" s="29"/>
      <c r="CL222" s="29"/>
      <c r="CM222" s="30"/>
      <c r="CN222" s="29"/>
      <c r="CO222" s="29"/>
      <c r="CP222" s="29"/>
      <c r="CQ222" s="29"/>
      <c r="CR222" s="6"/>
      <c r="CS222" s="29"/>
      <c r="CT222" s="29"/>
      <c r="CU222" s="29"/>
      <c r="CV222" s="29"/>
      <c r="CW222" s="29"/>
      <c r="CX222" s="29"/>
      <c r="CY222" s="29"/>
      <c r="CZ222" s="29"/>
    </row>
    <row r="223" spans="1:104" x14ac:dyDescent="0.2">
      <c r="A223" s="50" t="s">
        <v>1221</v>
      </c>
      <c r="D223" t="s">
        <v>1488</v>
      </c>
      <c r="F223" s="33"/>
      <c r="K223" s="32">
        <v>8.0608472767527681E-2</v>
      </c>
      <c r="L223" s="6">
        <v>4.0137348444913021</v>
      </c>
      <c r="O223" s="7">
        <v>16.601686874011598</v>
      </c>
      <c r="P223" s="49">
        <v>0.32005060622034798</v>
      </c>
      <c r="Q223" s="49">
        <v>3.9662625197680546E-2</v>
      </c>
      <c r="T223" s="38">
        <f t="shared" si="6"/>
        <v>0</v>
      </c>
      <c r="V223" s="63"/>
      <c r="Z223" s="8"/>
      <c r="AD223" s="31"/>
      <c r="AI223" s="30">
        <v>7.1444095940959409</v>
      </c>
      <c r="AJ223" s="31">
        <v>551.50843437005801</v>
      </c>
      <c r="AL223" s="33">
        <v>14.237807063784922</v>
      </c>
      <c r="AM223" s="76">
        <v>136.44095940959409</v>
      </c>
      <c r="AN223" s="31">
        <v>26.554217185028993</v>
      </c>
      <c r="AQ223" s="30">
        <v>0.10474696889826039</v>
      </c>
      <c r="AR223" s="30">
        <v>0</v>
      </c>
      <c r="AS223" s="30">
        <v>0.18</v>
      </c>
      <c r="AT223" s="31">
        <v>0.44240906694781235</v>
      </c>
      <c r="AU223" s="31">
        <v>346.65076436478648</v>
      </c>
      <c r="AW223" s="31">
        <v>24.559040590405907</v>
      </c>
      <c r="AZ223" s="30">
        <v>9.6602530311017398E-2</v>
      </c>
      <c r="BD223" s="30">
        <v>1.9050606220347918E-2</v>
      </c>
      <c r="BG223" s="30">
        <v>4.7084343700579859E-2</v>
      </c>
      <c r="BH223" s="31">
        <v>107.16394306800213</v>
      </c>
      <c r="BI223" s="30">
        <v>2.2084580917237746</v>
      </c>
      <c r="BJ223" s="50">
        <v>5.763012651555087</v>
      </c>
      <c r="BK223" s="51"/>
      <c r="BL223" s="39">
        <v>3.450843437005799</v>
      </c>
      <c r="BM223" s="30">
        <v>0.97199525566684242</v>
      </c>
      <c r="BN223" s="38">
        <v>0.75220242488139166</v>
      </c>
      <c r="BO223" s="51"/>
      <c r="BP223" s="38">
        <v>0.20711808118081182</v>
      </c>
      <c r="BQ223" s="52"/>
      <c r="BR223" s="50"/>
      <c r="BS223" s="52"/>
      <c r="BT223" s="53"/>
      <c r="BU223">
        <v>0.79069399051133382</v>
      </c>
      <c r="BV223" s="32">
        <v>0.11055904059040589</v>
      </c>
      <c r="BW223" s="30">
        <v>0.67174459673168163</v>
      </c>
      <c r="BX223" s="30">
        <v>7.6542171850289928E-2</v>
      </c>
      <c r="BY223">
        <v>0.15253031101739589</v>
      </c>
      <c r="BZ223" s="33">
        <v>5.1983131259884026</v>
      </c>
      <c r="CA223" s="33">
        <v>12.260964681075382</v>
      </c>
      <c r="CE223" s="38">
        <v>0.3203036373220875</v>
      </c>
      <c r="CF223" s="38">
        <v>0.12033737480231946</v>
      </c>
      <c r="CG223" s="50">
        <v>37.94</v>
      </c>
      <c r="CI223" s="29"/>
      <c r="CJ223" s="41"/>
      <c r="CK223" s="29"/>
      <c r="CL223" s="29"/>
      <c r="CM223" s="30"/>
      <c r="CN223" s="29"/>
      <c r="CO223" s="29"/>
      <c r="CP223" s="29"/>
      <c r="CQ223" s="29"/>
      <c r="CR223" s="6"/>
      <c r="CS223" s="29"/>
      <c r="CT223" s="29"/>
      <c r="CU223" s="29"/>
      <c r="CV223" s="29"/>
      <c r="CW223" s="29"/>
      <c r="CX223" s="29"/>
      <c r="CY223" s="29"/>
      <c r="CZ223" s="29"/>
    </row>
    <row r="224" spans="1:104" x14ac:dyDescent="0.2">
      <c r="A224" s="50" t="s">
        <v>1221</v>
      </c>
      <c r="D224" t="s">
        <v>125</v>
      </c>
      <c r="F224" s="33"/>
      <c r="H224" s="30">
        <v>43.917087230279989</v>
      </c>
      <c r="I224" s="6">
        <v>0.12642211437207512</v>
      </c>
      <c r="J224" s="6">
        <v>30.540647802735045</v>
      </c>
      <c r="K224" s="32">
        <v>8.0608472767527681E-2</v>
      </c>
      <c r="L224" s="6">
        <v>4.0137348444913021</v>
      </c>
      <c r="M224" s="3">
        <v>7.6836875843161123E-2</v>
      </c>
      <c r="N224" s="6">
        <v>3.9302430387621983</v>
      </c>
      <c r="O224" s="7">
        <v>17.206138819083456</v>
      </c>
      <c r="P224" s="49">
        <v>0.32005060622034798</v>
      </c>
      <c r="Q224" s="49">
        <v>3.1098800586215378E-2</v>
      </c>
      <c r="R224" s="32">
        <v>2.3760374369132111E-2</v>
      </c>
      <c r="T224" s="38">
        <f t="shared" si="6"/>
        <v>63.577045588792835</v>
      </c>
      <c r="V224" s="63"/>
      <c r="Z224" s="8"/>
      <c r="AD224" s="31"/>
      <c r="AM224" s="76"/>
      <c r="BJ224" s="50"/>
      <c r="BK224" s="51"/>
      <c r="BL224" s="39"/>
      <c r="BN224" s="38"/>
      <c r="BO224" s="51"/>
      <c r="BP224" s="38"/>
      <c r="BQ224" s="52"/>
      <c r="BR224" s="50"/>
      <c r="BS224" s="52"/>
      <c r="BT224" s="53"/>
      <c r="CE224" s="38"/>
      <c r="CF224" s="38"/>
      <c r="CG224" s="50"/>
      <c r="CI224" s="29"/>
      <c r="CJ224" s="41"/>
      <c r="CK224" s="29"/>
      <c r="CL224" s="29"/>
      <c r="CM224" s="30"/>
      <c r="CN224" s="29"/>
      <c r="CO224" s="29"/>
      <c r="CP224" s="29"/>
      <c r="CQ224" s="29"/>
      <c r="CR224" s="6"/>
      <c r="CS224" s="29"/>
      <c r="CT224" s="29"/>
      <c r="CU224" s="29"/>
      <c r="CV224" s="29"/>
      <c r="CW224" s="29"/>
      <c r="CX224" s="29"/>
      <c r="CY224" s="29"/>
      <c r="CZ224" s="29"/>
    </row>
    <row r="225" spans="1:132" x14ac:dyDescent="0.2">
      <c r="A225" s="50" t="s">
        <v>661</v>
      </c>
      <c r="D225" t="s">
        <v>875</v>
      </c>
      <c r="F225" s="33"/>
      <c r="K225" s="32">
        <v>8.8865279999999991E-2</v>
      </c>
      <c r="L225" s="6">
        <v>4.3499999999999996</v>
      </c>
      <c r="O225" s="7">
        <v>17.16</v>
      </c>
      <c r="P225" s="49">
        <v>0.32200000000000001</v>
      </c>
      <c r="Q225" s="49">
        <v>0</v>
      </c>
      <c r="T225" s="38">
        <f t="shared" si="6"/>
        <v>0</v>
      </c>
      <c r="V225" s="63"/>
      <c r="Z225" s="8"/>
      <c r="AD225" s="31"/>
      <c r="AI225" s="30">
        <v>7.71</v>
      </c>
      <c r="AJ225" s="31">
        <v>608</v>
      </c>
      <c r="AL225" s="33">
        <v>16.62</v>
      </c>
      <c r="AM225" s="76">
        <v>171</v>
      </c>
      <c r="AN225" s="31">
        <v>29.7</v>
      </c>
      <c r="AQ225" s="30">
        <v>0</v>
      </c>
      <c r="AR225" s="30">
        <v>0</v>
      </c>
      <c r="AS225" s="30">
        <v>0.18</v>
      </c>
      <c r="AT225" s="31">
        <v>0.28999999999999998</v>
      </c>
      <c r="AU225" s="31">
        <v>294</v>
      </c>
      <c r="AW225" s="31">
        <v>32</v>
      </c>
      <c r="AZ225" s="30">
        <v>0.36</v>
      </c>
      <c r="BD225" s="30">
        <v>4.0000000000000001E-3</v>
      </c>
      <c r="BG225" s="30">
        <v>5.7000000000000002E-2</v>
      </c>
      <c r="BH225" s="31">
        <v>91</v>
      </c>
      <c r="BI225" s="30">
        <v>2.79</v>
      </c>
      <c r="BJ225" s="50">
        <v>7</v>
      </c>
      <c r="BK225" s="51"/>
      <c r="BL225" s="39">
        <v>4</v>
      </c>
      <c r="BM225" s="30">
        <v>1.264</v>
      </c>
      <c r="BN225" s="38">
        <v>0.77100000000000002</v>
      </c>
      <c r="BO225" s="51"/>
      <c r="BP225" s="38">
        <v>0.27</v>
      </c>
      <c r="BQ225" s="52"/>
      <c r="BR225" s="50"/>
      <c r="BS225" s="52"/>
      <c r="BT225" s="53"/>
      <c r="BU225">
        <v>0.96299999999999997</v>
      </c>
      <c r="BV225" s="32">
        <v>0.13900000000000001</v>
      </c>
      <c r="BW225" s="30">
        <v>0.97399999999999998</v>
      </c>
      <c r="BX225" s="30">
        <v>0.123</v>
      </c>
      <c r="BY225">
        <v>0.5</v>
      </c>
      <c r="BZ225" s="33">
        <v>8</v>
      </c>
      <c r="CA225" s="33">
        <v>7.1</v>
      </c>
      <c r="CE225" s="38">
        <v>0.44500000000000001</v>
      </c>
      <c r="CF225" s="38">
        <v>0.17</v>
      </c>
      <c r="CG225" s="50">
        <v>112.55</v>
      </c>
      <c r="CI225" s="29"/>
      <c r="CJ225" s="41"/>
      <c r="CK225" s="29"/>
      <c r="CL225" s="29"/>
      <c r="CM225" s="30"/>
      <c r="CN225" s="29"/>
      <c r="CO225" s="29"/>
      <c r="CP225" s="29"/>
      <c r="CQ225" s="29"/>
      <c r="CR225" s="6"/>
      <c r="CS225" s="29"/>
      <c r="CT225" s="29"/>
      <c r="CU225" s="29"/>
      <c r="CV225" s="29"/>
      <c r="CW225" s="29"/>
      <c r="CX225" s="29"/>
      <c r="CY225" s="29"/>
      <c r="CZ225" s="29"/>
    </row>
    <row r="226" spans="1:132" x14ac:dyDescent="0.2">
      <c r="A226" s="50" t="s">
        <v>661</v>
      </c>
      <c r="D226" t="s">
        <v>670</v>
      </c>
      <c r="F226" s="33"/>
      <c r="H226" s="30">
        <v>44.224194457968842</v>
      </c>
      <c r="I226" s="6">
        <v>0.17817019486085023</v>
      </c>
      <c r="J226" s="6">
        <v>29.848071717408825</v>
      </c>
      <c r="K226" s="32">
        <v>8.8865279999999991E-2</v>
      </c>
      <c r="L226" s="6">
        <v>4.3499999999999996</v>
      </c>
      <c r="M226" s="3">
        <v>6.1669279380295379E-2</v>
      </c>
      <c r="N226" s="6">
        <v>4.2360188976245485</v>
      </c>
      <c r="O226" s="7">
        <v>17.102327475971187</v>
      </c>
      <c r="P226" s="49">
        <v>0.32200000000000001</v>
      </c>
      <c r="Q226" s="49">
        <v>2.4935164378919988E-2</v>
      </c>
      <c r="R226" s="32">
        <v>2.3050834535396851E-2</v>
      </c>
      <c r="T226" s="38">
        <f t="shared" si="6"/>
        <v>63.448869564438752</v>
      </c>
      <c r="V226" s="63"/>
      <c r="Z226" s="8"/>
      <c r="AD226" s="31"/>
      <c r="AM226" s="76"/>
      <c r="BJ226" s="50"/>
      <c r="BK226" s="51"/>
      <c r="BL226" s="39"/>
      <c r="BN226" s="38"/>
      <c r="BO226" s="51"/>
      <c r="BP226" s="38"/>
      <c r="BQ226" s="52"/>
      <c r="BR226" s="50"/>
      <c r="BS226" s="52"/>
      <c r="BT226" s="53"/>
      <c r="CE226" s="38"/>
      <c r="CF226" s="38"/>
      <c r="CG226" s="50"/>
      <c r="CI226" s="29"/>
      <c r="CJ226" s="41"/>
      <c r="CK226" s="29"/>
      <c r="CL226" s="29"/>
      <c r="CM226" s="30"/>
      <c r="CN226" s="29"/>
      <c r="CO226" s="29"/>
      <c r="CP226" s="29"/>
      <c r="CQ226" s="29"/>
      <c r="CR226" s="6"/>
      <c r="CS226" s="29"/>
      <c r="CT226" s="29"/>
      <c r="CU226" s="29"/>
      <c r="CV226" s="29"/>
      <c r="CW226" s="29"/>
      <c r="CX226" s="29"/>
      <c r="CY226" s="29"/>
      <c r="CZ226" s="29"/>
    </row>
    <row r="227" spans="1:132" s="2" customFormat="1" x14ac:dyDescent="0.2">
      <c r="A227" s="2" t="s">
        <v>124</v>
      </c>
      <c r="C227" s="2" t="s">
        <v>233</v>
      </c>
      <c r="D227" s="2" t="s">
        <v>125</v>
      </c>
      <c r="F227" s="7"/>
      <c r="H227" s="6">
        <v>44.179888235033651</v>
      </c>
      <c r="I227" s="6">
        <v>0.17070452234034958</v>
      </c>
      <c r="J227" s="6">
        <v>29.947989360725028</v>
      </c>
      <c r="K227" s="6">
        <v>8.873046440576525E-2</v>
      </c>
      <c r="L227" s="6">
        <v>4.3014871758068836</v>
      </c>
      <c r="M227" s="3">
        <v>6.38575017654604E-2</v>
      </c>
      <c r="N227" s="3">
        <v>4.1919047506768896</v>
      </c>
      <c r="O227" s="557">
        <v>16.921835109794028</v>
      </c>
      <c r="P227" s="3">
        <v>0.3247223277764158</v>
      </c>
      <c r="Q227" s="3">
        <v>2.5824389428903229E-2</v>
      </c>
      <c r="R227" s="3">
        <v>2.3153199531139389E-2</v>
      </c>
      <c r="S227" s="6"/>
      <c r="T227" s="38">
        <f t="shared" si="6"/>
        <v>63.466176950638697</v>
      </c>
      <c r="U227" s="6"/>
      <c r="V227" s="16"/>
      <c r="Z227" s="8"/>
      <c r="AD227" s="8"/>
      <c r="AI227" s="6">
        <v>7.7260220029418969</v>
      </c>
      <c r="AJ227" s="6">
        <v>607.07761635033694</v>
      </c>
      <c r="AL227" s="6">
        <v>15.907132619429087</v>
      </c>
      <c r="AM227" s="8"/>
      <c r="AN227" s="6">
        <v>23.578193184604071</v>
      </c>
      <c r="AO227" s="7"/>
      <c r="AQ227" s="6">
        <v>2.842410061175521E-2</v>
      </c>
      <c r="AR227" s="6"/>
      <c r="AS227" s="6">
        <v>0.14796947781318953</v>
      </c>
      <c r="AT227" s="8"/>
      <c r="AU227" s="6">
        <v>237.58375214513359</v>
      </c>
      <c r="AW227" s="6">
        <v>32.180957342485904</v>
      </c>
      <c r="AX227" s="6"/>
      <c r="AY227" s="6"/>
      <c r="AZ227" s="6">
        <v>0.13539807550870311</v>
      </c>
      <c r="BA227" s="6"/>
      <c r="BB227" s="6"/>
      <c r="BC227" s="6"/>
      <c r="BD227" s="6">
        <v>8.2678352537386614E-3</v>
      </c>
      <c r="BE227" s="6"/>
      <c r="BF227" s="6"/>
      <c r="BG227" s="6">
        <v>4.5507354743809757E-2</v>
      </c>
      <c r="BH227" s="6">
        <v>73.710161804363807</v>
      </c>
      <c r="BI227" s="6">
        <v>2.5824181784751166</v>
      </c>
      <c r="BJ227" s="6">
        <v>6.6542559450845795</v>
      </c>
      <c r="BK227" s="51"/>
      <c r="BL227" s="6">
        <v>4.0617124295170388</v>
      </c>
      <c r="BM227" s="6">
        <v>1.1997592547192941</v>
      </c>
      <c r="BN227" s="6">
        <v>0.75521175533218921</v>
      </c>
      <c r="BO227" s="51"/>
      <c r="BP227" s="6">
        <v>0.25365539960774702</v>
      </c>
      <c r="BQ227" s="516"/>
      <c r="BR227" s="516"/>
      <c r="BS227" s="517"/>
      <c r="BT227" s="518"/>
      <c r="BU227" s="6">
        <v>0.93844336847266496</v>
      </c>
      <c r="BV227" s="6">
        <v>0.13327191713655306</v>
      </c>
      <c r="BW227" s="6">
        <v>0.92230871537141457</v>
      </c>
      <c r="BX227" s="6">
        <v>0.11484086173081637</v>
      </c>
      <c r="BY227" s="6">
        <v>0.25021732355741594</v>
      </c>
      <c r="BZ227" s="6">
        <v>6.9750531109425928</v>
      </c>
      <c r="CA227" s="6">
        <v>9.4228150281931846</v>
      </c>
      <c r="CE227" s="6">
        <v>0.41705151385143413</v>
      </c>
      <c r="CF227" s="6">
        <v>0.14278288183378279</v>
      </c>
      <c r="CG227" s="2">
        <v>326.32</v>
      </c>
      <c r="CI227" s="175"/>
      <c r="CJ227" s="13"/>
      <c r="CK227" s="175"/>
      <c r="CL227" s="175"/>
      <c r="CM227" s="6"/>
      <c r="CN227" s="175"/>
      <c r="CO227" s="175"/>
      <c r="CP227" s="175"/>
      <c r="CQ227" s="175">
        <v>3.9685000876081518E-2</v>
      </c>
      <c r="CR227" s="6">
        <v>0.97452452590203564</v>
      </c>
      <c r="CS227" s="175">
        <v>1.4845447436090949E-2</v>
      </c>
      <c r="CT227" s="175"/>
      <c r="CU227" s="175"/>
      <c r="CV227" s="175"/>
      <c r="CW227" s="175"/>
      <c r="CX227" s="175"/>
      <c r="CY227" s="175"/>
      <c r="CZ227" s="175"/>
    </row>
    <row r="228" spans="1:132" x14ac:dyDescent="0.2">
      <c r="A228" s="50"/>
      <c r="F228" s="33"/>
      <c r="J228" s="30"/>
      <c r="M228" s="32"/>
      <c r="P228" s="49"/>
      <c r="Q228" s="49"/>
      <c r="S228" s="30"/>
      <c r="T228" s="38" t="e">
        <f t="shared" si="6"/>
        <v>#DIV/0!</v>
      </c>
      <c r="U228" s="30"/>
      <c r="V228" s="63"/>
      <c r="Z228" s="8"/>
      <c r="AD228" s="31"/>
      <c r="AM228" s="76"/>
      <c r="AN228" s="208"/>
      <c r="BJ228" s="38"/>
      <c r="BK228" s="51"/>
      <c r="BL228" s="39"/>
      <c r="BN228" s="38"/>
      <c r="BO228" s="51"/>
      <c r="BP228" s="38"/>
      <c r="BQ228" s="74"/>
      <c r="BR228" s="74"/>
      <c r="BS228" s="52"/>
      <c r="BT228" s="53"/>
      <c r="BU228" s="30"/>
      <c r="BY228" s="30"/>
      <c r="CE228" s="38"/>
      <c r="CF228" s="38"/>
      <c r="CG228" s="40"/>
      <c r="CI228" s="29"/>
      <c r="CJ228" s="41"/>
      <c r="CK228" s="29"/>
      <c r="CL228" s="29"/>
      <c r="CM228" s="30"/>
      <c r="CN228" s="29"/>
      <c r="CO228" s="29"/>
      <c r="CP228" s="29"/>
      <c r="CQ228" s="29"/>
      <c r="CR228" s="6"/>
      <c r="CS228" s="29"/>
      <c r="CT228" s="29"/>
      <c r="CU228" s="29"/>
      <c r="CV228" s="29"/>
      <c r="CW228" s="29"/>
      <c r="CX228" s="29"/>
      <c r="CY228" s="29"/>
      <c r="CZ228" s="29"/>
    </row>
    <row r="229" spans="1:132" x14ac:dyDescent="0.2">
      <c r="A229" s="36" t="s">
        <v>956</v>
      </c>
      <c r="B229" s="30">
        <v>0.75</v>
      </c>
      <c r="D229" t="s">
        <v>946</v>
      </c>
      <c r="E229">
        <v>2952</v>
      </c>
      <c r="F229" s="33">
        <v>99.754105799999991</v>
      </c>
      <c r="H229" s="6">
        <v>44.9253</v>
      </c>
      <c r="I229" s="6">
        <v>0.20019599999999999</v>
      </c>
      <c r="J229" s="6">
        <v>29.098299999999998</v>
      </c>
      <c r="K229" s="32">
        <v>8.3311200000000002E-2</v>
      </c>
      <c r="L229" s="6">
        <v>4.0524749999999994</v>
      </c>
      <c r="M229" s="3">
        <v>6.3278600000000004E-2</v>
      </c>
      <c r="N229" s="6">
        <v>4.0628350000000006</v>
      </c>
      <c r="O229" s="7">
        <v>16.930319999999998</v>
      </c>
      <c r="P229" s="3">
        <v>0.301952</v>
      </c>
      <c r="Q229" s="49">
        <v>3.6137999999999997E-2</v>
      </c>
      <c r="S229" s="30"/>
      <c r="T229" s="38">
        <f t="shared" si="6"/>
        <v>64.121176289729377</v>
      </c>
      <c r="U229" s="30"/>
      <c r="V229" s="33">
        <v>21</v>
      </c>
      <c r="W229" s="6">
        <v>0.12</v>
      </c>
      <c r="X229" s="7">
        <v>15.4</v>
      </c>
      <c r="Y229" s="2">
        <v>3.15</v>
      </c>
      <c r="Z229" s="8">
        <v>490</v>
      </c>
      <c r="AA229" s="2">
        <v>2.4500000000000002</v>
      </c>
      <c r="AB229" s="7">
        <v>12.1</v>
      </c>
      <c r="AC229">
        <v>0.224</v>
      </c>
      <c r="AD229" s="31">
        <v>300</v>
      </c>
      <c r="AI229" s="30">
        <v>7.6</v>
      </c>
      <c r="AJ229" s="8">
        <v>570</v>
      </c>
      <c r="AK229">
        <v>19</v>
      </c>
      <c r="AL229" s="33">
        <v>15.6</v>
      </c>
      <c r="AM229" s="76">
        <v>134</v>
      </c>
      <c r="AN229" s="208"/>
      <c r="AO229" s="33">
        <v>3.5</v>
      </c>
      <c r="AS229" s="30">
        <v>1.6</v>
      </c>
      <c r="AU229" s="31">
        <v>497</v>
      </c>
      <c r="AV229" s="54">
        <v>9.3351732638378326</v>
      </c>
      <c r="AW229" s="31">
        <v>35</v>
      </c>
      <c r="BD229" s="30">
        <v>3.7999999999999999E-2</v>
      </c>
      <c r="BG229" s="30">
        <v>7.8E-2</v>
      </c>
      <c r="BH229" s="67">
        <v>291.02879403794037</v>
      </c>
      <c r="BI229" s="30">
        <v>2.76</v>
      </c>
      <c r="BJ229" s="39">
        <v>6.2</v>
      </c>
      <c r="BK229" s="51">
        <v>0.83724076998545016</v>
      </c>
      <c r="BL229" s="39">
        <v>3.8</v>
      </c>
      <c r="BM229" s="30">
        <v>1.1399999999999999</v>
      </c>
      <c r="BN229" s="38">
        <v>0.76</v>
      </c>
      <c r="BO229" s="51">
        <v>1.3707295743813155</v>
      </c>
      <c r="BP229" s="38">
        <v>0.25</v>
      </c>
      <c r="BQ229" s="38">
        <v>1.55</v>
      </c>
      <c r="BR229" s="29">
        <v>0.33</v>
      </c>
      <c r="BS229" s="52">
        <v>0.95869468182989603</v>
      </c>
      <c r="BT229" s="53">
        <v>0.13989043193374995</v>
      </c>
      <c r="BU229" s="30">
        <v>0.9</v>
      </c>
      <c r="BV229" s="32">
        <v>0.127</v>
      </c>
      <c r="BW229" s="30">
        <v>0.81</v>
      </c>
      <c r="BX229" s="30">
        <v>0.111</v>
      </c>
      <c r="BY229" s="30"/>
      <c r="BZ229" s="33">
        <v>6.2312607944732301</v>
      </c>
      <c r="CA229" s="33">
        <v>12.5</v>
      </c>
      <c r="CE229" s="38">
        <v>0.36</v>
      </c>
      <c r="CF229" s="38">
        <v>0.13</v>
      </c>
      <c r="CG229" s="40"/>
      <c r="CI229" s="29">
        <v>1.2895380657553923</v>
      </c>
      <c r="CJ229" s="41">
        <v>1.4083369679089071</v>
      </c>
      <c r="CK229" s="29">
        <v>1.4143136894796466</v>
      </c>
      <c r="CL229" s="29"/>
      <c r="CM229" s="30"/>
      <c r="CN229" s="144">
        <v>0.11403508771929825</v>
      </c>
      <c r="CO229" s="29"/>
      <c r="CP229" s="29"/>
      <c r="CQ229" s="29">
        <v>4.9400921658986179E-2</v>
      </c>
      <c r="CR229" s="6"/>
      <c r="CS229" s="29">
        <v>1.5614803299218383E-2</v>
      </c>
      <c r="CT229" s="29"/>
      <c r="CU229" s="29"/>
      <c r="CV229" s="29"/>
      <c r="CW229" s="29"/>
      <c r="CX229" s="29"/>
      <c r="CY229" s="29"/>
      <c r="CZ229" s="29"/>
    </row>
    <row r="230" spans="1:132" x14ac:dyDescent="0.2">
      <c r="A230" s="36" t="s">
        <v>456</v>
      </c>
      <c r="B230" s="30">
        <v>0.02</v>
      </c>
      <c r="C230" t="s">
        <v>504</v>
      </c>
      <c r="D230" s="2" t="s">
        <v>2578</v>
      </c>
      <c r="E230">
        <v>1000</v>
      </c>
      <c r="F230" s="33">
        <v>99.435344299999997</v>
      </c>
      <c r="H230" s="30">
        <v>44.28351</v>
      </c>
      <c r="I230" s="6">
        <v>0.2218839</v>
      </c>
      <c r="J230" s="6">
        <v>29.589569999999998</v>
      </c>
      <c r="K230" s="32">
        <v>0.08</v>
      </c>
      <c r="L230" s="6">
        <v>4.0599999999999996</v>
      </c>
      <c r="M230" s="3">
        <v>6.4559999999999992E-2</v>
      </c>
      <c r="N230" s="6">
        <v>3.92</v>
      </c>
      <c r="O230" s="7">
        <v>16.986288000000002</v>
      </c>
      <c r="P230" s="49">
        <v>0.24263999999999999</v>
      </c>
      <c r="Q230" s="49">
        <v>8.2000000000000003E-2</v>
      </c>
      <c r="R230" s="3">
        <v>0.05</v>
      </c>
      <c r="S230" s="30"/>
      <c r="T230" s="38">
        <f t="shared" si="6"/>
        <v>63.250604306738808</v>
      </c>
      <c r="U230" s="30"/>
      <c r="V230" s="63"/>
      <c r="Z230" s="8">
        <v>500</v>
      </c>
      <c r="AD230" s="31" t="e">
        <v>#VALUE!</v>
      </c>
      <c r="AI230" s="30">
        <v>7.9</v>
      </c>
      <c r="AJ230" s="31">
        <v>465</v>
      </c>
      <c r="AL230" s="33">
        <v>13.6</v>
      </c>
      <c r="AM230" s="76">
        <v>170</v>
      </c>
      <c r="AU230" s="31">
        <v>200</v>
      </c>
      <c r="AV230" s="54">
        <v>9.2437271440836302</v>
      </c>
      <c r="AW230" s="31">
        <v>32</v>
      </c>
      <c r="BG230" s="30" t="s">
        <v>695</v>
      </c>
      <c r="BH230" s="208">
        <v>236</v>
      </c>
      <c r="BI230" s="30">
        <v>2.9</v>
      </c>
      <c r="BJ230" s="50">
        <v>6.6</v>
      </c>
      <c r="BK230" s="51">
        <v>0.85116418331610777</v>
      </c>
      <c r="BL230" s="39">
        <v>3.8</v>
      </c>
      <c r="BM230" s="30">
        <v>1.1000000000000001</v>
      </c>
      <c r="BN230" s="38" t="s">
        <v>338</v>
      </c>
      <c r="BO230" s="51">
        <v>1.3416136132146717</v>
      </c>
      <c r="BP230" s="38">
        <v>0.25</v>
      </c>
      <c r="BQ230" s="74">
        <v>1.5499546302026235</v>
      </c>
      <c r="BR230" s="74">
        <v>0.33778135257562869</v>
      </c>
      <c r="BS230" s="52">
        <v>0.91834963284132565</v>
      </c>
      <c r="BT230" s="53">
        <v>0.13305598642845168</v>
      </c>
      <c r="BU230">
        <v>0.85</v>
      </c>
      <c r="BV230" s="32">
        <v>0.15</v>
      </c>
      <c r="BW230" s="30">
        <v>0.86</v>
      </c>
      <c r="BX230" s="30">
        <v>0.24</v>
      </c>
      <c r="BZ230" s="33">
        <v>6.3</v>
      </c>
      <c r="CA230" s="33">
        <v>9</v>
      </c>
      <c r="CE230" s="38">
        <v>0.36</v>
      </c>
      <c r="CG230" s="40"/>
      <c r="CI230" s="29">
        <v>1.2026010192174745</v>
      </c>
      <c r="CJ230" s="41">
        <v>1.3916653787175841</v>
      </c>
      <c r="CK230" s="29">
        <v>1.4305744417089563</v>
      </c>
      <c r="CL230" s="29"/>
      <c r="CM230" s="30"/>
      <c r="CN230" s="29"/>
      <c r="CO230" s="29"/>
      <c r="CP230" s="29"/>
      <c r="CQ230" s="29">
        <v>5.4579420171498569E-2</v>
      </c>
      <c r="CR230" s="6">
        <v>0.96267175685182538</v>
      </c>
      <c r="CS230" s="29">
        <v>1.5880590553311653E-2</v>
      </c>
      <c r="CT230" s="29"/>
      <c r="CU230" s="29"/>
      <c r="CV230" s="29"/>
      <c r="CW230" s="29"/>
      <c r="CX230" s="29"/>
      <c r="CY230" s="29"/>
      <c r="CZ230" s="29"/>
    </row>
    <row r="231" spans="1:132" x14ac:dyDescent="0.2">
      <c r="A231" s="5" t="s">
        <v>1487</v>
      </c>
      <c r="B231" s="30">
        <v>0.23</v>
      </c>
      <c r="C231" t="s">
        <v>233</v>
      </c>
      <c r="D231" s="2" t="s">
        <v>233</v>
      </c>
      <c r="E231" s="31">
        <v>326</v>
      </c>
      <c r="F231" s="331"/>
      <c r="H231" s="116">
        <v>44.179888235033651</v>
      </c>
      <c r="I231" s="116">
        <v>0.17070452234034958</v>
      </c>
      <c r="J231" s="116">
        <v>29.947989360725028</v>
      </c>
      <c r="K231" s="117">
        <v>8.873046440576525E-2</v>
      </c>
      <c r="L231" s="116">
        <v>4.3014871758068836</v>
      </c>
      <c r="M231" s="116">
        <v>6.38575017654604E-2</v>
      </c>
      <c r="N231" s="116">
        <v>4.1919047506768896</v>
      </c>
      <c r="O231" s="116">
        <v>16.921835109794028</v>
      </c>
      <c r="P231" s="116">
        <v>0.3247223277764158</v>
      </c>
      <c r="Q231" s="116">
        <v>2.5824389428903229E-2</v>
      </c>
      <c r="R231" s="116">
        <v>2.3153199531139389E-2</v>
      </c>
      <c r="S231" s="30"/>
      <c r="T231" s="38">
        <f t="shared" si="6"/>
        <v>63.466176950638697</v>
      </c>
      <c r="U231" s="30"/>
      <c r="V231" s="63"/>
      <c r="Z231" s="8"/>
      <c r="AD231" s="31"/>
      <c r="AI231" s="30">
        <v>7.7260220029418987</v>
      </c>
      <c r="AJ231" s="31">
        <v>716.78272860995355</v>
      </c>
      <c r="AL231" s="33">
        <v>16.458073363569504</v>
      </c>
      <c r="AM231" s="76">
        <v>193.38220151998041</v>
      </c>
      <c r="AQ231" s="30">
        <v>6.3659291493012998E-2</v>
      </c>
      <c r="AR231" s="30">
        <v>0</v>
      </c>
      <c r="AS231" s="30">
        <v>0.14796947781318953</v>
      </c>
      <c r="AT231" s="31">
        <v>0.15146022309389556</v>
      </c>
      <c r="AU231" s="31">
        <v>237.58375214513362</v>
      </c>
      <c r="AV231" s="54">
        <v>9.9726361934413053</v>
      </c>
      <c r="AW231" s="31">
        <v>32.180957342485911</v>
      </c>
      <c r="AZ231" s="30">
        <v>0.13539807550870311</v>
      </c>
      <c r="BD231" s="30">
        <v>1.6193582986025988E-2</v>
      </c>
      <c r="BG231" s="30">
        <v>4.5507354743809764E-2</v>
      </c>
      <c r="BH231" s="31">
        <v>73.710161804363821</v>
      </c>
      <c r="BI231" s="30">
        <v>2.5824181784751166</v>
      </c>
      <c r="BJ231" s="50">
        <v>6.6542559450845795</v>
      </c>
      <c r="BK231" s="51">
        <v>0.8560646845911134</v>
      </c>
      <c r="BL231" s="39">
        <v>4.0617124295170388</v>
      </c>
      <c r="BM231" s="30">
        <v>1.1997592547192941</v>
      </c>
      <c r="BN231" s="38">
        <v>0.75521175533218932</v>
      </c>
      <c r="BO231" s="51">
        <v>1.4320456063154463</v>
      </c>
      <c r="BP231" s="38">
        <v>0.25365539960774702</v>
      </c>
      <c r="BQ231" s="74">
        <v>1.6490781897627911</v>
      </c>
      <c r="BR231" s="74">
        <v>0.362733738370561</v>
      </c>
      <c r="BS231" s="52">
        <v>0.99536299873627909</v>
      </c>
      <c r="BT231" s="53">
        <v>0.14555265862527567</v>
      </c>
      <c r="BU231">
        <v>0.93844336847266496</v>
      </c>
      <c r="BV231" s="32">
        <v>0.13327191713655309</v>
      </c>
      <c r="BW231" s="30">
        <v>0.92230871537141457</v>
      </c>
      <c r="BX231" s="30">
        <v>0.11484086173081638</v>
      </c>
      <c r="BY231">
        <v>0.47023719048786466</v>
      </c>
      <c r="BZ231" s="33">
        <v>7.2287325324834519</v>
      </c>
      <c r="CA231" s="33">
        <v>9.4228150281931846</v>
      </c>
      <c r="CE231" s="30">
        <v>0.41705151385143419</v>
      </c>
      <c r="CF231" s="30">
        <v>0.14278288183378279</v>
      </c>
      <c r="CG231" s="2">
        <v>326.32</v>
      </c>
      <c r="CI231" s="29">
        <v>1.4224995300774612</v>
      </c>
      <c r="CJ231" s="41">
        <v>1.4464612141124491</v>
      </c>
      <c r="CK231" s="29">
        <v>1.4271760747564286</v>
      </c>
      <c r="CL231" s="29"/>
      <c r="CM231" s="30"/>
      <c r="CN231" s="29"/>
      <c r="CO231" s="29"/>
      <c r="CP231" s="29"/>
      <c r="CQ231" s="29">
        <v>3.9685000876081518E-2</v>
      </c>
      <c r="CR231" s="6"/>
      <c r="CS231" s="29">
        <v>1.4845447436090949E-2</v>
      </c>
      <c r="CT231" s="29"/>
      <c r="CU231" s="29"/>
      <c r="CV231" s="29"/>
      <c r="CW231" s="29"/>
      <c r="CX231" s="29"/>
      <c r="CY231" s="29"/>
      <c r="CZ231" s="29"/>
    </row>
    <row r="232" spans="1:132" x14ac:dyDescent="0.2">
      <c r="H232"/>
      <c r="I232"/>
      <c r="J232"/>
      <c r="K232"/>
      <c r="L232"/>
      <c r="M232"/>
      <c r="N232"/>
      <c r="O232"/>
      <c r="P232"/>
      <c r="Q232"/>
      <c r="R232"/>
      <c r="T232" s="38" t="e">
        <f t="shared" si="6"/>
        <v>#DIV/0!</v>
      </c>
      <c r="W232"/>
      <c r="X232"/>
      <c r="Y232"/>
      <c r="Z232"/>
      <c r="AA232"/>
      <c r="AB232"/>
      <c r="AI232"/>
      <c r="AJ232"/>
      <c r="AL232"/>
      <c r="AM232"/>
      <c r="AN232"/>
      <c r="AO232"/>
      <c r="AQ232"/>
      <c r="AR232"/>
      <c r="AS232"/>
      <c r="AT232"/>
      <c r="AU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L232"/>
      <c r="BM232"/>
      <c r="BN232"/>
      <c r="BO232"/>
      <c r="BP232"/>
      <c r="BV232"/>
      <c r="BW232"/>
      <c r="BX232"/>
      <c r="BZ232"/>
      <c r="CA232"/>
      <c r="CE232"/>
      <c r="CF232"/>
    </row>
    <row r="233" spans="1:132" x14ac:dyDescent="0.2">
      <c r="H233"/>
      <c r="I233"/>
      <c r="J233"/>
      <c r="K233"/>
      <c r="L233"/>
      <c r="M233"/>
      <c r="N233"/>
      <c r="O233"/>
      <c r="P233"/>
      <c r="Q233"/>
      <c r="R233"/>
      <c r="T233" s="38" t="e">
        <f t="shared" si="6"/>
        <v>#DIV/0!</v>
      </c>
      <c r="W233"/>
      <c r="X233"/>
      <c r="Y233"/>
      <c r="Z233"/>
      <c r="AA233"/>
      <c r="AB233"/>
      <c r="AI233"/>
      <c r="AJ233"/>
      <c r="AL233"/>
      <c r="AM233"/>
      <c r="AN233"/>
      <c r="AO233"/>
      <c r="AQ233"/>
      <c r="AR233"/>
      <c r="AS233"/>
      <c r="AT233"/>
      <c r="AU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L233"/>
      <c r="BM233"/>
      <c r="BN233"/>
      <c r="BO233"/>
      <c r="BP233"/>
      <c r="BV233"/>
      <c r="BW233"/>
      <c r="BX233"/>
      <c r="BZ233"/>
      <c r="CA233"/>
      <c r="CE233"/>
      <c r="CF233"/>
    </row>
    <row r="234" spans="1:132" s="50" customFormat="1" ht="15.75" customHeight="1" x14ac:dyDescent="0.2">
      <c r="A234" s="36" t="s">
        <v>126</v>
      </c>
      <c r="B234" s="34">
        <v>1</v>
      </c>
      <c r="C234" s="50" t="s">
        <v>279</v>
      </c>
      <c r="E234" s="76">
        <v>4278</v>
      </c>
      <c r="F234" s="39"/>
      <c r="H234" s="316">
        <v>44.741019494057738</v>
      </c>
      <c r="I234" s="316">
        <v>0.19384671813828039</v>
      </c>
      <c r="J234" s="316">
        <v>29.303553952966759</v>
      </c>
      <c r="K234" s="397">
        <v>8.4250694813326005E-2</v>
      </c>
      <c r="L234" s="316">
        <v>4.1100051004355826</v>
      </c>
      <c r="M234" s="397">
        <v>6.3437375406055888E-2</v>
      </c>
      <c r="N234" s="316">
        <v>4.0895361026556856</v>
      </c>
      <c r="O234" s="400">
        <v>16.929487835252626</v>
      </c>
      <c r="P234" s="397">
        <v>0.30600293538857559</v>
      </c>
      <c r="Q234" s="32">
        <v>3.0981194714451613E-2</v>
      </c>
      <c r="R234" s="32">
        <v>2.3153199531139389E-2</v>
      </c>
      <c r="S234" s="30"/>
      <c r="T234" s="38">
        <f t="shared" si="6"/>
        <v>63.947390878959517</v>
      </c>
      <c r="U234" s="30"/>
      <c r="V234" s="55"/>
      <c r="X234"/>
      <c r="Y234"/>
      <c r="Z234"/>
      <c r="AA234"/>
      <c r="AB234"/>
      <c r="AC234"/>
      <c r="AD234"/>
      <c r="AE234"/>
      <c r="AF234"/>
      <c r="AG234"/>
      <c r="AH234"/>
      <c r="AI234" s="316">
        <v>7.6349850606766365</v>
      </c>
      <c r="AJ234" s="318">
        <v>601.66002758028935</v>
      </c>
      <c r="AK234" s="31">
        <v>19</v>
      </c>
      <c r="AL234" s="400">
        <v>15.757356873620985</v>
      </c>
      <c r="AM234" s="318">
        <v>148.37790634959549</v>
      </c>
      <c r="AN234" s="31"/>
      <c r="AO234" s="33">
        <v>3.5</v>
      </c>
      <c r="AP234"/>
      <c r="AQ234"/>
      <c r="AR234"/>
      <c r="AS234" s="317">
        <v>1.6</v>
      </c>
      <c r="AT234" s="31">
        <v>0.15146022309389556</v>
      </c>
      <c r="AU234" s="318">
        <v>431.39426299338072</v>
      </c>
      <c r="AV234" s="316">
        <v>9.4799608152515482</v>
      </c>
      <c r="AW234" s="318">
        <v>34.291620188771759</v>
      </c>
      <c r="AX234"/>
      <c r="AY234"/>
      <c r="AZ234"/>
      <c r="BA234"/>
      <c r="BB234"/>
      <c r="BC234"/>
      <c r="BD234" s="30">
        <v>2.7096791493012994E-2</v>
      </c>
      <c r="BE234"/>
      <c r="BF234"/>
      <c r="BG234" s="30">
        <v>6.1753677371904882E-2</v>
      </c>
      <c r="BH234" s="318">
        <v>239.94493274345896</v>
      </c>
      <c r="BI234" s="316">
        <v>2.7219561810492765</v>
      </c>
      <c r="BJ234" s="316">
        <v>6.3124788673694532</v>
      </c>
      <c r="BK234" s="316">
        <v>0.84184873861136589</v>
      </c>
      <c r="BL234" s="400">
        <v>3.8601938587889189</v>
      </c>
      <c r="BM234" s="316">
        <v>1.1529446285854377</v>
      </c>
      <c r="BN234" s="414">
        <v>0.75760587766609466</v>
      </c>
      <c r="BO234" s="316">
        <v>1.3842499425028327</v>
      </c>
      <c r="BP234" s="316">
        <v>0.25084074190978184</v>
      </c>
      <c r="BQ234" s="316">
        <v>1.5727870762494944</v>
      </c>
      <c r="BR234" s="316">
        <v>0.33768438687674157</v>
      </c>
      <c r="BS234" s="316">
        <v>0.96632149373859277</v>
      </c>
      <c r="BT234" s="316">
        <v>0.1410560551626949</v>
      </c>
      <c r="BU234" s="316">
        <v>0.90784197474871298</v>
      </c>
      <c r="BV234" s="397">
        <v>0.12890254094140721</v>
      </c>
      <c r="BW234" s="316">
        <v>0.83683100453542536</v>
      </c>
      <c r="BX234" s="316">
        <v>0.11446339819808778</v>
      </c>
      <c r="BY234" s="30">
        <v>0.47023719048786466</v>
      </c>
      <c r="BZ234" s="400">
        <v>6.4620540783261173</v>
      </c>
      <c r="CA234" s="400">
        <v>11.722247456484432</v>
      </c>
      <c r="CB234"/>
      <c r="CC234"/>
      <c r="CD234"/>
      <c r="CE234" s="316">
        <v>0.37312184818582989</v>
      </c>
      <c r="CF234" s="30">
        <v>0.1363914409168914</v>
      </c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</row>
    <row r="235" spans="1:132" s="36" customFormat="1" x14ac:dyDescent="0.2">
      <c r="A235" s="36" t="s">
        <v>553</v>
      </c>
      <c r="F235" s="33">
        <v>99.842571473257195</v>
      </c>
      <c r="H235" s="34">
        <v>44.741019494057703</v>
      </c>
      <c r="I235" s="34">
        <v>0.19384671813828039</v>
      </c>
      <c r="J235" s="34">
        <v>29.303553952966759</v>
      </c>
      <c r="K235" s="37">
        <v>8.4250694813326005E-2</v>
      </c>
      <c r="L235" s="34">
        <v>4.1100051004355826</v>
      </c>
      <c r="M235" s="37">
        <v>6.3437375406055888E-2</v>
      </c>
      <c r="N235" s="34">
        <v>4.0895361026556856</v>
      </c>
      <c r="O235" s="72">
        <v>16.929487835252626</v>
      </c>
      <c r="P235" s="231">
        <v>0.27175680000000002</v>
      </c>
      <c r="Q235" s="231">
        <v>3.2524199999999996E-2</v>
      </c>
      <c r="R235" s="37">
        <v>2.3153199531139389E-2</v>
      </c>
      <c r="S235" s="37"/>
      <c r="T235" s="38">
        <f t="shared" si="6"/>
        <v>63.947390878959517</v>
      </c>
      <c r="U235" s="37"/>
      <c r="W235" s="34"/>
      <c r="X235" s="34"/>
      <c r="Y235" s="34"/>
      <c r="Z235" s="35">
        <v>0</v>
      </c>
      <c r="AA235" s="34"/>
      <c r="AB235" s="34"/>
      <c r="AC235" s="34"/>
      <c r="AD235" s="35">
        <v>0</v>
      </c>
      <c r="AE235" s="35">
        <v>0</v>
      </c>
      <c r="AF235" s="34"/>
      <c r="AG235" s="34"/>
      <c r="AH235" s="35">
        <v>0</v>
      </c>
      <c r="AI235" s="34">
        <v>7.6349850606766365</v>
      </c>
      <c r="AJ235" s="35">
        <v>601.66002758028935</v>
      </c>
      <c r="AK235" s="35">
        <v>19</v>
      </c>
      <c r="AL235" s="72">
        <v>15.757356873620985</v>
      </c>
      <c r="AM235" s="35">
        <v>148.37790634959549</v>
      </c>
      <c r="AN235" s="35">
        <v>0</v>
      </c>
      <c r="AO235" s="72">
        <v>3.5</v>
      </c>
      <c r="AP235" s="34"/>
      <c r="AQ235" s="34">
        <v>0</v>
      </c>
      <c r="AR235" s="34"/>
      <c r="AS235" s="34">
        <v>1.6</v>
      </c>
      <c r="AT235" s="35">
        <v>0.15146022309389556</v>
      </c>
      <c r="AU235" s="35">
        <v>431.39426299338072</v>
      </c>
      <c r="AV235" s="72">
        <v>9.4799608152515482</v>
      </c>
      <c r="AW235" s="35">
        <v>34.291620188771759</v>
      </c>
      <c r="AX235" s="34"/>
      <c r="AY235" s="34">
        <v>0</v>
      </c>
      <c r="AZ235" s="34"/>
      <c r="BA235" s="34"/>
      <c r="BB235" s="34"/>
      <c r="BC235" s="34"/>
      <c r="BD235" s="34">
        <v>2.7096791493012994E-2</v>
      </c>
      <c r="BE235" s="34"/>
      <c r="BF235" s="34"/>
      <c r="BG235" s="34">
        <v>6.1753677371904882E-2</v>
      </c>
      <c r="BH235" s="35">
        <v>239.94493274345896</v>
      </c>
      <c r="BI235" s="34">
        <v>2.7219561810492765</v>
      </c>
      <c r="BJ235" s="34">
        <v>6.3124788673694532</v>
      </c>
      <c r="BK235" s="158">
        <v>0.88676712672117941</v>
      </c>
      <c r="BL235" s="72">
        <v>3.8601938587889189</v>
      </c>
      <c r="BM235" s="34">
        <v>1.1529446285854377</v>
      </c>
      <c r="BN235" s="34">
        <v>0.75760587766609466</v>
      </c>
      <c r="BO235" s="34">
        <v>1.3842499425028327</v>
      </c>
      <c r="BP235" s="34">
        <v>0.25084074190978184</v>
      </c>
      <c r="BQ235" s="34">
        <v>1.5727870762494944</v>
      </c>
      <c r="BR235" s="34">
        <v>0.33768438687674157</v>
      </c>
      <c r="BS235" s="34">
        <v>0.96632149373859277</v>
      </c>
      <c r="BT235" s="34">
        <v>0.1410560551626949</v>
      </c>
      <c r="BU235" s="34">
        <v>0.90784197474871298</v>
      </c>
      <c r="BV235" s="37">
        <v>0.12890254094140721</v>
      </c>
      <c r="BW235" s="34">
        <v>0.83683100453542536</v>
      </c>
      <c r="BX235" s="34">
        <v>0.11446339819808778</v>
      </c>
      <c r="BY235" s="34">
        <v>0.47023719048786466</v>
      </c>
      <c r="BZ235" s="72">
        <v>6.4620540783261173</v>
      </c>
      <c r="CA235" s="72">
        <v>11.722247456484432</v>
      </c>
      <c r="CB235" s="34"/>
      <c r="CC235" s="34"/>
      <c r="CD235" s="34"/>
      <c r="CE235" s="34">
        <v>0.37312184818582989</v>
      </c>
      <c r="CF235" s="34">
        <v>0.1363914409168914</v>
      </c>
      <c r="CG235" s="34"/>
      <c r="CH235" s="34"/>
      <c r="CI235" s="34"/>
      <c r="CR235" s="34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</row>
    <row r="236" spans="1:132" x14ac:dyDescent="0.2">
      <c r="A236" s="36"/>
      <c r="F236" s="39"/>
      <c r="H236" s="34"/>
      <c r="I236" s="34"/>
      <c r="J236" s="34"/>
      <c r="K236" s="37"/>
      <c r="L236" s="34"/>
      <c r="M236" s="37"/>
      <c r="N236" s="34"/>
      <c r="O236" s="72"/>
      <c r="P236" s="37"/>
      <c r="Q236" s="37"/>
      <c r="R236" s="37"/>
      <c r="S236" s="34"/>
      <c r="T236" s="38" t="e">
        <f t="shared" si="6"/>
        <v>#DIV/0!</v>
      </c>
      <c r="U236" s="34"/>
      <c r="V236" s="63"/>
      <c r="W236" s="36"/>
      <c r="X236" s="36"/>
      <c r="Y236" s="36"/>
      <c r="Z236" s="35"/>
      <c r="AA236" s="36"/>
      <c r="AB236" s="36"/>
      <c r="AC236" s="36"/>
      <c r="AD236" s="36"/>
      <c r="AE236" s="36"/>
      <c r="AF236" s="36"/>
      <c r="AG236" s="36"/>
      <c r="AH236" s="36"/>
      <c r="AI236" s="34"/>
      <c r="AJ236" s="35"/>
      <c r="AK236" s="72"/>
      <c r="AL236" s="72"/>
      <c r="AM236" s="35"/>
      <c r="AN236" s="35"/>
      <c r="AO236" s="72"/>
      <c r="AP236" s="72"/>
      <c r="AQ236" s="72"/>
      <c r="AR236" s="72"/>
      <c r="AS236" s="72"/>
      <c r="AT236" s="35"/>
      <c r="AU236" s="35"/>
      <c r="AV236" s="72"/>
      <c r="AW236" s="35"/>
      <c r="AX236" s="72"/>
      <c r="AY236" s="72"/>
      <c r="AZ236" s="72"/>
      <c r="BA236" s="72"/>
      <c r="BB236" s="72"/>
      <c r="BC236" s="72"/>
      <c r="BD236" s="72"/>
      <c r="BE236" s="72"/>
      <c r="BF236" s="72"/>
      <c r="BG236" s="34"/>
      <c r="BH236" s="35"/>
      <c r="BI236" s="34"/>
      <c r="BJ236" s="72"/>
      <c r="BK236" s="72"/>
      <c r="BL236" s="72"/>
      <c r="BM236" s="34"/>
      <c r="BN236" s="34"/>
      <c r="BO236" s="34"/>
      <c r="BP236" s="34"/>
      <c r="BQ236" s="72"/>
      <c r="BR236" s="34"/>
      <c r="BS236" s="72"/>
      <c r="BT236" s="72"/>
      <c r="BU236" s="34"/>
      <c r="BV236" s="37"/>
      <c r="BW236" s="34"/>
      <c r="BX236" s="34"/>
      <c r="BY236" s="72"/>
      <c r="CA236" s="72"/>
      <c r="CB236" s="72"/>
      <c r="CC236" s="72"/>
      <c r="CD236" s="72"/>
      <c r="CE236" s="34"/>
      <c r="CF236" s="34"/>
      <c r="CG236" s="72"/>
      <c r="CM236" s="30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</row>
    <row r="237" spans="1:132" x14ac:dyDescent="0.2">
      <c r="F237" s="39"/>
      <c r="T237" s="38" t="e">
        <f t="shared" si="6"/>
        <v>#DIV/0!</v>
      </c>
      <c r="V237" s="63"/>
      <c r="AI237" s="30">
        <v>65.517241379310349</v>
      </c>
      <c r="CM237" s="30"/>
    </row>
    <row r="238" spans="1:132" x14ac:dyDescent="0.2">
      <c r="A238" t="s">
        <v>457</v>
      </c>
      <c r="D238" t="s">
        <v>946</v>
      </c>
      <c r="E238">
        <v>408</v>
      </c>
      <c r="F238" s="33">
        <v>99.934982499999975</v>
      </c>
      <c r="H238" s="6">
        <v>44.711369999999995</v>
      </c>
      <c r="I238" s="6">
        <v>0.14847869999999999</v>
      </c>
      <c r="J238" s="6">
        <v>31.176749999999998</v>
      </c>
      <c r="K238" s="32">
        <v>5.5540800000000001E-2</v>
      </c>
      <c r="L238" s="6">
        <v>3.0361399999999996</v>
      </c>
      <c r="M238" s="3">
        <v>4.7781800000000006E-2</v>
      </c>
      <c r="N238" s="6">
        <v>2.802527</v>
      </c>
      <c r="O238" s="7">
        <v>17.629919999999998</v>
      </c>
      <c r="P238" s="3">
        <v>0.30599600000000005</v>
      </c>
      <c r="Q238" s="49">
        <v>2.0478199999999998E-2</v>
      </c>
      <c r="T238" s="38">
        <f t="shared" si="6"/>
        <v>62.199126801159125</v>
      </c>
      <c r="V238" s="33">
        <v>20.9</v>
      </c>
      <c r="W238" s="2">
        <v>8.8999999999999996E-2</v>
      </c>
      <c r="X238" s="2">
        <v>16.5</v>
      </c>
      <c r="Y238" s="2">
        <v>2.36</v>
      </c>
      <c r="Z238" s="8">
        <v>370</v>
      </c>
      <c r="AA238" s="2">
        <v>1.69</v>
      </c>
      <c r="AB238" s="2">
        <v>12.6</v>
      </c>
      <c r="AC238">
        <v>0.22700000000000001</v>
      </c>
      <c r="AD238" s="31">
        <v>170</v>
      </c>
      <c r="AI238" s="30">
        <v>5.8</v>
      </c>
      <c r="AJ238" s="8">
        <v>380</v>
      </c>
      <c r="AK238">
        <v>18</v>
      </c>
      <c r="AL238" s="33">
        <v>10.4</v>
      </c>
      <c r="AM238" s="76">
        <v>94</v>
      </c>
      <c r="AO238" s="33">
        <v>2.4</v>
      </c>
      <c r="AQ238" s="30" t="s">
        <v>391</v>
      </c>
      <c r="AS238" s="30">
        <v>0.35</v>
      </c>
      <c r="AU238" s="31">
        <v>280</v>
      </c>
      <c r="AV238" s="54">
        <v>5.2236598494144779</v>
      </c>
      <c r="AW238" s="31" t="s">
        <v>711</v>
      </c>
      <c r="BD238" s="30" t="s">
        <v>950</v>
      </c>
      <c r="BG238" s="30">
        <v>3.7999999999999999E-2</v>
      </c>
      <c r="BH238" s="46">
        <v>20</v>
      </c>
      <c r="BI238" s="30">
        <v>1.43</v>
      </c>
      <c r="BJ238" s="40">
        <v>3.6</v>
      </c>
      <c r="BK238" s="51">
        <v>0.43248827373985321</v>
      </c>
      <c r="BL238" s="33">
        <v>1.96</v>
      </c>
      <c r="BM238" s="30">
        <v>0.6</v>
      </c>
      <c r="BN238" s="30">
        <v>0.85</v>
      </c>
      <c r="BO238" s="51">
        <v>0.74306474361253561</v>
      </c>
      <c r="BP238" s="30">
        <v>0.13900000000000001</v>
      </c>
      <c r="BQ238" s="74">
        <v>0.89260732931291398</v>
      </c>
      <c r="BR238" s="30">
        <v>0.18</v>
      </c>
      <c r="BS238" s="52">
        <v>0.55033453291697532</v>
      </c>
      <c r="BT238" s="53">
        <v>8.1334934644145138E-2</v>
      </c>
      <c r="BU238" s="30">
        <v>0.53</v>
      </c>
      <c r="BV238" s="32">
        <v>7.3999999999999996E-2</v>
      </c>
      <c r="BW238" s="30">
        <v>0.49</v>
      </c>
      <c r="BX238" s="30">
        <v>6.7000000000000004E-2</v>
      </c>
      <c r="BZ238" s="33">
        <v>4.8</v>
      </c>
      <c r="CA238" s="33">
        <v>5.5</v>
      </c>
      <c r="CE238" s="30">
        <v>0.2</v>
      </c>
      <c r="CF238" s="30">
        <v>7.4999999999999997E-2</v>
      </c>
      <c r="CG238" s="30"/>
      <c r="CI238" s="29">
        <v>0.68298056116484118</v>
      </c>
      <c r="CJ238" s="41">
        <v>0.7688417966064176</v>
      </c>
      <c r="CK238" s="29">
        <v>0.77737187306634825</v>
      </c>
      <c r="CL238" s="29"/>
      <c r="CM238" s="30">
        <v>0.33333333333333337</v>
      </c>
      <c r="CN238" s="29">
        <v>0.125</v>
      </c>
      <c r="CO238" s="29"/>
      <c r="CP238" s="29"/>
      <c r="CQ238" s="29"/>
      <c r="CR238" s="30">
        <v>0.92305591968749801</v>
      </c>
      <c r="CS238" s="29">
        <v>1.5737680080628699E-2</v>
      </c>
      <c r="CT238" s="29"/>
      <c r="CU238" s="29"/>
      <c r="CV238" s="29"/>
      <c r="CW238" s="29"/>
      <c r="CX238" s="29"/>
      <c r="CY238" s="29"/>
      <c r="CZ238" s="29"/>
    </row>
    <row r="239" spans="1:132" x14ac:dyDescent="0.2">
      <c r="A239" t="s">
        <v>457</v>
      </c>
      <c r="D239" t="s">
        <v>461</v>
      </c>
      <c r="H239" s="48" t="s">
        <v>1146</v>
      </c>
      <c r="I239" s="48" t="s">
        <v>649</v>
      </c>
      <c r="J239" s="48" t="s">
        <v>1147</v>
      </c>
      <c r="K239" s="32" t="s">
        <v>1145</v>
      </c>
      <c r="L239" s="48" t="s">
        <v>1148</v>
      </c>
      <c r="M239" s="45" t="s">
        <v>1150</v>
      </c>
      <c r="N239" s="387" t="s">
        <v>1151</v>
      </c>
      <c r="O239" s="79" t="s">
        <v>1152</v>
      </c>
      <c r="P239" s="45" t="s">
        <v>1142</v>
      </c>
      <c r="Q239" s="45" t="s">
        <v>651</v>
      </c>
      <c r="R239" s="45">
        <v>0.1</v>
      </c>
      <c r="S239" s="40"/>
      <c r="T239" s="38" t="e">
        <f t="shared" si="6"/>
        <v>#VALUE!</v>
      </c>
      <c r="U239" s="40"/>
      <c r="W239" s="40"/>
      <c r="X239" s="40"/>
      <c r="Y239" s="40"/>
      <c r="Z239" s="8" t="s">
        <v>1149</v>
      </c>
      <c r="AA239" s="40"/>
      <c r="AB239" s="40"/>
      <c r="AC239" s="40"/>
      <c r="AD239" s="31" t="s">
        <v>1143</v>
      </c>
      <c r="AE239" s="40"/>
      <c r="AF239" s="40"/>
      <c r="AG239" s="40"/>
      <c r="AH239" s="40"/>
      <c r="AI239" s="48"/>
      <c r="AJ239" s="46" t="s">
        <v>1144</v>
      </c>
      <c r="AK239" s="40"/>
      <c r="AL239" s="79"/>
      <c r="AM239" s="46">
        <v>90</v>
      </c>
      <c r="BQ239" s="30"/>
      <c r="BR239" s="30"/>
      <c r="BU239" s="30"/>
      <c r="CG239" s="30"/>
      <c r="CM239" s="30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</row>
    <row r="240" spans="1:132" x14ac:dyDescent="0.2">
      <c r="A240" t="s">
        <v>457</v>
      </c>
      <c r="D240" t="s">
        <v>700</v>
      </c>
      <c r="F240" s="33"/>
      <c r="H240" s="6">
        <v>44.627944306919126</v>
      </c>
      <c r="I240" s="6">
        <v>9.7812075915374858E-2</v>
      </c>
      <c r="J240" s="6">
        <v>32.12185643344008</v>
      </c>
      <c r="K240" s="32">
        <v>5.443387704402268E-2</v>
      </c>
      <c r="L240" s="6">
        <v>2.7508717359432584</v>
      </c>
      <c r="M240" s="3">
        <v>5.3736398653103042E-2</v>
      </c>
      <c r="N240" s="6">
        <v>2.9016862311301259</v>
      </c>
      <c r="O240" s="7">
        <v>17.5941519046868</v>
      </c>
      <c r="P240" s="3">
        <v>0.32637448983635142</v>
      </c>
      <c r="Q240" s="49">
        <v>6.012374070848793E-3</v>
      </c>
      <c r="R240" s="32">
        <v>1.894823028276792E-2</v>
      </c>
      <c r="T240" s="38">
        <f t="shared" si="6"/>
        <v>65.281780776703556</v>
      </c>
      <c r="V240" s="33"/>
      <c r="Z240" s="8"/>
      <c r="AD240" s="31"/>
      <c r="AJ240" s="8"/>
      <c r="AM240" s="76"/>
      <c r="BH240" s="46"/>
      <c r="BU240" s="30"/>
      <c r="CG240" s="30"/>
      <c r="CI240" s="29"/>
      <c r="CJ240" s="41"/>
      <c r="CK240" s="29"/>
      <c r="CL240" s="29"/>
      <c r="CM240" s="30"/>
      <c r="CN240" s="29"/>
      <c r="CO240" s="29"/>
      <c r="CP240" s="29"/>
      <c r="CQ240" s="29"/>
      <c r="CR240" s="30"/>
      <c r="CS240" s="29"/>
      <c r="CT240" s="29"/>
      <c r="CU240" s="29"/>
      <c r="CV240" s="29"/>
      <c r="CW240" s="29"/>
      <c r="CX240" s="29"/>
      <c r="CY240" s="29"/>
      <c r="CZ240" s="29"/>
    </row>
    <row r="241" spans="1:132" x14ac:dyDescent="0.2">
      <c r="A241" t="s">
        <v>457</v>
      </c>
      <c r="D241" t="s">
        <v>1093</v>
      </c>
      <c r="F241" s="33"/>
      <c r="H241" s="6"/>
      <c r="I241"/>
      <c r="K241" s="32">
        <v>5.443387704402268E-2</v>
      </c>
      <c r="L241" s="6">
        <v>2.7508717359432584</v>
      </c>
      <c r="M241"/>
      <c r="O241" s="7">
        <v>16.820963664460912</v>
      </c>
      <c r="P241" s="3">
        <v>0.32637448983635142</v>
      </c>
      <c r="Q241" s="49" t="s">
        <v>1313</v>
      </c>
      <c r="T241" s="38">
        <f t="shared" si="6"/>
        <v>0</v>
      </c>
      <c r="V241" s="33"/>
      <c r="Z241" s="8"/>
      <c r="AD241" s="31"/>
      <c r="AI241" s="30">
        <v>4.8047168839402463</v>
      </c>
      <c r="AJ241" s="8">
        <v>372.42663549550269</v>
      </c>
      <c r="AL241" s="33">
        <v>8.4824563141419347</v>
      </c>
      <c r="AM241" s="76">
        <v>77.498870705709876</v>
      </c>
      <c r="AN241" s="31">
        <v>3.1247057891191501</v>
      </c>
      <c r="AQ241" s="30">
        <v>6.0407734675278373E-2</v>
      </c>
      <c r="AR241" s="30">
        <v>4.8556484526687017E-2</v>
      </c>
      <c r="AS241" s="30">
        <v>7.8600863811071064E-2</v>
      </c>
      <c r="AT241" s="31">
        <v>0.52036692158338949</v>
      </c>
      <c r="AU241" s="31">
        <v>178.39616436184969</v>
      </c>
      <c r="AV241" s="54">
        <v>3.0156562163186145</v>
      </c>
      <c r="AW241" s="31">
        <v>9.3761540595157911</v>
      </c>
      <c r="BD241" s="30">
        <v>3.4676070848357575E-3</v>
      </c>
      <c r="BG241" s="30">
        <v>1.1317351507706939E-2</v>
      </c>
      <c r="BH241" s="76">
        <v>13.365665491143954</v>
      </c>
      <c r="BI241" s="30">
        <v>0.64644296073225826</v>
      </c>
      <c r="BJ241" s="39">
        <v>1.7031687601537426</v>
      </c>
      <c r="BK241" s="51">
        <v>0.21194626678639444</v>
      </c>
      <c r="BL241" s="33">
        <v>1.0000832111582201</v>
      </c>
      <c r="BM241" s="30">
        <v>0.32351911875421008</v>
      </c>
      <c r="BN241" s="30">
        <v>0.75057712881879768</v>
      </c>
      <c r="BO241" s="51">
        <v>0.40378047183037385</v>
      </c>
      <c r="BP241" s="30">
        <v>7.358105163054246E-2</v>
      </c>
      <c r="BQ241" s="74">
        <v>0.4845996013053735</v>
      </c>
      <c r="BR241" s="74">
        <v>0.1086468472347019</v>
      </c>
      <c r="BS241" s="52">
        <v>0.30387573690406355</v>
      </c>
      <c r="BT241" s="53">
        <v>4.5291636750467809E-2</v>
      </c>
      <c r="BU241" s="30">
        <v>0.2976372389745216</v>
      </c>
      <c r="BV241" s="32">
        <v>4.2547533383524197E-2</v>
      </c>
      <c r="BW241" s="30">
        <v>0.25273946982604911</v>
      </c>
      <c r="BX241" s="30">
        <v>3.1799223362523277E-2</v>
      </c>
      <c r="BY241">
        <v>0.13400958909537586</v>
      </c>
      <c r="BZ241" s="33">
        <v>3.9482624717676429</v>
      </c>
      <c r="CA241" s="33">
        <v>0.84663787296429838</v>
      </c>
      <c r="CE241" s="30">
        <v>8.1273804334905109E-2</v>
      </c>
      <c r="CF241" s="30">
        <v>2.497880096683441E-2</v>
      </c>
      <c r="CG241" s="30"/>
      <c r="CI241" s="29">
        <v>0.39516534816176896</v>
      </c>
      <c r="CJ241" s="41">
        <v>0.40950060251138354</v>
      </c>
      <c r="CK241" s="29">
        <v>0.40667546481796896</v>
      </c>
      <c r="CL241" s="29"/>
      <c r="CM241" s="30"/>
      <c r="CN241" s="29"/>
      <c r="CO241" s="29"/>
      <c r="CP241" s="29"/>
      <c r="CQ241" s="29"/>
      <c r="CR241" s="30"/>
      <c r="CS241" s="29"/>
      <c r="CT241" s="29"/>
      <c r="CU241" s="29"/>
      <c r="CV241" s="29"/>
      <c r="CW241" s="29"/>
      <c r="CX241" s="29"/>
      <c r="CY241" s="29"/>
      <c r="CZ241" s="29"/>
    </row>
    <row r="242" spans="1:132" s="2" customFormat="1" ht="20.100000000000001" customHeight="1" x14ac:dyDescent="0.2">
      <c r="A242" s="2" t="s">
        <v>457</v>
      </c>
      <c r="D242" s="2" t="s">
        <v>279</v>
      </c>
      <c r="H242" s="6">
        <v>44.669657153459561</v>
      </c>
      <c r="I242" s="6">
        <v>0.12314538795768742</v>
      </c>
      <c r="J242" s="6">
        <v>31.649303216720039</v>
      </c>
      <c r="K242" s="3">
        <v>5.4802851362681787E-2</v>
      </c>
      <c r="L242" s="6">
        <v>2.8459611572955055</v>
      </c>
      <c r="M242" s="3">
        <v>5.0759099326551524E-2</v>
      </c>
      <c r="N242" s="6">
        <v>2.852106615565063</v>
      </c>
      <c r="O242" s="7">
        <v>17.348345189715904</v>
      </c>
      <c r="P242" s="3">
        <v>0.31958165989090098</v>
      </c>
      <c r="Q242" s="3">
        <v>1.3245287035424396E-2</v>
      </c>
      <c r="R242" s="3">
        <v>5.9474115141383961E-2</v>
      </c>
      <c r="S242" s="7"/>
      <c r="T242" s="38">
        <f t="shared" si="6"/>
        <v>64.112061591496058</v>
      </c>
      <c r="U242" s="7"/>
      <c r="W242" s="7"/>
      <c r="X242" s="7"/>
      <c r="Y242" s="7"/>
      <c r="Z242" s="8">
        <v>370</v>
      </c>
      <c r="AA242" s="7"/>
      <c r="AB242" s="7"/>
      <c r="AC242" s="7"/>
      <c r="AD242" s="8">
        <v>170</v>
      </c>
      <c r="AE242" s="7"/>
      <c r="AF242" s="7"/>
      <c r="AG242" s="7"/>
      <c r="AH242" s="7"/>
      <c r="AI242" s="6">
        <v>5.3023584419701226</v>
      </c>
      <c r="AJ242" s="8">
        <v>376.21331774775138</v>
      </c>
      <c r="AK242" s="7"/>
      <c r="AL242" s="7">
        <v>9.4412281570709666</v>
      </c>
      <c r="AM242" s="8">
        <v>87.166290235236616</v>
      </c>
      <c r="AN242" s="8">
        <v>3.1247057891191501</v>
      </c>
      <c r="AO242" s="7">
        <v>2.4</v>
      </c>
      <c r="AP242" s="7" t="e">
        <v>#DIV/0!</v>
      </c>
      <c r="AQ242" s="7">
        <v>6.0407734675278373E-2</v>
      </c>
      <c r="AR242" s="7">
        <v>4.8556484526687017E-2</v>
      </c>
      <c r="AS242" s="7">
        <v>0.21430043190553552</v>
      </c>
      <c r="AT242" s="8">
        <v>0.52036692158338949</v>
      </c>
      <c r="AU242" s="8">
        <v>229.19808218092484</v>
      </c>
      <c r="AV242" s="7">
        <v>4.1196580328665462</v>
      </c>
      <c r="AW242" s="8">
        <v>9.3761540595157911</v>
      </c>
      <c r="AX242" s="7" t="e">
        <v>#DIV/0!</v>
      </c>
      <c r="AY242" s="7" t="e">
        <v>#DIV/0!</v>
      </c>
      <c r="AZ242" s="7" t="e">
        <v>#DIV/0!</v>
      </c>
      <c r="BA242" s="7" t="e">
        <v>#DIV/0!</v>
      </c>
      <c r="BB242" s="7" t="e">
        <v>#DIV/0!</v>
      </c>
      <c r="BC242" s="7" t="e">
        <v>#DIV/0!</v>
      </c>
      <c r="BD242" s="7">
        <v>3.4676070848357575E-3</v>
      </c>
      <c r="BE242" s="7" t="e">
        <v>#DIV/0!</v>
      </c>
      <c r="BF242" s="7" t="e">
        <v>#DIV/0!</v>
      </c>
      <c r="BG242" s="7">
        <v>2.4658675753853471E-2</v>
      </c>
      <c r="BH242" s="8">
        <v>16.682832745571979</v>
      </c>
      <c r="BI242" s="6">
        <v>1.0382214803661292</v>
      </c>
      <c r="BJ242" s="7">
        <v>2.6515843800768715</v>
      </c>
      <c r="BK242" s="7">
        <v>0.32221727026312386</v>
      </c>
      <c r="BL242" s="7">
        <v>1.4800416055791099</v>
      </c>
      <c r="BM242" s="6">
        <v>0.461759559377105</v>
      </c>
      <c r="BN242" s="6">
        <v>0.80028856440939888</v>
      </c>
      <c r="BO242" s="6">
        <v>0.5734226077214547</v>
      </c>
      <c r="BP242" s="6">
        <v>0.10629052581527124</v>
      </c>
      <c r="BQ242" s="6">
        <v>0.68860346530914374</v>
      </c>
      <c r="BR242" s="6">
        <v>0.14432342361735095</v>
      </c>
      <c r="BS242" s="7">
        <v>0.42710513491051944</v>
      </c>
      <c r="BT242" s="7">
        <v>6.3313285697306473E-2</v>
      </c>
      <c r="BU242" s="6">
        <v>0.41381861948726084</v>
      </c>
      <c r="BV242" s="3">
        <v>5.8273766691762097E-2</v>
      </c>
      <c r="BW242" s="6">
        <v>0.37136973491302455</v>
      </c>
      <c r="BX242" s="6">
        <v>4.939961168126164E-2</v>
      </c>
      <c r="BY242" s="7">
        <v>0.13400958909537586</v>
      </c>
      <c r="BZ242" s="7">
        <v>4.3741312358838211</v>
      </c>
      <c r="CA242" s="7">
        <v>3.1733189364821492</v>
      </c>
      <c r="CB242" s="7" t="e">
        <v>#DIV/0!</v>
      </c>
      <c r="CC242" s="7" t="e">
        <v>#DIV/0!</v>
      </c>
      <c r="CD242" s="7" t="e">
        <v>#DIV/0!</v>
      </c>
      <c r="CE242" s="6">
        <v>0.14063690216745256</v>
      </c>
      <c r="CF242" s="6">
        <v>4.9989400483417205E-2</v>
      </c>
      <c r="CG242" s="6"/>
      <c r="CM242" s="6"/>
      <c r="CN242" s="175"/>
      <c r="CO242" s="175"/>
      <c r="CP242" s="175"/>
      <c r="CQ242" s="175"/>
      <c r="CR242" s="175"/>
      <c r="CS242" s="175"/>
      <c r="CT242" s="175"/>
      <c r="CU242" s="175"/>
      <c r="CV242" s="175"/>
      <c r="CW242" s="175"/>
      <c r="CX242" s="175"/>
      <c r="CY242" s="175"/>
      <c r="CZ242" s="175"/>
    </row>
    <row r="243" spans="1:132" s="36" customFormat="1" x14ac:dyDescent="0.2">
      <c r="A243" s="5" t="s">
        <v>1490</v>
      </c>
      <c r="H243" s="34">
        <v>44.669657153459561</v>
      </c>
      <c r="I243" s="34">
        <v>0.12314538795768742</v>
      </c>
      <c r="J243" s="34">
        <v>31.649303216720039</v>
      </c>
      <c r="K243" s="37">
        <v>5.4802851362681787E-2</v>
      </c>
      <c r="L243" s="34">
        <v>2.8459611572955055</v>
      </c>
      <c r="M243" s="37">
        <v>5.0759099326551524E-2</v>
      </c>
      <c r="N243" s="34">
        <v>2.852106615565063</v>
      </c>
      <c r="O243" s="72">
        <v>17.348345189715904</v>
      </c>
      <c r="P243" s="37">
        <v>0.31958165989090098</v>
      </c>
      <c r="Q243" s="37">
        <v>1.3245287035424396E-2</v>
      </c>
      <c r="R243" s="37">
        <v>5.9474115141383961E-2</v>
      </c>
      <c r="S243" s="37"/>
      <c r="T243" s="38">
        <f t="shared" si="6"/>
        <v>64.112061591496058</v>
      </c>
      <c r="U243" s="37"/>
      <c r="W243" s="34"/>
      <c r="X243" s="34"/>
      <c r="Y243" s="34"/>
      <c r="Z243" s="35">
        <v>370</v>
      </c>
      <c r="AA243" s="34"/>
      <c r="AB243" s="34"/>
      <c r="AC243" s="34"/>
      <c r="AD243" s="35">
        <v>170</v>
      </c>
      <c r="AE243" s="35">
        <v>0</v>
      </c>
      <c r="AF243" s="34"/>
      <c r="AG243" s="34"/>
      <c r="AH243" s="35">
        <v>0</v>
      </c>
      <c r="AI243" s="34">
        <v>5.3023584419701226</v>
      </c>
      <c r="AJ243" s="35">
        <v>376.21331774775138</v>
      </c>
      <c r="AK243" s="35">
        <v>0</v>
      </c>
      <c r="AL243" s="72">
        <v>9.4412281570709666</v>
      </c>
      <c r="AM243" s="35">
        <v>87.166290235236616</v>
      </c>
      <c r="AN243" s="35">
        <v>3.1247057891191501</v>
      </c>
      <c r="AO243" s="34">
        <v>2.4</v>
      </c>
      <c r="AP243" s="34"/>
      <c r="AQ243" s="34">
        <v>6.0407734675278373E-2</v>
      </c>
      <c r="AR243" s="34"/>
      <c r="AS243" s="34">
        <v>0.21430043190553552</v>
      </c>
      <c r="AT243" s="35">
        <v>0.52036692158338949</v>
      </c>
      <c r="AU243" s="35">
        <v>229.19808218092484</v>
      </c>
      <c r="AV243" s="34">
        <v>4.1196580328665462</v>
      </c>
      <c r="AW243" s="35">
        <v>9.3761540595157911</v>
      </c>
      <c r="AX243" s="34"/>
      <c r="AY243" s="34" t="e">
        <v>#DIV/0!</v>
      </c>
      <c r="AZ243" s="34"/>
      <c r="BA243" s="34"/>
      <c r="BB243" s="34"/>
      <c r="BC243" s="34"/>
      <c r="BD243" s="34">
        <v>3.4676070848357575E-3</v>
      </c>
      <c r="BE243" s="34"/>
      <c r="BF243" s="34"/>
      <c r="BG243" s="34">
        <v>2.4658675753853471E-2</v>
      </c>
      <c r="BH243" s="35">
        <v>16.682832745571979</v>
      </c>
      <c r="BI243" s="34">
        <v>1.0382214803661292</v>
      </c>
      <c r="BJ243" s="34">
        <v>2.6515843800768715</v>
      </c>
      <c r="BK243" s="158">
        <v>0.35093758266201769</v>
      </c>
      <c r="BL243" s="72">
        <v>1.4800416055791099</v>
      </c>
      <c r="BM243" s="34">
        <v>0.461759559377105</v>
      </c>
      <c r="BN243" s="34">
        <v>0.80028856440939888</v>
      </c>
      <c r="BO243" s="34">
        <v>0.5734226077214547</v>
      </c>
      <c r="BP243" s="34">
        <v>0.10629052581527124</v>
      </c>
      <c r="BQ243" s="34">
        <v>0.68860346530914374</v>
      </c>
      <c r="BR243" s="34">
        <v>0.14432342361735095</v>
      </c>
      <c r="BS243" s="34">
        <v>0.42710513491051944</v>
      </c>
      <c r="BT243" s="34">
        <v>6.3313285697306473E-2</v>
      </c>
      <c r="BU243" s="34">
        <v>0.41381861948726084</v>
      </c>
      <c r="BV243" s="37">
        <v>5.8273766691762097E-2</v>
      </c>
      <c r="BW243" s="34">
        <v>0.37136973491302455</v>
      </c>
      <c r="BX243" s="34">
        <v>4.939961168126164E-2</v>
      </c>
      <c r="BY243" s="34">
        <v>0.13400958909537586</v>
      </c>
      <c r="BZ243" s="72">
        <v>4.3741312358838211</v>
      </c>
      <c r="CA243" s="72">
        <v>3.1733189364821492</v>
      </c>
      <c r="CB243" s="34"/>
      <c r="CC243" s="34"/>
      <c r="CD243" s="34"/>
      <c r="CE243" s="34">
        <v>0.14063690216745256</v>
      </c>
      <c r="CF243" s="34">
        <v>4.9989400483417205E-2</v>
      </c>
      <c r="CG243" s="34"/>
      <c r="CH243" s="34"/>
      <c r="CI243" s="34"/>
      <c r="CR243" s="34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</row>
    <row r="244" spans="1:132" s="36" customFormat="1" x14ac:dyDescent="0.2">
      <c r="H244" s="34"/>
      <c r="I244" s="34"/>
      <c r="J244" s="34"/>
      <c r="K244" s="37"/>
      <c r="L244" s="34"/>
      <c r="M244" s="37"/>
      <c r="N244" s="34"/>
      <c r="O244" s="72"/>
      <c r="P244" s="37"/>
      <c r="Q244" s="37"/>
      <c r="R244" s="37"/>
      <c r="S244" s="37"/>
      <c r="T244" s="38" t="e">
        <f t="shared" si="6"/>
        <v>#DIV/0!</v>
      </c>
      <c r="U244" s="37"/>
      <c r="W244" s="34"/>
      <c r="X244" s="34"/>
      <c r="Y244" s="34"/>
      <c r="Z244" s="35"/>
      <c r="AA244" s="34"/>
      <c r="AB244" s="34"/>
      <c r="AC244" s="34"/>
      <c r="AD244" s="35"/>
      <c r="AE244" s="35"/>
      <c r="AF244" s="34"/>
      <c r="AG244" s="34"/>
      <c r="AH244" s="35"/>
      <c r="AI244" s="34"/>
      <c r="AJ244" s="35"/>
      <c r="AK244" s="35"/>
      <c r="AL244" s="72"/>
      <c r="AM244" s="35"/>
      <c r="AN244" s="35"/>
      <c r="AO244" s="34"/>
      <c r="AP244" s="34"/>
      <c r="AQ244" s="34"/>
      <c r="AR244" s="34"/>
      <c r="AS244" s="34"/>
      <c r="AT244" s="35"/>
      <c r="AU244" s="35"/>
      <c r="AV244" s="34"/>
      <c r="AW244" s="35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5"/>
      <c r="BI244" s="34"/>
      <c r="BJ244" s="34"/>
      <c r="BK244" s="158"/>
      <c r="BL244" s="72"/>
      <c r="BM244" s="34"/>
      <c r="BN244" s="34"/>
      <c r="BO244" s="34"/>
      <c r="BP244" s="34"/>
      <c r="BQ244" s="34"/>
      <c r="BR244" s="34"/>
      <c r="BS244" s="34"/>
      <c r="BT244" s="34"/>
      <c r="BU244" s="34"/>
      <c r="BV244" s="37"/>
      <c r="BW244" s="34"/>
      <c r="BX244" s="34"/>
      <c r="BY244" s="34"/>
      <c r="BZ244" s="72"/>
      <c r="CA244" s="72"/>
      <c r="CB244" s="34"/>
      <c r="CC244" s="34"/>
      <c r="CD244" s="34"/>
      <c r="CE244" s="34"/>
      <c r="CF244" s="34"/>
      <c r="CG244" s="34"/>
      <c r="CH244" s="34"/>
      <c r="CI244" s="34"/>
      <c r="CR244" s="3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</row>
    <row r="245" spans="1:132" s="50" customFormat="1" x14ac:dyDescent="0.2">
      <c r="A245" s="50" t="s">
        <v>506</v>
      </c>
      <c r="D245" s="50" t="s">
        <v>1282</v>
      </c>
      <c r="E245" s="41" t="s">
        <v>1288</v>
      </c>
      <c r="F245" s="38"/>
      <c r="H245" s="440">
        <v>44.4</v>
      </c>
      <c r="I245" s="38">
        <v>0.19</v>
      </c>
      <c r="J245" s="38">
        <v>30.7</v>
      </c>
      <c r="K245" s="49">
        <v>0.04</v>
      </c>
      <c r="L245" s="38">
        <v>3.4</v>
      </c>
      <c r="M245" s="49">
        <v>0.05</v>
      </c>
      <c r="N245" s="38">
        <v>2.5299999999999998</v>
      </c>
      <c r="O245" s="39">
        <v>18.2</v>
      </c>
      <c r="P245" s="49">
        <v>0.39</v>
      </c>
      <c r="Q245" s="49">
        <v>0.06</v>
      </c>
      <c r="R245" s="49">
        <v>0.06</v>
      </c>
      <c r="T245" s="38">
        <f t="shared" si="6"/>
        <v>57.016345906346594</v>
      </c>
      <c r="AC245" s="55"/>
      <c r="AD245" s="76"/>
      <c r="AE245" s="38"/>
      <c r="AI245" s="38">
        <v>5.6</v>
      </c>
      <c r="AJ245" s="76">
        <v>287</v>
      </c>
      <c r="AL245" s="39">
        <v>9.1</v>
      </c>
      <c r="AM245" s="76">
        <v>170</v>
      </c>
      <c r="AN245" s="76"/>
      <c r="AO245" s="39"/>
      <c r="AQ245" s="38"/>
      <c r="AR245" s="38"/>
      <c r="AS245" s="38"/>
      <c r="AT245" s="76"/>
      <c r="AU245" s="76">
        <v>220</v>
      </c>
      <c r="AW245" s="76">
        <v>25</v>
      </c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76">
        <v>25</v>
      </c>
      <c r="BI245" s="38">
        <v>1.6</v>
      </c>
      <c r="BJ245" s="50">
        <v>3.3</v>
      </c>
      <c r="BK245" s="51">
        <v>0.45507705054307068</v>
      </c>
      <c r="BL245" s="39">
        <v>2</v>
      </c>
      <c r="BM245" s="38">
        <v>0.6</v>
      </c>
      <c r="BN245" s="38">
        <v>0.8</v>
      </c>
      <c r="BO245" s="51">
        <v>0.74288451993351545</v>
      </c>
      <c r="BP245" s="38">
        <v>0.14000000000000001</v>
      </c>
      <c r="BQ245" s="74">
        <v>0.85864425128921673</v>
      </c>
      <c r="BR245" s="74">
        <v>0.1870289802447942</v>
      </c>
      <c r="BS245" s="52">
        <v>0.50824336329065611</v>
      </c>
      <c r="BT245" s="53">
        <v>7.3603755936483689E-2</v>
      </c>
      <c r="BU245" s="50">
        <v>0.47</v>
      </c>
      <c r="BV245" s="49">
        <v>0.08</v>
      </c>
      <c r="BW245" s="38">
        <v>0.49</v>
      </c>
      <c r="BX245" s="38" t="s">
        <v>1286</v>
      </c>
      <c r="BZ245" s="39">
        <v>9.9</v>
      </c>
      <c r="CA245" s="39">
        <v>5</v>
      </c>
      <c r="CE245" s="38">
        <v>0.36</v>
      </c>
      <c r="CF245" s="38">
        <v>0.2</v>
      </c>
      <c r="CI245" s="29">
        <v>0.65297231008326906</v>
      </c>
      <c r="CJ245" s="41">
        <v>0.7725245106753067</v>
      </c>
      <c r="CK245" s="29">
        <v>0.80315673904197071</v>
      </c>
      <c r="CL245"/>
      <c r="CM245" s="30">
        <v>0.6</v>
      </c>
      <c r="CN245" s="29"/>
      <c r="CO245" s="29"/>
      <c r="CP245" s="29"/>
      <c r="CQ245" s="29"/>
      <c r="CR245" s="30">
        <v>0.74411764705882344</v>
      </c>
      <c r="CS245" s="29">
        <v>1.4705882352941178E-2</v>
      </c>
      <c r="CT245" s="29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</row>
    <row r="246" spans="1:132" s="50" customFormat="1" x14ac:dyDescent="0.2">
      <c r="E246" s="76"/>
      <c r="F246" s="38"/>
      <c r="H246" s="440"/>
      <c r="I246" s="38"/>
      <c r="J246" s="38"/>
      <c r="K246" s="32">
        <v>4.194792E-2</v>
      </c>
      <c r="L246" s="38"/>
      <c r="M246" s="49"/>
      <c r="N246" s="38"/>
      <c r="O246" s="39"/>
      <c r="P246" s="49"/>
      <c r="Q246" s="49"/>
      <c r="R246" s="49"/>
      <c r="T246" s="38" t="e">
        <f t="shared" si="6"/>
        <v>#DIV/0!</v>
      </c>
      <c r="AC246" s="55"/>
      <c r="AD246" s="76"/>
      <c r="AE246" s="38"/>
      <c r="AI246" s="38"/>
      <c r="AJ246" s="76"/>
      <c r="AL246" s="39"/>
      <c r="AM246" s="76"/>
      <c r="AN246" s="76"/>
      <c r="AO246" s="39"/>
      <c r="AQ246" s="38"/>
      <c r="AR246" s="38"/>
      <c r="AS246" s="38"/>
      <c r="AT246" s="76"/>
      <c r="AU246" s="76"/>
      <c r="AW246" s="76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76"/>
      <c r="BI246" s="38"/>
      <c r="BK246" s="51"/>
      <c r="BL246" s="39"/>
      <c r="BM246" s="38"/>
      <c r="BN246" s="38"/>
      <c r="BO246" s="51"/>
      <c r="BP246" s="38"/>
      <c r="BQ246" s="74"/>
      <c r="BR246" s="74"/>
      <c r="BS246" s="52"/>
      <c r="BT246" s="53"/>
      <c r="BV246" s="49"/>
      <c r="BW246" s="38"/>
      <c r="BX246" s="38"/>
      <c r="BZ246" s="39"/>
      <c r="CA246" s="39"/>
      <c r="CE246" s="38"/>
      <c r="CF246" s="38"/>
      <c r="CI246" s="29"/>
      <c r="CJ246" s="41"/>
      <c r="CK246" s="29"/>
      <c r="CL246"/>
      <c r="CM246" s="30"/>
      <c r="CN246" s="29"/>
      <c r="CO246" s="29"/>
      <c r="CP246" s="29"/>
      <c r="CQ246" s="29"/>
      <c r="CR246" s="30"/>
      <c r="CS246" s="29"/>
      <c r="CT246" s="29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</row>
    <row r="247" spans="1:132" x14ac:dyDescent="0.2">
      <c r="A247" t="s">
        <v>506</v>
      </c>
      <c r="D247" t="s">
        <v>700</v>
      </c>
      <c r="E247" s="31">
        <v>40504</v>
      </c>
      <c r="F247" s="30"/>
      <c r="H247" s="440">
        <v>44.033034453074855</v>
      </c>
      <c r="I247" s="38">
        <v>0.18814302842331143</v>
      </c>
      <c r="J247" s="38">
        <v>30.192687238461566</v>
      </c>
      <c r="K247" s="49">
        <v>6.7192364004442756E-2</v>
      </c>
      <c r="L247" s="38">
        <v>3.5748103447797694</v>
      </c>
      <c r="M247" s="49">
        <v>5.5093356605751466E-2</v>
      </c>
      <c r="N247" s="38">
        <v>3.3470278787036243</v>
      </c>
      <c r="O247" s="39">
        <v>18.060246994354298</v>
      </c>
      <c r="P247" s="49">
        <v>0.35171800902849465</v>
      </c>
      <c r="Q247" s="49">
        <v>3.0370191577292469E-2</v>
      </c>
      <c r="R247" s="49">
        <v>2.9524284271222972E-2</v>
      </c>
      <c r="S247" s="50"/>
      <c r="T247" s="38">
        <f t="shared" si="6"/>
        <v>62.533022850630076</v>
      </c>
      <c r="U247" s="50"/>
      <c r="W247" s="50"/>
      <c r="X247" s="50"/>
      <c r="Y247" s="50"/>
      <c r="Z247" s="50"/>
      <c r="AA247" s="50"/>
      <c r="AB247" s="50"/>
      <c r="AC247" s="55"/>
      <c r="AD247" s="76"/>
      <c r="AE247" s="38"/>
      <c r="AF247" s="50"/>
      <c r="AG247" s="50">
        <v>98.829796067518288</v>
      </c>
      <c r="AJ247" s="76"/>
      <c r="CS247" s="63"/>
      <c r="CT247" s="63"/>
    </row>
    <row r="248" spans="1:132" x14ac:dyDescent="0.2">
      <c r="A248" t="s">
        <v>506</v>
      </c>
      <c r="D248" t="s">
        <v>1093</v>
      </c>
      <c r="E248">
        <v>102.83</v>
      </c>
      <c r="F248" s="33"/>
      <c r="H248" s="6"/>
      <c r="I248"/>
      <c r="J248"/>
      <c r="K248" s="32">
        <v>6.7192364004442756E-2</v>
      </c>
      <c r="L248" s="6">
        <v>3.5748103447797694</v>
      </c>
      <c r="M248"/>
      <c r="N248"/>
      <c r="O248" s="7">
        <v>17.751482616100958</v>
      </c>
      <c r="P248" s="3">
        <v>0.35171800902849465</v>
      </c>
      <c r="Q248" s="49"/>
      <c r="T248" s="38">
        <f t="shared" si="6"/>
        <v>0</v>
      </c>
      <c r="V248" s="33"/>
      <c r="Z248" s="8"/>
      <c r="AD248" s="31"/>
      <c r="AI248" s="30">
        <v>6.9156436677489186</v>
      </c>
      <c r="AJ248" s="8">
        <v>459.71787085688806</v>
      </c>
      <c r="AL248" s="33">
        <v>10.957524279401218</v>
      </c>
      <c r="AM248" s="76">
        <v>102.51006116905938</v>
      </c>
      <c r="AN248" s="31">
        <v>4.289635491368708</v>
      </c>
      <c r="AQ248" s="30">
        <v>0.1217751559496779</v>
      </c>
      <c r="AR248" s="30">
        <v>0.24421216661761949</v>
      </c>
      <c r="AS248" s="30">
        <v>0.23289225801120617</v>
      </c>
      <c r="AT248" s="31">
        <v>0.1</v>
      </c>
      <c r="AU248" s="31">
        <v>279.0770790281249</v>
      </c>
      <c r="AV248" s="54"/>
      <c r="AW248" s="31">
        <v>24.601942446558123</v>
      </c>
      <c r="BD248" s="30">
        <v>7.0326355900640816E-3</v>
      </c>
      <c r="BG248" s="30">
        <v>2.9929357491103325E-2</v>
      </c>
      <c r="BH248" s="46">
        <v>42.381439334857532</v>
      </c>
      <c r="BI248" s="30">
        <v>2.0264334302300817</v>
      </c>
      <c r="BJ248" s="39">
        <v>5.1393847666873782</v>
      </c>
      <c r="BK248" s="51">
        <v>0.65622137102469591</v>
      </c>
      <c r="BL248" s="33">
        <v>3.0773151084910002</v>
      </c>
      <c r="BM248" s="30">
        <v>0.89996539338503512</v>
      </c>
      <c r="BN248" s="30">
        <v>0.776263191727254</v>
      </c>
      <c r="BO248" s="51">
        <v>1.1182505637533187</v>
      </c>
      <c r="BP248" s="30">
        <v>0.20658161340712075</v>
      </c>
      <c r="BQ248" s="74">
        <v>1.3191015007386759</v>
      </c>
      <c r="BR248" s="74">
        <v>0.29199736833818735</v>
      </c>
      <c r="BS248" s="52">
        <v>0.80635474511226768</v>
      </c>
      <c r="BT248" s="53">
        <v>0.11866376213394123</v>
      </c>
      <c r="BU248" s="30">
        <v>0.76994376492604744</v>
      </c>
      <c r="BV248" s="32">
        <v>0.10861920953752904</v>
      </c>
      <c r="BW248" s="30">
        <v>0.66209783493853158</v>
      </c>
      <c r="BX248" s="30">
        <v>8.5901755295518495E-2</v>
      </c>
      <c r="BY248">
        <v>4.5476395853323248E-2</v>
      </c>
      <c r="BZ248" s="33">
        <v>9.4871800734771483</v>
      </c>
      <c r="CA248" s="33">
        <v>3.5632323991243524</v>
      </c>
      <c r="CE248" s="30">
        <v>0.39342801979650316</v>
      </c>
      <c r="CF248" s="30">
        <v>0.15122217745978739</v>
      </c>
      <c r="CG248" s="30"/>
      <c r="CI248" s="29">
        <v>1.0479829199094055</v>
      </c>
      <c r="CJ248" s="41">
        <v>1.146163782128961</v>
      </c>
      <c r="CK248" s="29">
        <v>1.1606049892215893</v>
      </c>
      <c r="CM248" s="30">
        <v>0.43715905376839481</v>
      </c>
      <c r="CN248" s="29"/>
      <c r="CO248" s="29"/>
      <c r="CP248" s="29"/>
      <c r="CQ248" s="29"/>
      <c r="CR248" s="30"/>
      <c r="CS248" s="29">
        <v>0</v>
      </c>
      <c r="CT248" s="29"/>
      <c r="CU248" s="29"/>
      <c r="CV248" s="29"/>
      <c r="CW248" s="29"/>
      <c r="CX248" s="29"/>
      <c r="CY248" s="29"/>
      <c r="CZ248" s="29"/>
    </row>
    <row r="249" spans="1:132" x14ac:dyDescent="0.2">
      <c r="A249" s="5" t="s">
        <v>1489</v>
      </c>
      <c r="E249" s="31"/>
      <c r="F249" s="34">
        <v>99.876646537585671</v>
      </c>
      <c r="H249" s="34">
        <v>44.216517226537427</v>
      </c>
      <c r="I249" s="34">
        <v>0.18907151421165572</v>
      </c>
      <c r="J249" s="34">
        <v>30.446343619230781</v>
      </c>
      <c r="K249" s="37">
        <v>5.8777549336295171E-2</v>
      </c>
      <c r="L249" s="34">
        <v>3.5165402298531796</v>
      </c>
      <c r="M249" s="37">
        <v>5.2546678302875738E-2</v>
      </c>
      <c r="N249" s="34">
        <v>2.9385139393518118</v>
      </c>
      <c r="O249" s="72">
        <v>18.003909870151752</v>
      </c>
      <c r="P249" s="37">
        <v>0.36447867268566309</v>
      </c>
      <c r="Q249" s="37">
        <v>4.5185095788646233E-2</v>
      </c>
      <c r="R249" s="37">
        <v>4.4762142135611485E-2</v>
      </c>
      <c r="S249" s="36"/>
      <c r="T249" s="38">
        <f t="shared" si="6"/>
        <v>59.83273583583658</v>
      </c>
      <c r="U249" s="36"/>
      <c r="W249" s="36"/>
      <c r="X249" s="36"/>
      <c r="Y249" s="36"/>
      <c r="Z249" s="8">
        <v>406.97402345577257</v>
      </c>
      <c r="AA249" s="36"/>
      <c r="AB249" s="36"/>
      <c r="AC249" s="36"/>
      <c r="AD249" s="31">
        <v>375.08148014155239</v>
      </c>
      <c r="AE249" s="36"/>
      <c r="AF249" s="36"/>
      <c r="AG249" s="36"/>
      <c r="AH249" s="36"/>
      <c r="AI249" s="34">
        <v>6.2578218338744591</v>
      </c>
      <c r="AJ249" s="35">
        <v>373.35893542844406</v>
      </c>
      <c r="AK249" s="36"/>
      <c r="AL249" s="72">
        <v>10.028762139700609</v>
      </c>
      <c r="AM249" s="35">
        <v>136.25503058452969</v>
      </c>
      <c r="AN249" s="35">
        <v>4.289635491368708</v>
      </c>
      <c r="AO249" s="72"/>
      <c r="AP249" s="36"/>
      <c r="AQ249" s="34">
        <v>0.1217751559496779</v>
      </c>
      <c r="AR249" s="34"/>
      <c r="AS249" s="34"/>
      <c r="AT249" s="35">
        <v>0.1</v>
      </c>
      <c r="AU249" s="35">
        <v>249.53853951406245</v>
      </c>
      <c r="AV249" s="36"/>
      <c r="AW249" s="35">
        <v>24.800971223279063</v>
      </c>
      <c r="AX249" s="34"/>
      <c r="AY249" s="34"/>
      <c r="AZ249" s="34"/>
      <c r="BA249" s="34"/>
      <c r="BB249" s="34"/>
      <c r="BC249" s="34"/>
      <c r="BD249" s="34">
        <v>7.0326355900640816E-3</v>
      </c>
      <c r="BE249" s="34"/>
      <c r="BF249" s="34"/>
      <c r="BG249" s="34">
        <v>2.9929357491103325E-2</v>
      </c>
      <c r="BH249" s="35">
        <v>33.690719667428766</v>
      </c>
      <c r="BI249" s="34">
        <v>1.8132167151150409</v>
      </c>
      <c r="BJ249" s="34">
        <v>4.2196923833436895</v>
      </c>
      <c r="BK249" s="34"/>
      <c r="BL249" s="72">
        <v>2.5386575542454999</v>
      </c>
      <c r="BM249" s="34">
        <v>0.7499826966925176</v>
      </c>
      <c r="BN249" s="34">
        <v>0.78813159586362702</v>
      </c>
      <c r="BO249" s="34"/>
      <c r="BP249" s="34">
        <v>0.1732908067035604</v>
      </c>
      <c r="BQ249" s="37"/>
      <c r="BR249" s="37"/>
      <c r="BS249" s="37"/>
      <c r="BT249" s="37"/>
      <c r="BU249" s="37">
        <v>0.6199718824630237</v>
      </c>
      <c r="BV249" s="37">
        <v>9.4309604768764516E-2</v>
      </c>
      <c r="BW249" s="34">
        <v>0.57604891746926579</v>
      </c>
      <c r="BX249" s="34">
        <v>8.5901755295518495E-2</v>
      </c>
      <c r="BY249" s="36"/>
      <c r="BZ249" s="72">
        <v>9.6935900367385734</v>
      </c>
      <c r="CA249" s="72">
        <v>4.2816161995621762</v>
      </c>
      <c r="CB249" s="36"/>
      <c r="CC249" s="36"/>
      <c r="CD249" s="36"/>
      <c r="CE249" s="34">
        <v>0.37671400989825155</v>
      </c>
      <c r="CF249" s="34">
        <v>0.1756110887298937</v>
      </c>
      <c r="CS249" s="134">
        <v>1.4942720648206443E-2</v>
      </c>
      <c r="CT249" s="134"/>
      <c r="CU249">
        <v>2.0002474226567916E-2</v>
      </c>
    </row>
    <row r="250" spans="1:132" x14ac:dyDescent="0.2">
      <c r="T250" s="38" t="e">
        <f t="shared" si="6"/>
        <v>#DIV/0!</v>
      </c>
      <c r="CM250" s="30"/>
    </row>
    <row r="251" spans="1:132" x14ac:dyDescent="0.2">
      <c r="A251" t="s">
        <v>860</v>
      </c>
      <c r="B251">
        <v>1</v>
      </c>
      <c r="D251" t="s">
        <v>700</v>
      </c>
      <c r="E251" s="31"/>
      <c r="F251" s="30"/>
      <c r="H251" s="440">
        <v>44.226603939008385</v>
      </c>
      <c r="I251" s="38">
        <v>8.2668541050661737E-2</v>
      </c>
      <c r="J251" s="38">
        <v>33.017827721769322</v>
      </c>
      <c r="K251" s="49">
        <v>4.7166170261879622E-2</v>
      </c>
      <c r="L251" s="38">
        <v>2.4981312478000706</v>
      </c>
      <c r="M251" s="49">
        <v>3.913801939469691E-2</v>
      </c>
      <c r="N251" s="38">
        <v>2.1782738636575849</v>
      </c>
      <c r="O251" s="39">
        <v>17.951136362874081</v>
      </c>
      <c r="P251" s="49">
        <v>0.32767137451601547</v>
      </c>
      <c r="Q251" s="49">
        <v>1.0550920560773641E-2</v>
      </c>
      <c r="R251" s="49">
        <v>6.4991821456334281E-3</v>
      </c>
      <c r="S251" s="50"/>
      <c r="T251" s="38">
        <f t="shared" si="6"/>
        <v>60.851253758091921</v>
      </c>
      <c r="U251" s="50"/>
      <c r="W251" s="50"/>
      <c r="X251" s="50"/>
      <c r="Y251" s="50"/>
      <c r="Z251" s="50"/>
      <c r="AA251" s="50"/>
      <c r="AB251" s="50"/>
      <c r="AC251" s="55"/>
      <c r="AD251" s="76"/>
      <c r="AE251" s="38"/>
      <c r="AF251" s="50"/>
      <c r="AG251" s="50">
        <v>98.829796067518288</v>
      </c>
      <c r="AJ251" s="76"/>
      <c r="CS251" s="63"/>
      <c r="CT251" s="63"/>
    </row>
    <row r="252" spans="1:132" x14ac:dyDescent="0.2">
      <c r="A252" t="s">
        <v>860</v>
      </c>
      <c r="B252">
        <v>2</v>
      </c>
      <c r="E252" s="31"/>
      <c r="F252" s="30"/>
      <c r="H252" s="440"/>
      <c r="I252" s="48"/>
      <c r="J252" s="48"/>
      <c r="K252" s="45"/>
      <c r="L252" s="48"/>
      <c r="M252" s="45"/>
      <c r="N252" s="48"/>
      <c r="O252" s="79"/>
      <c r="P252" s="45"/>
      <c r="Q252" s="45"/>
      <c r="T252" s="38" t="e">
        <f t="shared" si="6"/>
        <v>#DIV/0!</v>
      </c>
      <c r="AC252" s="63"/>
      <c r="AD252" s="31"/>
      <c r="AE252" s="48"/>
      <c r="CS252" s="63"/>
      <c r="CT252" s="63"/>
    </row>
    <row r="253" spans="1:132" x14ac:dyDescent="0.2">
      <c r="A253" t="s">
        <v>860</v>
      </c>
      <c r="B253">
        <v>3</v>
      </c>
      <c r="D253" t="s">
        <v>1250</v>
      </c>
      <c r="E253" s="31">
        <v>227.28</v>
      </c>
      <c r="F253" s="33"/>
      <c r="H253" s="6"/>
      <c r="I253"/>
      <c r="J253"/>
      <c r="K253" s="32">
        <v>4.7166170261879622E-2</v>
      </c>
      <c r="L253" s="6">
        <v>2.4981312478000706</v>
      </c>
      <c r="M253"/>
      <c r="N253"/>
      <c r="O253" s="7">
        <v>17.550398627243929</v>
      </c>
      <c r="P253" s="3">
        <v>0.32767137451601547</v>
      </c>
      <c r="Q253" s="49">
        <v>1.2438401971136926E-2</v>
      </c>
      <c r="T253" s="38">
        <f t="shared" si="6"/>
        <v>0</v>
      </c>
      <c r="V253" s="33"/>
      <c r="Z253" s="8"/>
      <c r="AD253" s="31"/>
      <c r="AI253" s="30">
        <v>4.4546052886307645</v>
      </c>
      <c r="AJ253" s="8">
        <v>322.70231432594159</v>
      </c>
      <c r="AL253" s="33">
        <v>6.8966791182682172</v>
      </c>
      <c r="AM253" s="76">
        <v>49.459301302358334</v>
      </c>
      <c r="AN253" s="31">
        <v>4.4091121084125318</v>
      </c>
      <c r="AQ253" s="30">
        <v>1.7873548046462514E-2</v>
      </c>
      <c r="AR253" s="30">
        <v>7.7636395635339681E-2</v>
      </c>
      <c r="AS253" s="30">
        <v>0.13443752199929607</v>
      </c>
      <c r="AT253" s="31">
        <v>0</v>
      </c>
      <c r="AU253" s="31">
        <v>169.19359380499827</v>
      </c>
      <c r="AV253" s="54">
        <v>2.9713165971985034</v>
      </c>
      <c r="AW253" s="31">
        <v>8.3159538894755389</v>
      </c>
      <c r="AZ253" s="30">
        <v>0</v>
      </c>
      <c r="BD253" s="30">
        <v>2.4764607532558958E-3</v>
      </c>
      <c r="BG253" s="30">
        <v>7.131291798662444E-3</v>
      </c>
      <c r="BH253" s="46">
        <v>12.508333333333336</v>
      </c>
      <c r="BI253" s="30">
        <v>0.63141468673002465</v>
      </c>
      <c r="BJ253" s="40">
        <v>1.70450193593805</v>
      </c>
      <c r="BK253" s="51">
        <v>0.23949925770590524</v>
      </c>
      <c r="BL253" s="33">
        <v>1.2155183034142911</v>
      </c>
      <c r="BM253" s="30">
        <v>0.32214329901443162</v>
      </c>
      <c r="BN253" s="30">
        <v>0.76099586413234777</v>
      </c>
      <c r="BO253" s="51">
        <v>0.39555862946810744</v>
      </c>
      <c r="BP253" s="30">
        <v>7.1049678810278086E-2</v>
      </c>
      <c r="BQ253" s="74">
        <v>0.47588245761353776</v>
      </c>
      <c r="BR253" s="74">
        <v>0.10692972426873611</v>
      </c>
      <c r="BS253" s="52">
        <v>0.29974289865641746</v>
      </c>
      <c r="BT253" s="53">
        <v>4.4776416832315667E-2</v>
      </c>
      <c r="BU253" s="30">
        <v>0.29491979056670198</v>
      </c>
      <c r="BV253" s="32">
        <v>4.1431010207673355E-2</v>
      </c>
      <c r="BW253" s="30">
        <v>0.23573746040126714</v>
      </c>
      <c r="BX253" s="30">
        <v>2.9148451249560021E-2</v>
      </c>
      <c r="BY253">
        <v>1.8465329109468499E-2</v>
      </c>
      <c r="BZ253" s="33">
        <v>2.5180574621612108</v>
      </c>
      <c r="CA253" s="33">
        <v>0.69436378035902857</v>
      </c>
      <c r="CE253" s="30">
        <v>8.3511527631115828E-2</v>
      </c>
      <c r="CF253" s="30">
        <v>2.3916974656810985E-2</v>
      </c>
      <c r="CG253" s="30"/>
      <c r="CI253" s="29">
        <v>0.39652801725116865</v>
      </c>
      <c r="CJ253" s="41">
        <v>0.39948692647002632</v>
      </c>
      <c r="CK253" s="29">
        <v>0.39066094468312718</v>
      </c>
      <c r="CL253" s="29"/>
      <c r="CM253" s="30"/>
      <c r="CN253" s="29"/>
      <c r="CO253" s="29"/>
      <c r="CP253" s="29"/>
      <c r="CQ253" s="29"/>
      <c r="CR253" s="30"/>
      <c r="CS253" s="29"/>
      <c r="CT253" s="29"/>
      <c r="CU253" s="29"/>
      <c r="CV253" s="29"/>
      <c r="CW253" s="29"/>
      <c r="CX253" s="29"/>
      <c r="CY253" s="29"/>
      <c r="CZ253" s="29"/>
    </row>
    <row r="254" spans="1:132" x14ac:dyDescent="0.2">
      <c r="A254" s="36" t="s">
        <v>860</v>
      </c>
      <c r="E254" s="31"/>
      <c r="F254" s="34">
        <v>100.17974303378357</v>
      </c>
      <c r="H254" s="34">
        <v>44.226603939008385</v>
      </c>
      <c r="I254" s="34">
        <v>8.2668541050661737E-2</v>
      </c>
      <c r="J254" s="34">
        <v>33.017827721769322</v>
      </c>
      <c r="K254" s="37">
        <v>4.7166170261879622E-2</v>
      </c>
      <c r="L254" s="34">
        <v>2.4981312478000706</v>
      </c>
      <c r="M254" s="37">
        <v>3.913801939469691E-2</v>
      </c>
      <c r="N254" s="34">
        <v>2.1782738636575849</v>
      </c>
      <c r="O254" s="72">
        <v>17.750767495059005</v>
      </c>
      <c r="P254" s="37">
        <v>0.32767137451601547</v>
      </c>
      <c r="Q254" s="37">
        <v>1.1494661265955284E-2</v>
      </c>
      <c r="R254" s="37"/>
      <c r="S254" s="36"/>
      <c r="T254" s="38">
        <f t="shared" si="6"/>
        <v>60.851253758091921</v>
      </c>
      <c r="U254" s="36"/>
      <c r="W254" s="36"/>
      <c r="X254" s="36"/>
      <c r="Y254" s="36"/>
      <c r="Z254" s="8">
        <v>303.12396021192757</v>
      </c>
      <c r="AA254" s="36"/>
      <c r="AB254" s="36"/>
      <c r="AC254" s="36"/>
      <c r="AD254" s="31">
        <v>95.417183168694805</v>
      </c>
      <c r="AE254" s="36"/>
      <c r="AF254" s="36"/>
      <c r="AG254" s="36"/>
      <c r="AH254" s="36"/>
      <c r="AI254" s="34">
        <v>4.4546052886307645</v>
      </c>
      <c r="AJ254" s="35">
        <v>322.70231432594159</v>
      </c>
      <c r="AK254" s="36"/>
      <c r="AL254" s="72">
        <v>6.8966791182682172</v>
      </c>
      <c r="AM254" s="35">
        <v>49.459301302358334</v>
      </c>
      <c r="AN254" s="35">
        <v>4.4091121084125318</v>
      </c>
      <c r="AO254" s="72"/>
      <c r="AP254" s="36"/>
      <c r="AQ254" s="34">
        <v>1.7873548046462514E-2</v>
      </c>
      <c r="AR254" s="34"/>
      <c r="AS254" s="34"/>
      <c r="AT254" s="35">
        <v>0</v>
      </c>
      <c r="AU254" s="35">
        <v>169.19359380499827</v>
      </c>
      <c r="AV254" s="36"/>
      <c r="AW254" s="35">
        <v>8.3159538894755389</v>
      </c>
      <c r="AX254" s="34"/>
      <c r="AY254" s="34"/>
      <c r="AZ254" s="34"/>
      <c r="BA254" s="34"/>
      <c r="BB254" s="34"/>
      <c r="BC254" s="34"/>
      <c r="BD254" s="34">
        <v>2.4764607532558958E-3</v>
      </c>
      <c r="BE254" s="34"/>
      <c r="BF254" s="34"/>
      <c r="BG254" s="34">
        <v>7.131291798662444E-3</v>
      </c>
      <c r="BH254" s="35">
        <v>12.508333333333336</v>
      </c>
      <c r="BI254" s="34">
        <v>0.63141468673002465</v>
      </c>
      <c r="BJ254" s="34">
        <v>1.70450193593805</v>
      </c>
      <c r="BK254" s="34">
        <v>0.23949925770590524</v>
      </c>
      <c r="BL254" s="72">
        <v>1.2155183034142911</v>
      </c>
      <c r="BM254" s="34">
        <v>0.32214329901443162</v>
      </c>
      <c r="BN254" s="34">
        <v>0.76099586413234777</v>
      </c>
      <c r="BO254" s="34">
        <v>0.39555862946810744</v>
      </c>
      <c r="BP254" s="34">
        <v>7.1049678810278086E-2</v>
      </c>
      <c r="BQ254" s="34">
        <v>0.47588245761353776</v>
      </c>
      <c r="BR254" s="34">
        <v>0.10692972426873611</v>
      </c>
      <c r="BS254" s="34">
        <v>0.29974289865641746</v>
      </c>
      <c r="BT254" s="34">
        <v>4.4776416832315667E-2</v>
      </c>
      <c r="BU254" s="37">
        <v>0.29491979056670198</v>
      </c>
      <c r="BV254" s="37">
        <v>4.1431010207673355E-2</v>
      </c>
      <c r="BW254" s="34">
        <v>0.23573746040126714</v>
      </c>
      <c r="BX254" s="34">
        <v>2.9148451249560021E-2</v>
      </c>
      <c r="BY254" s="36"/>
      <c r="BZ254" s="72">
        <v>2.5180574621612108</v>
      </c>
      <c r="CA254" s="72">
        <v>0.69436378035902857</v>
      </c>
      <c r="CB254" s="36"/>
      <c r="CC254" s="36"/>
      <c r="CD254" s="36"/>
      <c r="CE254" s="34">
        <v>8.3511527631115828E-2</v>
      </c>
      <c r="CF254" s="34">
        <v>2.3916974656810985E-2</v>
      </c>
      <c r="CS254" s="134">
        <v>1.5666918793463325E-2</v>
      </c>
      <c r="CT254" s="134"/>
      <c r="CU254">
        <v>2.1653002888572481E-2</v>
      </c>
    </row>
    <row r="255" spans="1:132" x14ac:dyDescent="0.2">
      <c r="A255" s="36"/>
      <c r="E255" s="31"/>
      <c r="F255" s="34"/>
      <c r="H255" s="34"/>
      <c r="I255" s="34"/>
      <c r="J255" s="34"/>
      <c r="K255" s="37"/>
      <c r="L255" s="34"/>
      <c r="M255" s="37"/>
      <c r="N255" s="34"/>
      <c r="O255" s="72"/>
      <c r="P255" s="37"/>
      <c r="Q255" s="37"/>
      <c r="R255" s="37"/>
      <c r="S255" s="36"/>
      <c r="T255" s="38" t="e">
        <f t="shared" si="6"/>
        <v>#DIV/0!</v>
      </c>
      <c r="U255" s="36"/>
      <c r="W255" s="36"/>
      <c r="X255" s="36"/>
      <c r="Y255" s="36"/>
      <c r="Z255" s="8"/>
      <c r="AA255" s="36"/>
      <c r="AB255" s="36"/>
      <c r="AC255" s="36"/>
      <c r="AD255" s="31"/>
      <c r="AE255" s="36"/>
      <c r="AF255" s="36"/>
      <c r="AG255" s="36"/>
      <c r="AH255" s="36"/>
      <c r="AI255" s="34"/>
      <c r="AJ255" s="35"/>
      <c r="AK255" s="36"/>
      <c r="AL255" s="72"/>
      <c r="AM255" s="35"/>
      <c r="AN255" s="35"/>
      <c r="AO255" s="72"/>
      <c r="AP255" s="36"/>
      <c r="AQ255" s="34"/>
      <c r="AR255" s="34"/>
      <c r="AS255" s="34"/>
      <c r="AT255" s="35"/>
      <c r="AU255" s="35"/>
      <c r="AV255" s="36"/>
      <c r="AW255" s="35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5"/>
      <c r="BI255" s="34"/>
      <c r="BJ255" s="34"/>
      <c r="BK255" s="34"/>
      <c r="BL255" s="72"/>
      <c r="BM255" s="34"/>
      <c r="BN255" s="34"/>
      <c r="BO255" s="34"/>
      <c r="BP255" s="34"/>
      <c r="BQ255" s="34"/>
      <c r="BR255" s="34"/>
      <c r="BS255" s="34"/>
      <c r="BT255" s="34"/>
      <c r="BU255" s="37"/>
      <c r="BV255" s="37"/>
      <c r="BW255" s="34"/>
      <c r="BX255" s="34"/>
      <c r="BY255" s="36"/>
      <c r="BZ255" s="72"/>
      <c r="CA255" s="72"/>
      <c r="CB255" s="36"/>
      <c r="CC255" s="36"/>
      <c r="CD255" s="36"/>
      <c r="CE255" s="34"/>
      <c r="CF255" s="34"/>
      <c r="CS255" s="134"/>
      <c r="CT255" s="134"/>
    </row>
    <row r="256" spans="1:132" x14ac:dyDescent="0.2">
      <c r="A256" s="36"/>
      <c r="E256" s="31"/>
      <c r="F256" s="34"/>
      <c r="H256" s="34">
        <f>AVERAGE(H243,H249,H254)</f>
        <v>44.370926106335126</v>
      </c>
      <c r="I256" s="34">
        <f t="shared" ref="I256:R256" si="7">AVERAGE(I243,I249,I254)</f>
        <v>0.13162848107333497</v>
      </c>
      <c r="J256" s="34">
        <f t="shared" si="7"/>
        <v>31.704491519240047</v>
      </c>
      <c r="K256" s="34">
        <f t="shared" si="7"/>
        <v>5.3582190320285529E-2</v>
      </c>
      <c r="L256" s="34">
        <f t="shared" si="7"/>
        <v>2.9535442116495854</v>
      </c>
      <c r="M256" s="34">
        <f t="shared" si="7"/>
        <v>4.7481265674708062E-2</v>
      </c>
      <c r="N256" s="34">
        <f t="shared" si="7"/>
        <v>2.6562981395248197</v>
      </c>
      <c r="O256" s="34">
        <f t="shared" si="7"/>
        <v>17.701007518308888</v>
      </c>
      <c r="P256" s="34">
        <f t="shared" si="7"/>
        <v>0.33724390236419316</v>
      </c>
      <c r="Q256" s="34">
        <f t="shared" si="7"/>
        <v>2.3308348030008638E-2</v>
      </c>
      <c r="R256" s="34">
        <f t="shared" si="7"/>
        <v>5.2118128638497727E-2</v>
      </c>
      <c r="S256" s="36"/>
      <c r="T256" s="38">
        <f t="shared" si="6"/>
        <v>61.585745066702295</v>
      </c>
      <c r="U256" s="36"/>
      <c r="W256" s="36"/>
      <c r="X256" s="36"/>
      <c r="Y256" s="36"/>
      <c r="Z256" s="8"/>
      <c r="AA256" s="36"/>
      <c r="AB256" s="36"/>
      <c r="AC256" s="36"/>
      <c r="AD256" s="31"/>
      <c r="AE256" s="36"/>
      <c r="AF256" s="36"/>
      <c r="AG256" s="36"/>
      <c r="AH256" s="36"/>
      <c r="AI256" s="34"/>
      <c r="AJ256" s="35"/>
      <c r="AK256" s="36"/>
      <c r="AL256" s="72"/>
      <c r="AM256" s="35"/>
      <c r="AN256" s="35"/>
      <c r="AO256" s="72"/>
      <c r="AP256" s="36"/>
      <c r="AQ256" s="34"/>
      <c r="AR256" s="34"/>
      <c r="AS256" s="34"/>
      <c r="AT256" s="35"/>
      <c r="AU256" s="35"/>
      <c r="AV256" s="36"/>
      <c r="AW256" s="35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5"/>
      <c r="BI256" s="34"/>
      <c r="BJ256" s="34"/>
      <c r="BK256" s="34"/>
      <c r="BL256" s="72"/>
      <c r="BM256" s="34"/>
      <c r="BN256" s="34"/>
      <c r="BO256" s="34"/>
      <c r="BP256" s="34"/>
      <c r="BQ256" s="34"/>
      <c r="BR256" s="34"/>
      <c r="BS256" s="34"/>
      <c r="BT256" s="34"/>
      <c r="BU256" s="37"/>
      <c r="BV256" s="37"/>
      <c r="BW256" s="34"/>
      <c r="BX256" s="34"/>
      <c r="BY256" s="36"/>
      <c r="BZ256" s="72"/>
      <c r="CA256" s="72"/>
      <c r="CB256" s="36"/>
      <c r="CC256" s="36"/>
      <c r="CD256" s="36"/>
      <c r="CE256" s="34"/>
      <c r="CF256" s="34"/>
      <c r="CS256" s="134"/>
      <c r="CT256" s="134"/>
    </row>
    <row r="257" spans="1:132" x14ac:dyDescent="0.2">
      <c r="A257" s="36"/>
      <c r="E257" s="31"/>
      <c r="F257" s="34"/>
      <c r="H257" s="34"/>
      <c r="I257" s="34"/>
      <c r="J257" s="34"/>
      <c r="K257" s="37"/>
      <c r="L257" s="34"/>
      <c r="M257" s="37"/>
      <c r="N257" s="34"/>
      <c r="O257" s="72"/>
      <c r="P257" s="37"/>
      <c r="Q257" s="37"/>
      <c r="R257" s="37"/>
      <c r="S257" s="36"/>
      <c r="T257" s="38" t="e">
        <f t="shared" si="6"/>
        <v>#DIV/0!</v>
      </c>
      <c r="U257" s="36"/>
      <c r="W257" s="36"/>
      <c r="X257" s="36"/>
      <c r="Y257" s="36"/>
      <c r="Z257" s="8"/>
      <c r="AA257" s="36"/>
      <c r="AB257" s="36"/>
      <c r="AC257" s="36"/>
      <c r="AD257" s="31"/>
      <c r="AE257" s="36"/>
      <c r="AF257" s="36"/>
      <c r="AG257" s="36"/>
      <c r="AH257" s="36"/>
      <c r="AI257" s="34"/>
      <c r="AJ257" s="35"/>
      <c r="AK257" s="36"/>
      <c r="AL257" s="72"/>
      <c r="AM257" s="35"/>
      <c r="AN257" s="35"/>
      <c r="AO257" s="72"/>
      <c r="AP257" s="36"/>
      <c r="AQ257" s="34"/>
      <c r="AR257" s="34"/>
      <c r="AS257" s="34"/>
      <c r="AT257" s="35"/>
      <c r="AU257" s="35"/>
      <c r="AV257" s="36"/>
      <c r="AW257" s="35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5"/>
      <c r="BI257" s="34"/>
      <c r="BJ257" s="34"/>
      <c r="BK257" s="34"/>
      <c r="BL257" s="72"/>
      <c r="BM257" s="34"/>
      <c r="BN257" s="34"/>
      <c r="BO257" s="34"/>
      <c r="BP257" s="34"/>
      <c r="BQ257" s="34"/>
      <c r="BR257" s="34"/>
      <c r="BS257" s="34"/>
      <c r="BT257" s="34"/>
      <c r="BU257" s="37"/>
      <c r="BV257" s="37"/>
      <c r="BW257" s="34"/>
      <c r="BX257" s="34"/>
      <c r="BY257" s="36"/>
      <c r="BZ257" s="72"/>
      <c r="CA257" s="72"/>
      <c r="CB257" s="36"/>
      <c r="CC257" s="36"/>
      <c r="CD257" s="36"/>
      <c r="CE257" s="34"/>
      <c r="CF257" s="34"/>
      <c r="CS257" s="134"/>
      <c r="CT257" s="134"/>
    </row>
    <row r="258" spans="1:132" x14ac:dyDescent="0.2">
      <c r="A258" s="36"/>
      <c r="E258" s="31"/>
      <c r="F258" s="34"/>
      <c r="H258" s="34"/>
      <c r="I258" s="34"/>
      <c r="J258" s="34"/>
      <c r="K258" s="37"/>
      <c r="L258" s="34"/>
      <c r="M258" s="37"/>
      <c r="N258" s="34"/>
      <c r="O258" s="72"/>
      <c r="P258" s="37"/>
      <c r="Q258" s="37"/>
      <c r="R258" s="37"/>
      <c r="S258" s="36"/>
      <c r="T258" s="38" t="e">
        <f t="shared" si="6"/>
        <v>#DIV/0!</v>
      </c>
      <c r="U258" s="36"/>
      <c r="W258" s="36"/>
      <c r="X258" s="36"/>
      <c r="Y258" s="36"/>
      <c r="Z258" s="8"/>
      <c r="AA258" s="36"/>
      <c r="AB258" s="36"/>
      <c r="AC258" s="36"/>
      <c r="AD258" s="31"/>
      <c r="AE258" s="36"/>
      <c r="AF258" s="36"/>
      <c r="AG258" s="36"/>
      <c r="AH258" s="36"/>
      <c r="AI258" s="34"/>
      <c r="AJ258" s="35"/>
      <c r="AK258" s="36"/>
      <c r="AL258" s="72"/>
      <c r="AM258" s="35"/>
      <c r="AN258" s="35"/>
      <c r="AO258" s="72"/>
      <c r="AP258" s="36"/>
      <c r="AQ258" s="34"/>
      <c r="AR258" s="34"/>
      <c r="AS258" s="34"/>
      <c r="AT258" s="35"/>
      <c r="AU258" s="35"/>
      <c r="AV258" s="36"/>
      <c r="AW258" s="35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5"/>
      <c r="BI258" s="34"/>
      <c r="BJ258" s="34"/>
      <c r="BK258" s="34"/>
      <c r="BL258" s="72"/>
      <c r="BM258" s="34"/>
      <c r="BN258" s="34"/>
      <c r="BO258" s="34"/>
      <c r="BP258" s="34"/>
      <c r="BQ258" s="34"/>
      <c r="BR258" s="34"/>
      <c r="BS258" s="34"/>
      <c r="BT258" s="34"/>
      <c r="BU258" s="37"/>
      <c r="BV258" s="37"/>
      <c r="BW258" s="34"/>
      <c r="BX258" s="34"/>
      <c r="BY258" s="36"/>
      <c r="BZ258" s="72"/>
      <c r="CA258" s="72"/>
      <c r="CB258" s="36"/>
      <c r="CC258" s="36"/>
      <c r="CD258" s="36"/>
      <c r="CE258" s="34"/>
      <c r="CF258" s="34"/>
      <c r="CS258" s="134"/>
      <c r="CT258" s="134"/>
    </row>
    <row r="259" spans="1:132" x14ac:dyDescent="0.2">
      <c r="T259" s="38" t="e">
        <f t="shared" ref="T259:T322" si="8">100*(N259/40.304)/(N259/40.304+L259/71.846)</f>
        <v>#DIV/0!</v>
      </c>
      <c r="CM259" s="30"/>
    </row>
    <row r="260" spans="1:132" x14ac:dyDescent="0.2">
      <c r="A260" t="s">
        <v>475</v>
      </c>
      <c r="D260" s="50" t="s">
        <v>946</v>
      </c>
      <c r="H260" s="6">
        <v>44.9253</v>
      </c>
      <c r="I260" s="6">
        <v>0.18351299999999998</v>
      </c>
      <c r="J260" s="6">
        <v>29.098299999999998</v>
      </c>
      <c r="K260" s="32">
        <v>7.45416E-2</v>
      </c>
      <c r="L260" s="6">
        <v>3.8980949999999996</v>
      </c>
      <c r="M260" s="3">
        <v>5.68216E-2</v>
      </c>
      <c r="N260" s="6">
        <v>4.1291670000000007</v>
      </c>
      <c r="O260" s="7">
        <v>16.650480000000002</v>
      </c>
      <c r="P260" s="3">
        <v>0.38013599999999997</v>
      </c>
      <c r="Q260" s="49">
        <v>3.6137999999999997E-2</v>
      </c>
      <c r="T260" s="38">
        <f t="shared" si="8"/>
        <v>65.377217882813952</v>
      </c>
      <c r="V260">
        <v>21</v>
      </c>
      <c r="W260" s="2">
        <v>0.11</v>
      </c>
      <c r="X260" s="2">
        <v>15.4</v>
      </c>
      <c r="Y260" s="2">
        <v>3.03</v>
      </c>
      <c r="Z260" s="8">
        <v>440</v>
      </c>
      <c r="AA260" s="2">
        <v>2.4900000000000002</v>
      </c>
      <c r="AB260" s="2">
        <v>11.9</v>
      </c>
      <c r="AC260">
        <v>0.28199999999999997</v>
      </c>
      <c r="AD260" s="31">
        <v>300</v>
      </c>
      <c r="AI260" s="30">
        <v>7.1</v>
      </c>
      <c r="AJ260" s="8">
        <v>510</v>
      </c>
      <c r="AK260">
        <v>0</v>
      </c>
      <c r="AL260" s="33">
        <v>14.5</v>
      </c>
      <c r="AM260" s="31">
        <v>170</v>
      </c>
      <c r="AO260" s="33">
        <v>3.7</v>
      </c>
      <c r="AQ260" s="30" t="s">
        <v>951</v>
      </c>
      <c r="AS260" s="30">
        <v>2.1</v>
      </c>
      <c r="AU260" s="31">
        <v>127</v>
      </c>
      <c r="AV260" s="54">
        <v>6.3361666059125632</v>
      </c>
      <c r="AW260" s="31" t="s">
        <v>713</v>
      </c>
      <c r="BD260" s="30" t="s">
        <v>952</v>
      </c>
      <c r="BG260" s="30" t="s">
        <v>714</v>
      </c>
      <c r="BH260" s="31">
        <v>30</v>
      </c>
      <c r="BI260" s="30">
        <v>1.55</v>
      </c>
      <c r="BJ260">
        <v>3.5</v>
      </c>
      <c r="BK260" s="51">
        <v>0.51552084701971268</v>
      </c>
      <c r="BL260" s="33">
        <v>2.4500000000000002</v>
      </c>
      <c r="BM260" s="30">
        <v>0.77</v>
      </c>
      <c r="BN260" s="30">
        <v>0.79</v>
      </c>
      <c r="BO260" s="51">
        <v>0.95285703214748851</v>
      </c>
      <c r="BP260" s="30">
        <v>0.17199999999999999</v>
      </c>
      <c r="BQ260">
        <v>1.3</v>
      </c>
      <c r="BR260">
        <v>0.21</v>
      </c>
      <c r="BS260" s="52">
        <v>0.69403819855793369</v>
      </c>
      <c r="BT260" s="53">
        <v>0.10269649029830763</v>
      </c>
      <c r="BU260">
        <v>0.67</v>
      </c>
      <c r="BV260" s="32">
        <v>9.7000000000000003E-2</v>
      </c>
      <c r="BW260" s="30">
        <v>0.6</v>
      </c>
      <c r="BX260" s="30">
        <v>9.1999999999999998E-2</v>
      </c>
      <c r="BZ260" s="33">
        <v>5.9</v>
      </c>
      <c r="CA260" s="33">
        <v>2.8</v>
      </c>
      <c r="CE260" s="30">
        <v>0.23</v>
      </c>
      <c r="CF260" s="30">
        <v>5.1999999999999998E-2</v>
      </c>
      <c r="CI260" s="29">
        <v>0.93774626594790245</v>
      </c>
      <c r="CJ260" s="41">
        <v>0.96300149788371869</v>
      </c>
      <c r="CK260" s="29">
        <v>0.95782333261084462</v>
      </c>
      <c r="CL260" s="29"/>
      <c r="CM260" s="146">
        <v>0.29870129870129869</v>
      </c>
      <c r="CN260" s="144">
        <v>6.7532467532467527E-2</v>
      </c>
      <c r="CO260" s="29"/>
      <c r="CP260" s="29"/>
      <c r="CQ260" s="29">
        <v>4.707761098690514E-2</v>
      </c>
      <c r="CR260" s="30">
        <v>1.0592781858831046</v>
      </c>
      <c r="CS260" s="29">
        <v>1.4576761212848842E-2</v>
      </c>
      <c r="CT260" s="29"/>
      <c r="CU260" s="29"/>
      <c r="CV260" s="29"/>
      <c r="CW260" s="29"/>
      <c r="CX260" s="29"/>
      <c r="CY260" s="29"/>
      <c r="CZ260" s="29"/>
    </row>
    <row r="261" spans="1:132" x14ac:dyDescent="0.2">
      <c r="A261" t="s">
        <v>475</v>
      </c>
      <c r="D261" s="2" t="s">
        <v>1094</v>
      </c>
      <c r="H261" s="30">
        <v>43.9</v>
      </c>
      <c r="I261" s="6">
        <v>0.16</v>
      </c>
      <c r="J261" s="6">
        <v>29.4</v>
      </c>
      <c r="K261" s="3" t="s">
        <v>649</v>
      </c>
      <c r="L261" s="6">
        <v>3.8</v>
      </c>
      <c r="M261" s="3">
        <v>0.05</v>
      </c>
      <c r="N261" s="6">
        <v>4.28</v>
      </c>
      <c r="O261" s="7" t="s">
        <v>1472</v>
      </c>
      <c r="P261" s="32" t="s">
        <v>712</v>
      </c>
      <c r="Q261" s="32">
        <v>3.5000000000000003E-2</v>
      </c>
      <c r="R261" s="32">
        <v>0.04</v>
      </c>
      <c r="T261" s="38">
        <f t="shared" si="8"/>
        <v>66.75281046979778</v>
      </c>
      <c r="AD261" s="31">
        <v>290.53500000000003</v>
      </c>
      <c r="AJ261" s="31" t="s">
        <v>637</v>
      </c>
      <c r="CR261" s="30">
        <v>1.1263157894736844</v>
      </c>
      <c r="CS261" s="29">
        <v>1.3157894736842106E-2</v>
      </c>
      <c r="CT261" s="29"/>
      <c r="CU261" s="29"/>
      <c r="CV261" s="29"/>
    </row>
    <row r="262" spans="1:132" x14ac:dyDescent="0.2">
      <c r="A262" t="s">
        <v>475</v>
      </c>
      <c r="D262" s="2" t="s">
        <v>1853</v>
      </c>
      <c r="H262" s="30">
        <v>44.794144523753914</v>
      </c>
      <c r="I262" s="6">
        <v>0.16325884108885255</v>
      </c>
      <c r="J262" s="6">
        <v>29.998812050076655</v>
      </c>
      <c r="K262" s="3" t="s">
        <v>1854</v>
      </c>
      <c r="L262" s="6">
        <v>3.8773974758602479</v>
      </c>
      <c r="M262" s="3">
        <v>5.1018387840266424E-2</v>
      </c>
      <c r="N262" s="6">
        <v>4.3671739991268064</v>
      </c>
      <c r="O262" s="7">
        <v>16.799334748042931</v>
      </c>
      <c r="P262" s="32">
        <v>0.2652956167693854</v>
      </c>
      <c r="Q262" s="32">
        <v>3.5712871488186498E-2</v>
      </c>
      <c r="R262" s="32">
        <v>4.0814710272213138E-2</v>
      </c>
      <c r="T262" s="38">
        <f t="shared" si="8"/>
        <v>66.75281046979778</v>
      </c>
      <c r="AD262" s="31"/>
      <c r="CR262" s="30"/>
      <c r="CS262" s="29"/>
      <c r="CT262" s="29"/>
      <c r="CU262" s="29"/>
      <c r="CV262" s="29"/>
    </row>
    <row r="263" spans="1:132" s="130" customFormat="1" x14ac:dyDescent="0.2">
      <c r="A263" s="130" t="s">
        <v>475</v>
      </c>
      <c r="D263" s="136" t="s">
        <v>1093</v>
      </c>
      <c r="H263" s="146"/>
      <c r="I263" s="560">
        <v>0.17721320854386793</v>
      </c>
      <c r="J263" s="560">
        <v>30.219566597719542</v>
      </c>
      <c r="K263" s="141">
        <v>7.5790097155669825E-2</v>
      </c>
      <c r="L263" s="137">
        <v>3.7642778558402341</v>
      </c>
      <c r="M263" s="559">
        <v>5.2200475615384614E-2</v>
      </c>
      <c r="N263" s="558">
        <v>4.1135915016466935</v>
      </c>
      <c r="O263" s="138">
        <v>17.112550449938716</v>
      </c>
      <c r="P263" s="141">
        <v>0.37699073215940687</v>
      </c>
      <c r="Q263" s="141"/>
      <c r="R263" s="141"/>
      <c r="T263" s="38">
        <f t="shared" si="8"/>
        <v>66.078954472135038</v>
      </c>
      <c r="W263" s="136"/>
      <c r="X263" s="136"/>
      <c r="Y263" s="136"/>
      <c r="Z263" s="136"/>
      <c r="AA263" s="136"/>
      <c r="AB263" s="136"/>
      <c r="AI263" s="146">
        <v>6.9301883464378591</v>
      </c>
      <c r="AJ263" s="150">
        <v>518.54198929713891</v>
      </c>
      <c r="AL263" s="149">
        <v>13.207903375287753</v>
      </c>
      <c r="AM263" s="150">
        <v>144.13226105414213</v>
      </c>
      <c r="AN263" s="150"/>
      <c r="AO263" s="149"/>
      <c r="AQ263" s="146"/>
      <c r="AR263" s="146"/>
      <c r="AS263" s="146"/>
      <c r="AT263" s="150"/>
      <c r="AU263" s="150">
        <v>171.45780142904124</v>
      </c>
      <c r="AV263" s="54">
        <v>6.6021251425928948</v>
      </c>
      <c r="AW263" s="150">
        <v>20.770307034589973</v>
      </c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50">
        <v>30.07109330622739</v>
      </c>
      <c r="BI263" s="146">
        <v>1.5225735896439359</v>
      </c>
      <c r="BJ263" s="130">
        <v>3.9936141588687257</v>
      </c>
      <c r="BK263" s="51">
        <v>0.51847834552743743</v>
      </c>
      <c r="BL263" s="149">
        <v>2.4932703518789801</v>
      </c>
      <c r="BM263" s="146">
        <v>0.78770979700439481</v>
      </c>
      <c r="BN263" s="146">
        <v>0.74963723878142852</v>
      </c>
      <c r="BO263" s="51">
        <v>0.93166685504249225</v>
      </c>
      <c r="BP263" s="146">
        <v>0.16070336930849949</v>
      </c>
      <c r="BQ263" s="74">
        <v>1.0785532318409827</v>
      </c>
      <c r="BR263" s="74">
        <v>0.2391648837703429</v>
      </c>
      <c r="BS263" s="52">
        <v>0.6616366941873244</v>
      </c>
      <c r="BT263" s="53">
        <v>9.7545305371916524E-2</v>
      </c>
      <c r="BU263" s="130">
        <v>0.63410613172292152</v>
      </c>
      <c r="BV263" s="141">
        <v>9.0400920804807328E-2</v>
      </c>
      <c r="BW263" s="146">
        <v>0.58249346766719479</v>
      </c>
      <c r="BX263" s="146">
        <v>6.6434362761218557E-2</v>
      </c>
      <c r="BZ263" s="149">
        <v>5.316442942987833</v>
      </c>
      <c r="CA263" s="149">
        <v>3.4178211605728119</v>
      </c>
      <c r="CE263" s="146">
        <v>0.236570061885258</v>
      </c>
      <c r="CF263" s="146">
        <v>8.3604053932853001E-2</v>
      </c>
      <c r="CI263" s="29">
        <v>0.97501755766935672</v>
      </c>
      <c r="CJ263" s="41">
        <v>0.92736873914117679</v>
      </c>
      <c r="CK263" s="29">
        <v>0.89261426831694324</v>
      </c>
      <c r="CL263" s="29"/>
      <c r="CM263" s="146">
        <v>0.30032641816176131</v>
      </c>
      <c r="CN263" s="144">
        <v>0.10613560254143514</v>
      </c>
      <c r="CO263" s="144"/>
      <c r="CP263" s="29"/>
      <c r="CQ263" s="29"/>
      <c r="CR263" s="30"/>
      <c r="CS263" s="29"/>
      <c r="CT263" s="29"/>
      <c r="CU263" s="29"/>
      <c r="CV263" s="29"/>
      <c r="CW263" s="144"/>
      <c r="CX263" s="144"/>
      <c r="CY263" s="144"/>
      <c r="CZ263" s="144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</row>
    <row r="264" spans="1:132" s="50" customFormat="1" ht="20.100000000000001" customHeight="1" x14ac:dyDescent="0.2">
      <c r="A264" s="50" t="s">
        <v>475</v>
      </c>
      <c r="C264" s="50" t="s">
        <v>279</v>
      </c>
      <c r="H264" s="38">
        <v>44.539814841251307</v>
      </c>
      <c r="I264" s="38">
        <v>0.17099626240818011</v>
      </c>
      <c r="J264" s="38">
        <v>29.679169661949047</v>
      </c>
      <c r="K264" s="49">
        <v>7.5165848577834912E-2</v>
      </c>
      <c r="L264" s="38">
        <v>3.8349425829251205</v>
      </c>
      <c r="M264" s="49">
        <v>5.2510115863912757E-2</v>
      </c>
      <c r="N264" s="38">
        <v>4.2224831251933743</v>
      </c>
      <c r="O264" s="39">
        <v>16.854121732660548</v>
      </c>
      <c r="P264" s="49">
        <v>0.34080744964293075</v>
      </c>
      <c r="Q264" s="49">
        <v>3.5616957162728835E-2</v>
      </c>
      <c r="R264" s="49">
        <v>4.0407355136106569E-2</v>
      </c>
      <c r="S264" s="38"/>
      <c r="T264" s="38">
        <f t="shared" si="8"/>
        <v>66.247497554061155</v>
      </c>
      <c r="U264" s="38"/>
      <c r="W264" s="39"/>
      <c r="X264" s="39"/>
      <c r="Y264" s="39"/>
      <c r="Z264" s="76">
        <v>440</v>
      </c>
      <c r="AA264" s="39"/>
      <c r="AB264" s="39"/>
      <c r="AC264" s="39"/>
      <c r="AD264" s="76">
        <v>295.26750000000004</v>
      </c>
      <c r="AE264" s="39"/>
      <c r="AF264" s="39"/>
      <c r="AG264" s="39"/>
      <c r="AH264" s="39"/>
      <c r="AI264" s="38">
        <v>7.0150941732189294</v>
      </c>
      <c r="AJ264" s="76">
        <v>514.27099464856951</v>
      </c>
      <c r="AK264" s="39"/>
      <c r="AL264" s="39">
        <v>13.853951687643876</v>
      </c>
      <c r="AM264" s="76">
        <v>157.06613052707107</v>
      </c>
      <c r="AN264" s="76" t="e">
        <v>#DIV/0!</v>
      </c>
      <c r="AO264" s="39">
        <v>3.7</v>
      </c>
      <c r="AP264" s="39" t="e">
        <v>#DIV/0!</v>
      </c>
      <c r="AQ264" s="39" t="e">
        <v>#DIV/0!</v>
      </c>
      <c r="AR264" s="39" t="e">
        <v>#DIV/0!</v>
      </c>
      <c r="AS264" s="39">
        <v>2.1</v>
      </c>
      <c r="AT264" s="76" t="e">
        <v>#DIV/0!</v>
      </c>
      <c r="AU264" s="76">
        <v>149.22890071452062</v>
      </c>
      <c r="AV264" s="39">
        <v>6.469145874252729</v>
      </c>
      <c r="AW264" s="76">
        <v>20.770307034589973</v>
      </c>
      <c r="AX264" s="39" t="e">
        <v>#DIV/0!</v>
      </c>
      <c r="AY264" s="39" t="e">
        <v>#DIV/0!</v>
      </c>
      <c r="AZ264" s="39" t="e">
        <v>#DIV/0!</v>
      </c>
      <c r="BA264" s="39" t="e">
        <v>#DIV/0!</v>
      </c>
      <c r="BB264" s="39" t="e">
        <v>#DIV/0!</v>
      </c>
      <c r="BC264" s="39" t="e">
        <v>#DIV/0!</v>
      </c>
      <c r="BD264" s="39" t="e">
        <v>#DIV/0!</v>
      </c>
      <c r="BE264" s="39" t="e">
        <v>#DIV/0!</v>
      </c>
      <c r="BF264" s="39" t="e">
        <v>#DIV/0!</v>
      </c>
      <c r="BG264" s="39" t="e">
        <v>#DIV/0!</v>
      </c>
      <c r="BH264" s="76">
        <v>30.035546653113695</v>
      </c>
      <c r="BI264" s="38">
        <v>1.5362867948219678</v>
      </c>
      <c r="BJ264" s="39">
        <v>3.7468070794343626</v>
      </c>
      <c r="BK264" s="39">
        <v>0.51699959627357506</v>
      </c>
      <c r="BL264" s="39">
        <v>2.4716351759394901</v>
      </c>
      <c r="BM264" s="38">
        <v>0.77885489850219747</v>
      </c>
      <c r="BN264" s="38">
        <v>0.76981861939071428</v>
      </c>
      <c r="BO264" s="38">
        <v>0.94226194359499038</v>
      </c>
      <c r="BP264" s="38">
        <v>0.16635168465424974</v>
      </c>
      <c r="BQ264" s="38">
        <v>1.1892766159204915</v>
      </c>
      <c r="BR264" s="38">
        <v>0.22458244188517146</v>
      </c>
      <c r="BS264" s="39">
        <v>0.6778374463726291</v>
      </c>
      <c r="BT264" s="39">
        <v>0.10012089783511208</v>
      </c>
      <c r="BU264" s="38">
        <v>0.65205306586146072</v>
      </c>
      <c r="BV264" s="49">
        <v>9.3700460402403665E-2</v>
      </c>
      <c r="BW264" s="38">
        <v>0.59124673383359738</v>
      </c>
      <c r="BX264" s="38">
        <v>7.9217181380609278E-2</v>
      </c>
      <c r="BY264" s="39" t="e">
        <v>#DIV/0!</v>
      </c>
      <c r="BZ264" s="39">
        <v>5.6082214714939163</v>
      </c>
      <c r="CA264" s="39">
        <v>3.1089105802864059</v>
      </c>
      <c r="CB264" s="39" t="e">
        <v>#DIV/0!</v>
      </c>
      <c r="CC264" s="39" t="e">
        <v>#DIV/0!</v>
      </c>
      <c r="CD264" s="39" t="e">
        <v>#DIV/0!</v>
      </c>
      <c r="CE264" s="38">
        <v>0.23328503094262901</v>
      </c>
      <c r="CF264" s="38">
        <v>6.7802026966426496E-2</v>
      </c>
      <c r="CG264" s="38"/>
      <c r="CQ264" s="38">
        <v>4.707761098690514E-2</v>
      </c>
      <c r="CR264" s="38">
        <v>1.0927969876783945</v>
      </c>
      <c r="CS264" s="38">
        <v>1.3867327974845474E-2</v>
      </c>
      <c r="CT264" s="38"/>
      <c r="CU264" s="38"/>
      <c r="CV264" s="38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</row>
    <row r="265" spans="1:132" s="36" customFormat="1" x14ac:dyDescent="0.2">
      <c r="A265" s="36" t="s">
        <v>553</v>
      </c>
      <c r="H265" s="34">
        <v>44.539814841251307</v>
      </c>
      <c r="I265" s="34">
        <v>0.17099626240818011</v>
      </c>
      <c r="J265" s="34">
        <v>29.679169661949047</v>
      </c>
      <c r="K265" s="37">
        <v>7.5165848577834912E-2</v>
      </c>
      <c r="L265" s="34">
        <v>3.8349425829251205</v>
      </c>
      <c r="M265" s="37">
        <v>5.2510115863912757E-2</v>
      </c>
      <c r="N265" s="34">
        <v>4.2224831251933743</v>
      </c>
      <c r="O265" s="72">
        <v>16.854121732660548</v>
      </c>
      <c r="P265" s="37">
        <v>0.34080744964293075</v>
      </c>
      <c r="Q265" s="37">
        <v>3.5616957162728835E-2</v>
      </c>
      <c r="R265" s="37">
        <v>4.0407355136106569E-2</v>
      </c>
      <c r="S265" s="37"/>
      <c r="T265" s="38">
        <f t="shared" si="8"/>
        <v>66.247497554061155</v>
      </c>
      <c r="U265" s="37"/>
      <c r="W265" s="34">
        <v>0</v>
      </c>
      <c r="X265" s="34">
        <v>0</v>
      </c>
      <c r="Y265" s="34">
        <v>0</v>
      </c>
      <c r="Z265" s="35">
        <v>440</v>
      </c>
      <c r="AA265" s="34">
        <v>0</v>
      </c>
      <c r="AB265" s="34">
        <v>0</v>
      </c>
      <c r="AC265" s="34">
        <v>0</v>
      </c>
      <c r="AD265" s="35">
        <v>295.26750000000004</v>
      </c>
      <c r="AE265" s="35">
        <v>0</v>
      </c>
      <c r="AF265" s="34">
        <v>0</v>
      </c>
      <c r="AG265" s="34">
        <v>0</v>
      </c>
      <c r="AH265" s="34">
        <v>0</v>
      </c>
      <c r="AI265" s="34">
        <v>7.0150941732189294</v>
      </c>
      <c r="AJ265" s="35">
        <v>514.27099464856951</v>
      </c>
      <c r="AK265" s="35">
        <v>0</v>
      </c>
      <c r="AL265" s="72">
        <v>13.853951687643876</v>
      </c>
      <c r="AM265" s="35">
        <v>157.06613052707107</v>
      </c>
      <c r="AN265" s="35" t="e">
        <v>#DIV/0!</v>
      </c>
      <c r="AO265" s="34">
        <v>3.7</v>
      </c>
      <c r="AP265" s="34" t="e">
        <v>#DIV/0!</v>
      </c>
      <c r="AQ265" s="34" t="e">
        <v>#DIV/0!</v>
      </c>
      <c r="AR265" s="34" t="e">
        <v>#DIV/0!</v>
      </c>
      <c r="AS265" s="34">
        <v>2.1</v>
      </c>
      <c r="AT265" s="35" t="e">
        <v>#DIV/0!</v>
      </c>
      <c r="AU265" s="35">
        <v>149.22890071452062</v>
      </c>
      <c r="AV265" s="34">
        <v>6.469145874252729</v>
      </c>
      <c r="AW265" s="35">
        <v>20.770307034589973</v>
      </c>
      <c r="AX265" s="34" t="e">
        <v>#DIV/0!</v>
      </c>
      <c r="AY265" s="34" t="e">
        <v>#DIV/0!</v>
      </c>
      <c r="AZ265" s="34" t="e">
        <v>#DIV/0!</v>
      </c>
      <c r="BA265" s="34" t="e">
        <v>#DIV/0!</v>
      </c>
      <c r="BB265" s="34" t="e">
        <v>#DIV/0!</v>
      </c>
      <c r="BC265" s="34" t="e">
        <v>#DIV/0!</v>
      </c>
      <c r="BD265" s="34" t="e">
        <v>#DIV/0!</v>
      </c>
      <c r="BE265" s="34" t="e">
        <v>#DIV/0!</v>
      </c>
      <c r="BF265" s="34" t="e">
        <v>#DIV/0!</v>
      </c>
      <c r="BG265" s="34" t="e">
        <v>#DIV/0!</v>
      </c>
      <c r="BH265" s="35">
        <v>30.035546653113695</v>
      </c>
      <c r="BI265" s="34">
        <v>1.5362867948219678</v>
      </c>
      <c r="BJ265" s="34">
        <v>3.7468070794343626</v>
      </c>
      <c r="BK265" s="158">
        <v>0.54827468890619779</v>
      </c>
      <c r="BL265" s="72">
        <v>2.4716351759394901</v>
      </c>
      <c r="BM265" s="34">
        <v>0.77885489850219747</v>
      </c>
      <c r="BN265" s="34">
        <v>0.76981861939071428</v>
      </c>
      <c r="BO265" s="34">
        <v>0.94226194359499038</v>
      </c>
      <c r="BP265" s="34">
        <v>0.16635168465424974</v>
      </c>
      <c r="BQ265" s="34">
        <v>1.1892766159204915</v>
      </c>
      <c r="BR265" s="34">
        <v>0.22458244188517146</v>
      </c>
      <c r="BS265" s="34">
        <v>0.6778374463726291</v>
      </c>
      <c r="BT265" s="34">
        <v>0.10012089783511208</v>
      </c>
      <c r="BU265" s="34">
        <v>0.65205306586146072</v>
      </c>
      <c r="BV265" s="37">
        <v>9.3700460402403665E-2</v>
      </c>
      <c r="BW265" s="34">
        <v>0.59124673383359738</v>
      </c>
      <c r="BX265" s="34">
        <v>7.9217181380609278E-2</v>
      </c>
      <c r="BY265" s="34" t="e">
        <v>#DIV/0!</v>
      </c>
      <c r="BZ265" s="72">
        <v>5.6082214714939163</v>
      </c>
      <c r="CA265" s="72">
        <v>3.1089105802864059</v>
      </c>
      <c r="CB265" s="34" t="e">
        <v>#DIV/0!</v>
      </c>
      <c r="CC265" s="34" t="e">
        <v>#DIV/0!</v>
      </c>
      <c r="CD265" s="34" t="e">
        <v>#DIV/0!</v>
      </c>
      <c r="CE265" s="34">
        <v>0.23328503094262901</v>
      </c>
      <c r="CF265" s="34">
        <v>6.7802026966426496E-2</v>
      </c>
      <c r="CG265" s="34"/>
      <c r="CH265" s="34"/>
      <c r="CI265" s="34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</row>
    <row r="266" spans="1:132" x14ac:dyDescent="0.2">
      <c r="T266" s="38" t="e">
        <f t="shared" si="8"/>
        <v>#DIV/0!</v>
      </c>
    </row>
    <row r="267" spans="1:132" s="553" customFormat="1" x14ac:dyDescent="0.2">
      <c r="H267" s="554"/>
      <c r="I267" s="554"/>
      <c r="J267" s="554"/>
      <c r="K267" s="555"/>
      <c r="L267" s="554"/>
      <c r="M267" s="555"/>
      <c r="N267" s="554"/>
      <c r="O267" s="522"/>
      <c r="P267" s="555"/>
      <c r="Q267" s="555"/>
      <c r="R267" s="555"/>
      <c r="S267" s="554"/>
      <c r="T267" s="38" t="e">
        <f t="shared" si="8"/>
        <v>#DIV/0!</v>
      </c>
      <c r="U267" s="554"/>
      <c r="W267" s="554"/>
      <c r="X267" s="554"/>
      <c r="Y267" s="554"/>
      <c r="Z267" s="554"/>
      <c r="AA267" s="554"/>
      <c r="AB267" s="554"/>
      <c r="AC267" s="554"/>
      <c r="AD267" s="554"/>
      <c r="AE267" s="554"/>
      <c r="AI267" s="554"/>
      <c r="AJ267" s="523"/>
      <c r="AL267" s="522"/>
      <c r="AM267" s="523"/>
      <c r="AN267" s="523"/>
      <c r="AO267" s="522"/>
      <c r="AQ267" s="554"/>
      <c r="AR267" s="554"/>
      <c r="AS267" s="554"/>
      <c r="AT267" s="523"/>
      <c r="AU267" s="523"/>
      <c r="AW267" s="523"/>
      <c r="AX267" s="554"/>
      <c r="AY267" s="554"/>
      <c r="AZ267" s="554"/>
      <c r="BA267" s="554"/>
      <c r="BB267" s="554"/>
      <c r="BC267" s="554"/>
      <c r="BD267" s="554"/>
      <c r="BE267" s="554"/>
      <c r="BF267" s="554"/>
      <c r="BG267" s="554"/>
      <c r="BH267" s="523"/>
      <c r="BI267" s="554"/>
      <c r="BL267" s="522"/>
      <c r="BM267" s="554"/>
      <c r="BN267" s="554"/>
      <c r="BO267" s="554"/>
      <c r="BP267" s="554"/>
      <c r="BV267" s="555"/>
      <c r="BW267" s="554"/>
      <c r="BX267" s="554"/>
      <c r="BZ267" s="522"/>
      <c r="CA267" s="522"/>
      <c r="CE267" s="554"/>
      <c r="CF267" s="554"/>
    </row>
    <row r="268" spans="1:132" s="553" customFormat="1" x14ac:dyDescent="0.2">
      <c r="D268" s="561"/>
      <c r="H268" s="554"/>
      <c r="I268" s="554"/>
      <c r="J268" s="554"/>
      <c r="K268" s="555"/>
      <c r="M268" s="555"/>
      <c r="N268" s="554"/>
      <c r="O268" s="522"/>
      <c r="P268" s="555"/>
      <c r="Q268" s="555"/>
      <c r="R268" s="555"/>
      <c r="S268" s="554"/>
      <c r="T268" s="38" t="e">
        <f t="shared" si="8"/>
        <v>#DIV/0!</v>
      </c>
      <c r="U268" s="554"/>
      <c r="W268" s="554"/>
      <c r="X268" s="554"/>
      <c r="Y268" s="554"/>
      <c r="Z268" s="554"/>
      <c r="AA268" s="554"/>
      <c r="AB268" s="554"/>
      <c r="AC268" s="554"/>
      <c r="AD268" s="554"/>
      <c r="AE268" s="554"/>
      <c r="AI268" s="554"/>
      <c r="AJ268" s="523"/>
      <c r="AL268" s="522"/>
      <c r="AM268" s="523"/>
      <c r="AN268" s="523"/>
      <c r="AO268" s="522"/>
      <c r="AQ268" s="554"/>
      <c r="AR268" s="554"/>
      <c r="AS268" s="554"/>
      <c r="AT268" s="523"/>
      <c r="AU268" s="523"/>
      <c r="AW268" s="523"/>
      <c r="AX268" s="554"/>
      <c r="AY268" s="554"/>
      <c r="AZ268" s="554"/>
      <c r="BA268" s="554"/>
      <c r="BB268" s="554"/>
      <c r="BC268" s="554"/>
      <c r="BD268" s="554"/>
      <c r="BE268" s="554"/>
      <c r="BF268" s="554"/>
      <c r="BG268" s="554"/>
      <c r="BH268" s="523"/>
      <c r="BI268" s="554"/>
      <c r="BL268" s="522"/>
      <c r="BM268" s="554"/>
      <c r="BN268" s="554"/>
      <c r="BO268" s="554"/>
      <c r="BP268" s="554"/>
      <c r="BV268" s="555"/>
      <c r="BW268" s="554"/>
      <c r="BX268" s="554"/>
      <c r="BZ268" s="522"/>
      <c r="CA268" s="522"/>
      <c r="CE268" s="554"/>
      <c r="CF268" s="554"/>
    </row>
    <row r="269" spans="1:132" x14ac:dyDescent="0.2">
      <c r="T269" s="38" t="e">
        <f t="shared" si="8"/>
        <v>#DIV/0!</v>
      </c>
    </row>
    <row r="270" spans="1:132" x14ac:dyDescent="0.2">
      <c r="A270" t="s">
        <v>884</v>
      </c>
      <c r="D270" t="s">
        <v>717</v>
      </c>
      <c r="E270" s="38">
        <v>298.27</v>
      </c>
      <c r="F270" s="30"/>
      <c r="I270"/>
      <c r="J270"/>
      <c r="K270" s="32">
        <v>7.359880013142453E-2</v>
      </c>
      <c r="L270" s="6">
        <v>3.9481895597948173</v>
      </c>
      <c r="M270"/>
      <c r="N270"/>
      <c r="O270" s="39">
        <v>16.769883662453484</v>
      </c>
      <c r="P270" s="32">
        <v>0.33042132966775078</v>
      </c>
      <c r="Q270" s="32">
        <v>4.6623529017333298E-2</v>
      </c>
      <c r="T270" s="38">
        <f t="shared" si="8"/>
        <v>0</v>
      </c>
      <c r="AI270" s="30">
        <v>6.9525634492238586</v>
      </c>
      <c r="AJ270" s="76">
        <v>503.54953565561397</v>
      </c>
      <c r="AL270" s="33">
        <v>15.269998994199886</v>
      </c>
      <c r="AM270" s="31">
        <v>174.22754551245515</v>
      </c>
      <c r="AN270" s="31">
        <v>15.022409226539715</v>
      </c>
      <c r="AQ270" s="30">
        <v>0.10079156468971069</v>
      </c>
      <c r="AT270" s="31">
        <v>0.3199751902638549</v>
      </c>
      <c r="AU270" s="31">
        <v>168.51547255842027</v>
      </c>
      <c r="AW270" s="31">
        <v>29.757769805880582</v>
      </c>
      <c r="BG270" s="30">
        <v>3.0533509907131128E-2</v>
      </c>
      <c r="BH270" s="31">
        <v>65.022529922553403</v>
      </c>
      <c r="BI270" s="30">
        <v>2.4280044925738422</v>
      </c>
      <c r="BJ270">
        <v>6.2950558219063266</v>
      </c>
      <c r="BL270" s="33">
        <v>4.1010192107821775</v>
      </c>
      <c r="BM270" s="30">
        <v>1.0879847453649378</v>
      </c>
      <c r="BN270" s="30">
        <v>0.79630888121500654</v>
      </c>
      <c r="BP270" s="30">
        <v>0.23098487947161969</v>
      </c>
      <c r="BU270">
        <v>0.86695805813524662</v>
      </c>
      <c r="BV270" s="32">
        <v>0.12226635933885406</v>
      </c>
      <c r="BW270" s="30">
        <v>0.78800801287424138</v>
      </c>
      <c r="BX270" s="30">
        <v>9.6881516746571902E-2</v>
      </c>
      <c r="BY270">
        <v>0.17519596338887586</v>
      </c>
      <c r="BZ270" s="33">
        <v>7.6127870721158688</v>
      </c>
      <c r="CA270" s="33">
        <v>8.5448486270828443</v>
      </c>
      <c r="CE270" s="30">
        <v>0.39872464545545983</v>
      </c>
      <c r="CF270" s="30">
        <v>9.8515271398397428E-2</v>
      </c>
    </row>
    <row r="271" spans="1:132" x14ac:dyDescent="0.2">
      <c r="A271" t="s">
        <v>884</v>
      </c>
      <c r="D271" t="s">
        <v>700</v>
      </c>
      <c r="G271" s="9">
        <f>SUM(H271:R271)</f>
        <v>99.891938883332273</v>
      </c>
      <c r="H271" s="30">
        <v>44.640116054763283</v>
      </c>
      <c r="I271" s="30">
        <v>0.15847007156905876</v>
      </c>
      <c r="J271" s="30">
        <v>29.74852207977731</v>
      </c>
      <c r="K271" s="32">
        <v>7.359880013142453E-2</v>
      </c>
      <c r="L271" s="30">
        <v>3.9481895597948173</v>
      </c>
      <c r="M271" s="32">
        <v>5.7868107399777199E-2</v>
      </c>
      <c r="N271" s="30">
        <v>3.6087128781795181</v>
      </c>
      <c r="O271" s="33">
        <v>17.251073819455215</v>
      </c>
      <c r="P271" s="3">
        <v>0.33042132966775078</v>
      </c>
      <c r="Q271" s="32">
        <v>4.0520215411210099E-2</v>
      </c>
      <c r="R271" s="32">
        <v>3.4445967182924052E-2</v>
      </c>
      <c r="S271" s="30"/>
      <c r="T271" s="38">
        <f t="shared" si="8"/>
        <v>61.967482416059326</v>
      </c>
      <c r="U271" s="30"/>
      <c r="W271" s="30"/>
      <c r="X271" s="30"/>
      <c r="Y271" s="30"/>
      <c r="Z271" s="30"/>
      <c r="AA271" s="30"/>
      <c r="AB271" s="30"/>
      <c r="AC271" s="30"/>
      <c r="AD271" s="30"/>
      <c r="AE271" s="30"/>
    </row>
    <row r="272" spans="1:132" x14ac:dyDescent="0.2">
      <c r="D272" s="445" t="s">
        <v>1680</v>
      </c>
      <c r="G272" s="9">
        <f>SUM(H272:R272)</f>
        <v>97.999000000000024</v>
      </c>
      <c r="H272" s="30">
        <v>42.9</v>
      </c>
      <c r="I272" s="6">
        <v>0.17</v>
      </c>
      <c r="J272" s="6">
        <v>30.1</v>
      </c>
      <c r="K272" s="32">
        <v>6.8900000000000003E-2</v>
      </c>
      <c r="L272" s="6">
        <v>4.26</v>
      </c>
      <c r="M272" s="3">
        <v>5.5E-2</v>
      </c>
      <c r="N272" s="6">
        <v>3.47</v>
      </c>
      <c r="O272" s="7">
        <v>16.600000000000001</v>
      </c>
      <c r="P272" s="32">
        <v>0.32500000000000001</v>
      </c>
      <c r="Q272" s="32">
        <v>5.0099999999999999E-2</v>
      </c>
      <c r="T272" s="38">
        <f t="shared" si="8"/>
        <v>59.217394100997375</v>
      </c>
      <c r="AI272" s="30">
        <v>7.28</v>
      </c>
      <c r="AK272">
        <v>14.3</v>
      </c>
      <c r="AL272" s="33">
        <v>22.5</v>
      </c>
      <c r="AM272" s="31">
        <v>290</v>
      </c>
      <c r="AU272" s="31">
        <v>170</v>
      </c>
      <c r="BI272" s="30">
        <v>2.58</v>
      </c>
      <c r="BJ272">
        <v>6.89</v>
      </c>
      <c r="BM272" s="30">
        <v>1.19</v>
      </c>
      <c r="BN272" s="32">
        <v>0.78400000000000003</v>
      </c>
      <c r="BO272" s="33">
        <v>1.6</v>
      </c>
      <c r="BP272" s="30">
        <v>0.28000000000000003</v>
      </c>
      <c r="BU272">
        <v>0.84</v>
      </c>
      <c r="BV272" s="32">
        <v>0.11</v>
      </c>
      <c r="BW272" s="30">
        <v>0.74</v>
      </c>
      <c r="BX272" s="32">
        <v>0.19600000000000001</v>
      </c>
      <c r="BZ272" s="33">
        <v>15</v>
      </c>
      <c r="CA272" s="33">
        <v>13</v>
      </c>
      <c r="CE272" s="30">
        <v>0.42</v>
      </c>
    </row>
    <row r="273" spans="1:132" x14ac:dyDescent="0.2">
      <c r="A273" t="s">
        <v>884</v>
      </c>
      <c r="I273" s="30"/>
      <c r="J273" s="30"/>
      <c r="L273" s="30"/>
      <c r="M273" s="32"/>
      <c r="N273" s="30"/>
      <c r="T273" s="38" t="e">
        <f t="shared" si="8"/>
        <v>#DIV/0!</v>
      </c>
      <c r="W273"/>
      <c r="X273"/>
      <c r="Y273"/>
      <c r="Z273"/>
      <c r="AA273"/>
    </row>
    <row r="274" spans="1:132" x14ac:dyDescent="0.2">
      <c r="A274" s="36" t="s">
        <v>884</v>
      </c>
      <c r="G274" s="9">
        <v>98.860964098202444</v>
      </c>
      <c r="H274" s="34">
        <v>43.770058027381637</v>
      </c>
      <c r="I274" s="34">
        <v>0.16423503578452939</v>
      </c>
      <c r="J274" s="34">
        <v>29.924261039888655</v>
      </c>
      <c r="K274" s="37">
        <v>7.2032533420949688E-2</v>
      </c>
      <c r="L274" s="34">
        <v>4.0521263731965442</v>
      </c>
      <c r="M274" s="37">
        <v>5.6434053699888603E-2</v>
      </c>
      <c r="N274" s="34">
        <v>3.5393564390897589</v>
      </c>
      <c r="O274" s="72">
        <v>16.873652493969566</v>
      </c>
      <c r="P274" s="37">
        <v>0.32861421977850053</v>
      </c>
      <c r="Q274" s="37">
        <v>4.5747914809514463E-2</v>
      </c>
      <c r="R274" s="37">
        <v>3.4445967182924052E-2</v>
      </c>
      <c r="S274" s="36"/>
      <c r="T274" s="38">
        <f t="shared" si="8"/>
        <v>60.892062064713834</v>
      </c>
      <c r="U274" s="36"/>
      <c r="W274" s="36"/>
      <c r="X274" s="36"/>
      <c r="Y274" s="36"/>
      <c r="Z274" s="35"/>
      <c r="AA274" s="36"/>
      <c r="AB274" s="36"/>
      <c r="AC274" s="36"/>
      <c r="AD274" s="35"/>
      <c r="AE274" s="36"/>
      <c r="AF274" s="36"/>
      <c r="AG274" s="36"/>
      <c r="AH274" s="36"/>
      <c r="AI274" s="34">
        <v>7.1162817246119294</v>
      </c>
      <c r="AJ274" s="35">
        <v>503.54953565561397</v>
      </c>
      <c r="AK274" s="36"/>
      <c r="AL274" s="72">
        <v>18.884999497099944</v>
      </c>
      <c r="AM274" s="35">
        <v>232.11377275622758</v>
      </c>
      <c r="AN274" s="35">
        <v>15.022409226539715</v>
      </c>
      <c r="AO274" s="72"/>
      <c r="AP274" s="36"/>
      <c r="AQ274" s="34">
        <v>0.10079156468971069</v>
      </c>
      <c r="AR274" s="34"/>
      <c r="AS274" s="34"/>
      <c r="AT274" s="35">
        <v>0.3199751902638549</v>
      </c>
      <c r="AU274" s="35">
        <v>169.25773627921012</v>
      </c>
      <c r="AV274" s="36"/>
      <c r="AW274" s="35">
        <v>29.757769805880582</v>
      </c>
      <c r="AX274" s="34"/>
      <c r="AY274" s="34"/>
      <c r="AZ274" s="34"/>
      <c r="BA274" s="34"/>
      <c r="BB274" s="34"/>
      <c r="BC274" s="34"/>
      <c r="BD274" s="34" t="e">
        <v>#DIV/0!</v>
      </c>
      <c r="BE274" s="34"/>
      <c r="BF274" s="34"/>
      <c r="BG274" s="34">
        <v>3.0533509907131128E-2</v>
      </c>
      <c r="BH274" s="35">
        <v>65.022529922553403</v>
      </c>
      <c r="BI274" s="34">
        <v>2.5040022462869214</v>
      </c>
      <c r="BJ274" s="34">
        <v>6.5925279109531632</v>
      </c>
      <c r="BK274" s="51">
        <v>0.8527683050671645</v>
      </c>
      <c r="BL274" s="72">
        <v>4.1010192107821775</v>
      </c>
      <c r="BM274" s="34">
        <v>1.1389923726824689</v>
      </c>
      <c r="BN274" s="34">
        <v>0.79015444060750328</v>
      </c>
      <c r="BO274" s="51">
        <v>1.4115727752870662</v>
      </c>
      <c r="BP274" s="34">
        <v>0.25549243973580987</v>
      </c>
      <c r="BQ274" s="74">
        <v>1.5793978878263406</v>
      </c>
      <c r="BR274" s="74">
        <v>0.34293326943702934</v>
      </c>
      <c r="BS274" s="52">
        <v>0.92892936981236729</v>
      </c>
      <c r="BT274" s="53">
        <v>0.13409390849918618</v>
      </c>
      <c r="BU274" s="37">
        <v>0.8534790290676233</v>
      </c>
      <c r="BV274" s="37">
        <v>0.11613317966942703</v>
      </c>
      <c r="BW274" s="34">
        <v>0.76400400643712074</v>
      </c>
      <c r="BX274" s="34">
        <v>0.14644075837328596</v>
      </c>
      <c r="BY274" s="36"/>
      <c r="BZ274" s="72">
        <v>11.306393536057934</v>
      </c>
      <c r="CA274" s="72">
        <v>10.772424313541421</v>
      </c>
      <c r="CB274" s="36"/>
      <c r="CC274" s="36"/>
      <c r="CD274" s="36"/>
      <c r="CE274" s="34">
        <v>0.40936232272772988</v>
      </c>
      <c r="CF274" s="34">
        <v>9.8515271398397428E-2</v>
      </c>
      <c r="CI274" s="29">
        <v>1.3390791994848195</v>
      </c>
      <c r="CJ274" s="41">
        <v>1.4284661142262762</v>
      </c>
      <c r="CK274" s="29">
        <v>1.4671730121501028</v>
      </c>
    </row>
    <row r="275" spans="1:132" x14ac:dyDescent="0.2">
      <c r="T275" s="38" t="e">
        <f t="shared" si="8"/>
        <v>#DIV/0!</v>
      </c>
    </row>
    <row r="276" spans="1:132" x14ac:dyDescent="0.2">
      <c r="T276" s="38" t="e">
        <f t="shared" si="8"/>
        <v>#DIV/0!</v>
      </c>
    </row>
    <row r="277" spans="1:132" x14ac:dyDescent="0.2">
      <c r="A277" t="s">
        <v>505</v>
      </c>
      <c r="D277" t="s">
        <v>691</v>
      </c>
      <c r="H277" s="30">
        <v>45.59</v>
      </c>
      <c r="I277" s="6">
        <v>0.53</v>
      </c>
      <c r="J277" s="6">
        <v>21.81</v>
      </c>
      <c r="K277" s="32">
        <v>0.17</v>
      </c>
      <c r="L277" s="6">
        <v>9.41</v>
      </c>
      <c r="M277" s="3">
        <v>0.15</v>
      </c>
      <c r="N277" s="6">
        <v>7.98</v>
      </c>
      <c r="O277" s="7">
        <v>14.02</v>
      </c>
      <c r="P277" s="32">
        <v>0.34</v>
      </c>
      <c r="Q277" s="32">
        <v>0.11</v>
      </c>
      <c r="R277" s="32">
        <v>0.15</v>
      </c>
      <c r="T277" s="38">
        <f t="shared" si="8"/>
        <v>60.186443778873077</v>
      </c>
      <c r="AE277" s="32"/>
      <c r="CI277" s="29" t="e">
        <v>#NUM!</v>
      </c>
      <c r="CJ277" s="41" t="e">
        <v>#NUM!</v>
      </c>
      <c r="CK277" s="29" t="e">
        <v>#NUM!</v>
      </c>
      <c r="CQ277" s="29">
        <v>5.6323060573857602E-2</v>
      </c>
      <c r="CR277" s="30">
        <v>0.84803400637619553</v>
      </c>
      <c r="CS277" s="29">
        <v>1.5940488841657809E-2</v>
      </c>
      <c r="CT277" s="29">
        <v>0.6428243924805136</v>
      </c>
    </row>
    <row r="278" spans="1:132" x14ac:dyDescent="0.2">
      <c r="A278" t="s">
        <v>505</v>
      </c>
      <c r="D278" t="s">
        <v>100</v>
      </c>
      <c r="H278" s="30">
        <v>45.8</v>
      </c>
      <c r="I278" s="6">
        <v>0.53100000000000003</v>
      </c>
      <c r="J278" s="6">
        <v>22.6</v>
      </c>
      <c r="K278" s="32">
        <v>0.19700000000000001</v>
      </c>
      <c r="L278" s="6">
        <v>9.65</v>
      </c>
      <c r="M278" s="3">
        <v>0.115</v>
      </c>
      <c r="N278" s="6">
        <v>9.07</v>
      </c>
      <c r="O278" s="7">
        <v>13.8</v>
      </c>
      <c r="P278" s="32">
        <v>0.37</v>
      </c>
      <c r="Q278" s="32">
        <v>0.16600000000000001</v>
      </c>
      <c r="T278" s="38">
        <f t="shared" si="8"/>
        <v>62.623268890421762</v>
      </c>
      <c r="AE278" s="32"/>
      <c r="CE278" s="30">
        <v>2.37</v>
      </c>
      <c r="CF278" s="30">
        <v>0.69699999999999995</v>
      </c>
      <c r="CI278" s="29"/>
      <c r="CJ278" s="41"/>
      <c r="CK278" s="29"/>
      <c r="CQ278" s="29">
        <v>5.50259067357513E-2</v>
      </c>
      <c r="CR278" s="30">
        <v>0.9398963730569948</v>
      </c>
      <c r="CS278" s="29">
        <v>1.1917098445595855E-2</v>
      </c>
      <c r="CT278" s="29">
        <v>0.61061946902654862</v>
      </c>
    </row>
    <row r="279" spans="1:132" x14ac:dyDescent="0.2">
      <c r="A279" t="s">
        <v>505</v>
      </c>
      <c r="D279" s="2" t="s">
        <v>1491</v>
      </c>
      <c r="J279" s="6">
        <v>22.3</v>
      </c>
      <c r="T279" s="38" t="e">
        <f t="shared" si="8"/>
        <v>#DIV/0!</v>
      </c>
      <c r="AE279" s="32"/>
      <c r="BZ279" s="33">
        <v>22</v>
      </c>
      <c r="CI279" s="29"/>
      <c r="CJ279" s="41"/>
      <c r="CK279" s="29"/>
      <c r="CQ279" s="29"/>
      <c r="CR279" s="30"/>
      <c r="CS279" s="29"/>
      <c r="CT279" s="29"/>
    </row>
    <row r="280" spans="1:132" x14ac:dyDescent="0.2">
      <c r="A280" t="s">
        <v>505</v>
      </c>
      <c r="D280" t="s">
        <v>700</v>
      </c>
      <c r="H280" s="30">
        <v>46.081497935801082</v>
      </c>
      <c r="I280" s="6">
        <v>0.45100761786086085</v>
      </c>
      <c r="J280" s="6">
        <v>22.471402264714868</v>
      </c>
      <c r="K280" s="32">
        <v>0.21768675515686531</v>
      </c>
      <c r="L280" s="6">
        <v>8.5624901593252094</v>
      </c>
      <c r="M280" s="139">
        <v>0.10886041025603353</v>
      </c>
      <c r="N280" s="137">
        <v>8.1333493834951547</v>
      </c>
      <c r="O280" s="7">
        <v>13.486636937525722</v>
      </c>
      <c r="P280" s="32">
        <v>0.36854233908759904</v>
      </c>
      <c r="Q280" s="32">
        <v>0.12721743059424284</v>
      </c>
      <c r="R280" s="32">
        <v>7.5657271184722985E-2</v>
      </c>
      <c r="S280" s="30"/>
      <c r="T280" s="38">
        <f t="shared" si="8"/>
        <v>62.870283585432873</v>
      </c>
      <c r="U280" s="30"/>
      <c r="W280" s="6"/>
      <c r="X280" s="6"/>
      <c r="Y280" s="6"/>
      <c r="Z280" s="6"/>
      <c r="AA280" s="6"/>
      <c r="AB280" s="6"/>
      <c r="AC280" s="30"/>
      <c r="AD280" s="30"/>
      <c r="AE280" s="32"/>
      <c r="CQ280" s="29">
        <v>5.2672483059110896E-2</v>
      </c>
      <c r="CR280" s="30">
        <v>0.94988131164592493</v>
      </c>
      <c r="CS280" s="29">
        <v>1.2713639166928114E-2</v>
      </c>
      <c r="CT280" s="29">
        <v>0.60016890706917569</v>
      </c>
    </row>
    <row r="281" spans="1:132" s="130" customFormat="1" x14ac:dyDescent="0.2">
      <c r="A281" t="s">
        <v>505</v>
      </c>
      <c r="D281" s="130" t="s">
        <v>717</v>
      </c>
      <c r="H281" s="146"/>
      <c r="I281" s="562">
        <v>0.46814401823347046</v>
      </c>
      <c r="J281" s="563">
        <v>22.366629134288843</v>
      </c>
      <c r="K281" s="141">
        <v>0.21818930548453608</v>
      </c>
      <c r="L281" s="137">
        <v>8.5624901593252094</v>
      </c>
      <c r="M281" s="559">
        <v>0.11579690908856202</v>
      </c>
      <c r="N281" s="558">
        <v>7.8141618876501449</v>
      </c>
      <c r="O281" s="33">
        <v>13.81968978444236</v>
      </c>
      <c r="P281" s="32">
        <v>0.3649107778819119</v>
      </c>
      <c r="Q281" s="32">
        <v>0.138282099343955</v>
      </c>
      <c r="R281" s="32"/>
      <c r="S281"/>
      <c r="T281" s="38">
        <f t="shared" si="8"/>
        <v>61.931007547776339</v>
      </c>
      <c r="U281"/>
      <c r="W281" s="136"/>
      <c r="X281" s="136"/>
      <c r="Y281" s="136"/>
      <c r="Z281" s="136"/>
      <c r="AA281" s="136"/>
      <c r="AB281"/>
      <c r="AC281"/>
      <c r="AD281"/>
      <c r="AE281"/>
      <c r="AF281"/>
      <c r="AG281"/>
      <c r="AH281"/>
      <c r="AI281" s="30">
        <v>19.431160262417997</v>
      </c>
      <c r="AJ281" s="150">
        <v>1492.8113402061856</v>
      </c>
      <c r="AK281"/>
      <c r="AL281" s="33">
        <v>40.294067478912837</v>
      </c>
      <c r="AM281" s="31">
        <v>533.14301780693529</v>
      </c>
      <c r="AN281" s="46">
        <v>19.311030927835052</v>
      </c>
      <c r="AO281"/>
      <c r="AP281"/>
      <c r="AQ281"/>
      <c r="AR281"/>
      <c r="AS281"/>
      <c r="AT281" s="31"/>
      <c r="AU281" s="31">
        <v>129.72380506091847</v>
      </c>
      <c r="AV281" s="54">
        <v>36.739636656832694</v>
      </c>
      <c r="AW281" s="31">
        <v>123.04882849109653</v>
      </c>
      <c r="AX281"/>
      <c r="AY281"/>
      <c r="AZ281"/>
      <c r="BA281"/>
      <c r="BB281"/>
      <c r="BC281"/>
      <c r="BD281"/>
      <c r="BE281"/>
      <c r="BF281"/>
      <c r="BG281"/>
      <c r="BH281" s="31">
        <v>116.48847235238988</v>
      </c>
      <c r="BI281" s="30">
        <v>9.3228041237113395</v>
      </c>
      <c r="BJ281">
        <v>24.431996251171505</v>
      </c>
      <c r="BK281" s="51">
        <v>2.9326752156111664</v>
      </c>
      <c r="BL281" s="33">
        <v>13.554554826616682</v>
      </c>
      <c r="BM281" s="30">
        <v>3.6777357075913777</v>
      </c>
      <c r="BN281" s="30">
        <v>0.83127319587628856</v>
      </c>
      <c r="BO281" s="51">
        <v>4.683223742560032</v>
      </c>
      <c r="BP281" s="30">
        <v>0.91079034676663539</v>
      </c>
      <c r="BQ281" s="74">
        <v>5.863713566747859</v>
      </c>
      <c r="BR281" s="74">
        <v>1.3206267191901131</v>
      </c>
      <c r="BS281" s="52">
        <v>3.7105571607393184</v>
      </c>
      <c r="BT281" s="53">
        <v>0.55558199180248469</v>
      </c>
      <c r="BU281">
        <v>3.6678481724461105</v>
      </c>
      <c r="BV281" s="32">
        <v>0.51127938144329887</v>
      </c>
      <c r="BW281" s="30">
        <v>3.3578716026241797</v>
      </c>
      <c r="BX281" s="30">
        <v>0.45965229615745068</v>
      </c>
      <c r="BY281">
        <v>0.19213776944704777</v>
      </c>
      <c r="BZ281" s="33">
        <v>23.344526710402999</v>
      </c>
      <c r="CA281" s="33">
        <v>8.0650140581068417</v>
      </c>
      <c r="CB281"/>
      <c r="CC281"/>
      <c r="CD281"/>
      <c r="CE281" s="30">
        <v>2.0971246485473287</v>
      </c>
      <c r="CF281" s="30">
        <v>0.54504779756326149</v>
      </c>
      <c r="CG281"/>
      <c r="CH281"/>
      <c r="CI281" s="29">
        <v>4.0843702730782256</v>
      </c>
      <c r="CJ281" s="41">
        <v>4.9269772213610512</v>
      </c>
      <c r="CK281" s="29">
        <v>5.0383237332408193</v>
      </c>
      <c r="CL281"/>
      <c r="CM281"/>
      <c r="CN281"/>
      <c r="CO281"/>
      <c r="CP281"/>
      <c r="CQ281" s="29"/>
      <c r="CR281"/>
      <c r="CS281" s="29"/>
      <c r="CT281" s="29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</row>
    <row r="282" spans="1:132" ht="18.75" customHeight="1" x14ac:dyDescent="0.2">
      <c r="C282" t="s">
        <v>279</v>
      </c>
      <c r="H282" s="30">
        <v>45.823832645267032</v>
      </c>
      <c r="I282" s="30">
        <v>0.4950379090235828</v>
      </c>
      <c r="J282" s="30">
        <v>22.30960627980074</v>
      </c>
      <c r="K282" s="32">
        <v>0.20071901516035034</v>
      </c>
      <c r="L282" s="30">
        <v>9.0462450796626044</v>
      </c>
      <c r="M282" s="32">
        <v>0.12241432983614889</v>
      </c>
      <c r="N282" s="30">
        <v>8.2493778177863248</v>
      </c>
      <c r="O282" s="33">
        <v>13.781581680492021</v>
      </c>
      <c r="P282" s="32">
        <v>0.36086327924237771</v>
      </c>
      <c r="Q282" s="32">
        <v>0.13537488248454946</v>
      </c>
      <c r="R282" s="32">
        <v>0.11282863559236149</v>
      </c>
      <c r="T282" s="38">
        <f t="shared" si="8"/>
        <v>61.913119808775186</v>
      </c>
      <c r="W282"/>
      <c r="X282"/>
      <c r="Y282"/>
      <c r="Z282"/>
      <c r="AA282"/>
      <c r="AB282"/>
      <c r="AE282" s="32"/>
      <c r="AG282" t="e">
        <v>#DIV/0!</v>
      </c>
      <c r="AH282" t="e">
        <v>#DIV/0!</v>
      </c>
      <c r="AI282" s="30">
        <v>19.431160262417997</v>
      </c>
      <c r="AJ282" s="31">
        <v>1492.8113402061856</v>
      </c>
      <c r="AK282" t="e">
        <v>#DIV/0!</v>
      </c>
      <c r="AL282" s="33">
        <v>40.294067478912837</v>
      </c>
      <c r="AM282" s="31">
        <v>533.14301780693529</v>
      </c>
      <c r="AN282" s="31">
        <v>19.311030927835052</v>
      </c>
      <c r="AO282" t="e">
        <v>#DIV/0!</v>
      </c>
      <c r="AP282" t="e">
        <v>#DIV/0!</v>
      </c>
      <c r="AQ282" t="e">
        <v>#DIV/0!</v>
      </c>
      <c r="AR282" t="e">
        <v>#DIV/0!</v>
      </c>
      <c r="AS282" t="e">
        <v>#DIV/0!</v>
      </c>
      <c r="AT282" s="31" t="e">
        <v>#DIV/0!</v>
      </c>
      <c r="AU282" s="31">
        <v>129.72380506091847</v>
      </c>
      <c r="AV282">
        <v>36.739636656832694</v>
      </c>
      <c r="AW282" s="31">
        <v>123.04882849109653</v>
      </c>
      <c r="AX282" t="e">
        <v>#DIV/0!</v>
      </c>
      <c r="AY282" t="e">
        <v>#DIV/0!</v>
      </c>
      <c r="AZ282" t="e">
        <v>#DIV/0!</v>
      </c>
      <c r="BA282" t="e">
        <v>#DIV/0!</v>
      </c>
      <c r="BB282" t="e">
        <v>#DIV/0!</v>
      </c>
      <c r="BC282" t="e">
        <v>#DIV/0!</v>
      </c>
      <c r="BD282" t="e">
        <v>#DIV/0!</v>
      </c>
      <c r="BE282" t="e">
        <v>#DIV/0!</v>
      </c>
      <c r="BF282" t="e">
        <v>#DIV/0!</v>
      </c>
      <c r="BG282" t="e">
        <v>#DIV/0!</v>
      </c>
      <c r="BH282" s="31">
        <v>116.48847235238988</v>
      </c>
      <c r="BI282" s="30">
        <v>9.3228041237113395</v>
      </c>
      <c r="BJ282">
        <v>24.431996251171505</v>
      </c>
      <c r="BK282">
        <v>2.9326752156111664</v>
      </c>
      <c r="BL282" s="33">
        <v>13.554554826616682</v>
      </c>
      <c r="BM282" s="30">
        <v>3.6777357075913777</v>
      </c>
      <c r="BN282" s="30">
        <v>0.83127319587628856</v>
      </c>
      <c r="BO282" s="30">
        <v>4.683223742560032</v>
      </c>
      <c r="BP282" s="30">
        <v>0.91079034676663539</v>
      </c>
      <c r="BQ282">
        <v>5.863713566747859</v>
      </c>
      <c r="BR282">
        <v>1.3206267191901131</v>
      </c>
      <c r="BS282">
        <v>3.7105571607393184</v>
      </c>
      <c r="BT282">
        <v>0.55558199180248469</v>
      </c>
      <c r="BU282">
        <v>3.6678481724461105</v>
      </c>
      <c r="BV282" s="32">
        <v>0.51127938144329887</v>
      </c>
      <c r="BW282" s="30">
        <v>3.3578716026241797</v>
      </c>
      <c r="BX282" s="30">
        <v>0.45965229615745068</v>
      </c>
      <c r="BY282">
        <v>0.19213776944704777</v>
      </c>
      <c r="BZ282" s="33">
        <v>22.672263355201501</v>
      </c>
      <c r="CA282" s="33">
        <v>8.0650140581068417</v>
      </c>
      <c r="CB282" t="e">
        <v>#DIV/0!</v>
      </c>
      <c r="CC282" t="e">
        <v>#DIV/0!</v>
      </c>
      <c r="CD282" t="e">
        <v>#DIV/0!</v>
      </c>
      <c r="CE282" s="30">
        <v>2.2335623242736644</v>
      </c>
      <c r="CF282" s="30">
        <v>0.62102389878163078</v>
      </c>
      <c r="CQ282" s="32">
        <v>5.4673816789573261E-2</v>
      </c>
      <c r="CR282" s="32">
        <v>0.91260389702637179</v>
      </c>
      <c r="CS282" s="32">
        <v>1.3523742151393925E-2</v>
      </c>
      <c r="CT282" s="32">
        <v>0.6178709228587459</v>
      </c>
    </row>
    <row r="283" spans="1:132" s="36" customFormat="1" x14ac:dyDescent="0.2">
      <c r="A283" s="36" t="s">
        <v>553</v>
      </c>
      <c r="G283" s="9">
        <v>100.63788155434808</v>
      </c>
      <c r="H283" s="34">
        <v>45.823832645267032</v>
      </c>
      <c r="I283" s="34">
        <v>0.4950379090235828</v>
      </c>
      <c r="J283" s="34">
        <v>22.30960627980074</v>
      </c>
      <c r="K283" s="37">
        <v>0.20071901516035034</v>
      </c>
      <c r="L283" s="34">
        <v>9.0462450796626044</v>
      </c>
      <c r="M283" s="37">
        <v>0.12241432983614889</v>
      </c>
      <c r="N283" s="34">
        <v>8.2493778177863248</v>
      </c>
      <c r="O283" s="72">
        <v>13.781581680492021</v>
      </c>
      <c r="P283" s="37">
        <v>0.36086327924237771</v>
      </c>
      <c r="Q283" s="37">
        <v>0.13537488248454946</v>
      </c>
      <c r="R283" s="37">
        <v>0.11282863559236149</v>
      </c>
      <c r="T283" s="38">
        <f t="shared" si="8"/>
        <v>61.913119808775186</v>
      </c>
      <c r="AD283" s="31">
        <v>1123.746899504245</v>
      </c>
      <c r="AG283" s="36" t="e">
        <v>#DIV/0!</v>
      </c>
      <c r="AH283" s="36" t="e">
        <v>#DIV/0!</v>
      </c>
      <c r="AI283" s="34">
        <v>19.431160262417997</v>
      </c>
      <c r="AJ283" s="35">
        <v>1492.8113402061856</v>
      </c>
      <c r="AK283" s="36" t="e">
        <v>#DIV/0!</v>
      </c>
      <c r="AL283" s="72">
        <v>40.294067478912837</v>
      </c>
      <c r="AM283" s="35">
        <v>533.14301780693529</v>
      </c>
      <c r="AN283" s="35">
        <v>19.311030927835052</v>
      </c>
      <c r="AO283" s="36" t="e">
        <v>#DIV/0!</v>
      </c>
      <c r="AP283" s="36" t="e">
        <v>#DIV/0!</v>
      </c>
      <c r="AQ283" s="36" t="e">
        <v>#DIV/0!</v>
      </c>
      <c r="AR283" s="36" t="e">
        <v>#DIV/0!</v>
      </c>
      <c r="AS283" s="36" t="e">
        <v>#DIV/0!</v>
      </c>
      <c r="AT283" s="35" t="e">
        <v>#DIV/0!</v>
      </c>
      <c r="AU283" s="35">
        <v>129.72380506091847</v>
      </c>
      <c r="AV283" s="36">
        <v>36.739636656832694</v>
      </c>
      <c r="AW283" s="35">
        <v>123.04882849109653</v>
      </c>
      <c r="AX283" s="36" t="e">
        <v>#DIV/0!</v>
      </c>
      <c r="AY283" s="36" t="e">
        <v>#DIV/0!</v>
      </c>
      <c r="AZ283" s="36" t="e">
        <v>#DIV/0!</v>
      </c>
      <c r="BA283" s="36" t="e">
        <v>#DIV/0!</v>
      </c>
      <c r="BB283" s="36" t="e">
        <v>#DIV/0!</v>
      </c>
      <c r="BC283" s="36" t="e">
        <v>#DIV/0!</v>
      </c>
      <c r="BD283" s="36" t="e">
        <v>#DIV/0!</v>
      </c>
      <c r="BE283" s="36" t="e">
        <v>#DIV/0!</v>
      </c>
      <c r="BF283" s="36" t="e">
        <v>#DIV/0!</v>
      </c>
      <c r="BG283" s="36" t="e">
        <v>#DIV/0!</v>
      </c>
      <c r="BH283" s="35">
        <v>116.48847235238988</v>
      </c>
      <c r="BI283" s="34">
        <v>9.3228041237113395</v>
      </c>
      <c r="BJ283" s="36">
        <v>24.431996251171505</v>
      </c>
      <c r="BK283" s="158">
        <v>3.0967023462460617</v>
      </c>
      <c r="BL283" s="72">
        <v>13.554554826616682</v>
      </c>
      <c r="BM283" s="34">
        <v>3.6777357075913777</v>
      </c>
      <c r="BN283" s="34">
        <v>0.83127319587628856</v>
      </c>
      <c r="BO283" s="34">
        <v>4.683223742560032</v>
      </c>
      <c r="BP283" s="34">
        <v>0.91079034676663539</v>
      </c>
      <c r="BQ283" s="36">
        <v>5.863713566747859</v>
      </c>
      <c r="BR283" s="36">
        <v>1.3206267191901131</v>
      </c>
      <c r="BS283" s="36">
        <v>3.7105571607393184</v>
      </c>
      <c r="BT283" s="36">
        <v>0.55558199180248469</v>
      </c>
      <c r="BU283" s="36">
        <v>3.6678481724461105</v>
      </c>
      <c r="BV283" s="37">
        <v>0.51127938144329887</v>
      </c>
      <c r="BW283" s="34">
        <v>3.3578716026241797</v>
      </c>
      <c r="BX283" s="34">
        <v>0.45965229615745068</v>
      </c>
      <c r="BY283" s="36">
        <v>0.19213776944704777</v>
      </c>
      <c r="BZ283" s="72">
        <v>22.672263355201501</v>
      </c>
      <c r="CA283" s="72">
        <v>8.0650140581068417</v>
      </c>
      <c r="CB283" s="36" t="e">
        <v>#DIV/0!</v>
      </c>
      <c r="CC283" s="36" t="e">
        <v>#DIV/0!</v>
      </c>
      <c r="CD283" s="36" t="e">
        <v>#DIV/0!</v>
      </c>
      <c r="CE283" s="34">
        <v>2.2335623242736644</v>
      </c>
      <c r="CF283" s="34">
        <v>0.62102389878163078</v>
      </c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</row>
    <row r="284" spans="1:132" x14ac:dyDescent="0.2">
      <c r="T284" s="38" t="e">
        <f t="shared" si="8"/>
        <v>#DIV/0!</v>
      </c>
    </row>
    <row r="285" spans="1:132" x14ac:dyDescent="0.2">
      <c r="T285" s="38" t="e">
        <f t="shared" si="8"/>
        <v>#DIV/0!</v>
      </c>
    </row>
    <row r="286" spans="1:132" x14ac:dyDescent="0.2">
      <c r="T286" s="38" t="e">
        <f t="shared" si="8"/>
        <v>#DIV/0!</v>
      </c>
    </row>
    <row r="287" spans="1:132" x14ac:dyDescent="0.2">
      <c r="A287" t="s">
        <v>780</v>
      </c>
      <c r="D287" t="s">
        <v>857</v>
      </c>
      <c r="F287" s="30">
        <v>100.03054106594843</v>
      </c>
      <c r="H287" s="30">
        <v>44.767940484183761</v>
      </c>
      <c r="I287" s="6">
        <v>0.28567117405740594</v>
      </c>
      <c r="J287" s="6">
        <v>26.468883584832824</v>
      </c>
      <c r="K287" s="3"/>
      <c r="L287" s="6">
        <v>6.2599021455053787</v>
      </c>
      <c r="M287" s="3">
        <v>8.7679703723437696E-2</v>
      </c>
      <c r="N287" s="6">
        <v>6.7145896257193636</v>
      </c>
      <c r="O287" s="7">
        <v>15.398224095511729</v>
      </c>
      <c r="P287" s="49"/>
      <c r="Q287" s="49">
        <v>2.1094501477825784E-2</v>
      </c>
      <c r="R287" s="32">
        <v>2.6555750936693993E-2</v>
      </c>
      <c r="S287" s="32"/>
      <c r="T287" s="38">
        <f t="shared" si="8"/>
        <v>65.660300446210613</v>
      </c>
      <c r="U287" s="32"/>
    </row>
    <row r="288" spans="1:132" x14ac:dyDescent="0.2">
      <c r="A288" t="s">
        <v>780</v>
      </c>
      <c r="D288" t="s">
        <v>935</v>
      </c>
      <c r="F288" s="30"/>
      <c r="H288" s="30">
        <v>44.351871174310581</v>
      </c>
      <c r="I288" s="6">
        <v>0.29003520568342128</v>
      </c>
      <c r="J288" s="6">
        <v>26.453920293936012</v>
      </c>
      <c r="K288" s="3" t="s">
        <v>936</v>
      </c>
      <c r="L288" s="38">
        <v>6.1493136042567826</v>
      </c>
      <c r="M288" s="3">
        <v>9.1683225000000007E-2</v>
      </c>
      <c r="N288" s="6">
        <v>7.0122495488588097</v>
      </c>
      <c r="O288" s="7">
        <v>15.435074213339394</v>
      </c>
      <c r="P288" s="49"/>
      <c r="Q288" s="49"/>
      <c r="R288" s="32">
        <v>2.0940624999999997E-2</v>
      </c>
      <c r="S288" s="32"/>
      <c r="T288" s="38">
        <f t="shared" si="8"/>
        <v>67.02668683118435</v>
      </c>
      <c r="U288" s="32"/>
    </row>
    <row r="289" spans="1:89" x14ac:dyDescent="0.2">
      <c r="A289" t="s">
        <v>780</v>
      </c>
      <c r="D289" t="s">
        <v>675</v>
      </c>
      <c r="F289" s="30"/>
      <c r="I289"/>
      <c r="J289" s="30"/>
      <c r="K289" s="3">
        <v>0.15694663405822648</v>
      </c>
      <c r="L289" s="6">
        <v>6.2599021455053787</v>
      </c>
      <c r="M289"/>
      <c r="N289" s="30"/>
      <c r="O289" s="39">
        <v>15.05</v>
      </c>
      <c r="P289" s="32">
        <v>0.33295749508701555</v>
      </c>
      <c r="T289" s="38">
        <f t="shared" si="8"/>
        <v>0</v>
      </c>
      <c r="AI289" s="30">
        <v>12.65757511294799</v>
      </c>
      <c r="AJ289" s="76">
        <v>1073.8001782856218</v>
      </c>
      <c r="AL289" s="33">
        <v>29.174059442047042</v>
      </c>
      <c r="AM289" s="31">
        <v>353.82864320589954</v>
      </c>
      <c r="AN289" s="208">
        <v>10.856692801718026</v>
      </c>
      <c r="AT289" s="30">
        <v>0.48250369740067667</v>
      </c>
      <c r="AU289" s="31">
        <v>147.23173078871127</v>
      </c>
      <c r="AW289" s="31">
        <v>36.196863793836989</v>
      </c>
      <c r="BG289" s="30">
        <v>3.9457221580664115E-2</v>
      </c>
      <c r="BH289" s="273">
        <v>34.292854393322393</v>
      </c>
      <c r="BI289" s="30">
        <v>2.5539484187280941</v>
      </c>
      <c r="BJ289" s="30">
        <v>6.8479928685751332</v>
      </c>
      <c r="BK289" s="51">
        <v>0.86817976148381448</v>
      </c>
      <c r="BL289" s="33">
        <v>4.1712960149111611</v>
      </c>
      <c r="BM289" s="30">
        <v>1.2692404222127673</v>
      </c>
      <c r="BN289" s="30">
        <v>0.76326827934115338</v>
      </c>
      <c r="BO289" s="51">
        <v>1.5642456581354247</v>
      </c>
      <c r="BP289" s="30">
        <v>0.28199457039243092</v>
      </c>
      <c r="BQ289" s="74">
        <v>1.8545714020614903</v>
      </c>
      <c r="BR289" s="74">
        <v>0.41378001441881879</v>
      </c>
      <c r="BS289" s="52">
        <v>1.1517050068619636</v>
      </c>
      <c r="BT289" s="53">
        <v>0.17082721662839168</v>
      </c>
      <c r="BU289">
        <v>1.1171747401689662</v>
      </c>
      <c r="BV289" s="32">
        <v>0.15669833262424276</v>
      </c>
      <c r="BW289" s="30">
        <v>0.94398365039810361</v>
      </c>
      <c r="BX289" s="30">
        <v>0.13482110658643812</v>
      </c>
      <c r="BZ289" s="33">
        <v>16.834617800198547</v>
      </c>
      <c r="CA289" s="33">
        <v>6.7307988411434589</v>
      </c>
      <c r="CE289" s="30">
        <v>0.41111691890030183</v>
      </c>
      <c r="CF289" s="30">
        <v>0.11129022062845681</v>
      </c>
      <c r="CI289" s="29">
        <v>1.5459933149552703</v>
      </c>
      <c r="CJ289" s="41">
        <v>1.5816839520220196</v>
      </c>
      <c r="CK289" s="29">
        <v>1.5650597074289843</v>
      </c>
    </row>
    <row r="290" spans="1:89" x14ac:dyDescent="0.2">
      <c r="A290" t="s">
        <v>780</v>
      </c>
      <c r="D290" s="50" t="s">
        <v>1354</v>
      </c>
      <c r="E290">
        <v>140</v>
      </c>
      <c r="H290">
        <v>43.41</v>
      </c>
      <c r="I290">
        <v>0.28000000000000003</v>
      </c>
      <c r="J290">
        <v>25.71</v>
      </c>
      <c r="K290" s="3">
        <v>0.17100000000000001</v>
      </c>
      <c r="L290">
        <v>6.3</v>
      </c>
      <c r="M290">
        <v>8.5000000000000006E-2</v>
      </c>
      <c r="N290">
        <v>6.8</v>
      </c>
      <c r="O290">
        <v>15.19</v>
      </c>
      <c r="P290">
        <v>0.35699999999999998</v>
      </c>
      <c r="Q290">
        <v>3.1E-2</v>
      </c>
      <c r="R290">
        <v>2.5999999999999999E-2</v>
      </c>
      <c r="T290" s="38">
        <f t="shared" si="8"/>
        <v>65.801192778678669</v>
      </c>
      <c r="W290"/>
      <c r="AI290">
        <v>12.75</v>
      </c>
      <c r="AJ290">
        <v>1168</v>
      </c>
      <c r="AK290">
        <v>32.5</v>
      </c>
      <c r="AL290">
        <v>27.1</v>
      </c>
      <c r="AM290">
        <v>324</v>
      </c>
      <c r="AN290">
        <v>16.899999999999999</v>
      </c>
      <c r="AO290">
        <v>3.1</v>
      </c>
      <c r="AT290" s="30">
        <v>0.59</v>
      </c>
      <c r="AU290">
        <v>136</v>
      </c>
      <c r="AV290">
        <v>10.6</v>
      </c>
      <c r="AW290">
        <v>58.2</v>
      </c>
      <c r="AX290">
        <v>2.64</v>
      </c>
      <c r="AY290">
        <v>0.41</v>
      </c>
      <c r="BA290">
        <v>0.11</v>
      </c>
      <c r="BG290">
        <v>4.7E-2</v>
      </c>
      <c r="BH290">
        <v>70.2</v>
      </c>
      <c r="BI290">
        <v>2.52</v>
      </c>
      <c r="BJ290">
        <v>6.21</v>
      </c>
      <c r="BK290">
        <v>0.89</v>
      </c>
      <c r="BL290">
        <v>4.1900000000000004</v>
      </c>
      <c r="BM290">
        <v>1.22</v>
      </c>
      <c r="BN290">
        <v>0.88</v>
      </c>
      <c r="BO290">
        <v>1.44</v>
      </c>
      <c r="BP290">
        <v>0.28999999999999998</v>
      </c>
      <c r="BQ290">
        <v>1.81</v>
      </c>
      <c r="BR290">
        <v>0.39</v>
      </c>
      <c r="BS290">
        <v>1.1599999999999999</v>
      </c>
      <c r="BT290">
        <v>0.16</v>
      </c>
      <c r="BU290">
        <v>1.1100000000000001</v>
      </c>
      <c r="BV290">
        <v>0.16400000000000001</v>
      </c>
      <c r="BW290">
        <v>0.83</v>
      </c>
      <c r="BX290">
        <v>0.18</v>
      </c>
      <c r="BY290">
        <v>0.19</v>
      </c>
      <c r="BZ290" s="2" t="s">
        <v>851</v>
      </c>
      <c r="CA290" s="2" t="s">
        <v>1107</v>
      </c>
      <c r="CC290">
        <v>0.83</v>
      </c>
      <c r="CE290"/>
      <c r="CF290"/>
      <c r="CG290" s="30"/>
      <c r="CI290" s="30"/>
    </row>
    <row r="291" spans="1:89" x14ac:dyDescent="0.2">
      <c r="F291" s="30"/>
      <c r="H291" s="48"/>
      <c r="T291" s="38" t="e">
        <f t="shared" si="8"/>
        <v>#DIV/0!</v>
      </c>
      <c r="AT291" s="30"/>
      <c r="BK291" s="191"/>
    </row>
    <row r="292" spans="1:89" x14ac:dyDescent="0.2">
      <c r="A292" t="s">
        <v>780</v>
      </c>
      <c r="B292" t="s">
        <v>107</v>
      </c>
      <c r="D292" s="50" t="s">
        <v>106</v>
      </c>
      <c r="E292" t="s">
        <v>1155</v>
      </c>
      <c r="F292">
        <v>61.575880959999999</v>
      </c>
      <c r="H292" s="48" t="s">
        <v>721</v>
      </c>
      <c r="I292" s="6">
        <v>0.28000000000000003</v>
      </c>
      <c r="J292" s="6" t="s">
        <v>722</v>
      </c>
      <c r="K292" s="32">
        <v>9.5880960000000001E-2</v>
      </c>
      <c r="L292" s="6" t="s">
        <v>723</v>
      </c>
      <c r="M292" s="3">
        <v>0.09</v>
      </c>
      <c r="N292" s="6" t="s">
        <v>724</v>
      </c>
      <c r="O292" s="7" t="s">
        <v>725</v>
      </c>
      <c r="P292" s="32" t="s">
        <v>726</v>
      </c>
      <c r="Q292" s="32" t="s">
        <v>1150</v>
      </c>
      <c r="R292" s="32" t="s">
        <v>642</v>
      </c>
      <c r="T292" s="38" t="e">
        <f t="shared" si="8"/>
        <v>#VALUE!</v>
      </c>
      <c r="AI292" s="30" t="s">
        <v>1156</v>
      </c>
      <c r="AJ292" s="31" t="s">
        <v>727</v>
      </c>
      <c r="AL292" s="33" t="s">
        <v>728</v>
      </c>
      <c r="AM292" s="31" t="s">
        <v>729</v>
      </c>
      <c r="AN292" s="31">
        <v>10.9</v>
      </c>
      <c r="AO292" s="33">
        <v>2.33</v>
      </c>
      <c r="AT292" s="30">
        <v>0.56000000000000005</v>
      </c>
      <c r="AU292" s="31">
        <v>140</v>
      </c>
      <c r="AV292">
        <v>8.23</v>
      </c>
      <c r="AW292" s="31">
        <v>32.200000000000003</v>
      </c>
      <c r="AX292" s="30">
        <v>2.5499999999999998</v>
      </c>
      <c r="BG292" s="30">
        <v>0.06</v>
      </c>
      <c r="BH292" s="31">
        <v>33.4</v>
      </c>
      <c r="BI292" s="30">
        <v>2.4900000000000002</v>
      </c>
      <c r="BJ292">
        <v>7.11</v>
      </c>
      <c r="BK292">
        <v>0.97</v>
      </c>
      <c r="BL292" s="33">
        <v>4.78</v>
      </c>
      <c r="BM292" s="30">
        <v>1.56</v>
      </c>
      <c r="BN292" s="30">
        <v>0.77</v>
      </c>
      <c r="BO292" s="30">
        <v>1.79</v>
      </c>
      <c r="BP292" s="30">
        <v>0.36</v>
      </c>
      <c r="BQ292">
        <v>1.86</v>
      </c>
      <c r="BR292">
        <v>0.4</v>
      </c>
      <c r="BS292">
        <v>1.04</v>
      </c>
      <c r="BT292">
        <v>0.15</v>
      </c>
      <c r="BU292">
        <v>1.07</v>
      </c>
      <c r="BV292" s="32">
        <v>0.15</v>
      </c>
      <c r="BW292" s="30">
        <v>1.07</v>
      </c>
      <c r="BX292" s="30">
        <v>0.21</v>
      </c>
      <c r="CE292" s="30">
        <v>0.47</v>
      </c>
      <c r="CF292" s="30">
        <v>0.14000000000000001</v>
      </c>
    </row>
    <row r="293" spans="1:89" x14ac:dyDescent="0.2">
      <c r="H293" s="48"/>
      <c r="T293" s="38" t="e">
        <f t="shared" si="8"/>
        <v>#DIV/0!</v>
      </c>
      <c r="AT293" s="30"/>
    </row>
    <row r="294" spans="1:89" x14ac:dyDescent="0.2">
      <c r="A294" s="36" t="s">
        <v>780</v>
      </c>
      <c r="D294" t="s">
        <v>279</v>
      </c>
      <c r="F294" s="30">
        <v>99.649740270373584</v>
      </c>
      <c r="H294" s="34">
        <v>44.176603886164777</v>
      </c>
      <c r="I294" s="34">
        <v>0.28392659493520683</v>
      </c>
      <c r="J294" s="34">
        <v>26.210934626256279</v>
      </c>
      <c r="K294" s="37">
        <v>0.1412758646860755</v>
      </c>
      <c r="L294" s="34">
        <v>6.2422794738168852</v>
      </c>
      <c r="M294" s="37">
        <v>8.8590732180859416E-2</v>
      </c>
      <c r="N294" s="34">
        <v>6.8422797248593916</v>
      </c>
      <c r="O294" s="72">
        <v>15.26832457721278</v>
      </c>
      <c r="P294" s="37">
        <v>0.34497874754350777</v>
      </c>
      <c r="Q294" s="37">
        <v>2.604725073891289E-2</v>
      </c>
      <c r="R294" s="37">
        <v>2.4498791978897996E-2</v>
      </c>
      <c r="S294" s="37"/>
      <c r="T294" s="38">
        <f t="shared" si="8"/>
        <v>66.146952006473597</v>
      </c>
      <c r="U294" s="37"/>
      <c r="V294" s="36"/>
      <c r="W294" s="34"/>
      <c r="X294" s="34"/>
      <c r="Y294" s="34"/>
      <c r="Z294" s="35">
        <v>686.11161850107976</v>
      </c>
      <c r="AA294" s="34"/>
      <c r="AB294" s="34"/>
      <c r="AC294" s="34"/>
      <c r="AD294" s="35">
        <v>216.21822838371591</v>
      </c>
      <c r="AE294" s="34" t="e">
        <v>#DIV/0!</v>
      </c>
      <c r="AF294" s="34" t="e">
        <v>#DIV/0!</v>
      </c>
      <c r="AG294" s="34" t="e">
        <v>#DIV/0!</v>
      </c>
      <c r="AH294" s="34" t="e">
        <v>#DIV/0!</v>
      </c>
      <c r="AI294" s="34">
        <v>12.703787556473994</v>
      </c>
      <c r="AJ294" s="35">
        <v>1120.9000891428109</v>
      </c>
      <c r="AK294" s="34">
        <v>32.5</v>
      </c>
      <c r="AL294" s="72">
        <v>28.137029721023524</v>
      </c>
      <c r="AM294" s="35">
        <v>338.91432160294977</v>
      </c>
      <c r="AN294" s="35">
        <v>12.88556426723934</v>
      </c>
      <c r="AO294" s="34">
        <v>2.7149999999999999</v>
      </c>
      <c r="AP294" s="34" t="e">
        <v>#DIV/0!</v>
      </c>
      <c r="AQ294" s="34" t="e">
        <v>#DIV/0!</v>
      </c>
      <c r="AR294" s="34" t="e">
        <v>#DIV/0!</v>
      </c>
      <c r="AS294" s="34" t="e">
        <v>#DIV/0!</v>
      </c>
      <c r="AT294" s="34">
        <v>0.5441678991335589</v>
      </c>
      <c r="AU294" s="35">
        <v>141.07724359623708</v>
      </c>
      <c r="AV294" s="411">
        <v>11.112466319297317</v>
      </c>
      <c r="AW294" s="35">
        <v>42.198954597945665</v>
      </c>
      <c r="AX294" s="34">
        <v>2.5949999999999998</v>
      </c>
      <c r="AY294" s="34">
        <v>0.41</v>
      </c>
      <c r="AZ294" s="34" t="e">
        <v>#DIV/0!</v>
      </c>
      <c r="BA294" s="34">
        <v>0.11</v>
      </c>
      <c r="BB294" s="34" t="e">
        <v>#DIV/0!</v>
      </c>
      <c r="BC294" s="34" t="e">
        <v>#DIV/0!</v>
      </c>
      <c r="BD294" s="34" t="e">
        <v>#DIV/0!</v>
      </c>
      <c r="BE294" s="34" t="e">
        <v>#DIV/0!</v>
      </c>
      <c r="BF294" s="34" t="e">
        <v>#DIV/0!</v>
      </c>
      <c r="BG294" s="34">
        <v>4.8819073860221364E-2</v>
      </c>
      <c r="BH294" s="35">
        <v>45.964284797774134</v>
      </c>
      <c r="BI294" s="34">
        <v>2.5213161395760313</v>
      </c>
      <c r="BJ294" s="34">
        <v>6.7226642895250448</v>
      </c>
      <c r="BK294" s="34">
        <v>0.90939325382793823</v>
      </c>
      <c r="BL294" s="72">
        <v>4.3804320049703875</v>
      </c>
      <c r="BM294" s="34">
        <v>1.3497468074042558</v>
      </c>
      <c r="BN294" s="34">
        <v>0.80442275978038447</v>
      </c>
      <c r="BO294" s="34">
        <v>1.5980818860451416</v>
      </c>
      <c r="BP294" s="34">
        <v>0.31066485679747696</v>
      </c>
      <c r="BQ294" s="34">
        <v>1.8415238006871635</v>
      </c>
      <c r="BR294" s="34">
        <v>0.40126000480627289</v>
      </c>
      <c r="BS294" s="34">
        <v>1.1172350022873212</v>
      </c>
      <c r="BT294" s="34">
        <v>0.16027573887613056</v>
      </c>
      <c r="BU294" s="34">
        <v>1.0990582467229888</v>
      </c>
      <c r="BV294" s="37">
        <v>0.15689944420808091</v>
      </c>
      <c r="BW294" s="34">
        <v>0.94799455013270129</v>
      </c>
      <c r="BX294" s="34">
        <v>0.17494036886214603</v>
      </c>
      <c r="BY294" s="34">
        <v>0.19</v>
      </c>
      <c r="BZ294" s="72">
        <v>16.834617800198547</v>
      </c>
      <c r="CA294" s="72">
        <v>6.7307988411434589</v>
      </c>
      <c r="CB294" s="34" t="e">
        <v>#DIV/0!</v>
      </c>
      <c r="CC294" s="34">
        <v>0.83</v>
      </c>
      <c r="CD294" s="34" t="e">
        <v>#DIV/0!</v>
      </c>
      <c r="CE294" s="34">
        <v>0.44055845945015093</v>
      </c>
      <c r="CF294" s="34">
        <v>0.12564511031422843</v>
      </c>
      <c r="CI294" s="29">
        <v>1.6936876409109138</v>
      </c>
      <c r="CJ294" s="41">
        <v>1.7220896007606115</v>
      </c>
      <c r="CK294" s="29">
        <v>1.7636509948757633</v>
      </c>
    </row>
    <row r="295" spans="1:89" x14ac:dyDescent="0.2">
      <c r="H295" s="48"/>
      <c r="T295" s="38" t="e">
        <f t="shared" si="8"/>
        <v>#DIV/0!</v>
      </c>
    </row>
    <row r="296" spans="1:89" x14ac:dyDescent="0.2">
      <c r="T296" s="38" t="e">
        <f t="shared" si="8"/>
        <v>#DIV/0!</v>
      </c>
      <c r="BJ296" s="32"/>
      <c r="BK296" s="32"/>
      <c r="BQ296" s="32"/>
      <c r="BR296" s="32"/>
      <c r="BS296" s="32"/>
      <c r="BT296" s="32"/>
      <c r="BU296" s="32"/>
    </row>
    <row r="297" spans="1:89" x14ac:dyDescent="0.2">
      <c r="T297" s="38" t="e">
        <f t="shared" si="8"/>
        <v>#DIV/0!</v>
      </c>
    </row>
    <row r="298" spans="1:89" x14ac:dyDescent="0.2">
      <c r="A298" t="s">
        <v>1338</v>
      </c>
      <c r="C298" t="s">
        <v>865</v>
      </c>
      <c r="D298" t="s">
        <v>864</v>
      </c>
      <c r="E298">
        <v>827</v>
      </c>
      <c r="H298" s="30">
        <v>45.15</v>
      </c>
      <c r="I298" s="6">
        <v>2.21</v>
      </c>
      <c r="J298" s="6">
        <v>15.88</v>
      </c>
      <c r="K298" s="32">
        <v>0.14000000000000001</v>
      </c>
      <c r="L298" s="6">
        <v>10.67</v>
      </c>
      <c r="M298" s="3">
        <v>0.14000000000000001</v>
      </c>
      <c r="N298" s="6">
        <v>11.09</v>
      </c>
      <c r="O298" s="7">
        <v>10.16</v>
      </c>
      <c r="P298" s="32">
        <v>0.98</v>
      </c>
      <c r="Q298" s="32">
        <v>0.54</v>
      </c>
      <c r="R298" s="32">
        <v>1.1399999999999999</v>
      </c>
      <c r="T298" s="38">
        <f t="shared" si="8"/>
        <v>64.946353561042272</v>
      </c>
      <c r="AD298" s="31">
        <v>4482.54</v>
      </c>
      <c r="AI298" s="30">
        <v>25</v>
      </c>
      <c r="AJ298" s="31">
        <v>957.88000000000011</v>
      </c>
      <c r="AK298">
        <v>36</v>
      </c>
      <c r="AL298" s="33">
        <v>31</v>
      </c>
      <c r="AM298" s="31">
        <v>204</v>
      </c>
      <c r="AN298" s="31">
        <v>31</v>
      </c>
      <c r="AT298" s="31">
        <v>13.7</v>
      </c>
      <c r="AU298" s="31">
        <v>359</v>
      </c>
      <c r="AV298">
        <v>532</v>
      </c>
      <c r="AW298" s="31">
        <v>2835</v>
      </c>
      <c r="AX298" s="31">
        <v>124</v>
      </c>
      <c r="BG298" s="30">
        <v>0.8</v>
      </c>
      <c r="BH298" s="31">
        <v>1520</v>
      </c>
      <c r="BI298" s="30">
        <v>170</v>
      </c>
      <c r="BJ298">
        <v>427</v>
      </c>
      <c r="BK298">
        <v>57.45</v>
      </c>
      <c r="BL298" s="33">
        <v>256.5</v>
      </c>
      <c r="BM298" s="30">
        <v>70.150000000000006</v>
      </c>
      <c r="BN298" s="30">
        <v>4.2</v>
      </c>
      <c r="BO298" s="30">
        <v>86.4</v>
      </c>
      <c r="BP298" s="30">
        <v>15.1</v>
      </c>
      <c r="BQ298">
        <v>94.15</v>
      </c>
      <c r="BR298">
        <v>21.3</v>
      </c>
      <c r="BS298">
        <v>58.05</v>
      </c>
      <c r="BT298">
        <v>9.1300000000000008</v>
      </c>
      <c r="BU298" s="33">
        <v>54.65</v>
      </c>
      <c r="BV298" s="32">
        <v>7.64</v>
      </c>
      <c r="BW298" s="30">
        <v>64.3</v>
      </c>
      <c r="BX298" s="30">
        <v>7.1</v>
      </c>
      <c r="BY298">
        <v>3.45</v>
      </c>
      <c r="BZ298" s="33">
        <v>4.2</v>
      </c>
      <c r="CA298" s="33">
        <v>6</v>
      </c>
      <c r="CE298" s="30">
        <v>32.700000000000003</v>
      </c>
      <c r="CF298" s="30">
        <v>8.6</v>
      </c>
    </row>
    <row r="299" spans="1:89" x14ac:dyDescent="0.2">
      <c r="A299" t="s">
        <v>1338</v>
      </c>
      <c r="C299" t="s">
        <v>865</v>
      </c>
      <c r="D299" t="s">
        <v>717</v>
      </c>
      <c r="E299">
        <v>98</v>
      </c>
      <c r="I299"/>
      <c r="K299" s="32">
        <v>0.13414560628682087</v>
      </c>
      <c r="L299" s="6">
        <v>11.378866578330445</v>
      </c>
      <c r="M299"/>
      <c r="O299" s="7" t="s">
        <v>1319</v>
      </c>
      <c r="P299" s="32">
        <v>0.86516277647538464</v>
      </c>
      <c r="Q299" s="32" t="s">
        <v>916</v>
      </c>
      <c r="T299" s="38">
        <f t="shared" si="8"/>
        <v>0</v>
      </c>
      <c r="AI299" s="30">
        <v>25.811181327081844</v>
      </c>
      <c r="AJ299" s="31">
        <v>917.79971460605418</v>
      </c>
      <c r="AL299" s="33">
        <v>30.244932218937922</v>
      </c>
      <c r="AM299" s="31">
        <v>252.06910610539188</v>
      </c>
      <c r="AN299" s="46">
        <v>21.342870247681173</v>
      </c>
      <c r="AQ299" s="30">
        <v>7.0050963204566302E-2</v>
      </c>
      <c r="AS299" s="30">
        <v>0.82629089797166444</v>
      </c>
      <c r="AT299" s="31">
        <v>9.181255733360512</v>
      </c>
      <c r="AU299" s="31">
        <v>311.14055651819382</v>
      </c>
      <c r="AW299" s="31">
        <v>2262.9283457343795</v>
      </c>
      <c r="AX299" s="31"/>
      <c r="BD299" s="32">
        <v>2.3147487514014881E-3</v>
      </c>
      <c r="BG299" s="30">
        <v>0.51566201202731621</v>
      </c>
      <c r="BH299" s="31">
        <v>1285.248394659056</v>
      </c>
      <c r="BI299" s="30">
        <v>171.54442972174087</v>
      </c>
      <c r="BJ299" s="31">
        <v>436.45744572418704</v>
      </c>
      <c r="BL299" s="33">
        <v>258.00315971868304</v>
      </c>
      <c r="BM299" s="30">
        <v>74.833523595963712</v>
      </c>
      <c r="BN299" s="30">
        <v>3.9544969931709297</v>
      </c>
      <c r="BO299" s="48">
        <v>86.952566311229248</v>
      </c>
      <c r="BP299" s="30">
        <v>15.196571195596777</v>
      </c>
      <c r="BQ299" s="46">
        <v>94.752130997711035</v>
      </c>
      <c r="BR299" s="46">
        <v>21.436222944782209</v>
      </c>
      <c r="BS299" s="79">
        <v>58.161499457775733</v>
      </c>
      <c r="BT299" s="79">
        <v>9.147536434961113</v>
      </c>
      <c r="BU299" s="33">
        <v>54.754968912445207</v>
      </c>
      <c r="BV299" s="32">
        <v>7.5048832942615427</v>
      </c>
      <c r="BW299" s="30">
        <v>52.389705432677594</v>
      </c>
      <c r="BX299" s="30">
        <v>6.4525634491896842</v>
      </c>
      <c r="BY299" s="33">
        <v>3.013800835796554</v>
      </c>
      <c r="BZ299" s="33">
        <v>6.2524105595759849</v>
      </c>
      <c r="CA299" s="79"/>
      <c r="CE299" s="30">
        <v>30.021272041585974</v>
      </c>
      <c r="CF299" s="30">
        <v>7.9054316583426756</v>
      </c>
    </row>
    <row r="300" spans="1:89" x14ac:dyDescent="0.2">
      <c r="A300" t="s">
        <v>1338</v>
      </c>
      <c r="C300" t="s">
        <v>865</v>
      </c>
      <c r="D300" t="s">
        <v>700</v>
      </c>
      <c r="H300" s="30">
        <v>45.507728242717135</v>
      </c>
      <c r="I300" s="6">
        <v>2.2954708275270344</v>
      </c>
      <c r="J300" s="6">
        <v>15.183106164377719</v>
      </c>
      <c r="K300" s="32">
        <v>0.13067309701127314</v>
      </c>
      <c r="L300" s="6">
        <v>11.378866578330445</v>
      </c>
      <c r="M300" s="3">
        <v>0.15324284034218782</v>
      </c>
      <c r="N300" s="6">
        <v>10.844662359040591</v>
      </c>
      <c r="O300" s="7">
        <v>11.090813371579141</v>
      </c>
      <c r="P300" s="32">
        <v>0.86967595588568569</v>
      </c>
      <c r="Q300" s="32">
        <v>0.4057410116095248</v>
      </c>
      <c r="R300" s="32">
        <v>1.3208145228567909</v>
      </c>
      <c r="T300" s="38">
        <f t="shared" si="8"/>
        <v>62.948064067120036</v>
      </c>
      <c r="AN300" s="46"/>
      <c r="AX300" s="31"/>
      <c r="BD300" s="32"/>
      <c r="BJ300" s="31"/>
      <c r="BU300" s="33"/>
      <c r="BY300" s="33"/>
      <c r="CA300" s="79"/>
    </row>
    <row r="301" spans="1:89" x14ac:dyDescent="0.2">
      <c r="A301" t="s">
        <v>1338</v>
      </c>
      <c r="C301" t="s">
        <v>865</v>
      </c>
      <c r="F301" s="30">
        <v>98.738253200798411</v>
      </c>
      <c r="H301" s="34">
        <v>45.328864121358563</v>
      </c>
      <c r="I301" s="34">
        <v>2.2527354137635172</v>
      </c>
      <c r="J301" s="34">
        <v>15.531553082188861</v>
      </c>
      <c r="K301" s="37">
        <v>0.13493956776603133</v>
      </c>
      <c r="L301" s="34">
        <v>11.142577718886963</v>
      </c>
      <c r="M301" s="37">
        <v>0.14662142017109392</v>
      </c>
      <c r="N301" s="34">
        <v>10.967331179520295</v>
      </c>
      <c r="O301" s="72">
        <v>10.625406685789571</v>
      </c>
      <c r="P301" s="37">
        <v>0.90494624412035674</v>
      </c>
      <c r="Q301" s="37">
        <v>0.47287050580476242</v>
      </c>
      <c r="R301" s="37">
        <v>1.2304072614283954</v>
      </c>
      <c r="S301" s="36"/>
      <c r="T301" s="38">
        <f t="shared" si="8"/>
        <v>63.696641507654441</v>
      </c>
      <c r="U301" s="36"/>
      <c r="W301" s="36" t="e">
        <v>#DIV/0!</v>
      </c>
      <c r="X301" s="36" t="e">
        <v>#DIV/0!</v>
      </c>
      <c r="Y301" s="36" t="e">
        <v>#DIV/0!</v>
      </c>
      <c r="Z301" s="36" t="e">
        <v>#DIV/0!</v>
      </c>
      <c r="AA301" s="36" t="e">
        <v>#DIV/0!</v>
      </c>
      <c r="AB301" s="36" t="e">
        <v>#DIV/0!</v>
      </c>
      <c r="AC301" s="36" t="e">
        <v>#DIV/0!</v>
      </c>
      <c r="AD301" s="36">
        <v>4482.54</v>
      </c>
      <c r="AE301" s="36" t="e">
        <v>#DIV/0!</v>
      </c>
      <c r="AF301" s="36" t="e">
        <v>#DIV/0!</v>
      </c>
      <c r="AG301" s="36" t="e">
        <v>#DIV/0!</v>
      </c>
      <c r="AH301" s="36" t="e">
        <v>#DIV/0!</v>
      </c>
      <c r="AI301" s="34">
        <v>25.40559066354092</v>
      </c>
      <c r="AJ301" s="35">
        <v>937.8398573030272</v>
      </c>
      <c r="AK301" s="36">
        <v>36</v>
      </c>
      <c r="AL301" s="72">
        <v>30.622466109468959</v>
      </c>
      <c r="AM301" s="35">
        <v>228.03455305269594</v>
      </c>
      <c r="AN301" s="35">
        <v>26.171435123840588</v>
      </c>
      <c r="AO301" s="36" t="e">
        <v>#DIV/0!</v>
      </c>
      <c r="AP301" s="36" t="e">
        <v>#DIV/0!</v>
      </c>
      <c r="AQ301" s="34">
        <v>7.0050963204566302E-2</v>
      </c>
      <c r="AR301" s="36" t="e">
        <v>#DIV/0!</v>
      </c>
      <c r="AS301" s="34">
        <v>0.82629089797166444</v>
      </c>
      <c r="AT301" s="35">
        <v>11.440627866680256</v>
      </c>
      <c r="AU301" s="35">
        <v>335.07027825909688</v>
      </c>
      <c r="AV301" s="35">
        <v>532</v>
      </c>
      <c r="AW301" s="35">
        <v>2548.9641728671895</v>
      </c>
      <c r="AX301" s="36">
        <v>124</v>
      </c>
      <c r="AY301" s="36" t="e">
        <v>#DIV/0!</v>
      </c>
      <c r="AZ301" s="36" t="e">
        <v>#DIV/0!</v>
      </c>
      <c r="BA301" s="36" t="e">
        <v>#DIV/0!</v>
      </c>
      <c r="BB301" s="36" t="e">
        <v>#DIV/0!</v>
      </c>
      <c r="BC301" s="36" t="e">
        <v>#DIV/0!</v>
      </c>
      <c r="BD301" s="34">
        <v>2.3147487514014881E-3</v>
      </c>
      <c r="BE301" s="36" t="e">
        <v>#DIV/0!</v>
      </c>
      <c r="BF301" s="36" t="e">
        <v>#DIV/0!</v>
      </c>
      <c r="BG301" s="36">
        <v>0.65783100601365807</v>
      </c>
      <c r="BH301" s="35">
        <v>1402.624197329528</v>
      </c>
      <c r="BI301" s="34">
        <v>170.77221486087043</v>
      </c>
      <c r="BJ301" s="72">
        <v>431.72872286209349</v>
      </c>
      <c r="BK301" s="72">
        <v>57.45</v>
      </c>
      <c r="BL301" s="72">
        <v>257.25157985934152</v>
      </c>
      <c r="BM301" s="34">
        <v>72.491761797981866</v>
      </c>
      <c r="BN301" s="34">
        <v>4.0772484965854652</v>
      </c>
      <c r="BO301" s="34">
        <v>86.676283155614627</v>
      </c>
      <c r="BP301" s="34">
        <v>15.148285597798388</v>
      </c>
      <c r="BQ301" s="72">
        <v>94.451065498855513</v>
      </c>
      <c r="BR301" s="72">
        <v>21.368111472391107</v>
      </c>
      <c r="BS301" s="72">
        <v>58.105749728887865</v>
      </c>
      <c r="BT301" s="72">
        <v>9.1387682174805569</v>
      </c>
      <c r="BU301" s="36">
        <v>54.702484456222606</v>
      </c>
      <c r="BV301" s="37">
        <v>7.5724416471307716</v>
      </c>
      <c r="BW301" s="34">
        <v>58.344852716338792</v>
      </c>
      <c r="BX301" s="34">
        <v>6.7762817245948419</v>
      </c>
      <c r="BY301" s="72">
        <v>3.2319004178982773</v>
      </c>
      <c r="BZ301" s="72">
        <v>5.2262052797879921</v>
      </c>
      <c r="CA301" s="72">
        <v>6</v>
      </c>
      <c r="CB301" s="36" t="e">
        <v>#DIV/0!</v>
      </c>
      <c r="CC301" s="36" t="e">
        <v>#DIV/0!</v>
      </c>
      <c r="CD301" s="36" t="e">
        <v>#DIV/0!</v>
      </c>
      <c r="CE301" s="34">
        <v>31.360636020792988</v>
      </c>
      <c r="CF301" s="34">
        <v>8.2527158291713381</v>
      </c>
    </row>
    <row r="302" spans="1:89" x14ac:dyDescent="0.2">
      <c r="A302" s="36"/>
      <c r="T302" s="38" t="e">
        <f t="shared" si="8"/>
        <v>#DIV/0!</v>
      </c>
      <c r="AD302" s="31"/>
      <c r="AX302" s="31"/>
      <c r="BU302" s="33"/>
    </row>
    <row r="303" spans="1:89" x14ac:dyDescent="0.2">
      <c r="T303" s="38" t="e">
        <f t="shared" si="8"/>
        <v>#DIV/0!</v>
      </c>
      <c r="AX303" s="31"/>
      <c r="BD303" s="32"/>
    </row>
    <row r="304" spans="1:89" x14ac:dyDescent="0.2">
      <c r="A304" t="s">
        <v>1338</v>
      </c>
      <c r="C304" t="s">
        <v>939</v>
      </c>
      <c r="D304" t="s">
        <v>864</v>
      </c>
      <c r="E304">
        <v>185</v>
      </c>
      <c r="H304" s="30">
        <v>46.9</v>
      </c>
      <c r="I304" s="6">
        <v>2.4900000000000002</v>
      </c>
      <c r="J304" s="6">
        <v>17.54</v>
      </c>
      <c r="K304" s="32">
        <v>0.19</v>
      </c>
      <c r="L304" s="6">
        <v>11.09</v>
      </c>
      <c r="M304" s="3">
        <v>0.14000000000000001</v>
      </c>
      <c r="N304" s="6">
        <v>7.94</v>
      </c>
      <c r="O304" s="7">
        <v>11.72</v>
      </c>
      <c r="P304" s="32">
        <v>0.78</v>
      </c>
      <c r="Q304" s="32">
        <v>0.46</v>
      </c>
      <c r="R304" s="32">
        <v>0.42</v>
      </c>
      <c r="T304" s="38">
        <f t="shared" si="8"/>
        <v>56.068528051993034</v>
      </c>
      <c r="AD304">
        <v>3818.46</v>
      </c>
      <c r="AI304" s="30">
        <v>28</v>
      </c>
      <c r="AJ304" s="31">
        <v>1299.98</v>
      </c>
      <c r="AK304">
        <v>61</v>
      </c>
      <c r="AL304" s="33">
        <v>19</v>
      </c>
      <c r="AM304" s="31">
        <v>82</v>
      </c>
      <c r="AN304" s="31">
        <v>19</v>
      </c>
      <c r="AT304" s="31">
        <v>10</v>
      </c>
      <c r="AU304" s="31">
        <v>214</v>
      </c>
      <c r="AV304">
        <v>162.5</v>
      </c>
      <c r="AW304" s="31">
        <v>596</v>
      </c>
      <c r="AX304" s="30">
        <v>18</v>
      </c>
      <c r="BG304" s="30">
        <v>0.4</v>
      </c>
      <c r="BH304" s="31">
        <v>593</v>
      </c>
      <c r="BI304" s="30">
        <v>52</v>
      </c>
      <c r="BJ304">
        <v>139</v>
      </c>
      <c r="BK304">
        <v>17.100000000000001</v>
      </c>
      <c r="BL304" s="33">
        <v>76.900000000000006</v>
      </c>
      <c r="BM304" s="30">
        <v>21.9</v>
      </c>
      <c r="BN304" s="30">
        <v>2.4300000000000002</v>
      </c>
      <c r="BO304" s="30">
        <v>25.3</v>
      </c>
      <c r="BP304" s="30">
        <v>5.08</v>
      </c>
      <c r="BQ304">
        <v>30.7</v>
      </c>
      <c r="BR304">
        <v>6.36</v>
      </c>
      <c r="BS304">
        <v>18.600000000000001</v>
      </c>
      <c r="BT304">
        <v>2.72</v>
      </c>
      <c r="BU304">
        <v>16.899999999999999</v>
      </c>
      <c r="BV304" s="32">
        <v>2.5299999999999998</v>
      </c>
      <c r="BW304" s="30">
        <v>14.8</v>
      </c>
      <c r="BX304" s="30">
        <v>2.14</v>
      </c>
      <c r="BY304">
        <v>1.3</v>
      </c>
      <c r="CE304" s="30">
        <v>8.44</v>
      </c>
      <c r="CF304" s="30">
        <v>2.27</v>
      </c>
    </row>
    <row r="305" spans="1:132" x14ac:dyDescent="0.2">
      <c r="A305" t="s">
        <v>1338</v>
      </c>
      <c r="C305" t="s">
        <v>939</v>
      </c>
      <c r="D305" t="s">
        <v>717</v>
      </c>
      <c r="E305">
        <v>173</v>
      </c>
      <c r="K305" s="32">
        <v>0.2323616652204491</v>
      </c>
      <c r="L305" s="6">
        <v>11.441572220719504</v>
      </c>
      <c r="M305"/>
      <c r="O305" s="7">
        <v>12.748502163916692</v>
      </c>
      <c r="P305" s="32">
        <v>0.73885549093859892</v>
      </c>
      <c r="Q305" s="32">
        <v>0.51600182580470655</v>
      </c>
      <c r="T305" s="38">
        <f t="shared" si="8"/>
        <v>0</v>
      </c>
      <c r="AI305" s="30">
        <v>28.501714227752235</v>
      </c>
      <c r="AJ305" s="31">
        <v>1589.7760346226676</v>
      </c>
      <c r="AL305" s="33">
        <v>24.339741682445226</v>
      </c>
      <c r="AM305" s="31">
        <v>49.278908574519896</v>
      </c>
      <c r="AN305" s="46">
        <v>8.9799972951041394</v>
      </c>
      <c r="AQ305" s="30">
        <v>0.19495334054638899</v>
      </c>
      <c r="AR305" s="30">
        <v>5.0777657560183945E-2</v>
      </c>
      <c r="AS305" s="30">
        <v>0.42742257235596437</v>
      </c>
      <c r="AT305" s="31">
        <v>10.583266837976741</v>
      </c>
      <c r="AU305" s="31">
        <v>232.74415066269955</v>
      </c>
      <c r="AW305" s="31">
        <v>695.06931295645131</v>
      </c>
      <c r="AX305" s="31"/>
      <c r="AZ305" s="30">
        <v>0</v>
      </c>
      <c r="BD305" s="32">
        <v>6.5482147687314068E-3</v>
      </c>
      <c r="BG305" s="30">
        <v>0.57358838247227495</v>
      </c>
      <c r="BH305" s="31">
        <v>626.89048552880718</v>
      </c>
      <c r="BI305" s="30">
        <v>47.497592642683273</v>
      </c>
      <c r="BJ305" s="31">
        <v>124.35493305382744</v>
      </c>
      <c r="BL305" s="33">
        <v>71.712642007032741</v>
      </c>
      <c r="BM305" s="30">
        <v>21.66057445225859</v>
      </c>
      <c r="BN305" s="30">
        <v>2.2282949012713016</v>
      </c>
      <c r="BP305" s="30">
        <v>4.5255626183391948</v>
      </c>
      <c r="BU305" s="33">
        <v>16.737589937787401</v>
      </c>
      <c r="BV305" s="32">
        <v>2.3088950162293753</v>
      </c>
      <c r="BW305" s="30">
        <v>17.798185691100898</v>
      </c>
      <c r="BX305" s="30">
        <v>2.2732066540438201</v>
      </c>
      <c r="BY305" s="33">
        <v>0.90376634433324321</v>
      </c>
      <c r="BZ305" s="33">
        <v>1.1495875033811198</v>
      </c>
      <c r="CA305" s="33">
        <v>1.50240059507709</v>
      </c>
      <c r="CE305" s="30">
        <v>9.0470939275087936</v>
      </c>
      <c r="CF305" s="30">
        <v>2.6240810116310529</v>
      </c>
      <c r="CG305" s="30">
        <v>295.76</v>
      </c>
    </row>
    <row r="306" spans="1:132" x14ac:dyDescent="0.2">
      <c r="A306" t="s">
        <v>1338</v>
      </c>
      <c r="C306" t="s">
        <v>939</v>
      </c>
      <c r="D306" t="s">
        <v>700</v>
      </c>
      <c r="H306" s="30">
        <v>47.101878645766853</v>
      </c>
      <c r="I306" s="6">
        <v>2.5352911134987473</v>
      </c>
      <c r="J306" s="6">
        <v>16.808730856449447</v>
      </c>
      <c r="K306" s="32">
        <v>0.24617838722108043</v>
      </c>
      <c r="L306" s="6">
        <v>11.441572220719504</v>
      </c>
      <c r="M306" s="3">
        <v>0.15868616733238161</v>
      </c>
      <c r="N306" s="6">
        <v>8.1853083473191646</v>
      </c>
      <c r="O306" s="7">
        <v>11.357392660099784</v>
      </c>
      <c r="P306" s="32">
        <v>0.74581969860513819</v>
      </c>
      <c r="Q306" s="32">
        <v>0.50080158644022221</v>
      </c>
      <c r="R306" s="32">
        <v>0.3624082940724731</v>
      </c>
      <c r="T306" s="38">
        <f t="shared" si="8"/>
        <v>56.04926512798432</v>
      </c>
      <c r="AN306" s="46"/>
      <c r="AX306" s="31"/>
      <c r="BD306" s="32"/>
      <c r="BJ306" s="31"/>
      <c r="BU306" s="33"/>
      <c r="BY306" s="33"/>
      <c r="CG306" s="30"/>
    </row>
    <row r="307" spans="1:132" x14ac:dyDescent="0.2">
      <c r="A307" t="s">
        <v>1338</v>
      </c>
      <c r="C307" t="s">
        <v>939</v>
      </c>
      <c r="F307" s="30">
        <v>100.02750435211478</v>
      </c>
      <c r="H307" s="34">
        <v>47.000939322883426</v>
      </c>
      <c r="I307" s="34">
        <v>2.5126455567493737</v>
      </c>
      <c r="J307" s="34">
        <v>17.174365428224725</v>
      </c>
      <c r="K307" s="37">
        <v>0.22284668414717648</v>
      </c>
      <c r="L307" s="34">
        <v>11.324381480479667</v>
      </c>
      <c r="M307" s="37">
        <v>0.14934308366619081</v>
      </c>
      <c r="N307" s="34">
        <v>8.0626541736595829</v>
      </c>
      <c r="O307" s="72">
        <v>11.941964941338824</v>
      </c>
      <c r="P307" s="37">
        <v>0.75489172984791242</v>
      </c>
      <c r="Q307" s="37">
        <v>0.49226780408164289</v>
      </c>
      <c r="R307" s="37">
        <v>0.39120414703623652</v>
      </c>
      <c r="S307" s="36"/>
      <c r="T307" s="38">
        <f t="shared" si="8"/>
        <v>55.930920358355351</v>
      </c>
      <c r="U307" s="36"/>
      <c r="W307" s="36" t="e">
        <v>#DIV/0!</v>
      </c>
      <c r="X307" s="36" t="e">
        <v>#DIV/0!</v>
      </c>
      <c r="Y307" s="36" t="e">
        <v>#DIV/0!</v>
      </c>
      <c r="Z307" s="36" t="e">
        <v>#DIV/0!</v>
      </c>
      <c r="AA307" s="36" t="e">
        <v>#DIV/0!</v>
      </c>
      <c r="AB307" s="36" t="e">
        <v>#DIV/0!</v>
      </c>
      <c r="AC307" s="36" t="e">
        <v>#DIV/0!</v>
      </c>
      <c r="AD307" s="36">
        <v>3818.46</v>
      </c>
      <c r="AE307" s="36" t="e">
        <v>#DIV/0!</v>
      </c>
      <c r="AF307" s="36" t="e">
        <v>#DIV/0!</v>
      </c>
      <c r="AG307" s="36" t="e">
        <v>#DIV/0!</v>
      </c>
      <c r="AH307" s="36" t="e">
        <v>#DIV/0!</v>
      </c>
      <c r="AI307" s="34">
        <v>28.250857113876116</v>
      </c>
      <c r="AJ307" s="35">
        <v>1444.8780173113337</v>
      </c>
      <c r="AK307" s="36">
        <v>61</v>
      </c>
      <c r="AL307" s="72">
        <v>21.669870841222611</v>
      </c>
      <c r="AM307" s="35">
        <v>65.639454287259952</v>
      </c>
      <c r="AN307" s="35">
        <v>13.989998647552071</v>
      </c>
      <c r="AO307" s="36" t="e">
        <v>#DIV/0!</v>
      </c>
      <c r="AP307" s="36" t="e">
        <v>#DIV/0!</v>
      </c>
      <c r="AQ307" s="36">
        <v>0.19495334054638899</v>
      </c>
      <c r="AR307" s="36">
        <v>5.0777657560183945E-2</v>
      </c>
      <c r="AS307" s="36">
        <v>0.42742257235596437</v>
      </c>
      <c r="AT307" s="35">
        <v>10.29163341898837</v>
      </c>
      <c r="AU307" s="35">
        <v>223.37207533134978</v>
      </c>
      <c r="AV307" s="36">
        <v>162.5</v>
      </c>
      <c r="AW307" s="35">
        <v>645.53465647822566</v>
      </c>
      <c r="AX307" s="36">
        <v>18</v>
      </c>
      <c r="AY307" s="36" t="e">
        <v>#DIV/0!</v>
      </c>
      <c r="AZ307" s="36">
        <v>0</v>
      </c>
      <c r="BA307" s="36" t="e">
        <v>#DIV/0!</v>
      </c>
      <c r="BB307" s="36" t="e">
        <v>#DIV/0!</v>
      </c>
      <c r="BC307" s="36" t="e">
        <v>#DIV/0!</v>
      </c>
      <c r="BD307" s="36">
        <v>6.5482147687314068E-3</v>
      </c>
      <c r="BE307" s="36" t="e">
        <v>#DIV/0!</v>
      </c>
      <c r="BF307" s="36" t="e">
        <v>#DIV/0!</v>
      </c>
      <c r="BG307" s="36">
        <v>0.48679419123613749</v>
      </c>
      <c r="BH307" s="35">
        <v>609.94524276440359</v>
      </c>
      <c r="BI307" s="34">
        <v>49.748796321341636</v>
      </c>
      <c r="BJ307" s="36">
        <v>131.67746652691372</v>
      </c>
      <c r="BK307" s="36">
        <v>17.100000000000001</v>
      </c>
      <c r="BL307" s="72">
        <v>74.306321003516373</v>
      </c>
      <c r="BM307" s="34">
        <v>21.780287226129296</v>
      </c>
      <c r="BN307" s="34">
        <v>2.3291474506356509</v>
      </c>
      <c r="BO307" s="34">
        <v>25.3</v>
      </c>
      <c r="BP307" s="34">
        <v>4.8027813091695979</v>
      </c>
      <c r="BQ307" s="36">
        <v>30.7</v>
      </c>
      <c r="BR307" s="36">
        <v>6.36</v>
      </c>
      <c r="BS307" s="36">
        <v>18.600000000000001</v>
      </c>
      <c r="BT307" s="36">
        <v>2.72</v>
      </c>
      <c r="BU307" s="36">
        <v>16.818794968893698</v>
      </c>
      <c r="BV307" s="37">
        <v>2.4194475081146876</v>
      </c>
      <c r="BW307" s="34">
        <v>16.299092845550447</v>
      </c>
      <c r="BX307" s="34">
        <v>2.2066033270219103</v>
      </c>
      <c r="BY307" s="36">
        <v>1.1018831721666216</v>
      </c>
      <c r="BZ307" s="72">
        <v>1.1495875033811198</v>
      </c>
      <c r="CA307" s="72">
        <v>1.50240059507709</v>
      </c>
      <c r="CB307" s="36" t="e">
        <v>#DIV/0!</v>
      </c>
      <c r="CC307" s="36" t="e">
        <v>#DIV/0!</v>
      </c>
      <c r="CD307" s="36" t="e">
        <v>#DIV/0!</v>
      </c>
      <c r="CE307" s="34">
        <v>8.7435469637543974</v>
      </c>
      <c r="CF307" s="34">
        <v>2.4470405058155267</v>
      </c>
    </row>
    <row r="308" spans="1:132" x14ac:dyDescent="0.2">
      <c r="T308" s="38" t="e">
        <f t="shared" si="8"/>
        <v>#DIV/0!</v>
      </c>
      <c r="AX308" s="31"/>
    </row>
    <row r="309" spans="1:132" x14ac:dyDescent="0.2">
      <c r="T309" s="38" t="e">
        <f t="shared" si="8"/>
        <v>#DIV/0!</v>
      </c>
      <c r="AX309" s="31"/>
    </row>
    <row r="310" spans="1:132" x14ac:dyDescent="0.2">
      <c r="A310" t="s">
        <v>863</v>
      </c>
      <c r="C310" t="s">
        <v>866</v>
      </c>
      <c r="D310" t="s">
        <v>864</v>
      </c>
      <c r="E310">
        <v>117</v>
      </c>
      <c r="I310" s="6">
        <v>1.47</v>
      </c>
      <c r="J310" s="6">
        <v>16.34</v>
      </c>
      <c r="K310" s="32">
        <v>0.12</v>
      </c>
      <c r="L310" s="6">
        <v>8.8000000000000007</v>
      </c>
      <c r="M310" s="3">
        <v>0.12</v>
      </c>
      <c r="N310" s="6">
        <v>6.92</v>
      </c>
      <c r="O310" s="7">
        <v>10.6</v>
      </c>
      <c r="P310" s="32">
        <v>1.18</v>
      </c>
      <c r="Q310" s="32">
        <v>0.88</v>
      </c>
      <c r="R310" s="32">
        <v>0.76</v>
      </c>
      <c r="T310" s="38">
        <f t="shared" si="8"/>
        <v>58.3641016784279</v>
      </c>
      <c r="AI310" s="30">
        <v>18</v>
      </c>
      <c r="AJ310" s="31">
        <v>821.04</v>
      </c>
      <c r="AK310">
        <v>36</v>
      </c>
      <c r="AL310" s="33">
        <v>12</v>
      </c>
      <c r="AM310" s="31">
        <v>58</v>
      </c>
      <c r="AN310" s="31">
        <v>12</v>
      </c>
      <c r="AT310" s="31">
        <v>20</v>
      </c>
      <c r="AU310" s="31">
        <v>230</v>
      </c>
      <c r="AV310">
        <v>338</v>
      </c>
      <c r="AW310" s="31">
        <v>1397</v>
      </c>
      <c r="AX310" s="31">
        <v>112</v>
      </c>
      <c r="BG310" s="30">
        <v>0.9</v>
      </c>
      <c r="BH310" s="31">
        <v>1351</v>
      </c>
      <c r="BI310" s="30">
        <v>113</v>
      </c>
      <c r="BJ310">
        <v>297</v>
      </c>
      <c r="BK310">
        <v>35.6</v>
      </c>
      <c r="BL310" s="33">
        <v>162</v>
      </c>
      <c r="BM310" s="30">
        <v>44.9</v>
      </c>
      <c r="BN310" s="30">
        <v>2.4500000000000002</v>
      </c>
      <c r="BO310" s="30">
        <v>50.4</v>
      </c>
      <c r="BP310" s="30">
        <v>10.5</v>
      </c>
      <c r="BQ310">
        <v>63.9</v>
      </c>
      <c r="BR310">
        <v>13</v>
      </c>
      <c r="BS310">
        <v>39.299999999999997</v>
      </c>
      <c r="BT310">
        <v>5.96</v>
      </c>
      <c r="BU310">
        <v>36</v>
      </c>
      <c r="BV310" s="32">
        <v>5.24</v>
      </c>
      <c r="BW310" s="30">
        <v>34.700000000000003</v>
      </c>
      <c r="BX310" s="30">
        <v>4.16</v>
      </c>
      <c r="BY310">
        <v>2.5</v>
      </c>
      <c r="CE310" s="30">
        <v>21.7</v>
      </c>
      <c r="CF310" s="30">
        <v>5.83</v>
      </c>
    </row>
    <row r="311" spans="1:132" x14ac:dyDescent="0.2">
      <c r="T311" s="38" t="e">
        <f t="shared" si="8"/>
        <v>#DIV/0!</v>
      </c>
      <c r="AX311" s="31"/>
    </row>
    <row r="312" spans="1:132" x14ac:dyDescent="0.2">
      <c r="A312" t="s">
        <v>69</v>
      </c>
      <c r="C312" t="s">
        <v>717</v>
      </c>
      <c r="I312"/>
      <c r="J312"/>
      <c r="K312" s="209">
        <v>0.24237419691957465</v>
      </c>
      <c r="L312" s="30">
        <v>13.740964804552942</v>
      </c>
      <c r="M312"/>
      <c r="N312"/>
      <c r="O312" s="7" t="s">
        <v>1492</v>
      </c>
      <c r="P312" s="32">
        <v>0.80012547551295488</v>
      </c>
      <c r="Q312" s="32">
        <v>0.70893035794518489</v>
      </c>
      <c r="T312" s="38">
        <f t="shared" si="8"/>
        <v>0</v>
      </c>
      <c r="W312"/>
      <c r="X312"/>
      <c r="Y312"/>
      <c r="Z312"/>
      <c r="AA312"/>
      <c r="AB312"/>
      <c r="AI312" s="30">
        <v>31.305969746892323</v>
      </c>
      <c r="AJ312" s="31">
        <v>1658.2799460835704</v>
      </c>
      <c r="AL312" s="33">
        <v>48.632703309869697</v>
      </c>
      <c r="AM312" s="31">
        <v>664.24681743297879</v>
      </c>
      <c r="AN312" s="31">
        <v>12.143175078628126</v>
      </c>
      <c r="AO312"/>
      <c r="AQ312" s="33">
        <v>0.19587239778343568</v>
      </c>
      <c r="AR312">
        <v>0.55800209675003754</v>
      </c>
      <c r="AS312" s="30">
        <v>0.53403324846487943</v>
      </c>
      <c r="AT312" s="31">
        <v>16.710169237681587</v>
      </c>
      <c r="AU312" s="31">
        <v>1124.8677549797812</v>
      </c>
      <c r="AW312" s="31">
        <v>1220.9576156956714</v>
      </c>
      <c r="AX312"/>
      <c r="AY312"/>
      <c r="AZ312">
        <v>0</v>
      </c>
      <c r="BA312"/>
      <c r="BB312"/>
      <c r="BC312"/>
      <c r="BD312" s="30">
        <v>1.2682222555039689E-2</v>
      </c>
      <c r="BG312" s="30">
        <v>0.75750007488393001</v>
      </c>
      <c r="BH312" s="31">
        <v>927.52424741650441</v>
      </c>
      <c r="BI312" s="30">
        <v>83.679535719634572</v>
      </c>
      <c r="BJ312" s="33">
        <v>219.7529129848734</v>
      </c>
      <c r="BK312" s="54"/>
      <c r="BL312" s="33">
        <v>124.02827617193348</v>
      </c>
      <c r="BM312" s="30">
        <v>38.366778493335325</v>
      </c>
      <c r="BN312" s="30">
        <v>2.6145918825819985</v>
      </c>
      <c r="BO312" s="51"/>
      <c r="BP312" s="30">
        <v>7.7708470870151265</v>
      </c>
      <c r="BQ312" s="74"/>
      <c r="BR312" s="74"/>
      <c r="BS312" s="52"/>
      <c r="BT312" s="53"/>
      <c r="BU312" s="30">
        <v>27.749201737307171</v>
      </c>
      <c r="BV312" s="32">
        <v>3.7830810244121613</v>
      </c>
      <c r="BW312" s="30">
        <v>30.297388048524784</v>
      </c>
      <c r="BX312" s="30">
        <v>3.7822093754680246</v>
      </c>
      <c r="BY312" s="30">
        <v>0.6911307473416205</v>
      </c>
      <c r="BZ312" s="33">
        <v>28.254838999550696</v>
      </c>
      <c r="CA312" s="33">
        <v>10.426749699027475</v>
      </c>
      <c r="CE312" s="30">
        <v>14.844652388797364</v>
      </c>
      <c r="CF312" s="30">
        <v>4.1068159353002844</v>
      </c>
      <c r="CG312">
        <v>333.85</v>
      </c>
      <c r="CI312" s="29">
        <v>45.250227955878252</v>
      </c>
      <c r="CJ312" s="41">
        <v>44.951543801916898</v>
      </c>
      <c r="CK312" s="29">
        <v>44.032989669697777</v>
      </c>
    </row>
    <row r="313" spans="1:132" x14ac:dyDescent="0.2">
      <c r="A313" t="s">
        <v>69</v>
      </c>
      <c r="C313" t="s">
        <v>700</v>
      </c>
      <c r="H313" s="30">
        <v>48.472803255931026</v>
      </c>
      <c r="I313" s="6">
        <v>2.7452635071407405</v>
      </c>
      <c r="J313" s="6">
        <v>13.592928764321478</v>
      </c>
      <c r="K313" s="513">
        <v>0.24600112964702697</v>
      </c>
      <c r="L313" s="192">
        <v>13.740964804552942</v>
      </c>
      <c r="M313" s="3">
        <v>0.18872409612855712</v>
      </c>
      <c r="N313" s="6">
        <v>8.2111630376365898</v>
      </c>
      <c r="O313" s="193">
        <v>9.7538369265660432</v>
      </c>
      <c r="P313" s="513" t="s">
        <v>1493</v>
      </c>
      <c r="Q313" s="209">
        <v>0.70923905203590709</v>
      </c>
      <c r="R313" s="32">
        <v>0.6629127406421631</v>
      </c>
      <c r="T313" s="38">
        <f t="shared" si="8"/>
        <v>51.579156902647696</v>
      </c>
      <c r="AE313" s="194"/>
      <c r="AF313" s="193"/>
      <c r="AG313" s="194"/>
      <c r="AH313" s="194"/>
      <c r="AI313" s="192"/>
      <c r="AK313" s="193"/>
      <c r="AL313" s="193"/>
      <c r="AM313" s="194"/>
      <c r="AN313" s="194"/>
      <c r="AO313" s="193"/>
      <c r="AP313" s="192"/>
      <c r="AQ313" s="192"/>
      <c r="AR313" s="194"/>
      <c r="AS313" s="192"/>
      <c r="AT313" s="194"/>
      <c r="AU313" s="194"/>
      <c r="AV313" s="192"/>
      <c r="AW313" s="194"/>
      <c r="AX313" s="209"/>
      <c r="AY313" s="192"/>
      <c r="AZ313" s="209"/>
      <c r="BA313" s="192"/>
      <c r="BB313" s="38"/>
      <c r="BC313" s="39"/>
      <c r="BD313" s="39"/>
      <c r="BE313" s="39"/>
      <c r="BF313" s="38"/>
      <c r="BG313" s="38"/>
      <c r="BJ313" s="33"/>
      <c r="BK313" s="33"/>
    </row>
    <row r="314" spans="1:132" x14ac:dyDescent="0.2">
      <c r="A314" t="s">
        <v>69</v>
      </c>
      <c r="K314" s="209"/>
      <c r="L314" s="192"/>
      <c r="O314" s="193"/>
      <c r="P314" s="209"/>
      <c r="Q314" s="209"/>
      <c r="T314" s="38" t="e">
        <f t="shared" si="8"/>
        <v>#DIV/0!</v>
      </c>
      <c r="AE314" s="194"/>
      <c r="AF314" s="193"/>
      <c r="AG314" s="194"/>
      <c r="AH314" s="194"/>
      <c r="AI314" s="192"/>
      <c r="AK314" s="193"/>
      <c r="AL314" s="193"/>
      <c r="AM314" s="194"/>
      <c r="AN314" s="194"/>
      <c r="AO314" s="193"/>
      <c r="AP314" s="192"/>
      <c r="AQ314" s="192"/>
      <c r="AR314" s="194"/>
      <c r="AS314" s="192"/>
      <c r="AT314" s="194"/>
      <c r="AU314" s="194"/>
      <c r="AV314" s="192"/>
      <c r="AW314" s="194"/>
      <c r="AX314" s="209"/>
      <c r="AY314" s="192"/>
      <c r="AZ314" s="209"/>
      <c r="BA314" s="192"/>
      <c r="BB314" s="38"/>
      <c r="BC314" s="39"/>
      <c r="BD314" s="39"/>
      <c r="BE314" s="39"/>
      <c r="BF314" s="38"/>
      <c r="BG314" s="38"/>
      <c r="BJ314" s="33"/>
      <c r="BK314" s="33"/>
    </row>
    <row r="315" spans="1:132" x14ac:dyDescent="0.2">
      <c r="A315" s="36" t="s">
        <v>69</v>
      </c>
      <c r="C315" s="36" t="s">
        <v>279</v>
      </c>
      <c r="F315" s="30">
        <v>99.121994976706333</v>
      </c>
      <c r="H315" s="34">
        <v>48.472803255931026</v>
      </c>
      <c r="I315" s="34">
        <v>2.7452635071407405</v>
      </c>
      <c r="J315" s="34">
        <v>13.592928764321478</v>
      </c>
      <c r="K315" s="37">
        <v>0.24418766328330083</v>
      </c>
      <c r="L315" s="34">
        <v>13.740964804552942</v>
      </c>
      <c r="M315" s="37">
        <v>0.18872409612855712</v>
      </c>
      <c r="N315" s="34">
        <v>8.2111630376365898</v>
      </c>
      <c r="O315" s="72">
        <v>9.7538369265660432</v>
      </c>
      <c r="P315" s="37">
        <v>0.80012547551295488</v>
      </c>
      <c r="Q315" s="37">
        <v>0.70908470499054599</v>
      </c>
      <c r="R315" s="37">
        <v>0.6629127406421631</v>
      </c>
      <c r="T315" s="38">
        <f t="shared" si="8"/>
        <v>51.579156902647696</v>
      </c>
      <c r="W315" s="36"/>
      <c r="X315" s="36"/>
      <c r="Y315" s="36"/>
      <c r="Z315" s="36"/>
      <c r="AA315" s="36"/>
      <c r="AB315"/>
      <c r="AI315" s="34">
        <v>31.305969746892323</v>
      </c>
      <c r="AJ315" s="35">
        <v>1658.2799460835704</v>
      </c>
      <c r="AL315" s="72">
        <v>48.632703309869697</v>
      </c>
      <c r="AM315" s="35">
        <v>664.24681743297879</v>
      </c>
      <c r="AO315"/>
      <c r="AQ315" s="34">
        <v>0.19587239778343568</v>
      </c>
      <c r="AR315" s="34">
        <v>0.55800209675003754</v>
      </c>
      <c r="AS315" s="34">
        <v>0.53403324846487943</v>
      </c>
      <c r="AU315" s="35">
        <v>1124.8677549797812</v>
      </c>
      <c r="AV315" s="161">
        <v>301.17955916040108</v>
      </c>
      <c r="AW315" s="35">
        <v>1220.9576156956714</v>
      </c>
      <c r="AX315"/>
      <c r="AY315"/>
      <c r="AZ315"/>
      <c r="BA315"/>
      <c r="BB315"/>
      <c r="BC315"/>
      <c r="BD315" s="34">
        <v>1.2682222555039689E-2</v>
      </c>
      <c r="BE315"/>
      <c r="BF315"/>
      <c r="BG315" s="34">
        <v>0.75750007488393001</v>
      </c>
      <c r="BH315" s="35">
        <v>927.52424741650441</v>
      </c>
      <c r="BI315" s="34">
        <v>83.679535719634572</v>
      </c>
      <c r="BJ315" s="72">
        <v>219.7529129848734</v>
      </c>
      <c r="BK315" s="54">
        <v>26.663173318592104</v>
      </c>
      <c r="BL315" s="72">
        <v>124.02827617193348</v>
      </c>
      <c r="BM315" s="34">
        <v>38.366778493335325</v>
      </c>
      <c r="BN315" s="34">
        <v>2.6145918825819985</v>
      </c>
      <c r="BO315" s="51">
        <v>44.744920475830973</v>
      </c>
      <c r="BP315" s="34">
        <v>7.7708470870151265</v>
      </c>
      <c r="BQ315" s="74">
        <v>50.439541366787637</v>
      </c>
      <c r="BR315" s="74">
        <v>11.001207074343915</v>
      </c>
      <c r="BS315" s="52">
        <v>29.933681901897852</v>
      </c>
      <c r="BT315" s="53">
        <v>4.3403904733165088</v>
      </c>
      <c r="BU315" s="34">
        <v>27.749201737307171</v>
      </c>
      <c r="BV315" s="37">
        <v>3.7830810244121613</v>
      </c>
      <c r="BW315" s="34">
        <v>30.297388048524784</v>
      </c>
      <c r="BX315" s="34">
        <v>3.7822093754680246</v>
      </c>
      <c r="BY315" s="34">
        <v>0.6911307473416205</v>
      </c>
      <c r="BZ315" s="72">
        <v>28.254838999550696</v>
      </c>
      <c r="CA315" s="72">
        <v>10.426749699027475</v>
      </c>
      <c r="CE315" s="34">
        <v>14.844652388797364</v>
      </c>
      <c r="CF315" s="34">
        <v>4.1068159353002844</v>
      </c>
      <c r="CI315" s="29">
        <v>45.250227955878252</v>
      </c>
      <c r="CJ315" s="41">
        <v>44.951543801916898</v>
      </c>
      <c r="CK315" s="29">
        <v>44.032989669697777</v>
      </c>
      <c r="CM315" s="30">
        <v>0.38691422558128047</v>
      </c>
    </row>
    <row r="316" spans="1:132" x14ac:dyDescent="0.2">
      <c r="T316" s="38" t="e">
        <f t="shared" si="8"/>
        <v>#DIV/0!</v>
      </c>
      <c r="AX316" s="31"/>
    </row>
    <row r="317" spans="1:132" x14ac:dyDescent="0.2">
      <c r="T317" s="38" t="e">
        <f t="shared" si="8"/>
        <v>#DIV/0!</v>
      </c>
    </row>
    <row r="318" spans="1:132" s="40" customFormat="1" x14ac:dyDescent="0.2">
      <c r="A318" s="50" t="s">
        <v>508</v>
      </c>
      <c r="B318" s="104"/>
      <c r="C318" s="104"/>
      <c r="D318" t="s">
        <v>1282</v>
      </c>
      <c r="E318" s="41" t="s">
        <v>1288</v>
      </c>
      <c r="F318" s="48"/>
      <c r="H318" s="440">
        <v>44.5</v>
      </c>
      <c r="I318" s="38">
        <v>0.27</v>
      </c>
      <c r="J318" s="38">
        <v>28.1</v>
      </c>
      <c r="K318" s="141">
        <v>7.1910719999999997E-2</v>
      </c>
      <c r="L318" s="38">
        <v>4.0199999999999996</v>
      </c>
      <c r="M318" s="49">
        <v>0.06</v>
      </c>
      <c r="N318" s="38">
        <v>4.84</v>
      </c>
      <c r="O318" s="39">
        <v>16.5</v>
      </c>
      <c r="P318" s="49">
        <v>0.41</v>
      </c>
      <c r="Q318" s="49">
        <v>0.09</v>
      </c>
      <c r="R318" s="49">
        <v>0.12</v>
      </c>
      <c r="S318" s="50"/>
      <c r="T318" s="38">
        <f t="shared" si="8"/>
        <v>68.215803020703675</v>
      </c>
      <c r="U318" s="50"/>
      <c r="W318" s="50"/>
      <c r="X318" s="50"/>
      <c r="Y318" s="50"/>
      <c r="Z318" s="50"/>
      <c r="AA318" s="50"/>
      <c r="AB318" s="50"/>
      <c r="AC318" s="38"/>
      <c r="AD318" s="76"/>
      <c r="AE318" s="38"/>
      <c r="AF318" s="50"/>
      <c r="AG318" s="50"/>
      <c r="AH318" s="50"/>
      <c r="AI318" s="38">
        <v>5.91</v>
      </c>
      <c r="AJ318" s="76">
        <v>492</v>
      </c>
      <c r="AK318" s="50"/>
      <c r="AL318" s="39">
        <v>18.5</v>
      </c>
      <c r="AM318" s="76">
        <v>190</v>
      </c>
      <c r="AN318" s="76"/>
      <c r="AO318" s="39"/>
      <c r="AP318" s="50"/>
      <c r="AQ318" s="38"/>
      <c r="AR318" s="38"/>
      <c r="AS318" s="38"/>
      <c r="AT318" s="76"/>
      <c r="AU318" s="76">
        <v>995</v>
      </c>
      <c r="AV318" s="50"/>
      <c r="AW318" s="76">
        <v>23</v>
      </c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76">
        <v>265</v>
      </c>
      <c r="BI318" s="38">
        <v>2.36</v>
      </c>
      <c r="BJ318" s="50">
        <v>5</v>
      </c>
      <c r="BK318" s="51">
        <v>0.64828747623839711</v>
      </c>
      <c r="BL318" s="39">
        <v>2.8</v>
      </c>
      <c r="BM318" s="38">
        <v>0.8</v>
      </c>
      <c r="BN318" s="38">
        <v>0.9</v>
      </c>
      <c r="BO318" s="51">
        <v>0.95306866984752781</v>
      </c>
      <c r="BP318" s="38">
        <v>0.18</v>
      </c>
      <c r="BQ318" s="74">
        <v>1.1424167997995958</v>
      </c>
      <c r="BR318" s="74">
        <v>0.25127685869003635</v>
      </c>
      <c r="BS318" s="52">
        <v>0.68948808168508235</v>
      </c>
      <c r="BT318" s="53">
        <v>0.10081976059266953</v>
      </c>
      <c r="BU318" s="50">
        <v>0.65</v>
      </c>
      <c r="BV318" s="49">
        <v>0.11</v>
      </c>
      <c r="BW318" s="38">
        <v>0.8</v>
      </c>
      <c r="BX318" s="38"/>
      <c r="BY318" s="50"/>
      <c r="BZ318" s="39">
        <v>5.0999999999999996</v>
      </c>
      <c r="CA318" s="39"/>
      <c r="CB318" s="50"/>
      <c r="CC318" s="50"/>
      <c r="CD318" s="50"/>
      <c r="CE318" s="38">
        <v>0.43</v>
      </c>
      <c r="CF318" s="38"/>
      <c r="CI318" s="29">
        <v>0.83616539107577803</v>
      </c>
      <c r="CJ318" s="41">
        <v>1.0053621844874423</v>
      </c>
      <c r="CK318" s="29">
        <v>1.0176784339793632</v>
      </c>
      <c r="CL318" s="29"/>
      <c r="CM318" s="30">
        <v>0.53749999999999998</v>
      </c>
      <c r="CN318" s="29"/>
      <c r="CO318" s="29"/>
      <c r="CP318" s="29"/>
      <c r="CQ318" s="29"/>
      <c r="CR318" s="30">
        <v>1.2039800995024876</v>
      </c>
      <c r="CS318" s="29">
        <v>1.492537313432836E-2</v>
      </c>
      <c r="CT318" s="29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</row>
    <row r="319" spans="1:132" s="40" customFormat="1" x14ac:dyDescent="0.2">
      <c r="A319" s="277"/>
      <c r="E319" s="46"/>
      <c r="F319" s="48"/>
      <c r="H319" s="441"/>
      <c r="I319" s="48"/>
      <c r="J319" s="48"/>
      <c r="K319" s="45"/>
      <c r="L319" s="48"/>
      <c r="M319" s="45"/>
      <c r="N319" s="48"/>
      <c r="O319" s="79"/>
      <c r="P319" s="45"/>
      <c r="Q319" s="45"/>
      <c r="R319" s="45"/>
      <c r="T319" s="38" t="e">
        <f t="shared" si="8"/>
        <v>#DIV/0!</v>
      </c>
      <c r="AC319" s="48"/>
      <c r="AD319" s="46"/>
      <c r="AE319" s="48"/>
      <c r="AI319" s="48"/>
      <c r="AJ319" s="46"/>
      <c r="AL319" s="79"/>
      <c r="AM319" s="46"/>
      <c r="AN319" s="46"/>
      <c r="AO319" s="79"/>
      <c r="AQ319" s="48"/>
      <c r="AR319" s="48"/>
      <c r="AS319" s="48"/>
      <c r="AT319" s="46"/>
      <c r="AU319" s="46"/>
      <c r="AW319" s="46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6"/>
      <c r="BI319" s="48"/>
      <c r="BL319" s="79"/>
      <c r="BM319" s="48"/>
      <c r="BN319" s="48"/>
      <c r="BO319" s="48"/>
      <c r="BP319" s="48"/>
      <c r="BV319" s="45"/>
      <c r="BW319" s="48"/>
      <c r="BX319" s="48"/>
      <c r="BZ319" s="79"/>
      <c r="CA319" s="79"/>
      <c r="CE319" s="48"/>
      <c r="CF319" s="48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</row>
    <row r="320" spans="1:132" x14ac:dyDescent="0.2">
      <c r="A320" s="84" t="s">
        <v>508</v>
      </c>
      <c r="D320" t="s">
        <v>700</v>
      </c>
      <c r="E320" s="31"/>
      <c r="F320" s="30"/>
      <c r="H320" s="440">
        <v>44.106765235808979</v>
      </c>
      <c r="I320" s="38">
        <v>0.18202069750848782</v>
      </c>
      <c r="J320" s="38">
        <v>30.221497120036261</v>
      </c>
      <c r="K320" s="49">
        <v>7.087797844593037E-2</v>
      </c>
      <c r="L320" s="38">
        <v>3.157199677196219</v>
      </c>
      <c r="M320" s="49">
        <v>5.2072272260627391E-2</v>
      </c>
      <c r="N320" s="38">
        <v>4.9187851181258786</v>
      </c>
      <c r="O320" s="7">
        <v>17.100000000000001</v>
      </c>
      <c r="P320" s="49">
        <v>0.34069345169471987</v>
      </c>
      <c r="Q320" s="49">
        <v>2.7559009186436657E-2</v>
      </c>
      <c r="R320" s="49">
        <v>3.7753479483965201E-2</v>
      </c>
      <c r="S320" s="50"/>
      <c r="T320" s="38">
        <f t="shared" si="8"/>
        <v>73.525501104942336</v>
      </c>
      <c r="U320" s="50"/>
      <c r="Z320" s="50"/>
      <c r="AA320" s="50"/>
      <c r="AB320" s="50"/>
      <c r="AC320" s="38"/>
      <c r="AD320" s="76"/>
      <c r="AE320" s="38"/>
      <c r="AF320" s="50"/>
      <c r="AG320" s="50"/>
      <c r="AH320" s="50"/>
      <c r="AI320" s="38"/>
      <c r="AJ320" s="76"/>
      <c r="AK320" s="50"/>
      <c r="AL320" s="39"/>
      <c r="AM320" s="76"/>
      <c r="AN320" s="76"/>
      <c r="AO320" s="39"/>
      <c r="AP320" s="50"/>
      <c r="AQ320" s="38"/>
      <c r="AR320" s="38"/>
      <c r="AS320" s="38"/>
      <c r="AT320" s="76"/>
      <c r="AU320" s="76"/>
      <c r="AV320" s="50"/>
      <c r="AW320" s="76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76"/>
      <c r="BI320" s="38"/>
      <c r="BJ320" s="50"/>
      <c r="BK320" s="50"/>
      <c r="BL320" s="39"/>
      <c r="BM320" s="38"/>
      <c r="BN320" s="38"/>
      <c r="BO320" s="38"/>
      <c r="BP320" s="38"/>
      <c r="BQ320" s="50"/>
      <c r="BR320" s="50"/>
      <c r="BS320" s="50"/>
      <c r="BT320" s="50"/>
      <c r="BU320" s="50"/>
      <c r="BV320" s="49"/>
      <c r="BW320" s="38"/>
      <c r="BX320" s="38"/>
      <c r="BY320" s="50"/>
      <c r="BZ320" s="39"/>
      <c r="CA320" s="39"/>
      <c r="CB320" s="50"/>
      <c r="CC320" s="50"/>
      <c r="CD320" s="50"/>
      <c r="CE320" s="38"/>
      <c r="CF320" s="38"/>
      <c r="CG320" s="50"/>
      <c r="CQ320" s="29">
        <v>5.765257700461094E-2</v>
      </c>
      <c r="CR320" s="30">
        <v>1.5579581974663232</v>
      </c>
      <c r="CS320" s="29">
        <v>1.6493183068760055E-2</v>
      </c>
      <c r="CT320" s="29">
        <v>0.56582239893943032</v>
      </c>
    </row>
    <row r="321" spans="1:132" x14ac:dyDescent="0.2">
      <c r="A321" s="84" t="s">
        <v>508</v>
      </c>
      <c r="D321" t="s">
        <v>717</v>
      </c>
      <c r="E321" s="31"/>
      <c r="F321" s="30"/>
      <c r="H321"/>
      <c r="I321"/>
      <c r="J321"/>
      <c r="K321" s="49">
        <v>7.087797844593037E-2</v>
      </c>
      <c r="L321" s="38">
        <v>3.157199677196219</v>
      </c>
      <c r="M321"/>
      <c r="N321"/>
      <c r="O321" s="39">
        <v>16.367442932902929</v>
      </c>
      <c r="P321" s="49">
        <v>0.34069345169471987</v>
      </c>
      <c r="Q321" s="49">
        <v>2.8673968180770119E-2</v>
      </c>
      <c r="R321" s="49"/>
      <c r="S321" s="50"/>
      <c r="T321" s="38">
        <f t="shared" si="8"/>
        <v>0</v>
      </c>
      <c r="U321" s="50"/>
      <c r="Z321" s="50"/>
      <c r="AA321" s="50"/>
      <c r="AB321" s="50"/>
      <c r="AC321" s="38"/>
      <c r="AD321" s="76"/>
      <c r="AE321" s="38"/>
      <c r="AF321" s="50"/>
      <c r="AG321" s="50"/>
      <c r="AH321" s="50"/>
      <c r="AI321" s="38">
        <v>5.2170255937283843</v>
      </c>
      <c r="AJ321" s="76">
        <v>484.9341710860042</v>
      </c>
      <c r="AK321" s="50"/>
      <c r="AL321" s="39">
        <v>11.376122896011069</v>
      </c>
      <c r="AM321" s="76">
        <v>92.348973945123362</v>
      </c>
      <c r="AN321" s="76">
        <v>7.8997924832833757</v>
      </c>
      <c r="AO321" s="39"/>
      <c r="AP321" s="50"/>
      <c r="AQ321" s="38">
        <v>0.28668088540465758</v>
      </c>
      <c r="AR321" s="38">
        <v>0.15669010836984093</v>
      </c>
      <c r="AS321" s="38">
        <v>0.21328106986396128</v>
      </c>
      <c r="AT321" s="76">
        <v>0.13294904311736225</v>
      </c>
      <c r="AU321" s="76">
        <v>413.06179386672824</v>
      </c>
      <c r="AV321" s="50"/>
      <c r="AW321" s="76">
        <v>27.681231265851974</v>
      </c>
      <c r="AX321" s="38"/>
      <c r="AY321" s="38"/>
      <c r="AZ321" s="38">
        <v>4.3163477057874114E-2</v>
      </c>
      <c r="BA321" s="38"/>
      <c r="BB321" s="38"/>
      <c r="BC321" s="38"/>
      <c r="BD321" s="38">
        <v>3.833179617246945E-2</v>
      </c>
      <c r="BE321" s="38"/>
      <c r="BF321" s="38"/>
      <c r="BG321" s="38">
        <v>3.3344938897855662E-2</v>
      </c>
      <c r="BH321" s="76">
        <v>97.703596956421492</v>
      </c>
      <c r="BI321" s="38">
        <v>2.1351454922757669</v>
      </c>
      <c r="BJ321" s="50">
        <v>5.5644812082084396</v>
      </c>
      <c r="BK321" s="50"/>
      <c r="BL321" s="39">
        <v>3.4338136961032975</v>
      </c>
      <c r="BM321" s="38">
        <v>0.96872543695144642</v>
      </c>
      <c r="BN321" s="38">
        <v>0.78774936592114353</v>
      </c>
      <c r="BO321" s="38"/>
      <c r="BP321" s="38">
        <v>0.20206098685727461</v>
      </c>
      <c r="BQ321" s="50"/>
      <c r="BR321" s="50"/>
      <c r="BS321" s="50"/>
      <c r="BT321" s="50"/>
      <c r="BU321" s="50">
        <v>0.75548109292137422</v>
      </c>
      <c r="BV321" s="49">
        <v>0.10572132810698641</v>
      </c>
      <c r="BW321" s="38">
        <v>0.71141653216509115</v>
      </c>
      <c r="BX321" s="38">
        <v>9.0007954807470605E-2</v>
      </c>
      <c r="BY321" s="50">
        <v>0.16297671201291217</v>
      </c>
      <c r="BZ321" s="39">
        <v>2.467581277380678</v>
      </c>
      <c r="CA321" s="39">
        <v>4.1618745676735074</v>
      </c>
      <c r="CB321" s="50"/>
      <c r="CC321" s="50"/>
      <c r="CD321" s="50"/>
      <c r="CE321" s="38">
        <v>0.33137744985012685</v>
      </c>
      <c r="CF321" s="38">
        <v>0.17326273922065946</v>
      </c>
      <c r="CG321" s="50">
        <v>757.4</v>
      </c>
    </row>
    <row r="322" spans="1:132" x14ac:dyDescent="0.2">
      <c r="A322" s="221" t="s">
        <v>508</v>
      </c>
      <c r="E322" s="31"/>
      <c r="F322" s="34">
        <v>99.849502985696148</v>
      </c>
      <c r="H322" s="34">
        <v>44.106765235808979</v>
      </c>
      <c r="I322" s="34">
        <v>0.18202069750848782</v>
      </c>
      <c r="J322" s="34">
        <v>30.221497120036261</v>
      </c>
      <c r="K322" s="34">
        <v>7.087797844593037E-2</v>
      </c>
      <c r="L322" s="34">
        <v>3.157199677196219</v>
      </c>
      <c r="M322" s="34">
        <v>5.2072272260627391E-2</v>
      </c>
      <c r="N322" s="34">
        <v>4.9187851181258786</v>
      </c>
      <c r="O322" s="34">
        <v>16.733721466451463</v>
      </c>
      <c r="P322" s="34">
        <v>0.34069345169471987</v>
      </c>
      <c r="Q322" s="34">
        <v>2.8116488683603388E-2</v>
      </c>
      <c r="R322" s="34">
        <v>3.7753479483965201E-2</v>
      </c>
      <c r="S322" s="34"/>
      <c r="T322" s="38">
        <f t="shared" si="8"/>
        <v>73.525501104942336</v>
      </c>
      <c r="U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>
        <v>5.2170255937283843</v>
      </c>
      <c r="AJ322" s="34">
        <v>484.9341710860042</v>
      </c>
      <c r="AK322" s="34"/>
      <c r="AL322" s="34">
        <v>11.376122896011069</v>
      </c>
      <c r="AM322" s="34">
        <v>92.348973945123362</v>
      </c>
      <c r="AN322" s="35">
        <v>7.8997924832833757</v>
      </c>
      <c r="AO322" s="34"/>
      <c r="AP322" s="34"/>
      <c r="AQ322" s="34">
        <v>0.28668088540465758</v>
      </c>
      <c r="AR322" s="34">
        <v>0.15669010836984093</v>
      </c>
      <c r="AS322" s="34">
        <v>0.21328106986396128</v>
      </c>
      <c r="AT322" s="35">
        <v>0.13294904311736225</v>
      </c>
      <c r="AU322" s="34">
        <v>413.06179386672824</v>
      </c>
      <c r="AV322" s="161">
        <v>8.0111324466838436</v>
      </c>
      <c r="AW322" s="34">
        <v>27.681231265851974</v>
      </c>
      <c r="AX322" s="34"/>
      <c r="AY322" s="34"/>
      <c r="AZ322" s="34"/>
      <c r="BA322" s="34"/>
      <c r="BB322" s="34"/>
      <c r="BC322" s="34"/>
      <c r="BD322" s="34">
        <v>3.833179617246945E-2</v>
      </c>
      <c r="BE322" s="34"/>
      <c r="BF322" s="34"/>
      <c r="BG322" s="34">
        <v>3.3344938897855662E-2</v>
      </c>
      <c r="BH322" s="34">
        <v>97.703596956421492</v>
      </c>
      <c r="BI322" s="34">
        <v>2.1351454922757669</v>
      </c>
      <c r="BJ322" s="34">
        <v>5.5644812082084396</v>
      </c>
      <c r="BK322" s="51">
        <v>0.71837617471414084</v>
      </c>
      <c r="BL322" s="34">
        <v>3.4338136961032975</v>
      </c>
      <c r="BM322" s="34">
        <v>0.96872543695144642</v>
      </c>
      <c r="BN322" s="34">
        <v>0.78774936592114353</v>
      </c>
      <c r="BO322" s="51">
        <v>1.1432241829761602</v>
      </c>
      <c r="BP322" s="34">
        <v>0.20206098685727461</v>
      </c>
      <c r="BQ322" s="74">
        <v>1.3230482334033504</v>
      </c>
      <c r="BR322" s="74">
        <v>0.29126452606762165</v>
      </c>
      <c r="BS322" s="52">
        <v>0.79992583260577432</v>
      </c>
      <c r="BT322" s="53">
        <v>0.1170739670854813</v>
      </c>
      <c r="BU322" s="34">
        <v>0.75548109292137422</v>
      </c>
      <c r="BV322" s="34">
        <v>0.10572132810698641</v>
      </c>
      <c r="BW322" s="34">
        <v>0.71141653216509115</v>
      </c>
      <c r="BX322" s="34">
        <v>9.0007954807470605E-2</v>
      </c>
      <c r="BY322" s="34">
        <v>0.16297671201291217</v>
      </c>
      <c r="BZ322" s="34">
        <v>2.467581277380678</v>
      </c>
      <c r="CA322" s="34">
        <v>4.1618745676735074</v>
      </c>
      <c r="CB322" s="34"/>
      <c r="CC322" s="34"/>
      <c r="CD322" s="34"/>
      <c r="CE322" s="34">
        <v>0.33137744985012685</v>
      </c>
      <c r="CF322" s="34">
        <v>0.17326273922065946</v>
      </c>
      <c r="CI322" s="29">
        <v>1.1377346978023144</v>
      </c>
      <c r="CJ322" s="41">
        <v>1.1574483524769539</v>
      </c>
      <c r="CK322" s="29">
        <v>1.1344894986492122</v>
      </c>
      <c r="CL322" s="29"/>
      <c r="CM322" s="30">
        <v>0.34207571847495094</v>
      </c>
      <c r="CN322" s="29"/>
      <c r="CO322" s="29"/>
      <c r="CP322" s="29"/>
      <c r="CQ322" s="29"/>
      <c r="CR322" s="30"/>
      <c r="CS322" s="29"/>
      <c r="CT322" s="29"/>
    </row>
    <row r="323" spans="1:132" x14ac:dyDescent="0.2">
      <c r="A323" s="84"/>
      <c r="E323" s="31"/>
      <c r="F323" s="30"/>
      <c r="H323" s="440"/>
      <c r="I323" s="48"/>
      <c r="J323" s="48"/>
      <c r="K323" s="45"/>
      <c r="L323" s="48"/>
      <c r="M323" s="45"/>
      <c r="N323" s="48"/>
      <c r="O323" s="79"/>
      <c r="P323" s="45"/>
      <c r="Q323" s="45"/>
      <c r="T323" s="38" t="e">
        <f t="shared" ref="T323:T386" si="9">100*(N323/40.304)/(N323/40.304+L323/71.846)</f>
        <v>#DIV/0!</v>
      </c>
      <c r="AC323" s="30"/>
      <c r="AD323" s="31"/>
      <c r="AE323" s="48"/>
      <c r="CS323" s="63"/>
      <c r="CT323" s="63"/>
    </row>
    <row r="324" spans="1:132" s="50" customFormat="1" x14ac:dyDescent="0.2">
      <c r="A324" s="333" t="s">
        <v>509</v>
      </c>
      <c r="B324" s="257"/>
      <c r="C324" s="257"/>
      <c r="D324" s="50" t="s">
        <v>1282</v>
      </c>
      <c r="E324" s="41" t="s">
        <v>1288</v>
      </c>
      <c r="F324" s="38"/>
      <c r="H324" s="440">
        <v>44</v>
      </c>
      <c r="I324" s="38">
        <v>0.15</v>
      </c>
      <c r="J324" s="38">
        <v>29.7</v>
      </c>
      <c r="K324" s="49">
        <v>0.06</v>
      </c>
      <c r="L324" s="38">
        <v>3.2</v>
      </c>
      <c r="M324" s="49">
        <v>0.06</v>
      </c>
      <c r="N324" s="38">
        <v>4.97</v>
      </c>
      <c r="O324" s="39">
        <v>16.899999999999999</v>
      </c>
      <c r="P324" s="49">
        <v>0.34</v>
      </c>
      <c r="Q324" s="49">
        <v>0.01</v>
      </c>
      <c r="R324" s="49">
        <v>0.03</v>
      </c>
      <c r="T324" s="38">
        <f t="shared" si="9"/>
        <v>73.4649759070833</v>
      </c>
      <c r="AC324" s="55"/>
      <c r="AD324" s="76"/>
      <c r="AE324" s="38"/>
      <c r="AI324" s="38">
        <v>5.42</v>
      </c>
      <c r="AJ324" s="76">
        <v>460</v>
      </c>
      <c r="AL324" s="39">
        <v>12.5</v>
      </c>
      <c r="AM324" s="76">
        <v>60</v>
      </c>
      <c r="AN324" s="76"/>
      <c r="AO324" s="39"/>
      <c r="AQ324" s="38"/>
      <c r="AR324" s="38"/>
      <c r="AS324" s="38"/>
      <c r="AT324" s="76"/>
      <c r="AU324" s="76">
        <v>530</v>
      </c>
      <c r="AW324" s="76">
        <v>25</v>
      </c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76">
        <v>315</v>
      </c>
      <c r="BI324" s="38">
        <v>1.04</v>
      </c>
      <c r="BJ324" s="50">
        <v>2.19</v>
      </c>
      <c r="BK324" s="51">
        <v>0.26782312401361069</v>
      </c>
      <c r="BL324" s="39">
        <v>1.1200000000000001</v>
      </c>
      <c r="BM324" s="38">
        <v>0.33</v>
      </c>
      <c r="BN324" s="38">
        <v>0.81</v>
      </c>
      <c r="BO324" s="51">
        <v>0.36992337568885608</v>
      </c>
      <c r="BP324" s="38">
        <v>6.6000000000000003E-2</v>
      </c>
      <c r="BQ324" s="74">
        <v>0.39852519488313071</v>
      </c>
      <c r="BR324" s="74">
        <v>8.3865188528610357E-2</v>
      </c>
      <c r="BS324" s="52">
        <v>0.22016934365747048</v>
      </c>
      <c r="BT324" s="53">
        <v>3.0802035448901324E-2</v>
      </c>
      <c r="BU324" s="50">
        <v>0.19</v>
      </c>
      <c r="BV324" s="49">
        <v>3.3000000000000002E-2</v>
      </c>
      <c r="BW324" s="38">
        <v>0.24</v>
      </c>
      <c r="BX324" s="38"/>
      <c r="BZ324" s="39">
        <v>9.3000000000000007</v>
      </c>
      <c r="CA324" s="39">
        <v>1</v>
      </c>
      <c r="CE324" s="38">
        <v>0.59</v>
      </c>
      <c r="CF324" s="38">
        <v>0.54</v>
      </c>
      <c r="CI324" s="29">
        <v>0.33592102563927506</v>
      </c>
      <c r="CJ324" s="41">
        <v>0.38339657347674944</v>
      </c>
      <c r="CK324" s="29">
        <v>0.3904525279505438</v>
      </c>
      <c r="CL324" s="29"/>
      <c r="CM324" s="30">
        <v>1.7878787878787876</v>
      </c>
      <c r="CN324" s="29"/>
      <c r="CO324" s="29"/>
      <c r="CP324" s="29"/>
      <c r="CQ324" s="29">
        <v>4.6874999999999993E-2</v>
      </c>
      <c r="CR324" s="30">
        <v>1.5531249999999999</v>
      </c>
      <c r="CS324" s="29">
        <v>1.8749999999999999E-2</v>
      </c>
      <c r="CT324" s="29">
        <v>0.56902356902356899</v>
      </c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</row>
    <row r="325" spans="1:132" x14ac:dyDescent="0.2">
      <c r="A325" s="333"/>
      <c r="B325" s="255"/>
      <c r="C325" s="255"/>
      <c r="D325" s="255"/>
      <c r="E325" s="31"/>
      <c r="F325" s="30"/>
      <c r="H325" s="440"/>
      <c r="I325" s="48"/>
      <c r="J325" s="48"/>
      <c r="K325" s="49">
        <v>6.7233600000000004E-2</v>
      </c>
      <c r="L325" s="48"/>
      <c r="M325" s="45"/>
      <c r="N325" s="48"/>
      <c r="O325" s="79"/>
      <c r="P325" s="45"/>
      <c r="Q325" s="45"/>
      <c r="T325" s="38" t="e">
        <f t="shared" si="9"/>
        <v>#DIV/0!</v>
      </c>
      <c r="AC325" s="63"/>
      <c r="AD325" s="31"/>
      <c r="AE325" s="48"/>
      <c r="CS325" s="63"/>
      <c r="CT325" s="63"/>
    </row>
    <row r="326" spans="1:132" x14ac:dyDescent="0.2">
      <c r="A326" s="333" t="s">
        <v>509</v>
      </c>
      <c r="B326" s="255"/>
      <c r="C326" s="255"/>
      <c r="D326" s="255" t="s">
        <v>700</v>
      </c>
      <c r="E326" s="31"/>
      <c r="F326" s="30"/>
      <c r="H326" s="440">
        <v>43.292436411691689</v>
      </c>
      <c r="I326" s="38">
        <v>0.10703329474643831</v>
      </c>
      <c r="J326" s="38">
        <v>25.999146583227599</v>
      </c>
      <c r="K326" s="49">
        <v>9.1496159999999993E-2</v>
      </c>
      <c r="L326" s="38">
        <v>3.7442973977695173</v>
      </c>
      <c r="M326" s="49">
        <v>5.4621512000761589E-2</v>
      </c>
      <c r="N326" s="38">
        <v>8.7486797349728427</v>
      </c>
      <c r="O326" s="7">
        <v>15.85</v>
      </c>
      <c r="P326" s="49">
        <v>0.31355464684014872</v>
      </c>
      <c r="Q326" s="49">
        <v>1.5959578135611153E-2</v>
      </c>
      <c r="R326" s="49">
        <v>4.0951528406829509E-2</v>
      </c>
      <c r="S326" s="50"/>
      <c r="T326" s="38">
        <f t="shared" si="9"/>
        <v>80.639333523473141</v>
      </c>
      <c r="U326" s="50"/>
      <c r="W326" s="50"/>
      <c r="X326" s="50"/>
      <c r="Y326" s="50"/>
      <c r="Z326" s="50"/>
      <c r="AA326" s="50"/>
      <c r="AB326" s="50"/>
      <c r="AC326" s="55"/>
      <c r="AD326" s="76"/>
      <c r="AE326" s="38"/>
      <c r="AJ326" s="76"/>
      <c r="CQ326" s="29">
        <v>2.8585682005440642E-2</v>
      </c>
      <c r="CR326" s="30">
        <v>2.3365344163592461</v>
      </c>
      <c r="CS326" s="29">
        <v>1.4587920295353593E-2</v>
      </c>
      <c r="CT326" s="29">
        <v>0.6096353951181247</v>
      </c>
    </row>
    <row r="327" spans="1:132" s="50" customFormat="1" x14ac:dyDescent="0.2">
      <c r="A327" s="333" t="s">
        <v>509</v>
      </c>
      <c r="B327" s="257"/>
      <c r="C327" s="257"/>
      <c r="D327" s="257" t="s">
        <v>717</v>
      </c>
      <c r="E327" s="76"/>
      <c r="F327" s="38"/>
      <c r="H327" s="564">
        <v>43.714995924878664</v>
      </c>
      <c r="I327" s="564">
        <v>0.13957992353813004</v>
      </c>
      <c r="J327" s="564">
        <v>27.255563805525242</v>
      </c>
      <c r="K327" s="49">
        <v>9.1496159999999993E-2</v>
      </c>
      <c r="L327" s="38">
        <v>3.7442973977695173</v>
      </c>
      <c r="M327" s="565">
        <v>5.8637786819289488E-2</v>
      </c>
      <c r="N327" s="564">
        <v>7.2184939076496821</v>
      </c>
      <c r="O327" s="39">
        <v>15.412185873605949</v>
      </c>
      <c r="P327" s="49">
        <v>0.31355464684014872</v>
      </c>
      <c r="Q327" s="49">
        <v>5.0780669144981404E-3</v>
      </c>
      <c r="R327" s="49"/>
      <c r="T327" s="38">
        <f t="shared" si="9"/>
        <v>77.460286278775001</v>
      </c>
      <c r="AC327" s="55"/>
      <c r="AD327" s="76"/>
      <c r="AE327" s="38"/>
      <c r="AI327" s="38">
        <v>4.866951672862454</v>
      </c>
      <c r="AJ327" s="76">
        <v>626</v>
      </c>
      <c r="AL327" s="39">
        <v>13.971018587360595</v>
      </c>
      <c r="AM327" s="76">
        <v>69.460966542750924</v>
      </c>
      <c r="AN327" s="76">
        <v>5.0046840148698886</v>
      </c>
      <c r="AO327" s="39"/>
      <c r="AQ327" s="38">
        <v>0.7572639405204461</v>
      </c>
      <c r="AR327" s="38">
        <v>0.13507806691449814</v>
      </c>
      <c r="AS327" s="38">
        <v>0.30523420074349444</v>
      </c>
      <c r="AT327" s="76">
        <v>0.15234200743494422</v>
      </c>
      <c r="AU327" s="76">
        <v>649.56208178438669</v>
      </c>
      <c r="AW327" s="76">
        <v>10.109293680297396</v>
      </c>
      <c r="AX327" s="38"/>
      <c r="AY327" s="38"/>
      <c r="AZ327" s="38"/>
      <c r="BA327" s="38"/>
      <c r="BB327" s="38"/>
      <c r="BC327" s="38"/>
      <c r="BD327" s="38">
        <v>0.63571970260223054</v>
      </c>
      <c r="BE327" s="38"/>
      <c r="BF327" s="38"/>
      <c r="BG327" s="38">
        <v>2.8984386617100368E-2</v>
      </c>
      <c r="BH327" s="76">
        <v>492.1710037174721</v>
      </c>
      <c r="BI327" s="38">
        <v>0.74699925650557619</v>
      </c>
      <c r="BJ327" s="50">
        <v>1.776639405204461</v>
      </c>
      <c r="BL327" s="39">
        <v>1.2492193308550184</v>
      </c>
      <c r="BM327" s="38">
        <v>0.32418736059479553</v>
      </c>
      <c r="BN327" s="38">
        <v>0.67406245353159866</v>
      </c>
      <c r="BO327" s="38"/>
      <c r="BP327" s="38">
        <v>7.4062453531598516E-2</v>
      </c>
      <c r="BU327" s="50">
        <v>0.29266394052044609</v>
      </c>
      <c r="BV327" s="49">
        <v>4.2178884758364309E-2</v>
      </c>
      <c r="BW327" s="38">
        <v>0.21118736059479556</v>
      </c>
      <c r="BX327" s="38">
        <v>3.6031226765799257E-2</v>
      </c>
      <c r="BY327" s="50">
        <v>8.0312267657992556E-2</v>
      </c>
      <c r="BZ327" s="404">
        <v>1.1460966542750928</v>
      </c>
      <c r="CA327" s="39">
        <v>1.4062453531598511</v>
      </c>
      <c r="CE327" s="38">
        <v>8.8570260223048328E-2</v>
      </c>
      <c r="CF327" s="38">
        <v>0.24862453531598511</v>
      </c>
      <c r="CG327" s="50">
        <v>67.25</v>
      </c>
      <c r="CS327" s="55"/>
      <c r="CT327" s="55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</row>
    <row r="328" spans="1:132" x14ac:dyDescent="0.2">
      <c r="A328" s="334" t="s">
        <v>509</v>
      </c>
      <c r="B328" s="255"/>
      <c r="C328" s="255"/>
      <c r="D328" s="255"/>
      <c r="E328" s="31"/>
      <c r="F328" s="34">
        <v>98.126505934869698</v>
      </c>
      <c r="H328" s="34">
        <v>43.50371616828518</v>
      </c>
      <c r="I328" s="34">
        <v>0.12330660914228417</v>
      </c>
      <c r="J328" s="34">
        <v>26.62735519437642</v>
      </c>
      <c r="K328" s="37">
        <v>9.1496159999999993E-2</v>
      </c>
      <c r="L328" s="34">
        <v>3.7442973977695173</v>
      </c>
      <c r="M328" s="37">
        <v>5.6629649410025538E-2</v>
      </c>
      <c r="N328" s="34">
        <v>7.9835868213112624</v>
      </c>
      <c r="O328" s="72">
        <v>15.631092936802975</v>
      </c>
      <c r="P328" s="37">
        <v>0.31355464684014872</v>
      </c>
      <c r="Q328" s="37">
        <v>1.0518822525054646E-2</v>
      </c>
      <c r="R328" s="37">
        <v>4.0951528406829509E-2</v>
      </c>
      <c r="S328" s="37"/>
      <c r="T328" s="38">
        <f t="shared" si="9"/>
        <v>79.170409539317404</v>
      </c>
      <c r="U328" s="37"/>
      <c r="W328" s="36"/>
      <c r="X328" s="36"/>
      <c r="Y328" s="36"/>
      <c r="Z328" s="8">
        <v>438.59663468064781</v>
      </c>
      <c r="AA328" s="36"/>
      <c r="AB328" s="36"/>
      <c r="AC328" s="36"/>
      <c r="AD328" s="31">
        <v>87.316745780478612</v>
      </c>
      <c r="AE328" s="36"/>
      <c r="AF328" s="36"/>
      <c r="AG328" s="36"/>
      <c r="AH328" s="36"/>
      <c r="AI328" s="34">
        <v>4.866951672862454</v>
      </c>
      <c r="AJ328" s="35">
        <v>626</v>
      </c>
      <c r="AK328" s="36"/>
      <c r="AL328" s="72">
        <v>13.971018587360595</v>
      </c>
      <c r="AM328" s="35">
        <v>69.460966542750924</v>
      </c>
      <c r="AN328" s="35">
        <v>5.0046840148698886</v>
      </c>
      <c r="AO328" s="72"/>
      <c r="AP328" s="36"/>
      <c r="AQ328" s="34">
        <v>0.7572639405204461</v>
      </c>
      <c r="AR328" s="34"/>
      <c r="AS328" s="34"/>
      <c r="AT328" s="35">
        <v>0.15234200743494422</v>
      </c>
      <c r="AU328" s="35">
        <v>649.56208178438669</v>
      </c>
      <c r="AV328" s="36"/>
      <c r="AW328" s="35">
        <v>10.109293680297396</v>
      </c>
      <c r="AX328" s="34"/>
      <c r="AY328" s="34"/>
      <c r="AZ328" s="34"/>
      <c r="BA328" s="34"/>
      <c r="BB328" s="34"/>
      <c r="BC328" s="34"/>
      <c r="BD328" s="34">
        <v>0.63571970260223054</v>
      </c>
      <c r="BE328" s="34"/>
      <c r="BF328" s="34"/>
      <c r="BG328" s="34">
        <v>2.8984386617100368E-2</v>
      </c>
      <c r="BH328" s="35">
        <v>492.1710037174721</v>
      </c>
      <c r="BI328" s="34">
        <v>0.74699925650557619</v>
      </c>
      <c r="BJ328" s="34">
        <v>1.776639405204461</v>
      </c>
      <c r="BK328" s="51">
        <v>0.25796302668323928</v>
      </c>
      <c r="BL328" s="72">
        <v>1.2492193308550184</v>
      </c>
      <c r="BM328" s="34">
        <v>0.32418736059479553</v>
      </c>
      <c r="BN328" s="34">
        <v>0.67406245353159866</v>
      </c>
      <c r="BO328" s="51">
        <v>0.39895369142463649</v>
      </c>
      <c r="BP328" s="34">
        <v>7.4062453531598516E-2</v>
      </c>
      <c r="BQ328" s="37"/>
      <c r="BR328" s="37"/>
      <c r="BS328" s="37"/>
      <c r="BT328" s="37"/>
      <c r="BU328" s="37">
        <v>0.29266394052044609</v>
      </c>
      <c r="BV328" s="37">
        <v>4.2178884758364309E-2</v>
      </c>
      <c r="BW328" s="34">
        <v>0.21118736059479556</v>
      </c>
      <c r="BX328" s="34">
        <v>3.6031226765799257E-2</v>
      </c>
      <c r="BY328" s="36"/>
      <c r="BZ328" s="72">
        <v>1.1460966542750928</v>
      </c>
      <c r="CA328" s="72">
        <v>1.4062453531598511</v>
      </c>
      <c r="CB328" s="36"/>
      <c r="CC328" s="36"/>
      <c r="CD328" s="36"/>
      <c r="CE328" s="34">
        <v>8.8570260223048328E-2</v>
      </c>
      <c r="CF328" s="34">
        <v>0.24862453531598511</v>
      </c>
      <c r="CI328" s="29">
        <v>0.37403948444028101</v>
      </c>
      <c r="CJ328" s="41">
        <v>0.41156761584925755</v>
      </c>
      <c r="CK328" s="29">
        <v>0.41125397398437086</v>
      </c>
      <c r="CL328" s="29"/>
      <c r="CM328" s="30">
        <v>0.27320701232937034</v>
      </c>
      <c r="CN328" s="29"/>
      <c r="CO328" s="29"/>
      <c r="CP328" s="29"/>
      <c r="CQ328" s="29"/>
      <c r="CR328" s="30"/>
      <c r="CS328" s="29"/>
      <c r="CT328" s="29"/>
    </row>
    <row r="329" spans="1:132" x14ac:dyDescent="0.2">
      <c r="A329" s="256"/>
      <c r="B329" s="255"/>
      <c r="C329" s="255"/>
      <c r="D329" s="255"/>
      <c r="E329" s="31"/>
      <c r="F329" s="30"/>
      <c r="H329" s="34"/>
      <c r="I329" s="34"/>
      <c r="J329" s="34"/>
      <c r="K329" s="37"/>
      <c r="L329" s="34"/>
      <c r="M329" s="37"/>
      <c r="N329" s="34"/>
      <c r="O329" s="72"/>
      <c r="P329" s="37"/>
      <c r="Q329" s="37"/>
      <c r="R329" s="37"/>
      <c r="S329" s="36"/>
      <c r="T329" s="38" t="e">
        <f t="shared" si="9"/>
        <v>#DIV/0!</v>
      </c>
      <c r="U329" s="36"/>
      <c r="W329" s="36"/>
      <c r="X329" s="36"/>
      <c r="Y329" s="36"/>
      <c r="Z329" s="35"/>
      <c r="AA329" s="36"/>
      <c r="AB329" s="36"/>
      <c r="AC329" s="36"/>
      <c r="AD329" s="35"/>
      <c r="AE329" s="36"/>
      <c r="AF329" s="36"/>
      <c r="AG329" s="36"/>
      <c r="AH329" s="36"/>
      <c r="AI329" s="34"/>
      <c r="AJ329" s="35"/>
      <c r="AK329" s="36"/>
      <c r="AL329" s="72"/>
      <c r="AM329" s="35"/>
      <c r="AN329" s="35"/>
      <c r="AO329" s="72"/>
      <c r="AP329" s="36"/>
      <c r="AQ329" s="34"/>
      <c r="AR329" s="34"/>
      <c r="AS329" s="34"/>
      <c r="AT329" s="35"/>
      <c r="AU329" s="35"/>
      <c r="AV329" s="36"/>
      <c r="AW329" s="35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5"/>
      <c r="BI329" s="34"/>
      <c r="BJ329" s="34"/>
      <c r="BK329" s="34"/>
      <c r="BL329" s="72"/>
      <c r="BM329" s="34"/>
      <c r="BN329" s="34"/>
      <c r="BO329" s="34"/>
      <c r="BP329" s="34"/>
      <c r="BQ329" s="37"/>
      <c r="BR329" s="37"/>
      <c r="BS329" s="37"/>
      <c r="BT329" s="37"/>
      <c r="BU329" s="37"/>
      <c r="BV329" s="37"/>
      <c r="BW329" s="34"/>
      <c r="BX329" s="34"/>
      <c r="BY329" s="36"/>
      <c r="BZ329" s="72"/>
      <c r="CA329" s="72"/>
      <c r="CB329" s="36"/>
      <c r="CC329" s="36"/>
      <c r="CD329" s="36"/>
      <c r="CE329" s="34"/>
      <c r="CF329" s="34"/>
      <c r="CS329" s="63"/>
      <c r="CT329" s="63"/>
    </row>
    <row r="330" spans="1:132" s="50" customFormat="1" x14ac:dyDescent="0.2">
      <c r="A330" s="335" t="s">
        <v>662</v>
      </c>
      <c r="B330" s="257"/>
      <c r="C330" s="257"/>
      <c r="D330" s="50" t="s">
        <v>1282</v>
      </c>
      <c r="E330" s="41" t="s">
        <v>1288</v>
      </c>
      <c r="F330" s="38"/>
      <c r="H330" s="440">
        <v>43.9</v>
      </c>
      <c r="I330" s="38">
        <v>0.16</v>
      </c>
      <c r="J330" s="38">
        <v>28.5</v>
      </c>
      <c r="K330" s="49">
        <v>0.1</v>
      </c>
      <c r="L330" s="38">
        <v>3.69</v>
      </c>
      <c r="M330" s="49">
        <v>7.0000000000000007E-2</v>
      </c>
      <c r="N330" s="38">
        <v>6.08</v>
      </c>
      <c r="O330" s="39">
        <v>15.9</v>
      </c>
      <c r="P330" s="49">
        <v>0.36</v>
      </c>
      <c r="Q330" s="49">
        <v>0.02</v>
      </c>
      <c r="R330" s="49">
        <v>0.04</v>
      </c>
      <c r="T330" s="38">
        <f t="shared" si="9"/>
        <v>74.601158195340062</v>
      </c>
      <c r="AC330" s="38"/>
      <c r="AD330" s="76"/>
      <c r="AE330" s="38"/>
      <c r="AI330" s="38">
        <v>7.2</v>
      </c>
      <c r="AJ330" s="76">
        <v>522</v>
      </c>
      <c r="AL330" s="39">
        <v>14.3</v>
      </c>
      <c r="AM330" s="76">
        <v>60</v>
      </c>
      <c r="AN330" s="76"/>
      <c r="AO330" s="39"/>
      <c r="AQ330" s="39"/>
      <c r="AR330" s="38"/>
      <c r="AS330" s="38"/>
      <c r="AT330" s="76"/>
      <c r="AU330" s="76">
        <v>1280</v>
      </c>
      <c r="AW330" s="76">
        <v>44</v>
      </c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76">
        <v>1390</v>
      </c>
      <c r="BI330" s="38">
        <v>0.73</v>
      </c>
      <c r="BJ330" s="38">
        <v>1.7</v>
      </c>
      <c r="BL330" s="39">
        <v>1.3</v>
      </c>
      <c r="BM330" s="38">
        <v>0.46</v>
      </c>
      <c r="BN330" s="38">
        <v>0.94</v>
      </c>
      <c r="BO330" s="38"/>
      <c r="BP330" s="38">
        <v>0.11</v>
      </c>
      <c r="BU330" s="50">
        <v>0.35</v>
      </c>
      <c r="BV330" s="49">
        <v>0.06</v>
      </c>
      <c r="BW330" s="38">
        <v>0.67</v>
      </c>
      <c r="BX330" s="38">
        <v>0.39</v>
      </c>
      <c r="BZ330" s="39">
        <v>10.3</v>
      </c>
      <c r="CA330" s="39">
        <v>3</v>
      </c>
      <c r="CE330" s="38">
        <v>0.15</v>
      </c>
      <c r="CF330" s="38"/>
      <c r="CI330" s="29">
        <v>0.61611648323938839</v>
      </c>
      <c r="CJ330" s="41">
        <v>0.60203746330040331</v>
      </c>
      <c r="CK330" s="29">
        <v>0.63785776945066097</v>
      </c>
      <c r="CL330" s="29"/>
      <c r="CM330" s="30">
        <v>0.32608695652173908</v>
      </c>
      <c r="CN330" s="29"/>
      <c r="CO330" s="29"/>
      <c r="CP330" s="29"/>
      <c r="CQ330" s="29">
        <v>4.3360433604336043E-2</v>
      </c>
      <c r="CR330" s="30">
        <v>1.6476964769647697</v>
      </c>
      <c r="CS330" s="29">
        <v>1.8970189701897022E-2</v>
      </c>
      <c r="CT330" s="29">
        <v>0.55789473684210522</v>
      </c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</row>
    <row r="331" spans="1:132" x14ac:dyDescent="0.2">
      <c r="A331" s="335"/>
      <c r="B331" s="255"/>
      <c r="C331" s="255"/>
      <c r="D331" s="255"/>
      <c r="E331" s="31"/>
      <c r="F331" s="30"/>
      <c r="H331" s="440"/>
      <c r="I331" s="48"/>
      <c r="J331" s="48"/>
      <c r="K331" s="49">
        <v>7.6295520000000006E-2</v>
      </c>
      <c r="L331" s="48"/>
      <c r="M331" s="45"/>
      <c r="N331" s="48"/>
      <c r="O331" s="79"/>
      <c r="P331" s="45"/>
      <c r="Q331" s="45"/>
      <c r="T331" s="38" t="e">
        <f t="shared" si="9"/>
        <v>#DIV/0!</v>
      </c>
      <c r="AC331" s="48"/>
      <c r="AD331" s="31"/>
      <c r="AE331" s="48"/>
      <c r="AQ331" s="33"/>
      <c r="BJ331" s="30"/>
      <c r="CS331" s="63"/>
      <c r="CT331" s="63"/>
    </row>
    <row r="332" spans="1:132" x14ac:dyDescent="0.2">
      <c r="A332" s="247" t="s">
        <v>662</v>
      </c>
      <c r="B332" s="255"/>
      <c r="C332" s="255"/>
      <c r="D332" s="255" t="s">
        <v>700</v>
      </c>
      <c r="E332" s="31"/>
      <c r="F332" s="30"/>
      <c r="H332" s="30">
        <v>43.283212210332579</v>
      </c>
      <c r="I332" s="30">
        <v>0.12043742245612152</v>
      </c>
      <c r="J332" s="30">
        <v>28.345545742683868</v>
      </c>
      <c r="K332" s="32">
        <v>7.2824521711454732E-2</v>
      </c>
      <c r="L332" s="30">
        <v>3.1336410949306908</v>
      </c>
      <c r="M332" s="32">
        <v>5.0002017107435161E-2</v>
      </c>
      <c r="N332" s="30">
        <v>6.1602615598464308</v>
      </c>
      <c r="O332" s="7">
        <v>17</v>
      </c>
      <c r="P332" s="32">
        <v>0.35666191262573188</v>
      </c>
      <c r="Q332" s="32">
        <v>1.831065770702282E-2</v>
      </c>
      <c r="R332" s="32">
        <v>3.3022145009152168E-2</v>
      </c>
      <c r="T332" s="38">
        <f t="shared" si="9"/>
        <v>77.799113912973311</v>
      </c>
      <c r="Z332" s="31"/>
      <c r="AD332" s="31"/>
      <c r="CQ332" s="29">
        <v>3.8433700225259951E-2</v>
      </c>
      <c r="CR332" s="30">
        <v>1.9658478342691896</v>
      </c>
      <c r="CS332" s="29">
        <v>1.5956523287980782E-2</v>
      </c>
      <c r="CT332" s="29">
        <v>0.59974149569470847</v>
      </c>
    </row>
    <row r="333" spans="1:132" x14ac:dyDescent="0.2">
      <c r="A333" s="247" t="s">
        <v>662</v>
      </c>
      <c r="B333" s="255"/>
      <c r="C333" s="255"/>
      <c r="D333" s="255" t="s">
        <v>717</v>
      </c>
      <c r="E333" s="31">
        <v>36.9</v>
      </c>
      <c r="F333" s="30"/>
      <c r="H333" s="564">
        <v>43.615502846245526</v>
      </c>
      <c r="I333" s="564">
        <v>0.11760472571297144</v>
      </c>
      <c r="J333" s="564">
        <v>28.291711766068179</v>
      </c>
      <c r="K333" s="32">
        <v>7.2824521711454732E-2</v>
      </c>
      <c r="L333" s="30">
        <v>3.1336410949306908</v>
      </c>
      <c r="M333" s="565">
        <v>5.0375960009459014E-2</v>
      </c>
      <c r="N333" s="564">
        <v>6.1770309853070895</v>
      </c>
      <c r="O333" s="33">
        <v>16.078053845768903</v>
      </c>
      <c r="P333" s="32">
        <v>0.35666191262573188</v>
      </c>
      <c r="Q333" s="32">
        <v>3.2118100385327523E-2</v>
      </c>
      <c r="T333" s="38">
        <f t="shared" si="9"/>
        <v>77.846032529250834</v>
      </c>
      <c r="Z333" s="31"/>
      <c r="AD333" s="31"/>
      <c r="AI333" s="30">
        <v>4.686142721313117</v>
      </c>
      <c r="AJ333" s="31">
        <v>498.25206425461641</v>
      </c>
      <c r="AL333" s="33">
        <v>9.8006020117099535</v>
      </c>
      <c r="AM333" s="31">
        <v>46.28934594405245</v>
      </c>
      <c r="AN333" s="31">
        <v>5.0280688585297506</v>
      </c>
      <c r="AQ333" s="33">
        <v>0.70487614472301463</v>
      </c>
      <c r="AR333" s="30">
        <v>0.12598408647350251</v>
      </c>
      <c r="AS333" s="30">
        <v>0.41462893459440525</v>
      </c>
      <c r="AT333" s="31">
        <v>0.47339738777961266</v>
      </c>
      <c r="AU333" s="31">
        <v>1172.0507431316619</v>
      </c>
      <c r="AW333" s="31">
        <v>5.3262272931992207</v>
      </c>
      <c r="BD333" s="30">
        <v>2.6694240104088475E-2</v>
      </c>
      <c r="BG333" s="30">
        <v>1.3071710954311165E-2</v>
      </c>
      <c r="BH333" s="31">
        <v>306.98257518891057</v>
      </c>
      <c r="BI333" s="30">
        <v>0.58728624330681078</v>
      </c>
      <c r="BJ333" s="30">
        <v>1.5460221188009808</v>
      </c>
      <c r="BL333" s="33">
        <v>1.0256968423159685</v>
      </c>
      <c r="BM333" s="30">
        <v>0.28864813328914785</v>
      </c>
      <c r="BN333" s="30">
        <v>0.72142491117449836</v>
      </c>
      <c r="BP333" s="30">
        <v>6.4932852924986253E-2</v>
      </c>
      <c r="BU333">
        <v>0.26753065105339535</v>
      </c>
      <c r="BV333" s="32">
        <v>3.9164294650452881E-2</v>
      </c>
      <c r="BW333" s="30">
        <v>0.21015473152179351</v>
      </c>
      <c r="BX333" s="30">
        <v>2.9419806835810441E-2</v>
      </c>
      <c r="BY333">
        <v>4.5357553920832717E-2</v>
      </c>
      <c r="BZ333" s="33">
        <v>0.89615022769353958</v>
      </c>
      <c r="CA333" s="33">
        <v>4.7953190211679928</v>
      </c>
      <c r="CE333" s="30">
        <v>5.9475954561377185E-2</v>
      </c>
      <c r="CF333" s="30">
        <v>0.18172806885852977</v>
      </c>
      <c r="CG333">
        <v>199.83</v>
      </c>
      <c r="CS333" s="63"/>
      <c r="CT333" s="63"/>
    </row>
    <row r="334" spans="1:132" s="36" customFormat="1" x14ac:dyDescent="0.2">
      <c r="A334" s="246" t="s">
        <v>662</v>
      </c>
      <c r="B334" s="258"/>
      <c r="C334" s="258"/>
      <c r="D334" s="258"/>
      <c r="E334" s="35"/>
      <c r="F334" s="34">
        <v>98.266233594092483</v>
      </c>
      <c r="H334" s="34">
        <v>43.449357528289056</v>
      </c>
      <c r="I334" s="34">
        <v>0.11902107408454649</v>
      </c>
      <c r="J334" s="34">
        <v>28.318628754376022</v>
      </c>
      <c r="K334" s="37">
        <v>7.2824521711454732E-2</v>
      </c>
      <c r="L334" s="34">
        <v>3.1336410949306908</v>
      </c>
      <c r="M334" s="37">
        <v>5.0188988558447084E-2</v>
      </c>
      <c r="N334" s="34">
        <v>6.1686462725767601</v>
      </c>
      <c r="O334" s="72">
        <v>16.539026922884453</v>
      </c>
      <c r="P334" s="37">
        <v>0.35666191262573188</v>
      </c>
      <c r="Q334" s="37">
        <v>2.521437904617517E-2</v>
      </c>
      <c r="R334" s="37">
        <v>3.3022145009152168E-2</v>
      </c>
      <c r="S334" s="37"/>
      <c r="T334" s="38">
        <f t="shared" si="9"/>
        <v>77.822598036395831</v>
      </c>
      <c r="U334" s="37"/>
      <c r="Z334" s="8">
        <v>388.71371638517269</v>
      </c>
      <c r="AD334" s="31">
        <v>209.30456046230009</v>
      </c>
      <c r="AI334" s="34">
        <v>4.686142721313117</v>
      </c>
      <c r="AJ334" s="35">
        <v>498.25206425461641</v>
      </c>
      <c r="AL334" s="72">
        <v>9.8006020117099535</v>
      </c>
      <c r="AM334" s="35">
        <v>46.28934594405245</v>
      </c>
      <c r="AN334" s="35">
        <v>5.0280688585297506</v>
      </c>
      <c r="AO334" s="72"/>
      <c r="AQ334" s="34">
        <v>0.70487614472301463</v>
      </c>
      <c r="AR334" s="34"/>
      <c r="AS334" s="34"/>
      <c r="AT334" s="35">
        <v>0.47339738777961266</v>
      </c>
      <c r="AU334" s="35">
        <v>1172.0507431316619</v>
      </c>
      <c r="AW334" s="35">
        <v>5.3262272931992207</v>
      </c>
      <c r="AX334" s="34"/>
      <c r="AY334" s="34"/>
      <c r="AZ334" s="34"/>
      <c r="BA334" s="34"/>
      <c r="BB334" s="34"/>
      <c r="BC334" s="34"/>
      <c r="BD334" s="34">
        <v>2.6694240104088475E-2</v>
      </c>
      <c r="BE334" s="34"/>
      <c r="BF334" s="34"/>
      <c r="BG334" s="34">
        <v>1.3071710954311165E-2</v>
      </c>
      <c r="BH334" s="35">
        <v>306.98257518891057</v>
      </c>
      <c r="BI334" s="34">
        <v>0.58728624330681078</v>
      </c>
      <c r="BJ334" s="34">
        <v>1.5460221188009808</v>
      </c>
      <c r="BK334" s="51">
        <v>0.20876333767344235</v>
      </c>
      <c r="BL334" s="72">
        <v>1.0256968423159685</v>
      </c>
      <c r="BM334" s="34">
        <v>0.28864813328914785</v>
      </c>
      <c r="BN334" s="34">
        <v>0.72142491117449836</v>
      </c>
      <c r="BO334" s="51">
        <v>0.35676274197662766</v>
      </c>
      <c r="BP334" s="34">
        <v>6.4932852924986253E-2</v>
      </c>
      <c r="BQ334" s="74">
        <v>0.43160734999263217</v>
      </c>
      <c r="BR334" s="74">
        <v>9.6987211569263612E-2</v>
      </c>
      <c r="BS334" s="52">
        <v>0.27188628996722086</v>
      </c>
      <c r="BT334" s="53">
        <v>4.0616791207095035E-2</v>
      </c>
      <c r="BU334" s="37">
        <v>0.26753065105339535</v>
      </c>
      <c r="BV334" s="37">
        <v>3.9164294650452881E-2</v>
      </c>
      <c r="BW334" s="34">
        <v>0.21015473152179351</v>
      </c>
      <c r="BX334" s="34">
        <v>2.9419806835810441E-2</v>
      </c>
      <c r="BZ334" s="72">
        <v>0.89615022769353958</v>
      </c>
      <c r="CA334" s="72">
        <v>4.7953190211679928</v>
      </c>
      <c r="CE334" s="34">
        <v>5.9475954561377185E-2</v>
      </c>
      <c r="CF334" s="34">
        <v>0.18172806885852977</v>
      </c>
      <c r="CI334" s="29">
        <v>0.35003166260527047</v>
      </c>
      <c r="CJ334" s="41">
        <v>0.36269657958460527</v>
      </c>
      <c r="CK334" s="29">
        <v>0.35755998374000725</v>
      </c>
      <c r="CL334" s="29"/>
      <c r="CM334" s="30">
        <v>0.20605002320177232</v>
      </c>
      <c r="CN334" s="29"/>
      <c r="CO334" s="29"/>
      <c r="CP334" s="29"/>
      <c r="CQ334" s="29"/>
      <c r="CR334" s="30"/>
      <c r="CS334" s="29"/>
      <c r="CT334" s="29"/>
      <c r="CU334"/>
      <c r="CV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</row>
    <row r="335" spans="1:132" x14ac:dyDescent="0.2">
      <c r="A335" s="254"/>
      <c r="B335" s="255"/>
      <c r="C335" s="255"/>
      <c r="D335" s="255"/>
      <c r="E335" s="31"/>
      <c r="F335" s="30"/>
      <c r="H335" s="440"/>
      <c r="I335" s="48"/>
      <c r="J335" s="48"/>
      <c r="K335" s="45"/>
      <c r="L335" s="48"/>
      <c r="M335" s="45"/>
      <c r="N335" s="48"/>
      <c r="O335" s="79"/>
      <c r="P335" s="45"/>
      <c r="Q335" s="45"/>
      <c r="T335" s="38" t="e">
        <f t="shared" si="9"/>
        <v>#DIV/0!</v>
      </c>
      <c r="AC335" s="63"/>
      <c r="AD335" s="31"/>
      <c r="AE335" s="48"/>
      <c r="CS335" s="63"/>
      <c r="CT335" s="63"/>
    </row>
    <row r="336" spans="1:132" s="50" customFormat="1" x14ac:dyDescent="0.2">
      <c r="A336" s="333" t="s">
        <v>663</v>
      </c>
      <c r="B336" s="257"/>
      <c r="C336" s="257"/>
      <c r="D336" s="50" t="s">
        <v>1282</v>
      </c>
      <c r="E336" s="41" t="s">
        <v>1288</v>
      </c>
      <c r="F336" s="38"/>
      <c r="H336" s="440">
        <v>44</v>
      </c>
      <c r="I336" s="38">
        <v>0.15</v>
      </c>
      <c r="J336" s="38">
        <v>27.2</v>
      </c>
      <c r="K336" s="49">
        <v>0.12</v>
      </c>
      <c r="L336" s="38">
        <v>4</v>
      </c>
      <c r="M336" s="49">
        <v>0.05</v>
      </c>
      <c r="N336" s="38">
        <v>7.55</v>
      </c>
      <c r="O336" s="39">
        <v>15.5</v>
      </c>
      <c r="P336" s="49">
        <v>0.33</v>
      </c>
      <c r="Q336" s="49">
        <v>0.04</v>
      </c>
      <c r="R336" s="49">
        <v>7.0000000000000007E-2</v>
      </c>
      <c r="T336" s="38">
        <f t="shared" si="9"/>
        <v>77.08871684393435</v>
      </c>
      <c r="AC336" s="38"/>
      <c r="AD336" s="76"/>
      <c r="AE336" s="38"/>
      <c r="AI336" s="38">
        <v>5.8</v>
      </c>
      <c r="AJ336" s="76">
        <v>675</v>
      </c>
      <c r="AL336" s="39">
        <v>14.4</v>
      </c>
      <c r="AM336" s="76">
        <v>230</v>
      </c>
      <c r="AN336" s="76"/>
      <c r="AO336" s="39"/>
      <c r="AQ336" s="38"/>
      <c r="AR336" s="38"/>
      <c r="AS336" s="38"/>
      <c r="AT336" s="76"/>
      <c r="AU336" s="76">
        <v>920</v>
      </c>
      <c r="AW336" s="76">
        <v>24</v>
      </c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76">
        <v>690</v>
      </c>
      <c r="BI336" s="38">
        <v>1.1299999999999999</v>
      </c>
      <c r="BJ336" s="50">
        <v>2.38</v>
      </c>
      <c r="BK336" s="51"/>
      <c r="BL336" s="39">
        <v>1.29</v>
      </c>
      <c r="BM336" s="38">
        <v>0.38</v>
      </c>
      <c r="BN336" s="38">
        <v>0.72</v>
      </c>
      <c r="BO336" s="51"/>
      <c r="BP336" s="38">
        <v>8.6999999999999994E-2</v>
      </c>
      <c r="BQ336" s="74"/>
      <c r="BR336" s="74"/>
      <c r="BS336" s="52"/>
      <c r="BT336" s="53"/>
      <c r="BU336" s="50">
        <v>0.34</v>
      </c>
      <c r="BV336" s="49">
        <v>5.8999999999999997E-2</v>
      </c>
      <c r="BW336" s="38">
        <v>0.36</v>
      </c>
      <c r="BX336" s="38"/>
      <c r="BZ336" s="39">
        <v>5.9</v>
      </c>
      <c r="CA336" s="39">
        <v>5</v>
      </c>
      <c r="CB336" s="50">
        <v>0.28000000000000003</v>
      </c>
      <c r="CC336" s="50">
        <v>0.34</v>
      </c>
      <c r="CE336" s="38"/>
      <c r="CF336" s="38"/>
      <c r="CQ336" s="29">
        <v>3.7499999999999999E-2</v>
      </c>
      <c r="CR336" s="30">
        <v>1.8875</v>
      </c>
      <c r="CS336" s="29">
        <v>1.2500000000000001E-2</v>
      </c>
      <c r="CT336" s="29">
        <v>0.56985294117647056</v>
      </c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</row>
    <row r="337" spans="1:132" x14ac:dyDescent="0.2">
      <c r="A337" s="333"/>
      <c r="B337" s="255"/>
      <c r="C337" s="255"/>
      <c r="D337" s="255"/>
      <c r="E337" s="31"/>
      <c r="F337" s="30"/>
      <c r="H337" s="440"/>
      <c r="I337" s="48"/>
      <c r="J337" s="48"/>
      <c r="K337" s="49">
        <v>9.865800000000001E-2</v>
      </c>
      <c r="L337" s="48"/>
      <c r="M337" s="45"/>
      <c r="N337" s="48"/>
      <c r="O337" s="79"/>
      <c r="P337" s="45"/>
      <c r="Q337" s="45"/>
      <c r="T337" s="38" t="e">
        <f t="shared" si="9"/>
        <v>#DIV/0!</v>
      </c>
      <c r="AC337" s="48"/>
      <c r="AD337" s="31"/>
      <c r="AE337" s="48"/>
      <c r="CS337" s="63"/>
      <c r="CT337" s="63"/>
    </row>
    <row r="338" spans="1:132" x14ac:dyDescent="0.2">
      <c r="A338" s="333" t="s">
        <v>663</v>
      </c>
      <c r="B338" s="255"/>
      <c r="C338" s="255"/>
      <c r="D338" s="255" t="s">
        <v>700</v>
      </c>
      <c r="E338" s="31"/>
      <c r="F338" s="30"/>
      <c r="H338" s="440">
        <v>43.374345773860981</v>
      </c>
      <c r="I338" s="38">
        <v>0.13257565417598932</v>
      </c>
      <c r="J338" s="38">
        <v>27.811275939501307</v>
      </c>
      <c r="K338" s="49">
        <v>7.6776335884641791E-2</v>
      </c>
      <c r="L338" s="38">
        <v>3.3924593728542001</v>
      </c>
      <c r="M338" s="49">
        <v>5.8521815150020563E-2</v>
      </c>
      <c r="N338" s="38">
        <v>6.609919591681523</v>
      </c>
      <c r="O338" s="7">
        <v>16.7</v>
      </c>
      <c r="P338" s="49">
        <v>0.33563653009842076</v>
      </c>
      <c r="Q338" s="49">
        <v>2.0029125996947568E-2</v>
      </c>
      <c r="R338" s="49">
        <v>3.5253358758399439E-2</v>
      </c>
      <c r="S338" s="50"/>
      <c r="T338" s="38">
        <f t="shared" si="9"/>
        <v>77.644885883625136</v>
      </c>
      <c r="U338" s="50"/>
      <c r="W338" s="50"/>
      <c r="X338" s="50"/>
      <c r="Y338" s="50"/>
      <c r="Z338" s="50"/>
      <c r="AA338" s="50"/>
      <c r="AB338" s="50"/>
      <c r="AC338" s="38"/>
      <c r="AD338" s="76"/>
      <c r="AE338" s="38"/>
      <c r="AJ338" s="76"/>
      <c r="CQ338" s="29">
        <v>3.9079511235074443E-2</v>
      </c>
      <c r="CR338" s="30">
        <v>1.9484152543057152</v>
      </c>
      <c r="CS338" s="29">
        <v>1.7250557403369587E-2</v>
      </c>
      <c r="CT338" s="29">
        <v>0.60047586584405566</v>
      </c>
    </row>
    <row r="339" spans="1:132" x14ac:dyDescent="0.2">
      <c r="A339" s="333" t="s">
        <v>663</v>
      </c>
      <c r="B339" s="255"/>
      <c r="C339" s="255"/>
      <c r="D339" s="255" t="s">
        <v>717</v>
      </c>
      <c r="E339" s="31"/>
      <c r="F339" s="30"/>
      <c r="H339" s="564">
        <v>43.65767161967409</v>
      </c>
      <c r="I339" s="564">
        <v>0.12691861116980779</v>
      </c>
      <c r="J339" s="564">
        <v>27.852554699196048</v>
      </c>
      <c r="K339" s="49">
        <v>7.6776335884641791E-2</v>
      </c>
      <c r="L339" s="38">
        <v>3.3924593728542001</v>
      </c>
      <c r="M339" s="565">
        <v>5.3877621709308821E-2</v>
      </c>
      <c r="N339" s="564">
        <v>6.6184407256615403</v>
      </c>
      <c r="O339" s="39">
        <v>16.207466239414053</v>
      </c>
      <c r="P339" s="49">
        <v>0.33563653009842076</v>
      </c>
      <c r="Q339" s="49">
        <v>1.376974135957885E-2</v>
      </c>
      <c r="R339" s="49"/>
      <c r="S339" s="50"/>
      <c r="T339" s="38">
        <f t="shared" si="9"/>
        <v>77.667239946765719</v>
      </c>
      <c r="U339" s="50"/>
      <c r="Z339" s="50"/>
      <c r="AA339" s="50"/>
      <c r="AB339" s="50"/>
      <c r="AC339" s="38"/>
      <c r="AD339" s="76"/>
      <c r="AE339" s="38"/>
      <c r="AF339" s="50"/>
      <c r="AG339" s="50"/>
      <c r="AH339" s="50"/>
      <c r="AI339" s="38">
        <v>4.8511730373083086</v>
      </c>
      <c r="AJ339" s="76">
        <v>525.28965438315402</v>
      </c>
      <c r="AK339" s="50"/>
      <c r="AL339" s="39">
        <v>11.130767910276949</v>
      </c>
      <c r="AM339" s="76">
        <v>51.773517967498286</v>
      </c>
      <c r="AN339" s="76">
        <v>4.4888647287708867</v>
      </c>
      <c r="AO339" s="39"/>
      <c r="AP339" s="50"/>
      <c r="AQ339" s="38">
        <v>0.88436140993362322</v>
      </c>
      <c r="AR339" s="38">
        <v>6.5465781643396656E-2</v>
      </c>
      <c r="AS339" s="38">
        <v>0.4480338750286107</v>
      </c>
      <c r="AT339" s="76">
        <v>9.3522545204852356E-2</v>
      </c>
      <c r="AU339" s="76">
        <v>841.46623941405346</v>
      </c>
      <c r="AV339" s="50"/>
      <c r="AW339" s="76">
        <v>7.4734493018997483</v>
      </c>
      <c r="AX339" s="38"/>
      <c r="AY339" s="38"/>
      <c r="AZ339" s="38"/>
      <c r="BA339" s="38"/>
      <c r="BB339" s="38"/>
      <c r="BC339" s="38"/>
      <c r="BD339" s="38">
        <v>4.7642023346303505E-2</v>
      </c>
      <c r="BE339" s="38"/>
      <c r="BF339" s="38"/>
      <c r="BG339" s="38">
        <v>2.2924467841611351E-2</v>
      </c>
      <c r="BH339" s="76">
        <v>444.91325246051724</v>
      </c>
      <c r="BI339" s="38">
        <v>0.70612336919203489</v>
      </c>
      <c r="BJ339" s="50">
        <v>1.7399668116273748</v>
      </c>
      <c r="BK339" s="50"/>
      <c r="BL339" s="39">
        <v>1.0623483634699016</v>
      </c>
      <c r="BM339" s="38">
        <v>0.31661833371480885</v>
      </c>
      <c r="BN339" s="38">
        <v>0.7253658731975281</v>
      </c>
      <c r="BO339" s="38"/>
      <c r="BP339" s="38">
        <v>6.877214465552757E-2</v>
      </c>
      <c r="BQ339" s="50"/>
      <c r="BR339" s="50"/>
      <c r="BS339" s="50"/>
      <c r="BT339" s="50"/>
      <c r="BU339" s="50">
        <v>0.28150320439459836</v>
      </c>
      <c r="BV339" s="49">
        <v>4.174230945296406E-2</v>
      </c>
      <c r="BW339" s="38">
        <v>0.20122980086976425</v>
      </c>
      <c r="BX339" s="38">
        <v>3.1032158388647292E-2</v>
      </c>
      <c r="BY339" s="50">
        <v>3.1174181734950793E-2</v>
      </c>
      <c r="BZ339" s="404">
        <v>1.1067063401235981</v>
      </c>
      <c r="CA339" s="39">
        <v>0.81197070267795846</v>
      </c>
      <c r="CB339" s="50"/>
      <c r="CC339" s="50"/>
      <c r="CD339" s="50"/>
      <c r="CE339" s="38">
        <v>8.6219501029983991E-2</v>
      </c>
      <c r="CF339" s="38">
        <v>0.233655985351339</v>
      </c>
      <c r="CG339" s="50">
        <v>87.38</v>
      </c>
      <c r="CS339" s="63"/>
      <c r="CT339" s="63"/>
    </row>
    <row r="340" spans="1:132" x14ac:dyDescent="0.2">
      <c r="A340" s="334" t="s">
        <v>663</v>
      </c>
      <c r="B340" s="255"/>
      <c r="C340" s="255"/>
      <c r="D340" s="255"/>
      <c r="E340" s="31"/>
      <c r="F340" s="34">
        <v>98.45880917687127</v>
      </c>
      <c r="H340" s="34">
        <v>43.516008696767535</v>
      </c>
      <c r="I340" s="34">
        <v>0.12974713267289856</v>
      </c>
      <c r="J340" s="34">
        <v>27.831915319348678</v>
      </c>
      <c r="K340" s="37">
        <v>7.6776335884641791E-2</v>
      </c>
      <c r="L340" s="34">
        <v>3.3924593728542001</v>
      </c>
      <c r="M340" s="37">
        <v>5.6199718429664688E-2</v>
      </c>
      <c r="N340" s="34">
        <v>6.6141801586715321</v>
      </c>
      <c r="O340" s="72">
        <v>16.453733119707024</v>
      </c>
      <c r="P340" s="37">
        <v>0.33563653009842076</v>
      </c>
      <c r="Q340" s="37">
        <v>1.6899433678263208E-2</v>
      </c>
      <c r="R340" s="37">
        <v>3.5253358758399439E-2</v>
      </c>
      <c r="S340" s="37"/>
      <c r="T340" s="38">
        <f t="shared" si="9"/>
        <v>77.656068506243884</v>
      </c>
      <c r="U340" s="37"/>
      <c r="W340" s="36"/>
      <c r="X340" s="36"/>
      <c r="Y340" s="36"/>
      <c r="Z340" s="8">
        <v>435.266819237753</v>
      </c>
      <c r="AA340" s="36"/>
      <c r="AB340" s="36"/>
      <c r="AC340" s="36"/>
      <c r="AD340" s="31">
        <v>140.28219896326289</v>
      </c>
      <c r="AE340" s="36"/>
      <c r="AF340" s="36"/>
      <c r="AG340" s="36"/>
      <c r="AH340" s="36"/>
      <c r="AI340" s="34">
        <v>4.8511730373083086</v>
      </c>
      <c r="AJ340" s="35">
        <v>525.28965438315402</v>
      </c>
      <c r="AK340" s="36"/>
      <c r="AL340" s="72">
        <v>11.130767910276949</v>
      </c>
      <c r="AM340" s="35">
        <v>51.773517967498286</v>
      </c>
      <c r="AN340" s="35">
        <v>4.4888647287708867</v>
      </c>
      <c r="AO340" s="72"/>
      <c r="AP340" s="36"/>
      <c r="AQ340" s="34">
        <v>0.88436140993362322</v>
      </c>
      <c r="AR340" s="34"/>
      <c r="AS340" s="34"/>
      <c r="AT340" s="35">
        <v>9.3522545204852356E-2</v>
      </c>
      <c r="AU340" s="35">
        <v>841.46623941405346</v>
      </c>
      <c r="AV340" s="36"/>
      <c r="AW340" s="35">
        <v>7.4734493018997483</v>
      </c>
      <c r="AX340" s="34"/>
      <c r="AY340" s="34"/>
      <c r="AZ340" s="34"/>
      <c r="BA340" s="34"/>
      <c r="BB340" s="34"/>
      <c r="BC340" s="34"/>
      <c r="BD340" s="34">
        <v>4.7642023346303505E-2</v>
      </c>
      <c r="BE340" s="34"/>
      <c r="BF340" s="34"/>
      <c r="BG340" s="34">
        <v>2.2924467841611351E-2</v>
      </c>
      <c r="BH340" s="35">
        <v>444.91325246051724</v>
      </c>
      <c r="BI340" s="34">
        <v>0.70612336919203489</v>
      </c>
      <c r="BJ340" s="34">
        <v>1.7399668116273748</v>
      </c>
      <c r="BK340" s="51">
        <v>0.2272461009386034</v>
      </c>
      <c r="BL340" s="72">
        <v>1.0623483634699016</v>
      </c>
      <c r="BM340" s="34">
        <v>0.31661833371480885</v>
      </c>
      <c r="BN340" s="34">
        <v>0.7253658731975281</v>
      </c>
      <c r="BO340" s="51">
        <v>0.37932056132334052</v>
      </c>
      <c r="BP340" s="34">
        <v>6.877214465552757E-2</v>
      </c>
      <c r="BQ340" s="74">
        <v>0.46014805896221622</v>
      </c>
      <c r="BR340" s="74">
        <v>0.10305979076052063</v>
      </c>
      <c r="BS340" s="52">
        <v>0.28796139596915282</v>
      </c>
      <c r="BT340" s="53">
        <v>4.2877643565730039E-2</v>
      </c>
      <c r="BU340" s="37">
        <v>0.28150320439459836</v>
      </c>
      <c r="BV340" s="37">
        <v>4.174230945296406E-2</v>
      </c>
      <c r="BW340" s="34">
        <v>0.20122980086976425</v>
      </c>
      <c r="BX340" s="34">
        <v>3.1032158388647292E-2</v>
      </c>
      <c r="BY340" s="36"/>
      <c r="BZ340" s="72">
        <v>1.1067063401235981</v>
      </c>
      <c r="CA340" s="72">
        <v>0.81197070267795846</v>
      </c>
      <c r="CB340" s="36"/>
      <c r="CC340" s="36"/>
      <c r="CD340" s="36"/>
      <c r="CE340" s="34">
        <v>8.6219501029983991E-2</v>
      </c>
      <c r="CF340" s="34">
        <v>0.233655985351339</v>
      </c>
      <c r="CI340" s="29">
        <v>0.37010866777963103</v>
      </c>
      <c r="CJ340" s="41">
        <v>0.38865622856331533</v>
      </c>
      <c r="CK340" s="29">
        <v>0.37919678762707526</v>
      </c>
      <c r="CL340" s="29"/>
      <c r="CM340" s="30">
        <v>0.27231367185339761</v>
      </c>
      <c r="CN340" s="29"/>
      <c r="CO340" s="29"/>
      <c r="CP340" s="29"/>
      <c r="CQ340" s="29"/>
      <c r="CR340" s="30"/>
      <c r="CS340" s="29"/>
      <c r="CT340" s="29"/>
    </row>
    <row r="341" spans="1:132" x14ac:dyDescent="0.2">
      <c r="A341" s="254"/>
      <c r="B341" s="255"/>
      <c r="C341" s="255"/>
      <c r="D341" s="255"/>
      <c r="E341" s="31"/>
      <c r="F341" s="30"/>
      <c r="H341" s="440"/>
      <c r="I341" s="48"/>
      <c r="J341" s="48"/>
      <c r="K341" s="45"/>
      <c r="L341" s="48"/>
      <c r="M341" s="45"/>
      <c r="N341" s="48"/>
      <c r="O341" s="79"/>
      <c r="P341" s="45"/>
      <c r="Q341" s="45"/>
      <c r="T341" s="38" t="e">
        <f t="shared" si="9"/>
        <v>#DIV/0!</v>
      </c>
      <c r="AC341" s="48"/>
      <c r="AD341" s="31"/>
      <c r="AE341" s="48"/>
      <c r="CS341" s="63"/>
      <c r="CT341" s="63"/>
    </row>
    <row r="342" spans="1:132" s="50" customFormat="1" x14ac:dyDescent="0.2">
      <c r="A342" s="335" t="s">
        <v>664</v>
      </c>
      <c r="B342" s="257"/>
      <c r="C342" s="257"/>
      <c r="D342" s="50" t="s">
        <v>1282</v>
      </c>
      <c r="E342" s="41" t="s">
        <v>1288</v>
      </c>
      <c r="F342" s="38"/>
      <c r="H342" s="440">
        <v>43.8</v>
      </c>
      <c r="I342" s="38">
        <v>0.09</v>
      </c>
      <c r="J342" s="38">
        <v>30.8</v>
      </c>
      <c r="K342" s="49">
        <v>0.09</v>
      </c>
      <c r="L342" s="38">
        <v>2.58</v>
      </c>
      <c r="M342" s="49">
        <v>0.05</v>
      </c>
      <c r="N342" s="38">
        <v>4.0599999999999996</v>
      </c>
      <c r="O342" s="39">
        <v>17.3</v>
      </c>
      <c r="P342" s="49">
        <v>0.36</v>
      </c>
      <c r="Q342" s="49">
        <v>0.01</v>
      </c>
      <c r="R342" s="49">
        <v>0.02</v>
      </c>
      <c r="T342" s="38">
        <f t="shared" si="9"/>
        <v>73.720035944280909</v>
      </c>
      <c r="AC342" s="38"/>
      <c r="AD342" s="76"/>
      <c r="AE342" s="38"/>
      <c r="AI342" s="38">
        <v>5.6</v>
      </c>
      <c r="AJ342" s="76">
        <v>450</v>
      </c>
      <c r="AL342" s="39">
        <v>10.8</v>
      </c>
      <c r="AM342" s="76">
        <v>30</v>
      </c>
      <c r="AN342" s="76"/>
      <c r="AO342" s="39"/>
      <c r="AQ342" s="38"/>
      <c r="AR342" s="38"/>
      <c r="AS342" s="38"/>
      <c r="AT342" s="76"/>
      <c r="AU342" s="76">
        <v>290</v>
      </c>
      <c r="AW342" s="76">
        <v>30</v>
      </c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76">
        <v>100</v>
      </c>
      <c r="BI342" s="38">
        <v>1.2</v>
      </c>
      <c r="BJ342" s="50">
        <v>2.4</v>
      </c>
      <c r="BL342" s="39">
        <v>1.2</v>
      </c>
      <c r="BM342" s="38">
        <v>0.37</v>
      </c>
      <c r="BN342" s="38">
        <v>0.83</v>
      </c>
      <c r="BO342" s="38"/>
      <c r="BP342" s="38">
        <v>0.08</v>
      </c>
      <c r="BU342" s="50">
        <v>0.28000000000000003</v>
      </c>
      <c r="BV342" s="49">
        <v>0.05</v>
      </c>
      <c r="BW342" s="38">
        <v>0.28000000000000003</v>
      </c>
      <c r="BX342" s="38">
        <v>0.31</v>
      </c>
      <c r="BZ342" s="39"/>
      <c r="CA342" s="39">
        <v>6</v>
      </c>
      <c r="CE342" s="38">
        <v>0.15</v>
      </c>
      <c r="CF342" s="38">
        <v>0.52</v>
      </c>
      <c r="CQ342" s="29">
        <v>3.4883720930232558E-2</v>
      </c>
      <c r="CR342" s="30">
        <v>1.5736434108527131</v>
      </c>
      <c r="CS342" s="29">
        <v>1.937984496124031E-2</v>
      </c>
      <c r="CT342" s="29">
        <v>0.56168831168831168</v>
      </c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</row>
    <row r="343" spans="1:132" x14ac:dyDescent="0.2">
      <c r="A343" s="335"/>
      <c r="B343" s="255"/>
      <c r="C343" s="255"/>
      <c r="D343" s="332"/>
      <c r="E343" s="31"/>
      <c r="F343" s="30"/>
      <c r="H343" s="440"/>
      <c r="I343" s="48"/>
      <c r="J343" s="48"/>
      <c r="K343" s="49">
        <v>6.5771999999999997E-2</v>
      </c>
      <c r="L343" s="48"/>
      <c r="M343" s="45"/>
      <c r="N343" s="48"/>
      <c r="P343" s="45"/>
      <c r="Q343" s="45"/>
      <c r="T343" s="38" t="e">
        <f t="shared" si="9"/>
        <v>#DIV/0!</v>
      </c>
      <c r="AC343" s="48"/>
      <c r="AD343" s="31"/>
      <c r="AE343" s="48"/>
      <c r="CS343" s="63"/>
      <c r="CT343" s="63"/>
    </row>
    <row r="344" spans="1:132" x14ac:dyDescent="0.2">
      <c r="A344" s="335" t="s">
        <v>664</v>
      </c>
      <c r="B344" s="255"/>
      <c r="C344" s="255"/>
      <c r="D344" s="255" t="s">
        <v>700</v>
      </c>
      <c r="E344" s="31"/>
      <c r="F344" s="30"/>
      <c r="H344" s="440"/>
      <c r="I344" s="48"/>
      <c r="J344" s="48"/>
      <c r="K344" s="45"/>
      <c r="L344" s="48"/>
      <c r="M344" s="45"/>
      <c r="N344" s="48"/>
      <c r="P344" s="45"/>
      <c r="Q344" s="45"/>
      <c r="T344" s="38" t="e">
        <f t="shared" si="9"/>
        <v>#DIV/0!</v>
      </c>
      <c r="AC344" s="48"/>
      <c r="AD344" s="31"/>
      <c r="AE344" s="48"/>
      <c r="CQ344" s="29"/>
      <c r="CR344" s="30"/>
      <c r="CS344" s="29"/>
      <c r="CT344" s="29"/>
    </row>
    <row r="345" spans="1:132" x14ac:dyDescent="0.2">
      <c r="A345" s="335" t="s">
        <v>664</v>
      </c>
      <c r="B345" s="255"/>
      <c r="C345" s="255"/>
      <c r="D345" s="255" t="s">
        <v>717</v>
      </c>
      <c r="T345" s="38" t="e">
        <f t="shared" si="9"/>
        <v>#DIV/0!</v>
      </c>
      <c r="BZ345" s="405">
        <v>1.1000000000000001</v>
      </c>
      <c r="CS345" s="63"/>
      <c r="CT345" s="63"/>
    </row>
    <row r="346" spans="1:132" x14ac:dyDescent="0.2">
      <c r="A346" s="336" t="s">
        <v>664</v>
      </c>
      <c r="B346" s="255"/>
      <c r="C346" s="255"/>
      <c r="D346" s="255"/>
      <c r="F346" s="34">
        <v>99.147886</v>
      </c>
      <c r="H346" s="34">
        <v>43.8</v>
      </c>
      <c r="I346" s="34">
        <v>0.09</v>
      </c>
      <c r="J346" s="34">
        <v>30.8</v>
      </c>
      <c r="K346" s="37">
        <v>7.7885999999999997E-2</v>
      </c>
      <c r="L346" s="34">
        <v>2.58</v>
      </c>
      <c r="M346" s="37">
        <v>0.05</v>
      </c>
      <c r="N346" s="34">
        <v>4.0599999999999996</v>
      </c>
      <c r="O346" s="72">
        <v>17.3</v>
      </c>
      <c r="P346" s="37">
        <v>0.36</v>
      </c>
      <c r="Q346" s="37">
        <v>0.01</v>
      </c>
      <c r="R346" s="37">
        <v>0.02</v>
      </c>
      <c r="S346" s="37"/>
      <c r="T346" s="38">
        <f t="shared" si="9"/>
        <v>73.720035944280909</v>
      </c>
      <c r="U346" s="37"/>
      <c r="W346" s="36"/>
      <c r="X346" s="36"/>
      <c r="Y346" s="36"/>
      <c r="Z346" s="8">
        <v>387.25</v>
      </c>
      <c r="AA346" s="36"/>
      <c r="AB346" s="36"/>
      <c r="AC346" s="36"/>
      <c r="AD346" s="31">
        <v>83.01</v>
      </c>
      <c r="AE346" s="36"/>
      <c r="AF346" s="36"/>
      <c r="AG346" s="36"/>
      <c r="AH346" s="36"/>
      <c r="AI346" s="34">
        <v>5.6</v>
      </c>
      <c r="AJ346" s="35">
        <v>450</v>
      </c>
      <c r="AK346" s="36"/>
      <c r="AL346" s="72">
        <v>10.8</v>
      </c>
      <c r="AM346" s="35">
        <v>30</v>
      </c>
      <c r="AN346" s="35" t="e">
        <v>#DIV/0!</v>
      </c>
      <c r="AO346" s="72"/>
      <c r="AP346" s="36"/>
      <c r="AQ346" s="34" t="e">
        <v>#DIV/0!</v>
      </c>
      <c r="AR346" s="34"/>
      <c r="AS346" s="34"/>
      <c r="AT346" s="35" t="e">
        <v>#DIV/0!</v>
      </c>
      <c r="AU346" s="35">
        <v>290</v>
      </c>
      <c r="AV346" s="36"/>
      <c r="AW346" s="35">
        <v>30</v>
      </c>
      <c r="AX346" s="34"/>
      <c r="AY346" s="34"/>
      <c r="AZ346" s="34"/>
      <c r="BA346" s="34"/>
      <c r="BB346" s="34"/>
      <c r="BC346" s="34"/>
      <c r="BD346" s="34" t="e">
        <v>#DIV/0!</v>
      </c>
      <c r="BE346" s="34"/>
      <c r="BF346" s="34"/>
      <c r="BG346" s="34" t="e">
        <v>#DIV/0!</v>
      </c>
      <c r="BH346" s="35">
        <v>100</v>
      </c>
      <c r="BI346" s="34">
        <v>1.2</v>
      </c>
      <c r="BJ346" s="34">
        <v>2.4</v>
      </c>
      <c r="BK346" s="51">
        <v>0.2272461009386034</v>
      </c>
      <c r="BL346" s="72">
        <v>1.2</v>
      </c>
      <c r="BM346" s="34">
        <v>0.37</v>
      </c>
      <c r="BN346" s="34">
        <v>0.83</v>
      </c>
      <c r="BO346" s="34"/>
      <c r="BP346" s="34">
        <v>0.08</v>
      </c>
      <c r="BQ346" s="74">
        <v>0.50722455282326084</v>
      </c>
      <c r="BR346" s="74">
        <v>0.11072564460090437</v>
      </c>
      <c r="BS346" s="52">
        <v>0.30153703721227493</v>
      </c>
      <c r="BT346" s="53">
        <v>4.3759855462194734E-2</v>
      </c>
      <c r="BU346" s="37">
        <v>0.28000000000000003</v>
      </c>
      <c r="BV346" s="37">
        <v>0.05</v>
      </c>
      <c r="BW346" s="34">
        <v>0.28000000000000003</v>
      </c>
      <c r="BX346" s="34">
        <v>0.31</v>
      </c>
      <c r="BY346" s="36"/>
      <c r="BZ346" s="72">
        <v>1.1000000000000001</v>
      </c>
      <c r="CA346" s="72">
        <v>6</v>
      </c>
      <c r="CB346" s="36"/>
      <c r="CC346" s="36"/>
      <c r="CD346" s="36"/>
      <c r="CE346" s="34">
        <v>0.15</v>
      </c>
      <c r="CF346" s="34">
        <v>0.52</v>
      </c>
      <c r="CI346" s="29">
        <v>0.37234105314466281</v>
      </c>
      <c r="CJ346" s="41">
        <v>0.45279949340858472</v>
      </c>
      <c r="CK346" s="29">
        <v>0.45513749472781334</v>
      </c>
      <c r="CL346" s="29"/>
      <c r="CM346" s="30">
        <v>0.40540540540540537</v>
      </c>
      <c r="CN346" s="29"/>
      <c r="CO346" s="29"/>
      <c r="CP346" s="29"/>
      <c r="CQ346" s="29"/>
      <c r="CR346" s="30"/>
      <c r="CS346" s="29"/>
      <c r="CT346" s="29"/>
    </row>
    <row r="347" spans="1:132" x14ac:dyDescent="0.2">
      <c r="A347" s="336"/>
      <c r="B347" s="255"/>
      <c r="C347" s="255"/>
      <c r="D347" s="255"/>
      <c r="F347" s="34"/>
      <c r="H347" s="34"/>
      <c r="I347" s="34"/>
      <c r="J347" s="34"/>
      <c r="K347" s="37"/>
      <c r="L347" s="34"/>
      <c r="M347" s="37"/>
      <c r="N347" s="34"/>
      <c r="O347" s="72"/>
      <c r="P347" s="37"/>
      <c r="Q347" s="37"/>
      <c r="R347" s="37"/>
      <c r="S347" s="37"/>
      <c r="T347" s="38" t="e">
        <f t="shared" si="9"/>
        <v>#DIV/0!</v>
      </c>
      <c r="U347" s="37"/>
      <c r="W347" s="36"/>
      <c r="X347" s="36"/>
      <c r="Y347" s="36"/>
      <c r="Z347" s="8"/>
      <c r="AA347" s="36"/>
      <c r="AB347" s="36"/>
      <c r="AC347" s="36"/>
      <c r="AD347" s="31"/>
      <c r="AE347" s="36"/>
      <c r="AF347" s="36"/>
      <c r="AG347" s="36"/>
      <c r="AH347" s="36"/>
      <c r="AI347" s="34"/>
      <c r="AJ347" s="35"/>
      <c r="AK347" s="36"/>
      <c r="AL347" s="72"/>
      <c r="AM347" s="35"/>
      <c r="AN347" s="35"/>
      <c r="AO347" s="72"/>
      <c r="AP347" s="36"/>
      <c r="AQ347" s="34"/>
      <c r="AR347" s="34"/>
      <c r="AS347" s="34"/>
      <c r="AT347" s="35"/>
      <c r="AU347" s="35"/>
      <c r="AV347" s="36"/>
      <c r="AW347" s="35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5"/>
      <c r="BI347" s="34"/>
      <c r="BJ347" s="34"/>
      <c r="BK347" s="51"/>
      <c r="BL347" s="72"/>
      <c r="BM347" s="34"/>
      <c r="BN347" s="34"/>
      <c r="BO347" s="34"/>
      <c r="BP347" s="34"/>
      <c r="BQ347" s="74"/>
      <c r="BR347" s="74"/>
      <c r="BS347" s="52"/>
      <c r="BT347" s="53"/>
      <c r="BU347" s="37"/>
      <c r="BV347" s="37"/>
      <c r="BW347" s="34"/>
      <c r="BX347" s="34"/>
      <c r="BY347" s="36"/>
      <c r="BZ347" s="72"/>
      <c r="CA347" s="72"/>
      <c r="CB347" s="36"/>
      <c r="CC347" s="36"/>
      <c r="CD347" s="36"/>
      <c r="CE347" s="34"/>
      <c r="CF347" s="34"/>
      <c r="CI347" s="29"/>
      <c r="CJ347" s="41"/>
      <c r="CK347" s="29"/>
      <c r="CL347" s="29"/>
      <c r="CM347" s="30"/>
      <c r="CN347" s="29"/>
      <c r="CO347" s="29"/>
      <c r="CP347" s="29"/>
      <c r="CQ347" s="29"/>
      <c r="CR347" s="30"/>
      <c r="CS347" s="29"/>
      <c r="CT347" s="29"/>
    </row>
    <row r="348" spans="1:132" x14ac:dyDescent="0.2">
      <c r="A348" s="333" t="s">
        <v>635</v>
      </c>
      <c r="B348" s="259"/>
      <c r="C348" s="259" t="s">
        <v>240</v>
      </c>
      <c r="D348" s="259" t="s">
        <v>901</v>
      </c>
      <c r="E348" s="8">
        <v>143.5</v>
      </c>
      <c r="F348" s="8" t="s">
        <v>208</v>
      </c>
      <c r="H348" s="6">
        <v>43.427790000000002</v>
      </c>
      <c r="I348" s="6">
        <v>0.10376825999999999</v>
      </c>
      <c r="J348" s="6">
        <v>27.775649999999999</v>
      </c>
      <c r="K348" s="32">
        <v>6.4456559999999996E-2</v>
      </c>
      <c r="L348" s="6">
        <v>3.2805749999999998</v>
      </c>
      <c r="M348" s="3">
        <v>4.7257919999999995E-2</v>
      </c>
      <c r="N348" s="6">
        <v>6.517119000000001</v>
      </c>
      <c r="O348" s="7">
        <v>15.67104</v>
      </c>
      <c r="P348" s="3">
        <v>0.37070000000000003</v>
      </c>
      <c r="Q348" s="3">
        <v>3.6137999999999997E-2</v>
      </c>
      <c r="R348" s="3"/>
      <c r="S348" s="2"/>
      <c r="T348" s="38">
        <f t="shared" si="9"/>
        <v>77.979770983063247</v>
      </c>
      <c r="U348" s="2"/>
      <c r="V348" s="2">
        <v>20.3</v>
      </c>
      <c r="W348" s="2">
        <v>6.2199999999999998E-2</v>
      </c>
      <c r="X348" s="2">
        <v>14.7</v>
      </c>
      <c r="Y348" s="2">
        <v>2.5499999999999998</v>
      </c>
      <c r="Z348" s="2">
        <v>366</v>
      </c>
      <c r="AA348" s="2">
        <v>3.93</v>
      </c>
      <c r="AB348" s="2">
        <v>11.2</v>
      </c>
      <c r="AC348" s="2">
        <v>0.27500000000000002</v>
      </c>
      <c r="AD348" s="2">
        <v>0.03</v>
      </c>
      <c r="AE348" s="2"/>
      <c r="AF348" s="2"/>
      <c r="AG348" s="2"/>
      <c r="AH348" s="2"/>
      <c r="AI348" s="6">
        <v>4.7699999999999996</v>
      </c>
      <c r="AJ348" s="8">
        <v>441</v>
      </c>
      <c r="AK348" s="2">
        <v>14.1</v>
      </c>
      <c r="AL348" s="7">
        <v>10.1</v>
      </c>
      <c r="AM348" s="8">
        <v>57.3</v>
      </c>
      <c r="AN348" s="8"/>
      <c r="AO348" s="7"/>
      <c r="AP348" s="2"/>
      <c r="AQ348" s="6"/>
      <c r="AR348" s="6"/>
      <c r="AS348" s="6"/>
      <c r="AT348" s="8"/>
      <c r="AU348" s="8"/>
      <c r="AV348" s="2"/>
      <c r="AW348" s="8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8">
        <v>28.4</v>
      </c>
      <c r="BI348" s="6">
        <v>0.72699999999999998</v>
      </c>
      <c r="BJ348" s="2">
        <v>1.56</v>
      </c>
      <c r="BK348" s="2">
        <v>0.251</v>
      </c>
      <c r="BL348" s="7">
        <v>0.98599999999999999</v>
      </c>
      <c r="BM348" s="6">
        <v>0.29099999999999998</v>
      </c>
      <c r="BN348" s="6">
        <v>0.71799999999999997</v>
      </c>
      <c r="BO348" s="6">
        <v>0.35299999999999998</v>
      </c>
      <c r="BP348" s="6">
        <v>6.13E-2</v>
      </c>
      <c r="BQ348" s="2">
        <v>0.4</v>
      </c>
      <c r="BR348" s="2">
        <v>8.5699999999999998E-2</v>
      </c>
      <c r="BS348" s="2">
        <v>0.254</v>
      </c>
      <c r="BT348" s="2">
        <v>3.7100000000000001E-2</v>
      </c>
      <c r="BU348" s="3">
        <v>0.24099999999999999</v>
      </c>
      <c r="BV348" s="3">
        <v>3.5999999999999997E-2</v>
      </c>
      <c r="BW348" s="6">
        <v>0.17299999999999999</v>
      </c>
      <c r="BX348" s="6"/>
      <c r="BY348" s="2"/>
      <c r="BZ348" s="7"/>
      <c r="CA348" s="7"/>
      <c r="CB348" s="7"/>
      <c r="CC348" s="7"/>
      <c r="CD348" s="7"/>
      <c r="CE348" s="6">
        <v>6.3399999999999998E-2</v>
      </c>
      <c r="CF348" s="6">
        <v>0.15459999999999999</v>
      </c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9">
        <v>3.163111954459203E-2</v>
      </c>
      <c r="CR348" s="30">
        <v>1.9865782675293207</v>
      </c>
      <c r="CS348" s="29">
        <v>1.440537710614755E-2</v>
      </c>
      <c r="CT348" s="29">
        <v>0.56420065777038519</v>
      </c>
      <c r="CU348" s="2"/>
      <c r="CV348" s="2"/>
      <c r="CW348" s="2"/>
      <c r="CX348" s="2"/>
      <c r="CY348" s="2"/>
      <c r="CZ348" s="2"/>
    </row>
    <row r="349" spans="1:132" x14ac:dyDescent="0.2">
      <c r="A349" s="333" t="s">
        <v>635</v>
      </c>
      <c r="B349" s="259"/>
      <c r="C349" s="259" t="s">
        <v>240</v>
      </c>
      <c r="D349" s="259" t="s">
        <v>901</v>
      </c>
      <c r="E349" s="8">
        <v>31</v>
      </c>
      <c r="F349" s="8" t="s">
        <v>208</v>
      </c>
      <c r="H349" s="6">
        <v>43.855649999999997</v>
      </c>
      <c r="I349" s="6">
        <v>0.12011759999999998</v>
      </c>
      <c r="J349" s="564">
        <v>28.806414153319643</v>
      </c>
      <c r="K349" s="32">
        <v>5.6417759999999997E-2</v>
      </c>
      <c r="L349" s="6">
        <v>2.8303000000000003</v>
      </c>
      <c r="M349" s="3">
        <v>3.7573919999999997E-2</v>
      </c>
      <c r="N349" s="6">
        <v>5.5884710000000002</v>
      </c>
      <c r="O349" s="7">
        <v>14.411760000000001</v>
      </c>
      <c r="P349" s="3">
        <v>0.35991600000000007</v>
      </c>
      <c r="Q349" s="3">
        <v>7.095093999999999E-2</v>
      </c>
      <c r="R349" s="3"/>
      <c r="S349" s="2"/>
      <c r="T349" s="38">
        <f t="shared" si="9"/>
        <v>77.875007686435069</v>
      </c>
      <c r="U349" s="2"/>
      <c r="V349" s="2">
        <v>20.5</v>
      </c>
      <c r="W349" s="2">
        <v>7.1999999999999995E-2</v>
      </c>
      <c r="X349" s="2">
        <v>13</v>
      </c>
      <c r="Y349" s="2">
        <v>2.2000000000000002</v>
      </c>
      <c r="Z349" s="2">
        <v>291</v>
      </c>
      <c r="AA349" s="2">
        <v>3.37</v>
      </c>
      <c r="AB349" s="2">
        <v>10.3</v>
      </c>
      <c r="AC349" s="2">
        <v>0.26700000000000002</v>
      </c>
      <c r="AD349" s="2">
        <v>5.8900000000000001E-2</v>
      </c>
      <c r="AE349" s="2"/>
      <c r="AF349" s="2"/>
      <c r="AG349" s="2"/>
      <c r="AH349" s="2"/>
      <c r="AI349" s="6">
        <v>4.0199999999999996</v>
      </c>
      <c r="AJ349" s="8">
        <v>386</v>
      </c>
      <c r="AK349" s="2">
        <v>5.59</v>
      </c>
      <c r="AL349" s="7">
        <v>8.8000000000000007</v>
      </c>
      <c r="AM349" s="8"/>
      <c r="AN349" s="8"/>
      <c r="AO349" s="7"/>
      <c r="AP349" s="2"/>
      <c r="AQ349" s="6"/>
      <c r="AR349" s="6"/>
      <c r="AS349" s="6"/>
      <c r="AT349" s="8"/>
      <c r="AU349" s="8"/>
      <c r="AV349" s="2"/>
      <c r="AW349" s="8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8">
        <v>25.4</v>
      </c>
      <c r="BI349" s="6">
        <v>0.64500000000000002</v>
      </c>
      <c r="BJ349" s="2">
        <v>1.31</v>
      </c>
      <c r="BK349" s="2">
        <v>0.224</v>
      </c>
      <c r="BL349" s="7">
        <v>0.83099999999999996</v>
      </c>
      <c r="BM349" s="6">
        <v>0.24099999999999999</v>
      </c>
      <c r="BN349" s="6">
        <v>0.66800000000000004</v>
      </c>
      <c r="BO349" s="6">
        <v>0.3</v>
      </c>
      <c r="BP349" s="6">
        <v>5.2499999999999998E-2</v>
      </c>
      <c r="BQ349" s="2">
        <v>0.35099999999999998</v>
      </c>
      <c r="BR349" s="2">
        <v>7.8100000000000003E-2</v>
      </c>
      <c r="BS349" s="2">
        <v>0.22500000000000001</v>
      </c>
      <c r="BT349" s="2">
        <v>3.27E-2</v>
      </c>
      <c r="BU349" s="3">
        <v>0.214</v>
      </c>
      <c r="BV349" s="3">
        <v>3.15E-2</v>
      </c>
      <c r="BW349" s="48">
        <v>0.15361825726141079</v>
      </c>
      <c r="BX349" s="6"/>
      <c r="BY349" s="2"/>
      <c r="BZ349" s="7"/>
      <c r="CA349" s="7"/>
      <c r="CB349" s="7"/>
      <c r="CC349" s="7"/>
      <c r="CD349" s="7"/>
      <c r="CE349" s="6">
        <v>5.5100000000000003E-2</v>
      </c>
      <c r="CF349" s="6">
        <v>0.14299999999999999</v>
      </c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9">
        <v>4.2439882697947205E-2</v>
      </c>
      <c r="CR349" s="30">
        <v>1.9745154223933858</v>
      </c>
      <c r="CS349" s="29">
        <v>1.327559622654842E-2</v>
      </c>
      <c r="CT349" s="29">
        <v>0.50029691037887103</v>
      </c>
      <c r="CU349" s="2"/>
      <c r="CV349" s="2"/>
      <c r="CW349" s="2"/>
      <c r="CX349" s="2"/>
      <c r="CY349" s="2"/>
      <c r="CZ349" s="2"/>
    </row>
    <row r="350" spans="1:132" x14ac:dyDescent="0.2">
      <c r="A350" s="333" t="s">
        <v>635</v>
      </c>
      <c r="B350" s="259"/>
      <c r="C350" s="259" t="s">
        <v>240</v>
      </c>
      <c r="D350" s="259" t="s">
        <v>901</v>
      </c>
      <c r="E350" s="8">
        <v>36</v>
      </c>
      <c r="F350" s="8" t="s">
        <v>872</v>
      </c>
      <c r="H350" s="6">
        <v>42.572069999999997</v>
      </c>
      <c r="I350" s="6">
        <v>1.918545E-2</v>
      </c>
      <c r="J350" s="6">
        <v>31.743600000000001</v>
      </c>
      <c r="K350" s="32">
        <v>8.0388000000000005E-3</v>
      </c>
      <c r="L350" s="6">
        <v>0.46314</v>
      </c>
      <c r="M350" s="3">
        <v>1.1362559999999999E-2</v>
      </c>
      <c r="N350" s="6">
        <v>2.3713690000000001</v>
      </c>
      <c r="O350" s="7">
        <v>18.469439999999999</v>
      </c>
      <c r="P350" s="3">
        <v>0.47988799999999998</v>
      </c>
      <c r="Q350" s="3">
        <v>2.7946719999999994E-2</v>
      </c>
      <c r="R350" s="3"/>
      <c r="S350" s="2"/>
      <c r="T350" s="38">
        <f t="shared" si="9"/>
        <v>90.125678639590362</v>
      </c>
      <c r="U350" s="2"/>
      <c r="V350" s="2">
        <v>19.899999999999999</v>
      </c>
      <c r="W350" s="2">
        <v>1.15E-2</v>
      </c>
      <c r="X350" s="2">
        <v>16.8</v>
      </c>
      <c r="Y350" s="2">
        <v>0.36</v>
      </c>
      <c r="Z350" s="2">
        <v>88</v>
      </c>
      <c r="AA350" s="2">
        <v>1.43</v>
      </c>
      <c r="AB350" s="2">
        <v>13.2</v>
      </c>
      <c r="AC350" s="2">
        <v>0.35599999999999998</v>
      </c>
      <c r="AD350" s="2">
        <v>2.3199999999999998E-2</v>
      </c>
      <c r="AE350" s="2"/>
      <c r="AF350" s="2"/>
      <c r="AG350" s="2"/>
      <c r="AH350" s="2"/>
      <c r="AI350" s="6">
        <v>0.71</v>
      </c>
      <c r="AJ350" s="8">
        <v>55</v>
      </c>
      <c r="AK350" s="2"/>
      <c r="AL350" s="7">
        <v>1.6</v>
      </c>
      <c r="AM350" s="8"/>
      <c r="AN350" s="8"/>
      <c r="AO350" s="7"/>
      <c r="AP350" s="2"/>
      <c r="AQ350" s="6"/>
      <c r="AR350" s="6"/>
      <c r="AS350" s="6"/>
      <c r="AT350" s="8"/>
      <c r="AU350" s="8"/>
      <c r="AV350" s="2"/>
      <c r="AW350" s="8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8">
        <v>219</v>
      </c>
      <c r="BI350" s="6">
        <v>0.40500000000000003</v>
      </c>
      <c r="BJ350" s="2">
        <v>0.54500000000000004</v>
      </c>
      <c r="BK350" s="2">
        <v>0.11600000000000001</v>
      </c>
      <c r="BL350" s="7">
        <v>0.33300000000000002</v>
      </c>
      <c r="BM350" s="6">
        <v>7.1999999999999995E-2</v>
      </c>
      <c r="BN350" s="6">
        <v>0.80200000000000005</v>
      </c>
      <c r="BO350" s="6">
        <v>0.11700000000000001</v>
      </c>
      <c r="BP350" s="6">
        <v>1.26E-2</v>
      </c>
      <c r="BQ350" s="2">
        <v>7.3999999999999996E-2</v>
      </c>
      <c r="BR350" s="2">
        <v>1.84E-2</v>
      </c>
      <c r="BS350" s="2">
        <v>4.5999999999999999E-2</v>
      </c>
      <c r="BT350" s="2">
        <v>5.7000000000000002E-3</v>
      </c>
      <c r="BU350" s="3">
        <v>4.4999999999999998E-2</v>
      </c>
      <c r="BV350" s="3">
        <v>4.5999999999999999E-3</v>
      </c>
      <c r="BW350" s="6"/>
      <c r="BX350" s="6"/>
      <c r="BY350" s="2"/>
      <c r="BZ350" s="7"/>
      <c r="CA350" s="7"/>
      <c r="CB350" s="7"/>
      <c r="CC350" s="7"/>
      <c r="CD350" s="7"/>
      <c r="CE350" s="6">
        <v>1.18E-2</v>
      </c>
      <c r="CF350" s="6">
        <v>0.24099999999999999</v>
      </c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9">
        <v>4.1424731182795702E-2</v>
      </c>
      <c r="CR350" s="30">
        <v>5.1201990758733862</v>
      </c>
      <c r="CS350" s="29">
        <v>2.4533747894805023E-2</v>
      </c>
      <c r="CT350" s="29">
        <v>0.58183192832570974</v>
      </c>
      <c r="CU350" s="2"/>
      <c r="CV350" s="2"/>
      <c r="CW350" s="2"/>
      <c r="CX350" s="2"/>
      <c r="CY350" s="2"/>
      <c r="CZ350" s="2"/>
    </row>
    <row r="351" spans="1:132" x14ac:dyDescent="0.2">
      <c r="A351" s="333" t="s">
        <v>635</v>
      </c>
      <c r="B351" s="259"/>
      <c r="C351" s="259" t="s">
        <v>240</v>
      </c>
      <c r="D351" s="259" t="s">
        <v>901</v>
      </c>
      <c r="E351" s="8">
        <v>9.1999999999999993</v>
      </c>
      <c r="F351" s="8" t="s">
        <v>199</v>
      </c>
      <c r="H351" s="6">
        <v>44.497440000000005</v>
      </c>
      <c r="I351" s="6">
        <v>8.575062E-2</v>
      </c>
      <c r="J351" s="6">
        <v>26.8309</v>
      </c>
      <c r="K351" s="32">
        <v>6.8695199999999998E-2</v>
      </c>
      <c r="L351" s="6">
        <v>3.2934399999999999</v>
      </c>
      <c r="M351" s="3">
        <v>4.5966719999999996E-2</v>
      </c>
      <c r="N351" s="6">
        <v>8.7060750000000002</v>
      </c>
      <c r="O351" s="7">
        <v>14.551680000000001</v>
      </c>
      <c r="P351" s="3">
        <v>0.41383600000000004</v>
      </c>
      <c r="Q351" s="3"/>
      <c r="R351" s="3"/>
      <c r="S351" s="2"/>
      <c r="T351" s="38">
        <f t="shared" si="9"/>
        <v>82.493722468135559</v>
      </c>
      <c r="U351" s="2"/>
      <c r="V351" s="2">
        <v>20.8</v>
      </c>
      <c r="W351" s="2">
        <v>5.1400000000000001E-2</v>
      </c>
      <c r="X351" s="2">
        <v>14.2</v>
      </c>
      <c r="Y351" s="2">
        <v>2.56</v>
      </c>
      <c r="Z351" s="2">
        <v>356</v>
      </c>
      <c r="AA351" s="2">
        <v>5.25</v>
      </c>
      <c r="AB351" s="2">
        <v>10.4</v>
      </c>
      <c r="AC351" s="2">
        <v>0.307</v>
      </c>
      <c r="AD351" s="2"/>
      <c r="AE351" s="2"/>
      <c r="AF351" s="2"/>
      <c r="AG351" s="2"/>
      <c r="AH351" s="2"/>
      <c r="AI351" s="6">
        <v>4.9400000000000004</v>
      </c>
      <c r="AJ351" s="8">
        <v>470</v>
      </c>
      <c r="AK351" s="2"/>
      <c r="AL351" s="7">
        <v>10.4</v>
      </c>
      <c r="AM351" s="8"/>
      <c r="AN351" s="8"/>
      <c r="AO351" s="7"/>
      <c r="AP351" s="2"/>
      <c r="AQ351" s="6"/>
      <c r="AR351" s="6"/>
      <c r="AS351" s="6"/>
      <c r="AT351" s="8"/>
      <c r="AU351" s="8"/>
      <c r="AV351" s="2"/>
      <c r="AW351" s="8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8"/>
      <c r="BI351" s="6">
        <v>0.65900000000000003</v>
      </c>
      <c r="BJ351" s="2"/>
      <c r="BK351" s="2"/>
      <c r="BL351" s="7"/>
      <c r="BM351" s="6">
        <v>0.32800000000000001</v>
      </c>
      <c r="BN351" s="6">
        <v>0.74299999999999999</v>
      </c>
      <c r="BO351" s="6">
        <v>1.28</v>
      </c>
      <c r="BP351" s="6"/>
      <c r="BQ351" s="2"/>
      <c r="BR351" s="2"/>
      <c r="BS351" s="2"/>
      <c r="BT351" s="2"/>
      <c r="BU351" s="3"/>
      <c r="BV351" s="3"/>
      <c r="BW351" s="6"/>
      <c r="BX351" s="6"/>
      <c r="BY351" s="2"/>
      <c r="BZ351" s="7"/>
      <c r="CA351" s="7"/>
      <c r="CB351" s="7"/>
      <c r="CC351" s="7"/>
      <c r="CD351" s="7"/>
      <c r="CE351" s="6"/>
      <c r="CF351" s="6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9">
        <v>2.6036794354838709E-2</v>
      </c>
      <c r="CR351" s="30">
        <v>2.6434594223668872</v>
      </c>
      <c r="CS351" s="29">
        <v>1.3957054022541779E-2</v>
      </c>
      <c r="CT351" s="29">
        <v>0.54234781539195487</v>
      </c>
      <c r="CU351" s="2"/>
      <c r="CV351" s="2"/>
      <c r="CW351" s="2"/>
      <c r="CX351" s="2"/>
      <c r="CY351" s="2"/>
      <c r="CZ351" s="2"/>
    </row>
    <row r="352" spans="1:132" x14ac:dyDescent="0.2">
      <c r="A352" s="333" t="s">
        <v>635</v>
      </c>
      <c r="B352" s="259"/>
      <c r="C352" s="259"/>
      <c r="D352" s="259" t="s">
        <v>1154</v>
      </c>
      <c r="E352" s="8">
        <v>143</v>
      </c>
      <c r="F352" s="8" t="s">
        <v>208</v>
      </c>
      <c r="H352" s="6">
        <v>43.5</v>
      </c>
      <c r="I352" s="6">
        <v>0.104</v>
      </c>
      <c r="J352" s="6">
        <v>27.7</v>
      </c>
      <c r="K352" s="32">
        <v>6.4399999999999999E-2</v>
      </c>
      <c r="L352" s="6">
        <v>3.28</v>
      </c>
      <c r="M352" s="3">
        <v>4.7300000000000002E-2</v>
      </c>
      <c r="N352" s="6">
        <v>6.51</v>
      </c>
      <c r="O352" s="7">
        <v>15.7</v>
      </c>
      <c r="P352" s="3">
        <v>0.371</v>
      </c>
      <c r="Q352" s="3">
        <v>3.61E-2</v>
      </c>
      <c r="R352" s="3"/>
      <c r="S352" s="2"/>
      <c r="T352" s="38">
        <f t="shared" si="9"/>
        <v>77.964009476149087</v>
      </c>
      <c r="U352" s="2"/>
      <c r="V352" s="2"/>
      <c r="AC352" s="2"/>
      <c r="AD352" s="2"/>
      <c r="AE352" s="2"/>
      <c r="AF352" s="2"/>
      <c r="AG352" s="2"/>
      <c r="AH352" s="2"/>
      <c r="AI352" s="6"/>
      <c r="AJ352" s="8"/>
      <c r="AK352" s="2"/>
      <c r="AL352" s="7"/>
      <c r="AM352" s="8"/>
      <c r="AN352" s="8"/>
      <c r="AO352" s="7"/>
      <c r="AP352" s="2"/>
      <c r="AQ352" s="6"/>
      <c r="AR352" s="6"/>
      <c r="AS352" s="6"/>
      <c r="AT352" s="8"/>
      <c r="AU352" s="8"/>
      <c r="AV352" s="2"/>
      <c r="AW352" s="8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8"/>
      <c r="BI352" s="6">
        <v>0.72699999999999998</v>
      </c>
      <c r="BJ352" s="2">
        <v>1.56</v>
      </c>
      <c r="BK352" s="3">
        <v>0.251</v>
      </c>
      <c r="BL352" s="7">
        <v>0.98599999999999999</v>
      </c>
      <c r="BM352" s="6">
        <v>0.29099999999999998</v>
      </c>
      <c r="BN352" s="6">
        <v>0.71799999999999997</v>
      </c>
      <c r="BO352" s="6">
        <v>0.35299999999999998</v>
      </c>
      <c r="BP352" s="6">
        <v>6.13E-2</v>
      </c>
      <c r="BQ352" s="3">
        <v>0.4</v>
      </c>
      <c r="BR352" s="16">
        <v>8.5699999999999998E-2</v>
      </c>
      <c r="BS352" s="2">
        <v>0.254</v>
      </c>
      <c r="BT352" s="16">
        <v>3.7100000000000001E-2</v>
      </c>
      <c r="BU352" s="3">
        <v>0.24099999999999999</v>
      </c>
      <c r="BV352" s="3">
        <v>3.5999999999999997E-2</v>
      </c>
      <c r="BW352" s="6"/>
      <c r="BX352" s="6"/>
      <c r="BY352" s="2"/>
      <c r="BZ352" s="7"/>
      <c r="CA352" s="7"/>
      <c r="CB352" s="7"/>
      <c r="CC352" s="7"/>
      <c r="CD352" s="7"/>
      <c r="CE352" s="6">
        <v>6.3399999999999998E-2</v>
      </c>
      <c r="CF352" s="6">
        <v>0.156</v>
      </c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9">
        <v>3.1707317073170732E-2</v>
      </c>
      <c r="CR352" s="30">
        <v>1.9847560975609757</v>
      </c>
      <c r="CS352" s="29">
        <v>1.4420731707317074E-2</v>
      </c>
      <c r="CT352" s="29">
        <v>0.56678700361010825</v>
      </c>
      <c r="CU352" s="2"/>
      <c r="CV352" s="2"/>
      <c r="CW352" s="2"/>
      <c r="CX352" s="2"/>
      <c r="CY352" s="2"/>
      <c r="CZ352" s="2"/>
    </row>
    <row r="353" spans="1:132" x14ac:dyDescent="0.2">
      <c r="A353" s="333"/>
      <c r="B353" s="259"/>
      <c r="C353" s="259"/>
      <c r="D353" s="259"/>
      <c r="E353" s="8"/>
      <c r="F353" s="8"/>
      <c r="H353" s="9"/>
      <c r="P353" s="3"/>
      <c r="Q353" s="3"/>
      <c r="R353" s="3"/>
      <c r="S353" s="2"/>
      <c r="T353" s="38" t="e">
        <f t="shared" si="9"/>
        <v>#DIV/0!</v>
      </c>
      <c r="U353" s="2"/>
      <c r="V353" s="2"/>
      <c r="AC353" s="2"/>
      <c r="AD353" s="2"/>
      <c r="AE353" s="2"/>
      <c r="AF353" s="2"/>
      <c r="AG353" s="2"/>
      <c r="AH353" s="2"/>
      <c r="AI353" s="6"/>
      <c r="AJ353" s="8"/>
      <c r="AK353" s="2"/>
      <c r="AL353" s="7"/>
      <c r="AM353" s="8"/>
      <c r="AN353" s="8"/>
      <c r="AO353" s="7"/>
      <c r="AP353" s="2"/>
      <c r="AQ353" s="6"/>
      <c r="AR353" s="6"/>
      <c r="AS353" s="6"/>
      <c r="AT353" s="8"/>
      <c r="AU353" s="8"/>
      <c r="AV353" s="2"/>
      <c r="AW353" s="8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8"/>
      <c r="BI353" s="6"/>
      <c r="BJ353" s="2"/>
      <c r="BK353" s="2"/>
      <c r="BL353" s="7"/>
      <c r="BM353" s="6"/>
      <c r="BN353" s="6"/>
      <c r="BO353" s="6"/>
      <c r="BP353" s="6"/>
      <c r="BQ353" s="2"/>
      <c r="BR353" s="2"/>
      <c r="BS353" s="2"/>
      <c r="BT353" s="2"/>
      <c r="BU353" s="3"/>
      <c r="BV353" s="3"/>
      <c r="BW353" s="6"/>
      <c r="BX353" s="6"/>
      <c r="BY353" s="2"/>
      <c r="BZ353" s="7"/>
      <c r="CA353" s="7"/>
      <c r="CB353" s="7"/>
      <c r="CC353" s="7"/>
      <c r="CD353" s="7"/>
      <c r="CE353" s="6"/>
      <c r="CF353" s="6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16"/>
      <c r="CT353" s="16"/>
      <c r="CU353" s="2"/>
      <c r="CV353" s="2"/>
      <c r="CW353" s="2"/>
      <c r="CX353" s="2"/>
      <c r="CY353" s="2"/>
      <c r="CZ353" s="2"/>
    </row>
    <row r="354" spans="1:132" x14ac:dyDescent="0.2">
      <c r="A354" s="333"/>
      <c r="B354" s="259"/>
      <c r="C354" s="259"/>
      <c r="D354" s="259"/>
      <c r="E354" s="8"/>
      <c r="F354" s="8"/>
      <c r="H354" s="6"/>
      <c r="P354" s="3"/>
      <c r="Q354" s="3"/>
      <c r="R354" s="3"/>
      <c r="S354" s="2"/>
      <c r="T354" s="38" t="e">
        <f t="shared" si="9"/>
        <v>#DIV/0!</v>
      </c>
      <c r="U354" s="2"/>
      <c r="V354" s="2"/>
      <c r="AC354" s="2"/>
      <c r="AD354" s="2"/>
      <c r="AE354" s="2"/>
      <c r="AF354" s="2"/>
      <c r="AG354" s="2"/>
      <c r="AH354" s="2"/>
      <c r="AI354" s="6"/>
      <c r="AJ354" s="8"/>
      <c r="AK354" s="2"/>
      <c r="AL354" s="7"/>
      <c r="AM354" s="8"/>
      <c r="AN354" s="8"/>
      <c r="AO354" s="7"/>
      <c r="AP354" s="2"/>
      <c r="AQ354" s="6"/>
      <c r="AR354" s="6"/>
      <c r="AS354" s="6"/>
      <c r="AT354" s="8"/>
      <c r="AU354" s="8"/>
      <c r="AV354" s="2"/>
      <c r="AW354" s="8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8"/>
      <c r="BI354" s="6"/>
      <c r="BJ354" s="2"/>
      <c r="BK354" s="2"/>
      <c r="BL354" s="7"/>
      <c r="BM354" s="6"/>
      <c r="BN354" s="6"/>
      <c r="BO354" s="6"/>
      <c r="BP354" s="6"/>
      <c r="BQ354" s="2"/>
      <c r="BR354" s="2"/>
      <c r="BS354" s="2"/>
      <c r="BT354" s="2"/>
      <c r="BU354" s="3"/>
      <c r="BV354" s="3"/>
      <c r="BW354" s="6"/>
      <c r="BX354" s="6"/>
      <c r="BY354" s="2"/>
      <c r="BZ354" s="7"/>
      <c r="CA354" s="7"/>
      <c r="CB354" s="7"/>
      <c r="CC354" s="7"/>
      <c r="CD354" s="7"/>
      <c r="CE354" s="6"/>
      <c r="CF354" s="6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16"/>
      <c r="CT354" s="16"/>
      <c r="CU354" s="2"/>
      <c r="CV354" s="2"/>
      <c r="CW354" s="2"/>
      <c r="CX354" s="2"/>
      <c r="CY354" s="2"/>
      <c r="CZ354" s="2"/>
    </row>
    <row r="355" spans="1:132" x14ac:dyDescent="0.2">
      <c r="A355" s="333" t="s">
        <v>635</v>
      </c>
      <c r="B355" s="259"/>
      <c r="C355" s="259" t="s">
        <v>240</v>
      </c>
      <c r="D355" s="259" t="s">
        <v>901</v>
      </c>
      <c r="E355" s="8">
        <v>183.7</v>
      </c>
      <c r="F355" s="8"/>
      <c r="H355" s="6">
        <v>43.553562672836151</v>
      </c>
      <c r="I355" s="6">
        <v>0.10562491352204681</v>
      </c>
      <c r="J355" s="6">
        <v>27.902280314387095</v>
      </c>
      <c r="K355" s="3">
        <v>6.331226325530756E-2</v>
      </c>
      <c r="L355" s="6">
        <v>3.205233862275449</v>
      </c>
      <c r="M355" s="3">
        <v>4.5559046619488293E-2</v>
      </c>
      <c r="N355" s="6">
        <v>6.4700330293957551</v>
      </c>
      <c r="O355" s="7">
        <v>15.402472814371261</v>
      </c>
      <c r="P355" s="3">
        <v>0.37104048557430591</v>
      </c>
      <c r="Q355" s="3">
        <v>4.0202951224823077E-2</v>
      </c>
      <c r="R355" s="3"/>
      <c r="S355" s="2"/>
      <c r="T355" s="38">
        <f t="shared" si="9"/>
        <v>78.252983447205779</v>
      </c>
      <c r="U355" s="2"/>
      <c r="V355" s="2"/>
      <c r="AC355" s="2"/>
      <c r="AD355" s="2"/>
      <c r="AE355" s="2"/>
      <c r="AF355" s="2"/>
      <c r="AG355" s="2"/>
      <c r="AH355" s="2"/>
      <c r="AI355" s="6">
        <v>4.6519488296134996</v>
      </c>
      <c r="AJ355" s="8">
        <v>433.17093086554166</v>
      </c>
      <c r="AK355" s="268">
        <v>14.1</v>
      </c>
      <c r="AL355" s="7">
        <v>9.8956450734893853</v>
      </c>
      <c r="AM355" s="8"/>
      <c r="AN355" s="8"/>
      <c r="AO355" s="7"/>
      <c r="AP355" s="2"/>
      <c r="AQ355" s="6"/>
      <c r="AR355" s="6"/>
      <c r="AS355" s="6"/>
      <c r="AT355" s="8"/>
      <c r="AU355" s="8"/>
      <c r="AV355" s="2"/>
      <c r="AW355" s="8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269">
        <v>27.867048710601715</v>
      </c>
      <c r="BI355" s="6">
        <v>0.70975666848121954</v>
      </c>
      <c r="BJ355" s="270">
        <v>1.5155873925501435</v>
      </c>
      <c r="BK355" s="270">
        <v>0.2462034383954155</v>
      </c>
      <c r="BL355" s="412">
        <v>0.95846418338108874</v>
      </c>
      <c r="BM355" s="6">
        <v>0.28441535111594995</v>
      </c>
      <c r="BN355" s="6">
        <v>0.71081437125748503</v>
      </c>
      <c r="BO355" s="6">
        <v>0.3904817637452368</v>
      </c>
      <c r="BP355" s="270">
        <v>5.9736676217765038E-2</v>
      </c>
      <c r="BQ355" s="270">
        <v>0.3912951289398281</v>
      </c>
      <c r="BR355" s="270">
        <v>8.4349856733524353E-2</v>
      </c>
      <c r="BS355" s="270">
        <v>0.24884813753581661</v>
      </c>
      <c r="BT355" s="270">
        <v>3.631833810888252E-2</v>
      </c>
      <c r="BU355" s="270">
        <v>0.23620343839541547</v>
      </c>
      <c r="BV355" s="271">
        <v>3.5200573065902574E-2</v>
      </c>
      <c r="BW355" s="6"/>
      <c r="BX355" s="6"/>
      <c r="BY355" s="2"/>
      <c r="BZ355" s="7"/>
      <c r="CA355" s="7"/>
      <c r="CB355" s="7"/>
      <c r="CC355" s="7"/>
      <c r="CD355" s="7"/>
      <c r="CE355" s="270">
        <v>6.1925501432664752E-2</v>
      </c>
      <c r="CF355" s="270">
        <v>0.15253925501432664</v>
      </c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9">
        <v>3.2953886693017125E-2</v>
      </c>
      <c r="CR355" s="30">
        <v>2.0185837624973084</v>
      </c>
      <c r="CS355" s="29">
        <v>1.4213953981861769E-2</v>
      </c>
      <c r="CT355" s="29">
        <v>0.55201484039386461</v>
      </c>
      <c r="CU355" s="2"/>
      <c r="CV355" s="2"/>
      <c r="CW355" s="2"/>
      <c r="CX355" s="2"/>
      <c r="CY355" s="2"/>
      <c r="CZ355" s="2"/>
    </row>
    <row r="356" spans="1:132" x14ac:dyDescent="0.2">
      <c r="A356" s="333" t="s">
        <v>635</v>
      </c>
      <c r="B356" s="259"/>
      <c r="C356" s="259"/>
      <c r="D356" s="259"/>
      <c r="E356" s="8"/>
      <c r="F356" s="8"/>
      <c r="H356" s="6"/>
      <c r="P356" s="3"/>
      <c r="Q356" s="3"/>
      <c r="R356" s="3"/>
      <c r="S356" s="2"/>
      <c r="T356" s="38" t="e">
        <f t="shared" si="9"/>
        <v>#DIV/0!</v>
      </c>
      <c r="U356" s="2"/>
      <c r="V356" s="2"/>
      <c r="AC356" s="2"/>
      <c r="AD356" s="2"/>
      <c r="AE356" s="2"/>
      <c r="AF356" s="2"/>
      <c r="AG356" s="2"/>
      <c r="AH356" s="2"/>
      <c r="AI356" s="6"/>
      <c r="AJ356" s="8"/>
      <c r="AK356" s="2"/>
      <c r="AL356" s="7"/>
      <c r="AM356" s="8"/>
      <c r="AN356" s="8"/>
      <c r="AO356" s="7"/>
      <c r="AP356" s="2"/>
      <c r="AQ356" s="6"/>
      <c r="AR356" s="6"/>
      <c r="AS356" s="6"/>
      <c r="AT356" s="8"/>
      <c r="AU356" s="8"/>
      <c r="AV356" s="2"/>
      <c r="AW356" s="8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8"/>
      <c r="BI356" s="6"/>
      <c r="BJ356" s="2"/>
      <c r="BK356" s="2"/>
      <c r="BL356" s="7"/>
      <c r="BM356" s="6"/>
      <c r="BN356" s="6"/>
      <c r="BO356" s="6"/>
      <c r="BP356" s="6"/>
      <c r="BQ356" s="2"/>
      <c r="BR356" s="2"/>
      <c r="BS356" s="2"/>
      <c r="BT356" s="2"/>
      <c r="BU356" s="3"/>
      <c r="BV356" s="3"/>
      <c r="BW356" s="6"/>
      <c r="BX356" s="6"/>
      <c r="BY356" s="2"/>
      <c r="BZ356" s="7"/>
      <c r="CA356" s="7"/>
      <c r="CB356" s="7"/>
      <c r="CC356" s="7"/>
      <c r="CD356" s="7"/>
      <c r="CE356" s="6"/>
      <c r="CF356" s="6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9"/>
      <c r="CR356" s="2"/>
      <c r="CS356" s="16"/>
      <c r="CT356" s="16"/>
      <c r="CU356" s="2"/>
      <c r="CV356" s="2"/>
      <c r="CW356" s="2"/>
      <c r="CX356" s="2"/>
      <c r="CY356" s="2"/>
      <c r="CZ356" s="2"/>
    </row>
    <row r="357" spans="1:132" x14ac:dyDescent="0.2">
      <c r="A357" s="333" t="s">
        <v>635</v>
      </c>
      <c r="B357" s="255"/>
      <c r="C357" s="255"/>
      <c r="D357" s="255" t="s">
        <v>717</v>
      </c>
      <c r="E357" s="31">
        <v>284.49</v>
      </c>
      <c r="F357" t="s">
        <v>208</v>
      </c>
      <c r="H357" s="564">
        <v>43.659529599782338</v>
      </c>
      <c r="I357" s="564">
        <v>0.1273289862531285</v>
      </c>
      <c r="J357" s="564">
        <v>27.833205189397614</v>
      </c>
      <c r="K357" s="32">
        <v>7.81837680733945E-2</v>
      </c>
      <c r="L357" s="6">
        <v>3.4038630531828891</v>
      </c>
      <c r="M357" s="565">
        <v>5.4031906912674954E-2</v>
      </c>
      <c r="N357" s="564">
        <v>6.6378894895330758</v>
      </c>
      <c r="O357" s="7">
        <v>16.284692607824528</v>
      </c>
      <c r="P357" s="32">
        <v>0.33369935674364654</v>
      </c>
      <c r="Q357" s="32">
        <v>2.3171640479454463E-2</v>
      </c>
      <c r="T357" s="38">
        <f t="shared" si="9"/>
        <v>77.6599267064679</v>
      </c>
      <c r="AI357" s="30">
        <v>4.8409669935674362</v>
      </c>
      <c r="AJ357" s="31">
        <v>534.91904812119935</v>
      </c>
      <c r="AL357" s="33">
        <v>10.658520510387007</v>
      </c>
      <c r="AM357" s="31">
        <v>46.131779675911282</v>
      </c>
      <c r="AN357" s="31">
        <v>7.7736264895075404</v>
      </c>
      <c r="AQ357" s="30">
        <v>0.34324088720165913</v>
      </c>
      <c r="AR357" s="30">
        <v>8.3123132623290796E-2</v>
      </c>
      <c r="AS357" s="30">
        <v>0.24174171324123869</v>
      </c>
      <c r="AT357" s="31">
        <v>0.35685612851066828</v>
      </c>
      <c r="AU357" s="31">
        <v>673.0406341171921</v>
      </c>
      <c r="AV357" s="31"/>
      <c r="AW357" s="31">
        <v>5.3196245913740379</v>
      </c>
      <c r="BD357" s="30">
        <v>3.6539737776371754E-2</v>
      </c>
      <c r="BG357" s="32">
        <v>1.4209111040809869E-2</v>
      </c>
      <c r="BH357" s="31">
        <v>78.344609652360361</v>
      </c>
      <c r="BI357" s="30">
        <v>0.60083317515554147</v>
      </c>
      <c r="BJ357">
        <v>1.6074589616506729</v>
      </c>
      <c r="BL357" s="33">
        <v>1.0933600478048435</v>
      </c>
      <c r="BM357" s="30">
        <v>0.30284566348301978</v>
      </c>
      <c r="BN357" s="30">
        <v>0.71962989911771935</v>
      </c>
      <c r="BP357" s="30">
        <v>6.8325213540018984E-2</v>
      </c>
      <c r="BU357">
        <v>0.28012752645084188</v>
      </c>
      <c r="BV357" s="32">
        <v>4.0487834370276629E-2</v>
      </c>
      <c r="BW357" s="30">
        <v>0.19026180182080213</v>
      </c>
      <c r="BX357" s="30">
        <v>2.7273436676157333E-2</v>
      </c>
      <c r="BY357">
        <v>5.4799114204365708E-2</v>
      </c>
      <c r="BZ357" s="405">
        <v>1.1250304052866533</v>
      </c>
      <c r="CA357" s="33">
        <v>3.1129182045063093</v>
      </c>
      <c r="CE357" s="30">
        <v>6.2428310309676965E-2</v>
      </c>
      <c r="CF357" s="30">
        <v>0.11215895110548703</v>
      </c>
      <c r="CG357">
        <v>284.49</v>
      </c>
      <c r="CS357" s="63"/>
      <c r="CT357" s="63"/>
    </row>
    <row r="358" spans="1:132" s="36" customFormat="1" x14ac:dyDescent="0.2">
      <c r="A358" s="566" t="s">
        <v>635</v>
      </c>
      <c r="B358" s="258"/>
      <c r="C358" s="258"/>
      <c r="D358" s="258"/>
      <c r="E358" s="35">
        <v>468.19</v>
      </c>
      <c r="F358" s="34">
        <v>97.797458975822209</v>
      </c>
      <c r="H358" s="34">
        <v>43.606546136309248</v>
      </c>
      <c r="I358" s="34">
        <v>0.11647694988758765</v>
      </c>
      <c r="J358" s="34">
        <v>27.867742751892354</v>
      </c>
      <c r="K358" s="37">
        <v>7.074801566435103E-2</v>
      </c>
      <c r="L358" s="34">
        <v>3.3045484577291688</v>
      </c>
      <c r="M358" s="37">
        <v>4.979547676608162E-2</v>
      </c>
      <c r="N358" s="34">
        <v>6.5539612594644154</v>
      </c>
      <c r="O358" s="72">
        <v>15.843582711097895</v>
      </c>
      <c r="P358" s="37">
        <v>0.35236992115897625</v>
      </c>
      <c r="Q358" s="37">
        <v>3.1687295852138767E-2</v>
      </c>
      <c r="R358" s="37"/>
      <c r="S358" s="37"/>
      <c r="T358" s="38">
        <f t="shared" si="9"/>
        <v>77.951530130249949</v>
      </c>
      <c r="U358" s="37"/>
      <c r="W358" s="34"/>
      <c r="X358" s="34"/>
      <c r="Y358" s="34"/>
      <c r="Z358" s="34"/>
      <c r="AA358" s="34" t="e">
        <v>#DIV/0!</v>
      </c>
      <c r="AB358" s="34"/>
      <c r="AC358" s="34"/>
      <c r="AD358" s="34"/>
      <c r="AE358" s="37"/>
      <c r="AF358" s="37"/>
      <c r="AG358" s="37"/>
      <c r="AH358" s="37"/>
      <c r="AI358" s="34">
        <v>4.7464579115904684</v>
      </c>
      <c r="AJ358" s="35">
        <v>484.04498949337051</v>
      </c>
      <c r="AK358" s="35">
        <v>14.1</v>
      </c>
      <c r="AL358" s="72">
        <v>10.277082791938195</v>
      </c>
      <c r="AM358" s="35">
        <v>46.131779675911282</v>
      </c>
      <c r="AN358" s="35">
        <v>7.7736264895075404</v>
      </c>
      <c r="AO358" s="37"/>
      <c r="AP358" s="37"/>
      <c r="AQ358" s="34">
        <v>0.34324088720165913</v>
      </c>
      <c r="AR358" s="34">
        <v>8.3123132623290796E-2</v>
      </c>
      <c r="AS358" s="34">
        <v>0.24174171324123869</v>
      </c>
      <c r="AT358" s="35">
        <v>0.35685612851066828</v>
      </c>
      <c r="AU358" s="35">
        <v>673.0406341171921</v>
      </c>
      <c r="AV358" s="35"/>
      <c r="AW358" s="35">
        <v>5.3196245913740379</v>
      </c>
      <c r="AX358" s="37"/>
      <c r="AY358" s="37"/>
      <c r="AZ358" s="37"/>
      <c r="BA358" s="37"/>
      <c r="BB358" s="37"/>
      <c r="BC358" s="37"/>
      <c r="BD358" s="34">
        <v>3.6539737776371754E-2</v>
      </c>
      <c r="BE358" s="37"/>
      <c r="BF358" s="37"/>
      <c r="BG358" s="37">
        <v>1.4209111040809869E-2</v>
      </c>
      <c r="BH358" s="35">
        <v>53.105829181481042</v>
      </c>
      <c r="BI358" s="34">
        <v>0.65529492181838056</v>
      </c>
      <c r="BJ358" s="37">
        <v>1.5615231771004083</v>
      </c>
      <c r="BK358" s="37">
        <v>0.2462034383954155</v>
      </c>
      <c r="BL358" s="72">
        <v>1.0259121155929662</v>
      </c>
      <c r="BM358" s="34">
        <v>0.29363050729948487</v>
      </c>
      <c r="BN358" s="34">
        <v>0.71522213518760225</v>
      </c>
      <c r="BO358" s="34">
        <v>0.3904817637452368</v>
      </c>
      <c r="BP358" s="34">
        <v>6.4030944878892007E-2</v>
      </c>
      <c r="BQ358" s="37">
        <v>0.3912951289398281</v>
      </c>
      <c r="BR358" s="37">
        <v>8.4349856733524353E-2</v>
      </c>
      <c r="BS358" s="37">
        <v>0.24884813753581661</v>
      </c>
      <c r="BT358" s="37">
        <v>3.631833810888252E-2</v>
      </c>
      <c r="BU358" s="37">
        <v>0.25816548242312864</v>
      </c>
      <c r="BV358" s="37">
        <v>3.7844203718089602E-2</v>
      </c>
      <c r="BW358" s="34">
        <v>0.19026180182080213</v>
      </c>
      <c r="BX358" s="34">
        <v>2.7273436676157333E-2</v>
      </c>
      <c r="BY358" s="37">
        <v>5.4799114204365708E-2</v>
      </c>
      <c r="BZ358" s="72">
        <v>1.1250304052866533</v>
      </c>
      <c r="CA358" s="72">
        <v>3.1129182045063093</v>
      </c>
      <c r="CB358" s="37" t="e">
        <v>#DIV/0!</v>
      </c>
      <c r="CC358" s="37" t="e">
        <v>#DIV/0!</v>
      </c>
      <c r="CD358" s="37" t="e">
        <v>#DIV/0!</v>
      </c>
      <c r="CE358" s="34">
        <v>6.2176905871170862E-2</v>
      </c>
      <c r="CF358" s="34">
        <v>0.13234910305990683</v>
      </c>
      <c r="CI358" s="119">
        <v>0.34314520309093205</v>
      </c>
      <c r="CJ358" s="58">
        <v>0.36138666099565686</v>
      </c>
      <c r="CK358" s="119">
        <v>0.35412329307417018</v>
      </c>
      <c r="CS358" s="267"/>
      <c r="CT358" s="267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</row>
    <row r="359" spans="1:132" x14ac:dyDescent="0.2">
      <c r="A359" s="258"/>
      <c r="B359" s="255"/>
      <c r="C359" s="255"/>
      <c r="D359" s="255"/>
      <c r="E359" s="31"/>
      <c r="F359" s="30"/>
      <c r="I359" s="30"/>
      <c r="J359" s="30"/>
      <c r="L359" s="30"/>
      <c r="M359" s="32"/>
      <c r="N359" s="30"/>
      <c r="O359" s="33"/>
      <c r="T359" s="38" t="e">
        <f t="shared" si="9"/>
        <v>#DIV/0!</v>
      </c>
      <c r="Z359" s="31"/>
      <c r="AD359" s="31"/>
      <c r="BJ359" s="30"/>
    </row>
    <row r="360" spans="1:132" x14ac:dyDescent="0.2">
      <c r="A360" s="335" t="s">
        <v>760</v>
      </c>
      <c r="B360" s="257"/>
      <c r="C360" s="257"/>
      <c r="D360" s="50" t="s">
        <v>1282</v>
      </c>
      <c r="E360" s="41" t="s">
        <v>1288</v>
      </c>
      <c r="F360" s="34">
        <v>99.345819769907138</v>
      </c>
      <c r="H360" s="30">
        <v>44.3</v>
      </c>
      <c r="I360" s="564">
        <v>0.11603424868694198</v>
      </c>
      <c r="J360" s="30">
        <v>29.1</v>
      </c>
      <c r="K360" s="32">
        <v>0.1</v>
      </c>
      <c r="L360" s="30">
        <v>3.09</v>
      </c>
      <c r="M360" s="565">
        <v>4.9785521220188214E-2</v>
      </c>
      <c r="N360" s="30">
        <v>6.15</v>
      </c>
      <c r="O360" s="33">
        <v>16.100000000000001</v>
      </c>
      <c r="P360" s="32">
        <v>0.34</v>
      </c>
      <c r="T360" s="38">
        <f t="shared" si="9"/>
        <v>78.011818169972869</v>
      </c>
      <c r="Z360" s="31"/>
      <c r="AD360" s="31"/>
      <c r="AI360" s="30">
        <v>5.3</v>
      </c>
      <c r="AJ360" s="31">
        <v>650</v>
      </c>
      <c r="AL360" s="33">
        <v>13.4</v>
      </c>
      <c r="AM360" s="31">
        <v>90</v>
      </c>
      <c r="AU360" s="31">
        <v>440</v>
      </c>
      <c r="AW360" s="31">
        <v>28</v>
      </c>
      <c r="BH360" s="31">
        <v>120</v>
      </c>
      <c r="BI360" s="30">
        <v>0.84</v>
      </c>
      <c r="BJ360" s="30">
        <v>1.9</v>
      </c>
      <c r="BL360" s="33" t="s">
        <v>1287</v>
      </c>
      <c r="BM360" s="30">
        <v>0.39</v>
      </c>
      <c r="BN360" s="30">
        <v>0.56999999999999995</v>
      </c>
      <c r="BP360" s="30">
        <v>0.02</v>
      </c>
      <c r="BU360">
        <v>0.26</v>
      </c>
      <c r="BV360" s="32">
        <v>4.2999999999999997E-2</v>
      </c>
      <c r="BW360" s="30">
        <v>0.18</v>
      </c>
      <c r="BX360" s="30">
        <v>0.27</v>
      </c>
      <c r="BZ360" s="33">
        <v>16.899999999999999</v>
      </c>
      <c r="CA360" s="33">
        <v>5</v>
      </c>
      <c r="CE360" s="30">
        <v>5.5E-2</v>
      </c>
      <c r="CF360" s="30">
        <v>0.52</v>
      </c>
      <c r="CQ360" s="29"/>
      <c r="CR360" s="30">
        <v>1.9902912621359226</v>
      </c>
      <c r="CS360" s="29"/>
      <c r="CT360" s="29">
        <v>0.5532646048109966</v>
      </c>
    </row>
    <row r="361" spans="1:132" x14ac:dyDescent="0.2">
      <c r="A361" s="258"/>
      <c r="B361" s="255"/>
      <c r="C361" s="255"/>
      <c r="D361" s="255"/>
      <c r="E361" s="31"/>
      <c r="F361" s="30"/>
      <c r="I361" s="30"/>
      <c r="J361" s="30"/>
      <c r="K361" s="49">
        <v>9.5003999999999991E-2</v>
      </c>
      <c r="L361" s="30"/>
      <c r="M361" s="32"/>
      <c r="N361" s="30"/>
      <c r="O361" s="33"/>
      <c r="T361" s="38" t="e">
        <f t="shared" si="9"/>
        <v>#DIV/0!</v>
      </c>
      <c r="Z361" s="31"/>
      <c r="AD361" s="31"/>
      <c r="BJ361" s="30"/>
    </row>
    <row r="362" spans="1:132" x14ac:dyDescent="0.2">
      <c r="A362" s="258"/>
      <c r="B362" s="255"/>
      <c r="C362" s="255"/>
      <c r="D362" s="255"/>
      <c r="E362" s="31"/>
      <c r="F362" s="30"/>
      <c r="I362" s="30"/>
      <c r="J362" s="30"/>
      <c r="L362" s="30"/>
      <c r="M362" s="32"/>
      <c r="N362" s="30"/>
      <c r="O362" s="33"/>
      <c r="T362" s="38" t="e">
        <f t="shared" si="9"/>
        <v>#DIV/0!</v>
      </c>
      <c r="Z362" s="31"/>
      <c r="AD362" s="31"/>
      <c r="BJ362" s="30"/>
    </row>
    <row r="363" spans="1:132" x14ac:dyDescent="0.2">
      <c r="A363" s="333" t="s">
        <v>760</v>
      </c>
      <c r="B363" s="255"/>
      <c r="C363" s="255"/>
      <c r="D363" s="255"/>
      <c r="E363" s="31"/>
      <c r="F363" s="30"/>
      <c r="I363" s="30"/>
      <c r="J363" s="30"/>
      <c r="L363" s="30"/>
      <c r="M363" s="32"/>
      <c r="N363" s="30"/>
      <c r="O363" s="60"/>
      <c r="T363" s="38" t="e">
        <f t="shared" si="9"/>
        <v>#DIV/0!</v>
      </c>
      <c r="Z363" s="31"/>
      <c r="AD363" s="31"/>
    </row>
    <row r="364" spans="1:132" x14ac:dyDescent="0.2">
      <c r="A364" s="333" t="s">
        <v>760</v>
      </c>
      <c r="B364" s="255"/>
      <c r="C364" s="255"/>
      <c r="D364" s="255" t="s">
        <v>700</v>
      </c>
      <c r="E364" s="31"/>
      <c r="F364" s="30"/>
      <c r="H364" s="30">
        <v>43.365273675454503</v>
      </c>
      <c r="I364" s="30">
        <v>0.13136732621886962</v>
      </c>
      <c r="J364" s="30">
        <v>27.86446104543182</v>
      </c>
      <c r="K364" s="32">
        <v>7.3898400336605885E-2</v>
      </c>
      <c r="L364" s="30">
        <v>3.3666947171575501</v>
      </c>
      <c r="M364" s="32">
        <v>5.7673692424943628E-2</v>
      </c>
      <c r="N364" s="30">
        <v>6.565157357482251</v>
      </c>
      <c r="O364" s="60">
        <v>16.760000000000002</v>
      </c>
      <c r="P364" s="32">
        <v>0.33045909303412813</v>
      </c>
      <c r="Q364" s="32">
        <v>1.985805715215521E-2</v>
      </c>
      <c r="R364" s="32">
        <v>3.5031247497571194E-2</v>
      </c>
      <c r="T364" s="38">
        <f t="shared" si="9"/>
        <v>77.659266097758547</v>
      </c>
      <c r="Z364" s="31"/>
      <c r="AD364" s="31"/>
      <c r="CQ364" s="29">
        <v>3.9019672781552668E-2</v>
      </c>
      <c r="CR364" s="30">
        <v>1.9500304925256529</v>
      </c>
      <c r="CS364" s="29">
        <v>1.7130657000476914E-2</v>
      </c>
      <c r="CT364" s="29">
        <v>0.6014830135301571</v>
      </c>
    </row>
    <row r="365" spans="1:132" x14ac:dyDescent="0.2">
      <c r="A365" s="333" t="s">
        <v>760</v>
      </c>
      <c r="B365" s="255"/>
      <c r="C365" s="255"/>
      <c r="D365" s="255" t="s">
        <v>717</v>
      </c>
      <c r="E365" s="31"/>
      <c r="F365" s="30"/>
      <c r="H365" s="564">
        <v>43.653473832959591</v>
      </c>
      <c r="I365" s="564">
        <v>0.12599143920220685</v>
      </c>
      <c r="J365" s="564">
        <v>27.89627159089121</v>
      </c>
      <c r="K365" s="32">
        <v>7.3898400336605885E-2</v>
      </c>
      <c r="L365" s="30">
        <v>3.3666947171575501</v>
      </c>
      <c r="M365" s="565">
        <v>5.3529040810051623E-2</v>
      </c>
      <c r="N365" s="564">
        <v>6.5744995864474811</v>
      </c>
      <c r="O365" s="60">
        <v>16.783539036933142</v>
      </c>
      <c r="P365" s="32">
        <v>0.33045909303412813</v>
      </c>
      <c r="Q365" s="32">
        <v>4.941561477325853E-3</v>
      </c>
      <c r="T365" s="38">
        <f t="shared" si="9"/>
        <v>77.683927423193694</v>
      </c>
      <c r="Z365" s="31"/>
      <c r="AD365" s="31"/>
      <c r="AI365" s="30">
        <v>4.8052921926133703</v>
      </c>
      <c r="AJ365" s="31">
        <v>505.59934548854602</v>
      </c>
      <c r="AL365" s="33">
        <v>10.246194483403459</v>
      </c>
      <c r="AM365" s="31">
        <v>47.505843852267411</v>
      </c>
      <c r="AN365" s="31">
        <v>2.4953249181860682</v>
      </c>
      <c r="AQ365" s="30">
        <v>0.31505843852267418</v>
      </c>
      <c r="AR365" s="30">
        <v>4.9415614773258537E-2</v>
      </c>
      <c r="AS365" s="30">
        <v>0.4605843852267415</v>
      </c>
      <c r="AT365" s="31">
        <v>5.0584385226741475E-2</v>
      </c>
      <c r="AU365" s="31">
        <v>396.77793361383823</v>
      </c>
      <c r="AW365" s="31">
        <v>11.529219261337072</v>
      </c>
      <c r="BD365" s="30">
        <v>1.0918186068256194E-2</v>
      </c>
      <c r="BG365" s="30">
        <v>4.941561477325853E-3</v>
      </c>
      <c r="BH365" s="31">
        <v>72.318840579710141</v>
      </c>
      <c r="BI365" s="30">
        <v>0.63634221598877982</v>
      </c>
      <c r="BJ365">
        <v>1.5847078073866296</v>
      </c>
      <c r="BL365" s="33">
        <v>0.9976624590930343</v>
      </c>
      <c r="BM365" s="30">
        <v>0.30692987377279102</v>
      </c>
      <c r="BN365" s="30">
        <v>0.72992987377279106</v>
      </c>
      <c r="BP365" s="30">
        <v>6.9459093034128089E-2</v>
      </c>
      <c r="BU365">
        <v>0.28543571762505843</v>
      </c>
      <c r="BV365" s="32">
        <v>4.1681299672744268E-2</v>
      </c>
      <c r="BW365" s="30">
        <v>0.19301168770453486</v>
      </c>
      <c r="BX365" s="30">
        <v>3.1482468443197749E-2</v>
      </c>
      <c r="BY365">
        <v>4.9415614773258537E-2</v>
      </c>
      <c r="BZ365" s="33">
        <v>1.6070126227208978</v>
      </c>
      <c r="CA365" s="33">
        <v>0.99649368863955101</v>
      </c>
      <c r="CE365" s="30">
        <v>6.748246844319776E-2</v>
      </c>
      <c r="CF365" s="30">
        <v>0.12596493688639551</v>
      </c>
      <c r="CG365">
        <v>64.17</v>
      </c>
    </row>
    <row r="366" spans="1:132" x14ac:dyDescent="0.2">
      <c r="A366" s="566" t="s">
        <v>760</v>
      </c>
      <c r="B366" s="255"/>
      <c r="C366" s="255"/>
      <c r="D366" s="255"/>
      <c r="E366" s="31"/>
      <c r="F366" s="34">
        <v>98.699070831971056</v>
      </c>
      <c r="H366" s="34">
        <v>43.509373754207047</v>
      </c>
      <c r="I366" s="34">
        <v>0.12867938271053825</v>
      </c>
      <c r="J366" s="34">
        <v>27.880366318161514</v>
      </c>
      <c r="K366" s="37">
        <v>7.3898400336605885E-2</v>
      </c>
      <c r="L366" s="34">
        <v>3.3666947171575501</v>
      </c>
      <c r="M366" s="37">
        <v>5.5601366617497622E-2</v>
      </c>
      <c r="N366" s="34">
        <v>6.5698284719648665</v>
      </c>
      <c r="O366" s="72">
        <v>16.77176951846657</v>
      </c>
      <c r="P366" s="37">
        <v>0.33045909303412813</v>
      </c>
      <c r="Q366" s="37">
        <v>1.2399809314740532E-2</v>
      </c>
      <c r="R366" s="37"/>
      <c r="S366" s="36"/>
      <c r="T366" s="38">
        <f t="shared" si="9"/>
        <v>77.671603569975275</v>
      </c>
      <c r="U366" s="36"/>
      <c r="W366" s="36"/>
      <c r="X366" s="36"/>
      <c r="Y366" s="36"/>
      <c r="Z366" s="8">
        <v>430.6325844525191</v>
      </c>
      <c r="AA366" s="36"/>
      <c r="AB366" s="36"/>
      <c r="AC366" s="36"/>
      <c r="AD366" s="31">
        <v>102.93081712166115</v>
      </c>
      <c r="AE366" s="36"/>
      <c r="AF366" s="36"/>
      <c r="AG366" s="36"/>
      <c r="AH366" s="36"/>
      <c r="AI366" s="34">
        <v>4.8052921926133703</v>
      </c>
      <c r="AJ366" s="35">
        <v>505.59934548854602</v>
      </c>
      <c r="AK366" s="36"/>
      <c r="AL366" s="72">
        <v>10.246194483403459</v>
      </c>
      <c r="AM366" s="35">
        <v>47.505843852267411</v>
      </c>
      <c r="AN366" s="35">
        <v>2.4953249181860682</v>
      </c>
      <c r="AO366" s="72"/>
      <c r="AP366" s="36"/>
      <c r="AQ366" s="34">
        <v>0.31505843852267418</v>
      </c>
      <c r="AR366" s="34"/>
      <c r="AS366" s="34"/>
      <c r="AT366" s="35">
        <v>5.0584385226741475E-2</v>
      </c>
      <c r="AU366" s="35">
        <v>396.77793361383823</v>
      </c>
      <c r="AV366" s="36"/>
      <c r="AW366" s="35">
        <v>11.529219261337072</v>
      </c>
      <c r="AX366" s="34"/>
      <c r="AY366" s="34"/>
      <c r="AZ366" s="34"/>
      <c r="BA366" s="34"/>
      <c r="BB366" s="34"/>
      <c r="BC366" s="34"/>
      <c r="BD366" s="34">
        <v>1.0918186068256194E-2</v>
      </c>
      <c r="BE366" s="34"/>
      <c r="BF366" s="34"/>
      <c r="BG366" s="34">
        <v>4.941561477325853E-3</v>
      </c>
      <c r="BH366" s="35">
        <v>72.318840579710141</v>
      </c>
      <c r="BI366" s="34">
        <v>0.63634221598877982</v>
      </c>
      <c r="BJ366" s="34">
        <v>1.5847078073866296</v>
      </c>
      <c r="BK366" s="34"/>
      <c r="BL366" s="72">
        <v>0.9976624590930343</v>
      </c>
      <c r="BM366" s="34">
        <v>0.30692987377279102</v>
      </c>
      <c r="BN366" s="34">
        <v>0.72992987377279106</v>
      </c>
      <c r="BO366" s="34"/>
      <c r="BP366" s="34">
        <v>6.9459093034128089E-2</v>
      </c>
      <c r="BQ366" s="37"/>
      <c r="BR366" s="37"/>
      <c r="BS366" s="37"/>
      <c r="BT366" s="37"/>
      <c r="BU366" s="37">
        <v>0.28543571762505843</v>
      </c>
      <c r="BV366" s="37">
        <v>4.1681299672744268E-2</v>
      </c>
      <c r="BW366" s="34">
        <v>0.19301168770453486</v>
      </c>
      <c r="BX366" s="34">
        <v>3.1482468443197749E-2</v>
      </c>
      <c r="BY366" s="36"/>
      <c r="BZ366" s="72">
        <v>1.6070126227208978</v>
      </c>
      <c r="CA366" s="72">
        <v>0.99649368863955101</v>
      </c>
      <c r="CB366" s="36"/>
      <c r="CC366" s="36"/>
      <c r="CD366" s="36"/>
      <c r="CE366" s="34">
        <v>6.748246844319776E-2</v>
      </c>
      <c r="CF366" s="34">
        <v>0.12596493688639551</v>
      </c>
      <c r="CS366" s="29"/>
      <c r="CT366" s="29"/>
    </row>
    <row r="367" spans="1:132" x14ac:dyDescent="0.2">
      <c r="A367" s="258"/>
      <c r="B367" s="255"/>
      <c r="C367" s="255"/>
      <c r="D367" s="255"/>
      <c r="E367" s="31"/>
      <c r="F367" s="30"/>
      <c r="I367" s="30"/>
      <c r="J367" s="30"/>
      <c r="L367" s="30"/>
      <c r="M367" s="32"/>
      <c r="N367" s="30"/>
      <c r="O367" s="60"/>
      <c r="T367" s="38" t="e">
        <f t="shared" si="9"/>
        <v>#DIV/0!</v>
      </c>
      <c r="Z367" s="31"/>
      <c r="AD367" s="31"/>
    </row>
    <row r="368" spans="1:132" x14ac:dyDescent="0.2">
      <c r="A368" s="258"/>
      <c r="B368" s="255"/>
      <c r="C368" s="255"/>
      <c r="D368" s="255"/>
      <c r="E368" s="31"/>
      <c r="F368" s="30"/>
      <c r="I368" s="30"/>
      <c r="J368" s="30"/>
      <c r="L368" s="30"/>
      <c r="M368" s="32"/>
      <c r="N368" s="30"/>
      <c r="O368" s="60"/>
      <c r="T368" s="38" t="e">
        <f t="shared" si="9"/>
        <v>#DIV/0!</v>
      </c>
      <c r="Z368" s="31"/>
      <c r="AD368" s="31"/>
    </row>
    <row r="369" spans="1:98" x14ac:dyDescent="0.2">
      <c r="A369" s="335" t="s">
        <v>761</v>
      </c>
      <c r="B369" s="257"/>
      <c r="C369" s="257"/>
      <c r="D369" s="50" t="s">
        <v>1282</v>
      </c>
      <c r="E369" s="41" t="s">
        <v>1288</v>
      </c>
      <c r="F369" s="30"/>
      <c r="H369" s="30">
        <v>43.6</v>
      </c>
      <c r="I369" s="30">
        <v>0.12</v>
      </c>
      <c r="J369" s="30">
        <v>29.2</v>
      </c>
      <c r="K369" s="32">
        <v>0.05</v>
      </c>
      <c r="L369" s="30">
        <v>2.84</v>
      </c>
      <c r="M369" s="32">
        <v>0.05</v>
      </c>
      <c r="N369" s="6">
        <v>5.79</v>
      </c>
      <c r="O369" s="60">
        <v>16.600000000000001</v>
      </c>
      <c r="P369" s="32">
        <v>0.36</v>
      </c>
      <c r="Q369" s="32">
        <v>0.01</v>
      </c>
      <c r="T369" s="38">
        <f t="shared" si="9"/>
        <v>78.421530178902245</v>
      </c>
      <c r="AA369"/>
      <c r="AD369" s="31"/>
      <c r="AI369" s="30">
        <v>5.2</v>
      </c>
      <c r="AJ369" s="31">
        <v>340</v>
      </c>
      <c r="AL369" s="33">
        <v>34.200000000000003</v>
      </c>
      <c r="AM369" s="31">
        <v>140</v>
      </c>
      <c r="AU369" s="31">
        <v>370</v>
      </c>
      <c r="AW369" s="31">
        <v>85</v>
      </c>
      <c r="BH369" s="31">
        <v>180</v>
      </c>
      <c r="BI369" s="30">
        <v>0.74</v>
      </c>
      <c r="BJ369">
        <v>1.72</v>
      </c>
      <c r="BL369" s="33">
        <v>1.1299999999999999</v>
      </c>
      <c r="BM369" s="30">
        <v>0.37</v>
      </c>
      <c r="BN369" s="30">
        <v>0.77</v>
      </c>
      <c r="BP369" s="30">
        <v>9.7000000000000003E-2</v>
      </c>
      <c r="BU369">
        <v>0.43</v>
      </c>
      <c r="BV369" s="32">
        <v>7.6999999999999999E-2</v>
      </c>
      <c r="BW369" s="30">
        <v>0.51</v>
      </c>
      <c r="BX369" s="30">
        <v>0.36</v>
      </c>
      <c r="BZ369" s="33">
        <v>9</v>
      </c>
      <c r="CA369" s="33">
        <v>4</v>
      </c>
      <c r="CE369" s="30">
        <v>1</v>
      </c>
      <c r="CF369" s="30">
        <v>0.54</v>
      </c>
      <c r="CQ369" s="29">
        <v>4.2253521126760563E-2</v>
      </c>
      <c r="CR369" s="30">
        <v>2.0387323943661975</v>
      </c>
      <c r="CS369" s="29">
        <v>1.7605633802816902E-2</v>
      </c>
      <c r="CT369" s="29">
        <v>0.56849315068493156</v>
      </c>
    </row>
    <row r="370" spans="1:98" x14ac:dyDescent="0.2">
      <c r="A370" s="335"/>
      <c r="B370" s="255"/>
      <c r="C370" s="255"/>
      <c r="D370" s="255"/>
      <c r="E370" s="31"/>
      <c r="F370" s="30"/>
      <c r="I370" s="30"/>
      <c r="J370" s="30"/>
      <c r="K370" s="49">
        <v>4.96944E-2</v>
      </c>
      <c r="L370" s="30"/>
      <c r="M370" s="32"/>
      <c r="N370" s="30"/>
      <c r="O370" s="60"/>
      <c r="T370" s="38" t="e">
        <f t="shared" si="9"/>
        <v>#DIV/0!</v>
      </c>
      <c r="Z370" s="31"/>
      <c r="AD370" s="31"/>
    </row>
    <row r="371" spans="1:98" x14ac:dyDescent="0.2">
      <c r="A371" s="335" t="s">
        <v>761</v>
      </c>
      <c r="B371" s="255"/>
      <c r="C371" s="255"/>
      <c r="D371" s="255"/>
      <c r="E371" s="31"/>
      <c r="F371" s="30"/>
      <c r="I371" s="30"/>
      <c r="J371" s="30"/>
      <c r="L371" s="30"/>
      <c r="M371" s="32"/>
      <c r="N371" s="30"/>
      <c r="O371" s="60"/>
      <c r="T371" s="38" t="e">
        <f t="shared" si="9"/>
        <v>#DIV/0!</v>
      </c>
      <c r="Z371" s="31"/>
      <c r="AD371" s="31"/>
    </row>
    <row r="372" spans="1:98" x14ac:dyDescent="0.2">
      <c r="A372" s="335" t="s">
        <v>761</v>
      </c>
      <c r="B372" s="255"/>
      <c r="C372" s="255"/>
      <c r="D372" s="255" t="s">
        <v>700</v>
      </c>
      <c r="E372" s="31"/>
      <c r="F372" s="30"/>
      <c r="I372" s="30"/>
      <c r="J372" s="30"/>
      <c r="L372" s="30"/>
      <c r="M372" s="32"/>
      <c r="N372" s="30"/>
      <c r="O372" s="60"/>
      <c r="T372" s="38" t="e">
        <f t="shared" si="9"/>
        <v>#DIV/0!</v>
      </c>
      <c r="Z372" s="31"/>
      <c r="AD372" s="31"/>
      <c r="CQ372" s="29"/>
      <c r="CR372" s="30"/>
      <c r="CS372" s="29"/>
      <c r="CT372" s="29"/>
    </row>
    <row r="373" spans="1:98" x14ac:dyDescent="0.2">
      <c r="A373" s="335" t="s">
        <v>761</v>
      </c>
      <c r="B373" s="255"/>
      <c r="C373" s="255"/>
      <c r="D373" s="255" t="s">
        <v>717</v>
      </c>
      <c r="E373" s="31"/>
      <c r="F373" s="30"/>
      <c r="H373" s="564">
        <v>43.601876268880304</v>
      </c>
      <c r="I373" s="564">
        <v>0.11459500144476681</v>
      </c>
      <c r="J373" s="564">
        <v>28.433622646102513</v>
      </c>
      <c r="K373" s="32">
        <v>7.3458482448569992E-2</v>
      </c>
      <c r="L373" s="30">
        <v>3.0500055750682948</v>
      </c>
      <c r="M373" s="565">
        <v>4.9244419768179254E-2</v>
      </c>
      <c r="N373" s="564">
        <v>6.0343921678207133</v>
      </c>
      <c r="O373" s="60">
        <v>16.646812733455985</v>
      </c>
      <c r="P373" s="32">
        <v>0.29762596866811619</v>
      </c>
      <c r="Q373" s="32">
        <v>3.0010592629759712E-2</v>
      </c>
      <c r="T373" s="38">
        <f t="shared" si="9"/>
        <v>77.909597896210187</v>
      </c>
      <c r="Z373" s="31"/>
      <c r="AD373" s="31"/>
      <c r="AI373" s="30">
        <v>4.6184244856999497</v>
      </c>
      <c r="AJ373" s="31">
        <v>502.58950772146954</v>
      </c>
      <c r="AL373" s="33">
        <v>10.144929475386073</v>
      </c>
      <c r="AM373" s="31">
        <v>53.05547192953113</v>
      </c>
      <c r="AN373" s="31">
        <v>5.5898087751574952</v>
      </c>
      <c r="AQ373" s="30">
        <v>0.67457936109717342</v>
      </c>
      <c r="AR373" s="30">
        <v>0.21688743937113231</v>
      </c>
      <c r="AS373" s="30">
        <v>0.41450019512739028</v>
      </c>
      <c r="AT373" s="31">
        <v>0.98052071137871422</v>
      </c>
      <c r="AU373" s="31">
        <v>724.50922673802756</v>
      </c>
      <c r="AW373" s="31">
        <v>9.2692757986285326</v>
      </c>
      <c r="BD373" s="30">
        <v>4.2280816189998321E-2</v>
      </c>
      <c r="BG373" s="30">
        <v>1.4354295590120979E-2</v>
      </c>
      <c r="BH373" s="31">
        <v>267.43630484473437</v>
      </c>
      <c r="BI373" s="30">
        <v>0.60356821096058422</v>
      </c>
      <c r="BJ373">
        <v>1.5624201371466802</v>
      </c>
      <c r="BL373" s="33">
        <v>1.0372693315493116</v>
      </c>
      <c r="BM373" s="30">
        <v>0.28348554572617274</v>
      </c>
      <c r="BN373" s="30">
        <v>0.67325394436081842</v>
      </c>
      <c r="BP373" s="30">
        <v>6.2119417962870044E-2</v>
      </c>
      <c r="BU373">
        <v>0.25815426213971121</v>
      </c>
      <c r="BV373" s="32">
        <v>3.7946418018620733E-2</v>
      </c>
      <c r="BW373" s="30">
        <v>0.19571823604839161</v>
      </c>
      <c r="BX373" s="30">
        <v>2.3786419133634384E-2</v>
      </c>
      <c r="BY373">
        <v>7.5954730445447954E-2</v>
      </c>
      <c r="BZ373" s="33">
        <v>1.0327379160394714</v>
      </c>
      <c r="CA373" s="33">
        <v>2.4642861125048778</v>
      </c>
      <c r="CE373" s="30">
        <v>7.1043429782014833E-2</v>
      </c>
      <c r="CF373" s="30">
        <v>0.19113424764453363</v>
      </c>
      <c r="CG373">
        <v>179.37</v>
      </c>
    </row>
    <row r="374" spans="1:98" x14ac:dyDescent="0.2">
      <c r="A374" s="567" t="s">
        <v>761</v>
      </c>
      <c r="B374" s="255"/>
      <c r="C374" s="255"/>
      <c r="D374" s="255"/>
      <c r="E374" s="31"/>
      <c r="F374" s="34">
        <v>98.331643856287215</v>
      </c>
      <c r="H374" s="34">
        <v>43.601876268880304</v>
      </c>
      <c r="I374" s="34">
        <v>0.11459500144476681</v>
      </c>
      <c r="J374" s="34">
        <v>28.433622646102513</v>
      </c>
      <c r="K374" s="37">
        <v>7.3458482448569992E-2</v>
      </c>
      <c r="L374" s="34">
        <v>3.0500055750682948</v>
      </c>
      <c r="M374" s="37">
        <v>4.9244419768179254E-2</v>
      </c>
      <c r="N374" s="34">
        <v>6.0343921678207133</v>
      </c>
      <c r="O374" s="72">
        <v>16.646812733455985</v>
      </c>
      <c r="P374" s="37">
        <v>0.29762596866811619</v>
      </c>
      <c r="Q374" s="37">
        <v>3.0010592629759712E-2</v>
      </c>
      <c r="R374" s="37"/>
      <c r="S374" s="36"/>
      <c r="T374" s="38">
        <f t="shared" si="9"/>
        <v>77.909597896210187</v>
      </c>
      <c r="U374" s="36"/>
      <c r="W374" s="36"/>
      <c r="X374" s="36"/>
      <c r="Y374" s="36"/>
      <c r="Z374" s="8">
        <v>381.39803110454829</v>
      </c>
      <c r="AA374" s="36"/>
      <c r="AB374" s="36"/>
      <c r="AC374" s="36"/>
      <c r="AD374" s="31">
        <v>249.11792941963537</v>
      </c>
      <c r="AE374" s="36"/>
      <c r="AF374" s="36"/>
      <c r="AG374" s="36"/>
      <c r="AH374" s="36"/>
      <c r="AI374" s="34">
        <v>4.6184244856999497</v>
      </c>
      <c r="AJ374" s="35">
        <v>502.58950772146954</v>
      </c>
      <c r="AK374" s="36"/>
      <c r="AL374" s="72">
        <v>10.144929475386073</v>
      </c>
      <c r="AM374" s="35">
        <v>53.05547192953113</v>
      </c>
      <c r="AN374" s="35">
        <v>5.5898087751574952</v>
      </c>
      <c r="AO374" s="72"/>
      <c r="AP374" s="36"/>
      <c r="AQ374" s="34">
        <v>0.67457936109717342</v>
      </c>
      <c r="AR374" s="34"/>
      <c r="AS374" s="34"/>
      <c r="AT374" s="35">
        <v>0.98052071137871422</v>
      </c>
      <c r="AU374" s="35">
        <v>724.50922673802756</v>
      </c>
      <c r="AV374" s="36"/>
      <c r="AW374" s="35">
        <v>9.2692757986285326</v>
      </c>
      <c r="AX374" s="34"/>
      <c r="AY374" s="34"/>
      <c r="AZ374" s="34"/>
      <c r="BA374" s="34"/>
      <c r="BB374" s="34"/>
      <c r="BC374" s="34"/>
      <c r="BD374" s="34">
        <v>4.2280816189998321E-2</v>
      </c>
      <c r="BE374" s="34"/>
      <c r="BF374" s="34"/>
      <c r="BG374" s="34">
        <v>1.4354295590120979E-2</v>
      </c>
      <c r="BH374" s="35">
        <v>267.43630484473437</v>
      </c>
      <c r="BI374" s="34">
        <v>0.60356821096058422</v>
      </c>
      <c r="BJ374" s="34">
        <v>1.5624201371466802</v>
      </c>
      <c r="BK374" s="34"/>
      <c r="BL374" s="72">
        <v>1.0372693315493116</v>
      </c>
      <c r="BM374" s="34">
        <v>0.28348554572617274</v>
      </c>
      <c r="BN374" s="34">
        <v>0.67325394436081842</v>
      </c>
      <c r="BO374" s="34"/>
      <c r="BP374" s="34">
        <v>6.2119417962870044E-2</v>
      </c>
      <c r="BQ374" s="37"/>
      <c r="BR374" s="37"/>
      <c r="BS374" s="37"/>
      <c r="BT374" s="37"/>
      <c r="BU374" s="37">
        <v>0.25815426213971121</v>
      </c>
      <c r="BV374" s="37">
        <v>3.7946418018620733E-2</v>
      </c>
      <c r="BW374" s="34">
        <v>0.19571823604839161</v>
      </c>
      <c r="BX374" s="34">
        <v>2.3786419133634384E-2</v>
      </c>
      <c r="BY374" s="36"/>
      <c r="BZ374" s="72">
        <v>1.0327379160394714</v>
      </c>
      <c r="CA374" s="72">
        <v>2.4642861125048778</v>
      </c>
      <c r="CB374" s="36"/>
      <c r="CC374" s="36"/>
      <c r="CD374" s="36"/>
      <c r="CE374" s="34">
        <v>7.1043429782014833E-2</v>
      </c>
      <c r="CF374" s="34">
        <v>0.19113424764453363</v>
      </c>
    </row>
    <row r="375" spans="1:98" x14ac:dyDescent="0.2">
      <c r="A375" s="258"/>
      <c r="B375" s="255"/>
      <c r="C375" s="255"/>
      <c r="D375" s="255"/>
      <c r="E375" s="31"/>
      <c r="F375" s="30"/>
      <c r="I375" s="30"/>
      <c r="J375" s="30"/>
      <c r="L375" s="30"/>
      <c r="M375" s="32"/>
      <c r="N375" s="30"/>
      <c r="O375" s="60"/>
      <c r="T375" s="38" t="e">
        <f t="shared" si="9"/>
        <v>#DIV/0!</v>
      </c>
      <c r="Z375" s="31"/>
      <c r="AD375" s="31"/>
    </row>
    <row r="376" spans="1:98" x14ac:dyDescent="0.2">
      <c r="A376" s="333" t="s">
        <v>762</v>
      </c>
      <c r="B376" s="255"/>
      <c r="C376" s="255"/>
      <c r="D376" s="50" t="s">
        <v>1282</v>
      </c>
      <c r="E376" s="41" t="s">
        <v>1288</v>
      </c>
      <c r="F376" s="34">
        <v>99.71</v>
      </c>
      <c r="H376" s="30">
        <v>44.1</v>
      </c>
      <c r="I376" s="30">
        <v>0.13</v>
      </c>
      <c r="J376" s="30">
        <v>29.9</v>
      </c>
      <c r="K376" s="32">
        <v>0.08</v>
      </c>
      <c r="L376" s="30">
        <v>3.17</v>
      </c>
      <c r="M376" s="32">
        <v>0.05</v>
      </c>
      <c r="N376" s="30">
        <v>5.08</v>
      </c>
      <c r="O376" s="12">
        <v>16.8</v>
      </c>
      <c r="P376" s="32">
        <v>0.34</v>
      </c>
      <c r="Q376" s="32">
        <v>0.01</v>
      </c>
      <c r="R376" s="32">
        <v>0.05</v>
      </c>
      <c r="T376" s="38">
        <f t="shared" si="9"/>
        <v>74.070843170136968</v>
      </c>
      <c r="Z376" s="31"/>
      <c r="AD376" s="31"/>
      <c r="AI376" s="30">
        <v>5.3</v>
      </c>
      <c r="AJ376" s="31">
        <v>373</v>
      </c>
      <c r="AL376" s="33">
        <v>10.5</v>
      </c>
      <c r="AM376" s="31">
        <v>70</v>
      </c>
      <c r="AU376" s="31">
        <v>590</v>
      </c>
      <c r="AW376" s="31">
        <v>43</v>
      </c>
      <c r="BH376" s="31">
        <v>330</v>
      </c>
      <c r="BI376" s="30">
        <v>0.67</v>
      </c>
      <c r="BJ376">
        <v>1.6</v>
      </c>
      <c r="BK376">
        <v>1</v>
      </c>
      <c r="BM376" s="30">
        <v>0.35</v>
      </c>
      <c r="BN376" s="30">
        <v>0.88</v>
      </c>
      <c r="BP376" s="30">
        <v>7.0000000000000007E-2</v>
      </c>
      <c r="BU376">
        <v>0.19</v>
      </c>
      <c r="BV376" s="32">
        <v>3.3000000000000002E-2</v>
      </c>
      <c r="BW376" s="30">
        <v>0.55000000000000004</v>
      </c>
      <c r="BX376" s="30">
        <v>0.32</v>
      </c>
      <c r="BZ376" s="33">
        <v>6.3</v>
      </c>
      <c r="CA376" s="33">
        <v>12</v>
      </c>
      <c r="CE376" s="30">
        <v>0.32</v>
      </c>
      <c r="CF376" s="30">
        <v>0.2</v>
      </c>
      <c r="CQ376" s="29">
        <v>4.1009463722397478E-2</v>
      </c>
      <c r="CR376" s="30">
        <v>1.6025236593059937</v>
      </c>
      <c r="CS376" s="29">
        <v>1.577287066246057E-2</v>
      </c>
      <c r="CT376" s="29">
        <v>0.56187290969899673</v>
      </c>
    </row>
    <row r="377" spans="1:98" x14ac:dyDescent="0.2">
      <c r="A377" s="333"/>
      <c r="B377" s="255"/>
      <c r="C377" s="255"/>
      <c r="D377" s="50"/>
      <c r="E377" s="31"/>
      <c r="F377" s="30"/>
      <c r="I377" s="30"/>
      <c r="J377" s="30"/>
      <c r="K377" s="49">
        <v>5.4517679999999999E-2</v>
      </c>
      <c r="L377" s="30"/>
      <c r="M377" s="32"/>
      <c r="N377" s="30"/>
      <c r="O377" s="12"/>
      <c r="T377" s="38" t="e">
        <f t="shared" si="9"/>
        <v>#DIV/0!</v>
      </c>
      <c r="Z377" s="31"/>
      <c r="AD377" s="31"/>
    </row>
    <row r="378" spans="1:98" x14ac:dyDescent="0.2">
      <c r="A378" s="333"/>
      <c r="B378" s="255"/>
      <c r="C378" s="255"/>
      <c r="D378" s="50"/>
      <c r="E378" s="31"/>
      <c r="F378" s="30"/>
      <c r="I378" s="30"/>
      <c r="J378" s="30"/>
      <c r="L378" s="30"/>
      <c r="M378" s="32"/>
      <c r="N378" s="30"/>
      <c r="O378" s="12"/>
      <c r="T378" s="38" t="e">
        <f t="shared" si="9"/>
        <v>#DIV/0!</v>
      </c>
      <c r="Z378" s="31"/>
      <c r="AD378" s="31"/>
    </row>
    <row r="379" spans="1:98" x14ac:dyDescent="0.2">
      <c r="A379" s="333" t="s">
        <v>762</v>
      </c>
      <c r="B379" s="255"/>
      <c r="C379" s="255"/>
      <c r="D379" s="255"/>
      <c r="E379" s="31"/>
      <c r="F379" s="30"/>
      <c r="I379" s="30"/>
      <c r="J379" s="30"/>
      <c r="L379" s="30"/>
      <c r="M379" s="32"/>
      <c r="N379" s="30"/>
      <c r="O379" s="12"/>
      <c r="T379" s="38" t="e">
        <f t="shared" si="9"/>
        <v>#DIV/0!</v>
      </c>
      <c r="Z379" s="31"/>
      <c r="AD379" s="31"/>
    </row>
    <row r="380" spans="1:98" x14ac:dyDescent="0.2">
      <c r="A380" s="333" t="s">
        <v>762</v>
      </c>
      <c r="B380" s="255"/>
      <c r="C380" s="255"/>
      <c r="D380" s="255"/>
      <c r="E380" s="31"/>
      <c r="F380" s="30"/>
      <c r="I380" s="30"/>
      <c r="J380" s="30"/>
      <c r="L380" s="30"/>
      <c r="M380" s="32"/>
      <c r="N380" s="30"/>
      <c r="O380" s="12"/>
      <c r="T380" s="38" t="e">
        <f t="shared" si="9"/>
        <v>#DIV/0!</v>
      </c>
      <c r="Z380" s="31"/>
      <c r="AD380" s="31"/>
      <c r="BZ380" s="405">
        <v>1.1000000000000001</v>
      </c>
    </row>
    <row r="381" spans="1:98" x14ac:dyDescent="0.2">
      <c r="A381" s="566" t="s">
        <v>762</v>
      </c>
      <c r="B381" s="255"/>
      <c r="C381" s="255"/>
      <c r="D381" s="255"/>
      <c r="E381" s="31"/>
      <c r="F381" s="30"/>
      <c r="H381" s="34">
        <v>44.1</v>
      </c>
      <c r="I381" s="34">
        <v>0.13</v>
      </c>
      <c r="J381" s="34">
        <v>29.9</v>
      </c>
      <c r="K381" s="37">
        <v>6.725884E-2</v>
      </c>
      <c r="L381" s="34">
        <v>3.17</v>
      </c>
      <c r="M381" s="37">
        <v>0.05</v>
      </c>
      <c r="N381" s="34">
        <v>5.08</v>
      </c>
      <c r="O381" s="123">
        <v>16.8</v>
      </c>
      <c r="P381" s="37">
        <v>0.34</v>
      </c>
      <c r="Q381" s="37">
        <v>0.01</v>
      </c>
      <c r="R381" s="37">
        <v>0.05</v>
      </c>
      <c r="S381" s="37"/>
      <c r="T381" s="38">
        <f t="shared" si="9"/>
        <v>74.070843170136968</v>
      </c>
      <c r="U381" s="37"/>
      <c r="W381" s="36"/>
      <c r="X381" s="36"/>
      <c r="Y381" s="36"/>
      <c r="Z381" s="8">
        <v>387.25</v>
      </c>
      <c r="AA381" s="36"/>
      <c r="AB381" s="36"/>
      <c r="AC381" s="36"/>
      <c r="AD381" s="31">
        <v>83.01</v>
      </c>
      <c r="AE381" s="36"/>
      <c r="AF381" s="36"/>
      <c r="AG381" s="36"/>
      <c r="AH381" s="36"/>
      <c r="AI381" s="34">
        <v>5.3</v>
      </c>
      <c r="AJ381" s="35">
        <v>373</v>
      </c>
      <c r="AK381" s="36"/>
      <c r="AL381" s="72">
        <v>10.5</v>
      </c>
      <c r="AM381" s="35">
        <v>70</v>
      </c>
      <c r="AN381" s="35" t="e">
        <v>#DIV/0!</v>
      </c>
      <c r="AO381" s="72"/>
      <c r="AP381" s="36"/>
      <c r="AQ381" s="34" t="e">
        <v>#DIV/0!</v>
      </c>
      <c r="AR381" s="34"/>
      <c r="AS381" s="34"/>
      <c r="AT381" s="35" t="e">
        <v>#DIV/0!</v>
      </c>
      <c r="AU381" s="35">
        <v>590</v>
      </c>
      <c r="AV381" s="36"/>
      <c r="AW381" s="35">
        <v>43</v>
      </c>
      <c r="AX381" s="34"/>
      <c r="AY381" s="34"/>
      <c r="AZ381" s="34"/>
      <c r="BA381" s="34"/>
      <c r="BB381" s="34"/>
      <c r="BC381" s="34"/>
      <c r="BD381" s="34" t="e">
        <v>#DIV/0!</v>
      </c>
      <c r="BE381" s="34"/>
      <c r="BF381" s="34"/>
      <c r="BG381" s="34" t="e">
        <v>#DIV/0!</v>
      </c>
      <c r="BH381" s="35">
        <v>330</v>
      </c>
      <c r="BI381" s="34">
        <v>0.67</v>
      </c>
      <c r="BJ381" s="34">
        <v>1.6</v>
      </c>
      <c r="BK381" s="34"/>
      <c r="BL381" s="72" t="e">
        <v>#DIV/0!</v>
      </c>
      <c r="BM381" s="34">
        <v>0.35</v>
      </c>
      <c r="BN381" s="34">
        <v>0.88</v>
      </c>
      <c r="BO381" s="34"/>
      <c r="BP381" s="34">
        <v>7.0000000000000007E-2</v>
      </c>
      <c r="BQ381" s="37"/>
      <c r="BR381" s="37"/>
      <c r="BS381" s="37"/>
      <c r="BT381" s="37"/>
      <c r="BU381" s="37">
        <v>0.19</v>
      </c>
      <c r="BV381" s="37">
        <v>3.3000000000000002E-2</v>
      </c>
      <c r="BW381" s="34">
        <v>0.55000000000000004</v>
      </c>
      <c r="BX381" s="34">
        <v>0.32</v>
      </c>
      <c r="BY381" s="36"/>
      <c r="BZ381" s="72">
        <v>3.7</v>
      </c>
      <c r="CA381" s="72">
        <v>12</v>
      </c>
      <c r="CB381" s="36"/>
      <c r="CC381" s="36"/>
      <c r="CD381" s="36"/>
      <c r="CE381" s="34">
        <v>0.32</v>
      </c>
      <c r="CF381" s="34">
        <v>0.2</v>
      </c>
    </row>
    <row r="382" spans="1:98" x14ac:dyDescent="0.2">
      <c r="A382" s="258"/>
      <c r="B382" s="255"/>
      <c r="C382" s="255"/>
      <c r="D382" s="255"/>
      <c r="E382" s="31"/>
      <c r="F382" s="30"/>
      <c r="I382" s="30"/>
      <c r="J382" s="30"/>
      <c r="L382" s="30"/>
      <c r="M382" s="32"/>
      <c r="N382" s="30"/>
      <c r="O382" s="12"/>
      <c r="T382" s="38" t="e">
        <f t="shared" si="9"/>
        <v>#DIV/0!</v>
      </c>
      <c r="Z382" s="31"/>
      <c r="AD382" s="31"/>
    </row>
    <row r="383" spans="1:98" x14ac:dyDescent="0.2">
      <c r="A383" s="567" t="s">
        <v>763</v>
      </c>
      <c r="B383" s="255"/>
      <c r="C383" s="255"/>
      <c r="D383" s="50" t="s">
        <v>1282</v>
      </c>
      <c r="E383" s="41" t="s">
        <v>1288</v>
      </c>
      <c r="F383" s="34">
        <v>98.97</v>
      </c>
      <c r="H383" s="440">
        <v>43.7</v>
      </c>
      <c r="I383" s="38">
        <v>0.17</v>
      </c>
      <c r="J383" s="38">
        <v>27.6</v>
      </c>
      <c r="K383" s="49">
        <v>0.09</v>
      </c>
      <c r="L383" s="38">
        <v>4.13</v>
      </c>
      <c r="M383" s="49">
        <v>0.06</v>
      </c>
      <c r="N383" s="38">
        <v>6.9</v>
      </c>
      <c r="O383" s="248">
        <v>15.9</v>
      </c>
      <c r="P383" s="49">
        <v>0.35</v>
      </c>
      <c r="Q383" s="49">
        <v>0.02</v>
      </c>
      <c r="R383" s="49">
        <v>0.05</v>
      </c>
      <c r="S383" s="38"/>
      <c r="T383" s="38">
        <f t="shared" si="9"/>
        <v>74.862987058212582</v>
      </c>
      <c r="U383" s="38"/>
      <c r="AI383" s="30">
        <v>6.5</v>
      </c>
      <c r="AJ383" s="31">
        <v>525</v>
      </c>
      <c r="AL383" s="33">
        <v>14.8</v>
      </c>
      <c r="AM383" s="31">
        <v>120</v>
      </c>
      <c r="AU383" s="31">
        <v>380</v>
      </c>
      <c r="AW383" s="31">
        <v>38</v>
      </c>
      <c r="BH383" s="31">
        <v>110</v>
      </c>
      <c r="BI383" s="30">
        <v>0.91</v>
      </c>
      <c r="BJ383">
        <v>2.1</v>
      </c>
      <c r="BL383" s="33">
        <v>1.3</v>
      </c>
      <c r="BM383" s="30">
        <v>0.42</v>
      </c>
      <c r="BN383" s="30">
        <v>0.96</v>
      </c>
      <c r="BP383" s="30">
        <v>0.11</v>
      </c>
      <c r="BU383">
        <v>0.42</v>
      </c>
      <c r="BV383" s="32">
        <v>7.3999999999999996E-2</v>
      </c>
      <c r="BW383" s="30">
        <v>0.3</v>
      </c>
      <c r="BZ383" s="33">
        <v>11.9</v>
      </c>
      <c r="CA383" s="33">
        <v>2</v>
      </c>
      <c r="CE383" s="30">
        <v>0.46</v>
      </c>
      <c r="CF383" s="30">
        <v>0.66</v>
      </c>
      <c r="CQ383" s="29">
        <v>4.1162227602905575E-2</v>
      </c>
      <c r="CR383" s="30">
        <v>1.6707021791767556</v>
      </c>
      <c r="CS383" s="29">
        <v>1.4527845036319613E-2</v>
      </c>
      <c r="CT383" s="29">
        <v>0.57608695652173914</v>
      </c>
    </row>
    <row r="384" spans="1:98" x14ac:dyDescent="0.2">
      <c r="A384" s="257"/>
      <c r="B384" s="255"/>
      <c r="C384" s="255"/>
      <c r="D384" s="255"/>
      <c r="E384" s="31"/>
      <c r="F384" s="30"/>
      <c r="H384" s="440"/>
      <c r="I384" s="38"/>
      <c r="J384" s="38"/>
      <c r="K384" s="49">
        <v>7.6733999999999997E-2</v>
      </c>
      <c r="L384" s="38"/>
      <c r="M384" s="49"/>
      <c r="N384" s="38"/>
      <c r="O384" s="248"/>
      <c r="P384" s="49"/>
      <c r="Q384" s="49"/>
      <c r="R384" s="49"/>
      <c r="S384" s="38"/>
      <c r="T384" s="38" t="e">
        <f t="shared" si="9"/>
        <v>#DIV/0!</v>
      </c>
      <c r="U384" s="38"/>
    </row>
    <row r="385" spans="1:98" x14ac:dyDescent="0.2">
      <c r="A385" s="257"/>
      <c r="B385" s="255"/>
      <c r="C385" s="255"/>
      <c r="D385" s="255"/>
      <c r="E385" s="31"/>
      <c r="F385" s="30"/>
      <c r="H385" s="440"/>
      <c r="I385" s="38"/>
      <c r="J385" s="38"/>
      <c r="K385" s="49"/>
      <c r="L385" s="38"/>
      <c r="M385" s="49"/>
      <c r="N385" s="38"/>
      <c r="O385" s="248"/>
      <c r="P385" s="49"/>
      <c r="Q385" s="49"/>
      <c r="R385" s="49"/>
      <c r="S385" s="38"/>
      <c r="T385" s="38" t="e">
        <f t="shared" si="9"/>
        <v>#DIV/0!</v>
      </c>
      <c r="U385" s="38"/>
    </row>
    <row r="386" spans="1:98" x14ac:dyDescent="0.2">
      <c r="A386" s="335" t="s">
        <v>763</v>
      </c>
      <c r="B386" s="255"/>
      <c r="C386" s="255"/>
      <c r="D386" s="255"/>
      <c r="E386" s="31"/>
      <c r="F386" s="30"/>
      <c r="O386" s="12"/>
      <c r="T386" s="38" t="e">
        <f t="shared" si="9"/>
        <v>#DIV/0!</v>
      </c>
    </row>
    <row r="387" spans="1:98" x14ac:dyDescent="0.2">
      <c r="A387" s="335" t="s">
        <v>763</v>
      </c>
      <c r="B387" s="255"/>
      <c r="C387" s="255"/>
      <c r="D387" s="255"/>
      <c r="E387" s="31"/>
      <c r="F387" s="30"/>
      <c r="H387" s="440"/>
      <c r="K387" s="3"/>
      <c r="O387" s="12"/>
      <c r="P387" s="3"/>
      <c r="Q387" s="3"/>
      <c r="R387" s="3"/>
      <c r="S387" s="6"/>
      <c r="T387" s="38" t="e">
        <f t="shared" ref="T387:T450" si="10">100*(N387/40.304)/(N387/40.304+L387/71.846)</f>
        <v>#DIV/0!</v>
      </c>
      <c r="U387" s="6"/>
      <c r="BZ387" s="405">
        <v>1.1000000000000001</v>
      </c>
    </row>
    <row r="388" spans="1:98" x14ac:dyDescent="0.2">
      <c r="A388" s="567" t="s">
        <v>763</v>
      </c>
      <c r="B388" s="255"/>
      <c r="C388" s="255"/>
      <c r="D388" s="255"/>
      <c r="E388" s="31"/>
      <c r="F388" s="34">
        <v>98.963366999999991</v>
      </c>
      <c r="H388" s="34">
        <v>43.7</v>
      </c>
      <c r="I388" s="34">
        <v>0.17</v>
      </c>
      <c r="J388" s="34">
        <v>27.6</v>
      </c>
      <c r="K388" s="37">
        <v>8.3366999999999997E-2</v>
      </c>
      <c r="L388" s="34">
        <v>4.13</v>
      </c>
      <c r="M388" s="37">
        <v>0.06</v>
      </c>
      <c r="N388" s="34">
        <v>6.9</v>
      </c>
      <c r="O388" s="123">
        <v>15.9</v>
      </c>
      <c r="P388" s="37">
        <v>0.35</v>
      </c>
      <c r="Q388" s="37">
        <v>0.02</v>
      </c>
      <c r="R388" s="37">
        <v>0.05</v>
      </c>
      <c r="S388" s="37"/>
      <c r="T388" s="38">
        <f t="shared" si="10"/>
        <v>74.862987058212582</v>
      </c>
      <c r="U388" s="37"/>
      <c r="W388" s="36"/>
      <c r="X388" s="36"/>
      <c r="Y388" s="36"/>
      <c r="Z388" s="8">
        <v>464.7</v>
      </c>
      <c r="AA388" s="36"/>
      <c r="AB388" s="36"/>
      <c r="AC388" s="36"/>
      <c r="AD388" s="31">
        <v>166.02</v>
      </c>
      <c r="AE388" s="36"/>
      <c r="AF388" s="36"/>
      <c r="AG388" s="36"/>
      <c r="AH388" s="36"/>
      <c r="AI388" s="34">
        <v>6.5</v>
      </c>
      <c r="AJ388" s="35">
        <v>525</v>
      </c>
      <c r="AK388" s="36"/>
      <c r="AL388" s="72">
        <v>14.8</v>
      </c>
      <c r="AM388" s="35">
        <v>120</v>
      </c>
      <c r="AN388" s="35" t="e">
        <v>#DIV/0!</v>
      </c>
      <c r="AO388" s="72"/>
      <c r="AP388" s="36"/>
      <c r="AQ388" s="34" t="e">
        <v>#DIV/0!</v>
      </c>
      <c r="AR388" s="34"/>
      <c r="AS388" s="34"/>
      <c r="AT388" s="35" t="e">
        <v>#DIV/0!</v>
      </c>
      <c r="AU388" s="35">
        <v>380</v>
      </c>
      <c r="AV388" s="36"/>
      <c r="AW388" s="35">
        <v>38</v>
      </c>
      <c r="AX388" s="34"/>
      <c r="AY388" s="34"/>
      <c r="AZ388" s="34"/>
      <c r="BA388" s="34"/>
      <c r="BB388" s="34"/>
      <c r="BC388" s="34"/>
      <c r="BD388" s="34" t="e">
        <v>#DIV/0!</v>
      </c>
      <c r="BE388" s="34"/>
      <c r="BF388" s="34"/>
      <c r="BG388" s="34" t="e">
        <v>#DIV/0!</v>
      </c>
      <c r="BH388" s="35">
        <v>110</v>
      </c>
      <c r="BI388" s="34">
        <v>0.91</v>
      </c>
      <c r="BJ388" s="34">
        <v>2.1</v>
      </c>
      <c r="BK388" s="34"/>
      <c r="BL388" s="72">
        <v>1.3</v>
      </c>
      <c r="BM388" s="34">
        <v>0.42</v>
      </c>
      <c r="BN388" s="34">
        <v>0.96</v>
      </c>
      <c r="BO388" s="34"/>
      <c r="BP388" s="34">
        <v>0.11</v>
      </c>
      <c r="BQ388" s="37"/>
      <c r="BR388" s="37"/>
      <c r="BS388" s="37"/>
      <c r="BT388" s="37"/>
      <c r="BU388" s="37">
        <v>0.42</v>
      </c>
      <c r="BV388" s="37">
        <v>7.3999999999999996E-2</v>
      </c>
      <c r="BW388" s="34">
        <v>0.3</v>
      </c>
      <c r="BX388" s="34" t="e">
        <v>#DIV/0!</v>
      </c>
      <c r="BY388" s="36"/>
      <c r="BZ388" s="72">
        <v>6.5</v>
      </c>
      <c r="CA388" s="72">
        <v>2</v>
      </c>
      <c r="CB388" s="36"/>
      <c r="CC388" s="36"/>
      <c r="CD388" s="36"/>
      <c r="CE388" s="34">
        <v>0.46</v>
      </c>
      <c r="CF388" s="34">
        <v>0.66</v>
      </c>
    </row>
    <row r="389" spans="1:98" x14ac:dyDescent="0.2">
      <c r="A389" s="258"/>
      <c r="B389" s="255"/>
      <c r="C389" s="255"/>
      <c r="D389" s="255"/>
      <c r="E389" s="31"/>
      <c r="F389" s="30"/>
      <c r="I389" s="30"/>
      <c r="J389" s="30"/>
      <c r="L389" s="30"/>
      <c r="M389" s="32"/>
      <c r="N389" s="30"/>
      <c r="O389" s="12"/>
      <c r="T389" s="38" t="e">
        <f t="shared" si="10"/>
        <v>#DIV/0!</v>
      </c>
      <c r="Z389" s="31"/>
      <c r="AD389" s="31"/>
    </row>
    <row r="390" spans="1:98" x14ac:dyDescent="0.2">
      <c r="A390" s="333" t="s">
        <v>764</v>
      </c>
      <c r="B390" s="255"/>
      <c r="C390" s="255"/>
      <c r="D390" s="50" t="s">
        <v>1282</v>
      </c>
      <c r="E390" s="41" t="s">
        <v>1288</v>
      </c>
      <c r="F390" s="30"/>
      <c r="H390" s="38">
        <v>43.4</v>
      </c>
      <c r="I390" s="6">
        <v>0.14000000000000001</v>
      </c>
      <c r="J390" s="6">
        <v>28.2</v>
      </c>
      <c r="K390" s="3">
        <v>0.08</v>
      </c>
      <c r="L390" s="6">
        <v>3.52</v>
      </c>
      <c r="M390" s="3">
        <v>0.06</v>
      </c>
      <c r="N390" s="6">
        <v>6.55</v>
      </c>
      <c r="O390" s="12">
        <v>16.100000000000001</v>
      </c>
      <c r="P390" s="3">
        <v>0.36</v>
      </c>
      <c r="Q390" s="3">
        <v>0.02</v>
      </c>
      <c r="R390" s="3">
        <v>0.06</v>
      </c>
      <c r="S390" s="6"/>
      <c r="T390" s="38">
        <f t="shared" si="10"/>
        <v>76.836077402953961</v>
      </c>
      <c r="U390" s="6"/>
      <c r="AI390" s="30">
        <v>5.9</v>
      </c>
      <c r="AJ390" s="31">
        <v>480</v>
      </c>
      <c r="AL390" s="33">
        <v>14.9</v>
      </c>
      <c r="AM390" s="31">
        <v>100</v>
      </c>
      <c r="AU390" s="31">
        <v>1000</v>
      </c>
      <c r="AW390" s="31">
        <v>17</v>
      </c>
      <c r="BH390" s="31">
        <v>440</v>
      </c>
      <c r="BI390" s="30">
        <v>0.51</v>
      </c>
      <c r="BJ390">
        <v>1.5</v>
      </c>
      <c r="BL390" s="33">
        <v>1.4</v>
      </c>
      <c r="BM390" s="30">
        <v>0.52</v>
      </c>
      <c r="BN390" s="415">
        <v>1.4</v>
      </c>
      <c r="BP390" s="30">
        <v>0.11</v>
      </c>
      <c r="BU390">
        <v>0.31</v>
      </c>
      <c r="BV390" s="32">
        <v>4.9000000000000002E-2</v>
      </c>
      <c r="BW390" s="30">
        <v>0.19</v>
      </c>
      <c r="BZ390" s="33">
        <v>5.7</v>
      </c>
      <c r="CA390" s="33">
        <v>11</v>
      </c>
      <c r="CE390" s="30">
        <v>0.38</v>
      </c>
      <c r="CF390" s="30">
        <v>0.78</v>
      </c>
      <c r="CQ390" s="29">
        <v>3.9772727272727279E-2</v>
      </c>
      <c r="CR390" s="30">
        <v>1.8607954545454546</v>
      </c>
      <c r="CS390" s="29">
        <v>1.7045454545454544E-2</v>
      </c>
      <c r="CT390" s="29">
        <v>0.57092198581560294</v>
      </c>
    </row>
    <row r="391" spans="1:98" x14ac:dyDescent="0.2">
      <c r="A391" s="333"/>
      <c r="B391" s="255"/>
      <c r="C391" s="255"/>
      <c r="D391" s="50"/>
      <c r="E391" s="31"/>
      <c r="F391" s="30"/>
      <c r="H391" s="38"/>
      <c r="K391" s="49">
        <v>7.0156800000000005E-2</v>
      </c>
      <c r="O391" s="12"/>
      <c r="P391" s="3"/>
      <c r="Q391" s="3"/>
      <c r="R391" s="3"/>
      <c r="S391" s="6"/>
      <c r="T391" s="38" t="e">
        <f t="shared" si="10"/>
        <v>#DIV/0!</v>
      </c>
      <c r="U391" s="6"/>
    </row>
    <row r="392" spans="1:98" x14ac:dyDescent="0.2">
      <c r="A392" s="333"/>
      <c r="B392" s="255"/>
      <c r="C392" s="255"/>
      <c r="D392" s="50"/>
      <c r="E392" s="31"/>
      <c r="F392" s="30"/>
      <c r="H392" s="38"/>
      <c r="K392" s="3"/>
      <c r="O392" s="12"/>
      <c r="P392" s="3"/>
      <c r="Q392" s="3"/>
      <c r="R392" s="3"/>
      <c r="S392" s="6"/>
      <c r="T392" s="38" t="e">
        <f t="shared" si="10"/>
        <v>#DIV/0!</v>
      </c>
      <c r="U392" s="6"/>
    </row>
    <row r="393" spans="1:98" x14ac:dyDescent="0.2">
      <c r="A393" s="333" t="s">
        <v>764</v>
      </c>
      <c r="B393" s="255"/>
      <c r="C393" s="255"/>
      <c r="D393" s="255"/>
      <c r="E393" s="31"/>
      <c r="F393" s="30"/>
      <c r="I393" s="30"/>
      <c r="J393" s="30"/>
      <c r="L393" s="30"/>
      <c r="M393" s="32"/>
      <c r="N393" s="30"/>
      <c r="O393" s="12"/>
      <c r="T393" s="38" t="e">
        <f t="shared" si="10"/>
        <v>#DIV/0!</v>
      </c>
      <c r="Z393" s="31"/>
      <c r="AD393" s="31"/>
    </row>
    <row r="394" spans="1:98" x14ac:dyDescent="0.2">
      <c r="A394" s="333" t="s">
        <v>764</v>
      </c>
      <c r="B394" s="255"/>
      <c r="C394" s="255"/>
      <c r="D394" s="255"/>
      <c r="E394" s="31"/>
      <c r="F394" s="30"/>
      <c r="I394" s="30"/>
      <c r="J394" s="30"/>
      <c r="L394" s="30"/>
      <c r="M394" s="32"/>
      <c r="N394" s="30"/>
      <c r="O394" s="12"/>
      <c r="T394" s="38" t="e">
        <f t="shared" si="10"/>
        <v>#DIV/0!</v>
      </c>
      <c r="Z394" s="31"/>
      <c r="AD394" s="31"/>
      <c r="BZ394" s="405">
        <v>1.1000000000000001</v>
      </c>
    </row>
    <row r="395" spans="1:98" x14ac:dyDescent="0.2">
      <c r="A395" s="566" t="s">
        <v>764</v>
      </c>
      <c r="B395" s="255"/>
      <c r="C395" s="255"/>
      <c r="D395" s="255"/>
      <c r="E395" s="31"/>
      <c r="F395" s="34">
        <v>98.485078399999992</v>
      </c>
      <c r="H395" s="34">
        <v>43.4</v>
      </c>
      <c r="I395" s="34">
        <v>0.14000000000000001</v>
      </c>
      <c r="J395" s="34">
        <v>28.2</v>
      </c>
      <c r="K395" s="37">
        <v>7.5078400000000003E-2</v>
      </c>
      <c r="L395" s="34">
        <v>3.52</v>
      </c>
      <c r="M395" s="37">
        <v>0.06</v>
      </c>
      <c r="N395" s="34">
        <v>6.55</v>
      </c>
      <c r="O395" s="123">
        <v>16.100000000000001</v>
      </c>
      <c r="P395" s="37">
        <v>0.36</v>
      </c>
      <c r="Q395" s="37">
        <v>0.02</v>
      </c>
      <c r="R395" s="37">
        <v>0.06</v>
      </c>
      <c r="S395" s="37"/>
      <c r="T395" s="38">
        <f t="shared" si="10"/>
        <v>76.836077402953961</v>
      </c>
      <c r="U395" s="37"/>
      <c r="W395" s="36"/>
      <c r="X395" s="36"/>
      <c r="Y395" s="36"/>
      <c r="Z395" s="8">
        <v>464.7</v>
      </c>
      <c r="AA395" s="36"/>
      <c r="AB395" s="36"/>
      <c r="AC395" s="36"/>
      <c r="AD395" s="31">
        <v>166.02</v>
      </c>
      <c r="AE395" s="36"/>
      <c r="AF395" s="36"/>
      <c r="AG395" s="36"/>
      <c r="AH395" s="36"/>
      <c r="AI395" s="34">
        <v>5.9</v>
      </c>
      <c r="AJ395" s="35">
        <v>480</v>
      </c>
      <c r="AK395" s="36"/>
      <c r="AL395" s="72">
        <v>14.9</v>
      </c>
      <c r="AM395" s="35">
        <v>100</v>
      </c>
      <c r="AN395" s="35" t="e">
        <v>#DIV/0!</v>
      </c>
      <c r="AO395" s="72"/>
      <c r="AP395" s="36"/>
      <c r="AQ395" s="34" t="e">
        <v>#DIV/0!</v>
      </c>
      <c r="AR395" s="34"/>
      <c r="AS395" s="34"/>
      <c r="AT395" s="35" t="e">
        <v>#DIV/0!</v>
      </c>
      <c r="AU395" s="35">
        <v>1000</v>
      </c>
      <c r="AV395" s="36"/>
      <c r="AW395" s="35">
        <v>17</v>
      </c>
      <c r="AX395" s="34"/>
      <c r="AY395" s="34"/>
      <c r="AZ395" s="34"/>
      <c r="BA395" s="34"/>
      <c r="BB395" s="34"/>
      <c r="BC395" s="34"/>
      <c r="BD395" s="34" t="e">
        <v>#DIV/0!</v>
      </c>
      <c r="BE395" s="34"/>
      <c r="BF395" s="34"/>
      <c r="BG395" s="34" t="e">
        <v>#DIV/0!</v>
      </c>
      <c r="BH395" s="35">
        <v>440</v>
      </c>
      <c r="BI395" s="34">
        <v>0.51</v>
      </c>
      <c r="BJ395" s="34">
        <v>1.5</v>
      </c>
      <c r="BK395" s="34"/>
      <c r="BL395" s="72">
        <v>1.4</v>
      </c>
      <c r="BM395" s="34">
        <v>0.52</v>
      </c>
      <c r="BN395" s="34">
        <v>1.4</v>
      </c>
      <c r="BO395" s="34"/>
      <c r="BP395" s="34">
        <v>0.11</v>
      </c>
      <c r="BQ395" s="37"/>
      <c r="BR395" s="37"/>
      <c r="BS395" s="37"/>
      <c r="BT395" s="37"/>
      <c r="BU395" s="37">
        <v>0.31</v>
      </c>
      <c r="BV395" s="37">
        <v>4.9000000000000002E-2</v>
      </c>
      <c r="BW395" s="34">
        <v>0.19</v>
      </c>
      <c r="BX395" s="34" t="e">
        <v>#DIV/0!</v>
      </c>
      <c r="BY395" s="36"/>
      <c r="BZ395" s="72">
        <v>3.4000000000000004</v>
      </c>
      <c r="CA395" s="72">
        <v>11</v>
      </c>
      <c r="CB395" s="36"/>
      <c r="CC395" s="36"/>
      <c r="CD395" s="36"/>
      <c r="CE395" s="34">
        <v>0.38</v>
      </c>
      <c r="CF395" s="34">
        <v>0.78</v>
      </c>
    </row>
    <row r="396" spans="1:98" x14ac:dyDescent="0.2">
      <c r="A396" s="258"/>
      <c r="B396" s="255"/>
      <c r="C396" s="255"/>
      <c r="D396" s="255"/>
      <c r="E396" s="31"/>
      <c r="F396" s="30"/>
      <c r="I396" s="30"/>
      <c r="J396" s="30"/>
      <c r="L396" s="30"/>
      <c r="M396" s="32"/>
      <c r="N396" s="30"/>
      <c r="O396" s="60"/>
      <c r="T396" s="38" t="e">
        <f t="shared" si="10"/>
        <v>#DIV/0!</v>
      </c>
      <c r="Z396" s="31"/>
      <c r="AD396" s="31"/>
    </row>
    <row r="397" spans="1:98" x14ac:dyDescent="0.2">
      <c r="A397" s="335" t="s">
        <v>858</v>
      </c>
      <c r="B397" s="255"/>
      <c r="C397" s="255"/>
      <c r="D397" s="255"/>
      <c r="E397" s="31"/>
      <c r="F397" s="30"/>
      <c r="I397" s="30"/>
      <c r="J397" s="30"/>
      <c r="L397" s="30"/>
      <c r="M397" s="32"/>
      <c r="N397" s="30"/>
      <c r="O397" s="60"/>
      <c r="T397" s="38" t="e">
        <f t="shared" si="10"/>
        <v>#DIV/0!</v>
      </c>
      <c r="Z397" s="31"/>
      <c r="AD397" s="31"/>
    </row>
    <row r="398" spans="1:98" x14ac:dyDescent="0.2">
      <c r="A398" s="335" t="s">
        <v>858</v>
      </c>
      <c r="B398" s="255"/>
      <c r="C398" s="255"/>
      <c r="D398" s="255" t="s">
        <v>700</v>
      </c>
      <c r="E398" s="31"/>
      <c r="F398" s="30"/>
      <c r="H398" s="30">
        <v>43.319812474111252</v>
      </c>
      <c r="I398" s="30">
        <v>0.12531227279175394</v>
      </c>
      <c r="J398" s="30">
        <v>28.130976982631299</v>
      </c>
      <c r="K398" s="32">
        <v>7.2838030794979094E-2</v>
      </c>
      <c r="L398" s="30">
        <v>3.2375854253835423</v>
      </c>
      <c r="M398" s="32">
        <v>5.342366379419574E-2</v>
      </c>
      <c r="N398" s="30">
        <v>6.3408492811883486</v>
      </c>
      <c r="O398" s="12">
        <v>16.899999999999999</v>
      </c>
      <c r="P398" s="32">
        <v>0.32841492329149236</v>
      </c>
      <c r="Q398" s="32">
        <v>1.9000813893957479E-2</v>
      </c>
      <c r="R398" s="32">
        <v>3.3918225537634961E-2</v>
      </c>
      <c r="T398" s="38">
        <f t="shared" si="10"/>
        <v>77.734471328499879</v>
      </c>
      <c r="Z398" s="31"/>
      <c r="AD398" s="31"/>
      <c r="CQ398" s="29">
        <v>3.8705472235349203E-2</v>
      </c>
      <c r="CR398" s="30">
        <v>1.9585118068157774</v>
      </c>
      <c r="CS398" s="29">
        <v>1.6501082373098119E-2</v>
      </c>
      <c r="CT398" s="29">
        <v>0.60076121815585859</v>
      </c>
    </row>
    <row r="399" spans="1:98" x14ac:dyDescent="0.2">
      <c r="A399" s="335" t="s">
        <v>858</v>
      </c>
      <c r="B399" s="255"/>
      <c r="C399" s="255"/>
      <c r="D399" s="255" t="s">
        <v>717</v>
      </c>
      <c r="E399" s="31"/>
      <c r="F399" s="30"/>
      <c r="H399" s="564">
        <v>43.632438299781562</v>
      </c>
      <c r="I399" s="564">
        <v>0.12134528683366448</v>
      </c>
      <c r="J399" s="564">
        <v>28.115341350323614</v>
      </c>
      <c r="K399" s="32">
        <v>7.2838030794979094E-2</v>
      </c>
      <c r="L399" s="30">
        <v>3.2375854253835423</v>
      </c>
      <c r="M399" s="565">
        <v>5.1782266719261213E-2</v>
      </c>
      <c r="N399" s="564">
        <v>6.3543061000502234</v>
      </c>
      <c r="O399" s="12">
        <v>16.720156032078105</v>
      </c>
      <c r="P399" s="32">
        <v>0.32841492329149236</v>
      </c>
      <c r="Q399" s="32">
        <v>2.408298465829847E-2</v>
      </c>
      <c r="T399" s="38">
        <f t="shared" si="10"/>
        <v>77.771142582871164</v>
      </c>
      <c r="Z399" s="31"/>
      <c r="AD399" s="31"/>
      <c r="AI399" s="30">
        <v>4.8693392608089257</v>
      </c>
      <c r="AJ399" s="31">
        <v>498.34449093444914</v>
      </c>
      <c r="AL399" s="33">
        <v>9.8339008019525807</v>
      </c>
      <c r="AM399" s="31">
        <v>39.845275453277544</v>
      </c>
      <c r="AN399" s="31">
        <v>2.0878050906555092</v>
      </c>
      <c r="AQ399" s="30">
        <v>0.41147140864714088</v>
      </c>
      <c r="AR399" s="30">
        <v>0.13571129707112972</v>
      </c>
      <c r="AS399" s="30">
        <v>0.32181049511854959</v>
      </c>
      <c r="AT399" s="31">
        <v>2.1321478382147839E-2</v>
      </c>
      <c r="AU399" s="31">
        <v>389.21548117154816</v>
      </c>
      <c r="AW399" s="31">
        <v>4.0984135285913528</v>
      </c>
      <c r="BD399" s="30">
        <v>2.5503050906555094E-2</v>
      </c>
      <c r="BG399" s="30">
        <v>2.3213912133891218E-3</v>
      </c>
      <c r="BH399" s="31">
        <v>34.370327754532781</v>
      </c>
      <c r="BI399" s="30">
        <v>0.60895484658298471</v>
      </c>
      <c r="BJ399">
        <v>1.5556677126917715</v>
      </c>
      <c r="BL399" s="33">
        <v>0.98396966527196661</v>
      </c>
      <c r="BM399" s="30">
        <v>0.3072312587168759</v>
      </c>
      <c r="BN399" s="30">
        <v>0.71082880055788</v>
      </c>
      <c r="BP399" s="30">
        <v>6.9462255927475597E-2</v>
      </c>
      <c r="BU399">
        <v>0.27581581241283126</v>
      </c>
      <c r="BV399" s="32">
        <v>4.0447733612273364E-2</v>
      </c>
      <c r="BW399" s="30">
        <v>0.18948117154811714</v>
      </c>
      <c r="BX399" s="30">
        <v>2.6795066248256626E-2</v>
      </c>
      <c r="BY399">
        <v>2.3643654114365413E-2</v>
      </c>
      <c r="BZ399" s="405">
        <v>0.79520048814504884</v>
      </c>
      <c r="CA399" s="33">
        <v>1.6799773361227335</v>
      </c>
      <c r="CE399" s="30">
        <v>6.5584205020920522E-2</v>
      </c>
      <c r="CF399" s="30">
        <v>0.13007531380753137</v>
      </c>
      <c r="CG399">
        <v>114.72</v>
      </c>
    </row>
    <row r="400" spans="1:98" x14ac:dyDescent="0.2">
      <c r="A400" s="567" t="s">
        <v>858</v>
      </c>
      <c r="B400" s="255"/>
      <c r="C400" s="255"/>
      <c r="D400" s="255"/>
      <c r="E400" s="31"/>
      <c r="F400" s="34">
        <v>98.593252283897783</v>
      </c>
      <c r="H400" s="34">
        <v>43.476125386946407</v>
      </c>
      <c r="I400" s="34">
        <v>0.1233287798127092</v>
      </c>
      <c r="J400" s="34">
        <v>28.123159166477457</v>
      </c>
      <c r="K400" s="37">
        <v>7.2838030794979094E-2</v>
      </c>
      <c r="L400" s="34">
        <v>3.2375854253835423</v>
      </c>
      <c r="M400" s="37">
        <v>5.2602965256728473E-2</v>
      </c>
      <c r="N400" s="34">
        <v>6.3475776906192856</v>
      </c>
      <c r="O400" s="72">
        <v>16.81007801603905</v>
      </c>
      <c r="P400" s="37">
        <v>0.32841492329149236</v>
      </c>
      <c r="Q400" s="37">
        <v>2.1541899276127974E-2</v>
      </c>
      <c r="R400" s="37"/>
      <c r="S400" s="36"/>
      <c r="T400" s="38">
        <f t="shared" si="10"/>
        <v>77.752822067489674</v>
      </c>
      <c r="U400" s="36"/>
      <c r="W400" s="36"/>
      <c r="X400" s="36"/>
      <c r="Y400" s="36"/>
      <c r="Z400" s="8">
        <v>407.40996591336204</v>
      </c>
      <c r="AA400" s="36"/>
      <c r="AB400" s="36"/>
      <c r="AC400" s="36"/>
      <c r="AD400" s="31">
        <v>178.81930589113833</v>
      </c>
      <c r="AE400" s="36"/>
      <c r="AF400" s="36"/>
      <c r="AG400" s="36"/>
      <c r="AH400" s="36"/>
      <c r="AI400" s="34">
        <v>4.8693392608089257</v>
      </c>
      <c r="AJ400" s="35">
        <v>498.34449093444914</v>
      </c>
      <c r="AK400" s="36"/>
      <c r="AL400" s="72">
        <v>9.8339008019525807</v>
      </c>
      <c r="AM400" s="35">
        <v>39.845275453277544</v>
      </c>
      <c r="AN400" s="35">
        <v>2.0878050906555092</v>
      </c>
      <c r="AO400" s="72"/>
      <c r="AP400" s="36"/>
      <c r="AQ400" s="34">
        <v>0.41147140864714088</v>
      </c>
      <c r="AR400" s="34"/>
      <c r="AS400" s="34"/>
      <c r="AT400" s="35">
        <v>2.1321478382147839E-2</v>
      </c>
      <c r="AU400" s="35">
        <v>389.21548117154816</v>
      </c>
      <c r="AV400" s="36"/>
      <c r="AW400" s="35">
        <v>4.0984135285913528</v>
      </c>
      <c r="AX400" s="34"/>
      <c r="AY400" s="34"/>
      <c r="AZ400" s="34"/>
      <c r="BA400" s="34"/>
      <c r="BB400" s="34"/>
      <c r="BC400" s="34"/>
      <c r="BD400" s="34">
        <v>2.5503050906555094E-2</v>
      </c>
      <c r="BE400" s="34"/>
      <c r="BF400" s="34"/>
      <c r="BG400" s="34">
        <v>2.3213912133891218E-3</v>
      </c>
      <c r="BH400" s="35">
        <v>34.370327754532781</v>
      </c>
      <c r="BI400" s="34">
        <v>0.60895484658298471</v>
      </c>
      <c r="BJ400" s="34">
        <v>1.5556677126917715</v>
      </c>
      <c r="BK400" s="34"/>
      <c r="BL400" s="72">
        <v>0.98396966527196661</v>
      </c>
      <c r="BM400" s="34">
        <v>0.3072312587168759</v>
      </c>
      <c r="BN400" s="34">
        <v>0.71082880055788</v>
      </c>
      <c r="BO400" s="34"/>
      <c r="BP400" s="34">
        <v>6.9462255927475597E-2</v>
      </c>
      <c r="BQ400" s="37"/>
      <c r="BR400" s="37"/>
      <c r="BS400" s="37"/>
      <c r="BT400" s="37"/>
      <c r="BU400" s="37">
        <v>0.27581581241283126</v>
      </c>
      <c r="BV400" s="37">
        <v>4.0447733612273364E-2</v>
      </c>
      <c r="BW400" s="34">
        <v>0.18948117154811714</v>
      </c>
      <c r="BX400" s="34">
        <v>2.6795066248256626E-2</v>
      </c>
      <c r="BY400" s="36"/>
      <c r="BZ400" s="72">
        <v>0.79520048814504884</v>
      </c>
      <c r="CA400" s="72">
        <v>1.6799773361227335</v>
      </c>
      <c r="CB400" s="36"/>
      <c r="CC400" s="36"/>
      <c r="CD400" s="36"/>
      <c r="CE400" s="34">
        <v>6.5584205020920522E-2</v>
      </c>
      <c r="CF400" s="34">
        <v>0.13007531380753137</v>
      </c>
    </row>
    <row r="401" spans="1:98" x14ac:dyDescent="0.2">
      <c r="A401" s="258"/>
      <c r="B401" s="255"/>
      <c r="C401" s="255"/>
      <c r="D401" s="255"/>
      <c r="E401" s="31"/>
      <c r="F401" s="30"/>
      <c r="I401" s="30"/>
      <c r="J401" s="30"/>
      <c r="L401" s="30"/>
      <c r="M401" s="32"/>
      <c r="N401" s="30"/>
      <c r="O401" s="60"/>
      <c r="T401" s="38" t="e">
        <f t="shared" si="10"/>
        <v>#DIV/0!</v>
      </c>
      <c r="Z401" s="31"/>
      <c r="AD401" s="31"/>
    </row>
    <row r="402" spans="1:98" x14ac:dyDescent="0.2">
      <c r="A402" s="333" t="s">
        <v>861</v>
      </c>
      <c r="B402" s="255"/>
      <c r="C402" s="255"/>
      <c r="D402" s="255"/>
      <c r="E402" s="31"/>
      <c r="F402" s="30"/>
      <c r="I402" s="30"/>
      <c r="J402" s="30"/>
      <c r="L402" s="30"/>
      <c r="M402" s="32"/>
      <c r="N402" s="30"/>
      <c r="O402" s="60"/>
      <c r="T402" s="38" t="e">
        <f t="shared" si="10"/>
        <v>#DIV/0!</v>
      </c>
      <c r="Z402" s="31"/>
      <c r="AD402" s="31"/>
    </row>
    <row r="403" spans="1:98" x14ac:dyDescent="0.2">
      <c r="A403" s="333" t="s">
        <v>861</v>
      </c>
      <c r="B403" s="255"/>
      <c r="C403" s="255"/>
      <c r="D403" s="255" t="s">
        <v>700</v>
      </c>
      <c r="E403" s="31"/>
      <c r="F403" s="30"/>
      <c r="H403" s="30">
        <v>43.252554258796089</v>
      </c>
      <c r="I403" s="30">
        <v>0.11635403862475896</v>
      </c>
      <c r="J403" s="30">
        <v>28.525277743707548</v>
      </c>
      <c r="K403" s="32">
        <v>8.7904880820169479E-2</v>
      </c>
      <c r="L403" s="30">
        <v>3.0465728632702169</v>
      </c>
      <c r="M403" s="32">
        <v>4.7135899012439149E-2</v>
      </c>
      <c r="N403" s="30">
        <v>6.0089935350457209</v>
      </c>
      <c r="O403" s="12">
        <v>17.100000000000001</v>
      </c>
      <c r="P403" s="32">
        <v>0.33659723820483317</v>
      </c>
      <c r="Q403" s="32">
        <v>1.7732553268770719E-2</v>
      </c>
      <c r="R403" s="32">
        <v>3.2271549505766162E-2</v>
      </c>
      <c r="T403" s="38">
        <f t="shared" si="10"/>
        <v>77.85634126680938</v>
      </c>
      <c r="Z403" s="31"/>
      <c r="AD403" s="31"/>
      <c r="CQ403" s="29">
        <v>3.8191779368724359E-2</v>
      </c>
      <c r="CR403" s="30">
        <v>1.9723780801341533</v>
      </c>
      <c r="CS403" s="29">
        <v>1.5471778003642781E-2</v>
      </c>
      <c r="CT403" s="29">
        <v>0.59946830855212718</v>
      </c>
    </row>
    <row r="404" spans="1:98" x14ac:dyDescent="0.2">
      <c r="A404" s="333" t="s">
        <v>861</v>
      </c>
      <c r="B404" s="255"/>
      <c r="C404" s="255"/>
      <c r="D404" s="255" t="s">
        <v>717</v>
      </c>
      <c r="E404">
        <v>50.61</v>
      </c>
      <c r="H404" s="564">
        <v>43.601316983627264</v>
      </c>
      <c r="I404" s="564">
        <v>0.11447147120281427</v>
      </c>
      <c r="J404" s="564">
        <v>28.439447194726959</v>
      </c>
      <c r="K404" s="209">
        <v>8.7904880820169479E-2</v>
      </c>
      <c r="L404" s="192">
        <v>3.0465728632702169</v>
      </c>
      <c r="M404" s="565">
        <v>4.9197977161704973E-2</v>
      </c>
      <c r="N404" s="564">
        <v>6.0285377419445432</v>
      </c>
      <c r="O404" s="193">
        <v>16.335125013076681</v>
      </c>
      <c r="P404" s="209">
        <v>0.33659723820483317</v>
      </c>
      <c r="Q404" s="209">
        <v>3.0252118422429121E-2</v>
      </c>
      <c r="T404" s="38">
        <f t="shared" si="10"/>
        <v>77.912273392354706</v>
      </c>
      <c r="AE404" s="194"/>
      <c r="AF404" s="193"/>
      <c r="AG404" s="194"/>
      <c r="AH404" s="194"/>
      <c r="AI404" s="192">
        <v>4.7706778951773199</v>
      </c>
      <c r="AJ404" s="31">
        <v>601.42912438539599</v>
      </c>
      <c r="AK404" s="193"/>
      <c r="AL404" s="193">
        <v>9.5855581127733025</v>
      </c>
      <c r="AM404" s="194">
        <v>45.340935244272416</v>
      </c>
      <c r="AN404" s="219">
        <v>5.8152317187990379</v>
      </c>
      <c r="AO404" s="193"/>
      <c r="AP404" s="192"/>
      <c r="AQ404" s="192">
        <v>0.96130871430065912</v>
      </c>
      <c r="AR404" s="194">
        <v>0.24377968406737108</v>
      </c>
      <c r="AS404" s="193">
        <v>0.48314781880949892</v>
      </c>
      <c r="AT404" s="194">
        <v>5.5466052934407366E-2</v>
      </c>
      <c r="AU404" s="194">
        <v>1058.3313108065697</v>
      </c>
      <c r="AV404" s="192"/>
      <c r="AW404" s="194">
        <v>5.5459776127209954</v>
      </c>
      <c r="AX404" s="209"/>
      <c r="AY404" s="192"/>
      <c r="AZ404" s="193">
        <v>0.17730934198137882</v>
      </c>
      <c r="BA404" s="192"/>
      <c r="BB404" s="38"/>
      <c r="BC404" s="39"/>
      <c r="BD404" s="39">
        <v>3.3878753007636785E-2</v>
      </c>
      <c r="BE404" s="39"/>
      <c r="BF404" s="38"/>
      <c r="BG404" s="38">
        <v>9.90950936290407E-3</v>
      </c>
      <c r="BH404" s="31">
        <v>343.7360602573491</v>
      </c>
      <c r="BI404" s="30">
        <v>0.63457809394288101</v>
      </c>
      <c r="BJ404">
        <v>1.5585751647661887</v>
      </c>
      <c r="BL404" s="33">
        <v>1.3624542316141859</v>
      </c>
      <c r="BM404" s="30">
        <v>0.2951236531017889</v>
      </c>
      <c r="BN404" s="30">
        <v>0.7097750810754262</v>
      </c>
      <c r="BP404" s="30">
        <v>6.5444293336123019E-2</v>
      </c>
      <c r="BU404">
        <v>0.2595366670153782</v>
      </c>
      <c r="BV404" s="32">
        <v>3.8622586044565331E-2</v>
      </c>
      <c r="BW404" s="30">
        <v>0.17206580186211945</v>
      </c>
      <c r="BX404" s="30">
        <v>2.5990898629563761E-2</v>
      </c>
      <c r="BY404">
        <v>0.1003431321267915</v>
      </c>
      <c r="BZ404" s="33">
        <v>0.69913170833769223</v>
      </c>
      <c r="CA404" s="33">
        <v>9.1454963908358611</v>
      </c>
      <c r="CE404" s="30">
        <v>6.0844439794957635E-2</v>
      </c>
      <c r="CF404" s="30">
        <v>0.29671994978554239</v>
      </c>
      <c r="CG404">
        <v>95.59</v>
      </c>
    </row>
    <row r="405" spans="1:98" x14ac:dyDescent="0.2">
      <c r="A405" s="566" t="s">
        <v>861</v>
      </c>
      <c r="B405" s="255"/>
      <c r="C405" s="255"/>
      <c r="D405" s="255"/>
      <c r="E405" s="31"/>
      <c r="F405" s="34">
        <v>98.304273246604097</v>
      </c>
      <c r="H405" s="34">
        <v>43.426935621211676</v>
      </c>
      <c r="I405" s="34">
        <v>0.11541275491378661</v>
      </c>
      <c r="J405" s="34">
        <v>28.482362469217254</v>
      </c>
      <c r="K405" s="37">
        <v>8.7904880820169479E-2</v>
      </c>
      <c r="L405" s="34">
        <v>3.0465728632702169</v>
      </c>
      <c r="M405" s="37">
        <v>4.8166938087072064E-2</v>
      </c>
      <c r="N405" s="34">
        <v>6.0187656384951325</v>
      </c>
      <c r="O405" s="72">
        <v>16.717562506538343</v>
      </c>
      <c r="P405" s="37">
        <v>0.33659723820483317</v>
      </c>
      <c r="Q405" s="37">
        <v>2.399233584559992E-2</v>
      </c>
      <c r="R405" s="37"/>
      <c r="S405" s="36"/>
      <c r="T405" s="38">
        <f t="shared" si="10"/>
        <v>77.884342693641344</v>
      </c>
      <c r="U405" s="36"/>
      <c r="W405" s="36"/>
      <c r="X405" s="36"/>
      <c r="Y405" s="36"/>
      <c r="Z405" s="8">
        <v>373.05293548437317</v>
      </c>
      <c r="AA405" s="36"/>
      <c r="AB405" s="36"/>
      <c r="AC405" s="36"/>
      <c r="AD405" s="31">
        <v>199.16037985432493</v>
      </c>
      <c r="AE405" s="36"/>
      <c r="AF405" s="36"/>
      <c r="AG405" s="36"/>
      <c r="AH405" s="36"/>
      <c r="AI405" s="34">
        <v>4.7706778951773199</v>
      </c>
      <c r="AJ405" s="35">
        <v>601.42912438539599</v>
      </c>
      <c r="AK405" s="36"/>
      <c r="AL405" s="72">
        <v>9.5855581127733025</v>
      </c>
      <c r="AM405" s="35">
        <v>45.340935244272416</v>
      </c>
      <c r="AN405" s="35">
        <v>5.8152317187990379</v>
      </c>
      <c r="AO405" s="72"/>
      <c r="AP405" s="36"/>
      <c r="AQ405" s="34">
        <v>0.96130871430065912</v>
      </c>
      <c r="AR405" s="34"/>
      <c r="AS405" s="34"/>
      <c r="AT405" s="35">
        <v>5.5466052934407366E-2</v>
      </c>
      <c r="AU405" s="35">
        <v>1058.3313108065697</v>
      </c>
      <c r="AV405" s="36"/>
      <c r="AW405" s="35">
        <v>5.5459776127209954</v>
      </c>
      <c r="AX405" s="34"/>
      <c r="AY405" s="34"/>
      <c r="AZ405" s="34"/>
      <c r="BA405" s="34"/>
      <c r="BB405" s="34"/>
      <c r="BC405" s="34"/>
      <c r="BD405" s="34">
        <v>3.3878753007636785E-2</v>
      </c>
      <c r="BE405" s="34"/>
      <c r="BF405" s="34"/>
      <c r="BG405" s="34">
        <v>9.90950936290407E-3</v>
      </c>
      <c r="BH405" s="35">
        <v>343.7360602573491</v>
      </c>
      <c r="BI405" s="34">
        <v>0.63457809394288101</v>
      </c>
      <c r="BJ405" s="34">
        <v>1.5585751647661887</v>
      </c>
      <c r="BK405" s="34"/>
      <c r="BL405" s="72">
        <v>1.3624542316141859</v>
      </c>
      <c r="BM405" s="34">
        <v>0.2951236531017889</v>
      </c>
      <c r="BN405" s="34">
        <v>0.7097750810754262</v>
      </c>
      <c r="BO405" s="34"/>
      <c r="BP405" s="34">
        <v>6.5444293336123019E-2</v>
      </c>
      <c r="BQ405" s="37"/>
      <c r="BR405" s="37"/>
      <c r="BS405" s="37"/>
      <c r="BT405" s="37"/>
      <c r="BU405" s="37">
        <v>0.2595366670153782</v>
      </c>
      <c r="BV405" s="37">
        <v>3.8622586044565331E-2</v>
      </c>
      <c r="BW405" s="34">
        <v>0.17206580186211945</v>
      </c>
      <c r="BX405" s="34">
        <v>2.5990898629563761E-2</v>
      </c>
      <c r="BY405" s="36"/>
      <c r="BZ405" s="72">
        <v>0.69913170833769223</v>
      </c>
      <c r="CA405" s="72">
        <v>9.1454963908358611</v>
      </c>
      <c r="CB405" s="36"/>
      <c r="CC405" s="36"/>
      <c r="CD405" s="36"/>
      <c r="CE405" s="34">
        <v>6.0844439794957635E-2</v>
      </c>
      <c r="CF405" s="34">
        <v>0.29671994978554239</v>
      </c>
    </row>
    <row r="406" spans="1:98" x14ac:dyDescent="0.2">
      <c r="A406" s="258"/>
      <c r="B406" s="255"/>
      <c r="C406" s="255"/>
      <c r="D406" s="255"/>
      <c r="E406" s="31"/>
      <c r="F406" s="30"/>
      <c r="I406" s="30"/>
      <c r="J406" s="30"/>
      <c r="L406" s="30"/>
      <c r="M406" s="32"/>
      <c r="N406" s="30"/>
      <c r="O406" s="60"/>
      <c r="T406" s="38" t="e">
        <f t="shared" si="10"/>
        <v>#DIV/0!</v>
      </c>
      <c r="Z406" s="31"/>
      <c r="AD406" s="31"/>
    </row>
    <row r="407" spans="1:98" x14ac:dyDescent="0.2">
      <c r="A407" s="258"/>
      <c r="B407" s="255"/>
      <c r="C407" s="255"/>
      <c r="D407" s="255"/>
      <c r="E407" s="31"/>
      <c r="F407" s="30"/>
      <c r="I407" s="30"/>
      <c r="J407" s="30"/>
      <c r="L407" s="30"/>
      <c r="M407" s="32"/>
      <c r="N407" s="30"/>
      <c r="O407" s="60"/>
      <c r="T407" s="38" t="e">
        <f t="shared" si="10"/>
        <v>#DIV/0!</v>
      </c>
      <c r="Z407" s="31"/>
      <c r="AD407" s="31"/>
    </row>
    <row r="408" spans="1:98" x14ac:dyDescent="0.2">
      <c r="A408" s="335" t="s">
        <v>902</v>
      </c>
      <c r="B408" s="255">
        <v>1</v>
      </c>
      <c r="C408" s="255"/>
      <c r="D408" s="255" t="s">
        <v>700</v>
      </c>
      <c r="E408" s="31"/>
      <c r="F408" s="30"/>
      <c r="I408" s="30"/>
      <c r="J408" s="30"/>
      <c r="L408" s="30"/>
      <c r="M408" s="32"/>
      <c r="N408" s="30"/>
      <c r="O408" s="60"/>
      <c r="T408" s="38" t="e">
        <f t="shared" si="10"/>
        <v>#DIV/0!</v>
      </c>
      <c r="Z408" s="31"/>
      <c r="AD408" s="31"/>
      <c r="CQ408" s="29"/>
      <c r="CR408" s="30"/>
      <c r="CS408" s="29"/>
      <c r="CT408" s="29"/>
    </row>
    <row r="409" spans="1:98" x14ac:dyDescent="0.2">
      <c r="A409" s="335" t="s">
        <v>902</v>
      </c>
      <c r="B409" s="255"/>
      <c r="C409" s="255"/>
      <c r="D409" s="50" t="s">
        <v>1282</v>
      </c>
      <c r="E409" s="41" t="s">
        <v>1288</v>
      </c>
      <c r="F409" s="30"/>
      <c r="H409" s="38">
        <v>43.9</v>
      </c>
      <c r="I409" s="6">
        <v>0.05</v>
      </c>
      <c r="J409" s="6">
        <v>33.1</v>
      </c>
      <c r="K409" s="49">
        <v>0.02</v>
      </c>
      <c r="L409" s="6">
        <v>1.08</v>
      </c>
      <c r="M409" s="32">
        <v>0.02</v>
      </c>
      <c r="N409" s="6">
        <v>1.77</v>
      </c>
      <c r="O409" s="7">
        <v>18.600000000000001</v>
      </c>
      <c r="P409" s="3">
        <v>0.37</v>
      </c>
      <c r="Q409" s="32">
        <v>0.01</v>
      </c>
      <c r="R409" s="32">
        <v>4.0000000000000001E-3</v>
      </c>
      <c r="T409" s="38">
        <f t="shared" si="10"/>
        <v>74.499469055291001</v>
      </c>
      <c r="AC409" s="2"/>
      <c r="AD409" s="31"/>
      <c r="AJ409" s="76">
        <v>136.84</v>
      </c>
      <c r="BZ409" s="405">
        <v>1.1000000000000001</v>
      </c>
      <c r="CQ409" s="29">
        <v>4.6296296296296294E-2</v>
      </c>
      <c r="CR409" s="30">
        <v>1.6388888888888888</v>
      </c>
      <c r="CS409" s="29">
        <v>1.8518518518518517E-2</v>
      </c>
      <c r="CT409" s="29">
        <v>0.5619335347432024</v>
      </c>
    </row>
    <row r="410" spans="1:98" x14ac:dyDescent="0.2">
      <c r="A410" s="335" t="s">
        <v>902</v>
      </c>
      <c r="B410" s="255">
        <v>3</v>
      </c>
      <c r="C410" s="255"/>
      <c r="D410" s="255" t="s">
        <v>717</v>
      </c>
      <c r="E410" s="31"/>
      <c r="F410" s="30"/>
      <c r="H410"/>
      <c r="I410"/>
      <c r="J410"/>
      <c r="L410" s="30"/>
      <c r="M410" s="32"/>
      <c r="N410" s="30"/>
      <c r="O410" s="60"/>
      <c r="T410" s="38" t="e">
        <f t="shared" si="10"/>
        <v>#DIV/0!</v>
      </c>
      <c r="Z410" s="31"/>
      <c r="AD410" s="31"/>
    </row>
    <row r="411" spans="1:98" x14ac:dyDescent="0.2">
      <c r="A411" s="567" t="s">
        <v>902</v>
      </c>
      <c r="B411" s="255"/>
      <c r="C411" s="255"/>
      <c r="D411" s="255"/>
      <c r="F411" s="34">
        <v>98.919999999999987</v>
      </c>
      <c r="H411" s="34">
        <v>43.9</v>
      </c>
      <c r="I411" s="34">
        <v>0.05</v>
      </c>
      <c r="J411" s="34">
        <v>33.1</v>
      </c>
      <c r="K411" s="37">
        <v>0.02</v>
      </c>
      <c r="L411" s="34">
        <v>1.08</v>
      </c>
      <c r="M411" s="37">
        <v>0.02</v>
      </c>
      <c r="N411" s="34">
        <v>1.77</v>
      </c>
      <c r="O411" s="72">
        <v>18.600000000000001</v>
      </c>
      <c r="P411" s="37">
        <v>0.37</v>
      </c>
      <c r="Q411" s="37">
        <v>0.01</v>
      </c>
      <c r="R411" s="37"/>
      <c r="S411" s="36"/>
      <c r="T411" s="38">
        <f t="shared" si="10"/>
        <v>74.499469055291001</v>
      </c>
      <c r="U411" s="36"/>
      <c r="W411" s="36"/>
      <c r="X411" s="36"/>
      <c r="Y411" s="36"/>
      <c r="Z411" s="8">
        <v>154.9</v>
      </c>
      <c r="AA411" s="36"/>
      <c r="AB411" s="36"/>
      <c r="AC411" s="36"/>
      <c r="AD411" s="31">
        <v>83.01</v>
      </c>
      <c r="AE411" s="36"/>
      <c r="AF411" s="36"/>
      <c r="AG411" s="36"/>
      <c r="AH411" s="36"/>
      <c r="AI411" s="34" t="e">
        <v>#DIV/0!</v>
      </c>
      <c r="AJ411" s="35">
        <v>136.84</v>
      </c>
      <c r="AK411" s="36"/>
      <c r="AL411" s="72" t="e">
        <v>#DIV/0!</v>
      </c>
      <c r="AM411" s="35" t="e">
        <v>#DIV/0!</v>
      </c>
      <c r="AN411" s="35" t="e">
        <v>#DIV/0!</v>
      </c>
      <c r="AO411" s="72"/>
      <c r="AP411" s="36"/>
      <c r="AQ411" s="34" t="e">
        <v>#DIV/0!</v>
      </c>
      <c r="AR411" s="34"/>
      <c r="AS411" s="34"/>
      <c r="AT411" s="35" t="e">
        <v>#DIV/0!</v>
      </c>
      <c r="AU411" s="35" t="e">
        <v>#DIV/0!</v>
      </c>
      <c r="AV411" s="36"/>
      <c r="AW411" s="35" t="e">
        <v>#DIV/0!</v>
      </c>
      <c r="AX411" s="34"/>
      <c r="AY411" s="34"/>
      <c r="AZ411" s="34"/>
      <c r="BA411" s="34"/>
      <c r="BB411" s="34"/>
      <c r="BC411" s="34"/>
      <c r="BD411" s="34" t="e">
        <v>#DIV/0!</v>
      </c>
      <c r="BE411" s="34"/>
      <c r="BF411" s="34"/>
      <c r="BG411" s="34" t="e">
        <v>#DIV/0!</v>
      </c>
      <c r="BH411" s="35" t="e">
        <v>#DIV/0!</v>
      </c>
      <c r="BI411" s="34" t="e">
        <v>#DIV/0!</v>
      </c>
      <c r="BJ411" s="34" t="e">
        <v>#DIV/0!</v>
      </c>
      <c r="BK411" s="34"/>
      <c r="BL411" s="72" t="e">
        <v>#DIV/0!</v>
      </c>
      <c r="BM411" s="34" t="e">
        <v>#DIV/0!</v>
      </c>
      <c r="BN411" s="34" t="e">
        <v>#DIV/0!</v>
      </c>
      <c r="BO411" s="34"/>
      <c r="BP411" s="34" t="e">
        <v>#DIV/0!</v>
      </c>
      <c r="BQ411" s="37"/>
      <c r="BR411" s="37"/>
      <c r="BS411" s="37"/>
      <c r="BT411" s="37"/>
      <c r="BU411" s="37" t="e">
        <v>#DIV/0!</v>
      </c>
      <c r="BV411" s="37" t="e">
        <v>#DIV/0!</v>
      </c>
      <c r="BW411" s="34" t="e">
        <v>#DIV/0!</v>
      </c>
      <c r="BX411" s="34" t="e">
        <v>#DIV/0!</v>
      </c>
      <c r="BY411" s="36"/>
      <c r="BZ411" s="72">
        <v>1.1000000000000001</v>
      </c>
      <c r="CA411" s="72" t="e">
        <v>#DIV/0!</v>
      </c>
      <c r="CB411" s="36"/>
      <c r="CC411" s="36"/>
      <c r="CD411" s="36"/>
      <c r="CE411" s="34" t="e">
        <v>#DIV/0!</v>
      </c>
      <c r="CF411" s="34" t="e">
        <v>#DIV/0!</v>
      </c>
    </row>
    <row r="412" spans="1:98" x14ac:dyDescent="0.2">
      <c r="A412" s="255"/>
      <c r="B412" s="255"/>
      <c r="C412" s="255"/>
      <c r="D412" s="255"/>
      <c r="T412" s="38" t="e">
        <f t="shared" si="10"/>
        <v>#DIV/0!</v>
      </c>
    </row>
    <row r="413" spans="1:98" x14ac:dyDescent="0.2">
      <c r="A413" s="333" t="s">
        <v>887</v>
      </c>
      <c r="B413" s="255"/>
      <c r="C413" s="255"/>
      <c r="D413" s="255"/>
      <c r="T413" s="38" t="e">
        <f t="shared" si="10"/>
        <v>#DIV/0!</v>
      </c>
    </row>
    <row r="414" spans="1:98" x14ac:dyDescent="0.2">
      <c r="A414" s="333" t="s">
        <v>887</v>
      </c>
      <c r="B414" s="255"/>
      <c r="C414" s="255"/>
      <c r="D414" s="255" t="s">
        <v>700</v>
      </c>
      <c r="H414" s="30">
        <v>43.23635293646776</v>
      </c>
      <c r="I414" s="6">
        <v>0.12314890511831462</v>
      </c>
      <c r="J414" s="6">
        <v>27.080703961069112</v>
      </c>
      <c r="K414" s="32">
        <v>8.302907531250002E-2</v>
      </c>
      <c r="L414" s="6">
        <v>3.1763076636904768</v>
      </c>
      <c r="M414" s="3">
        <v>5.5858622511779969E-2</v>
      </c>
      <c r="N414" s="6">
        <v>8.2463663987209834</v>
      </c>
      <c r="O414" s="7">
        <v>16.2</v>
      </c>
      <c r="P414" s="32">
        <v>0.32469549851190477</v>
      </c>
      <c r="Q414" s="32">
        <v>1.5731270366661519E-2</v>
      </c>
      <c r="R414" s="32">
        <v>4.629324413334171E-2</v>
      </c>
      <c r="T414" s="38">
        <f t="shared" si="10"/>
        <v>82.231737620076956</v>
      </c>
      <c r="CQ414" s="29">
        <v>3.8771088369704977E-2</v>
      </c>
      <c r="CR414" s="30">
        <v>2.5962114731479522</v>
      </c>
      <c r="CS414" s="29">
        <v>1.7586023907671198E-2</v>
      </c>
      <c r="CT414" s="29">
        <v>0.59821192326790773</v>
      </c>
    </row>
    <row r="415" spans="1:98" x14ac:dyDescent="0.2">
      <c r="A415" s="333" t="s">
        <v>887</v>
      </c>
      <c r="B415" s="255"/>
      <c r="C415" s="255"/>
      <c r="D415" s="255" t="s">
        <v>717</v>
      </c>
      <c r="H415" s="564">
        <v>43.622454429748203</v>
      </c>
      <c r="I415" s="564">
        <v>0.11914013324853322</v>
      </c>
      <c r="J415" s="564">
        <v>28.219316086209808</v>
      </c>
      <c r="K415" s="32">
        <v>8.302907531250002E-2</v>
      </c>
      <c r="L415" s="6">
        <v>3.1763076636904768</v>
      </c>
      <c r="M415" s="565">
        <v>5.0953214022926741E-2</v>
      </c>
      <c r="N415" s="564">
        <v>6.2497980216585116</v>
      </c>
      <c r="O415" s="7">
        <v>15.770014880952383</v>
      </c>
      <c r="P415" s="32">
        <v>0.32469549851190477</v>
      </c>
      <c r="Q415" s="32">
        <v>9.6335565476190488E-3</v>
      </c>
      <c r="T415" s="38">
        <f t="shared" si="10"/>
        <v>77.814760498310292</v>
      </c>
      <c r="AI415" s="30">
        <v>4.3480952380952385</v>
      </c>
      <c r="AJ415" s="31">
        <v>568.06975446428578</v>
      </c>
      <c r="AL415" s="33">
        <v>12.281966145833334</v>
      </c>
      <c r="AM415" s="31">
        <v>71.832589285714292</v>
      </c>
      <c r="AN415" s="31">
        <v>2.1738095238095241</v>
      </c>
      <c r="AQ415" s="30">
        <v>0.51041108630952392</v>
      </c>
      <c r="AR415" s="30">
        <v>0.10729724702380952</v>
      </c>
      <c r="AS415" s="30">
        <v>0.42085007440476185</v>
      </c>
      <c r="AT415" s="31">
        <v>0</v>
      </c>
      <c r="AU415" s="31">
        <v>392.28999255952385</v>
      </c>
      <c r="AW415" s="31">
        <v>4.9183407738095237</v>
      </c>
      <c r="BD415" s="30">
        <v>1.618954613095238E-2</v>
      </c>
      <c r="BG415" s="30">
        <v>6.8593750000000009E-3</v>
      </c>
      <c r="BH415" s="31">
        <v>98.909281994047632</v>
      </c>
      <c r="BI415" s="30">
        <v>0.5696069568452381</v>
      </c>
      <c r="BJ415">
        <v>1.4343470982142859</v>
      </c>
      <c r="BL415" s="33">
        <v>0.96763392857142871</v>
      </c>
      <c r="BM415" s="30">
        <v>0.28454389880952385</v>
      </c>
      <c r="BN415" s="30">
        <v>0.68750911458333341</v>
      </c>
      <c r="BP415" s="30">
        <v>6.2873325892857143E-2</v>
      </c>
      <c r="BU415">
        <v>0.25326990327380955</v>
      </c>
      <c r="BV415" s="32">
        <v>3.6639546130952383E-2</v>
      </c>
      <c r="BW415" s="30">
        <v>0.17917968749999999</v>
      </c>
      <c r="BX415" s="30">
        <v>2.6111793154761906E-2</v>
      </c>
      <c r="BY415">
        <v>2.4107142857142862E-2</v>
      </c>
      <c r="BZ415" s="405">
        <v>1.2671428571428571</v>
      </c>
      <c r="CA415" s="33">
        <v>0.43420758928571429</v>
      </c>
      <c r="CE415" s="30">
        <v>6.0173177083333342E-2</v>
      </c>
      <c r="CF415" s="30">
        <v>0.19078869047619049</v>
      </c>
      <c r="CG415">
        <v>107.52</v>
      </c>
    </row>
    <row r="416" spans="1:98" x14ac:dyDescent="0.2">
      <c r="A416" s="566" t="s">
        <v>887</v>
      </c>
      <c r="B416" s="255"/>
      <c r="C416" s="255"/>
      <c r="D416" s="255"/>
      <c r="F416" s="34">
        <v>98.083768445836185</v>
      </c>
      <c r="H416" s="34">
        <v>43.429403683107978</v>
      </c>
      <c r="I416" s="34">
        <v>0.12114451918342392</v>
      </c>
      <c r="J416" s="34">
        <v>27.65001002363946</v>
      </c>
      <c r="K416" s="37">
        <v>8.302907531250002E-2</v>
      </c>
      <c r="L416" s="34">
        <v>3.1763076636904768</v>
      </c>
      <c r="M416" s="37">
        <v>5.3405918267353358E-2</v>
      </c>
      <c r="N416" s="34">
        <v>7.2480822101897475</v>
      </c>
      <c r="O416" s="72">
        <v>15.985007440476192</v>
      </c>
      <c r="P416" s="37">
        <v>0.32469549851190477</v>
      </c>
      <c r="Q416" s="37">
        <v>1.2682413457140284E-2</v>
      </c>
      <c r="R416" s="37"/>
      <c r="S416" s="36"/>
      <c r="T416" s="38">
        <f t="shared" si="10"/>
        <v>80.26740396396292</v>
      </c>
      <c r="U416" s="36"/>
      <c r="W416" s="36"/>
      <c r="X416" s="36"/>
      <c r="Y416" s="36"/>
      <c r="Z416" s="8">
        <v>413.62883698065178</v>
      </c>
      <c r="AA416" s="36"/>
      <c r="AB416" s="36"/>
      <c r="AC416" s="36"/>
      <c r="AD416" s="31">
        <v>105.2767141077215</v>
      </c>
      <c r="AE416" s="36"/>
      <c r="AF416" s="36"/>
      <c r="AG416" s="36"/>
      <c r="AH416" s="36"/>
      <c r="AI416" s="34">
        <v>4.3480952380952385</v>
      </c>
      <c r="AJ416" s="35">
        <v>568.06975446428578</v>
      </c>
      <c r="AK416" s="36"/>
      <c r="AL416" s="72">
        <v>12.281966145833334</v>
      </c>
      <c r="AM416" s="35">
        <v>71.832589285714292</v>
      </c>
      <c r="AN416" s="35">
        <v>2.1738095238095241</v>
      </c>
      <c r="AO416" s="72"/>
      <c r="AP416" s="36"/>
      <c r="AQ416" s="34">
        <v>0.51041108630952392</v>
      </c>
      <c r="AR416" s="34"/>
      <c r="AS416" s="34"/>
      <c r="AT416" s="35">
        <v>0</v>
      </c>
      <c r="AU416" s="35">
        <v>392.28999255952385</v>
      </c>
      <c r="AV416" s="36"/>
      <c r="AW416" s="35">
        <v>4.9183407738095237</v>
      </c>
      <c r="AX416" s="34"/>
      <c r="AY416" s="34"/>
      <c r="AZ416" s="34"/>
      <c r="BA416" s="34"/>
      <c r="BB416" s="34"/>
      <c r="BC416" s="34"/>
      <c r="BD416" s="34">
        <v>1.618954613095238E-2</v>
      </c>
      <c r="BE416" s="34"/>
      <c r="BF416" s="34"/>
      <c r="BG416" s="34">
        <v>6.8593750000000009E-3</v>
      </c>
      <c r="BH416" s="35">
        <v>98.909281994047632</v>
      </c>
      <c r="BI416" s="34">
        <v>0.5696069568452381</v>
      </c>
      <c r="BJ416" s="34">
        <v>1.4343470982142859</v>
      </c>
      <c r="BK416" s="34"/>
      <c r="BL416" s="72">
        <v>0.96763392857142871</v>
      </c>
      <c r="BM416" s="34">
        <v>0.28454389880952385</v>
      </c>
      <c r="BN416" s="34">
        <v>0.68750911458333341</v>
      </c>
      <c r="BO416" s="34"/>
      <c r="BP416" s="34">
        <v>6.2873325892857143E-2</v>
      </c>
      <c r="BQ416" s="37"/>
      <c r="BR416" s="37"/>
      <c r="BS416" s="37"/>
      <c r="BT416" s="37"/>
      <c r="BU416" s="37">
        <v>0.25326990327380955</v>
      </c>
      <c r="BV416" s="37">
        <v>3.6639546130952383E-2</v>
      </c>
      <c r="BW416" s="34">
        <v>0.17917968749999999</v>
      </c>
      <c r="BX416" s="34">
        <v>2.6111793154761906E-2</v>
      </c>
      <c r="BY416" s="36"/>
      <c r="BZ416" s="72">
        <v>1.2671428571428571</v>
      </c>
      <c r="CA416" s="72">
        <v>0.43420758928571429</v>
      </c>
      <c r="CB416" s="36"/>
      <c r="CC416" s="36"/>
      <c r="CD416" s="36"/>
      <c r="CE416" s="34">
        <v>6.0173177083333342E-2</v>
      </c>
      <c r="CF416" s="34">
        <v>0.19078869047619049</v>
      </c>
    </row>
    <row r="417" spans="1:132" x14ac:dyDescent="0.2">
      <c r="A417" s="258"/>
      <c r="B417" s="255"/>
      <c r="C417" s="255"/>
      <c r="D417" s="255"/>
      <c r="H417" s="34"/>
      <c r="I417" s="34"/>
      <c r="J417" s="34"/>
      <c r="K417" s="37"/>
      <c r="L417" s="34"/>
      <c r="M417" s="37"/>
      <c r="N417" s="34"/>
      <c r="O417" s="72"/>
      <c r="P417" s="37"/>
      <c r="Q417" s="37"/>
      <c r="R417" s="37"/>
      <c r="S417" s="36"/>
      <c r="T417" s="38" t="e">
        <f t="shared" si="10"/>
        <v>#DIV/0!</v>
      </c>
      <c r="U417" s="36"/>
      <c r="W417" s="36"/>
      <c r="X417" s="36"/>
      <c r="Y417" s="36"/>
      <c r="Z417" s="8"/>
      <c r="AA417" s="36"/>
      <c r="AB417" s="36"/>
      <c r="AC417" s="36"/>
      <c r="AD417" s="31"/>
      <c r="AE417" s="36"/>
      <c r="AF417" s="36"/>
      <c r="AG417" s="36"/>
      <c r="AH417" s="36"/>
      <c r="AI417" s="34"/>
      <c r="AJ417" s="35"/>
      <c r="AK417" s="36"/>
      <c r="AL417" s="72"/>
      <c r="AM417" s="35"/>
      <c r="AN417" s="35"/>
      <c r="AO417" s="72"/>
      <c r="AP417" s="36"/>
      <c r="AQ417" s="34"/>
      <c r="AR417" s="34"/>
      <c r="AS417" s="34"/>
      <c r="AT417" s="35"/>
      <c r="AU417" s="35"/>
      <c r="AV417" s="36"/>
      <c r="AW417" s="35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5"/>
      <c r="BI417" s="34"/>
      <c r="BJ417" s="34"/>
      <c r="BK417" s="34"/>
      <c r="BL417" s="72"/>
      <c r="BM417" s="34"/>
      <c r="BN417" s="34"/>
      <c r="BO417" s="34"/>
      <c r="BP417" s="34"/>
      <c r="BQ417" s="37"/>
      <c r="BR417" s="37"/>
      <c r="BS417" s="37"/>
      <c r="BT417" s="37"/>
      <c r="BU417" s="37"/>
      <c r="BV417" s="37"/>
      <c r="BW417" s="34"/>
      <c r="BX417" s="34"/>
      <c r="BY417" s="36"/>
      <c r="BZ417" s="72"/>
      <c r="CA417" s="72"/>
      <c r="CB417" s="36"/>
      <c r="CC417" s="36"/>
      <c r="CD417" s="36"/>
      <c r="CE417" s="34"/>
      <c r="CF417" s="34"/>
    </row>
    <row r="418" spans="1:132" x14ac:dyDescent="0.2">
      <c r="A418" s="258" t="s">
        <v>1097</v>
      </c>
      <c r="B418" s="255"/>
      <c r="C418" s="255"/>
      <c r="D418" s="255" t="s">
        <v>639</v>
      </c>
      <c r="H418" s="6">
        <v>0.16292811221405071</v>
      </c>
      <c r="I418" s="6">
        <v>3.598619669198537E-2</v>
      </c>
      <c r="J418" s="6">
        <v>-1.6967776402635675</v>
      </c>
      <c r="K418" s="3"/>
      <c r="L418" s="6">
        <v>1</v>
      </c>
      <c r="M418" s="3">
        <v>1.352942198651319E-2</v>
      </c>
      <c r="N418" s="6">
        <v>1.7054813280416941</v>
      </c>
      <c r="O418" s="7">
        <v>-0.89184931629512854</v>
      </c>
      <c r="P418" s="37"/>
      <c r="Q418" s="37"/>
      <c r="R418" s="37"/>
      <c r="S418" s="36"/>
      <c r="T418" s="38">
        <f t="shared" si="10"/>
        <v>75.248718247213148</v>
      </c>
      <c r="U418" s="36"/>
      <c r="W418" s="36"/>
      <c r="X418" s="36"/>
      <c r="Y418" s="36"/>
      <c r="Z418" s="8"/>
      <c r="AA418" s="36"/>
      <c r="AB418" s="36"/>
      <c r="AC418" s="36"/>
      <c r="AD418" s="31"/>
      <c r="AE418" s="36"/>
      <c r="AF418" s="36"/>
      <c r="AG418" s="36"/>
      <c r="AH418" s="36"/>
      <c r="AI418" s="34"/>
      <c r="AJ418" s="35"/>
      <c r="AK418" s="36"/>
      <c r="AL418" s="72"/>
      <c r="AM418" s="35"/>
      <c r="AN418" s="35"/>
      <c r="AO418" s="72"/>
      <c r="AP418" s="36"/>
      <c r="AQ418" s="34"/>
      <c r="AR418" s="34"/>
      <c r="AS418" s="34"/>
      <c r="AT418" s="35"/>
      <c r="AU418" s="35"/>
      <c r="AV418" s="36"/>
      <c r="AW418" s="35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5"/>
      <c r="BI418" s="34"/>
      <c r="BJ418" s="34"/>
      <c r="BK418" s="34"/>
      <c r="BL418" s="72"/>
      <c r="BM418" s="34"/>
      <c r="BN418" s="34"/>
      <c r="BO418" s="34"/>
      <c r="BP418" s="34"/>
      <c r="BQ418" s="37"/>
      <c r="BR418" s="37"/>
      <c r="BS418" s="37"/>
      <c r="BT418" s="37"/>
      <c r="BU418" s="37"/>
      <c r="BV418" s="37"/>
      <c r="BW418" s="34"/>
      <c r="BX418" s="34"/>
      <c r="BY418" s="36"/>
      <c r="BZ418" s="72"/>
      <c r="CA418" s="72"/>
      <c r="CB418" s="36"/>
      <c r="CC418" s="36"/>
      <c r="CD418" s="36"/>
      <c r="CE418" s="34"/>
      <c r="CF418" s="34"/>
      <c r="CQ418" s="198">
        <v>3.8186092196505615E-2</v>
      </c>
      <c r="CR418" s="198">
        <v>2.0834747883485067</v>
      </c>
      <c r="CS418" s="198">
        <v>1.6470970929069188E-2</v>
      </c>
      <c r="CT418" s="198">
        <v>0.57253430769738078</v>
      </c>
    </row>
    <row r="419" spans="1:132" x14ac:dyDescent="0.2">
      <c r="A419" s="258"/>
      <c r="B419" s="255"/>
      <c r="C419" s="255"/>
      <c r="D419" s="255" t="s">
        <v>1096</v>
      </c>
      <c r="H419" s="6">
        <v>43.104944618292095</v>
      </c>
      <c r="I419" s="6">
        <v>4.8369009087071979E-3</v>
      </c>
      <c r="J419" s="6">
        <v>33.608803908557618</v>
      </c>
      <c r="K419" s="3"/>
      <c r="L419" s="6">
        <v>0</v>
      </c>
      <c r="M419" s="3">
        <v>7.9796072818624567E-3</v>
      </c>
      <c r="N419" s="6">
        <v>0.83266460911866691</v>
      </c>
      <c r="O419" s="7">
        <v>19.208135975612841</v>
      </c>
      <c r="P419" s="37"/>
      <c r="Q419" s="37"/>
      <c r="R419" s="37"/>
      <c r="S419" s="36"/>
      <c r="T419" s="38">
        <f t="shared" si="10"/>
        <v>100</v>
      </c>
      <c r="U419" s="36"/>
      <c r="W419" s="36"/>
      <c r="X419" s="36"/>
      <c r="Y419" s="36"/>
      <c r="Z419" s="8"/>
      <c r="AA419" s="36"/>
      <c r="AB419" s="36"/>
      <c r="AC419" s="36"/>
      <c r="AD419" s="31"/>
      <c r="AE419" s="36"/>
      <c r="AF419" s="36"/>
      <c r="AG419" s="36"/>
      <c r="AH419" s="36"/>
      <c r="AI419" s="34"/>
      <c r="AJ419" s="35"/>
      <c r="AK419" s="36"/>
      <c r="AL419" s="72"/>
      <c r="AM419" s="35"/>
      <c r="AN419" s="35"/>
      <c r="AO419" s="72"/>
      <c r="AP419" s="36"/>
      <c r="AQ419" s="34"/>
      <c r="AR419" s="34"/>
      <c r="AS419" s="34"/>
      <c r="AT419" s="35"/>
      <c r="AU419" s="35"/>
      <c r="AV419" s="36"/>
      <c r="AW419" s="35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5"/>
      <c r="BI419" s="34"/>
      <c r="BJ419" s="34"/>
      <c r="BK419" s="34"/>
      <c r="BL419" s="72"/>
      <c r="BM419" s="34"/>
      <c r="BN419" s="34"/>
      <c r="BO419" s="34"/>
      <c r="BP419" s="34"/>
      <c r="BQ419" s="37"/>
      <c r="BR419" s="37"/>
      <c r="BS419" s="37"/>
      <c r="BT419" s="37"/>
      <c r="BU419" s="37"/>
      <c r="BV419" s="37"/>
      <c r="BW419" s="34"/>
      <c r="BX419" s="34"/>
      <c r="BY419" s="36"/>
      <c r="BZ419" s="72"/>
      <c r="CA419" s="72"/>
      <c r="CB419" s="36"/>
      <c r="CC419" s="36"/>
      <c r="CD419" s="36"/>
      <c r="CE419" s="34"/>
      <c r="CF419" s="34"/>
      <c r="CQ419" s="32"/>
    </row>
    <row r="420" spans="1:132" s="30" customFormat="1" x14ac:dyDescent="0.2">
      <c r="A420" s="337"/>
      <c r="B420" s="338"/>
      <c r="C420" s="338"/>
      <c r="D420" s="338" t="s">
        <v>1251</v>
      </c>
      <c r="H420" s="6">
        <v>9.9538626257103469E-2</v>
      </c>
      <c r="I420" s="6">
        <v>0.768464547148896</v>
      </c>
      <c r="J420" s="6">
        <v>0.48236396080496674</v>
      </c>
      <c r="K420" s="3"/>
      <c r="L420" s="6">
        <v>1</v>
      </c>
      <c r="M420" s="3">
        <v>0.7920010656350045</v>
      </c>
      <c r="N420" s="6">
        <v>0.68415288209963732</v>
      </c>
      <c r="O420" s="7">
        <v>0.60985223558630808</v>
      </c>
      <c r="P420" s="37"/>
      <c r="Q420" s="37"/>
      <c r="R420" s="37"/>
      <c r="S420" s="34"/>
      <c r="T420" s="38">
        <f t="shared" si="10"/>
        <v>54.946278025643153</v>
      </c>
      <c r="U420" s="34"/>
      <c r="W420" s="34"/>
      <c r="X420" s="34"/>
      <c r="Y420" s="34"/>
      <c r="Z420" s="6"/>
      <c r="AA420" s="34"/>
      <c r="AB420" s="34"/>
      <c r="AC420" s="34"/>
      <c r="AE420" s="34"/>
      <c r="AF420" s="34"/>
      <c r="AG420" s="34"/>
      <c r="AH420" s="34"/>
      <c r="AI420" s="34"/>
      <c r="AJ420" s="35"/>
      <c r="AK420" s="34"/>
      <c r="AL420" s="72"/>
      <c r="AM420" s="35"/>
      <c r="AN420" s="35"/>
      <c r="AO420" s="34"/>
      <c r="AP420" s="34"/>
      <c r="AQ420" s="34"/>
      <c r="AR420" s="34"/>
      <c r="AS420" s="34"/>
      <c r="AT420" s="35"/>
      <c r="AU420" s="35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5"/>
      <c r="BI420" s="34"/>
      <c r="BJ420" s="34"/>
      <c r="BK420" s="34"/>
      <c r="BL420" s="72"/>
      <c r="BM420" s="34"/>
      <c r="BN420" s="34"/>
      <c r="BO420" s="34"/>
      <c r="BP420" s="34"/>
      <c r="BQ420" s="34"/>
      <c r="BR420" s="34"/>
      <c r="BS420" s="34"/>
      <c r="BT420" s="34"/>
      <c r="BU420" s="34"/>
      <c r="BV420" s="37"/>
      <c r="BW420" s="34"/>
      <c r="BX420" s="34"/>
      <c r="BY420" s="34"/>
      <c r="BZ420" s="72"/>
      <c r="CA420" s="72"/>
      <c r="CB420" s="34"/>
      <c r="CC420" s="34"/>
      <c r="CD420" s="34"/>
      <c r="CE420" s="34"/>
      <c r="CF420" s="34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</row>
    <row r="421" spans="1:132" x14ac:dyDescent="0.2">
      <c r="A421" s="258"/>
      <c r="B421" s="255"/>
      <c r="C421" s="255"/>
      <c r="D421" s="259" t="s">
        <v>1494</v>
      </c>
      <c r="H421" s="34"/>
      <c r="I421" s="34"/>
      <c r="J421" s="34"/>
      <c r="K421" s="37"/>
      <c r="L421" s="34"/>
      <c r="M421" s="37"/>
      <c r="N421" s="34"/>
      <c r="O421" s="72"/>
      <c r="P421" s="37"/>
      <c r="Q421" s="37"/>
      <c r="R421" s="37"/>
      <c r="S421" s="36"/>
      <c r="T421" s="38" t="e">
        <f t="shared" si="10"/>
        <v>#DIV/0!</v>
      </c>
      <c r="U421" s="36"/>
      <c r="W421" s="36"/>
      <c r="X421" s="36"/>
      <c r="Y421" s="36"/>
      <c r="Z421" s="8"/>
      <c r="AA421" s="36"/>
      <c r="AB421" s="36"/>
      <c r="AC421" s="36"/>
      <c r="AD421" s="31"/>
      <c r="AE421" s="36"/>
      <c r="AF421" s="36"/>
      <c r="AG421" s="36"/>
      <c r="AH421" s="36"/>
      <c r="AI421" s="34"/>
      <c r="AJ421" s="35"/>
      <c r="AK421" s="36"/>
      <c r="AL421" s="72"/>
      <c r="AM421" s="35"/>
      <c r="AN421" s="35"/>
      <c r="AO421" s="72"/>
      <c r="AP421" s="36"/>
      <c r="AQ421" s="34"/>
      <c r="AR421" s="34"/>
      <c r="AS421" s="34"/>
      <c r="AT421" s="35"/>
      <c r="AU421" s="35"/>
      <c r="AV421" s="36"/>
      <c r="AW421" s="35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5"/>
      <c r="BI421" s="34"/>
      <c r="BJ421" s="34"/>
      <c r="BK421" s="34"/>
      <c r="BL421" s="72"/>
      <c r="BM421" s="34"/>
      <c r="BN421" s="34"/>
      <c r="BO421" s="34"/>
      <c r="BP421" s="34"/>
      <c r="BQ421" s="37"/>
      <c r="BR421" s="37"/>
      <c r="BS421" s="37"/>
      <c r="BT421" s="37"/>
      <c r="BU421" s="37"/>
      <c r="BV421" s="37"/>
      <c r="BW421" s="34"/>
      <c r="BX421" s="34"/>
      <c r="BY421" s="36"/>
      <c r="BZ421" s="72"/>
      <c r="CA421" s="72"/>
      <c r="CB421" s="36"/>
      <c r="CC421" s="36"/>
      <c r="CD421" s="36"/>
      <c r="CE421" s="34"/>
      <c r="CF421" s="34"/>
    </row>
    <row r="422" spans="1:132" x14ac:dyDescent="0.2">
      <c r="A422" s="36"/>
      <c r="E422" s="31"/>
      <c r="F422" s="30"/>
      <c r="I422" s="30"/>
      <c r="J422" s="30"/>
      <c r="L422" s="30"/>
      <c r="M422" s="32"/>
      <c r="N422" s="30"/>
      <c r="O422" s="33"/>
      <c r="T422" s="38" t="e">
        <f t="shared" si="10"/>
        <v>#DIV/0!</v>
      </c>
      <c r="Z422" s="31"/>
      <c r="AD422" s="31"/>
    </row>
    <row r="423" spans="1:132" x14ac:dyDescent="0.2">
      <c r="A423" t="s">
        <v>690</v>
      </c>
      <c r="E423" s="31"/>
      <c r="F423" s="30"/>
      <c r="I423" s="30"/>
      <c r="J423" s="30"/>
      <c r="L423" s="30"/>
      <c r="M423" s="32"/>
      <c r="N423" s="30"/>
      <c r="O423" s="33"/>
      <c r="T423" s="38" t="e">
        <f t="shared" si="10"/>
        <v>#DIV/0!</v>
      </c>
      <c r="Z423" s="31"/>
      <c r="AD423" s="31"/>
    </row>
    <row r="424" spans="1:132" x14ac:dyDescent="0.2">
      <c r="A424" t="s">
        <v>690</v>
      </c>
      <c r="D424" t="s">
        <v>700</v>
      </c>
      <c r="E424" s="31"/>
      <c r="F424" s="30"/>
      <c r="H424" s="30">
        <v>41.101630281243615</v>
      </c>
      <c r="I424" s="30">
        <v>0.19687272699287722</v>
      </c>
      <c r="J424" s="30">
        <v>28.030556880062022</v>
      </c>
      <c r="K424" s="32">
        <v>7.125615924959218E-2</v>
      </c>
      <c r="L424" s="30">
        <v>3.7256504893964104</v>
      </c>
      <c r="M424" s="32">
        <v>6.6310319113583441E-2</v>
      </c>
      <c r="N424" s="30">
        <v>3.9845513631649898</v>
      </c>
      <c r="O424" s="33">
        <v>22.029875999130436</v>
      </c>
      <c r="P424" s="32">
        <v>0.3231294861337683</v>
      </c>
      <c r="Q424" s="32">
        <v>3.3531449448248291E-2</v>
      </c>
      <c r="R424" s="32">
        <v>8.6758276204611462E-2</v>
      </c>
      <c r="T424" s="38">
        <f t="shared" si="10"/>
        <v>65.594095218936431</v>
      </c>
      <c r="Z424" s="31"/>
      <c r="AD424" s="31"/>
    </row>
    <row r="425" spans="1:132" x14ac:dyDescent="0.2">
      <c r="A425" t="s">
        <v>690</v>
      </c>
      <c r="D425" t="s">
        <v>717</v>
      </c>
      <c r="E425" s="31"/>
      <c r="F425" s="30"/>
      <c r="I425"/>
      <c r="J425"/>
      <c r="K425" s="32">
        <v>7.125615924959218E-2</v>
      </c>
      <c r="L425" s="30">
        <v>3.7256504893964104</v>
      </c>
      <c r="M425"/>
      <c r="N425"/>
      <c r="O425" s="33">
        <v>19.907137030995102</v>
      </c>
      <c r="P425" s="32">
        <v>0.3231294861337683</v>
      </c>
      <c r="Q425" s="32">
        <v>2.9932707993474715E-2</v>
      </c>
      <c r="T425" s="38">
        <f t="shared" si="10"/>
        <v>0</v>
      </c>
      <c r="Z425" s="31"/>
      <c r="AD425" s="31"/>
      <c r="AI425" s="30">
        <v>6.6078466557911906</v>
      </c>
      <c r="AJ425" s="31">
        <v>487.52161500815663</v>
      </c>
      <c r="AL425" s="33">
        <v>18.495793230016311</v>
      </c>
      <c r="AM425" s="31">
        <v>246.38438009787927</v>
      </c>
      <c r="AN425" s="31">
        <v>14.632646818923327</v>
      </c>
      <c r="AQ425" s="30">
        <v>0.59217373572593801</v>
      </c>
      <c r="AR425" s="30">
        <v>0.39218800978792817</v>
      </c>
      <c r="AS425" s="30">
        <v>0.34266313213703098</v>
      </c>
      <c r="AT425" s="31">
        <v>0.47198205546492655</v>
      </c>
      <c r="AU425" s="31">
        <v>431.63356443719402</v>
      </c>
      <c r="AV425" s="161">
        <v>10.39224012165802</v>
      </c>
      <c r="AW425" s="31">
        <v>38.771003262642736</v>
      </c>
      <c r="BD425" s="30">
        <v>2.1701060358890696E-2</v>
      </c>
      <c r="BG425" s="30">
        <v>4.0811378466557913E-2</v>
      </c>
      <c r="BH425" s="31">
        <v>90.231851549755291</v>
      </c>
      <c r="BI425" s="30">
        <v>2.7793128058727561</v>
      </c>
      <c r="BJ425">
        <v>7.2179934747145182</v>
      </c>
      <c r="BK425" s="51">
        <v>0.93261439078696928</v>
      </c>
      <c r="BL425" s="33">
        <v>4.4519168026101132</v>
      </c>
      <c r="BM425" s="30">
        <v>1.2847021130932998</v>
      </c>
      <c r="BN425" s="30">
        <v>0.75422634584013049</v>
      </c>
      <c r="BO425" s="51">
        <v>1.5134239783037453</v>
      </c>
      <c r="BP425" s="30">
        <v>0.265206973898858</v>
      </c>
      <c r="BQ425" s="74">
        <v>1.7273726036462651</v>
      </c>
      <c r="BR425" s="74">
        <v>0.37864720632759119</v>
      </c>
      <c r="BS425" s="52">
        <v>1.0354594142504223</v>
      </c>
      <c r="BT425" s="53">
        <v>0.1508965368756453</v>
      </c>
      <c r="BU425">
        <v>0.96956627243066873</v>
      </c>
      <c r="BV425" s="32">
        <v>0.13672469412724306</v>
      </c>
      <c r="BW425" s="30">
        <v>1.0275870717781401</v>
      </c>
      <c r="BX425" s="30">
        <v>0.11054424959216966</v>
      </c>
      <c r="BY425">
        <v>0.10366231647634584</v>
      </c>
      <c r="BZ425" s="33">
        <v>11.152630505709626</v>
      </c>
      <c r="CA425" s="33">
        <v>5.7869086460032619</v>
      </c>
      <c r="CE425" s="30">
        <v>0.43378731647634577</v>
      </c>
      <c r="CF425" s="30">
        <v>0.32990823817292003</v>
      </c>
      <c r="CG425">
        <v>98.08</v>
      </c>
      <c r="CI425" s="29">
        <v>1.5201255197266219</v>
      </c>
      <c r="CJ425" s="41">
        <v>1.5244182739163499</v>
      </c>
      <c r="CK425" s="29">
        <v>1.4957281412682644</v>
      </c>
    </row>
    <row r="426" spans="1:132" x14ac:dyDescent="0.2">
      <c r="A426" s="36" t="s">
        <v>690</v>
      </c>
      <c r="E426" s="31"/>
      <c r="F426" s="30"/>
      <c r="H426" s="34">
        <v>41.101630281243615</v>
      </c>
      <c r="I426" s="34">
        <v>0.19687272699287722</v>
      </c>
      <c r="J426" s="34">
        <v>28.030556880062022</v>
      </c>
      <c r="K426" s="37">
        <v>7.125615924959218E-2</v>
      </c>
      <c r="L426" s="34">
        <v>3.7256504893964104</v>
      </c>
      <c r="M426" s="37">
        <v>6.6310319113583441E-2</v>
      </c>
      <c r="N426" s="34">
        <v>3.9845513631649898</v>
      </c>
      <c r="O426" s="72">
        <v>20.968506515062771</v>
      </c>
      <c r="P426" s="37">
        <v>0.3231294861337683</v>
      </c>
      <c r="Q426" s="37">
        <v>3.1732078720861506E-2</v>
      </c>
      <c r="R426" s="37">
        <v>8.6758276204611462E-2</v>
      </c>
      <c r="S426" s="37"/>
      <c r="T426" s="38">
        <f t="shared" si="10"/>
        <v>65.594095218936431</v>
      </c>
      <c r="U426" s="37"/>
      <c r="W426" s="36"/>
      <c r="X426" s="36"/>
      <c r="Y426" s="36"/>
      <c r="Z426" s="8">
        <v>513.5734215347037</v>
      </c>
      <c r="AA426" s="36"/>
      <c r="AB426" s="36"/>
      <c r="AC426" s="36"/>
      <c r="AD426" s="31">
        <v>263.40798546187136</v>
      </c>
      <c r="AE426" s="36"/>
      <c r="AF426" s="36"/>
      <c r="AG426" s="36"/>
      <c r="AH426" s="36"/>
      <c r="AI426" s="34">
        <v>6.6078466557911906</v>
      </c>
      <c r="AJ426" s="35">
        <v>487.52161500815663</v>
      </c>
      <c r="AK426" s="36"/>
      <c r="AL426" s="72">
        <v>18.495793230016311</v>
      </c>
      <c r="AM426" s="35">
        <v>246.38438009787927</v>
      </c>
      <c r="AN426" s="35">
        <v>14.632646818923327</v>
      </c>
      <c r="AO426" s="72"/>
      <c r="AP426" s="36"/>
      <c r="AQ426" s="34">
        <v>0.59217373572593801</v>
      </c>
      <c r="AR426" s="34"/>
      <c r="AS426" s="34"/>
      <c r="AT426" s="35">
        <v>0.47198205546492655</v>
      </c>
      <c r="AU426" s="35">
        <v>431.63356443719402</v>
      </c>
      <c r="AV426" s="36"/>
      <c r="AW426" s="35">
        <v>38.771003262642736</v>
      </c>
      <c r="AX426" s="34"/>
      <c r="AY426" s="34"/>
      <c r="AZ426" s="34"/>
      <c r="BA426" s="34"/>
      <c r="BB426" s="34"/>
      <c r="BC426" s="34"/>
      <c r="BD426" s="34">
        <v>2.1701060358890696E-2</v>
      </c>
      <c r="BE426" s="34"/>
      <c r="BF426" s="34"/>
      <c r="BG426" s="34">
        <v>4.0811378466557913E-2</v>
      </c>
      <c r="BH426" s="35">
        <v>90.231851549755291</v>
      </c>
      <c r="BI426" s="34">
        <v>2.7793128058727561</v>
      </c>
      <c r="BJ426" s="34">
        <v>7.2179934747145182</v>
      </c>
      <c r="BK426" s="34">
        <v>0.93261439078696928</v>
      </c>
      <c r="BL426" s="72">
        <v>4.4519168026101132</v>
      </c>
      <c r="BM426" s="34">
        <v>1.2847021130932998</v>
      </c>
      <c r="BN426" s="34">
        <v>0.75422634584013049</v>
      </c>
      <c r="BO426" s="34">
        <v>1.5134239783037453</v>
      </c>
      <c r="BP426" s="34">
        <v>0.265206973898858</v>
      </c>
      <c r="BQ426" s="34">
        <v>1.7273726036462651</v>
      </c>
      <c r="BR426" s="34">
        <v>0.37864720632759119</v>
      </c>
      <c r="BS426" s="34">
        <v>1.0354594142504223</v>
      </c>
      <c r="BT426" s="34">
        <v>0.1508965368756453</v>
      </c>
      <c r="BU426" s="37">
        <v>0.96956627243066873</v>
      </c>
      <c r="BV426" s="37">
        <v>0.13672469412724306</v>
      </c>
      <c r="BW426" s="34">
        <v>1.0275870717781401</v>
      </c>
      <c r="BX426" s="34">
        <v>0.11054424959216966</v>
      </c>
      <c r="BY426" s="36"/>
      <c r="BZ426" s="72">
        <v>11.152630505709626</v>
      </c>
      <c r="CA426" s="72">
        <v>5.7869086460032619</v>
      </c>
      <c r="CB426" s="36"/>
      <c r="CC426" s="36"/>
      <c r="CD426" s="36"/>
      <c r="CE426" s="34">
        <v>0.43378731647634577</v>
      </c>
      <c r="CF426" s="34">
        <v>0.32990823817292003</v>
      </c>
    </row>
    <row r="427" spans="1:132" x14ac:dyDescent="0.2">
      <c r="A427" s="36"/>
      <c r="E427" s="31"/>
      <c r="F427" s="30"/>
      <c r="I427" s="30"/>
      <c r="J427" s="30"/>
      <c r="L427" s="30"/>
      <c r="M427" s="32"/>
      <c r="N427" s="30"/>
      <c r="O427" s="33"/>
      <c r="T427" s="38" t="e">
        <f t="shared" si="10"/>
        <v>#DIV/0!</v>
      </c>
      <c r="Z427" s="31"/>
      <c r="AD427" s="31"/>
    </row>
    <row r="428" spans="1:132" x14ac:dyDescent="0.2">
      <c r="A428" t="s">
        <v>886</v>
      </c>
      <c r="E428" s="31"/>
      <c r="F428" s="30"/>
      <c r="I428" s="30"/>
      <c r="J428" s="30"/>
      <c r="L428" s="30"/>
      <c r="M428" s="32"/>
      <c r="N428" s="30"/>
      <c r="O428" s="33"/>
      <c r="T428" s="38" t="e">
        <f t="shared" si="10"/>
        <v>#DIV/0!</v>
      </c>
      <c r="Z428" s="31"/>
      <c r="AD428" s="31"/>
    </row>
    <row r="429" spans="1:132" x14ac:dyDescent="0.2">
      <c r="A429" t="s">
        <v>886</v>
      </c>
      <c r="D429" t="s">
        <v>700</v>
      </c>
      <c r="E429" s="31"/>
      <c r="F429" s="30"/>
      <c r="H429" s="30">
        <v>42.350439718281343</v>
      </c>
      <c r="I429" s="30">
        <v>0.20625415184826887</v>
      </c>
      <c r="J429" s="30">
        <v>28.650065775373243</v>
      </c>
      <c r="K429" s="32">
        <v>7.6787718307112784E-2</v>
      </c>
      <c r="L429" s="30">
        <v>4.0013959672058501</v>
      </c>
      <c r="M429" s="32">
        <v>6.5349041267096564E-2</v>
      </c>
      <c r="N429" s="30">
        <v>3.7624137067050394</v>
      </c>
      <c r="O429" s="33">
        <v>20.248308107294669</v>
      </c>
      <c r="P429" s="32">
        <v>0.34396388211832485</v>
      </c>
      <c r="Q429" s="32">
        <v>2.7580088042143208E-2</v>
      </c>
      <c r="R429" s="32">
        <v>6.252393979315829E-2</v>
      </c>
      <c r="S429" s="32"/>
      <c r="T429" s="38">
        <f t="shared" si="10"/>
        <v>62.632702503928712</v>
      </c>
      <c r="U429" s="32"/>
      <c r="Z429" s="31"/>
      <c r="AD429" s="31"/>
    </row>
    <row r="430" spans="1:132" x14ac:dyDescent="0.2">
      <c r="A430" t="s">
        <v>886</v>
      </c>
      <c r="D430" t="s">
        <v>717</v>
      </c>
      <c r="E430" s="31"/>
      <c r="F430" s="30"/>
      <c r="I430"/>
      <c r="J430"/>
      <c r="K430" s="32">
        <v>7.6787718307112784E-2</v>
      </c>
      <c r="L430" s="30">
        <v>4.0013959672058501</v>
      </c>
      <c r="M430"/>
      <c r="N430"/>
      <c r="O430" s="33">
        <v>18.388838171209105</v>
      </c>
      <c r="P430" s="32">
        <v>0.34396388211832485</v>
      </c>
      <c r="Q430" s="32" t="s">
        <v>1164</v>
      </c>
      <c r="T430" s="38">
        <f t="shared" si="10"/>
        <v>0</v>
      </c>
      <c r="Z430" s="31"/>
      <c r="AD430" s="31"/>
      <c r="AI430" s="30">
        <v>6.9279998522786039</v>
      </c>
      <c r="AJ430" s="31">
        <v>525.36753083684175</v>
      </c>
      <c r="AL430" s="33">
        <v>18.641200236354237</v>
      </c>
      <c r="AM430" s="31">
        <v>251.3750646281114</v>
      </c>
      <c r="AN430" s="31">
        <v>26.933414580101932</v>
      </c>
      <c r="AQ430" s="30">
        <v>0.14303272028953395</v>
      </c>
      <c r="AR430" s="30">
        <v>0.4252160425437625</v>
      </c>
      <c r="AS430" s="30">
        <v>0.34451436590590151</v>
      </c>
      <c r="AT430" s="31">
        <v>0.35077923037151937</v>
      </c>
      <c r="AU430" s="31">
        <v>774.73572641997202</v>
      </c>
      <c r="AV430" s="161">
        <v>10.857825358183433</v>
      </c>
      <c r="AW430" s="31">
        <v>37.038555284733</v>
      </c>
      <c r="BD430" s="30">
        <v>5.693034936110496E-3</v>
      </c>
      <c r="BG430" s="30">
        <v>3.3996159243666453E-2</v>
      </c>
      <c r="BH430" s="31">
        <v>38.983750646281116</v>
      </c>
      <c r="BI430" s="30">
        <v>2.8560410665484897</v>
      </c>
      <c r="BJ430">
        <v>7.4730172095428031</v>
      </c>
      <c r="BK430" s="51">
        <v>0.95979535964140728</v>
      </c>
      <c r="BL430" s="33">
        <v>4.5850949109978583</v>
      </c>
      <c r="BM430" s="30">
        <v>1.3254165743407933</v>
      </c>
      <c r="BN430" s="30">
        <v>0.787409483713716</v>
      </c>
      <c r="BO430" s="51">
        <v>1.5806366978155839</v>
      </c>
      <c r="BP430" s="30">
        <v>0.27920584976733887</v>
      </c>
      <c r="BQ430" s="74">
        <v>1.8045390206532517</v>
      </c>
      <c r="BR430" s="74">
        <v>0.39559598275439622</v>
      </c>
      <c r="BS430" s="52">
        <v>1.0818905400043342</v>
      </c>
      <c r="BT430" s="53">
        <v>0.15767357048432562</v>
      </c>
      <c r="BU430">
        <v>1.0131710613782408</v>
      </c>
      <c r="BV430" s="32">
        <v>0.14272277125341609</v>
      </c>
      <c r="BW430" s="30">
        <v>0.9885796587635719</v>
      </c>
      <c r="BX430" s="30">
        <v>0.12039611492724721</v>
      </c>
      <c r="BY430">
        <v>2.0370780707585495E-2</v>
      </c>
      <c r="BZ430" s="33">
        <v>10.89850062781594</v>
      </c>
      <c r="CA430" s="33">
        <v>2.8868306374178303</v>
      </c>
      <c r="CE430" s="30">
        <v>0.43880101927764242</v>
      </c>
      <c r="CF430" s="30">
        <v>0.1443038629145432</v>
      </c>
      <c r="CG430">
        <v>135.38999999999999</v>
      </c>
      <c r="CI430" s="29">
        <v>1.5707916514933771</v>
      </c>
      <c r="CJ430" s="41">
        <v>1.5940915579337778</v>
      </c>
      <c r="CK430" s="29">
        <v>1.5770268840195965</v>
      </c>
    </row>
    <row r="431" spans="1:132" x14ac:dyDescent="0.2">
      <c r="A431" s="36" t="s">
        <v>886</v>
      </c>
      <c r="E431" s="31"/>
      <c r="F431" s="30"/>
      <c r="H431" s="34">
        <v>42.350439718281343</v>
      </c>
      <c r="I431" s="34">
        <v>0.20625415184826887</v>
      </c>
      <c r="J431" s="34">
        <v>28.650065775373243</v>
      </c>
      <c r="K431" s="37">
        <v>7.6787718307112784E-2</v>
      </c>
      <c r="L431" s="34">
        <v>4.0013959672058501</v>
      </c>
      <c r="M431" s="37">
        <v>6.5349041267096564E-2</v>
      </c>
      <c r="N431" s="34">
        <v>3.7624137067050394</v>
      </c>
      <c r="O431" s="72">
        <v>19.318573139251889</v>
      </c>
      <c r="P431" s="37">
        <v>0.34396388211832485</v>
      </c>
      <c r="Q431" s="37">
        <v>2.7580088042143208E-2</v>
      </c>
      <c r="R431" s="37"/>
      <c r="S431" s="36"/>
      <c r="T431" s="38">
        <f t="shared" si="10"/>
        <v>62.632702503928712</v>
      </c>
      <c r="U431" s="36"/>
      <c r="W431" s="36"/>
      <c r="X431" s="36"/>
      <c r="Y431" s="36"/>
      <c r="Z431" s="8">
        <v>506.12832461366287</v>
      </c>
      <c r="AA431" s="36"/>
      <c r="AB431" s="36"/>
      <c r="AC431" s="36"/>
      <c r="AD431" s="31">
        <v>228.94231083783077</v>
      </c>
      <c r="AE431" s="36"/>
      <c r="AF431" s="36"/>
      <c r="AG431" s="36"/>
      <c r="AH431" s="36"/>
      <c r="AI431" s="34">
        <v>6.9279998522786039</v>
      </c>
      <c r="AJ431" s="35">
        <v>525.36753083684175</v>
      </c>
      <c r="AK431" s="36"/>
      <c r="AL431" s="72">
        <v>18.641200236354237</v>
      </c>
      <c r="AM431" s="35">
        <v>251.3750646281114</v>
      </c>
      <c r="AN431" s="35">
        <v>26.933414580101932</v>
      </c>
      <c r="AO431" s="72"/>
      <c r="AP431" s="36"/>
      <c r="AQ431" s="34">
        <v>0.14303272028953395</v>
      </c>
      <c r="AR431" s="34"/>
      <c r="AS431" s="34"/>
      <c r="AT431" s="35">
        <v>0.35077923037151937</v>
      </c>
      <c r="AU431" s="35">
        <v>774.73572641997202</v>
      </c>
      <c r="AV431" s="36"/>
      <c r="AW431" s="35">
        <v>37.038555284733</v>
      </c>
      <c r="AX431" s="34"/>
      <c r="AY431" s="34"/>
      <c r="AZ431" s="34"/>
      <c r="BA431" s="34"/>
      <c r="BB431" s="34"/>
      <c r="BC431" s="34"/>
      <c r="BD431" s="34">
        <v>5.693034936110496E-3</v>
      </c>
      <c r="BE431" s="34"/>
      <c r="BF431" s="34"/>
      <c r="BG431" s="34">
        <v>3.3996159243666453E-2</v>
      </c>
      <c r="BH431" s="35">
        <v>38.983750646281116</v>
      </c>
      <c r="BI431" s="34">
        <v>2.8560410665484897</v>
      </c>
      <c r="BJ431" s="34">
        <v>7.4730172095428031</v>
      </c>
      <c r="BK431" s="34">
        <v>0.95979535964140728</v>
      </c>
      <c r="BL431" s="72">
        <v>4.5850949109978583</v>
      </c>
      <c r="BM431" s="34">
        <v>1.3254165743407933</v>
      </c>
      <c r="BN431" s="34">
        <v>0.787409483713716</v>
      </c>
      <c r="BO431" s="34">
        <v>1.5806366978155839</v>
      </c>
      <c r="BP431" s="34">
        <v>0.27920584976733887</v>
      </c>
      <c r="BQ431" s="34">
        <v>1.8045390206532517</v>
      </c>
      <c r="BR431" s="34">
        <v>0.39559598275439622</v>
      </c>
      <c r="BS431" s="34">
        <v>1.0818905400043342</v>
      </c>
      <c r="BT431" s="34">
        <v>0.15767357048432562</v>
      </c>
      <c r="BU431" s="37">
        <v>1.0131710613782408</v>
      </c>
      <c r="BV431" s="37">
        <v>0.14272277125341609</v>
      </c>
      <c r="BW431" s="34">
        <v>0.9885796587635719</v>
      </c>
      <c r="BX431" s="34">
        <v>0.12039611492724721</v>
      </c>
      <c r="BY431" s="36"/>
      <c r="BZ431" s="72">
        <v>10.89850062781594</v>
      </c>
      <c r="CA431" s="72">
        <v>2.8868306374178303</v>
      </c>
      <c r="CB431" s="36"/>
      <c r="CC431" s="36"/>
      <c r="CD431" s="36"/>
      <c r="CE431" s="34">
        <v>0.43880101927764242</v>
      </c>
      <c r="CF431" s="34">
        <v>0.1443038629145432</v>
      </c>
    </row>
    <row r="432" spans="1:132" x14ac:dyDescent="0.2">
      <c r="A432" s="36"/>
      <c r="E432" s="31"/>
      <c r="F432" s="30"/>
      <c r="I432" s="30"/>
      <c r="J432" s="30"/>
      <c r="L432" s="30"/>
      <c r="M432" s="32"/>
      <c r="N432" s="30"/>
      <c r="O432" s="33"/>
      <c r="T432" s="38" t="e">
        <f t="shared" si="10"/>
        <v>#DIV/0!</v>
      </c>
      <c r="Z432" s="31"/>
      <c r="AD432" s="31"/>
    </row>
    <row r="433" spans="1:132" x14ac:dyDescent="0.2">
      <c r="A433" s="50" t="s">
        <v>765</v>
      </c>
      <c r="D433" t="s">
        <v>1282</v>
      </c>
      <c r="E433" s="31" t="s">
        <v>1288</v>
      </c>
      <c r="F433" s="30"/>
      <c r="H433" s="38">
        <v>45.5</v>
      </c>
      <c r="I433" s="6">
        <v>0.33</v>
      </c>
      <c r="J433" s="6">
        <v>28.5</v>
      </c>
      <c r="K433" s="3">
        <v>0.08</v>
      </c>
      <c r="L433" s="6">
        <v>3.08</v>
      </c>
      <c r="M433" s="3">
        <v>0.05</v>
      </c>
      <c r="N433" s="6">
        <v>5.47</v>
      </c>
      <c r="O433" s="12">
        <v>16.2</v>
      </c>
      <c r="P433" s="3">
        <v>0.71</v>
      </c>
      <c r="Q433" s="3">
        <v>0.03</v>
      </c>
      <c r="R433" s="3"/>
      <c r="S433" s="6"/>
      <c r="T433" s="38">
        <f t="shared" si="10"/>
        <v>75.995325311659101</v>
      </c>
      <c r="U433" s="6"/>
      <c r="AI433" s="30">
        <v>6</v>
      </c>
      <c r="AJ433" s="31">
        <v>300</v>
      </c>
      <c r="AL433" s="33">
        <v>12.2</v>
      </c>
      <c r="AM433" s="31">
        <v>47</v>
      </c>
      <c r="AU433" s="31">
        <v>212</v>
      </c>
      <c r="AW433" s="31">
        <v>20</v>
      </c>
      <c r="BH433" s="31">
        <v>297</v>
      </c>
      <c r="BI433" s="30">
        <v>1.2</v>
      </c>
      <c r="BJ433">
        <v>3</v>
      </c>
      <c r="BL433" s="33">
        <v>2.6</v>
      </c>
      <c r="BM433" s="30">
        <v>0.97</v>
      </c>
      <c r="BN433" s="30">
        <v>2.5</v>
      </c>
      <c r="BP433" s="30">
        <v>0.17</v>
      </c>
      <c r="BU433">
        <v>0.43</v>
      </c>
      <c r="BV433" s="32">
        <v>6.5000000000000002E-2</v>
      </c>
      <c r="BW433" s="30">
        <v>0.77</v>
      </c>
      <c r="BX433" s="30">
        <v>0.28000000000000003</v>
      </c>
      <c r="BZ433" s="33">
        <v>1.3</v>
      </c>
      <c r="CA433" s="33">
        <v>43</v>
      </c>
      <c r="CE433" s="30">
        <v>0.6</v>
      </c>
      <c r="CF433" s="30">
        <v>0.72</v>
      </c>
    </row>
    <row r="434" spans="1:132" x14ac:dyDescent="0.2">
      <c r="A434" s="50" t="s">
        <v>765</v>
      </c>
      <c r="D434" t="s">
        <v>700</v>
      </c>
      <c r="E434" s="31"/>
      <c r="F434" s="30"/>
      <c r="H434" s="30">
        <v>44.367807047052963</v>
      </c>
      <c r="I434" s="30">
        <v>0.28028991876808407</v>
      </c>
      <c r="J434" s="30">
        <v>29.790523010751173</v>
      </c>
      <c r="K434" s="32">
        <v>5.2495216343001264E-2</v>
      </c>
      <c r="L434" s="30">
        <v>3.2669104665825976</v>
      </c>
      <c r="M434" s="32">
        <v>4.6959262161040044E-2</v>
      </c>
      <c r="N434" s="30">
        <v>5.3479716120690437</v>
      </c>
      <c r="O434" s="12">
        <v>16.094708775529185</v>
      </c>
      <c r="P434" s="32">
        <v>0.70234678436317788</v>
      </c>
      <c r="Q434" s="32">
        <v>4.4154096739335853E-2</v>
      </c>
      <c r="R434" s="32">
        <v>2.462947031262893E-2</v>
      </c>
      <c r="T434" s="38">
        <f t="shared" si="10"/>
        <v>74.477693768106747</v>
      </c>
      <c r="Z434" s="31"/>
      <c r="AD434" s="31"/>
    </row>
    <row r="435" spans="1:132" x14ac:dyDescent="0.2">
      <c r="A435" s="50" t="s">
        <v>765</v>
      </c>
      <c r="D435" t="s">
        <v>717</v>
      </c>
      <c r="E435" s="31"/>
      <c r="F435" s="30"/>
      <c r="I435" s="30"/>
      <c r="J435"/>
      <c r="K435" s="32">
        <v>5.2495216343001264E-2</v>
      </c>
      <c r="L435" s="30">
        <v>3.2669104665825976</v>
      </c>
      <c r="M435"/>
      <c r="N435"/>
      <c r="O435" s="12">
        <v>15.1</v>
      </c>
      <c r="P435" s="32">
        <v>0.70234678436317788</v>
      </c>
      <c r="Q435" s="32">
        <v>4.7308953341740227E-2</v>
      </c>
      <c r="T435" s="38">
        <f t="shared" si="10"/>
        <v>0</v>
      </c>
      <c r="Z435" s="31"/>
      <c r="AD435" s="31"/>
      <c r="AI435" s="30">
        <v>3.8896216897856242</v>
      </c>
      <c r="AJ435" s="31">
        <v>359.1626733921816</v>
      </c>
      <c r="AL435" s="33">
        <v>9.8756620428751578</v>
      </c>
      <c r="AM435" s="31">
        <v>34.509457755359392</v>
      </c>
      <c r="AN435" s="31">
        <v>6.0691046658259777</v>
      </c>
      <c r="AQ435" s="30">
        <v>0.14945775535939468</v>
      </c>
      <c r="AR435" s="30">
        <v>7.8726355611601531E-2</v>
      </c>
      <c r="AS435" s="30">
        <v>9.7452711223203023E-2</v>
      </c>
      <c r="AT435" s="31">
        <v>0.1745271122320303</v>
      </c>
      <c r="AU435" s="31">
        <v>412.81841109709961</v>
      </c>
      <c r="AV435" s="161">
        <v>4.0779353456378749</v>
      </c>
      <c r="AW435" s="31">
        <v>10.436317780580074</v>
      </c>
      <c r="BD435" s="30">
        <v>2.2073139974779318E-2</v>
      </c>
      <c r="BG435" s="30">
        <v>5.9457755359394703E-3</v>
      </c>
      <c r="BH435" s="31">
        <v>89.22698612862547</v>
      </c>
      <c r="BI435" s="30">
        <v>1.577437578814628</v>
      </c>
      <c r="BJ435">
        <v>3.6583984867591424</v>
      </c>
      <c r="BK435" s="51">
        <v>0.50082176132307532</v>
      </c>
      <c r="BL435" s="33">
        <v>2.3254728877679698</v>
      </c>
      <c r="BM435" s="30">
        <v>0.57971834859794391</v>
      </c>
      <c r="BN435" s="30">
        <v>1.6300214375788147</v>
      </c>
      <c r="BO435" s="51">
        <v>0.63309387193651945</v>
      </c>
      <c r="BP435" s="30">
        <v>0.10896469104665825</v>
      </c>
      <c r="BQ435" s="74">
        <v>0.70112059133339455</v>
      </c>
      <c r="BR435" s="74">
        <v>0.15026404727796849</v>
      </c>
      <c r="BS435" s="52">
        <v>0.40176775818830862</v>
      </c>
      <c r="BT435" s="53">
        <v>5.7246771063706285E-2</v>
      </c>
      <c r="BU435">
        <v>0.35965573770491804</v>
      </c>
      <c r="BV435" s="32">
        <v>5.0329255989911725E-2</v>
      </c>
      <c r="BW435" s="30">
        <v>0.33761538461538465</v>
      </c>
      <c r="BX435" s="30">
        <v>5.910844892812106E-2</v>
      </c>
      <c r="BY435" s="30">
        <v>4.7994955863808322E-2</v>
      </c>
      <c r="BZ435" s="33">
        <v>1.312736443883985</v>
      </c>
      <c r="CA435" s="33">
        <v>4.9601513240857509</v>
      </c>
      <c r="CE435" s="30">
        <v>0.10371248423707441</v>
      </c>
      <c r="CF435" s="30">
        <v>0.14047667087011351</v>
      </c>
      <c r="CG435">
        <v>31.72</v>
      </c>
      <c r="CI435" s="29">
        <v>0.62582657266782227</v>
      </c>
      <c r="CJ435" s="41">
        <v>0.6462178711379315</v>
      </c>
      <c r="CK435" s="29">
        <v>0.62723717200380469</v>
      </c>
    </row>
    <row r="436" spans="1:132" x14ac:dyDescent="0.2">
      <c r="A436" s="36" t="s">
        <v>765</v>
      </c>
      <c r="E436" s="31"/>
      <c r="F436" s="30"/>
      <c r="G436" s="30">
        <v>99.676297149109729</v>
      </c>
      <c r="H436" s="34">
        <v>44.933903523526482</v>
      </c>
      <c r="I436" s="34">
        <v>0.30514495938404207</v>
      </c>
      <c r="J436" s="34">
        <v>29.145261505375586</v>
      </c>
      <c r="K436" s="37">
        <v>6.1663477562000836E-2</v>
      </c>
      <c r="L436" s="34">
        <v>3.2046069777217316</v>
      </c>
      <c r="M436" s="37">
        <v>4.8479631080520023E-2</v>
      </c>
      <c r="N436" s="34">
        <v>5.4089858060345222</v>
      </c>
      <c r="O436" s="123">
        <v>15.79823625850973</v>
      </c>
      <c r="P436" s="37">
        <v>0.70489785624211854</v>
      </c>
      <c r="Q436" s="37">
        <v>4.0487683360358691E-2</v>
      </c>
      <c r="R436" s="37">
        <v>2.462947031262893E-2</v>
      </c>
      <c r="S436" s="37"/>
      <c r="T436" s="38">
        <f t="shared" si="10"/>
        <v>75.054973728209177</v>
      </c>
      <c r="U436" s="37"/>
      <c r="W436" s="36"/>
      <c r="X436" s="36"/>
      <c r="Y436" s="36"/>
      <c r="Z436" s="8">
        <v>375.47474271862757</v>
      </c>
      <c r="AA436" s="36"/>
      <c r="AB436" s="36"/>
      <c r="AC436" s="36"/>
      <c r="AD436" s="31">
        <v>336.08825957433748</v>
      </c>
      <c r="AE436" s="36"/>
      <c r="AF436" s="36"/>
      <c r="AG436" s="36"/>
      <c r="AH436" s="36"/>
      <c r="AI436" s="34">
        <v>4.9448108448928121</v>
      </c>
      <c r="AJ436" s="35">
        <v>329.58133669609083</v>
      </c>
      <c r="AK436" s="36"/>
      <c r="AL436" s="72">
        <v>11.037831021437579</v>
      </c>
      <c r="AM436" s="35">
        <v>40.754728877679696</v>
      </c>
      <c r="AN436" s="35">
        <v>6.0691046658259777</v>
      </c>
      <c r="AO436" s="72"/>
      <c r="AP436" s="36"/>
      <c r="AQ436" s="34">
        <v>0.14945775535939468</v>
      </c>
      <c r="AR436" s="34"/>
      <c r="AS436" s="34"/>
      <c r="AT436" s="35">
        <v>0.1745271122320303</v>
      </c>
      <c r="AU436" s="35">
        <v>312.40920554854983</v>
      </c>
      <c r="AV436" s="36"/>
      <c r="AW436" s="35">
        <v>15.218158890290038</v>
      </c>
      <c r="AX436" s="34"/>
      <c r="AY436" s="34"/>
      <c r="AZ436" s="34"/>
      <c r="BA436" s="34"/>
      <c r="BB436" s="34"/>
      <c r="BC436" s="34"/>
      <c r="BD436" s="34">
        <v>2.2073139974779318E-2</v>
      </c>
      <c r="BE436" s="34"/>
      <c r="BF436" s="34"/>
      <c r="BG436" s="34">
        <v>5.9457755359394703E-3</v>
      </c>
      <c r="BH436" s="35">
        <v>193.11349306431273</v>
      </c>
      <c r="BI436" s="34">
        <v>1.3887187894073141</v>
      </c>
      <c r="BJ436" s="34">
        <v>3.3291992433795712</v>
      </c>
      <c r="BK436" s="34">
        <v>0.50082176132307532</v>
      </c>
      <c r="BL436" s="72">
        <v>2.4627364438839852</v>
      </c>
      <c r="BM436" s="34">
        <v>0.77485917429897189</v>
      </c>
      <c r="BN436" s="34">
        <v>2.0650107187894076</v>
      </c>
      <c r="BO436" s="34">
        <v>0.63309387193651945</v>
      </c>
      <c r="BP436" s="34">
        <v>0.13948234552332914</v>
      </c>
      <c r="BQ436" s="34">
        <v>0.70112059133339455</v>
      </c>
      <c r="BR436" s="34">
        <v>0.15026404727796849</v>
      </c>
      <c r="BS436" s="34">
        <v>0.40176775818830862</v>
      </c>
      <c r="BT436" s="34">
        <v>5.7246771063706285E-2</v>
      </c>
      <c r="BU436" s="37">
        <v>0.39482786885245902</v>
      </c>
      <c r="BV436" s="37">
        <v>5.7664627994955864E-2</v>
      </c>
      <c r="BW436" s="34">
        <v>0.55380769230769233</v>
      </c>
      <c r="BX436" s="34">
        <v>0.16955422446406054</v>
      </c>
      <c r="BY436" s="34">
        <v>4.7994955863808322E-2</v>
      </c>
      <c r="BZ436" s="72">
        <v>1.3063682219419925</v>
      </c>
      <c r="CA436" s="72">
        <v>23.980075662042875</v>
      </c>
      <c r="CB436" s="36"/>
      <c r="CC436" s="36"/>
      <c r="CD436" s="36"/>
      <c r="CE436" s="34">
        <v>0.35185624211853717</v>
      </c>
      <c r="CF436" s="34">
        <v>0.43023833543505674</v>
      </c>
    </row>
    <row r="437" spans="1:132" x14ac:dyDescent="0.2">
      <c r="A437" s="36"/>
      <c r="E437" s="31"/>
      <c r="F437" s="30"/>
      <c r="I437" s="30"/>
      <c r="J437" s="30"/>
      <c r="L437" s="30"/>
      <c r="M437" s="32"/>
      <c r="N437" s="30"/>
      <c r="O437" s="33"/>
      <c r="T437" s="38" t="e">
        <f t="shared" si="10"/>
        <v>#DIV/0!</v>
      </c>
      <c r="Z437" s="31"/>
      <c r="AD437" s="31"/>
    </row>
    <row r="438" spans="1:132" x14ac:dyDescent="0.2">
      <c r="A438" s="36"/>
      <c r="E438" s="31"/>
      <c r="F438" s="30"/>
      <c r="I438" s="30"/>
      <c r="J438" s="30"/>
      <c r="L438" s="30"/>
      <c r="M438" s="32"/>
      <c r="N438" s="30"/>
      <c r="O438" s="33"/>
      <c r="T438" s="38" t="e">
        <f t="shared" si="10"/>
        <v>#DIV/0!</v>
      </c>
      <c r="Z438" s="31"/>
      <c r="AD438" s="31"/>
    </row>
    <row r="439" spans="1:132" x14ac:dyDescent="0.2">
      <c r="A439" s="50" t="s">
        <v>906</v>
      </c>
      <c r="C439" t="s">
        <v>717</v>
      </c>
      <c r="D439" t="s">
        <v>915</v>
      </c>
      <c r="E439">
        <v>235.63</v>
      </c>
      <c r="I439"/>
      <c r="J439"/>
      <c r="K439" s="32">
        <v>0.12151126827540172</v>
      </c>
      <c r="L439" s="192">
        <v>5.4601157775838152</v>
      </c>
      <c r="M439"/>
      <c r="N439"/>
      <c r="O439" s="193">
        <v>17.283505930071364</v>
      </c>
      <c r="P439" s="209">
        <v>0.32409963033321348</v>
      </c>
      <c r="Q439" s="209">
        <v>4.8280638702058842E-2</v>
      </c>
      <c r="T439" s="38">
        <f t="shared" si="10"/>
        <v>0</v>
      </c>
      <c r="AI439" s="192">
        <v>11.89689094829799</v>
      </c>
      <c r="AJ439" s="194">
        <v>831.35788365764722</v>
      </c>
      <c r="AL439" s="193">
        <v>13.32011552087077</v>
      </c>
      <c r="AM439" s="194">
        <v>75.877701904810777</v>
      </c>
      <c r="AN439" s="219">
        <v>6.5506340812240085</v>
      </c>
      <c r="AQ439" s="192">
        <v>0.29219386969245775</v>
      </c>
      <c r="AS439" s="193">
        <v>0.44517687528880212</v>
      </c>
      <c r="AT439" s="194">
        <v>0.26911228628638906</v>
      </c>
      <c r="AU439" s="194">
        <v>218.51250192534786</v>
      </c>
      <c r="AV439" s="161">
        <v>7.4643422700480961</v>
      </c>
      <c r="AW439" s="194">
        <v>18.418596293063612</v>
      </c>
      <c r="BD439" s="209">
        <v>4.3142424398007907E-3</v>
      </c>
      <c r="BG439" s="192">
        <v>2.0666221697386657E-2</v>
      </c>
      <c r="BH439" s="194">
        <v>124.71689685269806</v>
      </c>
      <c r="BI439" s="192">
        <v>1.465457924731735</v>
      </c>
      <c r="BJ439" s="193">
        <v>3.9173075935719055</v>
      </c>
      <c r="BK439" s="51">
        <v>0.49428056534116155</v>
      </c>
      <c r="BL439" s="193">
        <v>2.3655722133798842</v>
      </c>
      <c r="BM439" s="192">
        <v>0.75352008385892844</v>
      </c>
      <c r="BN439" s="192">
        <v>0.70738047440570917</v>
      </c>
      <c r="BO439" s="51">
        <v>0.96346988222487751</v>
      </c>
      <c r="BP439" s="192">
        <v>0.17870503670996563</v>
      </c>
      <c r="BQ439" s="74">
        <v>1.1823236478499997</v>
      </c>
      <c r="BR439" s="74">
        <v>0.26763420052683062</v>
      </c>
      <c r="BS439" s="52">
        <v>0.75577230333429868</v>
      </c>
      <c r="BT439" s="53">
        <v>0.1137320152693781</v>
      </c>
      <c r="BU439" s="192">
        <v>0.75460740873851195</v>
      </c>
      <c r="BV439" s="209">
        <v>0.10875407917030343</v>
      </c>
      <c r="BW439" s="192">
        <v>0.56332825897212102</v>
      </c>
      <c r="BX439" s="38">
        <v>7.5307927298865332E-2</v>
      </c>
      <c r="BY439" s="39">
        <v>3.4715818657904199E-2</v>
      </c>
      <c r="BZ439" s="39">
        <v>2.5886173435333979</v>
      </c>
      <c r="CA439" s="39">
        <v>0.70294706576988242</v>
      </c>
      <c r="CE439" s="38">
        <v>0.22496318734918108</v>
      </c>
      <c r="CF439" s="38">
        <v>0.13691602916260204</v>
      </c>
      <c r="CG439">
        <v>389.54</v>
      </c>
      <c r="CI439" s="29">
        <v>0.93041013196198963</v>
      </c>
      <c r="CJ439" s="41">
        <v>0.98076621142875453</v>
      </c>
      <c r="CK439" s="29">
        <v>0.97923330328388836</v>
      </c>
    </row>
    <row r="440" spans="1:132" x14ac:dyDescent="0.2">
      <c r="A440" s="50" t="s">
        <v>906</v>
      </c>
      <c r="C440" t="s">
        <v>700</v>
      </c>
      <c r="H440" s="30">
        <v>43.858171343051097</v>
      </c>
      <c r="I440" s="6">
        <v>0.25565883719956695</v>
      </c>
      <c r="J440" s="38">
        <v>26.754095772862019</v>
      </c>
      <c r="K440" s="32">
        <v>0.11402476824739721</v>
      </c>
      <c r="L440" s="192">
        <v>5.3813236917783751</v>
      </c>
      <c r="M440" s="3">
        <v>7.7250630473702619E-2</v>
      </c>
      <c r="N440" s="6">
        <v>5.6060772359171711</v>
      </c>
      <c r="O440" s="193">
        <v>17.751679202916598</v>
      </c>
      <c r="P440" s="209">
        <v>0.31895257791052745</v>
      </c>
      <c r="Q440" s="209">
        <v>5.4760742750903826E-2</v>
      </c>
      <c r="R440" s="32">
        <v>6.366897116595216E-2</v>
      </c>
      <c r="S440" s="32"/>
      <c r="T440" s="38">
        <f t="shared" si="10"/>
        <v>64.998904765236247</v>
      </c>
      <c r="U440" s="32"/>
      <c r="AI440" s="192"/>
      <c r="AJ440" s="194">
        <v>891.27152739464407</v>
      </c>
      <c r="AL440" s="193"/>
      <c r="AM440" s="194"/>
      <c r="AN440" s="194"/>
      <c r="AQ440" s="193"/>
      <c r="AS440" s="193"/>
      <c r="AT440" s="194"/>
      <c r="AU440" s="194"/>
      <c r="AV440" s="194"/>
      <c r="AW440" s="194"/>
      <c r="BD440" s="192"/>
      <c r="BG440" s="192"/>
      <c r="BH440" s="194"/>
      <c r="BI440" s="192"/>
      <c r="BW440" s="192"/>
      <c r="BX440" s="38"/>
      <c r="BY440" s="39"/>
      <c r="BZ440" s="39"/>
      <c r="CA440" s="39"/>
      <c r="CE440" s="38"/>
      <c r="CF440" s="38"/>
      <c r="CI440" s="29"/>
      <c r="CJ440" s="41"/>
      <c r="CK440" s="29"/>
    </row>
    <row r="441" spans="1:132" s="36" customFormat="1" x14ac:dyDescent="0.2">
      <c r="A441" s="36" t="s">
        <v>906</v>
      </c>
      <c r="C441" s="36" t="s">
        <v>279</v>
      </c>
      <c r="H441" s="210">
        <v>43.858171343051097</v>
      </c>
      <c r="I441" s="210">
        <v>0.25565883719956695</v>
      </c>
      <c r="J441" s="210">
        <v>26.754095772862019</v>
      </c>
      <c r="K441" s="211">
        <v>0.11776801826139946</v>
      </c>
      <c r="L441" s="210">
        <v>5.4207197346810947</v>
      </c>
      <c r="M441" s="211">
        <v>7.7250630473702619E-2</v>
      </c>
      <c r="N441" s="210">
        <v>5.6060772359171711</v>
      </c>
      <c r="O441" s="212">
        <v>17.517592566493981</v>
      </c>
      <c r="P441" s="211">
        <v>0.32152610412187044</v>
      </c>
      <c r="Q441" s="211">
        <v>5.1520690726481334E-2</v>
      </c>
      <c r="R441" s="211">
        <v>6.366897116595216E-2</v>
      </c>
      <c r="S441" s="211"/>
      <c r="T441" s="38">
        <f t="shared" si="10"/>
        <v>64.832777945757428</v>
      </c>
      <c r="U441" s="211"/>
      <c r="AC441" s="210"/>
      <c r="AD441" s="31">
        <v>427.67325372052153</v>
      </c>
      <c r="AE441" s="210"/>
      <c r="AF441" s="210"/>
      <c r="AG441" s="210"/>
      <c r="AH441" s="210"/>
      <c r="AI441" s="210">
        <v>11.89689094829799</v>
      </c>
      <c r="AJ441" s="213">
        <v>861.31470552614564</v>
      </c>
      <c r="AK441" s="210"/>
      <c r="AL441" s="212">
        <v>13.32011552087077</v>
      </c>
      <c r="AM441" s="213">
        <v>75.877701904810777</v>
      </c>
      <c r="AN441" s="213">
        <v>6.5506340812240085</v>
      </c>
      <c r="AO441" s="210"/>
      <c r="AP441" s="210"/>
      <c r="AQ441" s="210">
        <v>0.29219386969245775</v>
      </c>
      <c r="AR441" s="210"/>
      <c r="AS441" s="210">
        <v>0.44517687528880212</v>
      </c>
      <c r="AT441" s="213">
        <v>0.26911228628638906</v>
      </c>
      <c r="AU441" s="213">
        <v>218.51250192534786</v>
      </c>
      <c r="AV441" s="212">
        <v>7.4643422700480961</v>
      </c>
      <c r="AW441" s="213">
        <v>18.418596293063612</v>
      </c>
      <c r="AX441" s="210"/>
      <c r="AY441" s="210"/>
      <c r="AZ441" s="210"/>
      <c r="BA441" s="210"/>
      <c r="BB441" s="210"/>
      <c r="BC441" s="210"/>
      <c r="BD441" s="211">
        <v>4.3142424398007907E-3</v>
      </c>
      <c r="BE441" s="210"/>
      <c r="BF441" s="210"/>
      <c r="BG441" s="210">
        <v>2.0666221697386657E-2</v>
      </c>
      <c r="BH441" s="213">
        <v>124.71689685269806</v>
      </c>
      <c r="BI441" s="34">
        <v>1.465457924731735</v>
      </c>
      <c r="BJ441" s="34">
        <v>3.9173075935719055</v>
      </c>
      <c r="BK441" s="34">
        <v>0.49428056534116155</v>
      </c>
      <c r="BL441" s="72">
        <v>2.3655722133798842</v>
      </c>
      <c r="BM441" s="34">
        <v>0.75352008385892844</v>
      </c>
      <c r="BN441" s="34">
        <v>0.70738047440570917</v>
      </c>
      <c r="BO441" s="34">
        <v>0.96346988222487751</v>
      </c>
      <c r="BP441" s="34">
        <v>0.17870503670996563</v>
      </c>
      <c r="BQ441" s="34">
        <v>1.1823236478499997</v>
      </c>
      <c r="BR441" s="34">
        <v>0.26763420052683062</v>
      </c>
      <c r="BS441" s="34">
        <v>0.75577230333429868</v>
      </c>
      <c r="BT441" s="34">
        <v>0.1137320152693781</v>
      </c>
      <c r="BU441" s="210">
        <v>0.75460740873851195</v>
      </c>
      <c r="BV441" s="211">
        <v>0.10875407917030343</v>
      </c>
      <c r="BW441" s="210">
        <v>0.56332825897212102</v>
      </c>
      <c r="BX441" s="210">
        <v>7.5307927298865332E-2</v>
      </c>
      <c r="BY441" s="210">
        <v>3.4715818657904199E-2</v>
      </c>
      <c r="BZ441" s="212">
        <v>2.5886173435333979</v>
      </c>
      <c r="CA441" s="212">
        <v>0.70294706576988242</v>
      </c>
      <c r="CB441" s="210"/>
      <c r="CC441" s="210"/>
      <c r="CD441" s="210"/>
      <c r="CE441" s="210">
        <v>0.22496318734918108</v>
      </c>
      <c r="CF441" s="210">
        <v>0.13691602916260204</v>
      </c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</row>
    <row r="442" spans="1:132" x14ac:dyDescent="0.2">
      <c r="K442" s="209"/>
      <c r="L442" s="192"/>
      <c r="O442" s="193"/>
      <c r="P442" s="209"/>
      <c r="Q442" s="209"/>
      <c r="T442" s="38" t="e">
        <f t="shared" si="10"/>
        <v>#DIV/0!</v>
      </c>
      <c r="AE442" s="194"/>
      <c r="AF442" s="193"/>
      <c r="AG442" s="194"/>
      <c r="AH442" s="194"/>
      <c r="AI442" s="192"/>
      <c r="AK442" s="193"/>
      <c r="AL442" s="193"/>
      <c r="AM442" s="194"/>
      <c r="AN442" s="194"/>
      <c r="AO442" s="193"/>
      <c r="AP442" s="192"/>
      <c r="AQ442" s="192"/>
      <c r="AR442" s="194"/>
      <c r="AS442" s="192"/>
      <c r="AT442" s="194"/>
      <c r="AU442" s="194"/>
      <c r="AV442" s="192"/>
      <c r="AW442" s="194"/>
      <c r="AX442" s="209"/>
      <c r="AY442" s="192"/>
      <c r="AZ442" s="209"/>
      <c r="BA442" s="192"/>
      <c r="BB442" s="38"/>
      <c r="BC442" s="39"/>
      <c r="BD442" s="39"/>
      <c r="BE442" s="39"/>
      <c r="BF442" s="38"/>
      <c r="BG442" s="38"/>
    </row>
    <row r="443" spans="1:132" x14ac:dyDescent="0.2">
      <c r="K443" s="209"/>
      <c r="L443" s="192"/>
      <c r="O443" s="193"/>
      <c r="P443" s="209"/>
      <c r="Q443" s="209"/>
      <c r="T443" s="38" t="e">
        <f t="shared" si="10"/>
        <v>#DIV/0!</v>
      </c>
      <c r="AE443" s="194"/>
      <c r="AF443" s="193"/>
      <c r="AG443" s="194"/>
      <c r="AH443" s="194"/>
      <c r="AI443" s="192"/>
      <c r="AK443" s="193"/>
      <c r="AL443" s="193"/>
      <c r="AM443" s="194"/>
      <c r="AN443" s="194"/>
      <c r="AO443" s="193"/>
      <c r="AP443" s="192"/>
      <c r="AQ443" s="192"/>
      <c r="AR443" s="194"/>
      <c r="AS443" s="192"/>
      <c r="AT443" s="194"/>
      <c r="AU443" s="194"/>
      <c r="AV443" s="192"/>
      <c r="AW443" s="194"/>
      <c r="AX443" s="209"/>
      <c r="AY443" s="192"/>
      <c r="AZ443" s="209"/>
      <c r="BA443" s="192"/>
      <c r="BB443" s="38"/>
      <c r="BC443" s="39"/>
      <c r="BD443" s="39"/>
      <c r="BE443" s="39"/>
      <c r="BF443" s="38"/>
      <c r="BG443" s="38"/>
    </row>
    <row r="444" spans="1:132" x14ac:dyDescent="0.2">
      <c r="A444" s="569" t="s">
        <v>1000</v>
      </c>
      <c r="B444" s="569"/>
      <c r="C444" s="569" t="s">
        <v>717</v>
      </c>
      <c r="I444" s="30"/>
      <c r="J444" s="30"/>
      <c r="K444" s="209">
        <v>0.14974097769853284</v>
      </c>
      <c r="L444" s="192">
        <v>5.8388821633002177</v>
      </c>
      <c r="M444"/>
      <c r="N444"/>
      <c r="O444" s="193">
        <v>15.782893611421807</v>
      </c>
      <c r="P444" s="209">
        <v>0.28765879334166722</v>
      </c>
      <c r="Q444" s="209" t="s">
        <v>1163</v>
      </c>
      <c r="T444" s="38">
        <f t="shared" si="10"/>
        <v>0</v>
      </c>
      <c r="AE444" s="194"/>
      <c r="AF444" s="193"/>
      <c r="AG444" s="194"/>
      <c r="AH444" s="194"/>
      <c r="AI444" s="192">
        <v>12.629844726626756</v>
      </c>
      <c r="AJ444" s="31">
        <v>1024.5003947628136</v>
      </c>
      <c r="AK444" s="193"/>
      <c r="AL444" s="193">
        <v>13.148565366142511</v>
      </c>
      <c r="AM444" s="194">
        <v>37.820317126126724</v>
      </c>
      <c r="AN444" s="194">
        <v>4.8072899532864017</v>
      </c>
      <c r="AO444" s="193"/>
      <c r="AP444" s="192"/>
      <c r="AQ444" s="192">
        <v>7.527501809329562E-2</v>
      </c>
      <c r="AR444" s="194">
        <v>4.4983222580432927E-2</v>
      </c>
      <c r="AS444" s="192">
        <v>0.28800250016448459</v>
      </c>
      <c r="AT444" s="194">
        <v>9.0861240871109965E-3</v>
      </c>
      <c r="AU444" s="194">
        <v>137.18063688400554</v>
      </c>
      <c r="AV444" s="161">
        <v>5.253992663755346</v>
      </c>
      <c r="AW444" s="194">
        <v>15.560431607342588</v>
      </c>
      <c r="AX444" s="209"/>
      <c r="AY444" s="192"/>
      <c r="AZ444" s="209">
        <v>0</v>
      </c>
      <c r="BA444" s="192"/>
      <c r="BB444" s="38"/>
      <c r="BC444" s="39"/>
      <c r="BD444" s="39">
        <v>2.0979998684123951E-3</v>
      </c>
      <c r="BE444" s="39"/>
      <c r="BF444" s="38"/>
      <c r="BG444" s="38">
        <v>6.5310217777485371E-3</v>
      </c>
      <c r="BH444" s="31">
        <v>16.622047503125209</v>
      </c>
      <c r="BI444" s="30">
        <v>0.79071093492992961</v>
      </c>
      <c r="BJ444">
        <v>2.1686489242713338</v>
      </c>
      <c r="BK444" s="51">
        <v>0.30383402516151065</v>
      </c>
      <c r="BL444" s="33">
        <v>1.5520593460096062</v>
      </c>
      <c r="BM444" s="30">
        <v>0.48937634054872031</v>
      </c>
      <c r="BN444" s="30">
        <v>0.6584296335285218</v>
      </c>
      <c r="BO444" s="51">
        <v>0.6593250218903498</v>
      </c>
      <c r="BP444" s="30">
        <v>0.12283160076320809</v>
      </c>
      <c r="BQ444" s="74">
        <v>0.81679130176585912</v>
      </c>
      <c r="BR444" s="74">
        <v>0.18721110422808995</v>
      </c>
      <c r="BS444" s="52">
        <v>0.53529946739151435</v>
      </c>
      <c r="BT444" s="53">
        <v>8.1565217035087428E-2</v>
      </c>
      <c r="BU444">
        <v>0.54797447200473726</v>
      </c>
      <c r="BV444" s="32">
        <v>8.0542739653924611E-2</v>
      </c>
      <c r="BW444" s="30">
        <v>0.33373820646095137</v>
      </c>
      <c r="BX444" s="30">
        <v>4.2734193039015725E-2</v>
      </c>
      <c r="BY444">
        <v>0.12813014014079874</v>
      </c>
      <c r="BZ444" s="33">
        <v>1.8284130534903615</v>
      </c>
      <c r="CA444" s="33">
        <v>0.22427133364037113</v>
      </c>
      <c r="CE444" s="30">
        <v>9.904622014606225E-2</v>
      </c>
      <c r="CF444" s="30">
        <v>3.8389038752549509E-2</v>
      </c>
      <c r="CI444" s="29">
        <v>0.65076481868016611</v>
      </c>
      <c r="CJ444" s="41">
        <v>0.66149837018092761</v>
      </c>
      <c r="CK444" s="29">
        <v>0.66571187680995592</v>
      </c>
    </row>
    <row r="445" spans="1:132" x14ac:dyDescent="0.2">
      <c r="A445" s="569" t="s">
        <v>1000</v>
      </c>
      <c r="B445" s="569"/>
      <c r="C445" s="569" t="s">
        <v>700</v>
      </c>
      <c r="H445" s="30">
        <v>45.137214860644541</v>
      </c>
      <c r="I445" s="6">
        <v>0.18762737336995891</v>
      </c>
      <c r="J445" s="6">
        <v>27.168304316996728</v>
      </c>
      <c r="K445" s="513" t="s">
        <v>1496</v>
      </c>
      <c r="L445" s="192">
        <v>5.8388821633002177</v>
      </c>
      <c r="M445" s="3">
        <v>9.1148206791600489E-2</v>
      </c>
      <c r="N445" s="30">
        <v>5.0148355025716045</v>
      </c>
      <c r="O445" s="193">
        <v>16.109683362111273</v>
      </c>
      <c r="P445" s="209" t="s">
        <v>1161</v>
      </c>
      <c r="Q445" s="209">
        <v>2.3343936159212229E-2</v>
      </c>
      <c r="R445" s="32">
        <v>2.2000868133890433E-2</v>
      </c>
      <c r="T445" s="38">
        <f t="shared" si="10"/>
        <v>60.490268005009966</v>
      </c>
      <c r="AE445" s="194"/>
      <c r="AF445" s="193"/>
      <c r="AG445" s="194"/>
      <c r="AH445" s="194"/>
      <c r="AI445" s="192"/>
      <c r="AJ445" s="31" t="s">
        <v>1162</v>
      </c>
      <c r="AK445" s="193"/>
      <c r="AL445" s="193"/>
      <c r="AM445" s="194"/>
      <c r="AN445" s="194"/>
      <c r="AO445" s="193"/>
      <c r="AP445" s="192"/>
      <c r="AQ445" s="192"/>
      <c r="AR445" s="194"/>
      <c r="AS445" s="192"/>
      <c r="AT445" s="194"/>
      <c r="AU445" s="194"/>
      <c r="AV445" s="192"/>
      <c r="AW445" s="194"/>
      <c r="AX445" s="209"/>
      <c r="AY445" s="192"/>
      <c r="AZ445" s="209"/>
      <c r="BA445" s="192"/>
      <c r="BB445" s="38"/>
      <c r="BC445" s="39"/>
      <c r="BD445" s="39"/>
      <c r="BE445" s="39"/>
      <c r="BF445" s="38"/>
      <c r="BG445" s="38"/>
    </row>
    <row r="446" spans="1:132" x14ac:dyDescent="0.2">
      <c r="A446" s="569" t="s">
        <v>1000</v>
      </c>
      <c r="B446" s="569"/>
      <c r="C446" s="569"/>
      <c r="K446" s="209"/>
      <c r="L446" s="192"/>
      <c r="N446" s="30"/>
      <c r="O446" s="193"/>
      <c r="P446" s="209"/>
      <c r="Q446" s="209"/>
      <c r="T446" s="38" t="e">
        <f t="shared" si="10"/>
        <v>#DIV/0!</v>
      </c>
      <c r="AE446" s="194"/>
      <c r="AF446" s="193"/>
      <c r="AG446" s="194"/>
      <c r="AH446" s="194"/>
      <c r="AI446" s="192"/>
      <c r="AK446" s="193"/>
      <c r="AL446" s="193"/>
      <c r="AM446" s="194"/>
      <c r="AN446" s="194"/>
      <c r="AO446" s="193"/>
      <c r="AP446" s="192"/>
      <c r="AQ446" s="192"/>
      <c r="AR446" s="194"/>
      <c r="AS446" s="192"/>
      <c r="AT446" s="194"/>
      <c r="AU446" s="194"/>
      <c r="AV446" s="192"/>
      <c r="AW446" s="194"/>
      <c r="AX446" s="209"/>
      <c r="AY446" s="192"/>
      <c r="AZ446" s="209"/>
      <c r="BA446" s="192"/>
      <c r="BB446" s="38"/>
      <c r="BC446" s="39"/>
      <c r="BD446" s="39"/>
      <c r="BE446" s="39"/>
      <c r="BF446" s="38"/>
      <c r="BG446" s="38"/>
    </row>
    <row r="447" spans="1:132" x14ac:dyDescent="0.2">
      <c r="A447" s="570" t="s">
        <v>1000</v>
      </c>
      <c r="B447" s="569"/>
      <c r="C447" s="570" t="s">
        <v>279</v>
      </c>
      <c r="E447">
        <v>303.98</v>
      </c>
      <c r="G447" s="30">
        <v>99.867045485774469</v>
      </c>
      <c r="H447" s="34">
        <v>45.137214860644541</v>
      </c>
      <c r="I447" s="34">
        <v>0.18762737336995891</v>
      </c>
      <c r="J447" s="34">
        <v>27.168304316996728</v>
      </c>
      <c r="K447" s="37">
        <v>0.14974097769853284</v>
      </c>
      <c r="L447" s="34">
        <v>5.8388821633002177</v>
      </c>
      <c r="M447" s="37">
        <v>9.1148206791600489E-2</v>
      </c>
      <c r="N447" s="34">
        <v>5.0148355025716045</v>
      </c>
      <c r="O447" s="72">
        <v>15.946288486766541</v>
      </c>
      <c r="P447" s="37">
        <v>0.28765879334166722</v>
      </c>
      <c r="Q447" s="37">
        <v>2.3343936159212229E-2</v>
      </c>
      <c r="R447" s="37">
        <v>2.2000868133890433E-2</v>
      </c>
      <c r="S447" s="36"/>
      <c r="T447" s="38">
        <f t="shared" si="10"/>
        <v>60.490268005009966</v>
      </c>
      <c r="U447" s="36"/>
      <c r="W447" s="36"/>
      <c r="X447" s="36"/>
      <c r="Y447" s="36"/>
      <c r="Z447" s="8">
        <v>705.94286160094578</v>
      </c>
      <c r="AA447" s="36"/>
      <c r="AB447" s="36"/>
      <c r="AC447" s="36"/>
      <c r="AD447" s="31">
        <v>193.77801405762071</v>
      </c>
      <c r="AE447" s="36"/>
      <c r="AF447" s="36"/>
      <c r="AG447" s="36"/>
      <c r="AH447" s="36"/>
      <c r="AI447" s="34">
        <v>12.629844726626756</v>
      </c>
      <c r="AJ447" s="35">
        <v>1024.5003947628136</v>
      </c>
      <c r="AK447" s="36"/>
      <c r="AL447" s="72">
        <v>13.148565366142511</v>
      </c>
      <c r="AM447" s="35">
        <v>37.820317126126724</v>
      </c>
      <c r="AN447" s="35">
        <v>4.8072899532864017</v>
      </c>
      <c r="AO447" s="72"/>
      <c r="AP447" s="36"/>
      <c r="AQ447" s="34">
        <v>7.527501809329562E-2</v>
      </c>
      <c r="AR447" s="34"/>
      <c r="AS447" s="34"/>
      <c r="AT447" s="35">
        <v>9.0861240871109965E-3</v>
      </c>
      <c r="AU447" s="35">
        <v>137.18063688400554</v>
      </c>
      <c r="AV447" s="34">
        <v>5.253992663755346</v>
      </c>
      <c r="AW447" s="35">
        <v>15.560431607342588</v>
      </c>
      <c r="AX447" s="34"/>
      <c r="AY447" s="34"/>
      <c r="AZ447" s="34"/>
      <c r="BA447" s="34"/>
      <c r="BB447" s="34"/>
      <c r="BC447" s="34"/>
      <c r="BD447" s="34">
        <v>2.0979998684123951E-3</v>
      </c>
      <c r="BE447" s="34"/>
      <c r="BF447" s="34"/>
      <c r="BG447" s="34">
        <v>6.5310217777485371E-3</v>
      </c>
      <c r="BH447" s="35">
        <v>16.622047503125209</v>
      </c>
      <c r="BI447" s="34">
        <v>0.79071093492992961</v>
      </c>
      <c r="BJ447" s="34">
        <v>2.1686489242713338</v>
      </c>
      <c r="BK447" s="34">
        <v>0.30383402516151065</v>
      </c>
      <c r="BL447" s="72">
        <v>1.5520593460096062</v>
      </c>
      <c r="BM447" s="34">
        <v>0.48937634054872031</v>
      </c>
      <c r="BN447" s="34">
        <v>0.6584296335285218</v>
      </c>
      <c r="BO447" s="34">
        <v>0.6593250218903498</v>
      </c>
      <c r="BP447" s="34">
        <v>0.12283160076320809</v>
      </c>
      <c r="BQ447" s="34">
        <v>0.81679130176585912</v>
      </c>
      <c r="BR447" s="34">
        <v>0.18721110422808995</v>
      </c>
      <c r="BS447" s="34">
        <v>0.53529946739151435</v>
      </c>
      <c r="BT447" s="34">
        <v>8.1565217035087428E-2</v>
      </c>
      <c r="BU447" s="37">
        <v>0.54797447200473726</v>
      </c>
      <c r="BV447" s="37">
        <v>8.0542739653924611E-2</v>
      </c>
      <c r="BW447" s="34">
        <v>0.33373820646095137</v>
      </c>
      <c r="BX447" s="34">
        <v>4.2734193039015725E-2</v>
      </c>
      <c r="BY447" s="36"/>
      <c r="BZ447" s="72">
        <v>1.8284130534903615</v>
      </c>
      <c r="CA447" s="72">
        <v>0.22427133364037113</v>
      </c>
      <c r="CB447" s="36"/>
      <c r="CC447" s="36"/>
      <c r="CD447" s="36"/>
      <c r="CE447" s="34">
        <v>9.904622014606225E-2</v>
      </c>
      <c r="CF447" s="34">
        <v>3.8389038752549509E-2</v>
      </c>
    </row>
    <row r="448" spans="1:132" x14ac:dyDescent="0.2">
      <c r="A448" s="570"/>
      <c r="B448" s="569"/>
      <c r="C448" s="570"/>
      <c r="H448" s="34"/>
      <c r="I448" s="34"/>
      <c r="J448" s="34"/>
      <c r="K448" s="37"/>
      <c r="L448" s="34"/>
      <c r="M448" s="37"/>
      <c r="N448" s="34"/>
      <c r="O448" s="72"/>
      <c r="P448" s="37"/>
      <c r="Q448" s="37"/>
      <c r="R448" s="37"/>
      <c r="S448" s="36"/>
      <c r="T448" s="38" t="e">
        <f t="shared" si="10"/>
        <v>#DIV/0!</v>
      </c>
      <c r="U448" s="36"/>
      <c r="W448" s="36"/>
      <c r="X448" s="36"/>
      <c r="Y448" s="36"/>
      <c r="Z448" s="8"/>
      <c r="AA448" s="36"/>
      <c r="AB448" s="36"/>
      <c r="AC448" s="36"/>
      <c r="AD448" s="31"/>
      <c r="AE448" s="36"/>
      <c r="AF448" s="36"/>
      <c r="AG448" s="36"/>
      <c r="AH448" s="36"/>
      <c r="AI448" s="34"/>
      <c r="AJ448" s="35"/>
      <c r="AK448" s="36"/>
      <c r="AL448" s="72"/>
      <c r="AM448" s="35"/>
      <c r="AN448" s="35"/>
      <c r="AO448" s="72"/>
      <c r="AP448" s="36"/>
      <c r="AQ448" s="34"/>
      <c r="AR448" s="34"/>
      <c r="AS448" s="34"/>
      <c r="AT448" s="35"/>
      <c r="AU448" s="35"/>
      <c r="AV448" s="34"/>
      <c r="AW448" s="35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5"/>
      <c r="BI448" s="34"/>
      <c r="BJ448" s="34"/>
      <c r="BK448" s="34"/>
      <c r="BL448" s="72"/>
      <c r="BM448" s="34"/>
      <c r="BN448" s="34"/>
      <c r="BO448" s="34"/>
      <c r="BP448" s="34"/>
      <c r="BQ448" s="34"/>
      <c r="BR448" s="34"/>
      <c r="BS448" s="34"/>
      <c r="BT448" s="34"/>
      <c r="BU448" s="37"/>
      <c r="BV448" s="37"/>
      <c r="BW448" s="34"/>
      <c r="BX448" s="34"/>
      <c r="BY448" s="36"/>
      <c r="BZ448" s="72"/>
      <c r="CA448" s="72"/>
      <c r="CB448" s="36"/>
      <c r="CC448" s="36"/>
      <c r="CD448" s="36"/>
      <c r="CE448" s="34"/>
      <c r="CF448" s="34"/>
    </row>
    <row r="449" spans="1:89" x14ac:dyDescent="0.2">
      <c r="A449" s="569" t="s">
        <v>1256</v>
      </c>
      <c r="B449" s="569"/>
      <c r="C449" s="569" t="s">
        <v>717</v>
      </c>
      <c r="I449" s="30"/>
      <c r="J449" s="30"/>
      <c r="K449" s="209">
        <v>0.12998836806889952</v>
      </c>
      <c r="L449" s="192">
        <v>5.0063869218500798</v>
      </c>
      <c r="M449"/>
      <c r="N449"/>
      <c r="O449" s="193">
        <v>16.159521850079742</v>
      </c>
      <c r="P449" s="209">
        <v>0.29220784688995211</v>
      </c>
      <c r="Q449" s="209">
        <v>2.4596172248803828E-2</v>
      </c>
      <c r="T449" s="38">
        <f t="shared" si="10"/>
        <v>0</v>
      </c>
      <c r="AE449" s="194"/>
      <c r="AF449" s="193"/>
      <c r="AG449" s="194"/>
      <c r="AH449" s="194"/>
      <c r="AI449" s="192">
        <v>11.204155980861245</v>
      </c>
      <c r="AJ449" s="31">
        <v>889.35665071770336</v>
      </c>
      <c r="AK449" s="193"/>
      <c r="AL449" s="193">
        <v>12.550959808612442</v>
      </c>
      <c r="AM449" s="194">
        <v>53.63604465709728</v>
      </c>
      <c r="AN449" s="194">
        <v>4.7051802232854865</v>
      </c>
      <c r="AO449" s="193"/>
      <c r="AP449" s="192"/>
      <c r="AQ449" s="192">
        <v>6.6767145135566183E-2</v>
      </c>
      <c r="AR449" s="194">
        <v>2.5303030303030303E-2</v>
      </c>
      <c r="AS449" s="192">
        <v>0.29177320574162674</v>
      </c>
      <c r="AT449" s="194">
        <v>0.73443700159489622</v>
      </c>
      <c r="AU449" s="194">
        <v>142.59968102073364</v>
      </c>
      <c r="AV449" s="161">
        <v>5.5080716978473463</v>
      </c>
      <c r="AW449" s="194">
        <v>12.815502392344497</v>
      </c>
      <c r="AX449" s="209"/>
      <c r="AY449" s="192"/>
      <c r="AZ449" s="209">
        <v>0</v>
      </c>
      <c r="BA449" s="192"/>
      <c r="BB449" s="38"/>
      <c r="BC449" s="39"/>
      <c r="BD449" s="39">
        <v>2.2437001594896333E-3</v>
      </c>
      <c r="BE449" s="39"/>
      <c r="BF449" s="38"/>
      <c r="BG449" s="38">
        <v>1.5445614035087719E-2</v>
      </c>
      <c r="BH449" s="31">
        <v>40.036905901116434</v>
      </c>
      <c r="BI449" s="30">
        <v>0.92074398724082929</v>
      </c>
      <c r="BJ449">
        <v>2.4838098883572566</v>
      </c>
      <c r="BK449" s="51">
        <v>0.32297555540640988</v>
      </c>
      <c r="BL449" s="33">
        <v>1.5763317384370015</v>
      </c>
      <c r="BM449" s="30">
        <v>0.52579419457735244</v>
      </c>
      <c r="BN449" s="30">
        <v>0.68246009569377997</v>
      </c>
      <c r="BO449" s="51">
        <v>0.69332554604679408</v>
      </c>
      <c r="BP449" s="30">
        <v>0.1292378628389155</v>
      </c>
      <c r="BQ449" s="74">
        <v>0.860394933978603</v>
      </c>
      <c r="BR449" s="74">
        <v>0.19657764328760705</v>
      </c>
      <c r="BS449" s="52">
        <v>0.56029214960486362</v>
      </c>
      <c r="BT449" s="53">
        <v>8.5101527910432156E-2</v>
      </c>
      <c r="BU449">
        <v>0.56991062200956932</v>
      </c>
      <c r="BV449" s="32">
        <v>8.4020130781499197E-2</v>
      </c>
      <c r="BW449" s="30">
        <v>0.34477566188197767</v>
      </c>
      <c r="BX449" s="30">
        <v>4.4788006379585327E-2</v>
      </c>
      <c r="BY449">
        <v>9.1518022328548637E-2</v>
      </c>
      <c r="BZ449" s="33">
        <v>1.528066985645933</v>
      </c>
      <c r="CA449" s="33">
        <v>1.5344848484848483</v>
      </c>
      <c r="CE449" s="30">
        <v>0.11840867623604465</v>
      </c>
      <c r="CF449" s="30">
        <v>3.1058213716108455E-2</v>
      </c>
      <c r="CG449">
        <v>313.5</v>
      </c>
      <c r="CI449" s="29">
        <v>0.67704502662894384</v>
      </c>
      <c r="CJ449" s="41">
        <v>0.70087423411592253</v>
      </c>
      <c r="CK449" s="29">
        <v>0.70205737739551555</v>
      </c>
    </row>
    <row r="450" spans="1:89" x14ac:dyDescent="0.2">
      <c r="A450" s="569" t="s">
        <v>1256</v>
      </c>
      <c r="B450" s="569"/>
      <c r="C450" s="569" t="s">
        <v>700</v>
      </c>
      <c r="K450" s="209"/>
      <c r="L450" s="192"/>
      <c r="N450" s="30"/>
      <c r="O450" s="193"/>
      <c r="P450" s="209"/>
      <c r="Q450" s="209"/>
      <c r="T450" s="38" t="e">
        <f t="shared" si="10"/>
        <v>#DIV/0!</v>
      </c>
      <c r="AE450" s="194"/>
      <c r="AF450" s="193"/>
      <c r="AG450" s="194"/>
      <c r="AH450" s="194"/>
      <c r="AI450" s="192"/>
      <c r="AK450" s="193"/>
      <c r="AL450" s="193"/>
      <c r="AM450" s="194"/>
      <c r="AN450" s="194"/>
      <c r="AO450" s="193"/>
      <c r="AP450" s="192"/>
      <c r="AQ450" s="192"/>
      <c r="AR450" s="194"/>
      <c r="AS450" s="192"/>
      <c r="AT450" s="194"/>
      <c r="AU450" s="194"/>
      <c r="AV450" s="192"/>
      <c r="AW450" s="194"/>
      <c r="AX450" s="209"/>
      <c r="AY450" s="192"/>
      <c r="AZ450" s="209"/>
      <c r="BA450" s="192"/>
      <c r="BB450" s="38"/>
      <c r="BC450" s="39"/>
      <c r="BD450" s="39"/>
      <c r="BE450" s="39"/>
      <c r="BF450" s="38"/>
      <c r="BG450" s="38"/>
    </row>
    <row r="451" spans="1:89" x14ac:dyDescent="0.2">
      <c r="A451" s="569" t="s">
        <v>1256</v>
      </c>
      <c r="B451" s="569"/>
      <c r="C451" s="569" t="s">
        <v>85</v>
      </c>
      <c r="H451" s="432">
        <v>45.054971747060016</v>
      </c>
      <c r="I451" s="432">
        <v>0.18503465916721251</v>
      </c>
      <c r="J451" s="432">
        <v>28.105763464244873</v>
      </c>
      <c r="K451" s="209">
        <v>0.12998836806889946</v>
      </c>
      <c r="L451" s="192">
        <v>5.0063869218500798</v>
      </c>
      <c r="M451" s="432">
        <v>8.1429488216550328E-2</v>
      </c>
      <c r="N451" s="432">
        <v>4.5121333497289067</v>
      </c>
      <c r="O451" s="432">
        <v>16.72292345145943</v>
      </c>
      <c r="P451" s="209">
        <v>0.29220784688995211</v>
      </c>
      <c r="Q451" s="432">
        <v>2.7270630367368327E-2</v>
      </c>
      <c r="R451" s="432">
        <v>3.6800034778192312E-2</v>
      </c>
      <c r="T451" s="38">
        <f t="shared" ref="T451:T514" si="11">100*(N451/40.304)/(N451/40.304+L451/71.846)</f>
        <v>61.636075923858598</v>
      </c>
      <c r="AE451" s="194"/>
      <c r="AF451" s="193"/>
      <c r="AG451" s="194"/>
      <c r="AH451" s="194"/>
      <c r="AI451" s="192"/>
      <c r="AK451" s="193"/>
      <c r="AL451" s="193"/>
      <c r="AM451" s="194"/>
      <c r="AN451" s="194"/>
      <c r="AO451" s="193"/>
      <c r="AP451" s="192"/>
      <c r="AQ451" s="192"/>
      <c r="AR451" s="194"/>
      <c r="AS451" s="192"/>
      <c r="AT451" s="194"/>
      <c r="AU451" s="194"/>
      <c r="AV451" s="192"/>
      <c r="AW451" s="194"/>
      <c r="AX451" s="209"/>
      <c r="AY451" s="192"/>
      <c r="AZ451" s="209"/>
      <c r="BA451" s="192"/>
      <c r="BB451" s="38"/>
      <c r="BC451" s="39"/>
      <c r="BD451" s="39"/>
      <c r="BE451" s="39"/>
      <c r="BF451" s="38"/>
      <c r="BG451" s="38"/>
    </row>
    <row r="452" spans="1:89" x14ac:dyDescent="0.2">
      <c r="A452" s="570" t="s">
        <v>1256</v>
      </c>
      <c r="B452" s="569"/>
      <c r="C452" s="570" t="s">
        <v>279</v>
      </c>
      <c r="E452">
        <v>313.5</v>
      </c>
      <c r="G452" s="30">
        <v>99.871871932082371</v>
      </c>
      <c r="H452" s="34">
        <v>45.054971747060016</v>
      </c>
      <c r="I452" s="34">
        <v>0.18503465916721251</v>
      </c>
      <c r="J452" s="34">
        <v>28.105763464244873</v>
      </c>
      <c r="K452" s="37">
        <v>0.12998836806889949</v>
      </c>
      <c r="L452" s="34">
        <v>5.0063869218500798</v>
      </c>
      <c r="M452" s="37">
        <v>8.1429488216550328E-2</v>
      </c>
      <c r="N452" s="34">
        <v>4.5121333497289067</v>
      </c>
      <c r="O452" s="72">
        <v>16.441222650769586</v>
      </c>
      <c r="P452" s="37">
        <v>0.29220784688995211</v>
      </c>
      <c r="Q452" s="37">
        <v>2.5933401308086079E-2</v>
      </c>
      <c r="R452" s="37">
        <v>3.6800034778192312E-2</v>
      </c>
      <c r="S452" s="36"/>
      <c r="T452" s="38">
        <f t="shared" si="11"/>
        <v>61.636075923858598</v>
      </c>
      <c r="U452" s="36"/>
      <c r="W452" s="36"/>
      <c r="X452" s="36"/>
      <c r="Y452" s="36"/>
      <c r="Z452" s="8">
        <v>630.67138623718233</v>
      </c>
      <c r="AA452" s="36"/>
      <c r="AB452" s="36"/>
      <c r="AC452" s="36"/>
      <c r="AD452" s="31">
        <v>215.27316425842255</v>
      </c>
      <c r="AE452" s="36"/>
      <c r="AF452" s="36"/>
      <c r="AG452" s="36"/>
      <c r="AH452" s="36"/>
      <c r="AI452" s="34">
        <v>11.204155980861245</v>
      </c>
      <c r="AJ452" s="35">
        <v>889.35665071770336</v>
      </c>
      <c r="AK452" s="36"/>
      <c r="AL452" s="72">
        <v>12.550959808612442</v>
      </c>
      <c r="AM452" s="35">
        <v>53.63604465709728</v>
      </c>
      <c r="AN452" s="35">
        <v>4.7051802232854865</v>
      </c>
      <c r="AO452" s="72"/>
      <c r="AP452" s="36"/>
      <c r="AQ452" s="34">
        <v>6.6767145135566183E-2</v>
      </c>
      <c r="AR452" s="34"/>
      <c r="AS452" s="34"/>
      <c r="AT452" s="35">
        <v>0.73443700159489622</v>
      </c>
      <c r="AU452" s="35">
        <v>142.59968102073364</v>
      </c>
      <c r="AV452" s="34">
        <v>5.5080716978473463</v>
      </c>
      <c r="AW452" s="35">
        <v>12.815502392344497</v>
      </c>
      <c r="AX452" s="34"/>
      <c r="AY452" s="34"/>
      <c r="AZ452" s="34"/>
      <c r="BA452" s="34"/>
      <c r="BB452" s="34"/>
      <c r="BC452" s="34"/>
      <c r="BD452" s="34">
        <v>2.2437001594896333E-3</v>
      </c>
      <c r="BE452" s="34"/>
      <c r="BF452" s="34"/>
      <c r="BG452" s="34">
        <v>1.5445614035087719E-2</v>
      </c>
      <c r="BH452" s="35">
        <v>40.036905901116434</v>
      </c>
      <c r="BI452" s="34">
        <v>0.92074398724082929</v>
      </c>
      <c r="BJ452" s="34">
        <v>2.4838098883572566</v>
      </c>
      <c r="BK452" s="34">
        <v>0.32297555540640988</v>
      </c>
      <c r="BL452" s="72">
        <v>1.5763317384370015</v>
      </c>
      <c r="BM452" s="34">
        <v>0.52579419457735244</v>
      </c>
      <c r="BN452" s="34">
        <v>0.68246009569377997</v>
      </c>
      <c r="BO452" s="34">
        <v>0.69332554604679408</v>
      </c>
      <c r="BP452" s="34">
        <v>0.1292378628389155</v>
      </c>
      <c r="BQ452" s="34">
        <v>0.860394933978603</v>
      </c>
      <c r="BR452" s="34">
        <v>0.19657764328760705</v>
      </c>
      <c r="BS452" s="34">
        <v>0.56029214960486362</v>
      </c>
      <c r="BT452" s="34">
        <v>8.5101527910432156E-2</v>
      </c>
      <c r="BU452" s="37">
        <v>0.56991062200956932</v>
      </c>
      <c r="BV452" s="37">
        <v>8.4020130781499197E-2</v>
      </c>
      <c r="BW452" s="34">
        <v>0.34477566188197767</v>
      </c>
      <c r="BX452" s="34">
        <v>4.4788006379585327E-2</v>
      </c>
      <c r="BY452" s="36"/>
      <c r="BZ452" s="72">
        <v>1.528066985645933</v>
      </c>
      <c r="CA452" s="72">
        <v>1.5344848484848483</v>
      </c>
      <c r="CB452" s="36"/>
      <c r="CC452" s="36"/>
      <c r="CD452" s="36"/>
      <c r="CE452" s="34">
        <v>0.11840867623604465</v>
      </c>
      <c r="CF452" s="34">
        <v>3.1058213716108455E-2</v>
      </c>
    </row>
    <row r="453" spans="1:89" x14ac:dyDescent="0.2">
      <c r="A453" s="570"/>
      <c r="B453" s="569"/>
      <c r="C453" s="570"/>
      <c r="H453" s="34"/>
      <c r="I453" s="34"/>
      <c r="J453" s="34"/>
      <c r="K453" s="37"/>
      <c r="L453" s="34"/>
      <c r="M453" s="37"/>
      <c r="N453" s="34"/>
      <c r="O453" s="72"/>
      <c r="P453" s="37"/>
      <c r="Q453" s="37"/>
      <c r="R453" s="37"/>
      <c r="S453" s="36"/>
      <c r="T453" s="38" t="e">
        <f t="shared" si="11"/>
        <v>#DIV/0!</v>
      </c>
      <c r="U453" s="36"/>
      <c r="W453" s="36"/>
      <c r="X453" s="36"/>
      <c r="Y453" s="36"/>
      <c r="Z453" s="8"/>
      <c r="AA453" s="36"/>
      <c r="AB453" s="36"/>
      <c r="AC453" s="36"/>
      <c r="AD453" s="31"/>
      <c r="AE453" s="36"/>
      <c r="AF453" s="36"/>
      <c r="AG453" s="36"/>
      <c r="AH453" s="36"/>
      <c r="AI453" s="34"/>
      <c r="AJ453" s="35"/>
      <c r="AK453" s="36"/>
      <c r="AL453" s="72"/>
      <c r="AM453" s="35"/>
      <c r="AN453" s="35"/>
      <c r="AO453" s="72"/>
      <c r="AP453" s="36"/>
      <c r="AQ453" s="34"/>
      <c r="AR453" s="34"/>
      <c r="AS453" s="34"/>
      <c r="AT453" s="35"/>
      <c r="AU453" s="35"/>
      <c r="AV453" s="34"/>
      <c r="AW453" s="35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5"/>
      <c r="BI453" s="34"/>
      <c r="BJ453" s="34"/>
      <c r="BK453" s="34"/>
      <c r="BL453" s="72"/>
      <c r="BM453" s="34"/>
      <c r="BN453" s="34"/>
      <c r="BO453" s="34"/>
      <c r="BP453" s="34"/>
      <c r="BQ453" s="34"/>
      <c r="BR453" s="34"/>
      <c r="BS453" s="34"/>
      <c r="BT453" s="34"/>
      <c r="BU453" s="37"/>
      <c r="BV453" s="37"/>
      <c r="BW453" s="34"/>
      <c r="BX453" s="34"/>
      <c r="BY453" s="36"/>
      <c r="BZ453" s="72"/>
      <c r="CA453" s="72"/>
      <c r="CB453" s="36"/>
      <c r="CC453" s="36"/>
      <c r="CD453" s="36"/>
      <c r="CE453" s="34"/>
      <c r="CF453" s="34"/>
    </row>
    <row r="454" spans="1:89" x14ac:dyDescent="0.2">
      <c r="A454" s="569" t="s">
        <v>6</v>
      </c>
      <c r="B454" s="569"/>
      <c r="C454" s="569" t="s">
        <v>717</v>
      </c>
      <c r="I454" s="30"/>
      <c r="J454" s="30"/>
      <c r="K454" s="209">
        <v>0.19396631386670088</v>
      </c>
      <c r="L454" s="192">
        <v>5.9958125722357778</v>
      </c>
      <c r="M454"/>
      <c r="N454"/>
      <c r="O454" s="193">
        <v>15.877311544882495</v>
      </c>
      <c r="P454" s="209">
        <v>0.28334657120842427</v>
      </c>
      <c r="Q454" s="209">
        <v>3.4295299858738922E-2</v>
      </c>
      <c r="T454" s="38">
        <f t="shared" si="11"/>
        <v>0</v>
      </c>
      <c r="AE454" s="194"/>
      <c r="AF454" s="193"/>
      <c r="AG454" s="194"/>
      <c r="AH454" s="194"/>
      <c r="AI454" s="192">
        <v>14.60637023243868</v>
      </c>
      <c r="AJ454" s="31">
        <v>1327.0820598433284</v>
      </c>
      <c r="AK454" s="193"/>
      <c r="AL454" s="193">
        <v>14.54436785668422</v>
      </c>
      <c r="AM454" s="194">
        <v>57.152947219725178</v>
      </c>
      <c r="AN454" s="194">
        <v>2.6810838577115708</v>
      </c>
      <c r="AO454" s="193"/>
      <c r="AP454" s="192"/>
      <c r="AQ454" s="192">
        <v>0.15280050083472449</v>
      </c>
      <c r="AR454" s="194">
        <v>3.3161037626813918E-2</v>
      </c>
      <c r="AS454" s="192">
        <v>0.81919224348272757</v>
      </c>
      <c r="AT454" s="194">
        <v>0.55589443945036598</v>
      </c>
      <c r="AU454" s="194">
        <v>137.83401823552074</v>
      </c>
      <c r="AV454" s="161">
        <v>5.5791405856109302</v>
      </c>
      <c r="AW454" s="194">
        <v>15.400057788622062</v>
      </c>
      <c r="AX454" s="209"/>
      <c r="AY454" s="192"/>
      <c r="AZ454" s="209">
        <v>0</v>
      </c>
      <c r="BA454" s="192"/>
      <c r="BB454" s="38"/>
      <c r="BC454" s="39"/>
      <c r="BD454" s="39">
        <v>5.0309490175934257E-3</v>
      </c>
      <c r="BE454" s="39"/>
      <c r="BF454" s="38"/>
      <c r="BG454" s="38">
        <v>1.3334403493001157E-2</v>
      </c>
      <c r="BH454" s="31">
        <v>86.125658148195711</v>
      </c>
      <c r="BI454" s="30">
        <v>0.91380737125979195</v>
      </c>
      <c r="BJ454">
        <v>2.4706449852317962</v>
      </c>
      <c r="BK454" s="51">
        <v>0.21760971211520388</v>
      </c>
      <c r="BL454" s="33">
        <v>0.87508989341209698</v>
      </c>
      <c r="BM454" s="30">
        <v>0.53092532425837924</v>
      </c>
      <c r="BN454" s="30">
        <v>0.63765548349813783</v>
      </c>
      <c r="BO454" s="51">
        <v>0.68535871947308247</v>
      </c>
      <c r="BP454" s="30">
        <v>0.12593839090792347</v>
      </c>
      <c r="BQ454" s="74">
        <v>0.86268107896904511</v>
      </c>
      <c r="BR454" s="74">
        <v>0.19843934455027348</v>
      </c>
      <c r="BS454" s="52">
        <v>0.56945094549977693</v>
      </c>
      <c r="BT454" s="53">
        <v>8.7083153921638734E-2</v>
      </c>
      <c r="BU454">
        <v>0.58717214588416589</v>
      </c>
      <c r="BV454" s="32">
        <v>8.6104186464620508E-2</v>
      </c>
      <c r="BW454" s="30">
        <v>0.32712170925902145</v>
      </c>
      <c r="BX454" s="30">
        <v>2.8908726081931423E-2</v>
      </c>
      <c r="BY454">
        <v>3.0929112623603441E-2</v>
      </c>
      <c r="BZ454" s="33">
        <v>2.2844131244381658</v>
      </c>
      <c r="CA454" s="33">
        <v>0.43017850263259283</v>
      </c>
      <c r="CE454" s="30">
        <v>0.10656244381661746</v>
      </c>
      <c r="CF454" s="30">
        <v>5.8136316938487219E-2</v>
      </c>
      <c r="CG454">
        <v>311.48</v>
      </c>
      <c r="CI454" s="29">
        <v>0.68839223371318969</v>
      </c>
      <c r="CJ454" s="41">
        <v>0.69112922450648862</v>
      </c>
      <c r="CK454" s="29">
        <v>0.67655470019956954</v>
      </c>
    </row>
    <row r="455" spans="1:89" x14ac:dyDescent="0.2">
      <c r="A455" s="569" t="s">
        <v>6</v>
      </c>
      <c r="B455" s="569"/>
      <c r="C455" s="569" t="s">
        <v>700</v>
      </c>
      <c r="H455" s="30">
        <v>45.544303824814911</v>
      </c>
      <c r="I455" s="6">
        <v>0.21244911622270465</v>
      </c>
      <c r="J455" s="6">
        <v>25.79978492481516</v>
      </c>
      <c r="K455" s="209">
        <v>0.19396631386670088</v>
      </c>
      <c r="L455" s="192">
        <v>5.9958125722357778</v>
      </c>
      <c r="M455" s="3">
        <v>0.10270238617102372</v>
      </c>
      <c r="N455" s="30">
        <v>5.8594523320464553</v>
      </c>
      <c r="O455" s="193">
        <v>15.943945771347048</v>
      </c>
      <c r="P455" s="209">
        <v>0.28334657120842427</v>
      </c>
      <c r="Q455" s="209">
        <v>3.0984890405524563E-2</v>
      </c>
      <c r="R455" s="32">
        <v>4.8171605280835778E-2</v>
      </c>
      <c r="T455" s="38">
        <f t="shared" si="11"/>
        <v>63.531084527848776</v>
      </c>
      <c r="AE455" s="194"/>
      <c r="AF455" s="193"/>
      <c r="AG455" s="194"/>
      <c r="AH455" s="194"/>
      <c r="AI455" s="192"/>
      <c r="AK455" s="193"/>
      <c r="AL455" s="193"/>
      <c r="AM455" s="194"/>
      <c r="AN455" s="194"/>
      <c r="AO455" s="193"/>
      <c r="AP455" s="192"/>
      <c r="AQ455" s="192"/>
      <c r="AR455" s="194"/>
      <c r="AS455" s="192"/>
      <c r="AT455" s="194"/>
      <c r="AU455" s="194"/>
      <c r="AV455" s="192"/>
      <c r="AW455" s="194"/>
      <c r="AX455" s="209"/>
      <c r="AY455" s="192"/>
      <c r="AZ455" s="209"/>
      <c r="BA455" s="192"/>
      <c r="BB455" s="38"/>
      <c r="BC455" s="39"/>
      <c r="BD455" s="39"/>
      <c r="BE455" s="39"/>
      <c r="BF455" s="38"/>
      <c r="BG455" s="38"/>
    </row>
    <row r="456" spans="1:89" x14ac:dyDescent="0.2">
      <c r="A456" s="569" t="s">
        <v>6</v>
      </c>
      <c r="B456" s="569"/>
      <c r="C456" s="569" t="s">
        <v>87</v>
      </c>
      <c r="H456" s="30">
        <v>44.2</v>
      </c>
      <c r="I456" s="6">
        <v>0.21</v>
      </c>
      <c r="J456" s="6">
        <v>26.2</v>
      </c>
      <c r="K456" s="209">
        <v>0.13</v>
      </c>
      <c r="L456" s="192">
        <v>5.67</v>
      </c>
      <c r="M456" s="3">
        <v>0.08</v>
      </c>
      <c r="N456" s="30">
        <v>4.43</v>
      </c>
      <c r="O456" s="193">
        <v>15.3</v>
      </c>
      <c r="P456" s="209"/>
      <c r="Q456" s="209"/>
      <c r="R456" s="32">
        <v>0.03</v>
      </c>
      <c r="T456" s="38">
        <f t="shared" si="11"/>
        <v>58.207192789865623</v>
      </c>
      <c r="AE456" s="194"/>
      <c r="AF456" s="193"/>
      <c r="AG456" s="194"/>
      <c r="AH456" s="194"/>
      <c r="AI456" s="192"/>
      <c r="AK456" s="193"/>
      <c r="AL456" s="193"/>
      <c r="AM456" s="194"/>
      <c r="AN456" s="194"/>
      <c r="AO456" s="193"/>
      <c r="AP456" s="192"/>
      <c r="AQ456" s="192"/>
      <c r="AR456" s="194"/>
      <c r="AS456" s="192"/>
      <c r="AT456" s="194"/>
      <c r="AU456" s="194"/>
      <c r="AV456" s="192"/>
      <c r="AW456" s="194"/>
      <c r="AX456" s="209"/>
      <c r="AY456" s="192"/>
      <c r="AZ456" s="209"/>
      <c r="BA456" s="192"/>
      <c r="BB456" s="38"/>
      <c r="BC456" s="39"/>
      <c r="BD456" s="39"/>
      <c r="BE456" s="39"/>
      <c r="BF456" s="38"/>
      <c r="BG456" s="38"/>
    </row>
    <row r="457" spans="1:89" x14ac:dyDescent="0.2">
      <c r="A457" s="570" t="s">
        <v>6</v>
      </c>
      <c r="B457" s="569"/>
      <c r="C457" s="570" t="s">
        <v>279</v>
      </c>
      <c r="E457">
        <v>311.48</v>
      </c>
      <c r="G457" s="30">
        <v>98.441357123827615</v>
      </c>
      <c r="H457" s="34">
        <v>44.87215191240746</v>
      </c>
      <c r="I457" s="34">
        <v>0.21122455811135232</v>
      </c>
      <c r="J457" s="34">
        <v>25.99989246240758</v>
      </c>
      <c r="K457" s="37">
        <v>0.17264420924446724</v>
      </c>
      <c r="L457" s="34">
        <v>5.8872083814905194</v>
      </c>
      <c r="M457" s="37">
        <v>9.1351193085511859E-2</v>
      </c>
      <c r="N457" s="34">
        <v>5.1447261660232275</v>
      </c>
      <c r="O457" s="72">
        <v>15.707085772076516</v>
      </c>
      <c r="P457" s="37">
        <v>0.28334657120842427</v>
      </c>
      <c r="Q457" s="37">
        <v>3.2640095132131744E-2</v>
      </c>
      <c r="R457" s="37">
        <v>3.9085802640417888E-2</v>
      </c>
      <c r="S457" s="36"/>
      <c r="T457" s="38">
        <f t="shared" si="11"/>
        <v>60.903660550222945</v>
      </c>
      <c r="U457" s="36"/>
      <c r="W457" s="36"/>
      <c r="X457" s="36"/>
      <c r="Y457" s="36"/>
      <c r="Z457" s="8">
        <v>707.51499044728939</v>
      </c>
      <c r="AA457" s="36"/>
      <c r="AB457" s="36"/>
      <c r="AC457" s="36"/>
      <c r="AD457" s="31">
        <v>270.94542969182561</v>
      </c>
      <c r="AE457" s="36"/>
      <c r="AF457" s="36"/>
      <c r="AG457" s="36"/>
      <c r="AH457" s="36"/>
      <c r="AI457" s="34">
        <v>14.60637023243868</v>
      </c>
      <c r="AJ457" s="35">
        <v>1327.0820598433284</v>
      </c>
      <c r="AK457" s="36"/>
      <c r="AL457" s="72">
        <v>14.54436785668422</v>
      </c>
      <c r="AM457" s="35">
        <v>57.152947219725178</v>
      </c>
      <c r="AN457" s="35">
        <v>2.6810838577115708</v>
      </c>
      <c r="AO457" s="72"/>
      <c r="AP457" s="36"/>
      <c r="AQ457" s="34">
        <v>0.15280050083472449</v>
      </c>
      <c r="AR457" s="34"/>
      <c r="AS457" s="34"/>
      <c r="AT457" s="35">
        <v>0.55589443945036598</v>
      </c>
      <c r="AU457" s="35">
        <v>137.83401823552074</v>
      </c>
      <c r="AV457" s="34">
        <v>5.5791405856109302</v>
      </c>
      <c r="AW457" s="35">
        <v>15.400057788622062</v>
      </c>
      <c r="AX457" s="34"/>
      <c r="AY457" s="34"/>
      <c r="AZ457" s="34"/>
      <c r="BA457" s="34"/>
      <c r="BB457" s="34"/>
      <c r="BC457" s="34"/>
      <c r="BD457" s="34">
        <v>5.0309490175934257E-3</v>
      </c>
      <c r="BE457" s="34"/>
      <c r="BF457" s="34"/>
      <c r="BG457" s="34">
        <v>1.3334403493001157E-2</v>
      </c>
      <c r="BH457" s="35">
        <v>86.125658148195711</v>
      </c>
      <c r="BI457" s="34">
        <v>0.91380737125979195</v>
      </c>
      <c r="BJ457" s="34">
        <v>2.4706449852317962</v>
      </c>
      <c r="BK457" s="34">
        <v>0.21760971211520388</v>
      </c>
      <c r="BL457" s="72">
        <v>0.87508989341209698</v>
      </c>
      <c r="BM457" s="34">
        <v>0.53092532425837924</v>
      </c>
      <c r="BN457" s="34">
        <v>0.63765548349813783</v>
      </c>
      <c r="BO457" s="34">
        <v>0.68535871947308247</v>
      </c>
      <c r="BP457" s="34">
        <v>0.12593839090792347</v>
      </c>
      <c r="BQ457" s="34">
        <v>0.86268107896904511</v>
      </c>
      <c r="BR457" s="34">
        <v>0.19843934455027348</v>
      </c>
      <c r="BS457" s="34">
        <v>0.56945094549977693</v>
      </c>
      <c r="BT457" s="34">
        <v>8.7083153921638734E-2</v>
      </c>
      <c r="BU457" s="37">
        <v>0.58717214588416589</v>
      </c>
      <c r="BV457" s="37">
        <v>8.6104186464620508E-2</v>
      </c>
      <c r="BW457" s="34">
        <v>0.32712170925902145</v>
      </c>
      <c r="BX457" s="34">
        <v>2.8908726081931423E-2</v>
      </c>
      <c r="BY457" s="36"/>
      <c r="BZ457" s="72">
        <v>2.2844131244381658</v>
      </c>
      <c r="CA457" s="72">
        <v>0.43017850263259283</v>
      </c>
      <c r="CB457" s="36"/>
      <c r="CC457" s="36"/>
      <c r="CD457" s="36"/>
      <c r="CE457" s="34">
        <v>0.10656244381661746</v>
      </c>
      <c r="CF457" s="34">
        <v>5.8136316938487219E-2</v>
      </c>
    </row>
    <row r="458" spans="1:89" x14ac:dyDescent="0.2">
      <c r="A458" s="570"/>
      <c r="B458" s="569"/>
      <c r="C458" s="570"/>
      <c r="G458" s="30"/>
      <c r="H458" s="34"/>
      <c r="I458" s="34"/>
      <c r="J458" s="34"/>
      <c r="K458" s="37"/>
      <c r="L458" s="34"/>
      <c r="M458" s="37"/>
      <c r="N458" s="34"/>
      <c r="O458" s="72"/>
      <c r="P458" s="37"/>
      <c r="Q458" s="37"/>
      <c r="R458" s="37"/>
      <c r="S458" s="36"/>
      <c r="T458" s="38" t="e">
        <f t="shared" si="11"/>
        <v>#DIV/0!</v>
      </c>
      <c r="U458" s="36"/>
      <c r="W458" s="36"/>
      <c r="X458" s="36"/>
      <c r="Y458" s="36"/>
      <c r="Z458" s="8"/>
      <c r="AA458" s="36"/>
      <c r="AB458" s="36"/>
      <c r="AC458" s="36"/>
      <c r="AD458" s="31"/>
      <c r="AE458" s="36"/>
      <c r="AF458" s="36"/>
      <c r="AG458" s="36"/>
      <c r="AH458" s="36"/>
      <c r="AI458" s="34"/>
      <c r="AJ458" s="35"/>
      <c r="AK458" s="36"/>
      <c r="AL458" s="72"/>
      <c r="AM458" s="35"/>
      <c r="AN458" s="35"/>
      <c r="AO458" s="72"/>
      <c r="AP458" s="36"/>
      <c r="AQ458" s="34"/>
      <c r="AR458" s="34"/>
      <c r="AS458" s="34"/>
      <c r="AT458" s="35"/>
      <c r="AU458" s="35"/>
      <c r="AV458" s="34"/>
      <c r="AW458" s="35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5"/>
      <c r="BI458" s="34"/>
      <c r="BJ458" s="34"/>
      <c r="BK458" s="34"/>
      <c r="BL458" s="72"/>
      <c r="BM458" s="34"/>
      <c r="BN458" s="34"/>
      <c r="BO458" s="34"/>
      <c r="BP458" s="34"/>
      <c r="BQ458" s="34"/>
      <c r="BR458" s="34"/>
      <c r="BS458" s="34"/>
      <c r="BT458" s="34"/>
      <c r="BU458" s="37"/>
      <c r="BV458" s="37"/>
      <c r="BW458" s="34"/>
      <c r="BX458" s="34"/>
      <c r="BY458" s="36"/>
      <c r="BZ458" s="72"/>
      <c r="CA458" s="72"/>
      <c r="CB458" s="36"/>
      <c r="CC458" s="36"/>
      <c r="CD458" s="36"/>
      <c r="CE458" s="34"/>
      <c r="CF458" s="34"/>
    </row>
    <row r="459" spans="1:89" x14ac:dyDescent="0.2">
      <c r="A459" s="571" t="s">
        <v>65</v>
      </c>
      <c r="B459" s="569"/>
      <c r="C459" s="569" t="s">
        <v>717</v>
      </c>
      <c r="G459" s="30"/>
      <c r="H459" s="34"/>
      <c r="I459" s="34"/>
      <c r="J459" s="34"/>
      <c r="K459" s="37">
        <v>7.0504171638872903E-2</v>
      </c>
      <c r="L459" s="34">
        <v>3.2750747556066702</v>
      </c>
      <c r="M459" s="37"/>
      <c r="N459" s="34"/>
      <c r="O459" s="72">
        <v>16.825301897642319</v>
      </c>
      <c r="P459" s="37">
        <v>0.30051121334100056</v>
      </c>
      <c r="Q459" s="37">
        <v>2.0270270270270268E-2</v>
      </c>
      <c r="R459" s="37"/>
      <c r="S459" s="36"/>
      <c r="T459" s="38">
        <f t="shared" si="11"/>
        <v>0</v>
      </c>
      <c r="U459" s="36"/>
      <c r="W459" s="36"/>
      <c r="X459" s="36"/>
      <c r="Y459" s="36"/>
      <c r="Z459" s="8"/>
      <c r="AA459" s="36"/>
      <c r="AB459" s="36"/>
      <c r="AC459" s="36"/>
      <c r="AD459" s="31"/>
      <c r="AE459" s="36"/>
      <c r="AF459" s="36"/>
      <c r="AG459" s="36"/>
      <c r="AH459" s="36"/>
      <c r="AI459" s="34">
        <v>7.0862420931569865</v>
      </c>
      <c r="AJ459" s="35">
        <v>482.37665324899359</v>
      </c>
      <c r="AK459" s="36"/>
      <c r="AL459" s="72">
        <v>7.7761558366877512</v>
      </c>
      <c r="AM459" s="35">
        <v>25.64634847613571</v>
      </c>
      <c r="AN459" s="35">
        <v>4.4373778033352496</v>
      </c>
      <c r="AO459" s="72"/>
      <c r="AP459" s="36"/>
      <c r="AQ459" s="34">
        <v>4.6049453709028181E-2</v>
      </c>
      <c r="AR459" s="34">
        <v>7.3502012650948814E-2</v>
      </c>
      <c r="AS459" s="34">
        <v>0.22334675100632548</v>
      </c>
      <c r="AT459" s="35">
        <v>0</v>
      </c>
      <c r="AU459" s="35">
        <v>141.58481886141459</v>
      </c>
      <c r="AV459" s="161">
        <v>3.6328869014068736</v>
      </c>
      <c r="AW459" s="35">
        <v>4.6756756756756754</v>
      </c>
      <c r="AX459" s="34"/>
      <c r="AY459" s="34"/>
      <c r="AZ459" s="34">
        <v>0</v>
      </c>
      <c r="BA459" s="34"/>
      <c r="BB459" s="34"/>
      <c r="BC459" s="34"/>
      <c r="BD459" s="34">
        <v>7.2949971247843583E-3</v>
      </c>
      <c r="BE459" s="34"/>
      <c r="BF459" s="34"/>
      <c r="BG459" s="34">
        <v>2.4759056929269697E-2</v>
      </c>
      <c r="BH459" s="35">
        <v>29.683151236342727</v>
      </c>
      <c r="BI459" s="34">
        <v>0.85610034502587684</v>
      </c>
      <c r="BJ459" s="34">
        <v>2.308803910293272</v>
      </c>
      <c r="BK459" s="51">
        <v>0.27351919926486573</v>
      </c>
      <c r="BL459" s="72">
        <v>1.2740368027602069</v>
      </c>
      <c r="BM459" s="34">
        <v>0.40040684301322599</v>
      </c>
      <c r="BN459" s="34">
        <v>0.68133036227717081</v>
      </c>
      <c r="BO459" s="51">
        <v>0.48072418304646414</v>
      </c>
      <c r="BP459" s="34">
        <v>8.6589419206440477E-2</v>
      </c>
      <c r="BQ459" s="74">
        <v>0.58292030121867855</v>
      </c>
      <c r="BR459" s="74">
        <v>0.13081830571541764</v>
      </c>
      <c r="BS459" s="52">
        <v>0.36625598254195801</v>
      </c>
      <c r="BT459" s="53">
        <v>5.4645710497729816E-2</v>
      </c>
      <c r="BU459" s="37">
        <v>0.35948993674525587</v>
      </c>
      <c r="BV459" s="37">
        <v>5.2299539965497417E-2</v>
      </c>
      <c r="BW459" s="34">
        <v>0.2167144910868315</v>
      </c>
      <c r="BX459" s="34">
        <v>3.5975273145485903E-2</v>
      </c>
      <c r="BY459" s="36">
        <v>0.11628809660724554</v>
      </c>
      <c r="BZ459" s="72">
        <v>0.39850488786658994</v>
      </c>
      <c r="CA459" s="72">
        <v>0</v>
      </c>
      <c r="CB459" s="36"/>
      <c r="CC459" s="36"/>
      <c r="CD459" s="36"/>
      <c r="CE459" s="34">
        <v>0.11621650373778034</v>
      </c>
      <c r="CF459" s="34">
        <v>3.3648648648648645E-2</v>
      </c>
      <c r="CG459">
        <v>104.34</v>
      </c>
      <c r="CI459" s="29">
        <v>0.47601783648221041</v>
      </c>
      <c r="CJ459" s="41">
        <v>0.49006732004294484</v>
      </c>
      <c r="CK459" s="29">
        <v>0.47608739261423716</v>
      </c>
    </row>
    <row r="460" spans="1:89" x14ac:dyDescent="0.2">
      <c r="A460" s="571" t="s">
        <v>65</v>
      </c>
      <c r="B460" s="569"/>
      <c r="C460" s="570"/>
      <c r="E460">
        <v>104.34</v>
      </c>
      <c r="G460" s="30"/>
      <c r="H460" s="432">
        <v>44.541623929880856</v>
      </c>
      <c r="I460" s="432">
        <v>0.15808087080927657</v>
      </c>
      <c r="J460" s="432">
        <v>31.149074421721018</v>
      </c>
      <c r="K460" s="209">
        <v>7.0504171638872903E-2</v>
      </c>
      <c r="L460" s="192">
        <v>3.2750747556066702</v>
      </c>
      <c r="M460" s="432">
        <v>5.1892645563375639E-2</v>
      </c>
      <c r="N460" s="432">
        <v>2.7749327372915751</v>
      </c>
      <c r="O460" s="432">
        <v>18.026697009698282</v>
      </c>
      <c r="P460" s="209">
        <v>0.30051121334100056</v>
      </c>
      <c r="Q460" s="432">
        <v>2.7613337224598074E-2</v>
      </c>
      <c r="R460" s="432">
        <v>4.0121052629780898E-2</v>
      </c>
      <c r="S460" s="36"/>
      <c r="T460" s="38">
        <f t="shared" si="11"/>
        <v>60.165363524225093</v>
      </c>
      <c r="U460" s="36"/>
      <c r="W460" s="36"/>
      <c r="X460" s="36"/>
      <c r="Y460" s="36"/>
      <c r="Z460" s="8"/>
      <c r="AA460" s="36"/>
      <c r="AB460" s="36"/>
      <c r="AC460" s="36"/>
      <c r="AD460" s="31"/>
      <c r="AE460" s="36"/>
      <c r="AF460" s="36"/>
      <c r="AG460" s="36"/>
      <c r="AH460" s="36"/>
      <c r="AI460" s="34"/>
      <c r="AJ460" s="35"/>
      <c r="AK460" s="36"/>
      <c r="AL460" s="72"/>
      <c r="AM460" s="35"/>
      <c r="AN460" s="35"/>
      <c r="AO460" s="72"/>
      <c r="AP460" s="36"/>
      <c r="AQ460" s="34"/>
      <c r="AR460" s="34"/>
      <c r="AS460" s="34"/>
      <c r="AT460" s="35"/>
      <c r="AU460" s="35"/>
      <c r="AV460" s="34"/>
      <c r="AW460" s="35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5"/>
      <c r="BI460" s="34"/>
      <c r="BJ460" s="34"/>
      <c r="BK460" s="34"/>
      <c r="BL460" s="72"/>
      <c r="BM460" s="34"/>
      <c r="BN460" s="34"/>
      <c r="BO460" s="34"/>
      <c r="BP460" s="34"/>
      <c r="BQ460" s="34"/>
      <c r="BR460" s="34"/>
      <c r="BS460" s="34"/>
      <c r="BT460" s="34"/>
      <c r="BU460" s="37"/>
      <c r="BV460" s="37"/>
      <c r="BW460" s="34"/>
      <c r="BX460" s="34"/>
      <c r="BY460" s="36"/>
      <c r="BZ460" s="72"/>
      <c r="CA460" s="72"/>
      <c r="CB460" s="36"/>
      <c r="CC460" s="36"/>
      <c r="CD460" s="36"/>
      <c r="CE460" s="34"/>
      <c r="CF460" s="34"/>
    </row>
    <row r="461" spans="1:89" x14ac:dyDescent="0.2">
      <c r="A461" s="571" t="s">
        <v>65</v>
      </c>
      <c r="B461" s="569"/>
      <c r="C461" s="570"/>
      <c r="G461" s="30"/>
      <c r="H461" s="34"/>
      <c r="I461" s="34"/>
      <c r="J461" s="34"/>
      <c r="K461" s="37"/>
      <c r="L461" s="34"/>
      <c r="M461" s="37"/>
      <c r="N461" s="34"/>
      <c r="O461" s="72"/>
      <c r="P461" s="37"/>
      <c r="Q461" s="37"/>
      <c r="R461" s="37"/>
      <c r="S461" s="36"/>
      <c r="T461" s="38" t="e">
        <f t="shared" si="11"/>
        <v>#DIV/0!</v>
      </c>
      <c r="U461" s="36"/>
      <c r="W461" s="36"/>
      <c r="X461" s="36"/>
      <c r="Y461" s="36"/>
      <c r="Z461" s="8"/>
      <c r="AA461" s="36"/>
      <c r="AB461" s="36"/>
      <c r="AC461" s="36"/>
      <c r="AD461" s="31"/>
      <c r="AE461" s="36"/>
      <c r="AF461" s="36"/>
      <c r="AG461" s="36"/>
      <c r="AH461" s="36"/>
      <c r="AI461" s="34"/>
      <c r="AJ461" s="35"/>
      <c r="AK461" s="36"/>
      <c r="AL461" s="72"/>
      <c r="AM461" s="35"/>
      <c r="AN461" s="35"/>
      <c r="AO461" s="72"/>
      <c r="AP461" s="36"/>
      <c r="AQ461" s="34"/>
      <c r="AR461" s="34"/>
      <c r="AS461" s="34"/>
      <c r="AT461" s="35"/>
      <c r="AU461" s="35"/>
      <c r="AV461" s="34"/>
      <c r="AW461" s="35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5"/>
      <c r="BI461" s="34"/>
      <c r="BJ461" s="34"/>
      <c r="BK461" s="34"/>
      <c r="BL461" s="72"/>
      <c r="BM461" s="34"/>
      <c r="BN461" s="34"/>
      <c r="BO461" s="34"/>
      <c r="BP461" s="34"/>
      <c r="BQ461" s="34"/>
      <c r="BR461" s="34"/>
      <c r="BS461" s="34"/>
      <c r="BT461" s="34"/>
      <c r="BU461" s="37"/>
      <c r="BV461" s="37"/>
      <c r="BW461" s="34"/>
      <c r="BX461" s="34"/>
      <c r="BY461" s="36"/>
      <c r="BZ461" s="72"/>
      <c r="CA461" s="72"/>
      <c r="CB461" s="36"/>
      <c r="CC461" s="36"/>
      <c r="CD461" s="36"/>
      <c r="CE461" s="34"/>
      <c r="CF461" s="34"/>
    </row>
    <row r="462" spans="1:89" x14ac:dyDescent="0.2">
      <c r="A462" s="570"/>
      <c r="B462" s="569"/>
      <c r="C462" s="570"/>
      <c r="H462" s="34"/>
      <c r="I462" s="34"/>
      <c r="J462" s="34"/>
      <c r="K462" s="37"/>
      <c r="L462" s="34"/>
      <c r="M462" s="37"/>
      <c r="N462" s="34"/>
      <c r="O462" s="72"/>
      <c r="P462" s="37"/>
      <c r="Q462" s="37"/>
      <c r="R462" s="37"/>
      <c r="S462" s="36"/>
      <c r="T462" s="38" t="e">
        <f t="shared" si="11"/>
        <v>#DIV/0!</v>
      </c>
      <c r="U462" s="36"/>
      <c r="W462" s="36"/>
      <c r="X462" s="36"/>
      <c r="Y462" s="36"/>
      <c r="Z462" s="8"/>
      <c r="AA462" s="36"/>
      <c r="AB462" s="36"/>
      <c r="AC462" s="36"/>
      <c r="AD462" s="31"/>
      <c r="AE462" s="36"/>
      <c r="AF462" s="36"/>
      <c r="AG462" s="36"/>
      <c r="AH462" s="36"/>
      <c r="AI462" s="34"/>
      <c r="AJ462" s="35"/>
      <c r="AK462" s="36"/>
      <c r="AL462" s="72"/>
      <c r="AM462" s="35"/>
      <c r="AN462" s="35"/>
      <c r="AO462" s="72"/>
      <c r="AP462" s="36"/>
      <c r="AQ462" s="34"/>
      <c r="AR462" s="34"/>
      <c r="AS462" s="34"/>
      <c r="AT462" s="35"/>
      <c r="AU462" s="35"/>
      <c r="AV462" s="34"/>
      <c r="AW462" s="35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5"/>
      <c r="BI462" s="34"/>
      <c r="BJ462" s="34"/>
      <c r="BK462" s="34"/>
      <c r="BL462" s="72"/>
      <c r="BM462" s="34"/>
      <c r="BN462" s="34"/>
      <c r="BO462" s="34"/>
      <c r="BP462" s="34"/>
      <c r="BQ462" s="34"/>
      <c r="BR462" s="34"/>
      <c r="BS462" s="34"/>
      <c r="BT462" s="34"/>
      <c r="BU462" s="37"/>
      <c r="BV462" s="37"/>
      <c r="BW462" s="34"/>
      <c r="BX462" s="34"/>
      <c r="BY462" s="36"/>
      <c r="BZ462" s="72"/>
      <c r="CA462" s="72"/>
      <c r="CB462" s="36"/>
      <c r="CC462" s="36"/>
      <c r="CD462" s="36"/>
      <c r="CE462" s="34"/>
      <c r="CF462" s="34"/>
    </row>
    <row r="463" spans="1:89" x14ac:dyDescent="0.2">
      <c r="A463" s="572" t="s">
        <v>1497</v>
      </c>
      <c r="B463" s="569"/>
      <c r="C463" s="570"/>
      <c r="E463">
        <v>1033.3</v>
      </c>
      <c r="G463" s="30">
        <v>99.494192254345293</v>
      </c>
      <c r="H463" s="34">
        <v>44.972220201841182</v>
      </c>
      <c r="I463" s="34">
        <v>0.19097040358723041</v>
      </c>
      <c r="J463" s="34">
        <v>27.502486133431255</v>
      </c>
      <c r="K463" s="34">
        <v>0.14265096230975194</v>
      </c>
      <c r="L463" s="34">
        <v>5.3419865156940558</v>
      </c>
      <c r="M463" s="34">
        <v>8.4296839946537402E-2</v>
      </c>
      <c r="N463" s="34">
        <v>4.6752920634991257</v>
      </c>
      <c r="O463" s="34">
        <v>16.234418578826933</v>
      </c>
      <c r="P463" s="34">
        <v>0.2890368818348979</v>
      </c>
      <c r="Q463" s="34">
        <v>2.7362937638181824E-2</v>
      </c>
      <c r="R463" s="34">
        <v>3.3470735736119236E-2</v>
      </c>
      <c r="S463" s="34"/>
      <c r="T463" s="38">
        <f t="shared" si="11"/>
        <v>60.939462416211207</v>
      </c>
      <c r="U463" s="34"/>
      <c r="V463" s="34"/>
      <c r="W463" s="34"/>
      <c r="X463" s="34"/>
      <c r="Y463" s="34"/>
      <c r="Z463" s="34">
        <v>612.29532553888896</v>
      </c>
      <c r="AA463" s="34"/>
      <c r="AB463" s="34"/>
      <c r="AC463" s="34"/>
      <c r="AD463" s="34"/>
      <c r="AE463" s="34"/>
      <c r="AF463" s="34"/>
      <c r="AG463" s="34"/>
      <c r="AH463" s="34"/>
      <c r="AI463" s="34">
        <v>11.517773444304657</v>
      </c>
      <c r="AJ463" s="34">
        <v>971.25758250266165</v>
      </c>
      <c r="AK463" s="34"/>
      <c r="AL463" s="34">
        <v>12.060298558018005</v>
      </c>
      <c r="AM463" s="34">
        <v>44.627426691183594</v>
      </c>
      <c r="AN463" s="34">
        <v>3.649954514661764</v>
      </c>
      <c r="AO463" s="34"/>
      <c r="AP463" s="34"/>
      <c r="AQ463" s="34">
        <v>8.8462111681021971E-2</v>
      </c>
      <c r="AR463" s="34"/>
      <c r="AS463" s="34"/>
      <c r="AT463" s="34">
        <v>0.39306880867124744</v>
      </c>
      <c r="AU463" s="34">
        <v>125.16956353430758</v>
      </c>
      <c r="AV463" s="34">
        <v>4.8985578987802052</v>
      </c>
      <c r="AW463" s="34">
        <v>13.108032517177977</v>
      </c>
      <c r="AX463" s="34"/>
      <c r="AY463" s="34"/>
      <c r="AZ463" s="34"/>
      <c r="BA463" s="34"/>
      <c r="BB463" s="34"/>
      <c r="BC463" s="34"/>
      <c r="BD463" s="34"/>
      <c r="BE463" s="34"/>
      <c r="BF463" s="34"/>
      <c r="BG463" s="34">
        <v>1.062702022645892E-2</v>
      </c>
      <c r="BH463" s="34">
        <v>42.998896738604479</v>
      </c>
      <c r="BI463" s="34">
        <v>0.78742501693603018</v>
      </c>
      <c r="BJ463" s="34">
        <v>2.1363174295945031</v>
      </c>
      <c r="BK463" s="34">
        <v>0.25296949261409973</v>
      </c>
      <c r="BL463" s="34">
        <v>1.1986335043065908</v>
      </c>
      <c r="BM463" s="34">
        <v>0.46353403658182524</v>
      </c>
      <c r="BN463" s="34">
        <v>0.59297165392432016</v>
      </c>
      <c r="BO463" s="34">
        <v>0.61091136434856697</v>
      </c>
      <c r="BP463" s="34">
        <v>0.11330853575921807</v>
      </c>
      <c r="BQ463" s="34">
        <v>0.76137610973614256</v>
      </c>
      <c r="BR463" s="34">
        <v>0.1745334459251319</v>
      </c>
      <c r="BS463" s="34">
        <v>0.4991236828637064</v>
      </c>
      <c r="BT463" s="34">
        <v>7.6065212869213597E-2</v>
      </c>
      <c r="BU463" s="34">
        <v>0.51111259072873327</v>
      </c>
      <c r="BV463" s="34">
        <v>7.5141222297493482E-2</v>
      </c>
      <c r="BW463" s="34">
        <v>0.30139241265847289</v>
      </c>
      <c r="BX463" s="34">
        <v>3.4874547566050525E-2</v>
      </c>
      <c r="BY463" s="34"/>
      <c r="BZ463" s="34">
        <v>1.690118068324785</v>
      </c>
      <c r="CA463" s="34">
        <v>0.66120874866931201</v>
      </c>
      <c r="CB463" s="34"/>
      <c r="CC463" s="34"/>
      <c r="CD463" s="34"/>
      <c r="CE463" s="34">
        <v>9.7184999516113438E-2</v>
      </c>
      <c r="CF463" s="34">
        <v>3.8241120681312302E-2</v>
      </c>
      <c r="CI463" s="29">
        <v>0.60417340613175252</v>
      </c>
      <c r="CJ463" s="41">
        <v>0.61561724177714394</v>
      </c>
      <c r="CK463" s="29">
        <v>0.61274259776608186</v>
      </c>
    </row>
    <row r="464" spans="1:89" x14ac:dyDescent="0.2">
      <c r="A464" s="36"/>
      <c r="C464" s="36"/>
      <c r="H464" s="34"/>
      <c r="I464" s="34"/>
      <c r="J464" s="34"/>
      <c r="K464" s="37"/>
      <c r="L464" s="34"/>
      <c r="M464" s="37"/>
      <c r="N464" s="34"/>
      <c r="O464" s="72"/>
      <c r="P464" s="37"/>
      <c r="Q464" s="37"/>
      <c r="R464" s="37"/>
      <c r="S464" s="36"/>
      <c r="T464" s="38" t="e">
        <f t="shared" si="11"/>
        <v>#DIV/0!</v>
      </c>
      <c r="U464" s="36"/>
      <c r="W464" s="36"/>
      <c r="X464" s="36"/>
      <c r="Y464" s="36"/>
      <c r="Z464" s="8"/>
      <c r="AA464" s="36"/>
      <c r="AB464" s="36"/>
      <c r="AC464" s="36"/>
      <c r="AD464" s="31"/>
      <c r="AE464" s="36"/>
      <c r="AF464" s="36"/>
      <c r="AG464" s="36"/>
      <c r="AH464" s="36"/>
      <c r="AI464" s="34"/>
      <c r="AJ464" s="35"/>
      <c r="AK464" s="36"/>
      <c r="AL464" s="72"/>
      <c r="AM464" s="35"/>
      <c r="AN464" s="35"/>
      <c r="AO464" s="72"/>
      <c r="AP464" s="36"/>
      <c r="AQ464" s="34"/>
      <c r="AR464" s="34"/>
      <c r="AS464" s="34"/>
      <c r="AT464" s="35"/>
      <c r="AU464" s="35"/>
      <c r="AV464" s="34"/>
      <c r="AW464" s="35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5"/>
      <c r="BI464" s="34"/>
      <c r="BJ464" s="34"/>
      <c r="BK464" s="34"/>
      <c r="BL464" s="72"/>
      <c r="BM464" s="34"/>
      <c r="BN464" s="34"/>
      <c r="BO464" s="34"/>
      <c r="BP464" s="34"/>
      <c r="BQ464" s="34"/>
      <c r="BR464" s="34"/>
      <c r="BS464" s="34"/>
      <c r="BT464" s="34"/>
      <c r="BU464" s="37"/>
      <c r="BV464" s="37"/>
      <c r="BW464" s="34"/>
      <c r="BX464" s="34"/>
      <c r="BY464" s="36"/>
      <c r="BZ464" s="72"/>
      <c r="CA464" s="72"/>
      <c r="CB464" s="36"/>
      <c r="CC464" s="36"/>
      <c r="CD464" s="36"/>
      <c r="CE464" s="34"/>
      <c r="CF464" s="34"/>
    </row>
    <row r="465" spans="1:89" x14ac:dyDescent="0.2">
      <c r="A465" s="50"/>
      <c r="E465" s="31"/>
      <c r="F465" s="30"/>
      <c r="H465" s="38"/>
      <c r="K465" s="3"/>
      <c r="O465" s="12"/>
      <c r="P465" s="3"/>
      <c r="Q465" s="3"/>
      <c r="R465" s="3"/>
      <c r="S465" s="6"/>
      <c r="T465" s="38" t="e">
        <f t="shared" si="11"/>
        <v>#DIV/0!</v>
      </c>
      <c r="U465" s="6"/>
    </row>
    <row r="466" spans="1:89" x14ac:dyDescent="0.2">
      <c r="A466" t="s">
        <v>1112</v>
      </c>
      <c r="C466" t="s">
        <v>717</v>
      </c>
      <c r="D466" t="s">
        <v>1249</v>
      </c>
      <c r="E466" s="30">
        <v>224.29</v>
      </c>
      <c r="I466" s="30"/>
      <c r="J466"/>
      <c r="K466" s="32">
        <v>8.7092546681528368E-2</v>
      </c>
      <c r="L466" s="30">
        <v>4.2000615274867359</v>
      </c>
      <c r="M466"/>
      <c r="N466"/>
      <c r="O466" s="33">
        <v>16.10564938249588</v>
      </c>
      <c r="P466" s="3">
        <v>0.36894828124303353</v>
      </c>
      <c r="Q466" s="32" t="s">
        <v>1222</v>
      </c>
      <c r="T466" s="38">
        <f t="shared" si="11"/>
        <v>0</v>
      </c>
      <c r="W466"/>
      <c r="X466"/>
      <c r="Y466"/>
      <c r="Z466"/>
      <c r="AA466"/>
      <c r="AB466"/>
      <c r="AI466" s="30">
        <v>8.0563863747826474</v>
      </c>
      <c r="AJ466" s="31">
        <v>595.87128271434301</v>
      </c>
      <c r="AL466" s="33">
        <v>15.870859155557534</v>
      </c>
      <c r="AM466" s="31">
        <v>179.66329305809447</v>
      </c>
      <c r="AN466" s="174">
        <v>86.946011859645992</v>
      </c>
      <c r="AO466"/>
      <c r="AQ466" s="30">
        <v>0.26354362655490654</v>
      </c>
      <c r="AR466" s="30">
        <v>0.29511901131078311</v>
      </c>
      <c r="AS466" s="30">
        <v>0.88187748004815181</v>
      </c>
      <c r="AU466" s="31">
        <v>543.46265994917292</v>
      </c>
      <c r="AV466" s="161">
        <v>10.749082619622955</v>
      </c>
      <c r="AW466" s="31">
        <v>33.057826920504702</v>
      </c>
      <c r="AX466"/>
      <c r="AY466"/>
      <c r="AZ466"/>
      <c r="BA466"/>
      <c r="BB466"/>
      <c r="BC466"/>
      <c r="BD466"/>
      <c r="BE466"/>
      <c r="BF466"/>
      <c r="BG466">
        <v>4.2376298542066072E-2</v>
      </c>
      <c r="BH466" s="31">
        <v>47.981898435061744</v>
      </c>
      <c r="BI466" s="30">
        <v>2.5482790137768068</v>
      </c>
      <c r="BJ466" s="30">
        <v>6.7148076151411109</v>
      </c>
      <c r="BK466" s="51">
        <v>0.83644020222040194</v>
      </c>
      <c r="BL466" s="33">
        <v>3.9490391903339428</v>
      </c>
      <c r="BM466" s="30">
        <v>1.2520944313165991</v>
      </c>
      <c r="BN466" s="30">
        <v>0.73288510410629104</v>
      </c>
      <c r="BO466" s="51">
        <v>1.5289032277580679</v>
      </c>
      <c r="BP466" s="30">
        <v>0.2725351999643319</v>
      </c>
      <c r="BQ466" s="74">
        <v>1.766960597334529</v>
      </c>
      <c r="BR466" s="74">
        <v>0.3902037924580839</v>
      </c>
      <c r="BS466" s="52">
        <v>1.0749810487243048</v>
      </c>
      <c r="BT466" s="53">
        <v>0.1578167528999358</v>
      </c>
      <c r="BU466" s="30">
        <v>1.0215333273886487</v>
      </c>
      <c r="BV466" s="32">
        <v>0.14259261224307815</v>
      </c>
      <c r="BW466" s="30">
        <v>0.91118159525614162</v>
      </c>
      <c r="BX466" s="30">
        <v>0.11005336840697313</v>
      </c>
      <c r="BY466" s="30">
        <v>0.10042801729903253</v>
      </c>
      <c r="BZ466" s="33">
        <v>6.9628694993089306</v>
      </c>
      <c r="CA466" s="33">
        <v>2.2270275090284901</v>
      </c>
      <c r="CE466" s="30">
        <v>0.40744571759775289</v>
      </c>
      <c r="CF466" s="30">
        <v>0.16389317401578318</v>
      </c>
      <c r="CI466" s="29">
        <v>1.5181830351043817</v>
      </c>
      <c r="CJ466" s="41">
        <v>1.5391204297221623</v>
      </c>
      <c r="CK466" s="29">
        <v>1.5294062184476593</v>
      </c>
    </row>
    <row r="467" spans="1:89" x14ac:dyDescent="0.2">
      <c r="A467" t="s">
        <v>1112</v>
      </c>
      <c r="C467" t="s">
        <v>700</v>
      </c>
      <c r="E467" s="30"/>
      <c r="H467" s="30">
        <v>43.961535628074635</v>
      </c>
      <c r="I467" s="30">
        <v>0.17530396402437587</v>
      </c>
      <c r="J467" s="30">
        <v>28.945631502937154</v>
      </c>
      <c r="K467" s="32">
        <v>8.7092546681528368E-2</v>
      </c>
      <c r="L467" s="30">
        <v>4.200061527486735</v>
      </c>
      <c r="M467" s="32">
        <v>5.1097258175247295E-2</v>
      </c>
      <c r="N467" s="30">
        <v>4.6644068225769413</v>
      </c>
      <c r="O467" s="33">
        <v>16.62610478224687</v>
      </c>
      <c r="P467" s="3">
        <v>0.36894828124303358</v>
      </c>
      <c r="Q467" s="32">
        <v>6.1669648075165312E-2</v>
      </c>
      <c r="R467" s="32">
        <v>3.2565639955093741E-2</v>
      </c>
      <c r="T467" s="38">
        <f t="shared" si="11"/>
        <v>66.439360365440919</v>
      </c>
      <c r="W467"/>
      <c r="X467"/>
      <c r="Y467"/>
      <c r="Z467"/>
      <c r="AA467"/>
      <c r="AB467"/>
      <c r="AN467" s="174"/>
      <c r="AO467"/>
      <c r="AX467"/>
      <c r="AY467"/>
      <c r="AZ467"/>
      <c r="BA467"/>
      <c r="BB467"/>
      <c r="BC467"/>
      <c r="BD467"/>
      <c r="BE467"/>
      <c r="BF467"/>
      <c r="BG467"/>
      <c r="BJ467" s="30"/>
      <c r="BU467" s="30"/>
      <c r="BY467" s="30"/>
    </row>
    <row r="468" spans="1:89" x14ac:dyDescent="0.2">
      <c r="C468" s="2"/>
      <c r="E468" s="30"/>
      <c r="I468" s="30"/>
      <c r="J468" s="30"/>
      <c r="L468" s="30"/>
      <c r="M468" s="32"/>
      <c r="N468" s="30"/>
      <c r="O468" s="30"/>
      <c r="P468" s="30"/>
      <c r="Q468" s="30"/>
      <c r="T468" s="38" t="e">
        <f t="shared" si="11"/>
        <v>#DIV/0!</v>
      </c>
      <c r="W468"/>
      <c r="X468"/>
      <c r="Y468"/>
      <c r="Z468"/>
      <c r="AA468"/>
      <c r="AB468"/>
      <c r="AN468" s="174"/>
      <c r="AO468"/>
      <c r="AX468"/>
      <c r="AY468"/>
      <c r="AZ468"/>
      <c r="BA468"/>
      <c r="BB468"/>
      <c r="BC468"/>
      <c r="BD468"/>
      <c r="BE468"/>
      <c r="BF468"/>
      <c r="BG468"/>
      <c r="BI468" s="30">
        <v>2.42</v>
      </c>
      <c r="BJ468" s="30">
        <v>6.32</v>
      </c>
      <c r="BK468">
        <v>0.86299999999999999</v>
      </c>
      <c r="BL468" s="33">
        <v>3.91</v>
      </c>
      <c r="BM468" s="30">
        <v>1.1200000000000001</v>
      </c>
      <c r="BN468" s="30">
        <v>0.74399999999999999</v>
      </c>
      <c r="BO468" s="30">
        <v>1.34</v>
      </c>
      <c r="BP468" s="30">
        <v>0.255</v>
      </c>
      <c r="BQ468" s="30">
        <v>1.6</v>
      </c>
      <c r="BR468" s="30">
        <v>0.33800000000000002</v>
      </c>
      <c r="BS468" s="30">
        <v>0.996</v>
      </c>
      <c r="BT468" s="30">
        <v>0.14299999999999999</v>
      </c>
      <c r="BU468" s="30">
        <v>0.94399999999999995</v>
      </c>
      <c r="BV468" s="32">
        <v>0.13500000000000001</v>
      </c>
      <c r="BY468" s="30"/>
      <c r="BZ468" s="33">
        <v>6.07</v>
      </c>
      <c r="CE468" s="30">
        <v>0.42099999999999999</v>
      </c>
      <c r="CF468" s="30">
        <v>0.186</v>
      </c>
    </row>
    <row r="469" spans="1:89" x14ac:dyDescent="0.2">
      <c r="A469" t="s">
        <v>1112</v>
      </c>
      <c r="C469" s="2" t="s">
        <v>2579</v>
      </c>
      <c r="E469" s="30"/>
      <c r="H469" s="30">
        <v>46.2</v>
      </c>
      <c r="I469" s="30">
        <v>0.20399999999999999</v>
      </c>
      <c r="J469" s="30">
        <v>29.1</v>
      </c>
      <c r="K469" s="32">
        <v>7.9699999999999993E-2</v>
      </c>
      <c r="L469" s="30">
        <v>4.2249999999999996</v>
      </c>
      <c r="M469" s="32">
        <v>6.0850000000000001E-2</v>
      </c>
      <c r="N469" s="30">
        <v>4.7850000000000001</v>
      </c>
      <c r="O469" s="30">
        <v>16.899999999999999</v>
      </c>
      <c r="P469" s="32">
        <v>0.33800000000000002</v>
      </c>
      <c r="Q469" s="32">
        <v>6.9199999999999998E-2</v>
      </c>
      <c r="T469" s="38">
        <f t="shared" si="11"/>
        <v>66.875090005201841</v>
      </c>
      <c r="W469"/>
      <c r="X469"/>
      <c r="Y469"/>
      <c r="Z469"/>
      <c r="AA469"/>
      <c r="AB469"/>
      <c r="AI469" s="30">
        <v>7.7850000000000001</v>
      </c>
      <c r="AJ469" s="31">
        <v>545.30739999999992</v>
      </c>
      <c r="AL469" s="33">
        <v>16</v>
      </c>
      <c r="AM469" s="31">
        <v>166.5</v>
      </c>
      <c r="AN469" s="31">
        <v>51.349999999999994</v>
      </c>
      <c r="AO469" s="33">
        <v>3.9</v>
      </c>
      <c r="AU469" s="31">
        <v>596.5</v>
      </c>
      <c r="AX469"/>
      <c r="AY469"/>
      <c r="AZ469"/>
      <c r="BA469"/>
      <c r="BB469"/>
      <c r="BC469"/>
      <c r="BD469"/>
      <c r="BE469"/>
      <c r="BF469"/>
      <c r="BG469"/>
      <c r="BH469" s="31">
        <v>96</v>
      </c>
      <c r="BI469" s="30">
        <v>2.5649999999999999</v>
      </c>
      <c r="BJ469" s="30">
        <v>7.25</v>
      </c>
      <c r="BL469" s="30">
        <v>3.7</v>
      </c>
      <c r="BM469" s="30">
        <v>1.17</v>
      </c>
      <c r="BN469" s="32">
        <v>0.75950000000000006</v>
      </c>
      <c r="BO469" s="30">
        <v>1.425</v>
      </c>
      <c r="BP469" s="30">
        <v>0.30000000000000004</v>
      </c>
      <c r="BR469">
        <v>0.34</v>
      </c>
      <c r="BU469" s="30">
        <v>1.018</v>
      </c>
      <c r="BV469" s="32">
        <v>0.14250000000000002</v>
      </c>
      <c r="BW469" s="30">
        <v>0.82650000000000001</v>
      </c>
      <c r="BX469" s="30">
        <v>0.155</v>
      </c>
      <c r="BY469" s="30">
        <v>0.155</v>
      </c>
      <c r="BZ469" s="30">
        <v>6.2</v>
      </c>
      <c r="CA469" s="30">
        <v>4.3499999999999996</v>
      </c>
      <c r="CE469" s="30">
        <v>0.42049999999999998</v>
      </c>
    </row>
    <row r="470" spans="1:89" x14ac:dyDescent="0.2">
      <c r="A470" s="36" t="s">
        <v>1112</v>
      </c>
      <c r="C470" s="36" t="s">
        <v>279</v>
      </c>
      <c r="G470" s="30">
        <v>100.40965037045353</v>
      </c>
      <c r="H470" s="34">
        <v>45.155767814037318</v>
      </c>
      <c r="I470" s="34">
        <v>0.18940198201218794</v>
      </c>
      <c r="J470" s="34">
        <v>29.022815751468578</v>
      </c>
      <c r="K470" s="37">
        <v>8.4628364454352248E-2</v>
      </c>
      <c r="L470" s="34">
        <v>4.2083743516578229</v>
      </c>
      <c r="M470" s="37">
        <v>5.5973629087623648E-2</v>
      </c>
      <c r="N470" s="34">
        <v>4.7247034112884707</v>
      </c>
      <c r="O470" s="72">
        <v>16.543918054914251</v>
      </c>
      <c r="P470" s="37">
        <v>0.35863218749535575</v>
      </c>
      <c r="Q470" s="37">
        <v>6.5434824037582662E-2</v>
      </c>
      <c r="R470" s="37"/>
      <c r="S470" s="36"/>
      <c r="T470" s="38">
        <f t="shared" si="11"/>
        <v>66.681229403659302</v>
      </c>
      <c r="U470" s="36"/>
      <c r="W470" s="36"/>
      <c r="X470" s="36"/>
      <c r="Y470" s="36"/>
      <c r="Z470" s="8">
        <v>433.51575728364514</v>
      </c>
      <c r="AA470" s="36"/>
      <c r="AB470" s="36"/>
      <c r="AC470" s="36"/>
      <c r="AD470" s="31">
        <v>543.17447433597363</v>
      </c>
      <c r="AE470" s="36"/>
      <c r="AF470" s="36"/>
      <c r="AG470" s="36"/>
      <c r="AH470" s="36"/>
      <c r="AI470" s="34">
        <v>7.9206931873913238</v>
      </c>
      <c r="AJ470" s="35">
        <v>570.58934135717141</v>
      </c>
      <c r="AK470" s="36"/>
      <c r="AL470" s="72">
        <v>15.935429577778766</v>
      </c>
      <c r="AM470" s="35">
        <v>173.08164652904725</v>
      </c>
      <c r="AN470" s="35">
        <v>69.148005929823</v>
      </c>
      <c r="AO470" s="72"/>
      <c r="AP470" s="36"/>
      <c r="AQ470" s="34">
        <v>0.26354362655490654</v>
      </c>
      <c r="AR470" s="34"/>
      <c r="AS470" s="34"/>
      <c r="AT470" s="35" t="e">
        <v>#DIV/0!</v>
      </c>
      <c r="AU470" s="35">
        <v>569.98132997458652</v>
      </c>
      <c r="AV470" s="34">
        <v>10.749082619622955</v>
      </c>
      <c r="AW470" s="35">
        <v>33.057826920504702</v>
      </c>
      <c r="AX470" s="34"/>
      <c r="AY470" s="34"/>
      <c r="AZ470" s="34"/>
      <c r="BA470" s="34"/>
      <c r="BB470" s="34"/>
      <c r="BC470" s="34"/>
      <c r="BD470" s="34" t="e">
        <v>#DIV/0!</v>
      </c>
      <c r="BE470" s="34"/>
      <c r="BF470" s="34"/>
      <c r="BG470" s="34">
        <v>4.2376298542066072E-2</v>
      </c>
      <c r="BH470" s="35">
        <v>71.990949217530869</v>
      </c>
      <c r="BI470" s="34">
        <v>2.5110930045922686</v>
      </c>
      <c r="BJ470" s="34">
        <v>6.7616025383803704</v>
      </c>
      <c r="BK470" s="34">
        <v>0.84972010111020091</v>
      </c>
      <c r="BL470" s="72">
        <v>3.853013063444648</v>
      </c>
      <c r="BM470" s="34">
        <v>1.1806981437721997</v>
      </c>
      <c r="BN470" s="34">
        <v>0.74546170136876366</v>
      </c>
      <c r="BO470" s="34">
        <v>1.4313010759193558</v>
      </c>
      <c r="BP470" s="34">
        <v>0.27584506665477732</v>
      </c>
      <c r="BQ470" s="34">
        <v>1.6834802986672646</v>
      </c>
      <c r="BR470" s="34">
        <v>0.35606793081936133</v>
      </c>
      <c r="BS470" s="34">
        <v>1.0354905243621524</v>
      </c>
      <c r="BT470" s="34">
        <v>0.15040837644996791</v>
      </c>
      <c r="BU470" s="37">
        <v>0.99451110912954954</v>
      </c>
      <c r="BV470" s="37">
        <v>0.14003087074769274</v>
      </c>
      <c r="BW470" s="34">
        <v>0.86884079762807076</v>
      </c>
      <c r="BX470" s="34">
        <v>0.13252668420348657</v>
      </c>
      <c r="BY470" s="36"/>
      <c r="BZ470" s="72">
        <v>6.4109564997696431</v>
      </c>
      <c r="CA470" s="72">
        <v>3.2885137545142449</v>
      </c>
      <c r="CB470" s="36"/>
      <c r="CC470" s="36"/>
      <c r="CD470" s="36"/>
      <c r="CE470" s="34">
        <v>0.4163152391992509</v>
      </c>
      <c r="CF470" s="34">
        <v>0.17494658700789159</v>
      </c>
    </row>
    <row r="471" spans="1:89" x14ac:dyDescent="0.2">
      <c r="E471" s="30"/>
      <c r="I471" s="30"/>
      <c r="J471" s="30"/>
      <c r="L471" s="30"/>
      <c r="M471" s="32"/>
      <c r="N471" s="30"/>
      <c r="O471" s="33"/>
      <c r="P471" s="3"/>
      <c r="T471" s="38" t="e">
        <f t="shared" si="11"/>
        <v>#DIV/0!</v>
      </c>
      <c r="W471"/>
      <c r="X471"/>
      <c r="Y471"/>
      <c r="Z471"/>
      <c r="AA471"/>
      <c r="AB471"/>
      <c r="AN471" s="174"/>
      <c r="AO471"/>
      <c r="AX471"/>
      <c r="AY471"/>
      <c r="AZ471"/>
      <c r="BA471"/>
      <c r="BB471"/>
      <c r="BC471"/>
      <c r="BD471"/>
      <c r="BE471"/>
      <c r="BF471"/>
      <c r="BG471"/>
      <c r="BJ471" s="30"/>
      <c r="BU471" s="30"/>
      <c r="BY471" s="30"/>
    </row>
    <row r="472" spans="1:89" x14ac:dyDescent="0.2">
      <c r="A472" t="s">
        <v>1153</v>
      </c>
      <c r="C472" t="s">
        <v>717</v>
      </c>
      <c r="D472" t="s">
        <v>1249</v>
      </c>
      <c r="E472" s="30">
        <v>224.01</v>
      </c>
      <c r="I472"/>
      <c r="J472"/>
      <c r="K472" s="32">
        <v>5.1992604676576931E-2</v>
      </c>
      <c r="L472" s="30">
        <v>2.6705075666264904</v>
      </c>
      <c r="M472"/>
      <c r="N472"/>
      <c r="O472" s="33">
        <v>17.435016740324095</v>
      </c>
      <c r="P472" s="3">
        <v>0.34361907950537923</v>
      </c>
      <c r="Q472" s="32" t="s">
        <v>108</v>
      </c>
      <c r="T472" s="38">
        <f t="shared" si="11"/>
        <v>0</v>
      </c>
      <c r="W472"/>
      <c r="X472"/>
      <c r="Y472"/>
      <c r="Z472"/>
      <c r="AA472"/>
      <c r="AB472"/>
      <c r="AI472" s="30">
        <v>4.885026561314227</v>
      </c>
      <c r="AJ472" s="31">
        <v>355.72389625463148</v>
      </c>
      <c r="AL472" s="33">
        <v>7.7351055756439449</v>
      </c>
      <c r="AM472" s="31">
        <v>59.622829337975986</v>
      </c>
      <c r="AN472" s="174">
        <v>58.247555912682479</v>
      </c>
      <c r="AO472"/>
      <c r="AQ472" s="30">
        <v>5.2410160260702651E-2</v>
      </c>
      <c r="AR472" s="30">
        <v>0.3132826100636269</v>
      </c>
      <c r="AS472" s="30">
        <v>0.25236418017052809</v>
      </c>
      <c r="AU472" s="31">
        <v>192.16896567117539</v>
      </c>
      <c r="AV472" s="161">
        <v>3.7097883139499013</v>
      </c>
      <c r="AW472" s="31">
        <v>10.618454533279763</v>
      </c>
      <c r="AX472"/>
      <c r="AY472"/>
      <c r="AZ472"/>
      <c r="BA472"/>
      <c r="BB472"/>
      <c r="BC472"/>
      <c r="BD472"/>
      <c r="BE472"/>
      <c r="BF472"/>
      <c r="BG472">
        <v>2.4975804651578053E-2</v>
      </c>
      <c r="BH472" s="31">
        <v>28.916017142091871</v>
      </c>
      <c r="BI472" s="30">
        <v>0.85187487165751541</v>
      </c>
      <c r="BJ472" s="30">
        <v>2.2022284719432168</v>
      </c>
      <c r="BK472" s="51">
        <v>0.31034174409677218</v>
      </c>
      <c r="BL472" s="33">
        <v>1.5436007321101739</v>
      </c>
      <c r="BM472" s="30">
        <v>0.41590567385384586</v>
      </c>
      <c r="BN472" s="30">
        <v>0.76125280121423144</v>
      </c>
      <c r="BO472" s="51">
        <v>0.50411755180383822</v>
      </c>
      <c r="BP472" s="30">
        <v>9.0212936922458811E-2</v>
      </c>
      <c r="BQ472" s="74">
        <v>0.59984412760566341</v>
      </c>
      <c r="BR472" s="74">
        <v>0.13393015498859095</v>
      </c>
      <c r="BS472" s="52">
        <v>0.37305200486505785</v>
      </c>
      <c r="BT472" s="53">
        <v>5.5374485690282804E-2</v>
      </c>
      <c r="BU472" s="30">
        <v>0.36241279407169319</v>
      </c>
      <c r="BV472" s="32">
        <v>5.2070010267398777E-2</v>
      </c>
      <c r="BW472" s="30">
        <v>0.27972693183340031</v>
      </c>
      <c r="BX472" s="30">
        <v>3.6974152939600907E-2</v>
      </c>
      <c r="BY472" s="30">
        <v>2.6953707423775727E-2</v>
      </c>
      <c r="BZ472" s="33">
        <v>3.0363465916700147</v>
      </c>
      <c r="CA472" s="33">
        <v>0.89787509486183648</v>
      </c>
      <c r="CE472" s="30">
        <v>0.1279932592294987</v>
      </c>
      <c r="CF472" s="30">
        <v>3.3279764296236775E-2</v>
      </c>
      <c r="CI472" s="29">
        <v>0.50300634991144511</v>
      </c>
      <c r="CJ472" s="41">
        <v>0.51006176580829243</v>
      </c>
      <c r="CK472" s="29">
        <v>0.49928453969177716</v>
      </c>
    </row>
    <row r="473" spans="1:89" x14ac:dyDescent="0.2">
      <c r="A473" t="s">
        <v>1153</v>
      </c>
      <c r="C473" t="s">
        <v>700</v>
      </c>
      <c r="E473" s="30"/>
      <c r="H473" s="30">
        <v>44.137646184170059</v>
      </c>
      <c r="I473" s="30">
        <v>0.10980138898369951</v>
      </c>
      <c r="J473" s="30">
        <v>31.762384625213137</v>
      </c>
      <c r="K473" s="32">
        <v>5.1992604676576931E-2</v>
      </c>
      <c r="L473" s="30">
        <v>2.6705075666264904</v>
      </c>
      <c r="M473" s="32">
        <v>4.2831479412599752E-2</v>
      </c>
      <c r="N473" s="30">
        <v>2.4748130996420956</v>
      </c>
      <c r="O473" s="33">
        <v>18.376103552171227</v>
      </c>
      <c r="P473" s="3">
        <v>0.34361907950537923</v>
      </c>
      <c r="Q473" s="32">
        <v>3.0216407286430987E-2</v>
      </c>
      <c r="R473" s="32">
        <v>2.8319316887177662E-2</v>
      </c>
      <c r="T473" s="38">
        <f t="shared" si="11"/>
        <v>62.292230436762289</v>
      </c>
      <c r="W473"/>
      <c r="X473"/>
      <c r="Y473"/>
      <c r="Z473"/>
      <c r="AA473"/>
      <c r="AB473"/>
      <c r="AN473" s="174"/>
      <c r="AO473"/>
      <c r="AX473"/>
      <c r="AY473"/>
      <c r="AZ473"/>
      <c r="BA473"/>
      <c r="BB473"/>
      <c r="BC473"/>
      <c r="BD473"/>
      <c r="BE473"/>
      <c r="BF473"/>
      <c r="BG473"/>
      <c r="BJ473" s="30"/>
      <c r="BU473" s="30"/>
      <c r="BY473" s="30"/>
    </row>
    <row r="474" spans="1:89" x14ac:dyDescent="0.2">
      <c r="A474" t="s">
        <v>1153</v>
      </c>
      <c r="E474" s="30"/>
      <c r="I474" s="30"/>
      <c r="J474" s="30"/>
      <c r="L474" s="30"/>
      <c r="M474" s="32"/>
      <c r="N474" s="30"/>
      <c r="O474" s="33"/>
      <c r="P474" s="3"/>
      <c r="T474" s="38" t="e">
        <f t="shared" si="11"/>
        <v>#DIV/0!</v>
      </c>
      <c r="W474"/>
      <c r="X474"/>
      <c r="Y474"/>
      <c r="Z474"/>
      <c r="AA474"/>
      <c r="AB474"/>
      <c r="AN474" s="174"/>
      <c r="AO474"/>
      <c r="AX474"/>
      <c r="AY474"/>
      <c r="AZ474"/>
      <c r="BA474"/>
      <c r="BB474"/>
      <c r="BC474"/>
      <c r="BD474"/>
      <c r="BE474"/>
      <c r="BF474"/>
      <c r="BG474"/>
      <c r="BJ474" s="30"/>
      <c r="BU474" s="30"/>
      <c r="BY474" s="30"/>
    </row>
    <row r="475" spans="1:89" x14ac:dyDescent="0.2">
      <c r="A475" s="36" t="s">
        <v>1153</v>
      </c>
      <c r="C475" s="36" t="s">
        <v>279</v>
      </c>
      <c r="G475" s="30">
        <v>99.557691898651299</v>
      </c>
      <c r="H475" s="34">
        <v>44.137646184170059</v>
      </c>
      <c r="I475" s="34">
        <v>0.10980138898369951</v>
      </c>
      <c r="J475" s="34">
        <v>31.762384625213137</v>
      </c>
      <c r="K475" s="37">
        <v>5.1992604676576931E-2</v>
      </c>
      <c r="L475" s="34">
        <v>2.6705075666264904</v>
      </c>
      <c r="M475" s="37">
        <v>4.2831479412599752E-2</v>
      </c>
      <c r="N475" s="34">
        <v>2.4748130996420956</v>
      </c>
      <c r="O475" s="72">
        <v>17.905560146247659</v>
      </c>
      <c r="P475" s="37">
        <v>0.34361907950537923</v>
      </c>
      <c r="Q475" s="37">
        <v>3.0216407286430987E-2</v>
      </c>
      <c r="R475" s="37">
        <v>2.8319316887177662E-2</v>
      </c>
      <c r="S475" s="36"/>
      <c r="T475" s="38">
        <f t="shared" si="11"/>
        <v>62.292230436762289</v>
      </c>
      <c r="U475" s="36"/>
      <c r="W475" s="36"/>
      <c r="X475" s="36"/>
      <c r="Y475" s="36"/>
      <c r="Z475" s="8">
        <v>331.72980805058506</v>
      </c>
      <c r="AA475" s="36"/>
      <c r="AB475" s="36"/>
      <c r="AC475" s="36"/>
      <c r="AD475" s="31">
        <v>250.82639688466364</v>
      </c>
      <c r="AE475" s="36"/>
      <c r="AF475" s="36"/>
      <c r="AG475" s="36"/>
      <c r="AH475" s="36"/>
      <c r="AI475" s="34">
        <v>4.885026561314227</v>
      </c>
      <c r="AJ475" s="35">
        <v>355.72389625463148</v>
      </c>
      <c r="AK475" s="36"/>
      <c r="AL475" s="72">
        <v>7.7351055756439449</v>
      </c>
      <c r="AM475" s="35">
        <v>59.622829337975986</v>
      </c>
      <c r="AN475" s="35">
        <v>58.247555912682479</v>
      </c>
      <c r="AO475" s="72"/>
      <c r="AP475" s="36"/>
      <c r="AQ475" s="34">
        <v>5.2410160260702651E-2</v>
      </c>
      <c r="AR475" s="34"/>
      <c r="AS475" s="34"/>
      <c r="AT475" s="35" t="e">
        <v>#DIV/0!</v>
      </c>
      <c r="AU475" s="35">
        <v>192.16896567117539</v>
      </c>
      <c r="AV475" s="34">
        <v>3.7097883139499013</v>
      </c>
      <c r="AW475" s="35">
        <v>10.618454533279763</v>
      </c>
      <c r="AX475" s="34"/>
      <c r="AY475" s="34"/>
      <c r="AZ475" s="34"/>
      <c r="BA475" s="34"/>
      <c r="BB475" s="34"/>
      <c r="BC475" s="34"/>
      <c r="BD475" s="34" t="e">
        <v>#DIV/0!</v>
      </c>
      <c r="BE475" s="34"/>
      <c r="BF475" s="34"/>
      <c r="BG475" s="34">
        <v>2.4975804651578053E-2</v>
      </c>
      <c r="BH475" s="35">
        <v>28.916017142091871</v>
      </c>
      <c r="BI475" s="34">
        <v>0.85187487165751541</v>
      </c>
      <c r="BJ475" s="34">
        <v>2.2022284719432168</v>
      </c>
      <c r="BK475" s="34">
        <v>0.31034174409677218</v>
      </c>
      <c r="BL475" s="72">
        <v>1.5436007321101739</v>
      </c>
      <c r="BM475" s="34">
        <v>0.41590567385384586</v>
      </c>
      <c r="BN475" s="34">
        <v>0.76125280121423144</v>
      </c>
      <c r="BO475" s="34">
        <v>0.50411755180383822</v>
      </c>
      <c r="BP475" s="34">
        <v>9.0212936922458811E-2</v>
      </c>
      <c r="BQ475" s="34">
        <v>0.59984412760566341</v>
      </c>
      <c r="BR475" s="34">
        <v>0.13393015498859095</v>
      </c>
      <c r="BS475" s="34">
        <v>0.37305200486505785</v>
      </c>
      <c r="BT475" s="34">
        <v>5.5374485690282804E-2</v>
      </c>
      <c r="BU475" s="37">
        <v>0.36241279407169319</v>
      </c>
      <c r="BV475" s="37">
        <v>5.2070010267398777E-2</v>
      </c>
      <c r="BW475" s="34">
        <v>0.27972693183340031</v>
      </c>
      <c r="BX475" s="34">
        <v>3.6974152939600907E-2</v>
      </c>
      <c r="BY475" s="36"/>
      <c r="BZ475" s="72">
        <v>3.0363465916700147</v>
      </c>
      <c r="CA475" s="72">
        <v>0.89787509486183648</v>
      </c>
      <c r="CB475" s="36"/>
      <c r="CC475" s="36"/>
      <c r="CD475" s="36"/>
      <c r="CE475" s="34">
        <v>0.1279932592294987</v>
      </c>
      <c r="CF475" s="34">
        <v>3.3279764296236775E-2</v>
      </c>
    </row>
    <row r="476" spans="1:89" x14ac:dyDescent="0.2">
      <c r="E476" s="30"/>
      <c r="I476" s="30"/>
      <c r="J476" s="30"/>
      <c r="L476" s="30"/>
      <c r="M476" s="32"/>
      <c r="N476" s="30"/>
      <c r="O476" s="33"/>
      <c r="P476" s="3"/>
      <c r="T476" s="38" t="e">
        <f t="shared" si="11"/>
        <v>#DIV/0!</v>
      </c>
      <c r="W476"/>
      <c r="X476"/>
      <c r="Y476"/>
      <c r="Z476"/>
      <c r="AA476"/>
      <c r="AB476"/>
      <c r="AN476" s="174"/>
      <c r="AO476"/>
      <c r="AX476"/>
      <c r="AY476"/>
      <c r="AZ476"/>
      <c r="BA476"/>
      <c r="BB476"/>
      <c r="BC476"/>
      <c r="BD476"/>
      <c r="BE476"/>
      <c r="BF476"/>
      <c r="BG476"/>
      <c r="BJ476" s="30"/>
      <c r="BU476" s="30"/>
      <c r="BY476" s="30"/>
    </row>
    <row r="477" spans="1:89" x14ac:dyDescent="0.2">
      <c r="A477" t="s">
        <v>55</v>
      </c>
      <c r="E477" s="30">
        <v>0</v>
      </c>
      <c r="I477"/>
      <c r="J477"/>
      <c r="K477" s="32">
        <v>0.12472747748479382</v>
      </c>
      <c r="L477" s="30">
        <v>5.5118822098242379</v>
      </c>
      <c r="M477"/>
      <c r="N477"/>
      <c r="O477" s="33">
        <v>16.214568983598305</v>
      </c>
      <c r="P477" s="3">
        <v>0.34028981920382556</v>
      </c>
      <c r="Q477" s="32">
        <v>3.9300306220898529E-2</v>
      </c>
      <c r="T477" s="38">
        <f t="shared" si="11"/>
        <v>0</v>
      </c>
      <c r="W477"/>
      <c r="X477"/>
      <c r="Y477"/>
      <c r="Z477"/>
      <c r="AA477"/>
      <c r="AB477"/>
      <c r="AI477" s="30">
        <v>12.306778388355218</v>
      </c>
      <c r="AJ477" s="31">
        <v>853.36259910231126</v>
      </c>
      <c r="AL477" s="33">
        <v>12.85648852720332</v>
      </c>
      <c r="AM477" s="31">
        <v>74.451696799362395</v>
      </c>
      <c r="AN477" s="174">
        <v>9.0853349553253047</v>
      </c>
      <c r="AO477"/>
      <c r="AQ477" s="30">
        <v>4.237971391417425E-2</v>
      </c>
      <c r="AR477" s="30">
        <v>0.32362278454798032</v>
      </c>
      <c r="AS477" s="30">
        <v>0.17283862578128276</v>
      </c>
      <c r="AT477" s="31">
        <v>0</v>
      </c>
      <c r="AU477" s="31">
        <v>329.95058517555265</v>
      </c>
      <c r="AV477" s="161"/>
      <c r="AW477" s="31">
        <v>21.743277822056292</v>
      </c>
      <c r="AX477"/>
      <c r="AY477"/>
      <c r="AZ477">
        <v>0</v>
      </c>
      <c r="BA477"/>
      <c r="BB477"/>
      <c r="BC477"/>
      <c r="BD477">
        <v>1.1766139519275137E-2</v>
      </c>
      <c r="BE477"/>
      <c r="BF477"/>
      <c r="BG477">
        <v>2.7090691723646122E-2</v>
      </c>
      <c r="BH477" s="31">
        <v>48.463861739166909</v>
      </c>
      <c r="BI477" s="30">
        <v>1.67712177524225</v>
      </c>
      <c r="BJ477" s="30">
        <v>4.4319610721926264</v>
      </c>
      <c r="BK477" s="51"/>
      <c r="BL477" s="33">
        <v>2.8165317337136622</v>
      </c>
      <c r="BM477" s="30">
        <v>0.85471349469356939</v>
      </c>
      <c r="BN477" s="30">
        <v>0.77708817483954851</v>
      </c>
      <c r="BO477" s="51"/>
      <c r="BP477" s="30">
        <v>0.19551466084986788</v>
      </c>
      <c r="BQ477" s="74"/>
      <c r="BR477" s="74"/>
      <c r="BS477" s="52"/>
      <c r="BT477" s="53"/>
      <c r="BU477" s="30">
        <v>0.81400444649523873</v>
      </c>
      <c r="BV477" s="32">
        <v>0.11740432484584086</v>
      </c>
      <c r="BW477" s="30">
        <v>0.63388992826880308</v>
      </c>
      <c r="BX477" s="30">
        <v>8.6874155795125627E-2</v>
      </c>
      <c r="BY477" s="30">
        <v>0.17213347875330343</v>
      </c>
      <c r="BZ477" s="33">
        <v>2.3533956961281928</v>
      </c>
      <c r="CA477" s="33">
        <v>0.96610176601367492</v>
      </c>
      <c r="CE477" s="30">
        <v>0.26040811275640757</v>
      </c>
      <c r="CF477" s="30">
        <v>9.002663702336508E-2</v>
      </c>
      <c r="CG477">
        <v>238.39000000000001</v>
      </c>
      <c r="CI477" s="29">
        <v>1.0516081752736126</v>
      </c>
      <c r="CJ477" s="41">
        <v>1.086017460820224</v>
      </c>
      <c r="CK477" s="29">
        <v>1.0743754496369826</v>
      </c>
    </row>
    <row r="478" spans="1:89" x14ac:dyDescent="0.2">
      <c r="A478" t="s">
        <v>56</v>
      </c>
      <c r="C478" t="s">
        <v>700</v>
      </c>
      <c r="H478" s="30">
        <v>45.161052090908029</v>
      </c>
      <c r="I478" s="30">
        <v>0.27248578202515433</v>
      </c>
      <c r="J478" s="30">
        <v>27.656193600426029</v>
      </c>
      <c r="K478" s="32">
        <v>0.12472747748479382</v>
      </c>
      <c r="L478" s="30">
        <v>5.5118822098242379</v>
      </c>
      <c r="M478" s="32">
        <v>7.7106652051152302E-2</v>
      </c>
      <c r="N478" s="30">
        <v>4.9865154894724704</v>
      </c>
      <c r="O478" s="33">
        <v>16.011773290416404</v>
      </c>
      <c r="P478" s="32">
        <v>0.34028981920382556</v>
      </c>
      <c r="Q478" s="32">
        <v>2.1061672977864144E-2</v>
      </c>
      <c r="R478" s="32">
        <v>3.0743801865582832E-2</v>
      </c>
      <c r="T478" s="38">
        <f t="shared" si="11"/>
        <v>61.725314913698689</v>
      </c>
      <c r="W478"/>
      <c r="X478"/>
      <c r="Y478"/>
      <c r="Z478"/>
      <c r="AA478"/>
      <c r="AB478"/>
      <c r="AO478"/>
      <c r="AQ478"/>
      <c r="AR478"/>
      <c r="AS478"/>
      <c r="AX478"/>
      <c r="AY478"/>
      <c r="AZ478"/>
      <c r="BA478"/>
      <c r="BB478"/>
      <c r="BC478"/>
      <c r="BD478"/>
      <c r="BE478"/>
      <c r="BF478"/>
      <c r="BG478"/>
    </row>
    <row r="479" spans="1:89" x14ac:dyDescent="0.2">
      <c r="A479" t="s">
        <v>56</v>
      </c>
      <c r="I479" s="30"/>
      <c r="J479" s="30"/>
      <c r="L479" s="30"/>
      <c r="M479" s="32"/>
      <c r="N479" s="30"/>
      <c r="O479" s="33"/>
      <c r="T479" s="38" t="e">
        <f t="shared" si="11"/>
        <v>#DIV/0!</v>
      </c>
      <c r="W479"/>
      <c r="X479"/>
      <c r="Y479"/>
      <c r="Z479"/>
      <c r="AA479"/>
      <c r="AB479"/>
      <c r="AO479"/>
      <c r="AQ479"/>
      <c r="AR479"/>
      <c r="AS479"/>
      <c r="AX479"/>
      <c r="AY479"/>
      <c r="AZ479"/>
      <c r="BA479"/>
      <c r="BB479"/>
      <c r="BC479"/>
      <c r="BD479"/>
      <c r="BE479"/>
      <c r="BF479"/>
      <c r="BG479"/>
    </row>
    <row r="480" spans="1:89" x14ac:dyDescent="0.2">
      <c r="A480" s="36" t="s">
        <v>55</v>
      </c>
      <c r="C480" s="36" t="s">
        <v>279</v>
      </c>
      <c r="G480" s="30">
        <v>100.27360524800245</v>
      </c>
      <c r="H480" s="34">
        <v>45.161052090908029</v>
      </c>
      <c r="I480" s="34">
        <v>0.27248578202515433</v>
      </c>
      <c r="J480" s="34">
        <v>27.656193600426029</v>
      </c>
      <c r="K480" s="37">
        <v>0.12472747748479382</v>
      </c>
      <c r="L480" s="34">
        <v>5.5118822098242379</v>
      </c>
      <c r="M480" s="37">
        <v>7.7106652051152302E-2</v>
      </c>
      <c r="N480" s="34">
        <v>4.9865154894724704</v>
      </c>
      <c r="O480" s="72">
        <v>16.113171137007356</v>
      </c>
      <c r="P480" s="37">
        <v>0.34028981920382556</v>
      </c>
      <c r="Q480" s="37">
        <v>3.0180989599381335E-2</v>
      </c>
      <c r="R480" s="37"/>
      <c r="S480" s="36"/>
      <c r="T480" s="38">
        <f t="shared" si="11"/>
        <v>61.725314913698689</v>
      </c>
      <c r="U480" s="36"/>
      <c r="W480" s="36"/>
      <c r="X480" s="36"/>
      <c r="Y480" s="36"/>
      <c r="Z480" s="8">
        <v>597.19102013617453</v>
      </c>
      <c r="AA480" s="36"/>
      <c r="AB480" s="36"/>
      <c r="AC480" s="36"/>
      <c r="AD480" s="31">
        <v>250.53239466446445</v>
      </c>
      <c r="AE480" s="36"/>
      <c r="AF480" s="36"/>
      <c r="AG480" s="36"/>
      <c r="AH480" s="36"/>
      <c r="AI480" s="34">
        <v>12.306778388355218</v>
      </c>
      <c r="AJ480" s="35">
        <v>853.36259910231126</v>
      </c>
      <c r="AK480" s="36"/>
      <c r="AL480" s="72">
        <v>12.85648852720332</v>
      </c>
      <c r="AM480" s="35">
        <v>74.451696799362395</v>
      </c>
      <c r="AN480" s="35">
        <v>9.0853349553253047</v>
      </c>
      <c r="AO480" s="72"/>
      <c r="AP480" s="36"/>
      <c r="AQ480" s="34">
        <v>4.237971391417425E-2</v>
      </c>
      <c r="AR480" s="34"/>
      <c r="AS480" s="34"/>
      <c r="AT480" s="35">
        <v>0</v>
      </c>
      <c r="AU480" s="35">
        <v>329.95058517555265</v>
      </c>
      <c r="AV480" s="34" t="e">
        <v>#DIV/0!</v>
      </c>
      <c r="AW480" s="35">
        <v>21.743277822056292</v>
      </c>
      <c r="AX480" s="34"/>
      <c r="AY480" s="34"/>
      <c r="AZ480" s="34"/>
      <c r="BA480" s="34"/>
      <c r="BB480" s="34"/>
      <c r="BC480" s="34"/>
      <c r="BD480" s="34">
        <v>1.1766139519275137E-2</v>
      </c>
      <c r="BE480" s="34"/>
      <c r="BF480" s="34"/>
      <c r="BG480" s="34">
        <v>2.7090691723646122E-2</v>
      </c>
      <c r="BH480" s="35">
        <v>48.463861739166909</v>
      </c>
      <c r="BI480" s="34">
        <v>1.67712177524225</v>
      </c>
      <c r="BJ480" s="34">
        <v>4.4319610721926264</v>
      </c>
      <c r="BK480" s="51">
        <v>0.58079505283785038</v>
      </c>
      <c r="BL480" s="72">
        <v>2.8165317337136622</v>
      </c>
      <c r="BM480" s="34">
        <v>0.85471349469356939</v>
      </c>
      <c r="BN480" s="34">
        <v>0.77708817483954851</v>
      </c>
      <c r="BO480" s="51">
        <v>1.0706670285769397</v>
      </c>
      <c r="BP480" s="34">
        <v>0.19551466084986788</v>
      </c>
      <c r="BQ480" s="34" t="e">
        <v>#DIV/0!</v>
      </c>
      <c r="BR480" s="34" t="e">
        <v>#DIV/0!</v>
      </c>
      <c r="BS480" s="34" t="e">
        <v>#DIV/0!</v>
      </c>
      <c r="BT480" s="34" t="e">
        <v>#DIV/0!</v>
      </c>
      <c r="BU480" s="37">
        <v>0.81400444649523873</v>
      </c>
      <c r="BV480" s="37">
        <v>0.11740432484584086</v>
      </c>
      <c r="BW480" s="34">
        <v>0.63388992826880308</v>
      </c>
      <c r="BX480" s="34">
        <v>8.6874155795125627E-2</v>
      </c>
      <c r="BY480" s="36"/>
      <c r="BZ480" s="72">
        <v>2.3533956961281928</v>
      </c>
      <c r="CA480" s="72">
        <v>0.96610176601367492</v>
      </c>
      <c r="CB480" s="36"/>
      <c r="CC480" s="36"/>
      <c r="CD480" s="36"/>
      <c r="CE480" s="34">
        <v>0.26040811275640757</v>
      </c>
      <c r="CF480" s="34">
        <v>9.002663702336508E-2</v>
      </c>
      <c r="CI480" s="29">
        <v>1.0516081752736126</v>
      </c>
      <c r="CJ480" s="41">
        <v>1.086017460820224</v>
      </c>
      <c r="CK480" s="29">
        <v>1.0743754496369826</v>
      </c>
    </row>
    <row r="481" spans="1:98" x14ac:dyDescent="0.2">
      <c r="I481" s="30"/>
      <c r="J481" s="30"/>
      <c r="L481" s="30"/>
      <c r="M481" s="32"/>
      <c r="N481" s="30"/>
      <c r="O481" s="33"/>
      <c r="T481" s="38" t="e">
        <f t="shared" si="11"/>
        <v>#DIV/0!</v>
      </c>
      <c r="W481"/>
      <c r="X481"/>
      <c r="Y481"/>
      <c r="Z481"/>
      <c r="AA481"/>
      <c r="AB481"/>
      <c r="AO481"/>
      <c r="AQ481"/>
      <c r="AR481"/>
      <c r="AS481"/>
      <c r="AX481"/>
      <c r="AY481"/>
      <c r="AZ481"/>
      <c r="BA481"/>
      <c r="BB481"/>
      <c r="BC481"/>
      <c r="BD481"/>
      <c r="BE481"/>
      <c r="BF481"/>
      <c r="BG481"/>
    </row>
    <row r="482" spans="1:98" x14ac:dyDescent="0.2">
      <c r="A482" t="s">
        <v>963</v>
      </c>
      <c r="E482">
        <v>0</v>
      </c>
      <c r="I482"/>
      <c r="J482"/>
      <c r="K482" s="32">
        <v>0.12292603455810101</v>
      </c>
      <c r="L482" s="30">
        <v>5.1719768405233051</v>
      </c>
      <c r="M482"/>
      <c r="N482"/>
      <c r="O482" s="33">
        <v>15.646773279898268</v>
      </c>
      <c r="P482" s="32">
        <v>0.3624814165430339</v>
      </c>
      <c r="Q482" s="32">
        <v>4.6350552012485301E-2</v>
      </c>
      <c r="T482" s="38">
        <f t="shared" si="11"/>
        <v>0</v>
      </c>
      <c r="W482"/>
      <c r="X482"/>
      <c r="Y482"/>
      <c r="Z482"/>
      <c r="AA482"/>
      <c r="AB482"/>
      <c r="AI482" s="30">
        <v>12.462163542128284</v>
      </c>
      <c r="AJ482" s="31">
        <v>841.03745592570476</v>
      </c>
      <c r="AL482" s="33">
        <v>13.699860310976666</v>
      </c>
      <c r="AM482" s="31">
        <v>89.912660642376849</v>
      </c>
      <c r="AN482" s="31">
        <v>9.8249725438816213</v>
      </c>
      <c r="AO482"/>
      <c r="AQ482">
        <v>0.34307277316429358</v>
      </c>
      <c r="AR482">
        <v>0.25961869713492997</v>
      </c>
      <c r="AS482">
        <v>0.47727558235872142</v>
      </c>
      <c r="AT482" s="31">
        <v>1.0753106876553438</v>
      </c>
      <c r="AU482" s="31">
        <v>1364.4699524093946</v>
      </c>
      <c r="AV482" s="161"/>
      <c r="AW482" s="31">
        <v>32.326641105181018</v>
      </c>
      <c r="AX482"/>
      <c r="AY482"/>
      <c r="AZ482">
        <v>0</v>
      </c>
      <c r="BA482"/>
      <c r="BB482"/>
      <c r="BC482"/>
      <c r="BD482">
        <v>1.8997842045432652E-2</v>
      </c>
      <c r="BE482"/>
      <c r="BF482"/>
      <c r="BG482">
        <v>2.8599622357950712E-2</v>
      </c>
      <c r="BH482" s="31">
        <v>202.21144101269726</v>
      </c>
      <c r="BI482" s="30">
        <v>2.3403202250438331</v>
      </c>
      <c r="BJ482">
        <v>6.2257522976435915</v>
      </c>
      <c r="BK482" s="51"/>
      <c r="BL482" s="33">
        <v>3.8051694572358921</v>
      </c>
      <c r="BM482" s="30">
        <v>1.1459925242288203</v>
      </c>
      <c r="BN482" s="30">
        <v>0.82608581722895513</v>
      </c>
      <c r="BO482" s="51"/>
      <c r="BP482" s="30">
        <v>0.24992765071963935</v>
      </c>
      <c r="BQ482" s="74"/>
      <c r="BR482" s="74"/>
      <c r="BS482" s="52"/>
      <c r="BT482" s="53"/>
      <c r="BU482">
        <v>0.99986566732818261</v>
      </c>
      <c r="BV482" s="32">
        <v>0.14203797614689503</v>
      </c>
      <c r="BW482" s="30">
        <v>0.82489258395791998</v>
      </c>
      <c r="BX482" s="30">
        <v>0.10936084083158321</v>
      </c>
      <c r="BY482">
        <v>6.0080345272730783E-2</v>
      </c>
      <c r="BZ482" s="33">
        <v>3.8542417294464464</v>
      </c>
      <c r="CA482" s="33">
        <v>1.32043120556444</v>
      </c>
      <c r="CE482" s="30">
        <v>0.36006843798770738</v>
      </c>
      <c r="CF482" s="30">
        <v>0.17317506406427624</v>
      </c>
      <c r="CG482">
        <v>519.01</v>
      </c>
    </row>
    <row r="483" spans="1:98" x14ac:dyDescent="0.2">
      <c r="A483" t="s">
        <v>963</v>
      </c>
      <c r="C483" t="s">
        <v>700</v>
      </c>
      <c r="H483" s="30">
        <v>44.685235341377968</v>
      </c>
      <c r="I483" s="30">
        <v>0.30571851015823071</v>
      </c>
      <c r="J483" s="30">
        <v>27.904992056323859</v>
      </c>
      <c r="K483" s="32">
        <v>0.12292603455810101</v>
      </c>
      <c r="L483" s="30">
        <v>5.1719768405233051</v>
      </c>
      <c r="M483" s="32">
        <v>8.9150454993307676E-2</v>
      </c>
      <c r="N483" s="30">
        <v>5.3222365445049791</v>
      </c>
      <c r="O483" s="33">
        <v>15.799289450495017</v>
      </c>
      <c r="P483" s="32">
        <v>0.3624814165430339</v>
      </c>
      <c r="Q483" s="32">
        <v>3.3818039048872157E-2</v>
      </c>
      <c r="R483" s="32">
        <v>3.6173848286523536E-2</v>
      </c>
      <c r="T483" s="38">
        <f t="shared" si="11"/>
        <v>64.719059569123345</v>
      </c>
      <c r="W483"/>
      <c r="X483"/>
      <c r="Y483"/>
      <c r="Z483"/>
      <c r="AA483"/>
      <c r="AB483"/>
      <c r="AO483"/>
      <c r="AQ483"/>
      <c r="AR483"/>
      <c r="AS483"/>
      <c r="AX483"/>
      <c r="AY483"/>
      <c r="AZ483"/>
      <c r="BA483"/>
      <c r="BB483"/>
      <c r="BC483"/>
      <c r="BD483"/>
      <c r="BE483"/>
      <c r="BF483"/>
      <c r="BG483"/>
    </row>
    <row r="484" spans="1:98" x14ac:dyDescent="0.2">
      <c r="A484" t="s">
        <v>963</v>
      </c>
      <c r="I484" s="30"/>
      <c r="J484" s="30"/>
      <c r="L484" s="30"/>
      <c r="M484" s="32"/>
      <c r="N484" s="30"/>
      <c r="O484" s="33"/>
      <c r="T484" s="38" t="e">
        <f t="shared" si="11"/>
        <v>#DIV/0!</v>
      </c>
      <c r="W484"/>
      <c r="X484"/>
      <c r="Y484"/>
      <c r="Z484"/>
      <c r="AA484"/>
      <c r="AB484"/>
      <c r="AO484"/>
      <c r="AQ484"/>
      <c r="AR484"/>
      <c r="AS484"/>
      <c r="AX484"/>
      <c r="AY484"/>
      <c r="AZ484"/>
      <c r="BA484"/>
      <c r="BB484"/>
      <c r="BC484"/>
      <c r="BD484"/>
      <c r="BE484"/>
      <c r="BF484"/>
      <c r="BG484"/>
    </row>
    <row r="485" spans="1:98" x14ac:dyDescent="0.2">
      <c r="A485" s="5" t="s">
        <v>963</v>
      </c>
      <c r="C485" s="36" t="s">
        <v>279</v>
      </c>
      <c r="G485" s="30">
        <v>99.727832859710091</v>
      </c>
      <c r="H485" s="34">
        <v>44.685235341377968</v>
      </c>
      <c r="I485" s="34">
        <v>0.30571851015823071</v>
      </c>
      <c r="J485" s="34">
        <v>27.904992056323859</v>
      </c>
      <c r="K485" s="37">
        <v>0.12292603455810101</v>
      </c>
      <c r="L485" s="34">
        <v>5.1719768405233051</v>
      </c>
      <c r="M485" s="37">
        <v>8.9150454993307676E-2</v>
      </c>
      <c r="N485" s="34">
        <v>5.3222365445049791</v>
      </c>
      <c r="O485" s="72">
        <v>15.723031365196643</v>
      </c>
      <c r="P485" s="37">
        <v>0.3624814165430339</v>
      </c>
      <c r="Q485" s="37">
        <v>4.0084295530678729E-2</v>
      </c>
      <c r="R485" s="37"/>
      <c r="S485" s="36"/>
      <c r="T485" s="38">
        <f t="shared" si="11"/>
        <v>64.719059569123345</v>
      </c>
      <c r="U485" s="36"/>
      <c r="W485" s="36"/>
      <c r="X485" s="36"/>
      <c r="Y485" s="36"/>
      <c r="Z485" s="8">
        <v>690.47027392316795</v>
      </c>
      <c r="AA485" s="36"/>
      <c r="AB485" s="36"/>
      <c r="AC485" s="36"/>
      <c r="AD485" s="31">
        <v>332.73973720016414</v>
      </c>
      <c r="AE485" s="36"/>
      <c r="AF485" s="36"/>
      <c r="AG485" s="36"/>
      <c r="AH485" s="36"/>
      <c r="AI485" s="34">
        <v>12.462163542128284</v>
      </c>
      <c r="AJ485" s="35">
        <v>841.03745592570476</v>
      </c>
      <c r="AK485" s="36"/>
      <c r="AL485" s="72">
        <v>13.699860310976666</v>
      </c>
      <c r="AM485" s="35">
        <v>89.912660642376849</v>
      </c>
      <c r="AN485" s="35">
        <v>9.8249725438816213</v>
      </c>
      <c r="AO485" s="72"/>
      <c r="AP485" s="36"/>
      <c r="AQ485" s="34">
        <v>0.34307277316429358</v>
      </c>
      <c r="AR485" s="34"/>
      <c r="AS485" s="34"/>
      <c r="AT485" s="35">
        <v>1.0753106876553438</v>
      </c>
      <c r="AU485" s="35">
        <v>1364.4699524093946</v>
      </c>
      <c r="AV485" s="161">
        <v>10.243484756304602</v>
      </c>
      <c r="AW485" s="35">
        <v>32.326641105181018</v>
      </c>
      <c r="AX485" s="34"/>
      <c r="AY485" s="34"/>
      <c r="AZ485" s="34"/>
      <c r="BA485" s="34"/>
      <c r="BB485" s="34"/>
      <c r="BC485" s="34"/>
      <c r="BD485" s="34">
        <v>1.8997842045432652E-2</v>
      </c>
      <c r="BE485" s="34"/>
      <c r="BF485" s="34"/>
      <c r="BG485" s="34">
        <v>2.8599622357950712E-2</v>
      </c>
      <c r="BH485" s="35">
        <v>202.21144101269726</v>
      </c>
      <c r="BI485" s="34">
        <v>2.3403202250438331</v>
      </c>
      <c r="BJ485" s="34">
        <v>6.2257522976435915</v>
      </c>
      <c r="BK485" s="51">
        <v>0.79316956255969817</v>
      </c>
      <c r="BL485" s="72">
        <v>3.8051694572358921</v>
      </c>
      <c r="BM485" s="34">
        <v>1.1459925242288203</v>
      </c>
      <c r="BN485" s="34">
        <v>0.82608581722895513</v>
      </c>
      <c r="BO485" s="51">
        <v>1.3941811189749151</v>
      </c>
      <c r="BP485" s="34">
        <v>0.24992765071963935</v>
      </c>
      <c r="BQ485" s="74">
        <v>1.6571001667961489</v>
      </c>
      <c r="BR485" s="74">
        <v>0.36986913434897084</v>
      </c>
      <c r="BS485" s="52">
        <v>1.0299042544468526</v>
      </c>
      <c r="BT485" s="53">
        <v>0.152824617707458</v>
      </c>
      <c r="BU485" s="37">
        <v>0.99986566732818261</v>
      </c>
      <c r="BV485" s="37">
        <v>0.14203797614689503</v>
      </c>
      <c r="BW485" s="34">
        <v>0.82489258395791998</v>
      </c>
      <c r="BX485" s="34">
        <v>0.10936084083158321</v>
      </c>
      <c r="BY485" s="36"/>
      <c r="BZ485" s="72">
        <v>3.8542417294464464</v>
      </c>
      <c r="CA485" s="72">
        <v>1.32043120556444</v>
      </c>
      <c r="CB485" s="36"/>
      <c r="CC485" s="36"/>
      <c r="CD485" s="36"/>
      <c r="CE485" s="34">
        <v>0.36006843798770738</v>
      </c>
      <c r="CF485" s="34">
        <v>0.17317506406427624</v>
      </c>
      <c r="CI485" s="29">
        <v>1.3876354670106215</v>
      </c>
      <c r="CJ485" s="41">
        <v>1.4105286641306289</v>
      </c>
      <c r="CK485" s="29">
        <v>1.384379225783495</v>
      </c>
    </row>
    <row r="486" spans="1:98" x14ac:dyDescent="0.2">
      <c r="I486" s="30"/>
      <c r="J486" s="30"/>
      <c r="L486" s="30"/>
      <c r="M486" s="32"/>
      <c r="N486" s="30"/>
      <c r="O486" s="33"/>
      <c r="T486" s="38" t="e">
        <f t="shared" si="11"/>
        <v>#DIV/0!</v>
      </c>
      <c r="W486"/>
      <c r="X486"/>
      <c r="Y486"/>
      <c r="Z486"/>
      <c r="AA486"/>
      <c r="AB486"/>
      <c r="AO486"/>
      <c r="AQ486"/>
      <c r="AR486"/>
      <c r="AS486"/>
      <c r="AX486"/>
      <c r="AY486"/>
      <c r="AZ486"/>
      <c r="BA486"/>
      <c r="BB486"/>
      <c r="BC486"/>
      <c r="BD486"/>
      <c r="BE486"/>
      <c r="BF486"/>
      <c r="BG486"/>
    </row>
    <row r="487" spans="1:98" x14ac:dyDescent="0.2">
      <c r="A487" t="s">
        <v>1289</v>
      </c>
      <c r="C487" t="s">
        <v>717</v>
      </c>
      <c r="D487">
        <v>359</v>
      </c>
      <c r="E487">
        <v>277.82</v>
      </c>
      <c r="I487"/>
      <c r="J487" s="30"/>
      <c r="K487" s="32">
        <v>0.10383682622129436</v>
      </c>
      <c r="L487" s="6">
        <v>4.6666525088186592</v>
      </c>
      <c r="M487"/>
      <c r="N487"/>
      <c r="O487" s="7">
        <v>15.412160751565761</v>
      </c>
      <c r="P487" s="32">
        <v>0.56071121589518391</v>
      </c>
      <c r="Q487" s="32" t="s">
        <v>1176</v>
      </c>
      <c r="T487" s="38">
        <f t="shared" si="11"/>
        <v>0</v>
      </c>
      <c r="AI487" s="30">
        <v>10.894296306961341</v>
      </c>
      <c r="AJ487" s="31">
        <v>710.43258224749832</v>
      </c>
      <c r="AL487" s="33">
        <v>10.811076236412067</v>
      </c>
      <c r="AM487" s="31">
        <v>60.720862428910813</v>
      </c>
      <c r="AQ487" s="30">
        <v>0.31520984810308833</v>
      </c>
      <c r="AR487" s="30">
        <v>0</v>
      </c>
      <c r="AS487" s="30">
        <v>0.4896252969548629</v>
      </c>
      <c r="AU487" s="31">
        <v>200.06961341876035</v>
      </c>
      <c r="AW487" s="31">
        <v>17.342595925419335</v>
      </c>
      <c r="BD487" s="30">
        <v>3.6769491037362315E-3</v>
      </c>
      <c r="BG487" s="30">
        <v>3.276545965013318E-2</v>
      </c>
      <c r="BH487" s="31">
        <v>45.590058311136694</v>
      </c>
      <c r="BI487" s="30">
        <v>1.4756926787128357</v>
      </c>
      <c r="BJ487" s="33">
        <v>3.5930436973580013</v>
      </c>
      <c r="BL487" s="33">
        <v>2.4369411849398892</v>
      </c>
      <c r="BM487" s="30">
        <v>0.74688866892232386</v>
      </c>
      <c r="BN487" s="30">
        <v>1.0140477287452307</v>
      </c>
      <c r="BP487" s="30">
        <v>0.18258365128500467</v>
      </c>
      <c r="BU487" s="30">
        <v>0.74762479303145934</v>
      </c>
      <c r="BV487" s="32">
        <v>0.10775065150097185</v>
      </c>
      <c r="BW487" s="30">
        <v>0.53193341012166151</v>
      </c>
      <c r="BX487" s="30">
        <v>6.9635375422935714E-2</v>
      </c>
      <c r="BY487" s="33">
        <v>5.8087970628464471E-2</v>
      </c>
      <c r="BZ487" s="33">
        <v>1.8350586710819954</v>
      </c>
      <c r="CA487" s="33">
        <v>1.3422503779425528</v>
      </c>
      <c r="CE487" s="30">
        <v>0.17211921387949031</v>
      </c>
      <c r="CF487" s="30">
        <v>0.11270750845871427</v>
      </c>
      <c r="CI487" s="29"/>
      <c r="CJ487" s="41"/>
      <c r="CK487" s="29"/>
      <c r="CL487" s="29"/>
      <c r="CM487" s="30"/>
      <c r="CN487" s="29"/>
      <c r="CO487" s="29"/>
      <c r="CP487" s="29"/>
      <c r="CQ487" s="29"/>
      <c r="CR487" s="30"/>
      <c r="CS487" s="29"/>
      <c r="CT487" s="29"/>
    </row>
    <row r="488" spans="1:98" x14ac:dyDescent="0.2">
      <c r="A488" t="s">
        <v>1289</v>
      </c>
      <c r="C488" t="s">
        <v>700</v>
      </c>
      <c r="H488" s="30">
        <v>45.045039119669134</v>
      </c>
      <c r="I488" s="30">
        <v>0.26</v>
      </c>
      <c r="J488" s="30">
        <v>28.613867383160496</v>
      </c>
      <c r="K488" s="32">
        <v>0.10741170488517755</v>
      </c>
      <c r="L488" s="30">
        <v>4.6666525088186592</v>
      </c>
      <c r="M488" s="32">
        <v>6.6665535896858724E-2</v>
      </c>
      <c r="N488" s="30">
        <v>4.6224143372653508</v>
      </c>
      <c r="O488" s="33">
        <v>15.100433302250895</v>
      </c>
      <c r="P488" s="32">
        <v>0.58357233871880199</v>
      </c>
      <c r="Q488" s="32">
        <v>0.12718835969512748</v>
      </c>
      <c r="R488" s="32">
        <v>2.5898606331650031E-2</v>
      </c>
      <c r="T488" s="38">
        <f t="shared" si="11"/>
        <v>63.842838138896198</v>
      </c>
      <c r="W488"/>
      <c r="X488"/>
      <c r="Y488"/>
      <c r="Z488" s="32"/>
      <c r="AA488"/>
      <c r="AB488"/>
      <c r="AO488"/>
      <c r="AQ488"/>
      <c r="AR488"/>
      <c r="AS488"/>
      <c r="AX488"/>
      <c r="AY488"/>
      <c r="AZ488"/>
      <c r="BA488"/>
      <c r="BB488"/>
      <c r="BC488"/>
      <c r="BD488"/>
      <c r="BE488"/>
      <c r="BF488"/>
      <c r="BG488"/>
    </row>
    <row r="489" spans="1:98" x14ac:dyDescent="0.2">
      <c r="A489" t="s">
        <v>1289</v>
      </c>
      <c r="C489" t="s">
        <v>66</v>
      </c>
      <c r="H489" s="30">
        <v>44.4</v>
      </c>
      <c r="I489" s="30">
        <v>0.28000000000000003</v>
      </c>
      <c r="J489" s="30">
        <v>27.737859999999998</v>
      </c>
      <c r="K489" s="32">
        <v>0.10245815999999999</v>
      </c>
      <c r="L489" s="30">
        <v>4.75</v>
      </c>
      <c r="M489" s="32">
        <v>0.06</v>
      </c>
      <c r="N489" s="30">
        <v>4.4442440000000003</v>
      </c>
      <c r="O489" s="33">
        <v>15.2</v>
      </c>
      <c r="P489" s="32">
        <v>0.54</v>
      </c>
      <c r="Q489" s="32">
        <v>0.16</v>
      </c>
      <c r="R489" s="32">
        <v>2.9788199999999997E-2</v>
      </c>
      <c r="T489" s="38">
        <f t="shared" si="11"/>
        <v>62.516727111018092</v>
      </c>
      <c r="V489">
        <v>20.73</v>
      </c>
      <c r="W489"/>
      <c r="X489">
        <v>14.68</v>
      </c>
      <c r="Y489">
        <v>3.5</v>
      </c>
      <c r="Z489"/>
      <c r="AA489">
        <v>2.68</v>
      </c>
      <c r="AB489">
        <v>11.1</v>
      </c>
      <c r="AI489" s="30">
        <v>10</v>
      </c>
      <c r="AJ489" s="31">
        <v>695.5</v>
      </c>
      <c r="AL489" s="33">
        <v>10.8</v>
      </c>
      <c r="AM489" s="31">
        <v>64</v>
      </c>
      <c r="AO489">
        <v>2.8</v>
      </c>
      <c r="AQ489">
        <v>0.28000000000000003</v>
      </c>
      <c r="AR489">
        <v>0.34</v>
      </c>
      <c r="AS489">
        <v>0.7</v>
      </c>
      <c r="AT489" s="31">
        <v>3.6</v>
      </c>
      <c r="AU489" s="31">
        <v>200</v>
      </c>
      <c r="AW489" s="31">
        <v>16.78</v>
      </c>
      <c r="AX489" s="31">
        <v>0.94399999999999995</v>
      </c>
      <c r="AY489"/>
      <c r="AZ489"/>
      <c r="BA489"/>
      <c r="BB489"/>
      <c r="BC489"/>
      <c r="BD489"/>
      <c r="BE489"/>
      <c r="BF489"/>
      <c r="BG489">
        <v>6.3E-2</v>
      </c>
      <c r="BH489" s="31">
        <v>65</v>
      </c>
      <c r="BI489" s="30">
        <v>1.3</v>
      </c>
      <c r="BJ489">
        <v>4.5</v>
      </c>
      <c r="BL489" s="33">
        <v>3.5</v>
      </c>
      <c r="BM489" s="30">
        <v>0.9</v>
      </c>
      <c r="BN489" s="30">
        <v>0.82</v>
      </c>
      <c r="BP489" s="30">
        <v>0.17</v>
      </c>
      <c r="BQ489" s="30">
        <v>0.95</v>
      </c>
      <c r="BR489" s="30">
        <v>0.24</v>
      </c>
      <c r="BU489" s="30">
        <v>0.7</v>
      </c>
      <c r="BV489" s="32">
        <v>0.10317999999999999</v>
      </c>
      <c r="BW489" s="30">
        <v>0.52495000000000003</v>
      </c>
      <c r="BX489" s="30">
        <v>7.0000000000000007E-2</v>
      </c>
      <c r="BZ489" s="33">
        <v>3.5</v>
      </c>
      <c r="CA489" s="33">
        <v>3</v>
      </c>
      <c r="CE489" s="30">
        <v>0.18</v>
      </c>
      <c r="CF489" s="30">
        <v>7.0000000000000007E-2</v>
      </c>
    </row>
    <row r="490" spans="1:98" x14ac:dyDescent="0.2">
      <c r="A490" s="36" t="s">
        <v>897</v>
      </c>
      <c r="B490" s="36"/>
      <c r="C490" s="36" t="s">
        <v>279</v>
      </c>
      <c r="G490" s="30">
        <v>98.534445876734125</v>
      </c>
      <c r="H490" s="34">
        <v>44.722519559834566</v>
      </c>
      <c r="I490" s="34">
        <v>0.27</v>
      </c>
      <c r="J490" s="34">
        <v>28.175863691580247</v>
      </c>
      <c r="K490" s="37">
        <v>0.10456889703549062</v>
      </c>
      <c r="L490" s="34">
        <v>4.6944350058791064</v>
      </c>
      <c r="M490" s="37">
        <v>6.3332767948429361E-2</v>
      </c>
      <c r="N490" s="34">
        <v>4.533329168632676</v>
      </c>
      <c r="O490" s="72">
        <v>15.237531351272219</v>
      </c>
      <c r="P490" s="37">
        <v>0.56142785153799535</v>
      </c>
      <c r="Q490" s="37">
        <v>0.14359417984756373</v>
      </c>
      <c r="R490" s="37">
        <v>2.7843403165825016E-2</v>
      </c>
      <c r="T490" s="38">
        <f t="shared" si="11"/>
        <v>63.254558972431582</v>
      </c>
      <c r="W490" s="36"/>
      <c r="X490" s="36"/>
      <c r="Y490" s="36"/>
      <c r="Z490" s="36"/>
      <c r="AA490" s="36"/>
      <c r="AB490"/>
      <c r="AI490" s="34">
        <v>10.44714815348067</v>
      </c>
      <c r="AJ490" s="35">
        <v>702.96629112374922</v>
      </c>
      <c r="AL490" s="72">
        <v>10.805538118206034</v>
      </c>
      <c r="AM490" s="35">
        <v>62.360431214455403</v>
      </c>
      <c r="AO490"/>
      <c r="AQ490" s="34">
        <v>0.29760492405154415</v>
      </c>
      <c r="AR490" s="34">
        <v>0.17</v>
      </c>
      <c r="AS490" s="34">
        <v>0.59481264847743143</v>
      </c>
      <c r="AU490" s="35">
        <v>200.03480670938018</v>
      </c>
      <c r="AV490" s="161">
        <v>7.3593245183942573</v>
      </c>
      <c r="AW490" s="35">
        <v>17.061297962709666</v>
      </c>
      <c r="AX490"/>
      <c r="AY490"/>
      <c r="AZ490"/>
      <c r="BA490"/>
      <c r="BB490"/>
      <c r="BC490"/>
      <c r="BD490" s="34">
        <v>3.6769491037362315E-3</v>
      </c>
      <c r="BE490"/>
      <c r="BF490"/>
      <c r="BG490" s="34">
        <v>4.788272982506659E-2</v>
      </c>
      <c r="BH490" s="35">
        <v>55.295029155568344</v>
      </c>
      <c r="BI490" s="34">
        <v>1.3878463393564178</v>
      </c>
      <c r="BJ490" s="72">
        <v>4.0465218486790011</v>
      </c>
      <c r="BK490" s="54">
        <v>0.56471228889831027</v>
      </c>
      <c r="BL490" s="72">
        <v>2.9684705924699446</v>
      </c>
      <c r="BM490" s="34">
        <v>0.82344433446116194</v>
      </c>
      <c r="BN490" s="34">
        <v>0.9170238643726154</v>
      </c>
      <c r="BO490" s="51">
        <v>1.0164066980202831</v>
      </c>
      <c r="BP490" s="34">
        <v>0.17629182564250234</v>
      </c>
      <c r="BQ490" s="74">
        <v>1.1851850841236438</v>
      </c>
      <c r="BR490" s="74">
        <v>0.26532890516367758</v>
      </c>
      <c r="BS490" s="52">
        <v>0.74103860806804533</v>
      </c>
      <c r="BT490" s="53">
        <v>0.11029434934131141</v>
      </c>
      <c r="BU490" s="34">
        <v>0.72381239651572971</v>
      </c>
      <c r="BV490" s="37">
        <v>0.10546532575048592</v>
      </c>
      <c r="BW490" s="34">
        <v>0.52844170506083077</v>
      </c>
      <c r="BX490" s="34">
        <v>6.981768771146786E-2</v>
      </c>
      <c r="BY490" s="34">
        <v>5.8087970628464471E-2</v>
      </c>
      <c r="BZ490" s="72">
        <v>2.6675293355409977</v>
      </c>
      <c r="CA490" s="72">
        <v>2.1711251889712764</v>
      </c>
      <c r="CE490" s="34">
        <v>0.17605960693974515</v>
      </c>
      <c r="CF490" s="34">
        <v>9.135375422935714E-2</v>
      </c>
      <c r="CI490" s="29">
        <v>1.0766694689732155</v>
      </c>
      <c r="CJ490" s="41">
        <v>1.0011024350555058</v>
      </c>
      <c r="CK490" s="29">
        <v>0.9714481900321279</v>
      </c>
      <c r="CL490" s="29"/>
      <c r="CM490" s="30">
        <v>0.21380875375741512</v>
      </c>
    </row>
    <row r="491" spans="1:98" x14ac:dyDescent="0.2">
      <c r="I491" s="30"/>
      <c r="J491" s="30"/>
      <c r="L491" s="30"/>
      <c r="M491" s="32"/>
      <c r="N491" s="30"/>
      <c r="O491" s="33"/>
      <c r="T491" s="38" t="e">
        <f t="shared" si="11"/>
        <v>#DIV/0!</v>
      </c>
      <c r="W491"/>
      <c r="X491"/>
      <c r="Y491"/>
      <c r="Z491"/>
      <c r="AA491"/>
      <c r="AB491"/>
      <c r="AO491"/>
      <c r="AQ491"/>
      <c r="AR491"/>
      <c r="AS491"/>
      <c r="AX491"/>
      <c r="AY491"/>
      <c r="AZ491"/>
      <c r="BA491"/>
      <c r="BB491"/>
      <c r="BC491"/>
      <c r="BD491"/>
      <c r="BE491"/>
      <c r="BF491"/>
      <c r="BG491"/>
      <c r="BJ491" s="33"/>
      <c r="BK491" s="33"/>
      <c r="CI491" s="29"/>
      <c r="CJ491" s="41"/>
      <c r="CK491" s="29"/>
    </row>
    <row r="492" spans="1:98" x14ac:dyDescent="0.2">
      <c r="A492" t="s">
        <v>899</v>
      </c>
      <c r="C492" t="s">
        <v>72</v>
      </c>
      <c r="D492" t="s">
        <v>73</v>
      </c>
      <c r="I492" s="30">
        <v>0.26525969999999999</v>
      </c>
      <c r="J492" s="195" t="s">
        <v>76</v>
      </c>
      <c r="K492" s="429">
        <v>0.2163168</v>
      </c>
      <c r="L492" s="30">
        <v>7.3665000000000003</v>
      </c>
      <c r="M492" s="32">
        <v>0.11168879999999998</v>
      </c>
      <c r="N492" s="116">
        <v>8.3909979999999997</v>
      </c>
      <c r="O492" s="33">
        <v>12.984575999999999</v>
      </c>
      <c r="P492" s="32">
        <v>0.292516</v>
      </c>
      <c r="Q492" s="32">
        <v>6.2898419999999997E-2</v>
      </c>
      <c r="R492" s="32">
        <v>3.3683579999999998E-2</v>
      </c>
      <c r="T492" s="38">
        <f t="shared" si="11"/>
        <v>67.002342098303473</v>
      </c>
      <c r="W492"/>
      <c r="X492"/>
      <c r="Y492"/>
      <c r="Z492"/>
      <c r="AA492"/>
      <c r="AB492"/>
      <c r="AI492" s="33">
        <v>14.9</v>
      </c>
      <c r="AJ492" s="31">
        <v>1480</v>
      </c>
      <c r="AK492" s="33">
        <v>50.4</v>
      </c>
      <c r="AL492" s="33">
        <v>36.799999999999997</v>
      </c>
      <c r="AM492" s="31">
        <v>463</v>
      </c>
      <c r="AN492" s="31" t="s">
        <v>719</v>
      </c>
      <c r="AO492" s="33">
        <v>2.58</v>
      </c>
      <c r="AP492" s="33"/>
      <c r="AQ492" t="s">
        <v>732</v>
      </c>
      <c r="AR492"/>
      <c r="AS492"/>
      <c r="AT492" s="33">
        <v>0.91</v>
      </c>
      <c r="AU492" s="31">
        <v>540</v>
      </c>
      <c r="AV492" s="161">
        <v>10.869976121128486</v>
      </c>
      <c r="AW492" s="31">
        <v>51.2</v>
      </c>
      <c r="AX492" s="33">
        <v>1.91</v>
      </c>
      <c r="AY492" s="30">
        <v>0.76</v>
      </c>
      <c r="AZ492"/>
      <c r="BA492"/>
      <c r="BB492"/>
      <c r="BC492"/>
      <c r="BD492"/>
      <c r="BE492"/>
      <c r="BF492"/>
      <c r="BG492"/>
      <c r="BH492" s="31">
        <v>57.4</v>
      </c>
      <c r="BI492" s="30">
        <v>2.38</v>
      </c>
      <c r="BJ492" s="33">
        <v>4.32</v>
      </c>
      <c r="BK492" s="30">
        <v>0.83</v>
      </c>
      <c r="BL492" s="33">
        <v>3.72</v>
      </c>
      <c r="BM492" s="30">
        <v>1.07</v>
      </c>
      <c r="BN492" s="30">
        <v>0.60399999999999998</v>
      </c>
      <c r="BO492" s="30">
        <v>1.42</v>
      </c>
      <c r="BP492" s="30">
        <v>0.255</v>
      </c>
      <c r="BQ492" s="30">
        <v>1.74</v>
      </c>
      <c r="BR492" s="30">
        <v>0.373</v>
      </c>
      <c r="BS492" s="30">
        <v>1.1499999999999999</v>
      </c>
      <c r="BT492" s="30">
        <v>0.16800000000000001</v>
      </c>
      <c r="BU492" s="30">
        <v>1.2</v>
      </c>
      <c r="BV492" s="32">
        <v>0.16700000000000001</v>
      </c>
      <c r="BZ492" s="33">
        <v>21</v>
      </c>
      <c r="CE492" s="30">
        <v>0.47299999999999998</v>
      </c>
      <c r="CI492" s="29">
        <v>1.2520956693726386</v>
      </c>
      <c r="CJ492" s="41">
        <v>1.3972172150371338</v>
      </c>
      <c r="CK492" s="29">
        <v>1.3673453052268891</v>
      </c>
      <c r="CQ492" s="29">
        <v>3.6008918753817953E-2</v>
      </c>
      <c r="CR492" s="30">
        <v>1.1390752731962261</v>
      </c>
      <c r="CS492" s="29">
        <v>1.5161718590918343E-2</v>
      </c>
      <c r="CT492" s="29"/>
    </row>
    <row r="493" spans="1:98" x14ac:dyDescent="0.2">
      <c r="A493" t="s">
        <v>899</v>
      </c>
      <c r="D493" t="s">
        <v>74</v>
      </c>
      <c r="I493" s="30">
        <v>0.33366000000000001</v>
      </c>
      <c r="J493" s="30"/>
      <c r="K493" s="429">
        <v>0.2207016</v>
      </c>
      <c r="L493" s="30">
        <v>7.7865000000000002</v>
      </c>
      <c r="M493" s="32">
        <v>0.11233439999999999</v>
      </c>
      <c r="N493" s="574">
        <v>9.3223665884188538</v>
      </c>
      <c r="O493" s="33"/>
      <c r="T493" s="38">
        <f t="shared" si="11"/>
        <v>68.094092411023823</v>
      </c>
      <c r="W493"/>
      <c r="X493"/>
      <c r="Y493"/>
      <c r="Z493"/>
      <c r="AA493"/>
      <c r="AB493"/>
      <c r="AI493" s="33"/>
      <c r="AJ493" s="31">
        <v>1510</v>
      </c>
      <c r="AK493" s="33">
        <v>46</v>
      </c>
      <c r="AM493" s="31">
        <v>470</v>
      </c>
      <c r="AN493" s="33">
        <v>2.2000000000000002</v>
      </c>
      <c r="AO493" s="33">
        <v>1.9</v>
      </c>
      <c r="AP493" s="33"/>
      <c r="AQ493" t="s">
        <v>706</v>
      </c>
      <c r="AR493"/>
      <c r="AS493"/>
      <c r="AT493" s="33">
        <v>0.8</v>
      </c>
      <c r="AU493" s="31">
        <v>540</v>
      </c>
      <c r="AV493" s="33">
        <v>18</v>
      </c>
      <c r="AX493" s="33"/>
      <c r="AZ493"/>
      <c r="BA493"/>
      <c r="BB493"/>
      <c r="BC493"/>
      <c r="BD493"/>
      <c r="BE493"/>
      <c r="BF493"/>
      <c r="BG493"/>
      <c r="BH493" s="31">
        <v>63</v>
      </c>
      <c r="BJ493" s="33"/>
      <c r="BK493" s="33"/>
      <c r="CI493" s="29"/>
      <c r="CJ493" s="41"/>
      <c r="CK493" s="29"/>
      <c r="CQ493" s="29">
        <v>4.2851088422269312E-2</v>
      </c>
      <c r="CR493" s="30"/>
      <c r="CS493" s="29">
        <v>1.4426815642458098E-2</v>
      </c>
      <c r="CT493" s="29"/>
    </row>
    <row r="494" spans="1:98" x14ac:dyDescent="0.2">
      <c r="A494" t="s">
        <v>899</v>
      </c>
      <c r="D494" t="s">
        <v>671</v>
      </c>
      <c r="I494" s="30">
        <v>0.26025480000000001</v>
      </c>
      <c r="J494" s="30">
        <v>23.0519</v>
      </c>
      <c r="K494" s="429">
        <v>0.21193200000000001</v>
      </c>
      <c r="L494" s="30">
        <v>7.4865000000000004</v>
      </c>
      <c r="M494" s="32">
        <v>0.11749919999999998</v>
      </c>
      <c r="N494" s="116">
        <v>8.4573300000000007</v>
      </c>
      <c r="O494" s="331" t="s">
        <v>1319</v>
      </c>
      <c r="P494" s="32">
        <v>0.33700000000000002</v>
      </c>
      <c r="Q494" s="32">
        <v>7.1334499999999995E-2</v>
      </c>
      <c r="T494" s="38">
        <f t="shared" si="11"/>
        <v>66.818917831398366</v>
      </c>
      <c r="W494"/>
      <c r="X494"/>
      <c r="Y494"/>
      <c r="Z494"/>
      <c r="AA494"/>
      <c r="AB494"/>
      <c r="AI494" s="33">
        <v>18.899999999999999</v>
      </c>
      <c r="AJ494" s="31">
        <v>1450</v>
      </c>
      <c r="AK494" s="33">
        <v>50</v>
      </c>
      <c r="AL494" s="33">
        <v>38</v>
      </c>
      <c r="AM494" s="31">
        <v>465</v>
      </c>
      <c r="AN494" s="33"/>
      <c r="AP494" s="33"/>
      <c r="AQ494">
        <v>0.52</v>
      </c>
      <c r="AR494"/>
      <c r="AS494">
        <v>0.67</v>
      </c>
      <c r="AV494" s="33"/>
      <c r="AW494" s="31">
        <v>50</v>
      </c>
      <c r="AX494" s="33"/>
      <c r="AY494" s="30">
        <v>0.65</v>
      </c>
      <c r="AZ494"/>
      <c r="BA494"/>
      <c r="BB494"/>
      <c r="BC494"/>
      <c r="BD494">
        <v>2.5999999999999999E-2</v>
      </c>
      <c r="BE494"/>
      <c r="BF494"/>
      <c r="BG494"/>
      <c r="BH494" s="31">
        <v>54</v>
      </c>
      <c r="BI494" s="30">
        <v>2.5</v>
      </c>
      <c r="BJ494" s="33">
        <v>6.1</v>
      </c>
      <c r="BK494" s="54">
        <v>0.82140894882196913</v>
      </c>
      <c r="BL494" s="33">
        <v>3.88</v>
      </c>
      <c r="BM494" s="30">
        <v>1.1100000000000001</v>
      </c>
      <c r="BN494" s="30">
        <v>0.64</v>
      </c>
      <c r="BO494" s="51">
        <v>1.3006804519543325</v>
      </c>
      <c r="BP494" s="30">
        <v>0.24</v>
      </c>
      <c r="BQ494">
        <v>2.2000000000000002</v>
      </c>
      <c r="BR494" s="74">
        <v>0.41594353482527319</v>
      </c>
      <c r="BS494" s="52">
        <v>1.215319787458244</v>
      </c>
      <c r="BT494" s="53">
        <v>0.1892745170636036</v>
      </c>
      <c r="BU494">
        <v>1.3</v>
      </c>
      <c r="BV494" s="32">
        <v>0.17</v>
      </c>
      <c r="BW494" s="30">
        <v>0.9</v>
      </c>
      <c r="BX494" s="30">
        <v>0.108</v>
      </c>
      <c r="BZ494" s="33">
        <v>19</v>
      </c>
      <c r="CA494" s="33">
        <v>7</v>
      </c>
      <c r="CE494" s="30">
        <v>0.45</v>
      </c>
      <c r="CF494" s="30">
        <v>0.22</v>
      </c>
      <c r="CI494" s="29">
        <v>1.292430428548301</v>
      </c>
      <c r="CJ494" s="41">
        <v>1.3583984802257534</v>
      </c>
      <c r="CK494" s="29">
        <v>1.2512124470889427</v>
      </c>
      <c r="CQ494" s="29">
        <v>3.476321378481266E-2</v>
      </c>
      <c r="CR494" s="30">
        <v>1.1296774193548387</v>
      </c>
      <c r="CS494" s="29">
        <v>1.5694810659186532E-2</v>
      </c>
      <c r="CT494" s="29"/>
    </row>
    <row r="495" spans="1:98" x14ac:dyDescent="0.2">
      <c r="A495" t="s">
        <v>899</v>
      </c>
      <c r="B495">
        <v>2</v>
      </c>
      <c r="D495" t="s">
        <v>75</v>
      </c>
      <c r="I495" s="574">
        <v>0.30014773689510021</v>
      </c>
      <c r="J495" s="30">
        <v>24.053335000000001</v>
      </c>
      <c r="K495" s="429">
        <v>0.23970239999999998</v>
      </c>
      <c r="L495" s="30">
        <v>7.8864999999999998</v>
      </c>
      <c r="M495" s="574">
        <v>0.11851758592059101</v>
      </c>
      <c r="N495" s="116">
        <v>10.795533000000001</v>
      </c>
      <c r="O495" s="33">
        <v>13.656191999999999</v>
      </c>
      <c r="P495" s="32">
        <v>0.35182800000000003</v>
      </c>
      <c r="T495" s="38">
        <f t="shared" si="11"/>
        <v>70.931390955529423</v>
      </c>
      <c r="W495"/>
      <c r="X495"/>
      <c r="Y495"/>
      <c r="Z495"/>
      <c r="AA495"/>
      <c r="AB495"/>
      <c r="AI495" s="33">
        <v>22</v>
      </c>
      <c r="AJ495" s="31">
        <v>1640</v>
      </c>
      <c r="AK495" s="33"/>
      <c r="AM495" s="31">
        <v>500</v>
      </c>
      <c r="AN495" s="33"/>
      <c r="AP495" s="33"/>
      <c r="AQ495"/>
      <c r="AR495"/>
      <c r="AS495"/>
      <c r="AT495" s="33">
        <v>1.3</v>
      </c>
      <c r="AU495" s="31">
        <v>589</v>
      </c>
      <c r="AV495" s="33">
        <v>11</v>
      </c>
      <c r="AW495" s="31">
        <v>41</v>
      </c>
      <c r="AX495" s="33"/>
      <c r="AZ495"/>
      <c r="BA495"/>
      <c r="BB495"/>
      <c r="BC495"/>
      <c r="BD495"/>
      <c r="BE495"/>
      <c r="BF495"/>
      <c r="BG495">
        <v>6.3E-2</v>
      </c>
      <c r="BH495" s="31">
        <v>38.299999999999997</v>
      </c>
      <c r="BI495" s="48" t="s">
        <v>77</v>
      </c>
      <c r="BJ495" s="33">
        <v>5.58</v>
      </c>
      <c r="BK495" s="33"/>
      <c r="CI495" s="29"/>
      <c r="CJ495" s="41"/>
      <c r="CK495" s="29"/>
      <c r="CQ495" s="29"/>
      <c r="CR495" s="30">
        <v>1.3688623597286504</v>
      </c>
      <c r="CS495" s="29"/>
      <c r="CT495" s="29">
        <v>0.56774630212400889</v>
      </c>
    </row>
    <row r="496" spans="1:98" x14ac:dyDescent="0.2">
      <c r="H496" s="32"/>
      <c r="I496" s="32">
        <v>0.28983055922377504</v>
      </c>
      <c r="J496" s="32">
        <v>23.5526175</v>
      </c>
      <c r="K496" s="32">
        <v>0.22216320000000001</v>
      </c>
      <c r="L496" s="32">
        <v>7.6315000000000008</v>
      </c>
      <c r="M496" s="32">
        <v>0.11500999648014774</v>
      </c>
      <c r="N496" s="32">
        <v>9.2415568971047133</v>
      </c>
      <c r="O496" s="32">
        <v>13.320383999999999</v>
      </c>
      <c r="P496" s="32">
        <v>0.32711466666666666</v>
      </c>
      <c r="Q496" s="32">
        <v>6.7116459999999989E-2</v>
      </c>
      <c r="R496" s="32">
        <v>3.3683579999999998E-2</v>
      </c>
      <c r="S496" s="32"/>
      <c r="T496" s="38">
        <f t="shared" si="11"/>
        <v>68.341276017926631</v>
      </c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3">
        <v>18.599999999999998</v>
      </c>
      <c r="AJ496" s="31">
        <v>1520</v>
      </c>
      <c r="AK496" s="33">
        <v>48.800000000000004</v>
      </c>
      <c r="AL496" s="33">
        <v>37.4</v>
      </c>
      <c r="AM496" s="31">
        <v>474.5</v>
      </c>
      <c r="AN496" s="33">
        <v>2.2000000000000002</v>
      </c>
      <c r="AO496" s="33">
        <v>2.2400000000000002</v>
      </c>
      <c r="AP496" s="33"/>
      <c r="AQ496" s="32">
        <v>0.52</v>
      </c>
      <c r="AR496" s="32"/>
      <c r="AS496" s="32">
        <v>0.67</v>
      </c>
      <c r="AT496" s="32">
        <v>1.0033333333333332</v>
      </c>
      <c r="AU496" s="31">
        <v>556.33333333333337</v>
      </c>
      <c r="AV496" s="33">
        <v>13.289992040376163</v>
      </c>
      <c r="AW496" s="31">
        <v>47.4</v>
      </c>
      <c r="AX496" s="33">
        <v>1.91</v>
      </c>
      <c r="AY496" s="30">
        <v>0.70500000000000007</v>
      </c>
      <c r="AZ496" s="32"/>
      <c r="BA496" s="32"/>
      <c r="BB496" s="32"/>
      <c r="BC496" s="32"/>
      <c r="BD496" s="32">
        <v>2.5999999999999999E-2</v>
      </c>
      <c r="BE496" s="32"/>
      <c r="BF496" s="32"/>
      <c r="BG496" s="32">
        <v>6.3E-2</v>
      </c>
      <c r="BH496" s="32">
        <v>53.174999999999997</v>
      </c>
      <c r="BI496" s="32">
        <v>2.44</v>
      </c>
      <c r="BJ496" s="32">
        <v>5.333333333333333</v>
      </c>
      <c r="BK496" s="32">
        <v>0.82570447441098449</v>
      </c>
      <c r="BL496" s="32">
        <v>3.8</v>
      </c>
      <c r="BM496" s="32">
        <v>1.0900000000000001</v>
      </c>
      <c r="BN496" s="32">
        <v>0.622</v>
      </c>
      <c r="BO496" s="30">
        <v>1.3603402259771662</v>
      </c>
      <c r="BP496" s="32">
        <v>0.2475</v>
      </c>
      <c r="BQ496" s="32">
        <v>1.9700000000000002</v>
      </c>
      <c r="BR496" s="32">
        <v>0.39447176741263656</v>
      </c>
      <c r="BS496" s="32">
        <v>1.1826598937291219</v>
      </c>
      <c r="BT496" s="32">
        <v>0.17863725853180179</v>
      </c>
      <c r="BU496" s="32">
        <v>1.25</v>
      </c>
      <c r="BV496" s="32">
        <v>0.16850000000000001</v>
      </c>
      <c r="BW496" s="32">
        <v>0.9</v>
      </c>
      <c r="BX496" s="32">
        <v>0.108</v>
      </c>
      <c r="BY496" s="32"/>
      <c r="BZ496" s="33">
        <v>20</v>
      </c>
      <c r="CA496" s="33">
        <v>7</v>
      </c>
      <c r="CB496" s="32"/>
      <c r="CC496" s="32"/>
      <c r="CD496" s="32"/>
      <c r="CE496" s="32">
        <v>0.46150000000000002</v>
      </c>
      <c r="CF496" s="32">
        <v>0.22</v>
      </c>
      <c r="CG496" s="32"/>
      <c r="CH496" s="32"/>
      <c r="CI496" s="32">
        <v>1.2722630489604698</v>
      </c>
      <c r="CJ496" s="32">
        <v>1.3778078476314435</v>
      </c>
      <c r="CK496" s="32">
        <v>1.3092788761579159</v>
      </c>
      <c r="CL496" s="32" t="e">
        <v>#DIV/0!</v>
      </c>
      <c r="CM496" s="32" t="e">
        <v>#DIV/0!</v>
      </c>
      <c r="CN496" s="32" t="e">
        <v>#DIV/0!</v>
      </c>
      <c r="CO496" s="32" t="e">
        <v>#DIV/0!</v>
      </c>
      <c r="CP496" s="32" t="e">
        <v>#DIV/0!</v>
      </c>
      <c r="CQ496" s="32">
        <v>3.787440698696664E-2</v>
      </c>
    </row>
    <row r="497" spans="1:98" x14ac:dyDescent="0.2">
      <c r="I497" s="30"/>
      <c r="J497" s="30"/>
      <c r="L497" s="30"/>
      <c r="M497" s="32"/>
      <c r="N497" s="30"/>
      <c r="O497" s="33"/>
      <c r="T497" s="38" t="e">
        <f t="shared" si="11"/>
        <v>#DIV/0!</v>
      </c>
      <c r="W497"/>
      <c r="X497"/>
      <c r="Y497"/>
      <c r="Z497"/>
      <c r="AA497"/>
      <c r="AB497"/>
      <c r="AK497" s="33"/>
      <c r="AN497" s="33"/>
      <c r="AP497" s="33"/>
      <c r="AQ497"/>
      <c r="AR497"/>
      <c r="AS497"/>
      <c r="AV497" s="33"/>
      <c r="AX497" s="33"/>
      <c r="AZ497"/>
      <c r="BA497"/>
      <c r="BB497"/>
      <c r="BC497"/>
      <c r="BD497"/>
      <c r="BE497"/>
      <c r="BF497"/>
      <c r="BG497"/>
      <c r="BJ497" s="33"/>
      <c r="BK497" s="33"/>
    </row>
    <row r="498" spans="1:98" x14ac:dyDescent="0.2">
      <c r="A498" t="s">
        <v>899</v>
      </c>
      <c r="C498" t="s">
        <v>717</v>
      </c>
      <c r="E498">
        <v>320.51</v>
      </c>
      <c r="I498"/>
      <c r="J498" s="30"/>
      <c r="K498" s="32">
        <v>0.21491428236747684</v>
      </c>
      <c r="L498" s="30">
        <v>7.8171080465508096</v>
      </c>
      <c r="M498"/>
      <c r="N498"/>
      <c r="O498" s="33">
        <v>13.629562260147891</v>
      </c>
      <c r="P498" s="32">
        <v>0.3294100652085738</v>
      </c>
      <c r="Q498" s="32">
        <v>5.3152163739040914E-2</v>
      </c>
      <c r="T498" s="38">
        <f t="shared" si="11"/>
        <v>0</v>
      </c>
      <c r="W498"/>
      <c r="X498"/>
      <c r="Y498"/>
      <c r="Z498"/>
      <c r="AA498"/>
      <c r="AB498"/>
      <c r="AI498" s="30">
        <v>17.941655798571027</v>
      </c>
      <c r="AJ498" s="31">
        <v>1470.4042307572306</v>
      </c>
      <c r="AK498" s="33"/>
      <c r="AL498" s="33">
        <v>34.494845714642288</v>
      </c>
      <c r="AM498" s="31">
        <v>440.23727808804722</v>
      </c>
      <c r="AN498" s="33"/>
      <c r="AP498" s="33"/>
      <c r="AQ498">
        <v>0.46350628685532436</v>
      </c>
      <c r="AR498">
        <v>0.48312751552213656</v>
      </c>
      <c r="AS498">
        <v>0.7683217372312876</v>
      </c>
      <c r="AU498" s="31">
        <v>729.53861033977103</v>
      </c>
      <c r="AV498" s="33"/>
      <c r="AW498" s="8" t="s">
        <v>1498</v>
      </c>
      <c r="AX498" s="33"/>
      <c r="AZ498"/>
      <c r="BA498"/>
      <c r="BB498"/>
      <c r="BC498"/>
      <c r="BD498" s="30">
        <v>1.331995881563758E-2</v>
      </c>
      <c r="BG498" s="30">
        <v>2.2233627655923374E-2</v>
      </c>
      <c r="BH498" s="31">
        <v>46.90543196780132</v>
      </c>
      <c r="BI498" s="30">
        <v>2.5669523571807433</v>
      </c>
      <c r="BJ498" s="33">
        <v>6.6292742816136769</v>
      </c>
      <c r="BK498" s="54">
        <v>0.78831395244279645</v>
      </c>
      <c r="BL498" s="33">
        <v>3.6</v>
      </c>
      <c r="BM498" s="30">
        <v>1.23306523977411</v>
      </c>
      <c r="BN498" s="30">
        <v>0.63067567314592377</v>
      </c>
      <c r="BO498" s="51">
        <v>1.547484090403336</v>
      </c>
      <c r="BP498" s="30">
        <v>0.28886181398396304</v>
      </c>
      <c r="BQ498" s="74">
        <v>1.9468970722082921</v>
      </c>
      <c r="BR498" s="74">
        <v>0.44351802393287498</v>
      </c>
      <c r="BS498" s="52">
        <v>1.26045353422705</v>
      </c>
      <c r="BT498" s="53">
        <v>0.19089210412112823</v>
      </c>
      <c r="BU498">
        <v>1.274673083523135</v>
      </c>
      <c r="BV498" s="32">
        <v>0.18324292533774297</v>
      </c>
      <c r="BW498" s="30">
        <v>0.97344956475616984</v>
      </c>
      <c r="BX498" s="30">
        <v>0.13188125175501544</v>
      </c>
      <c r="BY498" s="30">
        <v>0.16483011450500765</v>
      </c>
      <c r="BZ498" s="33">
        <v>19.119007207263422</v>
      </c>
      <c r="CA498" s="33">
        <v>5.5136126797915823</v>
      </c>
      <c r="CE498" s="30">
        <v>0.53100499204393004</v>
      </c>
      <c r="CF498" s="30">
        <v>0.25233066050981245</v>
      </c>
      <c r="CI498" s="29">
        <v>1.4816456878784983</v>
      </c>
      <c r="CJ498" s="41">
        <v>1.5918366017331489</v>
      </c>
      <c r="CK498" s="29">
        <v>1.5689699815983607</v>
      </c>
      <c r="CQ498" s="29"/>
      <c r="CR498" s="30"/>
      <c r="CS498" s="29"/>
      <c r="CT498" s="29"/>
    </row>
    <row r="499" spans="1:98" x14ac:dyDescent="0.2">
      <c r="A499" t="s">
        <v>899</v>
      </c>
      <c r="C499" t="s">
        <v>700</v>
      </c>
      <c r="H499" s="30">
        <v>44.999911077899199</v>
      </c>
      <c r="I499" s="30">
        <v>0.30326061713310376</v>
      </c>
      <c r="J499" s="30">
        <v>23.011230252873389</v>
      </c>
      <c r="K499" s="32">
        <v>0.21500905314418969</v>
      </c>
      <c r="L499" s="30">
        <v>7.8171080465508096</v>
      </c>
      <c r="M499" s="32">
        <v>0.11591428074877996</v>
      </c>
      <c r="N499" s="116">
        <v>9.0004180702671661</v>
      </c>
      <c r="O499" s="33">
        <v>13.875289774435899</v>
      </c>
      <c r="P499" s="32">
        <v>0.31139082774325616</v>
      </c>
      <c r="Q499" s="32">
        <v>5.009050401486826E-2</v>
      </c>
      <c r="R499" s="32">
        <v>4.3869001309577597E-2</v>
      </c>
      <c r="T499" s="38">
        <f t="shared" si="11"/>
        <v>67.239350784767524</v>
      </c>
      <c r="W499"/>
      <c r="X499"/>
      <c r="Y499"/>
      <c r="Z499"/>
      <c r="AA499"/>
      <c r="AB499"/>
      <c r="AK499" s="33"/>
      <c r="AN499" s="33"/>
      <c r="AP499" s="33"/>
      <c r="AQ499"/>
      <c r="AR499"/>
      <c r="AS499"/>
      <c r="AV499" s="33"/>
      <c r="AX499" s="33"/>
      <c r="AZ499"/>
      <c r="BA499"/>
      <c r="BB499"/>
      <c r="BC499"/>
      <c r="BD499"/>
      <c r="BE499"/>
      <c r="BF499"/>
      <c r="BG499"/>
      <c r="BJ499" s="33"/>
      <c r="BK499" s="33"/>
      <c r="CQ499" s="29">
        <v>3.8794476848367641E-2</v>
      </c>
      <c r="CR499" s="30">
        <v>1.151374397880873</v>
      </c>
      <c r="CS499" s="29">
        <v>1.4828281771022153E-2</v>
      </c>
      <c r="CT499" s="29">
        <v>0.60297905074863634</v>
      </c>
    </row>
    <row r="500" spans="1:98" x14ac:dyDescent="0.2">
      <c r="A500" t="s">
        <v>899</v>
      </c>
      <c r="C500" t="s">
        <v>72</v>
      </c>
      <c r="I500" s="30">
        <v>0.28983055922377504</v>
      </c>
      <c r="J500" s="30">
        <v>23.5526175</v>
      </c>
      <c r="K500" s="32">
        <v>0.22216320000000001</v>
      </c>
      <c r="L500" s="30">
        <v>7.6315000000000008</v>
      </c>
      <c r="M500" s="32">
        <v>0.11500999648014774</v>
      </c>
      <c r="N500" s="30">
        <v>9.2415568971047133</v>
      </c>
      <c r="O500" s="30">
        <v>13.320383999999999</v>
      </c>
      <c r="P500" s="30">
        <v>0.32711466666666666</v>
      </c>
      <c r="Q500" s="30">
        <v>6.7116459999999989E-2</v>
      </c>
      <c r="R500" s="30">
        <v>3.3683579999999998E-2</v>
      </c>
      <c r="S500" s="30"/>
      <c r="T500" s="38">
        <f t="shared" si="11"/>
        <v>68.341276017926631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J500" s="31">
        <v>1520</v>
      </c>
      <c r="AK500" s="33">
        <v>48.800000000000004</v>
      </c>
      <c r="AL500" s="33">
        <v>37.4</v>
      </c>
      <c r="AM500" s="31">
        <v>474.5</v>
      </c>
      <c r="AN500" s="33">
        <v>2.2000000000000002</v>
      </c>
      <c r="AO500" s="33">
        <v>2.2400000000000002</v>
      </c>
      <c r="AP500" s="33"/>
      <c r="AQ500" s="30">
        <v>0.52</v>
      </c>
      <c r="AS500" s="30">
        <v>0.67</v>
      </c>
      <c r="AT500" s="30">
        <v>1.0033333333333332</v>
      </c>
      <c r="AU500" s="31">
        <v>556.33333333333337</v>
      </c>
      <c r="AV500" s="33">
        <v>13.289992040376163</v>
      </c>
      <c r="AW500" s="31">
        <v>47.4</v>
      </c>
      <c r="AX500" s="33">
        <v>1.91</v>
      </c>
      <c r="AY500" s="30">
        <v>0.70500000000000007</v>
      </c>
      <c r="BD500" s="30">
        <v>2.5999999999999999E-2</v>
      </c>
      <c r="BG500" s="30">
        <v>6.3E-2</v>
      </c>
      <c r="BH500" s="30">
        <v>53.174999999999997</v>
      </c>
      <c r="BI500" s="30">
        <v>2.44</v>
      </c>
      <c r="BJ500" s="30">
        <v>5.333333333333333</v>
      </c>
      <c r="BK500" s="30">
        <v>0.82570447441098449</v>
      </c>
      <c r="BL500" s="30">
        <v>3.8</v>
      </c>
      <c r="BM500" s="30">
        <v>1.0900000000000001</v>
      </c>
      <c r="BN500" s="30">
        <v>0.622</v>
      </c>
      <c r="BO500" s="30">
        <v>1.3603402259771662</v>
      </c>
      <c r="BP500" s="30">
        <v>0.2475</v>
      </c>
      <c r="BQ500" s="30">
        <v>1.9700000000000002</v>
      </c>
      <c r="BR500" s="30">
        <v>0.39447176741263656</v>
      </c>
      <c r="BS500" s="30">
        <v>1.1826598937291219</v>
      </c>
      <c r="BT500" s="30">
        <v>0.17863725853180179</v>
      </c>
      <c r="BU500" s="30">
        <v>1.25</v>
      </c>
      <c r="BV500" s="30">
        <v>0.16850000000000001</v>
      </c>
      <c r="BW500" s="30">
        <v>0.9</v>
      </c>
      <c r="BX500" s="30">
        <v>0.108</v>
      </c>
      <c r="BY500" s="30">
        <v>0</v>
      </c>
      <c r="BZ500" s="33">
        <v>20</v>
      </c>
      <c r="CA500" s="33">
        <v>7</v>
      </c>
      <c r="CB500" s="30"/>
      <c r="CC500" s="30"/>
      <c r="CD500" s="30"/>
      <c r="CE500" s="30">
        <v>0.46150000000000002</v>
      </c>
      <c r="CF500" s="30">
        <v>0.22</v>
      </c>
    </row>
    <row r="501" spans="1:98" x14ac:dyDescent="0.2">
      <c r="A501" s="36" t="s">
        <v>899</v>
      </c>
      <c r="C501" s="36" t="s">
        <v>279</v>
      </c>
      <c r="G501" s="30">
        <v>99.811497883665282</v>
      </c>
      <c r="H501" s="34">
        <v>44.999911077899199</v>
      </c>
      <c r="I501" s="34">
        <v>0.2965455881784394</v>
      </c>
      <c r="J501" s="34">
        <v>23.281923876436693</v>
      </c>
      <c r="K501" s="37">
        <v>0.21736217850388884</v>
      </c>
      <c r="L501" s="34">
        <v>7.7552386977005403</v>
      </c>
      <c r="M501" s="37">
        <v>0.11546213861446386</v>
      </c>
      <c r="N501" s="34">
        <v>9.1209874836859406</v>
      </c>
      <c r="O501" s="72">
        <v>13.60841201152793</v>
      </c>
      <c r="P501" s="37">
        <v>0.32263851987283221</v>
      </c>
      <c r="Q501" s="37">
        <v>5.6786375917969721E-2</v>
      </c>
      <c r="R501" s="37">
        <v>3.6229935327394394E-2</v>
      </c>
      <c r="S501" s="37"/>
      <c r="T501" s="38">
        <f t="shared" si="11"/>
        <v>67.705789460642535</v>
      </c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4">
        <v>18.468331159714204</v>
      </c>
      <c r="AJ501" s="35">
        <v>1512.9148901081758</v>
      </c>
      <c r="AK501" s="72">
        <v>48.800000000000004</v>
      </c>
      <c r="AL501" s="72">
        <v>36.818969142928452</v>
      </c>
      <c r="AM501" s="35">
        <v>469.6053254411496</v>
      </c>
      <c r="AN501" s="72">
        <v>2.2000000000000002</v>
      </c>
      <c r="AO501" s="72">
        <v>2.2400000000000002</v>
      </c>
      <c r="AP501" s="72"/>
      <c r="AQ501" s="37">
        <v>0.50587657171383116</v>
      </c>
      <c r="AR501" s="37">
        <v>0.48312751552213656</v>
      </c>
      <c r="AS501" s="37">
        <v>0.6945804343078219</v>
      </c>
      <c r="AT501" s="37">
        <v>1.0033333333333332</v>
      </c>
      <c r="AU501" s="35">
        <v>585.20087950107302</v>
      </c>
      <c r="AV501" s="72">
        <v>13.289992040376163</v>
      </c>
      <c r="AW501" s="35">
        <v>47.4</v>
      </c>
      <c r="AX501" s="72">
        <v>1.91</v>
      </c>
      <c r="AY501" s="34">
        <v>0.70500000000000007</v>
      </c>
      <c r="AZ501" s="37"/>
      <c r="BA501" s="37"/>
      <c r="BB501" s="37"/>
      <c r="BC501" s="37"/>
      <c r="BD501" s="37">
        <v>2.2829989703909394E-2</v>
      </c>
      <c r="BE501" s="37"/>
      <c r="BF501" s="37"/>
      <c r="BG501" s="37">
        <v>5.2808406913980845E-2</v>
      </c>
      <c r="BH501" s="37">
        <v>52.279347423971615</v>
      </c>
      <c r="BI501" s="37">
        <v>2.4653904714361485</v>
      </c>
      <c r="BJ501" s="37">
        <v>5.5493234913800578</v>
      </c>
      <c r="BK501" s="37">
        <v>0.81822637001734688</v>
      </c>
      <c r="BL501" s="37">
        <v>3.7599999999999993</v>
      </c>
      <c r="BM501" s="37">
        <v>1.118613047954822</v>
      </c>
      <c r="BN501" s="37">
        <v>0.62373513462918473</v>
      </c>
      <c r="BO501" s="37">
        <v>1.3977689988624</v>
      </c>
      <c r="BP501" s="37">
        <v>0.25577236279679261</v>
      </c>
      <c r="BQ501" s="37">
        <v>1.9653794144416588</v>
      </c>
      <c r="BR501" s="37">
        <v>0.40428101871668431</v>
      </c>
      <c r="BS501" s="37">
        <v>1.1982186218287076</v>
      </c>
      <c r="BT501" s="37">
        <v>0.18108822764966709</v>
      </c>
      <c r="BU501" s="37">
        <v>1.2549346167046269</v>
      </c>
      <c r="BV501" s="37">
        <v>0.17144858506754862</v>
      </c>
      <c r="BW501" s="37">
        <v>0.9183623911890425</v>
      </c>
      <c r="BX501" s="37">
        <v>0.11397031293875386</v>
      </c>
      <c r="BY501" s="37">
        <v>8.2415057252503823E-2</v>
      </c>
      <c r="BZ501" s="72">
        <v>19.823801441452684</v>
      </c>
      <c r="CA501" s="72">
        <v>6.6284031699478954</v>
      </c>
      <c r="CB501" s="37"/>
      <c r="CC501" s="37"/>
      <c r="CD501" s="37"/>
      <c r="CE501" s="37">
        <v>0.47540099840878602</v>
      </c>
      <c r="CF501" s="37">
        <v>0.22808266512745312</v>
      </c>
      <c r="CG501" s="37"/>
      <c r="CH501" s="37"/>
      <c r="CI501" s="37">
        <v>1.3246087086899769</v>
      </c>
      <c r="CJ501" s="37">
        <v>1.4313150361568701</v>
      </c>
      <c r="CK501" s="37">
        <v>1.3742016525180272</v>
      </c>
      <c r="CL501" s="37" t="e">
        <v>#DIV/0!</v>
      </c>
      <c r="CM501" s="37" t="e">
        <v>#DIV/0!</v>
      </c>
      <c r="CN501" s="37" t="e">
        <v>#DIV/0!</v>
      </c>
      <c r="CO501" s="37" t="e">
        <v>#DIV/0!</v>
      </c>
      <c r="CP501" s="37" t="e">
        <v>#DIV/0!</v>
      </c>
      <c r="CQ501" s="37">
        <v>3.8058420959246844E-2</v>
      </c>
      <c r="CR501" s="37">
        <v>1.197247362540147</v>
      </c>
      <c r="CS501" s="37">
        <v>1.5027906665896281E-2</v>
      </c>
      <c r="CT501" s="37">
        <v>0.58536267643632267</v>
      </c>
    </row>
    <row r="502" spans="1:98" x14ac:dyDescent="0.2">
      <c r="A502" s="36"/>
      <c r="C502" s="36"/>
      <c r="H502" s="34"/>
      <c r="I502" s="34"/>
      <c r="J502" s="34"/>
      <c r="K502" s="37"/>
      <c r="L502" s="34"/>
      <c r="M502" s="37"/>
      <c r="N502" s="34"/>
      <c r="O502" s="72"/>
      <c r="P502" s="37"/>
      <c r="Q502" s="37"/>
      <c r="R502" s="37"/>
      <c r="T502" s="38" t="e">
        <f t="shared" si="11"/>
        <v>#DIV/0!</v>
      </c>
      <c r="W502" s="36"/>
      <c r="X502" s="36"/>
      <c r="Y502" s="36"/>
      <c r="Z502" s="36"/>
      <c r="AA502" s="36"/>
      <c r="AB502"/>
      <c r="AI502" s="34"/>
      <c r="AJ502" s="35"/>
      <c r="AL502" s="72"/>
      <c r="AM502" s="35"/>
      <c r="AO502"/>
      <c r="AQ502" s="34"/>
      <c r="AR502" s="34"/>
      <c r="AS502" s="34"/>
      <c r="AU502" s="35"/>
      <c r="AW502" s="35"/>
      <c r="AX502"/>
      <c r="AY502"/>
      <c r="AZ502"/>
      <c r="BA502"/>
      <c r="BB502"/>
      <c r="BC502"/>
      <c r="BD502" s="34"/>
      <c r="BE502"/>
      <c r="BF502"/>
      <c r="BG502" s="34"/>
      <c r="BH502" s="35"/>
      <c r="BI502" s="34"/>
      <c r="BJ502" s="72"/>
      <c r="BL502"/>
      <c r="BM502"/>
      <c r="BN502"/>
      <c r="BO502"/>
      <c r="BP502"/>
      <c r="BU502" s="34"/>
      <c r="BV502" s="37"/>
      <c r="BW502" s="34"/>
      <c r="BX502" s="34"/>
      <c r="BY502" s="34"/>
      <c r="BZ502" s="72"/>
      <c r="CA502" s="72"/>
      <c r="CE502" s="34"/>
      <c r="CF502" s="34"/>
      <c r="CI502" s="29"/>
      <c r="CJ502" s="41"/>
      <c r="CK502" s="29"/>
      <c r="CL502" s="29"/>
      <c r="CM502" s="30"/>
    </row>
    <row r="503" spans="1:98" x14ac:dyDescent="0.2">
      <c r="K503" s="209"/>
      <c r="L503" s="192"/>
      <c r="O503" s="193"/>
      <c r="P503" s="209"/>
      <c r="Q503" s="209"/>
      <c r="T503" s="38" t="e">
        <f t="shared" si="11"/>
        <v>#DIV/0!</v>
      </c>
      <c r="AE503" s="194"/>
      <c r="AF503" s="193"/>
      <c r="AG503" s="194"/>
      <c r="AH503" s="194"/>
      <c r="AI503" s="192"/>
      <c r="AK503" s="193"/>
      <c r="AL503" s="193"/>
      <c r="AM503" s="194"/>
      <c r="AN503" s="194"/>
      <c r="AO503" s="193"/>
      <c r="AP503" s="192"/>
      <c r="AQ503" s="192"/>
      <c r="AR503" s="194"/>
      <c r="AS503" s="192"/>
      <c r="AT503" s="194"/>
      <c r="AU503" s="194"/>
      <c r="AV503" s="192"/>
      <c r="AW503" s="194"/>
      <c r="AX503" s="209"/>
      <c r="AY503" s="192"/>
      <c r="AZ503" s="209"/>
      <c r="BA503" s="192"/>
      <c r="BB503" s="38"/>
      <c r="BC503" s="39"/>
      <c r="BD503" s="39"/>
      <c r="BE503" s="39"/>
      <c r="BF503" s="38"/>
      <c r="BG503" s="38"/>
      <c r="BJ503" s="33"/>
      <c r="BK503" s="33"/>
    </row>
    <row r="504" spans="1:98" x14ac:dyDescent="0.2">
      <c r="A504" t="s">
        <v>12</v>
      </c>
      <c r="C504" t="s">
        <v>717</v>
      </c>
      <c r="I504"/>
      <c r="J504"/>
      <c r="K504" s="32">
        <v>0.21939704196512566</v>
      </c>
      <c r="L504" s="30">
        <v>8.5516752981422535</v>
      </c>
      <c r="M504"/>
      <c r="N504"/>
      <c r="O504" s="39">
        <v>13.49282082957191</v>
      </c>
      <c r="P504" s="209">
        <v>0.30705611251009651</v>
      </c>
      <c r="Q504" s="209">
        <v>0.1258359861262888</v>
      </c>
      <c r="T504" s="38">
        <f t="shared" si="11"/>
        <v>0</v>
      </c>
      <c r="AI504" s="30">
        <v>19.716142443103532</v>
      </c>
      <c r="AJ504" s="31">
        <v>1501.0744524160214</v>
      </c>
      <c r="AL504" s="7">
        <v>44.344552667838649</v>
      </c>
      <c r="AM504" s="8">
        <v>601.61258136551544</v>
      </c>
      <c r="AN504" s="8">
        <v>3.36618995581318</v>
      </c>
      <c r="AQ504" s="2">
        <v>0.49406376205634994</v>
      </c>
      <c r="AR504" s="2">
        <v>0.40992540504584984</v>
      </c>
      <c r="AS504" s="2">
        <v>1.2150472751461019</v>
      </c>
      <c r="AT504" s="31">
        <v>1.3455599372832234E-2</v>
      </c>
      <c r="AU504" s="31">
        <v>253.59082054449567</v>
      </c>
      <c r="AW504" s="194">
        <v>35.47194374495178</v>
      </c>
      <c r="AZ504" s="193">
        <v>0</v>
      </c>
      <c r="BD504" s="194">
        <v>1.0730175321898607E-2</v>
      </c>
      <c r="BG504" s="194">
        <v>3.2182258754216757E-2</v>
      </c>
      <c r="BH504" s="193">
        <v>446.64522259704472</v>
      </c>
      <c r="BI504" s="30">
        <v>2.3426873188577946</v>
      </c>
      <c r="BJ504" s="193">
        <v>6.3120069368556093</v>
      </c>
      <c r="BK504" s="54">
        <v>0.75459040449029191</v>
      </c>
      <c r="BL504" s="193">
        <v>3.5291680524540321</v>
      </c>
      <c r="BM504" s="192">
        <v>1.1630244690454699</v>
      </c>
      <c r="BN504" s="192">
        <v>0.63744557419109615</v>
      </c>
      <c r="BO504" s="51">
        <v>1.4782249116264896</v>
      </c>
      <c r="BP504" s="192">
        <v>0.27753180975911051</v>
      </c>
      <c r="BQ504" s="74">
        <v>1.8810662614514617</v>
      </c>
      <c r="BR504" s="74">
        <v>0.43105988134392081</v>
      </c>
      <c r="BS504" s="52">
        <v>1.2323051592418628</v>
      </c>
      <c r="BT504" s="53">
        <v>0.18773461311941569</v>
      </c>
      <c r="BU504" s="192">
        <v>1.2610143488383143</v>
      </c>
      <c r="BV504" s="209">
        <v>0.18073725471563645</v>
      </c>
      <c r="BW504" s="192">
        <v>0.88679574286121521</v>
      </c>
      <c r="BX504" s="192">
        <v>0.14121542262555234</v>
      </c>
      <c r="BY504" s="193">
        <v>3.7924644842495372E-2</v>
      </c>
      <c r="BZ504" s="193">
        <v>27.434536988644457</v>
      </c>
      <c r="CA504" s="193">
        <v>7.9994393500261305</v>
      </c>
      <c r="CE504" s="192">
        <v>0.53728403097828681</v>
      </c>
      <c r="CF504" s="192">
        <v>0.15841355062479215</v>
      </c>
      <c r="CG504" s="193">
        <v>210.47</v>
      </c>
      <c r="CI504" s="29">
        <v>1.4160209202607865</v>
      </c>
      <c r="CJ504" s="41">
        <v>1.5200130142285799</v>
      </c>
      <c r="CK504" s="29">
        <v>1.4986408003901026</v>
      </c>
    </row>
    <row r="505" spans="1:98" x14ac:dyDescent="0.2">
      <c r="A505" t="s">
        <v>12</v>
      </c>
      <c r="C505" t="s">
        <v>700</v>
      </c>
      <c r="H505" s="30">
        <v>46.017730946104592</v>
      </c>
      <c r="I505" s="6">
        <v>0.33894561487236619</v>
      </c>
      <c r="J505" s="6">
        <v>21.770304130592475</v>
      </c>
      <c r="K505" s="209">
        <v>0.21939704196512566</v>
      </c>
      <c r="L505" s="30">
        <v>8.5516752981422535</v>
      </c>
      <c r="M505" s="3">
        <v>0.12217300314493609</v>
      </c>
      <c r="N505" s="6">
        <v>9.1464074187684687</v>
      </c>
      <c r="O505" s="39">
        <v>12.990232403403944</v>
      </c>
      <c r="P505" s="209">
        <v>0.30705611251009651</v>
      </c>
      <c r="Q505" s="209">
        <v>0.11598471882748748</v>
      </c>
      <c r="R505" s="32">
        <v>5.8366724032700497E-2</v>
      </c>
      <c r="T505" s="38">
        <f t="shared" si="11"/>
        <v>65.595239541559152</v>
      </c>
      <c r="AL505" s="7"/>
      <c r="AM505" s="8"/>
      <c r="AN505" s="8"/>
      <c r="AQ505" s="2"/>
      <c r="AR505" s="2"/>
      <c r="AS505" s="2"/>
      <c r="AW505" s="194"/>
      <c r="AZ505" s="193"/>
      <c r="BD505" s="194"/>
      <c r="BG505" s="194"/>
      <c r="BH505" s="193"/>
      <c r="BJ505" s="193"/>
      <c r="BL505" s="193"/>
      <c r="BM505" s="192"/>
      <c r="BN505" s="192"/>
      <c r="BP505" s="192"/>
      <c r="BU505" s="192"/>
      <c r="BV505" s="209"/>
      <c r="BW505" s="192"/>
      <c r="BX505" s="192"/>
      <c r="BY505" s="193"/>
      <c r="BZ505" s="193"/>
      <c r="CA505" s="193"/>
      <c r="CE505" s="192"/>
      <c r="CF505" s="192"/>
      <c r="CG505" s="193"/>
    </row>
    <row r="506" spans="1:98" x14ac:dyDescent="0.2">
      <c r="A506" t="s">
        <v>12</v>
      </c>
      <c r="K506" s="209"/>
      <c r="L506" s="30"/>
      <c r="O506" s="39"/>
      <c r="P506" s="209"/>
      <c r="Q506" s="209"/>
      <c r="T506" s="38" t="e">
        <f t="shared" si="11"/>
        <v>#DIV/0!</v>
      </c>
      <c r="AL506" s="7"/>
      <c r="AM506" s="8"/>
      <c r="AN506" s="8"/>
      <c r="AQ506" s="2"/>
      <c r="AR506" s="2"/>
      <c r="AS506" s="2"/>
      <c r="AW506" s="194"/>
      <c r="AZ506" s="193"/>
      <c r="BD506" s="194"/>
      <c r="BG506" s="194"/>
      <c r="BH506" s="193"/>
      <c r="BJ506" s="193"/>
      <c r="BL506" s="193"/>
      <c r="BM506" s="192"/>
      <c r="BN506" s="192"/>
      <c r="BP506" s="192"/>
      <c r="BU506" s="192"/>
      <c r="BV506" s="209"/>
      <c r="BW506" s="192"/>
      <c r="BX506" s="192"/>
      <c r="BY506" s="193"/>
      <c r="BZ506" s="193"/>
      <c r="CA506" s="193"/>
      <c r="CE506" s="192"/>
      <c r="CF506" s="192"/>
      <c r="CG506" s="193"/>
    </row>
    <row r="507" spans="1:98" x14ac:dyDescent="0.2">
      <c r="A507" t="s">
        <v>12</v>
      </c>
      <c r="C507" s="36" t="s">
        <v>279</v>
      </c>
      <c r="G507" s="30">
        <v>99.894493259097814</v>
      </c>
      <c r="H507" s="34">
        <v>46.017730946104592</v>
      </c>
      <c r="I507" s="34">
        <v>0.33894561487236619</v>
      </c>
      <c r="J507" s="34">
        <v>21.770304130592475</v>
      </c>
      <c r="K507" s="37">
        <v>0.21939704196512566</v>
      </c>
      <c r="L507" s="34">
        <v>8.5516752981422535</v>
      </c>
      <c r="M507" s="37">
        <v>0.12217300314493609</v>
      </c>
      <c r="N507" s="34">
        <v>9.1464074187684687</v>
      </c>
      <c r="O507" s="72">
        <v>13.241526616487928</v>
      </c>
      <c r="P507" s="37">
        <v>0.30705611251009651</v>
      </c>
      <c r="Q507" s="37">
        <v>0.12091035247688814</v>
      </c>
      <c r="R507" s="37">
        <v>5.8366724032700497E-2</v>
      </c>
      <c r="T507" s="38">
        <f t="shared" si="11"/>
        <v>65.595239541559152</v>
      </c>
      <c r="W507" s="36"/>
      <c r="X507" s="36"/>
      <c r="Y507" s="36"/>
      <c r="Z507" s="36"/>
      <c r="AA507" s="36"/>
      <c r="AB507"/>
      <c r="AI507" s="34">
        <v>19.716142443103532</v>
      </c>
      <c r="AJ507" s="35">
        <v>1501.0744524160214</v>
      </c>
      <c r="AL507" s="72">
        <v>44.344552667838649</v>
      </c>
      <c r="AM507" s="35">
        <v>601.61258136551544</v>
      </c>
      <c r="AO507"/>
      <c r="AQ507" s="34">
        <v>0.49406376205634994</v>
      </c>
      <c r="AR507" s="34">
        <v>0.40992540504584984</v>
      </c>
      <c r="AS507" s="34">
        <v>1.2150472751461019</v>
      </c>
      <c r="AU507" s="35">
        <v>253.59082054449567</v>
      </c>
      <c r="AV507" s="161">
        <v>12.096317843191525</v>
      </c>
      <c r="AW507" s="35">
        <v>35.47194374495178</v>
      </c>
      <c r="AX507"/>
      <c r="AY507"/>
      <c r="AZ507"/>
      <c r="BA507"/>
      <c r="BB507"/>
      <c r="BC507"/>
      <c r="BD507" s="34">
        <v>1.0730175321898607E-2</v>
      </c>
      <c r="BE507"/>
      <c r="BF507"/>
      <c r="BG507" s="34">
        <v>3.2182258754216757E-2</v>
      </c>
      <c r="BH507" s="35">
        <v>446.64522259704472</v>
      </c>
      <c r="BI507" s="34">
        <v>2.3426873188577946</v>
      </c>
      <c r="BJ507" s="72">
        <v>6.3120069368556093</v>
      </c>
      <c r="BK507" s="54">
        <v>0.75459040449029191</v>
      </c>
      <c r="BL507" s="72">
        <v>3.5291680524540321</v>
      </c>
      <c r="BM507" s="34">
        <v>1.1630244690454699</v>
      </c>
      <c r="BN507" s="34">
        <v>0.63744557419109615</v>
      </c>
      <c r="BO507" s="51">
        <v>1.4782249116264896</v>
      </c>
      <c r="BP507" s="34">
        <v>0.27753180975911051</v>
      </c>
      <c r="BQ507" s="74">
        <v>1.8810662614514617</v>
      </c>
      <c r="BR507" s="74">
        <v>0.43105988134392081</v>
      </c>
      <c r="BS507" s="52">
        <v>1.2323051592418628</v>
      </c>
      <c r="BT507" s="53">
        <v>0.18773461311941569</v>
      </c>
      <c r="BU507" s="34">
        <v>1.2610143488383143</v>
      </c>
      <c r="BV507" s="37">
        <v>0.18073725471563645</v>
      </c>
      <c r="BW507" s="34">
        <v>0.88679574286121521</v>
      </c>
      <c r="BX507" s="34">
        <v>0.14121542262555234</v>
      </c>
      <c r="BY507" s="34">
        <v>3.7924644842495372E-2</v>
      </c>
      <c r="BZ507" s="72">
        <v>27.434536988644457</v>
      </c>
      <c r="CA507" s="72">
        <v>7.9994393500261305</v>
      </c>
      <c r="CE507" s="34">
        <v>0.53728403097828681</v>
      </c>
      <c r="CF507" s="34">
        <v>0.15841355062479215</v>
      </c>
      <c r="CG507" s="193"/>
      <c r="CI507" s="29">
        <v>1.4160209202607865</v>
      </c>
      <c r="CJ507" s="41">
        <v>1.5200130142285799</v>
      </c>
      <c r="CK507" s="29">
        <v>1.4986408003901026</v>
      </c>
    </row>
    <row r="508" spans="1:98" x14ac:dyDescent="0.2">
      <c r="K508" s="209"/>
      <c r="L508" s="30"/>
      <c r="O508" s="39"/>
      <c r="P508" s="209"/>
      <c r="Q508" s="209"/>
      <c r="T508" s="38" t="e">
        <f t="shared" si="11"/>
        <v>#DIV/0!</v>
      </c>
      <c r="AL508" s="7"/>
      <c r="AM508" s="8"/>
      <c r="AN508" s="8"/>
      <c r="AQ508" s="2"/>
      <c r="AR508" s="2"/>
      <c r="AS508" s="2"/>
      <c r="AW508" s="194"/>
      <c r="AZ508" s="193"/>
      <c r="BD508" s="194"/>
      <c r="BG508" s="194"/>
      <c r="BH508" s="193"/>
      <c r="BJ508" s="193"/>
      <c r="BL508" s="193"/>
      <c r="BM508" s="192"/>
      <c r="BN508" s="192"/>
      <c r="BP508" s="192"/>
      <c r="BU508" s="192"/>
      <c r="BV508" s="209"/>
      <c r="BW508" s="192"/>
      <c r="BX508" s="192"/>
      <c r="BY508" s="193"/>
      <c r="BZ508" s="193"/>
      <c r="CA508" s="193"/>
      <c r="CE508" s="192"/>
      <c r="CF508" s="192"/>
      <c r="CG508" s="193"/>
    </row>
    <row r="509" spans="1:98" x14ac:dyDescent="0.2">
      <c r="K509" s="209"/>
      <c r="L509" s="30"/>
      <c r="O509" s="39"/>
      <c r="P509" s="209"/>
      <c r="Q509" s="209"/>
      <c r="T509" s="38" t="e">
        <f t="shared" si="11"/>
        <v>#DIV/0!</v>
      </c>
      <c r="AL509" s="7"/>
      <c r="AM509" s="8"/>
      <c r="AN509" s="8"/>
      <c r="AQ509" s="2"/>
      <c r="AR509" s="2"/>
      <c r="AS509" s="2"/>
      <c r="AW509" s="194"/>
      <c r="AZ509" s="193"/>
      <c r="BD509" s="194"/>
      <c r="BG509" s="194"/>
      <c r="BH509" s="193"/>
      <c r="BJ509" s="193"/>
      <c r="BL509" s="193"/>
      <c r="BM509" s="192"/>
      <c r="BN509" s="192"/>
      <c r="BP509" s="192"/>
      <c r="BU509" s="192"/>
      <c r="BV509" s="209"/>
      <c r="BW509" s="192"/>
      <c r="BX509" s="192"/>
      <c r="BY509" s="193"/>
      <c r="BZ509" s="193"/>
      <c r="CA509" s="193"/>
      <c r="CE509" s="192"/>
      <c r="CF509" s="192"/>
      <c r="CG509" s="193"/>
    </row>
    <row r="510" spans="1:98" x14ac:dyDescent="0.2">
      <c r="A510" t="s">
        <v>1340</v>
      </c>
      <c r="C510" t="s">
        <v>717</v>
      </c>
      <c r="E510">
        <v>275.12</v>
      </c>
      <c r="I510"/>
      <c r="J510"/>
      <c r="K510" s="209">
        <v>0.20763810374236705</v>
      </c>
      <c r="L510" s="192">
        <v>7.0337987060191924</v>
      </c>
      <c r="M510"/>
      <c r="N510"/>
      <c r="O510" s="193">
        <v>14.939168726373948</v>
      </c>
      <c r="P510" s="209">
        <v>0.36283658040127953</v>
      </c>
      <c r="Q510" s="209" t="s">
        <v>1311</v>
      </c>
      <c r="T510" s="38">
        <f t="shared" si="11"/>
        <v>0</v>
      </c>
      <c r="AE510" s="194"/>
      <c r="AF510" s="193"/>
      <c r="AG510" s="194"/>
      <c r="AH510" s="194"/>
      <c r="AI510" s="192">
        <v>13.006036275079968</v>
      </c>
      <c r="AJ510" s="31">
        <v>1420.6219467868571</v>
      </c>
      <c r="AK510" s="193"/>
      <c r="AL510" s="193">
        <v>27.81757778423961</v>
      </c>
      <c r="AM510" s="194">
        <v>287.58069206164595</v>
      </c>
      <c r="AN510" s="194"/>
      <c r="AO510" s="193"/>
      <c r="AP510" s="192"/>
      <c r="AQ510" s="192">
        <v>0.23503125908694392</v>
      </c>
      <c r="AR510" s="194">
        <v>0.34871110788019777</v>
      </c>
      <c r="AS510" s="192">
        <v>1.4420347484733937</v>
      </c>
      <c r="AT510" s="194"/>
      <c r="AU510" s="194">
        <v>202.67970340215183</v>
      </c>
      <c r="AV510" s="192"/>
      <c r="AW510" s="194">
        <v>102.95285693515561</v>
      </c>
      <c r="AX510" s="209"/>
      <c r="AY510" s="192"/>
      <c r="AZ510" s="209"/>
      <c r="BA510" s="192"/>
      <c r="BB510" s="38"/>
      <c r="BC510" s="39"/>
      <c r="BD510" s="39">
        <v>8.7499273044489689E-3</v>
      </c>
      <c r="BE510" s="39"/>
      <c r="BF510" s="38"/>
      <c r="BG510" s="38">
        <v>0.12786802122710095</v>
      </c>
      <c r="BH510" s="31">
        <v>158.40880343123001</v>
      </c>
      <c r="BI510" s="30">
        <v>7.5216930793835424</v>
      </c>
      <c r="BJ510" s="33">
        <v>19.510997382960163</v>
      </c>
      <c r="BK510" s="54">
        <v>2.4370043399515438</v>
      </c>
      <c r="BL510" s="33">
        <v>11.431131869729573</v>
      </c>
      <c r="BM510" s="30">
        <v>3.356639284675778</v>
      </c>
      <c r="BN510" s="30">
        <v>0.82415095231171864</v>
      </c>
      <c r="BO510" s="51">
        <v>3.9735147294744699</v>
      </c>
      <c r="BP510" s="30">
        <v>0.70713190607734822</v>
      </c>
      <c r="BQ510" s="74">
        <v>4.6250071602801039</v>
      </c>
      <c r="BR510" s="74">
        <v>1.0194868565589963</v>
      </c>
      <c r="BS510" s="52">
        <v>2.8034939679366979</v>
      </c>
      <c r="BT510" s="53">
        <v>0.41083238151176538</v>
      </c>
      <c r="BU510">
        <v>2.6544889502762432</v>
      </c>
      <c r="BV510" s="32">
        <v>0.36593406513521382</v>
      </c>
      <c r="BW510" s="30">
        <v>2.7648477028205884</v>
      </c>
      <c r="BX510" s="30">
        <v>0.34405804739749934</v>
      </c>
      <c r="BY510">
        <v>0.28396336144227979</v>
      </c>
      <c r="BZ510" s="33">
        <v>11.857418580982845</v>
      </c>
      <c r="CA510" s="33">
        <v>4.075079965106136</v>
      </c>
      <c r="CE510" s="30">
        <v>1.5047404768828152</v>
      </c>
      <c r="CF510" s="30">
        <v>0.45819824076766513</v>
      </c>
      <c r="CI510" s="29">
        <v>3.9162581035400112</v>
      </c>
      <c r="CJ510" s="41">
        <v>4.0372096154963053</v>
      </c>
      <c r="CK510" s="29">
        <v>3.9670764693870937</v>
      </c>
    </row>
    <row r="511" spans="1:98" x14ac:dyDescent="0.2">
      <c r="A511" t="s">
        <v>1340</v>
      </c>
      <c r="C511" t="s">
        <v>700</v>
      </c>
      <c r="H511" s="30">
        <v>46.400116145520464</v>
      </c>
      <c r="I511" s="6">
        <v>0.3529746152041473</v>
      </c>
      <c r="J511" s="6">
        <v>22.092882549725285</v>
      </c>
      <c r="K511" s="209">
        <v>0.20352738681752952</v>
      </c>
      <c r="L511" s="192">
        <v>7.0337987060191924</v>
      </c>
      <c r="M511" s="3">
        <v>0.10453627074943639</v>
      </c>
      <c r="N511" s="6">
        <v>7.407556664445087</v>
      </c>
      <c r="O511" s="193">
        <v>16.041258052711903</v>
      </c>
      <c r="P511" s="209" t="s">
        <v>1310</v>
      </c>
      <c r="Q511" s="209">
        <v>0.14622750335563434</v>
      </c>
      <c r="R511" s="32">
        <v>8.2883731267768823E-2</v>
      </c>
      <c r="T511" s="38">
        <f t="shared" si="11"/>
        <v>65.245498531354514</v>
      </c>
      <c r="AE511" s="194"/>
      <c r="AF511" s="193"/>
      <c r="AG511" s="194"/>
      <c r="AH511" s="194"/>
      <c r="AI511" s="192"/>
      <c r="AK511" s="193"/>
      <c r="AL511" s="193"/>
      <c r="AM511" s="194"/>
      <c r="AN511" s="194"/>
      <c r="AO511" s="193"/>
      <c r="AP511" s="192"/>
      <c r="AQ511" s="192"/>
      <c r="AR511" s="194"/>
      <c r="AS511" s="192"/>
      <c r="AT511" s="194"/>
      <c r="AU511" s="194"/>
      <c r="AV511" s="192"/>
      <c r="AW511" s="194"/>
      <c r="AX511" s="209"/>
      <c r="AY511" s="192"/>
      <c r="AZ511" s="209"/>
      <c r="BA511" s="192"/>
      <c r="BB511" s="38"/>
      <c r="BC511" s="39"/>
      <c r="BD511" s="39"/>
      <c r="BE511" s="39"/>
      <c r="BF511" s="38"/>
      <c r="BG511" s="38"/>
      <c r="BJ511" s="33"/>
      <c r="BK511" s="33"/>
    </row>
    <row r="512" spans="1:98" x14ac:dyDescent="0.2">
      <c r="A512" t="s">
        <v>1340</v>
      </c>
      <c r="K512" s="209"/>
      <c r="L512" s="192"/>
      <c r="O512" s="193"/>
      <c r="P512" s="209"/>
      <c r="Q512" s="209"/>
      <c r="T512" s="38" t="e">
        <f t="shared" si="11"/>
        <v>#DIV/0!</v>
      </c>
      <c r="AE512" s="194"/>
      <c r="AF512" s="193"/>
      <c r="AG512" s="194"/>
      <c r="AH512" s="194"/>
      <c r="AI512" s="192"/>
      <c r="AK512" s="193"/>
      <c r="AL512" s="193"/>
      <c r="AM512" s="194"/>
      <c r="AN512" s="194"/>
      <c r="AO512" s="193"/>
      <c r="AP512" s="192"/>
      <c r="AQ512" s="192"/>
      <c r="AR512" s="194"/>
      <c r="AS512" s="192"/>
      <c r="AT512" s="194"/>
      <c r="AU512" s="194"/>
      <c r="AV512" s="192"/>
      <c r="AW512" s="194"/>
      <c r="AX512" s="209"/>
      <c r="AY512" s="192"/>
      <c r="AZ512" s="209"/>
      <c r="BA512" s="192"/>
      <c r="BB512" s="38"/>
      <c r="BC512" s="39"/>
      <c r="BD512" s="39"/>
      <c r="BE512" s="39"/>
      <c r="BF512" s="38"/>
      <c r="BG512" s="38"/>
      <c r="BJ512" s="33"/>
      <c r="BK512" s="33"/>
    </row>
    <row r="513" spans="1:91" x14ac:dyDescent="0.2">
      <c r="A513" s="36" t="s">
        <v>5</v>
      </c>
      <c r="C513" s="36" t="s">
        <v>279</v>
      </c>
      <c r="G513" s="30">
        <v>99.679608901511173</v>
      </c>
      <c r="H513" s="34">
        <v>46.400116145520464</v>
      </c>
      <c r="I513" s="34">
        <v>0.3529746152041473</v>
      </c>
      <c r="J513" s="34">
        <v>22.092882549725285</v>
      </c>
      <c r="K513" s="37">
        <v>0.2055827452799483</v>
      </c>
      <c r="L513" s="34">
        <v>7.0337987060191924</v>
      </c>
      <c r="M513" s="37">
        <v>0.10453627074943639</v>
      </c>
      <c r="N513" s="34">
        <v>7.407556664445087</v>
      </c>
      <c r="O513" s="72">
        <v>15.490213389542927</v>
      </c>
      <c r="P513" s="37">
        <v>0.36283658040127953</v>
      </c>
      <c r="Q513" s="37">
        <v>0.14622750335563434</v>
      </c>
      <c r="R513" s="37">
        <v>8.2883731267768823E-2</v>
      </c>
      <c r="T513" s="38">
        <f t="shared" si="11"/>
        <v>65.245498531354514</v>
      </c>
      <c r="W513" s="36"/>
      <c r="X513" s="36"/>
      <c r="Y513" s="36"/>
      <c r="Z513" s="36"/>
      <c r="AA513" s="36"/>
      <c r="AB513"/>
      <c r="AI513" s="34">
        <v>13.006036275079968</v>
      </c>
      <c r="AJ513" s="35">
        <v>1420.6219467868571</v>
      </c>
      <c r="AL513" s="72">
        <v>27.81757778423961</v>
      </c>
      <c r="AM513" s="35">
        <v>287.58069206164595</v>
      </c>
      <c r="AO513"/>
      <c r="AQ513" s="34">
        <v>0.23503125908694392</v>
      </c>
      <c r="AR513" s="34">
        <v>0.34871110788019777</v>
      </c>
      <c r="AS513" s="34">
        <v>1.4420347484733937</v>
      </c>
      <c r="AU513" s="35">
        <v>202.67970340215183</v>
      </c>
      <c r="AV513" s="161">
        <v>28.05859254854677</v>
      </c>
      <c r="AW513" s="35">
        <v>102.95285693515561</v>
      </c>
      <c r="AX513"/>
      <c r="AY513"/>
      <c r="AZ513"/>
      <c r="BA513"/>
      <c r="BB513"/>
      <c r="BC513"/>
      <c r="BD513" s="34">
        <v>8.7499273044489689E-3</v>
      </c>
      <c r="BE513"/>
      <c r="BF513"/>
      <c r="BG513" s="34">
        <v>0.12786802122710095</v>
      </c>
      <c r="BH513" s="35">
        <v>158.40880343123001</v>
      </c>
      <c r="BI513" s="34">
        <v>7.5216930793835424</v>
      </c>
      <c r="BJ513" s="72">
        <v>19.510997382960163</v>
      </c>
      <c r="BK513" s="54">
        <v>2.4370043399515438</v>
      </c>
      <c r="BL513" s="72">
        <v>11.431131869729573</v>
      </c>
      <c r="BM513" s="34">
        <v>3.356639284675778</v>
      </c>
      <c r="BN513" s="34">
        <v>0.82415095231171864</v>
      </c>
      <c r="BO513" s="51">
        <v>3.9735147294744699</v>
      </c>
      <c r="BP513" s="34">
        <v>0.70713190607734822</v>
      </c>
      <c r="BQ513" s="74">
        <v>4.6250071602801039</v>
      </c>
      <c r="BR513" s="74">
        <v>1.0194868565589963</v>
      </c>
      <c r="BS513" s="52">
        <v>2.8034939679366979</v>
      </c>
      <c r="BT513" s="53">
        <v>0.41083238151176538</v>
      </c>
      <c r="BU513" s="34">
        <v>2.6544889502762432</v>
      </c>
      <c r="BV513" s="37">
        <v>0.36593406513521382</v>
      </c>
      <c r="BW513" s="34">
        <v>2.7648477028205884</v>
      </c>
      <c r="BX513" s="34">
        <v>0.34405804739749934</v>
      </c>
      <c r="BY513" s="34">
        <v>0.28396336144227979</v>
      </c>
      <c r="BZ513" s="72">
        <v>11.857418580982845</v>
      </c>
      <c r="CA513" s="72">
        <v>4.075079965106136</v>
      </c>
      <c r="CE513" s="34">
        <v>1.5047404768828152</v>
      </c>
      <c r="CF513" s="34">
        <v>0.45819824076766513</v>
      </c>
      <c r="CI513" s="29">
        <v>3.9162581035400112</v>
      </c>
      <c r="CJ513" s="41">
        <v>4.0372096154963053</v>
      </c>
      <c r="CK513" s="29">
        <v>3.9670764693870937</v>
      </c>
      <c r="CM513" s="30">
        <v>0.44828781089242359</v>
      </c>
    </row>
    <row r="514" spans="1:91" x14ac:dyDescent="0.2">
      <c r="K514" s="209"/>
      <c r="L514" s="192"/>
      <c r="O514" s="193"/>
      <c r="P514" s="209"/>
      <c r="Q514" s="209"/>
      <c r="T514" s="38" t="e">
        <f t="shared" si="11"/>
        <v>#DIV/0!</v>
      </c>
      <c r="AE514" s="194"/>
      <c r="AF514" s="193"/>
      <c r="AG514" s="194"/>
      <c r="AH514" s="194"/>
      <c r="AI514" s="192"/>
      <c r="AK514" s="193"/>
      <c r="AL514" s="193"/>
      <c r="AM514" s="194"/>
      <c r="AN514" s="194"/>
      <c r="AO514" s="193"/>
      <c r="AP514" s="192"/>
      <c r="AQ514" s="192"/>
      <c r="AR514" s="194"/>
      <c r="AS514" s="192"/>
      <c r="AT514" s="194"/>
      <c r="AU514" s="194"/>
      <c r="AV514" s="192"/>
      <c r="AW514" s="194"/>
      <c r="AX514" s="209"/>
      <c r="AY514" s="192"/>
      <c r="AZ514" s="209"/>
      <c r="BA514" s="192"/>
      <c r="BB514" s="38"/>
      <c r="BC514" s="39"/>
      <c r="BD514" s="39"/>
      <c r="BE514" s="39"/>
      <c r="BF514" s="38"/>
      <c r="BG514" s="38"/>
      <c r="BJ514" s="33"/>
      <c r="BK514" s="33"/>
    </row>
    <row r="515" spans="1:91" x14ac:dyDescent="0.2">
      <c r="K515" s="209"/>
      <c r="L515" s="192"/>
      <c r="O515" s="193"/>
      <c r="P515" s="209"/>
      <c r="Q515" s="209"/>
      <c r="T515" s="38" t="e">
        <f t="shared" ref="T515:T578" si="12">100*(N515/40.304)/(N515/40.304+L515/71.846)</f>
        <v>#DIV/0!</v>
      </c>
      <c r="AE515" s="194"/>
      <c r="AF515" s="193"/>
      <c r="AG515" s="194"/>
      <c r="AH515" s="194"/>
      <c r="AI515" s="192"/>
      <c r="AK515" s="193"/>
      <c r="AL515" s="193"/>
      <c r="AM515" s="194"/>
      <c r="AN515" s="194"/>
      <c r="AO515" s="193"/>
      <c r="AP515" s="192"/>
      <c r="AQ515" s="192"/>
      <c r="AR515" s="194"/>
      <c r="AS515" s="192"/>
      <c r="AT515" s="194"/>
      <c r="AU515" s="194"/>
      <c r="AV515" s="192"/>
      <c r="AW515" s="194"/>
      <c r="AX515" s="209"/>
      <c r="AY515" s="192"/>
      <c r="AZ515" s="209"/>
      <c r="BA515" s="192"/>
      <c r="BB515" s="38"/>
      <c r="BC515" s="39"/>
      <c r="BD515" s="39"/>
      <c r="BE515" s="39"/>
      <c r="BF515" s="38"/>
      <c r="BG515" s="38"/>
      <c r="BJ515" s="33"/>
      <c r="BK515" s="33"/>
      <c r="BO515"/>
    </row>
    <row r="516" spans="1:91" x14ac:dyDescent="0.2">
      <c r="A516" s="2" t="s">
        <v>1500</v>
      </c>
      <c r="C516" s="2" t="s">
        <v>671</v>
      </c>
      <c r="I516"/>
      <c r="J516"/>
      <c r="K516" s="209">
        <v>0.11768002770490918</v>
      </c>
      <c r="L516" s="30">
        <v>5.9442912299060024</v>
      </c>
      <c r="M516"/>
      <c r="N516"/>
      <c r="O516" s="7">
        <v>14.611974128132498</v>
      </c>
      <c r="P516" s="32">
        <v>0.52012383856243349</v>
      </c>
      <c r="Q516" s="32">
        <v>0.13798031645227057</v>
      </c>
      <c r="T516" s="38">
        <f t="shared" si="12"/>
        <v>0</v>
      </c>
      <c r="W516"/>
      <c r="X516"/>
      <c r="Y516"/>
      <c r="Z516"/>
      <c r="AA516"/>
      <c r="AB516"/>
      <c r="AI516" s="30">
        <v>9.3787633283417833</v>
      </c>
      <c r="AJ516" s="31">
        <v>805.14523607628064</v>
      </c>
      <c r="AL516" s="33">
        <v>42.579760766413486</v>
      </c>
      <c r="AM516" s="31">
        <v>611.39703574070393</v>
      </c>
      <c r="AN516" s="31">
        <v>5.8082351561513343</v>
      </c>
      <c r="AO516"/>
      <c r="AQ516" s="33">
        <v>0.23542289858733112</v>
      </c>
      <c r="AR516">
        <v>0.16446316777022033</v>
      </c>
      <c r="AS516" s="30">
        <v>0.19835486315333684</v>
      </c>
      <c r="AT516" s="31">
        <v>1.1909177837516014</v>
      </c>
      <c r="AU516" s="31">
        <v>197.90699478593467</v>
      </c>
      <c r="AW516" s="31">
        <v>177.82126941743195</v>
      </c>
      <c r="AX516"/>
      <c r="AY516"/>
      <c r="AZ516">
        <v>2.5788875457809373E-2</v>
      </c>
      <c r="BA516"/>
      <c r="BB516"/>
      <c r="BC516"/>
      <c r="BD516" s="30">
        <v>1.254700777599365E-2</v>
      </c>
      <c r="BG516" s="30">
        <v>0.12921325346852619</v>
      </c>
      <c r="BH516" s="31">
        <v>178.35060530066571</v>
      </c>
      <c r="BI516" s="30">
        <v>12.848625128547461</v>
      </c>
      <c r="BJ516" s="33">
        <v>33.68807169790896</v>
      </c>
      <c r="BK516" s="54"/>
      <c r="BL516" s="33">
        <v>20.035240947552641</v>
      </c>
      <c r="BM516" s="30">
        <v>5.9573916141952479</v>
      </c>
      <c r="BN516" s="30">
        <v>1.3874657657820195</v>
      </c>
      <c r="BO516" s="51"/>
      <c r="BP516" s="30">
        <v>1.1514265610622982</v>
      </c>
      <c r="BQ516" s="74"/>
      <c r="BR516" s="74"/>
      <c r="BS516" s="52"/>
      <c r="BT516" s="53"/>
      <c r="BU516" s="30">
        <v>3.853519854944341</v>
      </c>
      <c r="BV516" s="32">
        <v>0.53231049849351408</v>
      </c>
      <c r="BW516" s="30">
        <v>4.531268876179479</v>
      </c>
      <c r="BX516" s="30">
        <v>0.57322499864686893</v>
      </c>
      <c r="BY516" s="30">
        <v>0.22778032366897</v>
      </c>
      <c r="BZ516" s="33">
        <v>18.241554657477401</v>
      </c>
      <c r="CA516" s="33">
        <v>12.692083280711568</v>
      </c>
      <c r="CE516" s="30">
        <v>1.8556901870929332</v>
      </c>
      <c r="CF516" s="30">
        <v>0.48296985223807892</v>
      </c>
      <c r="CG516">
        <v>1108.54</v>
      </c>
      <c r="CI516" s="29"/>
      <c r="CJ516" s="41"/>
      <c r="CK516" s="29"/>
    </row>
    <row r="517" spans="1:91" x14ac:dyDescent="0.2">
      <c r="A517" s="2" t="s">
        <v>1500</v>
      </c>
      <c r="C517" s="2" t="s">
        <v>1499</v>
      </c>
      <c r="H517" s="30">
        <v>44.768510262042788</v>
      </c>
      <c r="I517" s="6">
        <v>0.73719771290398017</v>
      </c>
      <c r="J517" s="6">
        <v>25.193902045239881</v>
      </c>
      <c r="K517" s="209">
        <v>0.11768002770490918</v>
      </c>
      <c r="L517" s="192">
        <v>5.9442912299060024</v>
      </c>
      <c r="M517" s="3">
        <v>7.6267231221050918E-2</v>
      </c>
      <c r="N517" s="6">
        <v>7.9299190393544876</v>
      </c>
      <c r="O517" s="442">
        <v>14.372534201002818</v>
      </c>
      <c r="P517" s="209">
        <v>0.52012383856243349</v>
      </c>
      <c r="Q517" s="209">
        <v>0.12884446931229621</v>
      </c>
      <c r="R517" s="32">
        <v>0.15051615003267638</v>
      </c>
      <c r="T517" s="38">
        <f t="shared" si="12"/>
        <v>70.397225132242994</v>
      </c>
      <c r="W517"/>
      <c r="X517"/>
      <c r="Y517"/>
      <c r="Z517"/>
      <c r="AA517"/>
      <c r="AB517"/>
      <c r="AI517"/>
      <c r="AJ517"/>
      <c r="AL517"/>
      <c r="AM517"/>
      <c r="AN517"/>
      <c r="AO517"/>
      <c r="AQ517"/>
      <c r="AR517"/>
      <c r="AS517"/>
      <c r="AT517"/>
      <c r="AU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L517"/>
      <c r="BM517"/>
      <c r="BN517"/>
      <c r="BO517"/>
      <c r="BP517"/>
      <c r="BV517"/>
      <c r="BW517"/>
      <c r="BX517"/>
      <c r="BZ517"/>
      <c r="CA517"/>
      <c r="CE517"/>
      <c r="CF517"/>
    </row>
    <row r="518" spans="1:91" x14ac:dyDescent="0.2">
      <c r="A518" s="2" t="s">
        <v>1500</v>
      </c>
      <c r="K518" s="209"/>
      <c r="L518" s="192"/>
      <c r="O518" s="193"/>
      <c r="P518" s="209"/>
      <c r="Q518" s="209"/>
      <c r="T518" s="38" t="e">
        <f t="shared" si="12"/>
        <v>#DIV/0!</v>
      </c>
      <c r="AE518" s="194"/>
      <c r="AF518" s="193"/>
      <c r="AG518" s="194"/>
      <c r="AH518" s="194"/>
      <c r="AI518" s="192"/>
      <c r="AK518" s="193"/>
      <c r="AL518" s="193"/>
      <c r="AM518" s="194"/>
      <c r="AN518" s="194"/>
      <c r="AO518" s="193"/>
      <c r="AP518" s="192"/>
      <c r="AQ518" s="192"/>
      <c r="AR518" s="194"/>
      <c r="AS518" s="192"/>
      <c r="AT518" s="194"/>
      <c r="AU518" s="194"/>
      <c r="AV518" s="192"/>
      <c r="AW518" s="194"/>
      <c r="AX518" s="209"/>
      <c r="AY518" s="192"/>
      <c r="AZ518" s="209"/>
      <c r="BA518" s="192"/>
      <c r="BB518" s="38"/>
      <c r="BC518" s="39"/>
      <c r="BD518" s="39"/>
      <c r="BE518" s="39"/>
      <c r="BF518" s="38"/>
      <c r="BG518" s="38"/>
      <c r="BJ518" s="33"/>
      <c r="BK518" s="33"/>
    </row>
    <row r="519" spans="1:91" x14ac:dyDescent="0.2">
      <c r="A519" s="2" t="s">
        <v>1500</v>
      </c>
      <c r="C519" s="5" t="s">
        <v>279</v>
      </c>
      <c r="G519" s="30">
        <v>100.06407409441812</v>
      </c>
      <c r="H519" s="34">
        <v>44.768510262042788</v>
      </c>
      <c r="I519" s="34">
        <v>0.73719771290398017</v>
      </c>
      <c r="J519" s="34">
        <v>25.193902045239881</v>
      </c>
      <c r="K519" s="37">
        <v>0.11768002770490918</v>
      </c>
      <c r="L519" s="34">
        <v>5.9442912299060024</v>
      </c>
      <c r="M519" s="37">
        <v>7.6267231221050918E-2</v>
      </c>
      <c r="N519" s="34">
        <v>7.9299190393544876</v>
      </c>
      <c r="O519" s="72">
        <v>14.492254164567658</v>
      </c>
      <c r="P519" s="37">
        <v>0.52012383856243349</v>
      </c>
      <c r="Q519" s="37">
        <v>0.1334123928822834</v>
      </c>
      <c r="R519" s="37">
        <v>0.15051615003267638</v>
      </c>
      <c r="T519" s="38">
        <f t="shared" si="12"/>
        <v>70.397225132242994</v>
      </c>
      <c r="W519" s="36"/>
      <c r="X519" s="36"/>
      <c r="Y519" s="36"/>
      <c r="Z519" s="36"/>
      <c r="AA519" s="36"/>
      <c r="AB519"/>
      <c r="AI519" s="34">
        <v>9.3787633283417833</v>
      </c>
      <c r="AJ519" s="35">
        <v>805.14523607628064</v>
      </c>
      <c r="AL519" s="72">
        <v>42.579760766413486</v>
      </c>
      <c r="AM519" s="35">
        <v>611.39703574070393</v>
      </c>
      <c r="AO519"/>
      <c r="AQ519" s="34">
        <v>0.23542289858733112</v>
      </c>
      <c r="AR519" s="34">
        <v>0.16446316777022033</v>
      </c>
      <c r="AS519" s="34">
        <v>0.19835486315333684</v>
      </c>
      <c r="AU519" s="35">
        <v>197.90699478593467</v>
      </c>
      <c r="AV519" s="161">
        <v>43.256928750302407</v>
      </c>
      <c r="AW519" s="35">
        <v>177.82126941743195</v>
      </c>
      <c r="AX519"/>
      <c r="AY519"/>
      <c r="AZ519"/>
      <c r="BA519"/>
      <c r="BB519"/>
      <c r="BC519"/>
      <c r="BD519" s="34">
        <v>1.254700777599365E-2</v>
      </c>
      <c r="BE519"/>
      <c r="BF519"/>
      <c r="BG519" s="34">
        <v>0.12921325346852619</v>
      </c>
      <c r="BH519" s="35">
        <v>178.35060530066571</v>
      </c>
      <c r="BI519" s="34">
        <v>12.848625128547461</v>
      </c>
      <c r="BJ519" s="72">
        <v>33.68807169790896</v>
      </c>
      <c r="BK519" s="54">
        <v>4.2348712300090465</v>
      </c>
      <c r="BL519" s="72">
        <v>20.035240947552641</v>
      </c>
      <c r="BM519" s="34">
        <v>5.9573916141952479</v>
      </c>
      <c r="BN519" s="34">
        <v>1.3874657657820195</v>
      </c>
      <c r="BO519" s="51">
        <v>6.8109254273534212</v>
      </c>
      <c r="BP519" s="34">
        <v>1.1514265610622982</v>
      </c>
      <c r="BQ519" s="74">
        <v>7.3923090522158565</v>
      </c>
      <c r="BR519" s="74">
        <v>1.5907290208830043</v>
      </c>
      <c r="BS519" s="52">
        <v>4.2703615901644554</v>
      </c>
      <c r="BT519" s="53">
        <v>0.61091913259450514</v>
      </c>
      <c r="BU519" s="34">
        <v>3.853519854944341</v>
      </c>
      <c r="BV519" s="37">
        <v>0.53231049849351408</v>
      </c>
      <c r="BW519" s="34">
        <v>4.531268876179479</v>
      </c>
      <c r="BX519" s="34">
        <v>0.57322499864686893</v>
      </c>
      <c r="BY519" s="34">
        <v>0.22778032366897</v>
      </c>
      <c r="BZ519" s="72">
        <v>18.241554657477401</v>
      </c>
      <c r="CA519" s="72">
        <v>12.692083280711568</v>
      </c>
      <c r="CE519" s="34">
        <v>1.8556901870929332</v>
      </c>
      <c r="CF519" s="34">
        <v>0.48296985223807892</v>
      </c>
      <c r="CI519" s="29">
        <v>7.0577611018895192</v>
      </c>
      <c r="CJ519" s="41">
        <v>6.7653690520639449</v>
      </c>
      <c r="CK519" s="29">
        <v>6.6096461281068004</v>
      </c>
      <c r="CM519" s="30">
        <v>0.31149373874821362</v>
      </c>
    </row>
    <row r="520" spans="1:91" x14ac:dyDescent="0.2">
      <c r="A520" s="36"/>
      <c r="C520" s="36"/>
      <c r="H520" s="34"/>
      <c r="I520" s="34"/>
      <c r="J520" s="34"/>
      <c r="K520" s="37"/>
      <c r="L520" s="34"/>
      <c r="M520" s="37"/>
      <c r="N520" s="34"/>
      <c r="O520" s="72"/>
      <c r="P520" s="37"/>
      <c r="Q520" s="37"/>
      <c r="R520" s="37"/>
      <c r="T520" s="38" t="e">
        <f t="shared" si="12"/>
        <v>#DIV/0!</v>
      </c>
      <c r="W520" s="36"/>
      <c r="X520" s="36"/>
      <c r="Y520" s="36"/>
      <c r="Z520" s="36"/>
      <c r="AA520" s="36"/>
      <c r="AB520"/>
      <c r="AI520" s="34"/>
      <c r="AJ520" s="35"/>
      <c r="AL520" s="72"/>
      <c r="AM520" s="35"/>
      <c r="AO520"/>
      <c r="AQ520" s="34"/>
      <c r="AR520" s="34"/>
      <c r="AS520" s="34"/>
      <c r="AU520" s="35"/>
      <c r="AV520" s="161"/>
      <c r="AW520" s="35"/>
      <c r="AX520"/>
      <c r="AY520"/>
      <c r="AZ520"/>
      <c r="BA520"/>
      <c r="BB520"/>
      <c r="BC520"/>
      <c r="BD520" s="34"/>
      <c r="BE520"/>
      <c r="BF520"/>
      <c r="BG520" s="34"/>
      <c r="BH520" s="35"/>
      <c r="BI520" s="34"/>
      <c r="BJ520" s="72"/>
      <c r="BL520" s="72"/>
      <c r="BM520" s="34"/>
      <c r="BN520" s="34"/>
      <c r="BO520"/>
      <c r="BP520"/>
      <c r="BU520" s="34"/>
      <c r="BV520" s="37"/>
      <c r="BW520" s="34"/>
      <c r="BX520" s="34"/>
      <c r="BY520" s="34"/>
      <c r="BZ520" s="72"/>
      <c r="CA520" s="72"/>
      <c r="CE520" s="34"/>
      <c r="CF520" s="34"/>
      <c r="CI520" s="29"/>
      <c r="CJ520" s="41"/>
      <c r="CK520" s="29"/>
      <c r="CM520" s="30"/>
    </row>
    <row r="521" spans="1:91" x14ac:dyDescent="0.2">
      <c r="K521" s="209"/>
      <c r="L521" s="192"/>
      <c r="O521" s="193"/>
      <c r="P521" s="209"/>
      <c r="Q521" s="209"/>
      <c r="T521" s="38" t="e">
        <f t="shared" si="12"/>
        <v>#DIV/0!</v>
      </c>
      <c r="AE521" s="194"/>
      <c r="AF521" s="193"/>
      <c r="AG521" s="194"/>
      <c r="AH521" s="194"/>
      <c r="AI521" s="192"/>
      <c r="AK521" s="193"/>
      <c r="AL521" s="193"/>
      <c r="AM521" s="194"/>
      <c r="AN521" s="194"/>
      <c r="AO521" s="193"/>
      <c r="AP521" s="192"/>
      <c r="AQ521" s="192"/>
      <c r="AR521" s="194"/>
      <c r="AS521" s="192"/>
      <c r="AT521" s="194"/>
      <c r="AU521" s="194"/>
      <c r="AV521" s="192"/>
      <c r="AW521" s="194"/>
      <c r="AX521" s="209"/>
      <c r="AY521" s="192"/>
      <c r="AZ521" s="209"/>
      <c r="BA521" s="192"/>
      <c r="BB521" s="38"/>
      <c r="BC521" s="39"/>
      <c r="BD521" s="39"/>
      <c r="BE521" s="39"/>
      <c r="BF521" s="38"/>
      <c r="BG521" s="38"/>
      <c r="BJ521" s="33"/>
      <c r="BK521" s="33"/>
    </row>
    <row r="522" spans="1:91" x14ac:dyDescent="0.2">
      <c r="A522" t="s">
        <v>41</v>
      </c>
      <c r="C522" t="s">
        <v>717</v>
      </c>
      <c r="I522"/>
      <c r="J522"/>
      <c r="K522" s="32">
        <v>8.0044293816646156E-2</v>
      </c>
      <c r="L522" s="192">
        <v>3.5546964631356679</v>
      </c>
      <c r="M522"/>
      <c r="N522"/>
      <c r="O522" s="193">
        <v>15.341214147457331</v>
      </c>
      <c r="P522" s="209">
        <v>0.35940893894069997</v>
      </c>
      <c r="Q522" s="209">
        <v>2.6517684321661097E-2</v>
      </c>
      <c r="T522" s="38">
        <f t="shared" si="12"/>
        <v>0</v>
      </c>
      <c r="AE522" s="194"/>
      <c r="AF522" s="193"/>
      <c r="AG522" s="194"/>
      <c r="AH522" s="194"/>
      <c r="AI522" s="192">
        <v>5.4512475805032556</v>
      </c>
      <c r="AJ522" s="31">
        <v>547.64842512757355</v>
      </c>
      <c r="AK522" s="193"/>
      <c r="AL522" s="193">
        <v>13.387043814886505</v>
      </c>
      <c r="AM522" s="194">
        <v>95.693119831075137</v>
      </c>
      <c r="AN522" s="194">
        <v>5.436424423719866</v>
      </c>
      <c r="AO522" s="193"/>
      <c r="AP522" s="192"/>
      <c r="AQ522" s="192">
        <v>0</v>
      </c>
      <c r="AR522" s="192">
        <v>8.7124758050325532E-2</v>
      </c>
      <c r="AS522" s="192">
        <v>0.05</v>
      </c>
      <c r="AT522" s="194">
        <v>0.1</v>
      </c>
      <c r="AU522" s="194">
        <v>159.46964631356678</v>
      </c>
      <c r="AW522" s="194">
        <v>15.242829491465775</v>
      </c>
      <c r="AX522" s="209"/>
      <c r="AY522" s="192"/>
      <c r="AZ522" s="209">
        <v>0</v>
      </c>
      <c r="BA522" s="192"/>
      <c r="BB522" s="38"/>
      <c r="BC522" s="39"/>
      <c r="BD522" s="38">
        <v>4.2268168221010032E-3</v>
      </c>
      <c r="BE522" s="39"/>
      <c r="BF522" s="38"/>
      <c r="BG522" s="38">
        <v>2.3833890550765444E-2</v>
      </c>
      <c r="BH522" s="31">
        <v>24.345697694879469</v>
      </c>
      <c r="BI522" s="30">
        <v>1.373061411226465</v>
      </c>
      <c r="BJ522" s="33">
        <v>3.5689794122822454</v>
      </c>
      <c r="BK522" s="54">
        <v>0.44006742096767787</v>
      </c>
      <c r="BL522" s="33">
        <v>2.0530353686433225</v>
      </c>
      <c r="BM522" s="30">
        <v>0.65985658982931561</v>
      </c>
      <c r="BN522" s="30">
        <v>0.84465176843216605</v>
      </c>
      <c r="BO522" s="51">
        <v>0.79387035079438029</v>
      </c>
      <c r="BP522" s="30">
        <v>0.14209273271159598</v>
      </c>
      <c r="BQ522" s="74">
        <v>0.95329316154503629</v>
      </c>
      <c r="BR522" s="74">
        <v>0.21343838758207256</v>
      </c>
      <c r="BS522" s="52">
        <v>0.59617596609779266</v>
      </c>
      <c r="BT522" s="53">
        <v>8.8742273404381428E-2</v>
      </c>
      <c r="BU522">
        <v>0.58243163821925037</v>
      </c>
      <c r="BV522" s="32">
        <v>8.1054038360021119E-2</v>
      </c>
      <c r="BW522" s="30">
        <v>0.45247633292275208</v>
      </c>
      <c r="BX522" s="30">
        <v>6.6137427415097663E-2</v>
      </c>
      <c r="BY522">
        <v>7.1821221185993309E-2</v>
      </c>
      <c r="BZ522" s="33">
        <v>3.2105402076368117</v>
      </c>
      <c r="CA522" s="33">
        <v>0.8</v>
      </c>
      <c r="CE522" s="30">
        <v>0.22576051381312687</v>
      </c>
      <c r="CF522" s="30">
        <v>6.9424951610065108E-2</v>
      </c>
      <c r="CI522" s="29">
        <v>0.79302048197769981</v>
      </c>
      <c r="CJ522" s="41">
        <v>0.80533501328697499</v>
      </c>
      <c r="CK522" s="29">
        <v>0.78325555711846628</v>
      </c>
    </row>
    <row r="523" spans="1:91" x14ac:dyDescent="0.2">
      <c r="A523" t="s">
        <v>41</v>
      </c>
      <c r="C523" t="s">
        <v>700</v>
      </c>
      <c r="H523" s="30">
        <v>44.097631324927754</v>
      </c>
      <c r="I523" s="6">
        <v>0.1712840937509047</v>
      </c>
      <c r="J523" s="6">
        <v>28.840131294192211</v>
      </c>
      <c r="K523" s="209">
        <v>8.188307889858247E-2</v>
      </c>
      <c r="L523" s="192">
        <v>3.5546964631356679</v>
      </c>
      <c r="M523" s="3">
        <v>4.8071556417937387E-2</v>
      </c>
      <c r="N523" s="6">
        <v>6.8090208466290809</v>
      </c>
      <c r="O523" s="193">
        <v>15.728430416067159</v>
      </c>
      <c r="P523" s="513">
        <v>0.35797834290367869</v>
      </c>
      <c r="Q523" s="209">
        <v>2.5595716575369888E-2</v>
      </c>
      <c r="R523" s="32">
        <v>2.390884077308433E-2</v>
      </c>
      <c r="T523" s="38">
        <f t="shared" si="12"/>
        <v>77.347759954250066</v>
      </c>
      <c r="AE523" s="194"/>
      <c r="AF523" s="193"/>
      <c r="AG523" s="194"/>
      <c r="AH523" s="194"/>
      <c r="AI523" s="192"/>
      <c r="AK523" s="193"/>
      <c r="AL523" s="193"/>
      <c r="AM523" s="194"/>
      <c r="AN523" s="194"/>
      <c r="AO523" s="193"/>
      <c r="AP523" s="192"/>
      <c r="AQ523" s="192"/>
      <c r="AR523" s="192"/>
      <c r="AS523" s="192"/>
      <c r="AT523" s="194"/>
      <c r="AU523" s="194"/>
      <c r="AV523" s="192"/>
      <c r="AW523" s="194"/>
      <c r="AX523" s="209"/>
      <c r="AY523" s="192"/>
      <c r="AZ523" s="209"/>
      <c r="BA523" s="192"/>
      <c r="BB523" s="38"/>
      <c r="BC523" s="39"/>
      <c r="BD523" s="38"/>
      <c r="BE523" s="39"/>
      <c r="BF523" s="38"/>
      <c r="BG523" s="38"/>
      <c r="BJ523" s="33"/>
      <c r="BK523" s="33"/>
    </row>
    <row r="524" spans="1:91" x14ac:dyDescent="0.2">
      <c r="A524" t="s">
        <v>41</v>
      </c>
      <c r="K524" s="209"/>
      <c r="L524" s="192"/>
      <c r="O524" s="193"/>
      <c r="P524" s="209"/>
      <c r="Q524" s="209"/>
      <c r="T524" s="38" t="e">
        <f t="shared" si="12"/>
        <v>#DIV/0!</v>
      </c>
      <c r="AE524" s="194"/>
      <c r="AF524" s="193"/>
      <c r="AG524" s="194"/>
      <c r="AH524" s="194"/>
      <c r="AI524" s="192"/>
      <c r="AK524" s="193"/>
      <c r="AL524" s="193"/>
      <c r="AM524" s="194"/>
      <c r="AN524" s="194"/>
      <c r="AO524" s="193"/>
      <c r="AP524" s="192"/>
      <c r="AQ524" s="192"/>
      <c r="AR524" s="192"/>
      <c r="AS524" s="192"/>
      <c r="AT524" s="194"/>
      <c r="AU524" s="194"/>
      <c r="AV524" s="192"/>
      <c r="AW524" s="194"/>
      <c r="AX524" s="209"/>
      <c r="AY524" s="192"/>
      <c r="AZ524" s="209"/>
      <c r="BA524" s="192"/>
      <c r="BB524" s="38"/>
      <c r="BC524" s="39"/>
      <c r="BD524" s="38"/>
      <c r="BE524" s="39"/>
      <c r="BF524" s="38"/>
      <c r="BG524" s="38"/>
      <c r="BJ524" s="33"/>
      <c r="BK524" s="33"/>
    </row>
    <row r="525" spans="1:91" x14ac:dyDescent="0.2">
      <c r="A525" s="36" t="s">
        <v>41</v>
      </c>
      <c r="C525" s="36" t="s">
        <v>279</v>
      </c>
      <c r="H525" s="34">
        <v>44.097631324927754</v>
      </c>
      <c r="I525" s="34">
        <v>0.1712840937509047</v>
      </c>
      <c r="J525" s="34">
        <v>28.840131294192211</v>
      </c>
      <c r="K525" s="37">
        <v>8.0963686357614306E-2</v>
      </c>
      <c r="L525" s="34">
        <v>3.5546964631356679</v>
      </c>
      <c r="M525" s="37">
        <v>4.8071556417937387E-2</v>
      </c>
      <c r="N525" s="34">
        <v>6.8090208466290809</v>
      </c>
      <c r="O525" s="72">
        <v>15.534822281762246</v>
      </c>
      <c r="P525" s="37">
        <v>0.35869364092218936</v>
      </c>
      <c r="Q525" s="37">
        <v>2.6056700448515491E-2</v>
      </c>
      <c r="R525" s="37">
        <v>2.390884077308433E-2</v>
      </c>
      <c r="T525" s="38">
        <f t="shared" si="12"/>
        <v>77.347759954250066</v>
      </c>
      <c r="W525" s="36"/>
      <c r="X525" s="36"/>
      <c r="Y525" s="36"/>
      <c r="Z525" s="36"/>
      <c r="AA525" s="36"/>
      <c r="AB525"/>
      <c r="AI525" s="34">
        <v>5.4512475805032556</v>
      </c>
      <c r="AJ525" s="35">
        <v>547.64842512757355</v>
      </c>
      <c r="AL525" s="72">
        <v>13.387043814886505</v>
      </c>
      <c r="AM525" s="35">
        <v>95.693119831075137</v>
      </c>
      <c r="AO525"/>
      <c r="AQ525" s="34">
        <v>0</v>
      </c>
      <c r="AR525" s="34">
        <v>8.7124758050325532E-2</v>
      </c>
      <c r="AS525" s="34">
        <v>0.05</v>
      </c>
      <c r="AU525" s="35">
        <v>159.46964631356678</v>
      </c>
      <c r="AV525" s="161">
        <v>5.9203686700614151</v>
      </c>
      <c r="AW525" s="35">
        <v>15.242829491465775</v>
      </c>
      <c r="AX525"/>
      <c r="AY525"/>
      <c r="AZ525"/>
      <c r="BA525"/>
      <c r="BB525"/>
      <c r="BC525"/>
      <c r="BD525" s="34">
        <v>4.2268168221010032E-3</v>
      </c>
      <c r="BE525"/>
      <c r="BF525"/>
      <c r="BG525" s="34">
        <v>2.3833890550765444E-2</v>
      </c>
      <c r="BH525" s="35">
        <v>24.345697694879469</v>
      </c>
      <c r="BI525" s="34">
        <v>1.373061411226465</v>
      </c>
      <c r="BJ525" s="72">
        <v>3.5689794122822454</v>
      </c>
      <c r="BK525" s="54">
        <v>0.44006742096767787</v>
      </c>
      <c r="BL525" s="72">
        <v>2.0530353686433225</v>
      </c>
      <c r="BM525" s="34">
        <v>0.65985658982931561</v>
      </c>
      <c r="BN525" s="34">
        <v>0.84465176843216605</v>
      </c>
      <c r="BO525" s="51">
        <v>0.79387035079438029</v>
      </c>
      <c r="BP525" s="34">
        <v>0.14209273271159598</v>
      </c>
      <c r="BQ525" s="74">
        <v>0.95329316154503629</v>
      </c>
      <c r="BR525" s="74">
        <v>0.21343838758207256</v>
      </c>
      <c r="BS525" s="52">
        <v>0.59617596609779266</v>
      </c>
      <c r="BT525" s="53">
        <v>8.8742273404381428E-2</v>
      </c>
      <c r="BU525" s="34">
        <v>0.58243163821925037</v>
      </c>
      <c r="BV525" s="37">
        <v>8.1054038360021119E-2</v>
      </c>
      <c r="BW525" s="34">
        <v>0.45247633292275208</v>
      </c>
      <c r="BX525" s="34">
        <v>6.6137427415097663E-2</v>
      </c>
      <c r="BY525" s="34">
        <v>7.1821221185993309E-2</v>
      </c>
      <c r="BZ525" s="72">
        <v>3.2105402076368117</v>
      </c>
      <c r="CA525" s="72">
        <v>0.8</v>
      </c>
      <c r="CE525" s="34">
        <v>0.22576051381312687</v>
      </c>
      <c r="CF525" s="34">
        <v>6.9424951610065108E-2</v>
      </c>
      <c r="CI525" s="29">
        <v>0.79302048197769981</v>
      </c>
      <c r="CJ525" s="41">
        <v>0.80533501328697499</v>
      </c>
      <c r="CK525" s="29">
        <v>0.78325555711846628</v>
      </c>
      <c r="CM525" s="30">
        <v>0.34213572660011488</v>
      </c>
    </row>
    <row r="526" spans="1:91" x14ac:dyDescent="0.2">
      <c r="K526" s="209"/>
      <c r="L526" s="192"/>
      <c r="O526" s="193"/>
      <c r="P526" s="209"/>
      <c r="Q526" s="209"/>
      <c r="T526" s="38" t="e">
        <f t="shared" si="12"/>
        <v>#DIV/0!</v>
      </c>
      <c r="AE526" s="194"/>
      <c r="AF526" s="193"/>
      <c r="AG526" s="194"/>
      <c r="AH526" s="194"/>
      <c r="AI526" s="192"/>
      <c r="AK526" s="193"/>
      <c r="AL526" s="193"/>
      <c r="AM526" s="194"/>
      <c r="AN526" s="194"/>
      <c r="AO526" s="193"/>
      <c r="AP526" s="192"/>
      <c r="AQ526" s="192"/>
      <c r="AR526" s="192"/>
      <c r="AS526" s="192"/>
      <c r="AT526" s="194"/>
      <c r="AU526" s="194"/>
      <c r="AV526" s="192"/>
      <c r="AW526" s="194"/>
      <c r="AX526" s="209"/>
      <c r="AY526" s="192"/>
      <c r="AZ526" s="209"/>
      <c r="BA526" s="192"/>
      <c r="BB526" s="38"/>
      <c r="BC526" s="39"/>
      <c r="BD526" s="38"/>
      <c r="BE526" s="39"/>
      <c r="BF526" s="38"/>
      <c r="BG526" s="38"/>
      <c r="BJ526" s="33"/>
      <c r="BK526" s="33"/>
    </row>
    <row r="527" spans="1:91" x14ac:dyDescent="0.2">
      <c r="K527" s="209"/>
      <c r="L527" s="192"/>
      <c r="O527" s="193"/>
      <c r="P527" s="209"/>
      <c r="Q527" s="209"/>
      <c r="T527" s="38" t="e">
        <f t="shared" si="12"/>
        <v>#DIV/0!</v>
      </c>
      <c r="AE527" s="194"/>
      <c r="AF527" s="193"/>
      <c r="AG527" s="194"/>
      <c r="AH527" s="194"/>
      <c r="AI527" s="192"/>
      <c r="AK527" s="193"/>
      <c r="AL527" s="193"/>
      <c r="AM527" s="194"/>
      <c r="AN527" s="194"/>
      <c r="AO527" s="193"/>
      <c r="AP527" s="192"/>
      <c r="AQ527" s="192"/>
      <c r="AR527" s="192"/>
      <c r="AS527" s="192"/>
      <c r="AT527" s="194"/>
      <c r="AU527" s="194"/>
      <c r="AV527" s="192"/>
      <c r="AW527" s="194"/>
      <c r="AX527" s="209"/>
      <c r="AY527" s="192"/>
      <c r="AZ527" s="209"/>
      <c r="BA527" s="192"/>
      <c r="BB527" s="38"/>
      <c r="BC527" s="39"/>
      <c r="BD527" s="38"/>
      <c r="BE527" s="39"/>
      <c r="BF527" s="38"/>
      <c r="BG527" s="38"/>
      <c r="BJ527" s="33"/>
      <c r="BK527" s="33"/>
    </row>
    <row r="528" spans="1:91" x14ac:dyDescent="0.2">
      <c r="A528" t="s">
        <v>1307</v>
      </c>
      <c r="C528" t="s">
        <v>717</v>
      </c>
      <c r="I528"/>
      <c r="J528"/>
      <c r="K528" s="32">
        <v>8.1442661042345252E-2</v>
      </c>
      <c r="L528" s="192">
        <v>3.8968492423169523</v>
      </c>
      <c r="M528"/>
      <c r="N528"/>
      <c r="O528" s="193">
        <v>16.078682552046448</v>
      </c>
      <c r="P528" s="209">
        <v>0.33855059481659822</v>
      </c>
      <c r="Q528" s="209" t="s">
        <v>1313</v>
      </c>
      <c r="T528" s="38">
        <f t="shared" si="12"/>
        <v>0</v>
      </c>
      <c r="AE528" s="194"/>
      <c r="AF528" s="193"/>
      <c r="AG528" s="194"/>
      <c r="AH528" s="194"/>
      <c r="AI528" s="192">
        <v>6.6903469763489589</v>
      </c>
      <c r="AJ528" s="31">
        <v>557.21579804560247</v>
      </c>
      <c r="AK528" s="193"/>
      <c r="AL528" s="193">
        <v>21.071282042203659</v>
      </c>
      <c r="AM528" s="194">
        <v>280.48888259453332</v>
      </c>
      <c r="AN528" s="194">
        <v>15.217632063447105</v>
      </c>
      <c r="AO528" s="193"/>
      <c r="AP528" s="192"/>
      <c r="AQ528" s="192">
        <v>4.8454184959637443E-2</v>
      </c>
      <c r="AR528" s="192">
        <v>0.28439739413680781</v>
      </c>
      <c r="AS528" s="192">
        <v>0.20065217391304346</v>
      </c>
      <c r="AT528" s="194">
        <v>0.24241608837275169</v>
      </c>
      <c r="AU528" s="194">
        <v>153.15100552329696</v>
      </c>
      <c r="AW528" s="194">
        <v>30.245645092763059</v>
      </c>
      <c r="AX528" s="209"/>
      <c r="AY528" s="192"/>
      <c r="AZ528" s="209">
        <v>0</v>
      </c>
      <c r="BA528" s="192"/>
      <c r="BB528" s="38"/>
      <c r="BC528" s="39"/>
      <c r="BD528" s="38">
        <v>2.3976065713071804E-3</v>
      </c>
      <c r="BE528" s="39"/>
      <c r="BF528" s="38"/>
      <c r="BG528" s="38">
        <v>3.5438393995184822E-2</v>
      </c>
      <c r="BH528" s="31">
        <v>33.990228013029316</v>
      </c>
      <c r="BI528" s="30">
        <v>2.6280310862484071</v>
      </c>
      <c r="BJ528" s="33">
        <v>6.506363121370911</v>
      </c>
      <c r="BK528" s="54">
        <v>0.84877419321255154</v>
      </c>
      <c r="BL528" s="33">
        <v>3.9749858377000429</v>
      </c>
      <c r="BM528" s="30">
        <v>1.2019425010621725</v>
      </c>
      <c r="BN528" s="30">
        <v>0.8250397252513807</v>
      </c>
      <c r="BO528" s="51">
        <v>1.4037157325563967</v>
      </c>
      <c r="BP528" s="30">
        <v>0.24643541991219378</v>
      </c>
      <c r="BQ528" s="74">
        <v>1.6381986129847907</v>
      </c>
      <c r="BR528" s="74">
        <v>0.36201690982410062</v>
      </c>
      <c r="BS528" s="52">
        <v>0.99804638734302364</v>
      </c>
      <c r="BT528" s="53">
        <v>0.14663256767242244</v>
      </c>
      <c r="BU528">
        <v>0.94988748052683758</v>
      </c>
      <c r="BV528" s="32">
        <v>0.13441959354199121</v>
      </c>
      <c r="BW528" s="30">
        <v>0.86007714912901867</v>
      </c>
      <c r="BX528" s="30">
        <v>0.11464392437331822</v>
      </c>
      <c r="BY528">
        <v>0.1209602039371194</v>
      </c>
      <c r="BZ528" s="33">
        <v>12.311301515366099</v>
      </c>
      <c r="CA528" s="33">
        <v>3.6616378699900864</v>
      </c>
      <c r="CE528" s="30">
        <v>0.41495549497238349</v>
      </c>
      <c r="CF528" s="30">
        <v>0.21966399943350803</v>
      </c>
      <c r="CG528">
        <v>282.44</v>
      </c>
      <c r="CI528" s="29">
        <v>1.4161719151688319</v>
      </c>
      <c r="CJ528" s="41">
        <v>1.4197445843464733</v>
      </c>
      <c r="CK528" s="29">
        <v>1.3752306981538842</v>
      </c>
    </row>
    <row r="529" spans="1:91" x14ac:dyDescent="0.2">
      <c r="A529" t="s">
        <v>1307</v>
      </c>
      <c r="C529" t="s">
        <v>700</v>
      </c>
      <c r="E529" s="188">
        <v>40504</v>
      </c>
      <c r="H529" s="30">
        <v>44.026787981318186</v>
      </c>
      <c r="I529" s="6">
        <v>0.18703343604768907</v>
      </c>
      <c r="J529" s="6">
        <v>29.84374789143779</v>
      </c>
      <c r="K529" s="209">
        <v>8.1442661042345252E-2</v>
      </c>
      <c r="L529" s="192">
        <v>3.8968492423169527</v>
      </c>
      <c r="M529" s="3">
        <v>5.8455313683242277E-2</v>
      </c>
      <c r="N529" s="6">
        <v>4.2677943242838783</v>
      </c>
      <c r="O529" s="193">
        <v>16.713171383573894</v>
      </c>
      <c r="P529" s="209">
        <v>0.33855059481659822</v>
      </c>
      <c r="Q529" s="209">
        <v>3.0154999747153351E-2</v>
      </c>
      <c r="R529" s="32">
        <v>3.2631040078289979E-2</v>
      </c>
      <c r="T529" s="38">
        <f t="shared" si="12"/>
        <v>66.127988319166363</v>
      </c>
      <c r="AE529" s="194"/>
      <c r="AF529" s="193"/>
      <c r="AG529" s="194"/>
      <c r="AH529" s="194"/>
      <c r="AI529" s="192"/>
      <c r="AK529" s="193"/>
      <c r="AL529" s="193"/>
      <c r="AM529" s="194"/>
      <c r="AN529" s="194"/>
      <c r="AO529" s="193"/>
      <c r="AP529" s="192"/>
      <c r="AQ529" s="192"/>
      <c r="AR529" s="192"/>
      <c r="AS529" s="192"/>
      <c r="AT529" s="194"/>
      <c r="AU529" s="194"/>
      <c r="AV529" s="192"/>
      <c r="AW529" s="194"/>
      <c r="AX529" s="209"/>
      <c r="AY529" s="192"/>
      <c r="AZ529" s="209"/>
      <c r="BA529" s="192"/>
      <c r="BB529" s="38"/>
      <c r="BC529" s="39"/>
      <c r="BD529" s="38"/>
      <c r="BE529" s="39"/>
      <c r="BF529" s="38"/>
      <c r="BG529" s="38"/>
      <c r="BJ529" s="33"/>
      <c r="BK529" s="33"/>
    </row>
    <row r="530" spans="1:91" x14ac:dyDescent="0.2">
      <c r="A530" t="s">
        <v>1307</v>
      </c>
      <c r="K530" s="209"/>
      <c r="L530" s="192"/>
      <c r="O530" s="193"/>
      <c r="P530" s="209"/>
      <c r="Q530" s="209"/>
      <c r="T530" s="38" t="e">
        <f t="shared" si="12"/>
        <v>#DIV/0!</v>
      </c>
      <c r="AE530" s="194"/>
      <c r="AF530" s="193"/>
      <c r="AG530" s="194"/>
      <c r="AH530" s="194"/>
      <c r="AI530" s="192"/>
      <c r="AK530" s="193"/>
      <c r="AL530" s="193"/>
      <c r="AM530" s="194"/>
      <c r="AN530" s="194"/>
      <c r="AO530" s="193"/>
      <c r="AP530" s="192"/>
      <c r="AQ530" s="192"/>
      <c r="AR530" s="192"/>
      <c r="AS530" s="192"/>
      <c r="AT530" s="194"/>
      <c r="AU530" s="194"/>
      <c r="AV530" s="192"/>
      <c r="AW530" s="194"/>
      <c r="AX530" s="209"/>
      <c r="AY530" s="192"/>
      <c r="AZ530" s="209"/>
      <c r="BA530" s="192"/>
      <c r="BB530" s="38"/>
      <c r="BC530" s="39"/>
      <c r="BD530" s="38"/>
      <c r="BE530" s="39"/>
      <c r="BF530" s="38"/>
      <c r="BG530" s="38"/>
      <c r="BJ530" s="33"/>
      <c r="BK530" s="33"/>
    </row>
    <row r="531" spans="1:91" x14ac:dyDescent="0.2">
      <c r="A531" s="36" t="s">
        <v>1307</v>
      </c>
      <c r="C531" s="36" t="s">
        <v>279</v>
      </c>
      <c r="H531" s="34">
        <v>44.026787981318186</v>
      </c>
      <c r="I531" s="34">
        <v>0.18703343604768907</v>
      </c>
      <c r="J531" s="34">
        <v>29.84374789143779</v>
      </c>
      <c r="K531" s="37">
        <v>8.1442661042345252E-2</v>
      </c>
      <c r="L531" s="34">
        <v>3.8968492423169527</v>
      </c>
      <c r="M531" s="37">
        <v>5.8455313683242277E-2</v>
      </c>
      <c r="N531" s="34">
        <v>4.2677943242838783</v>
      </c>
      <c r="O531" s="72">
        <v>16.395926967810169</v>
      </c>
      <c r="P531" s="37">
        <v>0.33855059481659822</v>
      </c>
      <c r="Q531" s="37">
        <v>3.0154999747153351E-2</v>
      </c>
      <c r="R531" s="37">
        <v>3.2631040078289979E-2</v>
      </c>
      <c r="T531" s="38">
        <f t="shared" si="12"/>
        <v>66.127988319166363</v>
      </c>
      <c r="W531" s="36"/>
      <c r="X531" s="36"/>
      <c r="Y531" s="36"/>
      <c r="Z531" s="36"/>
      <c r="AA531" s="36"/>
      <c r="AB531"/>
      <c r="AI531" s="34">
        <v>6.6903469763489589</v>
      </c>
      <c r="AJ531" s="35">
        <v>557.21579804560247</v>
      </c>
      <c r="AL531" s="72">
        <v>21.071282042203659</v>
      </c>
      <c r="AM531" s="35">
        <v>280.48888259453332</v>
      </c>
      <c r="AO531"/>
      <c r="AQ531" s="34">
        <v>4.8454184959637443E-2</v>
      </c>
      <c r="AR531" s="34">
        <v>0.28439739413680781</v>
      </c>
      <c r="AS531" s="34">
        <v>0.20065217391304346</v>
      </c>
      <c r="AU531" s="35">
        <v>153.15100552329696</v>
      </c>
      <c r="AV531" s="161">
        <v>9.9761976737008791</v>
      </c>
      <c r="AW531" s="35">
        <v>30.245645092763059</v>
      </c>
      <c r="AX531"/>
      <c r="AY531"/>
      <c r="AZ531"/>
      <c r="BA531"/>
      <c r="BB531"/>
      <c r="BC531"/>
      <c r="BD531" s="34">
        <v>2.3976065713071804E-3</v>
      </c>
      <c r="BE531"/>
      <c r="BF531"/>
      <c r="BG531" s="34">
        <v>3.5438393995184822E-2</v>
      </c>
      <c r="BH531" s="35">
        <v>33.990228013029316</v>
      </c>
      <c r="BI531" s="34">
        <v>2.6280310862484071</v>
      </c>
      <c r="BJ531" s="72">
        <v>6.506363121370911</v>
      </c>
      <c r="BK531" s="54">
        <v>0.84877419321255154</v>
      </c>
      <c r="BL531" s="72">
        <v>3.9749858377000429</v>
      </c>
      <c r="BM531" s="34">
        <v>1.2019425010621725</v>
      </c>
      <c r="BN531" s="34">
        <v>0.8250397252513807</v>
      </c>
      <c r="BO531" s="51">
        <v>1.4037157325563967</v>
      </c>
      <c r="BP531" s="34">
        <v>0.24643541991219378</v>
      </c>
      <c r="BQ531" s="74">
        <v>1.6381986129847907</v>
      </c>
      <c r="BR531" s="74">
        <v>0.36201690982410062</v>
      </c>
      <c r="BS531" s="52">
        <v>0.99804638734302364</v>
      </c>
      <c r="BT531" s="53">
        <v>0.14663256767242244</v>
      </c>
      <c r="BU531" s="34">
        <v>0.94988748052683758</v>
      </c>
      <c r="BV531" s="37">
        <v>0.13441959354199121</v>
      </c>
      <c r="BW531" s="34">
        <v>0.86007714912901867</v>
      </c>
      <c r="BX531" s="34">
        <v>0.11464392437331822</v>
      </c>
      <c r="BY531" s="34">
        <v>0.1209602039371194</v>
      </c>
      <c r="BZ531" s="72">
        <v>12.311301515366099</v>
      </c>
      <c r="CA531" s="72">
        <v>3.6616378699900864</v>
      </c>
      <c r="CE531" s="34">
        <v>0.41495549497238349</v>
      </c>
      <c r="CF531" s="34">
        <v>0.21966399943350803</v>
      </c>
      <c r="CI531" s="29">
        <v>1.4161719151688319</v>
      </c>
      <c r="CJ531" s="41">
        <v>1.4197445843464733</v>
      </c>
      <c r="CK531" s="29">
        <v>1.3752306981538842</v>
      </c>
      <c r="CM531" s="30">
        <v>0.34523739247566487</v>
      </c>
    </row>
    <row r="532" spans="1:91" x14ac:dyDescent="0.2">
      <c r="K532" s="209"/>
      <c r="L532" s="192"/>
      <c r="O532" s="193"/>
      <c r="P532" s="209"/>
      <c r="Q532" s="209"/>
      <c r="T532" s="38" t="e">
        <f t="shared" si="12"/>
        <v>#DIV/0!</v>
      </c>
      <c r="AE532" s="194"/>
      <c r="AF532" s="193"/>
      <c r="AG532" s="194"/>
      <c r="AH532" s="194"/>
      <c r="AI532" s="192"/>
      <c r="AK532" s="193"/>
      <c r="AL532" s="193"/>
      <c r="AM532" s="194"/>
      <c r="AN532" s="194"/>
      <c r="AO532" s="193"/>
      <c r="AP532" s="192"/>
      <c r="AQ532" s="192"/>
      <c r="AR532" s="194"/>
      <c r="AS532" s="192"/>
      <c r="AT532" s="194"/>
      <c r="AU532" s="194"/>
      <c r="AV532" s="192"/>
      <c r="AW532" s="194"/>
      <c r="AX532" s="209"/>
      <c r="AY532" s="192"/>
      <c r="AZ532" s="209"/>
      <c r="BA532" s="192"/>
      <c r="BB532" s="38"/>
      <c r="BC532" s="39"/>
      <c r="BD532" s="39"/>
      <c r="BE532" s="39"/>
      <c r="BF532" s="38"/>
      <c r="BG532" s="38"/>
    </row>
    <row r="533" spans="1:91" x14ac:dyDescent="0.2">
      <c r="K533" s="209"/>
      <c r="L533" s="192"/>
      <c r="O533" s="193"/>
      <c r="P533" s="209"/>
      <c r="Q533" s="209"/>
      <c r="T533" s="38" t="e">
        <f t="shared" si="12"/>
        <v>#DIV/0!</v>
      </c>
      <c r="AE533" s="194"/>
      <c r="AF533" s="193"/>
      <c r="AG533" s="194"/>
      <c r="AH533" s="194"/>
      <c r="AI533" s="192"/>
      <c r="AK533" s="193"/>
      <c r="AL533" s="193"/>
      <c r="AM533" s="194"/>
      <c r="AN533" s="194"/>
      <c r="AO533" s="193"/>
      <c r="AP533" s="192"/>
      <c r="AQ533" s="192"/>
      <c r="AR533" s="194"/>
      <c r="AS533" s="192"/>
      <c r="AT533" s="194"/>
      <c r="AU533" s="194"/>
      <c r="AV533" s="192"/>
      <c r="AW533" s="194"/>
      <c r="AX533" s="209"/>
      <c r="AY533" s="192"/>
      <c r="AZ533" s="209"/>
      <c r="BA533" s="192"/>
      <c r="BB533" s="38"/>
      <c r="BC533" s="39"/>
      <c r="BD533" s="39"/>
      <c r="BE533" s="39"/>
      <c r="BF533" s="38"/>
      <c r="BG533" s="38"/>
    </row>
    <row r="534" spans="1:91" x14ac:dyDescent="0.2">
      <c r="A534" t="s">
        <v>52</v>
      </c>
      <c r="C534" t="s">
        <v>717</v>
      </c>
      <c r="I534"/>
      <c r="J534"/>
      <c r="K534" s="32">
        <v>8.1842979362788212E-2</v>
      </c>
      <c r="L534" s="30">
        <v>3.8964178841753214</v>
      </c>
      <c r="M534"/>
      <c r="N534"/>
      <c r="O534" s="39">
        <v>17.235961978524909</v>
      </c>
      <c r="P534" s="209">
        <v>0.33927835474975065</v>
      </c>
      <c r="Q534" s="209" t="s">
        <v>109</v>
      </c>
      <c r="T534" s="38">
        <f t="shared" si="12"/>
        <v>0</v>
      </c>
      <c r="AI534" s="30">
        <v>7.1700387255764833</v>
      </c>
      <c r="AJ534" s="31">
        <v>559.95470281053792</v>
      </c>
      <c r="AL534" s="7">
        <v>16.26735961978525</v>
      </c>
      <c r="AM534" s="8">
        <v>212.32699642081792</v>
      </c>
      <c r="AN534" s="8">
        <v>13.08093058733791</v>
      </c>
      <c r="AQ534" s="2">
        <v>0.2552068297834888</v>
      </c>
      <c r="AR534" s="2">
        <v>0.41686029454908174</v>
      </c>
      <c r="AS534" s="2">
        <v>0.32811476852666782</v>
      </c>
      <c r="AT534" s="31">
        <v>0.39361614739189099</v>
      </c>
      <c r="AU534" s="31">
        <v>248.31666960042244</v>
      </c>
      <c r="AW534" s="194">
        <v>23.126679575192156</v>
      </c>
      <c r="AZ534" s="193">
        <v>0.2633427213518747</v>
      </c>
      <c r="BD534" s="194">
        <v>1.502611042656809E-2</v>
      </c>
      <c r="BG534" s="194">
        <v>2.1290500498738485E-2</v>
      </c>
      <c r="BH534" s="193">
        <v>68.083271724461653</v>
      </c>
      <c r="BI534" s="30">
        <v>1.8121417004048581</v>
      </c>
      <c r="BJ534" s="193">
        <v>4.5966203133251184</v>
      </c>
      <c r="BK534" s="54"/>
      <c r="BL534" s="193">
        <v>3.2303409024232823</v>
      </c>
      <c r="BM534" s="192">
        <v>0.86383324532065942</v>
      </c>
      <c r="BN534" s="192">
        <v>0.77047573783958212</v>
      </c>
      <c r="BO534" s="51"/>
      <c r="BP534" s="192">
        <v>0.17643049932523616</v>
      </c>
      <c r="BQ534" s="74"/>
      <c r="BR534" s="74"/>
      <c r="BS534" s="52"/>
      <c r="BT534" s="53"/>
      <c r="BU534" s="192">
        <v>0.6894830135539517</v>
      </c>
      <c r="BV534" s="209">
        <v>9.8064284456961803E-2</v>
      </c>
      <c r="BW534" s="192">
        <v>0.62953764008683921</v>
      </c>
      <c r="BX534" s="192">
        <v>7.2581353048172259E-2</v>
      </c>
      <c r="BY534" s="193">
        <v>9.2172739541160592E-2</v>
      </c>
      <c r="BZ534" s="193">
        <v>9.6714721586575134</v>
      </c>
      <c r="CA534" s="193">
        <v>5.9398521387079732</v>
      </c>
      <c r="CE534" s="192">
        <v>0.26069160359091703</v>
      </c>
      <c r="CF534" s="192">
        <v>0.19016616792818167</v>
      </c>
      <c r="CG534" s="193">
        <v>170.43</v>
      </c>
      <c r="CI534" s="29">
        <v>1.0347990603384591</v>
      </c>
      <c r="CJ534" s="41">
        <v>1.0177460593054948</v>
      </c>
      <c r="CK534" s="29">
        <v>0.98186079245014746</v>
      </c>
    </row>
    <row r="535" spans="1:91" x14ac:dyDescent="0.2">
      <c r="A535" t="s">
        <v>52</v>
      </c>
      <c r="C535" t="s">
        <v>700</v>
      </c>
      <c r="H535" s="30">
        <v>43.998530278145346</v>
      </c>
      <c r="I535" s="6">
        <v>0.16852438921081281</v>
      </c>
      <c r="J535" s="6">
        <v>30.007064688896037</v>
      </c>
      <c r="K535" s="32">
        <v>8.1842979362788212E-2</v>
      </c>
      <c r="L535" s="30">
        <v>3.8964178841753214</v>
      </c>
      <c r="M535" s="3">
        <v>6.4272682723991337E-2</v>
      </c>
      <c r="N535" s="6">
        <v>3.5215409167922376</v>
      </c>
      <c r="O535" s="39">
        <v>17.65773310359091</v>
      </c>
      <c r="P535" s="209">
        <v>0.33927835474975065</v>
      </c>
      <c r="Q535" s="209">
        <v>2.4444372050134937E-2</v>
      </c>
      <c r="R535" s="32">
        <v>7.5170589937943344E-2</v>
      </c>
      <c r="T535" s="38">
        <f t="shared" si="12"/>
        <v>61.701918816423046</v>
      </c>
      <c r="AL535" s="7"/>
      <c r="AM535" s="8"/>
      <c r="AN535" s="8"/>
      <c r="AQ535" s="2"/>
      <c r="AR535" s="2"/>
      <c r="AS535" s="2"/>
      <c r="AW535" s="194"/>
      <c r="AZ535" s="193"/>
      <c r="BD535" s="194"/>
      <c r="BG535" s="194"/>
      <c r="BH535" s="193"/>
      <c r="BJ535" s="193"/>
      <c r="BK535" s="54"/>
      <c r="BL535" s="193"/>
      <c r="BM535" s="192"/>
      <c r="BN535" s="192"/>
      <c r="BO535" s="51"/>
      <c r="BP535" s="192"/>
      <c r="BQ535" s="74"/>
      <c r="BR535" s="74"/>
      <c r="BS535" s="52"/>
      <c r="BT535" s="53"/>
      <c r="BU535" s="192"/>
      <c r="BV535" s="209"/>
      <c r="BW535" s="192"/>
      <c r="BX535" s="192"/>
      <c r="BY535" s="193"/>
      <c r="BZ535" s="193"/>
      <c r="CA535" s="193"/>
      <c r="CE535" s="192"/>
      <c r="CF535" s="192"/>
      <c r="CG535" s="193"/>
    </row>
    <row r="536" spans="1:91" x14ac:dyDescent="0.2">
      <c r="A536" t="s">
        <v>52</v>
      </c>
      <c r="K536" s="209"/>
      <c r="L536" s="30"/>
      <c r="O536" s="39"/>
      <c r="P536" s="209"/>
      <c r="Q536" s="209"/>
      <c r="T536" s="38" t="e">
        <f t="shared" si="12"/>
        <v>#DIV/0!</v>
      </c>
      <c r="AL536" s="7"/>
      <c r="AM536" s="8"/>
      <c r="AN536" s="8"/>
      <c r="AQ536" s="2"/>
      <c r="AR536" s="2"/>
      <c r="AS536" s="2"/>
      <c r="AW536" s="194"/>
      <c r="AZ536" s="193"/>
      <c r="BD536" s="194"/>
      <c r="BG536" s="194"/>
      <c r="BH536" s="193"/>
      <c r="BJ536" s="193"/>
      <c r="BL536" s="193"/>
      <c r="BM536" s="192"/>
      <c r="BN536" s="192"/>
      <c r="BP536" s="192"/>
      <c r="BU536" s="192"/>
      <c r="BV536" s="209"/>
      <c r="BW536" s="192"/>
      <c r="BX536" s="192"/>
      <c r="BY536" s="193"/>
      <c r="BZ536" s="193"/>
      <c r="CA536" s="193"/>
      <c r="CE536" s="192"/>
      <c r="CF536" s="192"/>
      <c r="CG536" s="193"/>
    </row>
    <row r="537" spans="1:91" x14ac:dyDescent="0.2">
      <c r="A537" t="s">
        <v>52</v>
      </c>
      <c r="C537" s="36" t="s">
        <v>279</v>
      </c>
      <c r="H537" s="34">
        <v>43.998530278145346</v>
      </c>
      <c r="I537" s="34">
        <v>0.16852438921081281</v>
      </c>
      <c r="J537" s="34">
        <v>30.007064688896037</v>
      </c>
      <c r="K537" s="37">
        <v>8.1842979362788212E-2</v>
      </c>
      <c r="L537" s="34">
        <v>3.8964178841753214</v>
      </c>
      <c r="M537" s="37">
        <v>6.4272682723991337E-2</v>
      </c>
      <c r="N537" s="34">
        <v>3.5215409167922376</v>
      </c>
      <c r="O537" s="72">
        <v>17.44684754105791</v>
      </c>
      <c r="P537" s="37">
        <v>0.33927835474975065</v>
      </c>
      <c r="Q537" s="37">
        <v>2.4444372050134937E-2</v>
      </c>
      <c r="R537" s="37">
        <v>7.5170589937943344E-2</v>
      </c>
      <c r="T537" s="38">
        <f t="shared" si="12"/>
        <v>61.701918816423046</v>
      </c>
      <c r="W537" s="36"/>
      <c r="X537" s="36"/>
      <c r="Y537" s="36"/>
      <c r="Z537" s="36"/>
      <c r="AA537" s="36"/>
      <c r="AB537"/>
      <c r="AI537" s="34">
        <v>7.1700387255764833</v>
      </c>
      <c r="AJ537" s="35">
        <v>559.95470281053792</v>
      </c>
      <c r="AL537" s="72">
        <v>16.26735961978525</v>
      </c>
      <c r="AM537" s="35">
        <v>212.32699642081792</v>
      </c>
      <c r="AO537"/>
      <c r="AQ537" s="34">
        <v>0.2552068297834888</v>
      </c>
      <c r="AR537" s="34">
        <v>0.41686029454908174</v>
      </c>
      <c r="AS537" s="34">
        <v>0.32811476852666782</v>
      </c>
      <c r="AU537" s="35">
        <v>248.31666960042244</v>
      </c>
      <c r="AV537" s="161">
        <v>7.2054668952674517</v>
      </c>
      <c r="AW537" s="35">
        <v>23.126679575192156</v>
      </c>
      <c r="AX537"/>
      <c r="AY537"/>
      <c r="AZ537"/>
      <c r="BA537"/>
      <c r="BB537"/>
      <c r="BC537"/>
      <c r="BD537" s="34">
        <v>1.502611042656809E-2</v>
      </c>
      <c r="BE537"/>
      <c r="BF537"/>
      <c r="BG537" s="34">
        <v>2.1290500498738485E-2</v>
      </c>
      <c r="BH537" s="35">
        <v>68.083271724461653</v>
      </c>
      <c r="BI537" s="34">
        <v>1.8121417004048581</v>
      </c>
      <c r="BJ537" s="72">
        <v>4.5966203133251184</v>
      </c>
      <c r="BK537" s="54">
        <v>0.65301210570888846</v>
      </c>
      <c r="BL537" s="72">
        <v>3.2303409024232823</v>
      </c>
      <c r="BM537" s="34">
        <v>0.86383324532065942</v>
      </c>
      <c r="BN537" s="34">
        <v>0.77047573783958212</v>
      </c>
      <c r="BO537" s="51" t="e">
        <v>#DIV/0!</v>
      </c>
      <c r="BP537" s="34">
        <v>0.17643049932523616</v>
      </c>
      <c r="BQ537" s="74">
        <v>1.1797302977025694</v>
      </c>
      <c r="BR537" s="74">
        <v>0.26121467939379667</v>
      </c>
      <c r="BS537" s="52">
        <v>0.72156617630741848</v>
      </c>
      <c r="BT537" s="53">
        <v>0.10622256262368282</v>
      </c>
      <c r="BU537" s="34">
        <v>0.6894830135539517</v>
      </c>
      <c r="BV537" s="37">
        <v>9.8064284456961803E-2</v>
      </c>
      <c r="BW537" s="34">
        <v>0.62953764008683921</v>
      </c>
      <c r="BX537" s="34">
        <v>7.2581353048172259E-2</v>
      </c>
      <c r="BY537" s="34">
        <v>9.2172739541160592E-2</v>
      </c>
      <c r="BZ537" s="72">
        <v>9.6714721586575134</v>
      </c>
      <c r="CA537" s="72">
        <v>5.9398521387079732</v>
      </c>
      <c r="CE537" s="34">
        <v>0.26069160359091703</v>
      </c>
      <c r="CF537" s="34">
        <v>0.19016616792818167</v>
      </c>
      <c r="CG537" s="193"/>
    </row>
    <row r="538" spans="1:91" x14ac:dyDescent="0.2">
      <c r="K538" s="209"/>
      <c r="L538" s="30"/>
      <c r="O538" s="39"/>
      <c r="P538" s="209"/>
      <c r="Q538" s="209"/>
      <c r="T538" s="38" t="e">
        <f t="shared" si="12"/>
        <v>#DIV/0!</v>
      </c>
      <c r="AL538" s="7"/>
      <c r="AM538" s="8"/>
      <c r="AN538" s="8"/>
      <c r="AQ538" s="2"/>
      <c r="AR538" s="2"/>
      <c r="AS538" s="2"/>
      <c r="AW538" s="194"/>
      <c r="AZ538" s="193"/>
      <c r="BD538" s="194"/>
      <c r="BG538" s="194"/>
      <c r="BH538" s="193"/>
      <c r="BJ538" s="193"/>
      <c r="BL538" s="193"/>
      <c r="BM538" s="192"/>
      <c r="BN538" s="192"/>
      <c r="BP538" s="192"/>
      <c r="BU538" s="192"/>
      <c r="BV538" s="209"/>
      <c r="BW538" s="192"/>
      <c r="BX538" s="192"/>
      <c r="BY538" s="193"/>
      <c r="BZ538" s="193"/>
      <c r="CA538" s="193"/>
      <c r="CE538" s="192"/>
      <c r="CF538" s="192"/>
      <c r="CG538" s="193"/>
    </row>
    <row r="539" spans="1:91" x14ac:dyDescent="0.2">
      <c r="K539" s="209"/>
      <c r="L539" s="30"/>
      <c r="O539" s="39"/>
      <c r="P539" s="209"/>
      <c r="Q539" s="209"/>
      <c r="T539" s="38" t="e">
        <f t="shared" si="12"/>
        <v>#DIV/0!</v>
      </c>
      <c r="AL539" s="7"/>
      <c r="AM539" s="8"/>
      <c r="AN539" s="8"/>
      <c r="AQ539" s="2"/>
      <c r="AR539" s="2"/>
      <c r="AS539" s="2"/>
      <c r="AW539" s="194"/>
      <c r="AZ539" s="193"/>
      <c r="BD539" s="194"/>
      <c r="BG539" s="194"/>
      <c r="BH539" s="193"/>
      <c r="BJ539" s="193"/>
      <c r="BL539" s="193"/>
      <c r="BM539" s="192"/>
      <c r="BN539" s="192"/>
      <c r="BP539" s="192"/>
      <c r="BU539" s="192"/>
      <c r="BV539" s="209"/>
      <c r="BW539" s="192"/>
      <c r="BX539" s="192"/>
      <c r="BY539" s="193"/>
      <c r="BZ539" s="193"/>
      <c r="CA539" s="193"/>
      <c r="CE539" s="192"/>
      <c r="CF539" s="192"/>
      <c r="CG539" s="193"/>
    </row>
    <row r="540" spans="1:91" x14ac:dyDescent="0.2">
      <c r="A540" t="s">
        <v>53</v>
      </c>
      <c r="C540" t="s">
        <v>717</v>
      </c>
      <c r="I540"/>
      <c r="J540"/>
      <c r="K540" s="32">
        <v>0.15877567585042221</v>
      </c>
      <c r="L540" s="30">
        <v>5.8335877994140963</v>
      </c>
      <c r="M540"/>
      <c r="N540"/>
      <c r="O540" s="39">
        <v>14.974116836119251</v>
      </c>
      <c r="P540" s="209">
        <v>0.32449276236429431</v>
      </c>
      <c r="Q540" s="209">
        <v>5.0056264001378595E-2</v>
      </c>
      <c r="T540" s="38">
        <f t="shared" si="12"/>
        <v>0</v>
      </c>
      <c r="AI540" s="30">
        <v>12.687417714975014</v>
      </c>
      <c r="AJ540" s="31">
        <v>1086.3141478545581</v>
      </c>
      <c r="AL540" s="7">
        <v>16.234331380320523</v>
      </c>
      <c r="AM540" s="8">
        <v>75.371876615543684</v>
      </c>
      <c r="AN540" s="8">
        <v>12.509339996553507</v>
      </c>
      <c r="AQ540" s="2">
        <v>0.66115371359641562</v>
      </c>
      <c r="AR540" s="2">
        <v>0.35353351714630366</v>
      </c>
      <c r="AS540" s="2">
        <v>0.54535843529209038</v>
      </c>
      <c r="AT540" s="31">
        <v>0.98501637084266758</v>
      </c>
      <c r="AU540" s="31">
        <v>1234.6452696880922</v>
      </c>
      <c r="AV540" s="161"/>
      <c r="AW540" s="194">
        <v>15.678872996725831</v>
      </c>
      <c r="AZ540" s="193">
        <v>0</v>
      </c>
      <c r="BD540" s="194">
        <v>2.7125452352231603E-2</v>
      </c>
      <c r="BG540" s="194">
        <v>2.2260727210063759E-2</v>
      </c>
      <c r="BH540" s="193">
        <v>337.3774771669826</v>
      </c>
      <c r="BI540" s="30">
        <v>1.2074427882129932</v>
      </c>
      <c r="BJ540" s="193">
        <v>3.2434671721523349</v>
      </c>
      <c r="BK540" s="54">
        <v>0.42777946426964442</v>
      </c>
      <c r="BL540" s="193">
        <v>2.0982595209374462</v>
      </c>
      <c r="BM540" s="192">
        <v>0.64644649319317593</v>
      </c>
      <c r="BN540" s="192">
        <v>0.64918275030156825</v>
      </c>
      <c r="BO540" s="51">
        <v>0.83110115183948308</v>
      </c>
      <c r="BP540" s="192">
        <v>0.15409202136825778</v>
      </c>
      <c r="BQ540" s="74">
        <v>1.0321087967663851</v>
      </c>
      <c r="BR540" s="74">
        <v>0.23518000743763609</v>
      </c>
      <c r="BS540" s="52">
        <v>0.66852906988580019</v>
      </c>
      <c r="BT540" s="53">
        <v>0.10127061394285142</v>
      </c>
      <c r="BU540" s="192">
        <v>0.67638505945200755</v>
      </c>
      <c r="BV540" s="209">
        <v>9.8854532138549028E-2</v>
      </c>
      <c r="BW540" s="192">
        <v>0.45882879545062899</v>
      </c>
      <c r="BX540" s="192">
        <v>5.7431500947785624E-2</v>
      </c>
      <c r="BY540" s="193">
        <v>9.96725831466483E-2</v>
      </c>
      <c r="BZ540" s="193">
        <v>2.5526537997587453</v>
      </c>
      <c r="CA540" s="193">
        <v>0.50826296743063937</v>
      </c>
      <c r="CE540" s="192">
        <v>0.16322143718766155</v>
      </c>
      <c r="CF540" s="192">
        <v>0.24529045321385493</v>
      </c>
      <c r="CG540" s="193">
        <v>116.06</v>
      </c>
      <c r="CI540" s="29">
        <v>0.81120384437615634</v>
      </c>
      <c r="CJ540" s="41">
        <v>0.84425473510157034</v>
      </c>
      <c r="CK540" s="29">
        <v>0.83784487604072266</v>
      </c>
    </row>
    <row r="541" spans="1:91" x14ac:dyDescent="0.2">
      <c r="A541" t="s">
        <v>53</v>
      </c>
      <c r="C541" t="s">
        <v>700</v>
      </c>
      <c r="H541" s="30">
        <v>44.243653224649158</v>
      </c>
      <c r="I541" s="6">
        <v>0.21138793441344825</v>
      </c>
      <c r="J541" s="6">
        <v>25.18468626105615</v>
      </c>
      <c r="K541" s="209">
        <v>0.16338112624804407</v>
      </c>
      <c r="L541" s="30">
        <v>5.9412851214368319</v>
      </c>
      <c r="M541" s="3">
        <v>8.5024541440509721E-2</v>
      </c>
      <c r="N541" s="6">
        <v>8.1690143413272729</v>
      </c>
      <c r="O541" s="39">
        <v>14.972265583152128</v>
      </c>
      <c r="P541" s="209">
        <v>0.31919719028505333</v>
      </c>
      <c r="Q541" s="209">
        <v>4.2150625685572624E-2</v>
      </c>
      <c r="R541" s="32">
        <v>2.9648070187264529E-2</v>
      </c>
      <c r="T541" s="38">
        <f t="shared" si="12"/>
        <v>71.022910701858677</v>
      </c>
      <c r="AL541" s="7"/>
      <c r="AM541" s="8"/>
      <c r="AN541" s="8"/>
      <c r="AQ541" s="2"/>
      <c r="AR541" s="2"/>
      <c r="AS541" s="2"/>
      <c r="AW541" s="194"/>
      <c r="AZ541" s="193"/>
      <c r="BD541" s="194"/>
      <c r="BG541" s="194"/>
      <c r="BH541" s="193"/>
      <c r="BJ541" s="193"/>
      <c r="BL541" s="193"/>
      <c r="BM541" s="192"/>
      <c r="BN541" s="192"/>
      <c r="BP541" s="192"/>
      <c r="BU541" s="192"/>
      <c r="BV541" s="209"/>
      <c r="BW541" s="192"/>
      <c r="BX541" s="192"/>
      <c r="BY541" s="193"/>
      <c r="BZ541" s="193"/>
      <c r="CA541" s="193"/>
      <c r="CE541" s="192"/>
      <c r="CF541" s="192"/>
      <c r="CG541" s="193"/>
    </row>
    <row r="542" spans="1:91" x14ac:dyDescent="0.2">
      <c r="A542" t="s">
        <v>53</v>
      </c>
      <c r="K542" s="209"/>
      <c r="L542" s="30"/>
      <c r="O542" s="39"/>
      <c r="P542" s="209"/>
      <c r="Q542" s="209"/>
      <c r="T542" s="38" t="e">
        <f t="shared" si="12"/>
        <v>#DIV/0!</v>
      </c>
      <c r="AL542" s="7"/>
      <c r="AM542" s="8"/>
      <c r="AN542" s="8"/>
      <c r="AQ542" s="2"/>
      <c r="AR542" s="2"/>
      <c r="AS542" s="2"/>
      <c r="AW542" s="194"/>
      <c r="AZ542" s="193"/>
      <c r="BD542" s="194"/>
      <c r="BG542" s="194"/>
      <c r="BH542" s="193"/>
      <c r="BJ542" s="193"/>
      <c r="BL542" s="193"/>
      <c r="BM542" s="192"/>
      <c r="BN542" s="192"/>
      <c r="BP542" s="192"/>
      <c r="BU542" s="192"/>
      <c r="BV542" s="209"/>
      <c r="BW542" s="192"/>
      <c r="BX542" s="192"/>
      <c r="BY542" s="193"/>
      <c r="BZ542" s="193"/>
      <c r="CA542" s="193"/>
      <c r="CE542" s="192"/>
      <c r="CF542" s="192"/>
      <c r="CG542" s="193"/>
    </row>
    <row r="543" spans="1:91" x14ac:dyDescent="0.2">
      <c r="A543" t="s">
        <v>53</v>
      </c>
      <c r="C543" s="36" t="s">
        <v>279</v>
      </c>
      <c r="H543" s="34">
        <v>44.243653224649158</v>
      </c>
      <c r="I543" s="34">
        <v>0.21138793441344825</v>
      </c>
      <c r="J543" s="34">
        <v>25.18468626105615</v>
      </c>
      <c r="K543" s="37">
        <v>0.16107840104923316</v>
      </c>
      <c r="L543" s="34">
        <v>5.8874364604254641</v>
      </c>
      <c r="M543" s="37">
        <v>8.5024541440509721E-2</v>
      </c>
      <c r="N543" s="34">
        <v>8.1690143413272729</v>
      </c>
      <c r="O543" s="72">
        <v>14.97319120963569</v>
      </c>
      <c r="P543" s="37">
        <v>0.32184497632467379</v>
      </c>
      <c r="Q543" s="37">
        <v>4.6103444843475609E-2</v>
      </c>
      <c r="R543" s="37">
        <v>2.9648070187264529E-2</v>
      </c>
      <c r="T543" s="38">
        <f t="shared" si="12"/>
        <v>71.209931472002168</v>
      </c>
      <c r="W543" s="36"/>
      <c r="X543" s="36"/>
      <c r="Y543" s="36"/>
      <c r="Z543" s="36"/>
      <c r="AA543" s="36"/>
      <c r="AB543"/>
      <c r="AI543" s="34">
        <v>12.687417714975014</v>
      </c>
      <c r="AJ543" s="35">
        <v>1086.3141478545581</v>
      </c>
      <c r="AL543" s="72">
        <v>16.234331380320523</v>
      </c>
      <c r="AM543" s="35">
        <v>75.371876615543684</v>
      </c>
      <c r="AO543"/>
      <c r="AQ543" s="34">
        <v>0.66115371359641562</v>
      </c>
      <c r="AR543" s="34">
        <v>0.35353351714630366</v>
      </c>
      <c r="AS543" s="34">
        <v>0.54535843529209038</v>
      </c>
      <c r="AU543" s="35">
        <v>1234.6452696880922</v>
      </c>
      <c r="AV543" s="161">
        <v>6.5809047066158159</v>
      </c>
      <c r="AW543" s="35">
        <v>15.678872996725831</v>
      </c>
      <c r="AX543"/>
      <c r="AY543"/>
      <c r="AZ543"/>
      <c r="BA543"/>
      <c r="BB543"/>
      <c r="BC543"/>
      <c r="BD543" s="34">
        <v>2.7125452352231603E-2</v>
      </c>
      <c r="BE543"/>
      <c r="BF543"/>
      <c r="BG543" s="34">
        <v>2.2260727210063759E-2</v>
      </c>
      <c r="BH543" s="35">
        <v>337.3774771669826</v>
      </c>
      <c r="BI543" s="34">
        <v>1.2074427882129932</v>
      </c>
      <c r="BJ543" s="72">
        <v>3.2434671721523349</v>
      </c>
      <c r="BK543" s="54">
        <v>0.42777946426964442</v>
      </c>
      <c r="BL543" s="72">
        <v>2.0982595209374462</v>
      </c>
      <c r="BM543" s="34">
        <v>0.64644649319317593</v>
      </c>
      <c r="BN543" s="34">
        <v>0.64918275030156825</v>
      </c>
      <c r="BO543" s="51" t="e">
        <v>#DIV/0!</v>
      </c>
      <c r="BP543" s="34">
        <v>0.15409202136825778</v>
      </c>
      <c r="BQ543" s="74">
        <v>1.0321087967663851</v>
      </c>
      <c r="BR543" s="74">
        <v>0.23518000743763609</v>
      </c>
      <c r="BS543" s="52">
        <v>0.66852906988580019</v>
      </c>
      <c r="BT543" s="53">
        <v>0.10127061394285142</v>
      </c>
      <c r="BU543" s="34">
        <v>0.67638505945200755</v>
      </c>
      <c r="BV543" s="37">
        <v>9.8854532138549028E-2</v>
      </c>
      <c r="BW543" s="34">
        <v>0.45882879545062899</v>
      </c>
      <c r="BX543" s="34">
        <v>5.7431500947785624E-2</v>
      </c>
      <c r="BY543" s="34">
        <v>9.96725831466483E-2</v>
      </c>
      <c r="BZ543" s="72">
        <v>2.5526537997587453</v>
      </c>
      <c r="CA543" s="72">
        <v>0.50826296743063937</v>
      </c>
      <c r="CE543" s="34">
        <v>0.16322143718766155</v>
      </c>
      <c r="CF543" s="34">
        <v>0.24529045321385493</v>
      </c>
      <c r="CG543" s="193"/>
    </row>
    <row r="544" spans="1:91" x14ac:dyDescent="0.2">
      <c r="K544" s="209"/>
      <c r="L544" s="30"/>
      <c r="O544" s="39"/>
      <c r="P544" s="209"/>
      <c r="Q544" s="209"/>
      <c r="T544" s="38" t="e">
        <f t="shared" si="12"/>
        <v>#DIV/0!</v>
      </c>
      <c r="AL544" s="7"/>
      <c r="AM544" s="8"/>
      <c r="AN544" s="8"/>
      <c r="AQ544" s="2"/>
      <c r="AR544" s="2"/>
      <c r="AS544" s="2"/>
      <c r="AW544" s="194"/>
      <c r="AZ544" s="193"/>
      <c r="BD544" s="194"/>
      <c r="BG544" s="194"/>
      <c r="BH544" s="193"/>
      <c r="BJ544" s="193"/>
      <c r="BL544" s="193"/>
      <c r="BM544" s="192"/>
      <c r="BN544" s="192"/>
      <c r="BP544" s="192"/>
      <c r="BU544" s="192"/>
      <c r="BV544" s="209"/>
      <c r="BW544" s="192"/>
      <c r="BX544" s="192"/>
      <c r="BY544" s="193"/>
      <c r="BZ544" s="193"/>
      <c r="CA544" s="193"/>
      <c r="CE544" s="192"/>
      <c r="CF544" s="192"/>
      <c r="CG544" s="193"/>
    </row>
    <row r="545" spans="1:89" x14ac:dyDescent="0.2">
      <c r="K545" s="209"/>
      <c r="L545" s="30"/>
      <c r="O545" s="39"/>
      <c r="P545" s="209"/>
      <c r="Q545" s="209"/>
      <c r="T545" s="38" t="e">
        <f t="shared" si="12"/>
        <v>#DIV/0!</v>
      </c>
      <c r="AL545" s="7"/>
      <c r="AM545" s="8"/>
      <c r="AN545" s="8"/>
      <c r="AQ545" s="2"/>
      <c r="AR545" s="2"/>
      <c r="AS545" s="2"/>
      <c r="AW545" s="194"/>
      <c r="AZ545" s="193"/>
      <c r="BD545" s="194"/>
      <c r="BG545" s="194"/>
      <c r="BH545" s="193"/>
      <c r="BJ545" s="193"/>
      <c r="BL545" s="193"/>
      <c r="BM545" s="192"/>
      <c r="BN545" s="192"/>
      <c r="BP545" s="192"/>
      <c r="BU545" s="192"/>
      <c r="BV545" s="209"/>
      <c r="BW545" s="192"/>
      <c r="BX545" s="192"/>
      <c r="BY545" s="193"/>
      <c r="BZ545" s="193"/>
      <c r="CA545" s="193"/>
      <c r="CE545" s="192"/>
      <c r="CF545" s="192"/>
      <c r="CG545" s="193"/>
    </row>
    <row r="546" spans="1:89" x14ac:dyDescent="0.2">
      <c r="A546" t="s">
        <v>122</v>
      </c>
      <c r="C546" t="s">
        <v>717</v>
      </c>
      <c r="I546"/>
      <c r="J546"/>
      <c r="K546" s="209">
        <v>8.8456175383464286E-2</v>
      </c>
      <c r="L546" s="30">
        <v>4.1311564201687663</v>
      </c>
      <c r="M546"/>
      <c r="N546"/>
      <c r="O546" s="39">
        <v>16.54283576505799</v>
      </c>
      <c r="P546" s="209">
        <v>0.32320010807665134</v>
      </c>
      <c r="Q546" s="209" t="s">
        <v>110</v>
      </c>
      <c r="T546" s="38">
        <f t="shared" si="12"/>
        <v>0</v>
      </c>
      <c r="AI546" s="30">
        <v>7.8816186556927308</v>
      </c>
      <c r="AJ546" s="31">
        <v>605.20098100345024</v>
      </c>
      <c r="AL546" s="7">
        <v>14.277224508459078</v>
      </c>
      <c r="AM546" s="8">
        <v>140.55738454503887</v>
      </c>
      <c r="AN546" s="8">
        <v>3.9342187305150271</v>
      </c>
      <c r="AQ546" s="2">
        <v>0.14647296005320698</v>
      </c>
      <c r="AR546" s="2">
        <v>0.18498233362430896</v>
      </c>
      <c r="AS546" s="2">
        <v>0.28443696221474002</v>
      </c>
      <c r="AT546" s="31">
        <v>0.27406991727979385</v>
      </c>
      <c r="AU546" s="31">
        <v>209.96100926965127</v>
      </c>
      <c r="AW546" s="194">
        <v>38.237685496944756</v>
      </c>
      <c r="AZ546" s="193">
        <v>0</v>
      </c>
      <c r="BD546" s="192">
        <v>1.3532568483185766E-2</v>
      </c>
      <c r="BG546" s="194">
        <v>2.2483518310678803E-2</v>
      </c>
      <c r="BH546" s="193">
        <v>83.042898116972196</v>
      </c>
      <c r="BI546" s="30">
        <v>2.5713688323564865</v>
      </c>
      <c r="BJ546" s="193">
        <v>6.7384848484848492</v>
      </c>
      <c r="BK546" s="54">
        <v>0.87873822187087658</v>
      </c>
      <c r="BL546" s="193">
        <v>4.2332086295049258</v>
      </c>
      <c r="BM546" s="192">
        <v>1.2217107286860374</v>
      </c>
      <c r="BN546" s="192">
        <v>0.74411156835848191</v>
      </c>
      <c r="BO546" s="51"/>
      <c r="BP546" s="192">
        <v>0.25427675936317912</v>
      </c>
      <c r="BU546" s="192">
        <v>0.96418934197946549</v>
      </c>
      <c r="BV546" s="209">
        <v>0.13569609677017086</v>
      </c>
      <c r="BW546" s="192">
        <v>0.92995577170885824</v>
      </c>
      <c r="BX546" s="192">
        <v>0.11488614540466391</v>
      </c>
      <c r="BY546" s="193">
        <v>7.118801180529577E-2</v>
      </c>
      <c r="BZ546" s="193">
        <v>5.2022114145570937</v>
      </c>
      <c r="CA546" s="193">
        <v>6.6913164567485559</v>
      </c>
      <c r="CE546" s="192">
        <v>0.41692052209336167</v>
      </c>
      <c r="CF546" s="192">
        <v>0.14409277964833517</v>
      </c>
      <c r="CG546" s="193">
        <v>93.23</v>
      </c>
      <c r="CI546" s="29"/>
      <c r="CJ546" s="41"/>
      <c r="CK546" s="29"/>
    </row>
    <row r="547" spans="1:89" x14ac:dyDescent="0.2">
      <c r="A547" t="s">
        <v>122</v>
      </c>
      <c r="C547" t="s">
        <v>700</v>
      </c>
      <c r="H547" s="30">
        <v>44.623820922338339</v>
      </c>
      <c r="I547" s="6">
        <v>0.19216145299106868</v>
      </c>
      <c r="J547" s="6">
        <v>29.316807792325708</v>
      </c>
      <c r="K547" s="209">
        <v>8.8456175383464286E-2</v>
      </c>
      <c r="L547" s="30">
        <v>4.1311564201687663</v>
      </c>
      <c r="M547" s="3">
        <v>5.031510339965764E-2</v>
      </c>
      <c r="N547" s="6">
        <v>3.9731844053456751</v>
      </c>
      <c r="O547" s="39">
        <v>17.113966716576854</v>
      </c>
      <c r="P547" s="209">
        <v>0.32320010807665134</v>
      </c>
      <c r="Q547" s="209">
        <v>3.8918199059523213E-2</v>
      </c>
      <c r="R547" s="32">
        <v>4.4042303298789436E-2</v>
      </c>
      <c r="T547" s="38">
        <f t="shared" si="12"/>
        <v>63.159947868987139</v>
      </c>
      <c r="AL547" s="7"/>
      <c r="AM547" s="8"/>
      <c r="AN547" s="8"/>
      <c r="AQ547" s="2"/>
      <c r="AR547" s="2"/>
      <c r="AS547" s="2"/>
      <c r="AW547" s="194"/>
      <c r="AZ547" s="193"/>
      <c r="BD547" s="192"/>
      <c r="BG547" s="194"/>
      <c r="BH547" s="193"/>
      <c r="BJ547" s="193"/>
      <c r="BL547" s="193"/>
      <c r="BM547" s="192"/>
      <c r="BN547" s="192"/>
      <c r="BO547"/>
      <c r="BP547" s="192"/>
      <c r="BU547" s="192"/>
      <c r="BV547" s="209"/>
      <c r="BW547" s="192"/>
      <c r="BX547" s="192"/>
      <c r="BY547" s="193"/>
      <c r="BZ547" s="193"/>
      <c r="CA547" s="193"/>
      <c r="CE547" s="192"/>
      <c r="CF547" s="192"/>
      <c r="CG547" s="193"/>
    </row>
    <row r="548" spans="1:89" x14ac:dyDescent="0.2">
      <c r="A548" t="s">
        <v>122</v>
      </c>
      <c r="K548" s="209"/>
      <c r="L548" s="30"/>
      <c r="O548" s="39"/>
      <c r="P548" s="209"/>
      <c r="Q548" s="209"/>
      <c r="T548" s="38" t="e">
        <f t="shared" si="12"/>
        <v>#DIV/0!</v>
      </c>
      <c r="AL548" s="7"/>
      <c r="AM548" s="8"/>
      <c r="AN548" s="8"/>
      <c r="AQ548" s="2"/>
      <c r="AR548" s="2"/>
      <c r="AS548" s="2"/>
      <c r="AW548" s="194"/>
      <c r="AZ548" s="193"/>
      <c r="BD548" s="192"/>
      <c r="BG548" s="194"/>
      <c r="BH548" s="193"/>
      <c r="BJ548" s="193"/>
      <c r="BL548" s="193"/>
      <c r="BM548" s="192"/>
      <c r="BN548" s="192"/>
      <c r="BP548" s="192"/>
      <c r="BU548" s="192"/>
      <c r="BV548" s="209"/>
      <c r="BW548" s="192"/>
      <c r="BX548" s="192"/>
      <c r="BY548" s="193"/>
      <c r="BZ548" s="193"/>
      <c r="CA548" s="193"/>
      <c r="CE548" s="192"/>
      <c r="CF548" s="192"/>
      <c r="CG548" s="193"/>
    </row>
    <row r="549" spans="1:89" x14ac:dyDescent="0.2">
      <c r="A549" t="s">
        <v>122</v>
      </c>
      <c r="C549" s="36" t="s">
        <v>279</v>
      </c>
      <c r="H549" s="34">
        <v>44.623820922338339</v>
      </c>
      <c r="I549" s="34">
        <v>0.19216145299106868</v>
      </c>
      <c r="J549" s="34">
        <v>29.316807792325708</v>
      </c>
      <c r="K549" s="37">
        <v>8.8456175383464286E-2</v>
      </c>
      <c r="L549" s="34">
        <v>4.1311564201687663</v>
      </c>
      <c r="M549" s="37">
        <v>5.031510339965764E-2</v>
      </c>
      <c r="N549" s="34">
        <v>3.9731844053456751</v>
      </c>
      <c r="O549" s="72">
        <v>16.828401240817421</v>
      </c>
      <c r="P549" s="37">
        <v>0.32320010807665134</v>
      </c>
      <c r="Q549" s="37">
        <v>3.8918199059523213E-2</v>
      </c>
      <c r="R549" s="37">
        <v>4.4042303298789436E-2</v>
      </c>
      <c r="T549" s="38">
        <f t="shared" si="12"/>
        <v>63.159947868987139</v>
      </c>
      <c r="W549" s="36"/>
      <c r="X549" s="36"/>
      <c r="Y549" s="36"/>
      <c r="Z549" s="36"/>
      <c r="AA549" s="36"/>
      <c r="AB549"/>
      <c r="AI549" s="34">
        <v>7.8816186556927308</v>
      </c>
      <c r="AJ549" s="35">
        <v>605.20098100345024</v>
      </c>
      <c r="AL549" s="72">
        <v>14.277224508459078</v>
      </c>
      <c r="AM549" s="35">
        <v>140.55738454503887</v>
      </c>
      <c r="AO549"/>
      <c r="AQ549" s="34">
        <v>0.14647296005320698</v>
      </c>
      <c r="AR549" s="34">
        <v>0.18498233362430896</v>
      </c>
      <c r="AS549" s="34">
        <v>0.28443696221474002</v>
      </c>
      <c r="AU549" s="35">
        <v>209.96100926965127</v>
      </c>
      <c r="AV549" s="161">
        <v>10.169595694921869</v>
      </c>
      <c r="AW549" s="35">
        <v>38.237685496944756</v>
      </c>
      <c r="AX549"/>
      <c r="AY549"/>
      <c r="AZ549"/>
      <c r="BA549"/>
      <c r="BB549"/>
      <c r="BC549"/>
      <c r="BD549" s="34">
        <v>1.3532568483185766E-2</v>
      </c>
      <c r="BE549"/>
      <c r="BF549"/>
      <c r="BG549" s="34">
        <v>2.2483518310678803E-2</v>
      </c>
      <c r="BH549" s="35">
        <v>83.042898116972196</v>
      </c>
      <c r="BI549" s="34">
        <v>2.5713688323564865</v>
      </c>
      <c r="BJ549" s="72">
        <v>6.7384848484848492</v>
      </c>
      <c r="BK549" s="54">
        <v>0.87873822187087658</v>
      </c>
      <c r="BL549" s="72">
        <v>4.2332086295049258</v>
      </c>
      <c r="BM549" s="34">
        <v>1.2217107286860374</v>
      </c>
      <c r="BN549" s="34">
        <v>0.74411156835848191</v>
      </c>
      <c r="BO549" s="51">
        <v>1.4476088771332243</v>
      </c>
      <c r="BP549" s="34">
        <v>0.25427675936317912</v>
      </c>
      <c r="BQ549" s="74">
        <v>1.6741511952869095</v>
      </c>
      <c r="BR549" s="74">
        <v>0.36934565341936176</v>
      </c>
      <c r="BS549" s="52">
        <v>1.0165385999574055</v>
      </c>
      <c r="BT549" s="53">
        <v>0.14909586410150702</v>
      </c>
      <c r="BU549" s="34">
        <v>0.96418934197946549</v>
      </c>
      <c r="BV549" s="37">
        <v>0.13569609677017086</v>
      </c>
      <c r="BW549" s="34">
        <v>0.92995577170885824</v>
      </c>
      <c r="BX549" s="34">
        <v>0.11488614540466391</v>
      </c>
      <c r="BY549" s="34">
        <v>7.118801180529577E-2</v>
      </c>
      <c r="BZ549" s="72">
        <v>5.2022114145570937</v>
      </c>
      <c r="CA549" s="72">
        <v>6.6913164567485559</v>
      </c>
      <c r="CE549" s="34">
        <v>0.41692052209336167</v>
      </c>
      <c r="CF549" s="34">
        <v>0.14409277964833517</v>
      </c>
      <c r="CG549" s="193"/>
      <c r="CI549" s="29">
        <v>1.4615746441789912</v>
      </c>
      <c r="CJ549" s="41">
        <v>1.4576067723677275</v>
      </c>
      <c r="CK549" s="29">
        <v>1.4236452148529539</v>
      </c>
    </row>
    <row r="550" spans="1:89" x14ac:dyDescent="0.2">
      <c r="K550" s="209"/>
      <c r="L550" s="30"/>
      <c r="O550" s="39"/>
      <c r="P550" s="209"/>
      <c r="Q550" s="209"/>
      <c r="T550" s="38" t="e">
        <f t="shared" si="12"/>
        <v>#DIV/0!</v>
      </c>
      <c r="AL550" s="7"/>
      <c r="AM550" s="8"/>
      <c r="AN550" s="8"/>
      <c r="AQ550" s="2"/>
      <c r="AR550" s="2"/>
      <c r="AS550" s="2"/>
      <c r="AW550" s="194"/>
      <c r="AZ550" s="193"/>
      <c r="BD550" s="194"/>
      <c r="BG550" s="194"/>
      <c r="BH550" s="193"/>
      <c r="BJ550" s="193"/>
      <c r="BL550" s="193"/>
      <c r="BM550" s="192"/>
      <c r="BN550" s="192"/>
      <c r="BP550" s="192"/>
      <c r="BU550" s="192"/>
      <c r="BV550" s="209"/>
      <c r="BW550" s="192"/>
      <c r="BX550" s="192"/>
      <c r="BY550" s="193"/>
      <c r="BZ550" s="193"/>
      <c r="CA550" s="193"/>
      <c r="CE550" s="192"/>
      <c r="CF550" s="192"/>
      <c r="CG550" s="193"/>
    </row>
    <row r="551" spans="1:89" x14ac:dyDescent="0.2">
      <c r="K551" s="209"/>
      <c r="L551" s="30"/>
      <c r="O551" s="39"/>
      <c r="P551" s="209"/>
      <c r="Q551" s="209"/>
      <c r="T551" s="38" t="e">
        <f t="shared" si="12"/>
        <v>#DIV/0!</v>
      </c>
      <c r="AL551" s="7"/>
      <c r="AM551" s="8"/>
      <c r="AN551" s="8"/>
      <c r="AQ551" s="2"/>
      <c r="AR551" s="2"/>
      <c r="AS551" s="2"/>
      <c r="AW551" s="194"/>
      <c r="AZ551" s="193"/>
      <c r="BD551" s="194"/>
      <c r="BG551" s="194"/>
      <c r="BH551" s="193"/>
      <c r="BJ551" s="193"/>
      <c r="BL551" s="193"/>
      <c r="BM551" s="192"/>
      <c r="BN551" s="192"/>
      <c r="BP551" s="192"/>
      <c r="BU551" s="192"/>
      <c r="BV551" s="209"/>
      <c r="BW551" s="192"/>
      <c r="BX551" s="192"/>
      <c r="BY551" s="193"/>
      <c r="BZ551" s="193"/>
      <c r="CA551" s="193"/>
      <c r="CE551" s="192"/>
      <c r="CF551" s="192"/>
      <c r="CG551" s="193"/>
    </row>
    <row r="552" spans="1:89" x14ac:dyDescent="0.2">
      <c r="A552" t="s">
        <v>89</v>
      </c>
      <c r="C552" t="s">
        <v>717</v>
      </c>
      <c r="I552"/>
      <c r="J552"/>
      <c r="K552" s="209">
        <v>6.2573578502202659E-2</v>
      </c>
      <c r="L552" s="30">
        <v>3.146349866753686</v>
      </c>
      <c r="M552"/>
      <c r="N552"/>
      <c r="O552" s="39">
        <v>15.342389731875784</v>
      </c>
      <c r="P552" s="209">
        <v>0.40791991624517326</v>
      </c>
      <c r="Q552" s="438" t="s">
        <v>1306</v>
      </c>
      <c r="T552" s="38">
        <f t="shared" si="12"/>
        <v>0</v>
      </c>
      <c r="AI552" s="30">
        <v>5.3206855386958178</v>
      </c>
      <c r="AJ552" s="31">
        <v>428.11698482623598</v>
      </c>
      <c r="AL552" s="7">
        <v>14.741892913471474</v>
      </c>
      <c r="AM552" s="8">
        <v>150.64289987491162</v>
      </c>
      <c r="AN552" s="8">
        <v>1.8496573666177192</v>
      </c>
      <c r="AQ552" s="2">
        <v>0.205170772828629</v>
      </c>
      <c r="AR552" s="2">
        <v>4.5684994833306146E-2</v>
      </c>
      <c r="AS552" s="2">
        <v>0.11873905476695491</v>
      </c>
      <c r="AT552" s="31">
        <v>0</v>
      </c>
      <c r="AU552" s="31">
        <v>960.77818567466159</v>
      </c>
      <c r="AW552" s="194">
        <v>15.067629303312122</v>
      </c>
      <c r="AZ552" s="193">
        <v>8.2164300864741399E-2</v>
      </c>
      <c r="BD552" s="192">
        <v>5.3182683417632029E-3</v>
      </c>
      <c r="BG552" s="194">
        <v>3.2798227008212333E-2</v>
      </c>
      <c r="BH552" s="193">
        <v>47.19065916136401</v>
      </c>
      <c r="BI552" s="30">
        <v>1.2223153586773268</v>
      </c>
      <c r="BJ552" s="193">
        <v>3.3259063468755103</v>
      </c>
      <c r="BK552" s="54"/>
      <c r="BL552" s="193">
        <v>1.9497498232446839</v>
      </c>
      <c r="BM552" s="192">
        <v>0.55036960896285425</v>
      </c>
      <c r="BN552" s="192">
        <v>0.88838562571381963</v>
      </c>
      <c r="BO552" s="51"/>
      <c r="BP552" s="192">
        <v>0.1190637406863545</v>
      </c>
      <c r="BU552" s="192">
        <v>0.4757609180399196</v>
      </c>
      <c r="BV552" s="209">
        <v>6.7413493228911728E-2</v>
      </c>
      <c r="BW552" s="192">
        <v>0.37151354217653787</v>
      </c>
      <c r="BX552" s="192">
        <v>5.4388263447000595E-2</v>
      </c>
      <c r="BY552" s="193">
        <v>5.6361559797683147E-2</v>
      </c>
      <c r="BZ552" s="193">
        <v>6.7701065970522665</v>
      </c>
      <c r="CA552" s="193">
        <v>4.0961141023549255</v>
      </c>
      <c r="CE552" s="192">
        <v>0.16490708108990051</v>
      </c>
      <c r="CF552" s="192">
        <v>5.3943139174416718E-2</v>
      </c>
      <c r="CG552" s="193">
        <v>214.64</v>
      </c>
      <c r="CI552" s="29"/>
      <c r="CJ552" s="41"/>
      <c r="CK552" s="29"/>
    </row>
    <row r="553" spans="1:89" x14ac:dyDescent="0.2">
      <c r="A553" t="s">
        <v>89</v>
      </c>
      <c r="C553" t="s">
        <v>700</v>
      </c>
      <c r="H553" s="30">
        <v>44.510716207475362</v>
      </c>
      <c r="I553" s="6">
        <v>0.16066220422976921</v>
      </c>
      <c r="J553" s="6">
        <v>30.757518638266728</v>
      </c>
      <c r="K553" s="209">
        <v>6.3849434893775633E-2</v>
      </c>
      <c r="L553" s="30">
        <v>3.146349866753686</v>
      </c>
      <c r="M553" s="3">
        <v>3.9791001093040561E-2</v>
      </c>
      <c r="N553" s="6">
        <v>3.8974503641180149</v>
      </c>
      <c r="O553" s="39">
        <v>16.815574654905973</v>
      </c>
      <c r="P553" s="209">
        <v>0.39368547335072679</v>
      </c>
      <c r="Q553" s="209">
        <v>0.18332295860274589</v>
      </c>
      <c r="R553" s="32">
        <v>2.0994386957938253E-2</v>
      </c>
      <c r="T553" s="38">
        <f t="shared" si="12"/>
        <v>68.829360556452443</v>
      </c>
      <c r="AL553" s="7"/>
      <c r="AM553" s="8"/>
      <c r="AN553" s="8"/>
      <c r="AQ553" s="2"/>
      <c r="AR553" s="2"/>
      <c r="AS553" s="2"/>
      <c r="AW553" s="194"/>
      <c r="AZ553" s="193"/>
      <c r="BD553" s="192"/>
      <c r="BG553" s="194"/>
      <c r="BH553" s="193"/>
      <c r="BJ553" s="193"/>
      <c r="BL553" s="193"/>
      <c r="BM553" s="192"/>
      <c r="BN553" s="192"/>
      <c r="BO553"/>
      <c r="BP553" s="192"/>
      <c r="BU553" s="192"/>
      <c r="BV553" s="209"/>
      <c r="BW553" s="192"/>
      <c r="BX553" s="192"/>
      <c r="BY553" s="193"/>
      <c r="BZ553" s="193"/>
      <c r="CA553" s="193"/>
      <c r="CE553" s="192"/>
      <c r="CF553" s="192"/>
      <c r="CG553" s="193"/>
    </row>
    <row r="554" spans="1:89" x14ac:dyDescent="0.2">
      <c r="A554" t="s">
        <v>89</v>
      </c>
      <c r="K554" s="209"/>
      <c r="L554" s="30"/>
      <c r="O554" s="39"/>
      <c r="P554" s="209"/>
      <c r="Q554" s="209"/>
      <c r="T554" s="38" t="e">
        <f t="shared" si="12"/>
        <v>#DIV/0!</v>
      </c>
      <c r="AL554" s="7"/>
      <c r="AM554" s="8"/>
      <c r="AN554" s="8"/>
      <c r="AQ554" s="2"/>
      <c r="AR554" s="2"/>
      <c r="AS554" s="2"/>
      <c r="AW554" s="194"/>
      <c r="AZ554" s="193"/>
      <c r="BD554" s="192"/>
      <c r="BG554" s="194"/>
      <c r="BH554" s="193"/>
      <c r="BJ554" s="193"/>
      <c r="BL554" s="193"/>
      <c r="BM554" s="192"/>
      <c r="BN554" s="192"/>
      <c r="BP554" s="192"/>
      <c r="BU554" s="192"/>
      <c r="BV554" s="209"/>
      <c r="BW554" s="192"/>
      <c r="BX554" s="192"/>
      <c r="BY554" s="193"/>
      <c r="BZ554" s="193"/>
      <c r="CA554" s="193"/>
      <c r="CE554" s="192"/>
      <c r="CF554" s="192"/>
      <c r="CG554" s="193"/>
    </row>
    <row r="555" spans="1:89" x14ac:dyDescent="0.2">
      <c r="A555" t="s">
        <v>89</v>
      </c>
      <c r="C555" s="36" t="s">
        <v>279</v>
      </c>
      <c r="H555" s="34">
        <v>44.510716207475362</v>
      </c>
      <c r="I555" s="34">
        <v>0.16066220422976921</v>
      </c>
      <c r="J555" s="34">
        <v>30.757518638266728</v>
      </c>
      <c r="K555" s="37">
        <v>6.3211506697989139E-2</v>
      </c>
      <c r="L555" s="34">
        <v>3.146349866753686</v>
      </c>
      <c r="M555" s="37">
        <v>3.9791001093040561E-2</v>
      </c>
      <c r="N555" s="34">
        <v>3.8974503641180149</v>
      </c>
      <c r="O555" s="72">
        <v>16.078982193390878</v>
      </c>
      <c r="P555" s="37">
        <v>0.40080269479795005</v>
      </c>
      <c r="Q555" s="37">
        <v>0.18332295860274589</v>
      </c>
      <c r="R555" s="37">
        <v>2.0994386957938253E-2</v>
      </c>
      <c r="T555" s="38">
        <f t="shared" si="12"/>
        <v>68.829360556452443</v>
      </c>
      <c r="W555" s="36"/>
      <c r="X555" s="36"/>
      <c r="Y555" s="36"/>
      <c r="Z555" s="36"/>
      <c r="AA555" s="36"/>
      <c r="AB555"/>
      <c r="AI555" s="34">
        <v>5.3206855386958178</v>
      </c>
      <c r="AJ555" s="35">
        <v>428.11698482623598</v>
      </c>
      <c r="AL555" s="72">
        <v>14.741892913471474</v>
      </c>
      <c r="AM555" s="35">
        <v>150.64289987491162</v>
      </c>
      <c r="AO555"/>
      <c r="AQ555" s="34">
        <v>0.205170772828629</v>
      </c>
      <c r="AR555" s="34">
        <v>4.5684994833306146E-2</v>
      </c>
      <c r="AS555" s="34">
        <v>0.11873905476695491</v>
      </c>
      <c r="AU555" s="35">
        <v>960.77818567466159</v>
      </c>
      <c r="AV555" s="161">
        <v>4.8826793585283106</v>
      </c>
      <c r="AW555" s="35">
        <v>15.067629303312122</v>
      </c>
      <c r="AX555"/>
      <c r="AY555"/>
      <c r="AZ555"/>
      <c r="BA555"/>
      <c r="BB555"/>
      <c r="BC555"/>
      <c r="BD555" s="34">
        <v>5.3182683417632029E-3</v>
      </c>
      <c r="BE555"/>
      <c r="BF555"/>
      <c r="BG555" s="34">
        <v>3.2798227008212333E-2</v>
      </c>
      <c r="BH555" s="35">
        <v>47.19065916136401</v>
      </c>
      <c r="BI555" s="34">
        <v>1.2223153586773268</v>
      </c>
      <c r="BJ555" s="72">
        <v>3.3259063468755103</v>
      </c>
      <c r="BK555" s="54">
        <v>0.4090144261161282</v>
      </c>
      <c r="BL555" s="72">
        <v>1.9497498232446839</v>
      </c>
      <c r="BM555" s="34">
        <v>0.55036960896285425</v>
      </c>
      <c r="BN555" s="34">
        <v>0.88838562571381963</v>
      </c>
      <c r="BO555" s="51">
        <v>0.65929017188822148</v>
      </c>
      <c r="BP555" s="34">
        <v>0.1190637406863545</v>
      </c>
      <c r="BQ555" s="74">
        <v>0.79071767189568187</v>
      </c>
      <c r="BR555" s="74">
        <v>0.17636489381852644</v>
      </c>
      <c r="BS555" s="52">
        <v>0.49074260255431701</v>
      </c>
      <c r="BT555" s="53">
        <v>7.2768693894045583E-2</v>
      </c>
      <c r="BU555" s="34">
        <v>0.4757609180399196</v>
      </c>
      <c r="BV555" s="37">
        <v>6.7413493228911728E-2</v>
      </c>
      <c r="BW555" s="34">
        <v>0.37151354217653787</v>
      </c>
      <c r="BX555" s="34">
        <v>5.4388263447000595E-2</v>
      </c>
      <c r="BY555" s="34">
        <v>5.6361559797683147E-2</v>
      </c>
      <c r="BZ555" s="72">
        <v>6.7701065970522665</v>
      </c>
      <c r="CA555" s="72">
        <v>4.0961141023549255</v>
      </c>
      <c r="CE555" s="34">
        <v>0.16490708108990051</v>
      </c>
      <c r="CF555" s="34">
        <v>5.3943139174416718E-2</v>
      </c>
      <c r="CG555" s="193"/>
      <c r="CI555" s="29">
        <v>0.64442728809122629</v>
      </c>
      <c r="CJ555" s="41">
        <v>0.6737775151283476</v>
      </c>
      <c r="CK555" s="29">
        <v>0.65966571244509042</v>
      </c>
    </row>
    <row r="556" spans="1:89" x14ac:dyDescent="0.2">
      <c r="T556" s="38" t="e">
        <f t="shared" si="12"/>
        <v>#DIV/0!</v>
      </c>
    </row>
    <row r="557" spans="1:89" x14ac:dyDescent="0.2">
      <c r="T557" s="38" t="e">
        <f t="shared" si="12"/>
        <v>#DIV/0!</v>
      </c>
    </row>
    <row r="558" spans="1:89" x14ac:dyDescent="0.2">
      <c r="A558" t="s">
        <v>10</v>
      </c>
      <c r="C558" t="s">
        <v>717</v>
      </c>
      <c r="I558"/>
      <c r="J558"/>
      <c r="K558" s="209">
        <v>0.20057178026824124</v>
      </c>
      <c r="L558" s="192">
        <v>7.8610143399409518</v>
      </c>
      <c r="M558"/>
      <c r="N558"/>
      <c r="O558" s="193">
        <v>13.96256010122311</v>
      </c>
      <c r="P558" s="209">
        <v>0.31767313369886119</v>
      </c>
      <c r="Q558" s="209">
        <v>6.7762547448334029E-2</v>
      </c>
      <c r="T558" s="38">
        <f t="shared" si="12"/>
        <v>0</v>
      </c>
      <c r="AE558" s="194"/>
      <c r="AF558" s="193"/>
      <c r="AG558" s="194"/>
      <c r="AH558" s="194"/>
      <c r="AI558" s="192">
        <v>16.466031210459718</v>
      </c>
      <c r="AJ558" s="31">
        <v>1372.2754533951918</v>
      </c>
      <c r="AK558" s="193"/>
      <c r="AL558" s="193">
        <v>48.413935048502729</v>
      </c>
      <c r="AM558" s="194">
        <v>560.03049346267392</v>
      </c>
      <c r="AN558" s="194">
        <v>0</v>
      </c>
      <c r="AO558" s="193"/>
      <c r="AP558" s="192"/>
      <c r="AQ558" s="192">
        <v>0.64843357233234922</v>
      </c>
      <c r="AR558" s="194">
        <v>0.32474483340362714</v>
      </c>
      <c r="AS558" s="192">
        <v>0.37836735554618306</v>
      </c>
      <c r="AT558" s="194">
        <v>0</v>
      </c>
      <c r="AU558" s="194">
        <v>581.57507380851962</v>
      </c>
      <c r="AV558" s="192"/>
      <c r="AW558" s="194">
        <v>52.200337410375369</v>
      </c>
      <c r="AX558" s="209"/>
      <c r="AY558" s="192"/>
      <c r="AZ558" s="209">
        <v>1.7739350485027412E-2</v>
      </c>
      <c r="BA558" s="192"/>
      <c r="BB558" s="38"/>
      <c r="BC558" s="39"/>
      <c r="BD558" s="39">
        <v>3.4872669759595104E-2</v>
      </c>
      <c r="BE558" s="39"/>
      <c r="BF558" s="38"/>
      <c r="BG558" s="38">
        <v>8.8490004217629689E-2</v>
      </c>
      <c r="BH558" s="31">
        <v>344.00295234078447</v>
      </c>
      <c r="BI558" s="30">
        <v>4.1470683256010119</v>
      </c>
      <c r="BJ558">
        <v>10.831919021509911</v>
      </c>
      <c r="BL558" s="33">
        <v>6.2355925769717429</v>
      </c>
      <c r="BM558" s="30">
        <v>1.9059046815689578</v>
      </c>
      <c r="BN558" s="30">
        <v>0.70193677773091523</v>
      </c>
      <c r="BP558" s="30">
        <v>0.41834129059468578</v>
      </c>
      <c r="BU558">
        <v>1.7229331083930828</v>
      </c>
      <c r="BV558" s="32">
        <v>0.2469417545339519</v>
      </c>
      <c r="BW558" s="30">
        <v>1.4834862927035004</v>
      </c>
      <c r="BX558" s="30">
        <v>0.224614972585407</v>
      </c>
      <c r="BY558">
        <v>0.15973428932939684</v>
      </c>
      <c r="BZ558" s="33">
        <v>18.450708561788272</v>
      </c>
      <c r="CA558" s="33">
        <v>9.7629312526360188</v>
      </c>
      <c r="CE558" s="30">
        <v>0.86587262758329808</v>
      </c>
      <c r="CF558" s="30">
        <v>0.38814449599325174</v>
      </c>
      <c r="CG558">
        <v>237.1</v>
      </c>
      <c r="CI558" s="29">
        <v>2.2499671574613407</v>
      </c>
      <c r="CJ558" s="41">
        <v>2.3559485957879738</v>
      </c>
      <c r="CK558" s="29">
        <v>2.3038247068123652</v>
      </c>
    </row>
    <row r="559" spans="1:89" x14ac:dyDescent="0.2">
      <c r="A559" t="s">
        <v>10</v>
      </c>
      <c r="C559" t="s">
        <v>700</v>
      </c>
      <c r="H559" s="30">
        <v>44.734768900598986</v>
      </c>
      <c r="I559" s="6">
        <v>0.30588828501341969</v>
      </c>
      <c r="J559" s="6">
        <v>22.99973922462981</v>
      </c>
      <c r="K559" s="209">
        <v>0.20057178026824124</v>
      </c>
      <c r="L559" s="192">
        <v>7.8610143399409518</v>
      </c>
      <c r="M559" s="3">
        <v>0.11297764553643874</v>
      </c>
      <c r="N559" s="6">
        <v>9.0644207986301364</v>
      </c>
      <c r="O559" s="193">
        <v>14.122923415272467</v>
      </c>
      <c r="P559" s="209">
        <v>0.31767313369886119</v>
      </c>
      <c r="Q559" s="209">
        <v>6.8718056734245983E-2</v>
      </c>
      <c r="R559" s="32">
        <v>5.8993370900499498E-2</v>
      </c>
      <c r="T559" s="38">
        <f t="shared" si="12"/>
        <v>67.272052770721359</v>
      </c>
      <c r="AE559" s="194"/>
      <c r="AF559" s="193"/>
      <c r="AG559" s="194"/>
      <c r="AH559" s="194"/>
      <c r="AI559" s="192"/>
      <c r="AK559" s="193"/>
      <c r="AL559" s="193"/>
      <c r="AM559" s="194"/>
      <c r="AN559" s="194"/>
      <c r="AO559" s="193"/>
      <c r="AP559" s="192"/>
      <c r="AQ559" s="192"/>
      <c r="AR559" s="194"/>
      <c r="AS559" s="192"/>
      <c r="AT559" s="194"/>
      <c r="AU559" s="194"/>
      <c r="AV559" s="192"/>
      <c r="AW559" s="194"/>
      <c r="AX559" s="209"/>
      <c r="AY559" s="192"/>
      <c r="AZ559" s="209"/>
      <c r="BA559" s="192"/>
      <c r="BB559" s="38"/>
      <c r="BC559" s="39"/>
      <c r="BD559" s="39"/>
      <c r="BE559" s="39"/>
      <c r="BF559" s="38"/>
      <c r="BG559" s="38"/>
    </row>
    <row r="560" spans="1:89" x14ac:dyDescent="0.2">
      <c r="A560" t="s">
        <v>10</v>
      </c>
      <c r="K560" s="209"/>
      <c r="L560" s="192"/>
      <c r="O560" s="193"/>
      <c r="P560" s="209"/>
      <c r="Q560" s="209"/>
      <c r="T560" s="38" t="e">
        <f t="shared" si="12"/>
        <v>#DIV/0!</v>
      </c>
      <c r="AE560" s="194"/>
      <c r="AF560" s="193"/>
      <c r="AG560" s="194"/>
      <c r="AH560" s="194"/>
      <c r="AI560" s="192"/>
      <c r="AK560" s="193"/>
      <c r="AL560" s="193"/>
      <c r="AM560" s="194"/>
      <c r="AN560" s="194"/>
      <c r="AO560" s="193"/>
      <c r="AP560" s="192"/>
      <c r="AQ560" s="192"/>
      <c r="AR560" s="194"/>
      <c r="AS560" s="192"/>
      <c r="AT560" s="194"/>
      <c r="AU560" s="194"/>
      <c r="AV560" s="192"/>
      <c r="AW560" s="194"/>
      <c r="AX560" s="209"/>
      <c r="AY560" s="192"/>
      <c r="AZ560" s="209"/>
      <c r="BA560" s="192"/>
      <c r="BB560" s="38"/>
      <c r="BC560" s="39"/>
      <c r="BD560" s="39"/>
      <c r="BE560" s="39"/>
      <c r="BF560" s="38"/>
      <c r="BG560" s="38"/>
    </row>
    <row r="561" spans="1:89" x14ac:dyDescent="0.2">
      <c r="A561" s="36" t="s">
        <v>10</v>
      </c>
      <c r="C561" s="36" t="s">
        <v>279</v>
      </c>
      <c r="H561" s="34">
        <v>44.734768900598986</v>
      </c>
      <c r="I561" s="34">
        <v>0.30588828501341969</v>
      </c>
      <c r="J561" s="34">
        <v>22.99973922462981</v>
      </c>
      <c r="K561" s="37">
        <v>0.20057178026824124</v>
      </c>
      <c r="L561" s="34">
        <v>7.8610143399409518</v>
      </c>
      <c r="M561" s="37">
        <v>0.11297764553643874</v>
      </c>
      <c r="N561" s="34">
        <v>9.0644207986301364</v>
      </c>
      <c r="O561" s="72">
        <v>14.042741758247789</v>
      </c>
      <c r="P561" s="37">
        <v>0.31767313369886119</v>
      </c>
      <c r="Q561" s="37">
        <v>6.8240302091290006E-2</v>
      </c>
      <c r="R561" s="37">
        <v>5.8993370900499498E-2</v>
      </c>
      <c r="T561" s="38">
        <f t="shared" si="12"/>
        <v>67.272052770721359</v>
      </c>
      <c r="W561" s="36"/>
      <c r="X561" s="36"/>
      <c r="Y561" s="36"/>
      <c r="Z561" s="36"/>
      <c r="AA561" s="36"/>
      <c r="AB561"/>
      <c r="AI561" s="34">
        <v>16.466031210459718</v>
      </c>
      <c r="AJ561" s="35">
        <v>1372.2754533951918</v>
      </c>
      <c r="AL561" s="72">
        <v>48.413935048502729</v>
      </c>
      <c r="AM561" s="35">
        <v>560.03049346267392</v>
      </c>
      <c r="AO561"/>
      <c r="AQ561" s="34">
        <v>0.64843357233234922</v>
      </c>
      <c r="AR561" s="34">
        <v>0.32474483340362714</v>
      </c>
      <c r="AS561" s="34">
        <v>0.37836735554618306</v>
      </c>
      <c r="AU561" s="35">
        <v>581.57507380851962</v>
      </c>
      <c r="AV561" s="161">
        <v>17.426973079423828</v>
      </c>
      <c r="AW561" s="35">
        <v>52.200337410375369</v>
      </c>
      <c r="AX561"/>
      <c r="AY561"/>
      <c r="AZ561"/>
      <c r="BA561"/>
      <c r="BB561"/>
      <c r="BC561"/>
      <c r="BD561" s="34">
        <v>3.4872669759595104E-2</v>
      </c>
      <c r="BE561"/>
      <c r="BF561"/>
      <c r="BG561" s="34">
        <v>8.8490004217629689E-2</v>
      </c>
      <c r="BH561" s="35">
        <v>344.00295234078447</v>
      </c>
      <c r="BI561" s="34">
        <v>4.1470683256010119</v>
      </c>
      <c r="BJ561" s="72">
        <v>10.831919021509911</v>
      </c>
      <c r="BK561" s="54">
        <v>1.3341064826644193</v>
      </c>
      <c r="BL561" s="72">
        <v>6.2355925769717429</v>
      </c>
      <c r="BM561" s="34">
        <v>1.9059046815689578</v>
      </c>
      <c r="BN561" s="34">
        <v>0.70193677773091523</v>
      </c>
      <c r="BO561" s="51" t="e">
        <v>#DIV/0!</v>
      </c>
      <c r="BP561" s="34">
        <v>0.41834129059468578</v>
      </c>
      <c r="BQ561" s="74">
        <v>2.7976791507367791</v>
      </c>
      <c r="BR561" s="74">
        <v>0.62764373424662478</v>
      </c>
      <c r="BS561" s="52">
        <v>1.7566296749977606</v>
      </c>
      <c r="BT561" s="53">
        <v>0.26199755119589085</v>
      </c>
      <c r="BU561" s="34">
        <v>1.7229331083930828</v>
      </c>
      <c r="BV561" s="37">
        <v>0.2469417545339519</v>
      </c>
      <c r="BW561" s="34">
        <v>1.4834862927035004</v>
      </c>
      <c r="BX561" s="34">
        <v>0.224614972585407</v>
      </c>
      <c r="BY561" s="34">
        <v>0.15973428932939684</v>
      </c>
      <c r="BZ561" s="72">
        <v>18.450708561788272</v>
      </c>
      <c r="CA561" s="72">
        <v>9.7629312526360188</v>
      </c>
      <c r="CE561" s="34">
        <v>0.86587262758329808</v>
      </c>
      <c r="CF561" s="34">
        <v>0.38814449599325174</v>
      </c>
    </row>
    <row r="562" spans="1:89" x14ac:dyDescent="0.2">
      <c r="I562" s="30"/>
      <c r="J562" s="30"/>
      <c r="L562" s="30"/>
      <c r="M562" s="32"/>
      <c r="N562" s="30"/>
      <c r="O562" s="33"/>
      <c r="T562" s="38" t="e">
        <f t="shared" si="12"/>
        <v>#DIV/0!</v>
      </c>
      <c r="W562"/>
      <c r="X562"/>
      <c r="Y562"/>
      <c r="Z562"/>
      <c r="AA562"/>
      <c r="AB562"/>
      <c r="AO562"/>
      <c r="AQ562"/>
      <c r="AR562"/>
      <c r="AS562"/>
      <c r="AW562"/>
      <c r="AX562"/>
      <c r="AY562"/>
      <c r="AZ562"/>
      <c r="BA562"/>
      <c r="BB562"/>
      <c r="BC562"/>
      <c r="BD562"/>
      <c r="BE562"/>
      <c r="BF562"/>
      <c r="BG562"/>
      <c r="BH562"/>
    </row>
    <row r="563" spans="1:89" x14ac:dyDescent="0.2">
      <c r="A563" t="s">
        <v>11</v>
      </c>
      <c r="C563" t="s">
        <v>717</v>
      </c>
      <c r="I563"/>
      <c r="J563"/>
      <c r="K563" s="209">
        <v>0.11428837353115727</v>
      </c>
      <c r="L563" s="192">
        <v>5.7482908011869442</v>
      </c>
      <c r="M563"/>
      <c r="N563"/>
      <c r="O563" s="193">
        <v>15.180542037586552</v>
      </c>
      <c r="P563" s="209">
        <v>0.44030346191889219</v>
      </c>
      <c r="Q563" s="209">
        <v>6.2988724035608318E-2</v>
      </c>
      <c r="T563" s="38">
        <f t="shared" si="12"/>
        <v>0</v>
      </c>
      <c r="AE563" s="194"/>
      <c r="AF563" s="193"/>
      <c r="AG563" s="194"/>
      <c r="AH563" s="194"/>
      <c r="AI563" s="192">
        <v>10.332884272997031</v>
      </c>
      <c r="AJ563" s="31">
        <v>781.94015825914937</v>
      </c>
      <c r="AK563" s="193"/>
      <c r="AL563" s="193">
        <v>30.425331355093967</v>
      </c>
      <c r="AM563" s="194">
        <v>748.92522255192875</v>
      </c>
      <c r="AN563" s="194">
        <v>6.7421378121726212</v>
      </c>
      <c r="AO563" s="193"/>
      <c r="AP563" s="192"/>
      <c r="AQ563" s="192">
        <v>0.36157764589515329</v>
      </c>
      <c r="AR563" s="194">
        <v>0.16115924826904057</v>
      </c>
      <c r="AS563" s="192">
        <v>0.27242828882294756</v>
      </c>
      <c r="AT563" s="194">
        <v>1.9284668644906033</v>
      </c>
      <c r="AU563" s="194">
        <v>187.8459940652819</v>
      </c>
      <c r="AV563" s="192"/>
      <c r="AW563" s="194">
        <v>63.093372898120677</v>
      </c>
      <c r="AX563" s="209"/>
      <c r="AY563" s="192"/>
      <c r="AZ563" s="209">
        <v>0</v>
      </c>
      <c r="BA563" s="192"/>
      <c r="BB563" s="38"/>
      <c r="BC563" s="39"/>
      <c r="BD563" s="39">
        <v>1.1150349768510698E-2</v>
      </c>
      <c r="BE563" s="39"/>
      <c r="BF563" s="38"/>
      <c r="BG563" s="38">
        <v>4.1647972304648867E-2</v>
      </c>
      <c r="BH563" s="31">
        <v>124.58545994065281</v>
      </c>
      <c r="BI563" s="30">
        <v>4.8724362017804159</v>
      </c>
      <c r="BJ563">
        <v>12.664899109792286</v>
      </c>
      <c r="BL563" s="33">
        <v>7.1497725024727998</v>
      </c>
      <c r="BM563" s="30">
        <v>2.2069841740850644</v>
      </c>
      <c r="BN563" s="30">
        <v>0.98671048466864486</v>
      </c>
      <c r="BP563" s="30">
        <v>0.44398981206726013</v>
      </c>
      <c r="BU563">
        <v>1.5943453016815035</v>
      </c>
      <c r="BV563" s="32">
        <v>0.22239307616221565</v>
      </c>
      <c r="BW563" s="30">
        <v>1.6961969337289811</v>
      </c>
      <c r="BX563" s="30">
        <v>0.20179179030662714</v>
      </c>
      <c r="BY563">
        <v>7.5583792369301489E-2</v>
      </c>
      <c r="BZ563" s="33">
        <v>17.761068249258162</v>
      </c>
      <c r="CA563" s="33">
        <v>15.565972761988442</v>
      </c>
      <c r="CE563" s="30">
        <v>0.70433966369930756</v>
      </c>
      <c r="CF563" s="30">
        <v>0.24392057368941641</v>
      </c>
      <c r="CG563">
        <v>101.1</v>
      </c>
      <c r="CI563" s="29">
        <v>2.5903082543312048</v>
      </c>
      <c r="CJ563" s="41">
        <v>2.5741224170888102</v>
      </c>
      <c r="CK563" s="29">
        <v>2.5130282168517648</v>
      </c>
    </row>
    <row r="564" spans="1:89" x14ac:dyDescent="0.2">
      <c r="A564" t="s">
        <v>11</v>
      </c>
      <c r="C564" t="s">
        <v>700</v>
      </c>
      <c r="H564" s="38">
        <v>44.84033326326395</v>
      </c>
      <c r="I564" s="38">
        <v>0.37898665681762639</v>
      </c>
      <c r="J564" s="38">
        <v>25.896005097812434</v>
      </c>
      <c r="K564" s="431">
        <v>0.11428837353115727</v>
      </c>
      <c r="L564" s="430">
        <v>5.7482908011869442</v>
      </c>
      <c r="M564" s="38">
        <v>7.313078522040635E-2</v>
      </c>
      <c r="N564" s="38">
        <v>6.9875237075205003</v>
      </c>
      <c r="O564" s="38">
        <v>15.26283700723015</v>
      </c>
      <c r="P564" s="431">
        <v>0.44030346191889219</v>
      </c>
      <c r="Q564" s="38">
        <v>6.3938935611009926E-2</v>
      </c>
      <c r="R564" s="38">
        <v>6.1276104331247215E-2</v>
      </c>
      <c r="T564" s="38">
        <f t="shared" si="12"/>
        <v>68.423386195258857</v>
      </c>
      <c r="AE564" s="194"/>
      <c r="AF564" s="193"/>
      <c r="AG564" s="194"/>
      <c r="AH564" s="194"/>
      <c r="AI564" s="192"/>
      <c r="AK564" s="193"/>
      <c r="AL564" s="193"/>
      <c r="AM564" s="194"/>
      <c r="AN564" s="194"/>
      <c r="AO564" s="193"/>
      <c r="AP564" s="192"/>
      <c r="AQ564" s="192"/>
      <c r="AR564" s="194"/>
      <c r="AS564" s="192"/>
      <c r="AT564" s="194"/>
      <c r="AU564" s="194"/>
      <c r="AV564" s="192"/>
      <c r="AW564" s="194"/>
      <c r="AX564" s="209"/>
      <c r="AY564" s="192"/>
      <c r="AZ564" s="209"/>
      <c r="BA564" s="192"/>
      <c r="BB564" s="38"/>
      <c r="BC564" s="39"/>
      <c r="BD564" s="39"/>
      <c r="BE564" s="39"/>
      <c r="BF564" s="38"/>
      <c r="BG564" s="38"/>
    </row>
    <row r="565" spans="1:89" x14ac:dyDescent="0.2">
      <c r="A565" t="s">
        <v>11</v>
      </c>
      <c r="K565" s="209"/>
      <c r="L565" s="192"/>
      <c r="O565" s="193"/>
      <c r="P565" s="209"/>
      <c r="Q565" s="209"/>
      <c r="T565" s="38" t="e">
        <f t="shared" si="12"/>
        <v>#DIV/0!</v>
      </c>
      <c r="AE565" s="194"/>
      <c r="AF565" s="193"/>
      <c r="AG565" s="194"/>
      <c r="AH565" s="194"/>
      <c r="AI565" s="192"/>
      <c r="AK565" s="193"/>
      <c r="AL565" s="193"/>
      <c r="AM565" s="194"/>
      <c r="AN565" s="194"/>
      <c r="AO565" s="193"/>
      <c r="AP565" s="192"/>
      <c r="AQ565" s="192"/>
      <c r="AR565" s="194"/>
      <c r="AS565" s="192"/>
      <c r="AT565" s="194"/>
      <c r="AU565" s="194"/>
      <c r="AV565" s="192"/>
      <c r="AW565" s="194"/>
      <c r="AX565" s="209"/>
      <c r="AY565" s="192"/>
      <c r="AZ565" s="209"/>
      <c r="BA565" s="192"/>
      <c r="BB565" s="38"/>
      <c r="BC565" s="39"/>
      <c r="BD565" s="39"/>
      <c r="BE565" s="39"/>
      <c r="BF565" s="38"/>
      <c r="BG565" s="38"/>
    </row>
    <row r="566" spans="1:89" x14ac:dyDescent="0.2">
      <c r="A566" s="36" t="s">
        <v>11</v>
      </c>
      <c r="C566" s="36" t="s">
        <v>279</v>
      </c>
      <c r="H566" s="34">
        <v>44.84033326326395</v>
      </c>
      <c r="I566" s="34">
        <v>0.37898665681762639</v>
      </c>
      <c r="J566" s="34">
        <v>25.896005097812434</v>
      </c>
      <c r="K566" s="37">
        <v>0.11428837353115727</v>
      </c>
      <c r="L566" s="34">
        <v>5.7482908011869442</v>
      </c>
      <c r="M566" s="37">
        <v>7.313078522040635E-2</v>
      </c>
      <c r="N566" s="34">
        <v>6.9875237075205003</v>
      </c>
      <c r="O566" s="72">
        <v>15.221689522408351</v>
      </c>
      <c r="P566" s="37">
        <v>0.44030346191889219</v>
      </c>
      <c r="Q566" s="37">
        <v>6.3463829823309115E-2</v>
      </c>
      <c r="R566" s="37">
        <v>6.1276104331247215E-2</v>
      </c>
      <c r="T566" s="38">
        <f t="shared" si="12"/>
        <v>68.423386195258857</v>
      </c>
      <c r="W566" s="36"/>
      <c r="X566" s="36"/>
      <c r="Y566" s="36"/>
      <c r="Z566" s="36"/>
      <c r="AA566" s="36"/>
      <c r="AB566"/>
      <c r="AI566" s="34">
        <v>10.332884272997031</v>
      </c>
      <c r="AJ566" s="35">
        <v>781.94015825914937</v>
      </c>
      <c r="AL566" s="72">
        <v>30.425331355093967</v>
      </c>
      <c r="AM566" s="35">
        <v>748.92522255192875</v>
      </c>
      <c r="AO566"/>
      <c r="AQ566" s="34">
        <v>0.36157764589515329</v>
      </c>
      <c r="AR566" s="34">
        <v>0.16115924826904057</v>
      </c>
      <c r="AS566" s="34">
        <v>0.27242828882294756</v>
      </c>
      <c r="AU566" s="35">
        <v>187.8459940652819</v>
      </c>
      <c r="AV566" s="161">
        <v>17.283752722329535</v>
      </c>
      <c r="AW566" s="35">
        <v>63.093372898120677</v>
      </c>
      <c r="AX566"/>
      <c r="AY566"/>
      <c r="AZ566"/>
      <c r="BA566"/>
      <c r="BB566"/>
      <c r="BC566"/>
      <c r="BD566" s="34">
        <v>1.1150349768510698E-2</v>
      </c>
      <c r="BE566"/>
      <c r="BF566"/>
      <c r="BG566" s="34">
        <v>4.1647972304648867E-2</v>
      </c>
      <c r="BH566" s="35">
        <v>124.58545994065281</v>
      </c>
      <c r="BI566" s="34">
        <v>4.8724362017804159</v>
      </c>
      <c r="BJ566" s="72">
        <v>12.664899109792286</v>
      </c>
      <c r="BK566" s="54">
        <v>1.5421802817376342</v>
      </c>
      <c r="BL566" s="72">
        <v>7.1497725024727998</v>
      </c>
      <c r="BM566" s="34">
        <v>2.2069841740850644</v>
      </c>
      <c r="BN566" s="34">
        <v>0.98671048466864486</v>
      </c>
      <c r="BO566" s="51" t="e">
        <v>#DIV/0!</v>
      </c>
      <c r="BP566" s="34">
        <v>0.44398981206726013</v>
      </c>
      <c r="BQ566" s="74">
        <v>2.8925342662188349</v>
      </c>
      <c r="BR566" s="74">
        <v>0.6311758908587678</v>
      </c>
      <c r="BS566" s="52">
        <v>1.7182057928385688</v>
      </c>
      <c r="BT566" s="53">
        <v>0.24925915464434989</v>
      </c>
      <c r="BU566" s="34">
        <v>1.5943453016815035</v>
      </c>
      <c r="BV566" s="37">
        <v>0.22239307616221565</v>
      </c>
      <c r="BW566" s="34">
        <v>1.6961969337289811</v>
      </c>
      <c r="BX566" s="34">
        <v>0.20179179030662714</v>
      </c>
      <c r="BY566" s="34">
        <v>7.5583792369301489E-2</v>
      </c>
      <c r="BZ566" s="72">
        <v>17.761068249258162</v>
      </c>
      <c r="CA566" s="72">
        <v>15.565972761988442</v>
      </c>
      <c r="CE566" s="34">
        <v>0.70433966369930756</v>
      </c>
      <c r="CF566" s="34">
        <v>0.24392057368941641</v>
      </c>
    </row>
    <row r="567" spans="1:89" x14ac:dyDescent="0.2">
      <c r="I567" s="30"/>
      <c r="J567" s="30"/>
      <c r="L567" s="30"/>
      <c r="M567" s="32"/>
      <c r="N567" s="30"/>
      <c r="O567" s="33"/>
      <c r="T567" s="38" t="e">
        <f t="shared" si="12"/>
        <v>#DIV/0!</v>
      </c>
      <c r="W567"/>
      <c r="X567"/>
      <c r="Y567"/>
      <c r="Z567"/>
      <c r="AA567"/>
      <c r="AB567"/>
      <c r="AO567"/>
      <c r="AQ567"/>
      <c r="AR567"/>
      <c r="AS567"/>
      <c r="AW567"/>
      <c r="AX567"/>
      <c r="AY567"/>
      <c r="AZ567"/>
      <c r="BA567"/>
      <c r="BB567"/>
      <c r="BC567"/>
      <c r="BD567"/>
      <c r="BE567"/>
      <c r="BF567"/>
      <c r="BG567"/>
      <c r="BH567"/>
    </row>
    <row r="568" spans="1:89" x14ac:dyDescent="0.2">
      <c r="I568" s="30"/>
      <c r="J568" s="30"/>
      <c r="L568" s="30"/>
      <c r="M568" s="32"/>
      <c r="N568" s="30"/>
      <c r="O568" s="33"/>
      <c r="T568" s="38" t="e">
        <f t="shared" si="12"/>
        <v>#DIV/0!</v>
      </c>
      <c r="W568"/>
      <c r="X568"/>
      <c r="Y568"/>
      <c r="Z568"/>
      <c r="AA568"/>
      <c r="AB568"/>
      <c r="AO568"/>
      <c r="AQ568"/>
      <c r="AR568"/>
      <c r="AS568"/>
      <c r="AW568"/>
      <c r="AX568"/>
      <c r="AY568"/>
      <c r="AZ568"/>
      <c r="BA568"/>
      <c r="BB568"/>
      <c r="BC568"/>
      <c r="BD568"/>
      <c r="BE568"/>
      <c r="BF568"/>
      <c r="BG568"/>
      <c r="BH568"/>
    </row>
    <row r="569" spans="1:89" x14ac:dyDescent="0.2">
      <c r="A569" t="s">
        <v>101</v>
      </c>
      <c r="C569" t="s">
        <v>717</v>
      </c>
      <c r="I569" s="30"/>
      <c r="J569" s="30"/>
      <c r="L569" s="30">
        <v>5.71</v>
      </c>
      <c r="M569" s="32"/>
      <c r="N569" s="30"/>
      <c r="O569" s="33">
        <v>14.09</v>
      </c>
      <c r="P569" s="32">
        <v>0.246</v>
      </c>
      <c r="T569" s="38">
        <f t="shared" si="12"/>
        <v>0</v>
      </c>
      <c r="W569"/>
      <c r="X569"/>
      <c r="Y569"/>
      <c r="Z569"/>
      <c r="AA569"/>
      <c r="AB569"/>
      <c r="AI569" s="30">
        <v>8.2799999999999994</v>
      </c>
      <c r="AJ569" s="31">
        <v>1047</v>
      </c>
      <c r="AL569" s="33">
        <v>22.2</v>
      </c>
      <c r="AM569" s="31">
        <v>105</v>
      </c>
      <c r="AN569" s="31">
        <v>6</v>
      </c>
      <c r="AO569"/>
      <c r="AQ569">
        <v>0.15</v>
      </c>
      <c r="AR569">
        <v>0</v>
      </c>
      <c r="AS569">
        <v>0.24</v>
      </c>
      <c r="AU569" s="31">
        <v>130</v>
      </c>
      <c r="AW569">
        <v>7</v>
      </c>
      <c r="AX569"/>
      <c r="AY569"/>
      <c r="AZ569"/>
      <c r="BA569"/>
      <c r="BB569"/>
      <c r="BC569"/>
      <c r="BD569">
        <v>5.0000000000000001E-3</v>
      </c>
      <c r="BE569"/>
      <c r="BF569"/>
      <c r="BG569">
        <v>3.1E-2</v>
      </c>
      <c r="BH569">
        <v>82.9</v>
      </c>
      <c r="BI569" s="30">
        <v>1.046</v>
      </c>
      <c r="BJ569">
        <v>2.57</v>
      </c>
      <c r="BL569">
        <v>2.57</v>
      </c>
      <c r="BM569" s="30">
        <v>0.46600000000000003</v>
      </c>
      <c r="BN569" s="30">
        <v>0.58299999999999996</v>
      </c>
      <c r="BP569" s="30">
        <v>9.8000000000000004E-2</v>
      </c>
      <c r="BU569">
        <v>0.42399999999999999</v>
      </c>
      <c r="BV569" s="32">
        <v>6.2600000000000003E-2</v>
      </c>
      <c r="BW569" s="30">
        <v>0.28199999999999997</v>
      </c>
      <c r="BX569" s="30">
        <v>4.2999999999999997E-2</v>
      </c>
      <c r="BY569">
        <v>0</v>
      </c>
      <c r="BZ569" s="33">
        <v>1.1000000000000001</v>
      </c>
      <c r="CA569" s="33">
        <v>0.7</v>
      </c>
      <c r="CE569">
        <v>0.14899999999999999</v>
      </c>
      <c r="CF569">
        <v>5.5E-2</v>
      </c>
      <c r="CG569">
        <v>101.1</v>
      </c>
      <c r="CI569" s="29">
        <v>0.54332365936878557</v>
      </c>
      <c r="CJ569" s="41">
        <v>0.55983346917841859</v>
      </c>
      <c r="CK569" s="29">
        <v>0.53439742402608714</v>
      </c>
    </row>
    <row r="570" spans="1:89" x14ac:dyDescent="0.2">
      <c r="A570" t="s">
        <v>101</v>
      </c>
      <c r="C570" t="s">
        <v>700</v>
      </c>
      <c r="H570" s="30">
        <v>43.937852424123719</v>
      </c>
      <c r="I570" s="30">
        <v>0.15321977003895107</v>
      </c>
      <c r="J570" s="30">
        <v>22.828616572479255</v>
      </c>
      <c r="K570" s="32">
        <v>0.15302952</v>
      </c>
      <c r="L570" s="30">
        <v>5.71</v>
      </c>
      <c r="M570" s="32">
        <v>8.3901357711684166E-2</v>
      </c>
      <c r="N570" s="30">
        <v>12.684456719757495</v>
      </c>
      <c r="O570" s="33">
        <v>14.033711736901788</v>
      </c>
      <c r="P570" s="32">
        <v>0.246</v>
      </c>
      <c r="Q570" s="32">
        <v>3.8694106659027269E-2</v>
      </c>
      <c r="R570" s="32">
        <v>2.649430735614472E-2</v>
      </c>
      <c r="T570" s="38">
        <f t="shared" si="12"/>
        <v>79.838525121725567</v>
      </c>
      <c r="W570"/>
      <c r="X570"/>
      <c r="Y570"/>
      <c r="Z570"/>
      <c r="AA570"/>
      <c r="AB570"/>
      <c r="AO570"/>
      <c r="AQ570"/>
      <c r="AR570"/>
      <c r="AS570"/>
      <c r="AW570"/>
      <c r="AX570"/>
      <c r="AY570"/>
      <c r="AZ570"/>
      <c r="BA570"/>
      <c r="BB570"/>
      <c r="BC570"/>
      <c r="BD570"/>
      <c r="BE570"/>
      <c r="BF570"/>
      <c r="BG570"/>
      <c r="BH570"/>
    </row>
    <row r="571" spans="1:89" x14ac:dyDescent="0.2">
      <c r="A571" t="s">
        <v>101</v>
      </c>
      <c r="I571" s="30"/>
      <c r="J571" s="30"/>
      <c r="L571" s="30"/>
      <c r="M571" s="32"/>
      <c r="N571" s="30"/>
      <c r="O571" s="33"/>
      <c r="T571" s="38" t="e">
        <f t="shared" si="12"/>
        <v>#DIV/0!</v>
      </c>
      <c r="W571"/>
      <c r="X571"/>
      <c r="Y571"/>
      <c r="Z571"/>
      <c r="AA571"/>
      <c r="AB571"/>
      <c r="AO571"/>
      <c r="AQ571"/>
      <c r="AR571"/>
      <c r="AS571"/>
      <c r="AW571"/>
      <c r="AX571"/>
      <c r="AY571"/>
      <c r="AZ571"/>
      <c r="BA571"/>
      <c r="BB571"/>
      <c r="BC571"/>
      <c r="BD571"/>
      <c r="BE571"/>
      <c r="BF571"/>
      <c r="BG571"/>
      <c r="BH571"/>
    </row>
    <row r="572" spans="1:89" x14ac:dyDescent="0.2">
      <c r="A572" s="36" t="s">
        <v>101</v>
      </c>
      <c r="C572" s="36" t="s">
        <v>279</v>
      </c>
      <c r="H572" s="34">
        <v>43.937852424123719</v>
      </c>
      <c r="I572" s="34">
        <v>0.15321977003895107</v>
      </c>
      <c r="J572" s="34">
        <v>22.828616572479255</v>
      </c>
      <c r="K572" s="37">
        <v>0.15302952</v>
      </c>
      <c r="L572" s="34">
        <v>5.71</v>
      </c>
      <c r="M572" s="37">
        <v>8.3901357711684166E-2</v>
      </c>
      <c r="N572" s="34">
        <v>12.684456719757495</v>
      </c>
      <c r="O572" s="72">
        <v>14.061855868450895</v>
      </c>
      <c r="P572" s="37">
        <v>0.246</v>
      </c>
      <c r="Q572" s="37">
        <v>3.8694106659027269E-2</v>
      </c>
      <c r="R572" s="37">
        <v>2.649430735614472E-2</v>
      </c>
      <c r="T572" s="38">
        <f t="shared" si="12"/>
        <v>79.838525121725567</v>
      </c>
      <c r="W572" s="36"/>
      <c r="X572" s="36"/>
      <c r="Y572" s="36"/>
      <c r="Z572" s="36"/>
      <c r="AA572" s="36"/>
      <c r="AB572"/>
      <c r="AI572" s="34">
        <v>8.2799999999999994</v>
      </c>
      <c r="AJ572" s="35">
        <v>1047</v>
      </c>
      <c r="AL572" s="72">
        <v>22.2</v>
      </c>
      <c r="AM572" s="35">
        <v>105</v>
      </c>
      <c r="AO572"/>
      <c r="AQ572" s="34">
        <v>0.15</v>
      </c>
      <c r="AR572" s="34">
        <v>0</v>
      </c>
      <c r="AS572" s="34">
        <v>0.24</v>
      </c>
      <c r="AU572" s="35">
        <v>130</v>
      </c>
      <c r="AV572" s="161">
        <v>4.2326446102159219</v>
      </c>
      <c r="AW572" s="35">
        <v>7</v>
      </c>
      <c r="AX572"/>
      <c r="AY572"/>
      <c r="AZ572"/>
      <c r="BA572"/>
      <c r="BB572"/>
      <c r="BC572"/>
      <c r="BD572" s="34">
        <v>5.0000000000000001E-3</v>
      </c>
      <c r="BE572"/>
      <c r="BF572"/>
      <c r="BG572" s="34">
        <v>3.1E-2</v>
      </c>
      <c r="BH572" s="35">
        <v>82.9</v>
      </c>
      <c r="BI572" s="34">
        <v>1.046</v>
      </c>
      <c r="BJ572" s="72">
        <v>2.57</v>
      </c>
      <c r="BK572" s="54">
        <v>0.46682874195618645</v>
      </c>
      <c r="BL572" s="72">
        <v>2.57</v>
      </c>
      <c r="BM572" s="34">
        <v>0.46600000000000003</v>
      </c>
      <c r="BN572" s="34">
        <v>0.58299999999999996</v>
      </c>
      <c r="BO572" s="51" t="e">
        <v>#DIV/0!</v>
      </c>
      <c r="BP572" s="34">
        <v>9.8000000000000004E-2</v>
      </c>
      <c r="BQ572" s="74">
        <v>0.67427051463687526</v>
      </c>
      <c r="BR572" s="74">
        <v>0.15204660771434517</v>
      </c>
      <c r="BS572" s="52">
        <v>0.4277562529297767</v>
      </c>
      <c r="BT572" s="53">
        <v>6.4134446197182532E-2</v>
      </c>
      <c r="BU572" s="34">
        <v>0.42399999999999999</v>
      </c>
      <c r="BV572" s="37">
        <v>6.2600000000000003E-2</v>
      </c>
      <c r="BW572" s="34">
        <v>0.28199999999999997</v>
      </c>
      <c r="BX572" s="34">
        <v>4.2999999999999997E-2</v>
      </c>
      <c r="BY572" s="34">
        <v>0</v>
      </c>
      <c r="BZ572" s="72">
        <v>1.1000000000000001</v>
      </c>
      <c r="CA572" s="72">
        <v>0.7</v>
      </c>
      <c r="CE572" s="34">
        <v>0.14899999999999999</v>
      </c>
      <c r="CF572" s="34">
        <v>5.5E-2</v>
      </c>
    </row>
    <row r="573" spans="1:89" x14ac:dyDescent="0.2">
      <c r="I573" s="30"/>
      <c r="J573" s="30"/>
      <c r="L573" s="30"/>
      <c r="M573" s="32"/>
      <c r="N573" s="30"/>
      <c r="O573" s="33"/>
      <c r="T573" s="38" t="e">
        <f t="shared" si="12"/>
        <v>#DIV/0!</v>
      </c>
      <c r="W573"/>
      <c r="X573"/>
      <c r="Y573"/>
      <c r="Z573"/>
      <c r="AA573"/>
      <c r="AB573"/>
      <c r="AO573"/>
      <c r="AQ573"/>
      <c r="AR573"/>
      <c r="AS573"/>
      <c r="AW573"/>
      <c r="AX573"/>
      <c r="AY573"/>
      <c r="AZ573"/>
      <c r="BA573"/>
      <c r="BB573"/>
      <c r="BC573"/>
      <c r="BD573"/>
      <c r="BE573"/>
      <c r="BF573"/>
      <c r="BG573"/>
      <c r="BH573"/>
    </row>
    <row r="574" spans="1:89" x14ac:dyDescent="0.2">
      <c r="A574" t="s">
        <v>113</v>
      </c>
      <c r="C574" t="s">
        <v>717</v>
      </c>
      <c r="I574" s="30"/>
      <c r="J574" s="30"/>
      <c r="K574" s="32">
        <v>0.12319701678332676</v>
      </c>
      <c r="L574" s="30">
        <v>5.5393210119281697</v>
      </c>
      <c r="M574" s="32"/>
      <c r="N574" s="30"/>
      <c r="O574" s="33">
        <v>15.670758946126622</v>
      </c>
      <c r="P574" s="32">
        <v>0.34826379604142094</v>
      </c>
      <c r="Q574" s="32">
        <v>2.0023594180102244E-2</v>
      </c>
      <c r="T574" s="38">
        <f t="shared" si="12"/>
        <v>0</v>
      </c>
      <c r="W574"/>
      <c r="X574"/>
      <c r="Y574"/>
      <c r="Z574"/>
      <c r="AA574"/>
      <c r="AB574"/>
      <c r="AI574" s="30">
        <v>11.999410800891338</v>
      </c>
      <c r="AJ574" s="31">
        <v>842.89146677152962</v>
      </c>
      <c r="AL574" s="33">
        <v>17.573375278542404</v>
      </c>
      <c r="AM574" s="31">
        <v>173.69989513697732</v>
      </c>
      <c r="AN574" s="31">
        <v>5.7686787259142749</v>
      </c>
      <c r="AO574"/>
      <c r="AQ574">
        <v>4.160112727749378E-2</v>
      </c>
      <c r="AR574">
        <v>0.18874754227290602</v>
      </c>
      <c r="AS574">
        <v>6.6677808362826066E-2</v>
      </c>
      <c r="AT574" s="31">
        <v>0.36767597325992929</v>
      </c>
      <c r="AU574" s="31">
        <v>147.35555118626297</v>
      </c>
      <c r="AW574">
        <v>29.54941669943636</v>
      </c>
      <c r="AX574"/>
      <c r="AY574"/>
      <c r="AZ574">
        <v>8.4087036308821611E-2</v>
      </c>
      <c r="BA574"/>
      <c r="BB574"/>
      <c r="BC574"/>
      <c r="BD574">
        <v>2.4986892122165422E-3</v>
      </c>
      <c r="BE574"/>
      <c r="BF574"/>
      <c r="BG574">
        <v>3.1789487481976672E-2</v>
      </c>
      <c r="BH574">
        <v>31.464936426792505</v>
      </c>
      <c r="BI574" s="30">
        <v>2.2128789487481981</v>
      </c>
      <c r="BJ574">
        <v>5.7242489186000789</v>
      </c>
      <c r="BL574" s="33">
        <v>3.5397430855944423</v>
      </c>
      <c r="BM574" s="30">
        <v>1.1196878358893696</v>
      </c>
      <c r="BN574" s="30">
        <v>0.80145327041551984</v>
      </c>
      <c r="BP574" s="30">
        <v>0.2492012059247608</v>
      </c>
      <c r="BU574">
        <v>0.98900085201205934</v>
      </c>
      <c r="BV574" s="32">
        <v>0.14049842705465987</v>
      </c>
      <c r="BW574" s="30">
        <v>0.8352129374754228</v>
      </c>
      <c r="BX574" s="30">
        <v>0.10208244855157951</v>
      </c>
      <c r="BY574">
        <v>9.8754751605715063E-2</v>
      </c>
      <c r="BZ574" s="33">
        <v>6.5817538340542674</v>
      </c>
      <c r="CA574" s="33">
        <v>1.5550465329663128</v>
      </c>
      <c r="CE574" s="30">
        <v>0.35666758421811512</v>
      </c>
      <c r="CF574" s="30">
        <v>9.8098702320094391E-2</v>
      </c>
      <c r="CG574">
        <v>101.1</v>
      </c>
      <c r="CI574" s="29">
        <v>1.3736740331361121</v>
      </c>
      <c r="CJ574" s="41">
        <v>1.3969373901050095</v>
      </c>
      <c r="CK574" s="29">
        <v>1.3825698150080694</v>
      </c>
    </row>
    <row r="575" spans="1:89" x14ac:dyDescent="0.2">
      <c r="A575" t="s">
        <v>113</v>
      </c>
      <c r="C575" t="s">
        <v>700</v>
      </c>
      <c r="H575" s="493">
        <v>45.108057988997025</v>
      </c>
      <c r="I575" s="493">
        <v>0.27496688620393889</v>
      </c>
      <c r="J575" s="493">
        <v>27.224979594475691</v>
      </c>
      <c r="K575" s="495">
        <v>0.12319701678332676</v>
      </c>
      <c r="L575" s="494">
        <v>5.5393210119281697</v>
      </c>
      <c r="M575" s="493">
        <v>8.1662191454787647E-2</v>
      </c>
      <c r="N575" s="493">
        <v>5.3280698027433582</v>
      </c>
      <c r="O575" s="493">
        <v>15.880623176287273</v>
      </c>
      <c r="P575" s="495">
        <v>0.34826379604142094</v>
      </c>
      <c r="Q575" s="494">
        <v>2.4301338872959287E-2</v>
      </c>
      <c r="R575" s="494">
        <v>2.3471285808214871E-2</v>
      </c>
      <c r="T575" s="38">
        <f t="shared" si="12"/>
        <v>63.162427854860965</v>
      </c>
      <c r="W575"/>
      <c r="X575"/>
      <c r="Y575"/>
      <c r="Z575"/>
      <c r="AA575"/>
      <c r="AB575"/>
      <c r="AO575"/>
      <c r="AQ575"/>
      <c r="AR575"/>
      <c r="AS575"/>
      <c r="AW575"/>
      <c r="AX575"/>
      <c r="AY575"/>
      <c r="AZ575"/>
      <c r="BA575"/>
      <c r="BB575"/>
      <c r="BC575"/>
      <c r="BD575"/>
      <c r="BE575"/>
      <c r="BF575"/>
      <c r="BG575"/>
      <c r="BH575"/>
    </row>
    <row r="576" spans="1:89" x14ac:dyDescent="0.2">
      <c r="A576" t="s">
        <v>113</v>
      </c>
      <c r="I576" s="30"/>
      <c r="J576" s="30"/>
      <c r="L576" s="30"/>
      <c r="M576" s="32"/>
      <c r="N576" s="30"/>
      <c r="O576" s="33"/>
      <c r="T576" s="38" t="e">
        <f t="shared" si="12"/>
        <v>#DIV/0!</v>
      </c>
      <c r="W576"/>
      <c r="X576"/>
      <c r="Y576"/>
      <c r="Z576"/>
      <c r="AA576"/>
      <c r="AB576"/>
      <c r="AO576"/>
      <c r="AQ576"/>
      <c r="AR576"/>
      <c r="AS576"/>
      <c r="AW576"/>
      <c r="AX576"/>
      <c r="AY576"/>
      <c r="AZ576"/>
      <c r="BA576"/>
      <c r="BB576"/>
      <c r="BC576"/>
      <c r="BD576"/>
      <c r="BE576"/>
      <c r="BF576"/>
      <c r="BG576"/>
      <c r="BH576"/>
    </row>
    <row r="577" spans="1:89" x14ac:dyDescent="0.2">
      <c r="A577" s="36" t="s">
        <v>113</v>
      </c>
      <c r="C577" s="36" t="s">
        <v>279</v>
      </c>
      <c r="H577" s="34">
        <v>45.108057988997025</v>
      </c>
      <c r="I577" s="34">
        <v>0.27496688620393889</v>
      </c>
      <c r="J577" s="34">
        <v>27.224979594475691</v>
      </c>
      <c r="K577" s="37">
        <v>0.12319701678332676</v>
      </c>
      <c r="L577" s="34">
        <v>5.5393210119281697</v>
      </c>
      <c r="M577" s="37">
        <v>8.1662191454787647E-2</v>
      </c>
      <c r="N577" s="34">
        <v>5.3280698027433582</v>
      </c>
      <c r="O577" s="72">
        <v>15.775691061206947</v>
      </c>
      <c r="P577" s="37">
        <v>0.34826379604142094</v>
      </c>
      <c r="Q577" s="37">
        <v>2.2162466526530766E-2</v>
      </c>
      <c r="R577" s="37">
        <v>2.3471285808214871E-2</v>
      </c>
      <c r="T577" s="38">
        <f t="shared" si="12"/>
        <v>63.162427854860965</v>
      </c>
      <c r="W577" s="36"/>
      <c r="X577" s="36"/>
      <c r="Y577" s="36"/>
      <c r="Z577" s="36"/>
      <c r="AA577" s="36"/>
      <c r="AB577"/>
      <c r="AI577" s="34">
        <v>11.999410800891338</v>
      </c>
      <c r="AJ577" s="35">
        <v>842.89146677152962</v>
      </c>
      <c r="AL577" s="72">
        <v>17.573375278542404</v>
      </c>
      <c r="AM577" s="35">
        <v>173.69989513697732</v>
      </c>
      <c r="AO577"/>
      <c r="AQ577" s="34">
        <v>4.160112727749378E-2</v>
      </c>
      <c r="AR577" s="34">
        <v>0.18874754227290602</v>
      </c>
      <c r="AS577" s="34">
        <v>6.6677808362826066E-2</v>
      </c>
      <c r="AU577" s="35">
        <v>147.35555118626297</v>
      </c>
      <c r="AV577" s="161">
        <v>10.13273134327188</v>
      </c>
      <c r="AW577" s="35">
        <v>29.54941669943636</v>
      </c>
      <c r="AX577"/>
      <c r="AY577"/>
      <c r="AZ577"/>
      <c r="BA577"/>
      <c r="BB577"/>
      <c r="BC577"/>
      <c r="BD577" s="34">
        <v>2.4986892122165422E-3</v>
      </c>
      <c r="BE577"/>
      <c r="BF577"/>
      <c r="BG577" s="34">
        <v>3.1789487481976672E-2</v>
      </c>
      <c r="BH577" s="35">
        <v>31.464936426792505</v>
      </c>
      <c r="BI577" s="34">
        <v>2.2128789487481981</v>
      </c>
      <c r="BJ577" s="72">
        <v>5.7242489186000789</v>
      </c>
      <c r="BK577" s="54">
        <v>0.74186575433917468</v>
      </c>
      <c r="BL577" s="72">
        <v>3.5397430855944423</v>
      </c>
      <c r="BM577" s="34">
        <v>1.1196878358893696</v>
      </c>
      <c r="BN577" s="34">
        <v>0.80145327041551984</v>
      </c>
      <c r="BO577" s="51">
        <v>1.3843937460830638</v>
      </c>
      <c r="BP577" s="34">
        <v>0.2492012059247608</v>
      </c>
      <c r="BQ577" s="74">
        <v>1.6391981174431995</v>
      </c>
      <c r="BR577" s="74">
        <v>0.36587221102849532</v>
      </c>
      <c r="BS577" s="52">
        <v>1.0187629052127467</v>
      </c>
      <c r="BT577" s="53">
        <v>0.15116832966132449</v>
      </c>
      <c r="BU577" s="34">
        <v>0.98900085201205934</v>
      </c>
      <c r="BV577" s="37">
        <v>0.14049842705465987</v>
      </c>
      <c r="BW577" s="34">
        <v>0.8352129374754228</v>
      </c>
      <c r="BX577" s="34">
        <v>0.10208244855157951</v>
      </c>
      <c r="BY577" s="34">
        <v>9.8754751605715063E-2</v>
      </c>
      <c r="BZ577" s="72">
        <v>6.5817538340542674</v>
      </c>
      <c r="CA577" s="72">
        <v>1.5550465329663128</v>
      </c>
      <c r="CE577" s="34">
        <v>0.35666758421811512</v>
      </c>
      <c r="CF577" s="34">
        <v>9.8098702320094391E-2</v>
      </c>
      <c r="CI577" s="29">
        <v>1.3736740331361121</v>
      </c>
      <c r="CJ577" s="41">
        <v>1.3969373901050095</v>
      </c>
      <c r="CK577" s="29">
        <v>1.3825698150080694</v>
      </c>
    </row>
    <row r="578" spans="1:89" x14ac:dyDescent="0.2">
      <c r="I578" s="30"/>
      <c r="J578" s="30"/>
      <c r="L578" s="30"/>
      <c r="M578" s="32"/>
      <c r="N578" s="30"/>
      <c r="O578" s="33"/>
      <c r="T578" s="38" t="e">
        <f t="shared" si="12"/>
        <v>#DIV/0!</v>
      </c>
      <c r="W578"/>
      <c r="X578"/>
      <c r="Y578"/>
      <c r="Z578"/>
      <c r="AA578"/>
      <c r="AB578"/>
      <c r="AO578"/>
      <c r="AQ578"/>
      <c r="AR578"/>
      <c r="AS578"/>
      <c r="AW578"/>
      <c r="AX578"/>
      <c r="AY578"/>
      <c r="AZ578"/>
      <c r="BA578"/>
      <c r="BB578"/>
      <c r="BC578"/>
      <c r="BD578"/>
      <c r="BE578"/>
      <c r="BF578"/>
      <c r="BG578"/>
      <c r="BH578"/>
    </row>
    <row r="579" spans="1:89" x14ac:dyDescent="0.2">
      <c r="I579" s="30"/>
      <c r="J579" s="30"/>
      <c r="L579" s="30"/>
      <c r="M579" s="32"/>
      <c r="N579" s="30"/>
      <c r="O579" s="33"/>
      <c r="T579" s="38" t="e">
        <f t="shared" ref="T579:T642" si="13">100*(N579/40.304)/(N579/40.304+L579/71.846)</f>
        <v>#DIV/0!</v>
      </c>
      <c r="W579"/>
      <c r="X579"/>
      <c r="Y579"/>
      <c r="Z579"/>
      <c r="AA579"/>
      <c r="AB579"/>
      <c r="AO579"/>
      <c r="AQ579"/>
      <c r="AR579"/>
      <c r="AS579"/>
      <c r="AW579"/>
      <c r="AX579"/>
      <c r="AY579"/>
      <c r="AZ579"/>
      <c r="BA579"/>
      <c r="BB579"/>
      <c r="BC579"/>
      <c r="BD579"/>
      <c r="BE579"/>
      <c r="BF579"/>
      <c r="BG579"/>
      <c r="BH579"/>
    </row>
    <row r="580" spans="1:89" x14ac:dyDescent="0.2">
      <c r="A580" t="s">
        <v>242</v>
      </c>
      <c r="C580" t="s">
        <v>717</v>
      </c>
      <c r="E580">
        <v>0</v>
      </c>
      <c r="H580" s="6"/>
      <c r="K580" s="3">
        <v>6.923076070050066E-2</v>
      </c>
      <c r="L580" s="6">
        <v>3.404595633296633</v>
      </c>
      <c r="O580" s="7">
        <v>16.748104368780773</v>
      </c>
      <c r="P580" s="3">
        <v>0.37238928474977662</v>
      </c>
      <c r="Q580" s="3">
        <v>3.7348816918378797E-2</v>
      </c>
      <c r="R580" s="3"/>
      <c r="S580" s="2"/>
      <c r="T580" s="38">
        <f t="shared" si="13"/>
        <v>0</v>
      </c>
      <c r="U580" s="2"/>
      <c r="V580" s="2"/>
      <c r="AC580" s="2"/>
      <c r="AD580" s="2"/>
      <c r="AE580" s="2"/>
      <c r="AF580" s="2"/>
      <c r="AG580" s="2"/>
      <c r="AH580" s="2"/>
      <c r="AI580" s="6">
        <v>6.6190830338409139</v>
      </c>
      <c r="AJ580" s="8">
        <v>473.66420840517696</v>
      </c>
      <c r="AK580" s="2"/>
      <c r="AL580" s="7">
        <v>8.0607439183995684</v>
      </c>
      <c r="AM580" s="8">
        <v>45.12144504227517</v>
      </c>
      <c r="AN580" s="8">
        <v>0</v>
      </c>
      <c r="AO580" s="2"/>
      <c r="AP580" s="2"/>
      <c r="AQ580" s="2">
        <v>5.0549473378066777E-2</v>
      </c>
      <c r="AR580" s="2">
        <v>0.21024949622951161</v>
      </c>
      <c r="AS580" s="2">
        <v>5.9245902320460363E-2</v>
      </c>
      <c r="AT580" s="8">
        <v>1.0337038037268631</v>
      </c>
      <c r="AU580" s="8">
        <v>159.34590855267263</v>
      </c>
      <c r="AV580" s="2"/>
      <c r="AW580" s="2">
        <v>23.73556723518292</v>
      </c>
      <c r="AX580" s="2"/>
      <c r="AY580" s="2"/>
      <c r="AZ580" s="2">
        <v>1.7361904564056757E-2</v>
      </c>
      <c r="BA580" s="2"/>
      <c r="BB580" s="2"/>
      <c r="BC580" s="2"/>
      <c r="BD580" s="2">
        <v>3.0985935974406388E-3</v>
      </c>
      <c r="BE580" s="2"/>
      <c r="BF580" s="2"/>
      <c r="BG580" s="2">
        <v>1.9097471799239672E-2</v>
      </c>
      <c r="BH580" s="2">
        <v>26.413108419718721</v>
      </c>
      <c r="BI580" s="6">
        <v>1.7964710929222842</v>
      </c>
      <c r="BJ580" s="2">
        <v>4.7233090969524483</v>
      </c>
      <c r="BK580" s="2"/>
      <c r="BL580" s="7">
        <v>2.9928724266157016</v>
      </c>
      <c r="BM580" s="6">
        <v>0.86349151380435019</v>
      </c>
      <c r="BN580" s="6">
        <v>0.83941529384880675</v>
      </c>
      <c r="BO580" s="6"/>
      <c r="BP580" s="6">
        <v>0.18278852026507675</v>
      </c>
      <c r="BQ580" s="2"/>
      <c r="BR580" s="2"/>
      <c r="BS580" s="2"/>
      <c r="BT580" s="2"/>
      <c r="BU580" s="2">
        <v>0.70131208841431747</v>
      </c>
      <c r="BV580" s="3">
        <v>9.9232235079045231E-2</v>
      </c>
      <c r="BW580" s="6">
        <v>0.61623991939672196</v>
      </c>
      <c r="BX580" s="6">
        <v>7.6081683528263097E-2</v>
      </c>
      <c r="BY580" s="2">
        <v>8.599289527806056E-2</v>
      </c>
      <c r="BZ580" s="7">
        <v>1.9337204229594696</v>
      </c>
      <c r="CA580" s="7">
        <v>0.16907991773479861</v>
      </c>
      <c r="CB580" s="2"/>
      <c r="CC580" s="2"/>
      <c r="CD580" s="2"/>
      <c r="CE580" s="6">
        <v>0.27512208903753871</v>
      </c>
      <c r="CF580" s="6">
        <v>7.2693686769013444E-2</v>
      </c>
    </row>
    <row r="581" spans="1:89" x14ac:dyDescent="0.2">
      <c r="A581" t="s">
        <v>242</v>
      </c>
      <c r="C581" t="s">
        <v>700</v>
      </c>
      <c r="H581" s="506">
        <v>44.287286089335687</v>
      </c>
      <c r="I581" s="506">
        <v>0.15249994649285736</v>
      </c>
      <c r="J581" s="506">
        <v>30.998807636404106</v>
      </c>
      <c r="K581" s="507">
        <v>6.923076070050066E-2</v>
      </c>
      <c r="L581" s="506">
        <v>3.404595633296633</v>
      </c>
      <c r="M581" s="506">
        <v>5.2714907840695782E-2</v>
      </c>
      <c r="N581" s="506">
        <v>2.8418767467431199</v>
      </c>
      <c r="O581" s="506">
        <v>17.492141202449542</v>
      </c>
      <c r="P581" s="507">
        <v>0.37238928474977678</v>
      </c>
      <c r="Q581" s="506">
        <v>2.6597597659403952E-2</v>
      </c>
      <c r="R581" s="506">
        <v>1.9129560139758636E-2</v>
      </c>
      <c r="S581" s="2"/>
      <c r="T581" s="38">
        <f t="shared" si="13"/>
        <v>59.806587609276292</v>
      </c>
      <c r="U581" s="2"/>
      <c r="V581" s="2"/>
      <c r="AC581" s="2"/>
      <c r="AD581" s="2"/>
      <c r="AE581" s="2"/>
      <c r="AF581" s="2"/>
      <c r="AG581" s="2"/>
      <c r="AH581" s="2"/>
      <c r="AI581" s="6"/>
      <c r="AJ581" s="8"/>
      <c r="AK581" s="2"/>
      <c r="AL581" s="7"/>
      <c r="AM581" s="8"/>
      <c r="AN581" s="8"/>
      <c r="AO581" s="2"/>
      <c r="AP581" s="2"/>
      <c r="AQ581" s="2"/>
      <c r="AR581" s="2"/>
      <c r="AS581" s="2"/>
      <c r="AT581" s="8"/>
      <c r="AU581" s="8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6"/>
      <c r="BJ581" s="2"/>
      <c r="BK581" s="2"/>
      <c r="BL581" s="7"/>
      <c r="BM581" s="6"/>
      <c r="BN581" s="6"/>
      <c r="BO581" s="6"/>
      <c r="BP581" s="6"/>
      <c r="BQ581" s="2"/>
      <c r="BR581" s="2"/>
      <c r="BS581" s="2"/>
      <c r="BT581" s="2"/>
      <c r="BU581" s="2"/>
      <c r="BV581" s="3"/>
      <c r="BW581" s="6"/>
      <c r="BX581" s="6"/>
      <c r="BY581" s="2"/>
      <c r="BZ581" s="7"/>
      <c r="CA581" s="7"/>
      <c r="CB581" s="2"/>
      <c r="CC581" s="2"/>
      <c r="CD581" s="2"/>
      <c r="CE581" s="6"/>
      <c r="CF581" s="6"/>
    </row>
    <row r="582" spans="1:89" x14ac:dyDescent="0.2">
      <c r="A582" t="s">
        <v>242</v>
      </c>
      <c r="H582" s="6"/>
      <c r="K582" s="3"/>
      <c r="P582" s="3"/>
      <c r="Q582" s="3"/>
      <c r="R582" s="3"/>
      <c r="S582" s="2"/>
      <c r="T582" s="38" t="e">
        <f t="shared" si="13"/>
        <v>#DIV/0!</v>
      </c>
      <c r="U582" s="2"/>
      <c r="V582" s="2"/>
      <c r="AC582" s="2"/>
      <c r="AD582" s="2"/>
      <c r="AE582" s="2"/>
      <c r="AF582" s="2"/>
      <c r="AG582" s="2"/>
      <c r="AH582" s="2"/>
      <c r="AI582" s="6"/>
      <c r="AJ582" s="8"/>
      <c r="AK582" s="2"/>
      <c r="AL582" s="7"/>
      <c r="AM582" s="8"/>
      <c r="AN582" s="8"/>
      <c r="AO582" s="2"/>
      <c r="AP582" s="2"/>
      <c r="AQ582" s="2"/>
      <c r="AR582" s="2"/>
      <c r="AS582" s="2"/>
      <c r="AT582" s="8"/>
      <c r="AU582" s="8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6"/>
      <c r="BJ582" s="2"/>
      <c r="BK582" s="2"/>
      <c r="BL582" s="7"/>
      <c r="BM582" s="6"/>
      <c r="BN582" s="6"/>
      <c r="BO582" s="6"/>
      <c r="BP582" s="6"/>
      <c r="BQ582" s="2"/>
      <c r="BR582" s="2"/>
      <c r="BS582" s="2"/>
      <c r="BT582" s="2"/>
      <c r="BU582" s="2"/>
      <c r="BV582" s="3"/>
      <c r="BW582" s="6"/>
      <c r="BX582" s="6"/>
      <c r="BY582" s="2"/>
      <c r="BZ582" s="7"/>
      <c r="CA582" s="7"/>
      <c r="CB582" s="2"/>
      <c r="CC582" s="2"/>
      <c r="CD582" s="2"/>
      <c r="CE582" s="6"/>
      <c r="CF582" s="6"/>
    </row>
    <row r="583" spans="1:89" x14ac:dyDescent="0.2">
      <c r="A583" s="36" t="s">
        <v>242</v>
      </c>
      <c r="C583" s="36" t="s">
        <v>279</v>
      </c>
      <c r="H583" s="34">
        <v>44.287286089335687</v>
      </c>
      <c r="I583" s="34">
        <v>0.15249994649285736</v>
      </c>
      <c r="J583" s="34">
        <v>30.998807636404106</v>
      </c>
      <c r="K583" s="37">
        <v>6.923076070050066E-2</v>
      </c>
      <c r="L583" s="34">
        <v>3.404595633296633</v>
      </c>
      <c r="M583" s="37">
        <v>5.2714907840695782E-2</v>
      </c>
      <c r="N583" s="34">
        <v>2.8418767467431199</v>
      </c>
      <c r="O583" s="72">
        <v>17.120122785615159</v>
      </c>
      <c r="P583" s="37">
        <v>0.37238928474977673</v>
      </c>
      <c r="Q583" s="37">
        <v>3.1973207288891373E-2</v>
      </c>
      <c r="R583" s="37">
        <v>1.9129560139758636E-2</v>
      </c>
      <c r="T583" s="38">
        <f t="shared" si="13"/>
        <v>59.806587609276292</v>
      </c>
      <c r="W583" s="36"/>
      <c r="X583" s="36"/>
      <c r="Y583" s="36"/>
      <c r="Z583" s="36"/>
      <c r="AA583" s="36"/>
      <c r="AB583"/>
      <c r="AI583" s="34">
        <v>6.6190830338409139</v>
      </c>
      <c r="AJ583" s="35">
        <v>473.66420840517696</v>
      </c>
      <c r="AL583" s="72">
        <v>8.0607439183995684</v>
      </c>
      <c r="AM583" s="35">
        <v>45.12144504227517</v>
      </c>
      <c r="AO583"/>
      <c r="AQ583" s="34">
        <v>5.0549473378066777E-2</v>
      </c>
      <c r="AR583" s="34">
        <v>0.21024949622951161</v>
      </c>
      <c r="AS583" s="34">
        <v>5.9245902320460363E-2</v>
      </c>
      <c r="AU583" s="35">
        <v>159.34590855267263</v>
      </c>
      <c r="AV583" s="161">
        <v>7.3421300234391591</v>
      </c>
      <c r="AW583" s="35">
        <v>23.73556723518292</v>
      </c>
      <c r="AX583"/>
      <c r="AY583"/>
      <c r="AZ583"/>
      <c r="BA583"/>
      <c r="BB583"/>
      <c r="BC583"/>
      <c r="BD583" s="34">
        <v>3.0985935974406388E-3</v>
      </c>
      <c r="BE583"/>
      <c r="BF583"/>
      <c r="BG583" s="34">
        <v>1.9097471799239672E-2</v>
      </c>
      <c r="BH583" s="35">
        <v>26.413108419718721</v>
      </c>
      <c r="BI583" s="34">
        <v>1.7964710929222842</v>
      </c>
      <c r="BJ583" s="72">
        <v>4.7233090969524483</v>
      </c>
      <c r="BK583" s="54">
        <v>0.61880976426571399</v>
      </c>
      <c r="BL583" s="72">
        <v>2.9928724266157016</v>
      </c>
      <c r="BM583" s="34">
        <v>0.86349151380435019</v>
      </c>
      <c r="BN583" s="34">
        <v>0.83941529384880675</v>
      </c>
      <c r="BO583" s="51">
        <v>1.0335768589951988</v>
      </c>
      <c r="BP583" s="34">
        <v>0.18278852026507675</v>
      </c>
      <c r="BQ583" s="74">
        <v>1.203285061741219</v>
      </c>
      <c r="BR583" s="74">
        <v>0.26625877637732964</v>
      </c>
      <c r="BS583" s="52">
        <v>0.73500400030591151</v>
      </c>
      <c r="BT583" s="53">
        <v>0.10812449976024899</v>
      </c>
      <c r="BU583" s="34">
        <v>0.70131208841431747</v>
      </c>
      <c r="BV583" s="37">
        <v>9.9232235079045231E-2</v>
      </c>
      <c r="BW583" s="34">
        <v>0.61623991939672196</v>
      </c>
      <c r="BX583" s="34">
        <v>7.6081683528263097E-2</v>
      </c>
      <c r="BY583" s="34">
        <v>8.599289527806056E-2</v>
      </c>
      <c r="BZ583" s="72">
        <v>1.9337204229594696</v>
      </c>
      <c r="CA583" s="72">
        <v>0.16907991773479861</v>
      </c>
      <c r="CE583" s="34">
        <v>0.27512208903753871</v>
      </c>
      <c r="CF583" s="34">
        <v>7.2693686769013444E-2</v>
      </c>
      <c r="CI583" s="29">
        <v>1.0378252134745349</v>
      </c>
      <c r="CJ583" s="41">
        <v>1.0419125809185008</v>
      </c>
      <c r="CK583" s="29">
        <v>1.0209927825925613</v>
      </c>
    </row>
    <row r="584" spans="1:89" x14ac:dyDescent="0.2">
      <c r="I584" s="30"/>
      <c r="J584" s="30"/>
      <c r="L584" s="30"/>
      <c r="M584" s="32"/>
      <c r="N584" s="30"/>
      <c r="O584" s="33"/>
      <c r="T584" s="38" t="e">
        <f t="shared" si="13"/>
        <v>#DIV/0!</v>
      </c>
      <c r="W584"/>
      <c r="X584"/>
      <c r="Y584"/>
      <c r="Z584"/>
      <c r="AA584"/>
      <c r="AB584"/>
      <c r="AO584"/>
      <c r="AQ584"/>
      <c r="AR584"/>
      <c r="AS584"/>
      <c r="AW584"/>
      <c r="AX584"/>
      <c r="AY584"/>
      <c r="AZ584"/>
      <c r="BA584"/>
      <c r="BB584"/>
      <c r="BC584"/>
      <c r="BD584"/>
      <c r="BE584"/>
      <c r="BF584"/>
      <c r="BG584"/>
      <c r="BH584"/>
    </row>
    <row r="585" spans="1:89" x14ac:dyDescent="0.2">
      <c r="I585" s="30"/>
      <c r="J585" s="30"/>
      <c r="L585" s="30"/>
      <c r="M585" s="32"/>
      <c r="N585" s="30"/>
      <c r="O585" s="33"/>
      <c r="T585" s="38" t="e">
        <f t="shared" si="13"/>
        <v>#DIV/0!</v>
      </c>
      <c r="W585"/>
      <c r="X585"/>
      <c r="Y585"/>
      <c r="Z585"/>
      <c r="AA585"/>
      <c r="AB585"/>
      <c r="AO585"/>
      <c r="AQ585"/>
      <c r="AR585"/>
      <c r="AS585"/>
      <c r="AW585"/>
      <c r="AX585"/>
      <c r="AY585"/>
      <c r="AZ585"/>
      <c r="BA585"/>
      <c r="BB585"/>
      <c r="BC585"/>
      <c r="BD585"/>
      <c r="BE585"/>
      <c r="BF585"/>
      <c r="BG585"/>
      <c r="BH585"/>
    </row>
    <row r="586" spans="1:89" x14ac:dyDescent="0.2">
      <c r="A586" t="s">
        <v>243</v>
      </c>
      <c r="C586" t="s">
        <v>717</v>
      </c>
      <c r="E586">
        <v>0</v>
      </c>
      <c r="I586" s="30"/>
      <c r="J586" s="30"/>
      <c r="K586" s="32">
        <v>9.6130378647103248E-2</v>
      </c>
      <c r="L586" s="30">
        <v>5.0113385118854961</v>
      </c>
      <c r="M586" s="32"/>
      <c r="N586" s="30"/>
      <c r="O586" s="33">
        <v>15.530156075808248</v>
      </c>
      <c r="P586" s="32">
        <v>0.61833511346063941</v>
      </c>
      <c r="Q586" s="32">
        <v>8.8314453195238604E-2</v>
      </c>
      <c r="T586" s="38">
        <f t="shared" si="13"/>
        <v>0</v>
      </c>
      <c r="W586"/>
      <c r="X586"/>
      <c r="Y586"/>
      <c r="Z586"/>
      <c r="AA586"/>
      <c r="AB586"/>
      <c r="AI586" s="30">
        <v>9.7667819254144632</v>
      </c>
      <c r="AJ586" s="31">
        <v>657.70647678642069</v>
      </c>
      <c r="AL586" s="33">
        <v>17.777750206782464</v>
      </c>
      <c r="AM586" s="31">
        <v>217.58949185456899</v>
      </c>
      <c r="AN586" s="31">
        <v>0</v>
      </c>
      <c r="AO586"/>
      <c r="AQ586">
        <v>0.11112130039198763</v>
      </c>
      <c r="AR586">
        <v>0.13590570719602982</v>
      </c>
      <c r="AS586">
        <v>7.867641241414032E-2</v>
      </c>
      <c r="AT586" s="31">
        <v>2.0502049843564567</v>
      </c>
      <c r="AU586" s="31">
        <v>198.00053943251697</v>
      </c>
      <c r="AW586">
        <v>153.01508612939188</v>
      </c>
      <c r="AX586"/>
      <c r="AY586"/>
      <c r="AZ586">
        <v>0</v>
      </c>
      <c r="BA586"/>
      <c r="BB586"/>
      <c r="BC586"/>
      <c r="BD586">
        <v>3.5089006365303698E-3</v>
      </c>
      <c r="BE586"/>
      <c r="BF586"/>
      <c r="BG586">
        <v>0.10000372208436728</v>
      </c>
      <c r="BH586">
        <v>130.76320710612436</v>
      </c>
      <c r="BI586" s="30">
        <v>11.114467939727406</v>
      </c>
      <c r="BJ586">
        <v>28.985115258747793</v>
      </c>
      <c r="BL586" s="33">
        <v>17.162570575754309</v>
      </c>
      <c r="BM586" s="30">
        <v>5.0432463048872593</v>
      </c>
      <c r="BN586" s="30">
        <v>1.3766375193296652</v>
      </c>
      <c r="BP586" s="30">
        <v>0.97643569964397448</v>
      </c>
      <c r="BU586">
        <v>3.2480001438486719</v>
      </c>
      <c r="BV586" s="32">
        <v>0.44907347070881437</v>
      </c>
      <c r="BW586" s="30">
        <v>3.8578161973603771</v>
      </c>
      <c r="BX586" s="30">
        <v>0.44466242313086635</v>
      </c>
      <c r="BY586">
        <v>0.16639155608300069</v>
      </c>
      <c r="BZ586" s="33">
        <v>8.665379221059446</v>
      </c>
      <c r="CA586" s="33">
        <v>1.7857661739849677</v>
      </c>
      <c r="CE586" s="30">
        <v>1.6493271478404723</v>
      </c>
      <c r="CF586" s="30">
        <v>0.46126507713884995</v>
      </c>
    </row>
    <row r="587" spans="1:89" x14ac:dyDescent="0.2">
      <c r="A587" t="s">
        <v>243</v>
      </c>
      <c r="C587" t="s">
        <v>700</v>
      </c>
      <c r="H587" s="508">
        <v>45.428673518466375</v>
      </c>
      <c r="I587" s="508">
        <v>0.56503629230403207</v>
      </c>
      <c r="J587" s="508">
        <v>27.091250412267833</v>
      </c>
      <c r="K587" s="509">
        <v>9.6130378647103235E-2</v>
      </c>
      <c r="L587" s="508">
        <v>5.0113385118854961</v>
      </c>
      <c r="M587" s="508">
        <v>6.5201110678009266E-2</v>
      </c>
      <c r="N587" s="508">
        <v>5.1824261384088928</v>
      </c>
      <c r="O587" s="508">
        <v>15.429600694187986</v>
      </c>
      <c r="P587" s="509">
        <v>0.61833511346063941</v>
      </c>
      <c r="Q587" s="508">
        <v>0.10294519136910592</v>
      </c>
      <c r="R587" s="508">
        <v>0.10204463576222068</v>
      </c>
      <c r="T587" s="38">
        <f t="shared" si="13"/>
        <v>64.831584012495313</v>
      </c>
      <c r="W587"/>
      <c r="X587"/>
      <c r="Y587"/>
      <c r="Z587"/>
      <c r="AA587"/>
      <c r="AB587"/>
      <c r="AO587"/>
      <c r="AQ587"/>
      <c r="AR587"/>
      <c r="AS587"/>
      <c r="AW587"/>
      <c r="AX587"/>
      <c r="AY587"/>
      <c r="AZ587"/>
      <c r="BA587"/>
      <c r="BB587"/>
      <c r="BC587"/>
      <c r="BD587"/>
      <c r="BE587"/>
      <c r="BF587"/>
      <c r="BG587"/>
      <c r="BH587"/>
    </row>
    <row r="588" spans="1:89" x14ac:dyDescent="0.2">
      <c r="A588" t="s">
        <v>243</v>
      </c>
      <c r="I588" s="30"/>
      <c r="J588" s="30"/>
      <c r="L588" s="30"/>
      <c r="M588" s="32"/>
      <c r="N588" s="30"/>
      <c r="O588" s="33"/>
      <c r="T588" s="38" t="e">
        <f t="shared" si="13"/>
        <v>#DIV/0!</v>
      </c>
      <c r="W588"/>
      <c r="X588"/>
      <c r="Y588"/>
      <c r="Z588"/>
      <c r="AA588"/>
      <c r="AB588"/>
      <c r="AO588"/>
      <c r="AQ588"/>
      <c r="AR588"/>
      <c r="AS588"/>
      <c r="AW588"/>
      <c r="AX588"/>
      <c r="AY588"/>
      <c r="AZ588"/>
      <c r="BA588"/>
      <c r="BB588"/>
      <c r="BC588"/>
      <c r="BD588"/>
      <c r="BE588"/>
      <c r="BF588"/>
      <c r="BG588"/>
      <c r="BH588"/>
    </row>
    <row r="589" spans="1:89" x14ac:dyDescent="0.2">
      <c r="A589" s="36" t="s">
        <v>243</v>
      </c>
      <c r="C589" s="36" t="s">
        <v>279</v>
      </c>
      <c r="H589" s="34">
        <v>45.428673518466375</v>
      </c>
      <c r="I589" s="34">
        <v>0.56503629230403207</v>
      </c>
      <c r="J589" s="34">
        <v>27.091250412267833</v>
      </c>
      <c r="K589" s="37">
        <v>9.6130378647103248E-2</v>
      </c>
      <c r="L589" s="34">
        <v>5.0113385118854961</v>
      </c>
      <c r="M589" s="37">
        <v>6.5201110678009266E-2</v>
      </c>
      <c r="N589" s="34">
        <v>5.1824261384088928</v>
      </c>
      <c r="O589" s="72">
        <v>15.479878384998116</v>
      </c>
      <c r="P589" s="37">
        <v>0.61833511346063941</v>
      </c>
      <c r="Q589" s="37">
        <v>9.5629822282172261E-2</v>
      </c>
      <c r="R589" s="37">
        <v>0.10204463576222068</v>
      </c>
      <c r="T589" s="38">
        <f t="shared" si="13"/>
        <v>64.831584012495313</v>
      </c>
      <c r="W589" s="36"/>
      <c r="X589" s="36"/>
      <c r="Y589" s="36"/>
      <c r="Z589" s="36"/>
      <c r="AA589" s="36"/>
      <c r="AB589"/>
      <c r="AI589" s="34">
        <v>9.7667819254144632</v>
      </c>
      <c r="AJ589" s="35">
        <v>657.70647678642069</v>
      </c>
      <c r="AL589" s="72">
        <v>17.777750206782464</v>
      </c>
      <c r="AM589" s="35">
        <v>217.58949185456899</v>
      </c>
      <c r="AO589"/>
      <c r="AQ589" s="34">
        <v>0.11112130039198763</v>
      </c>
      <c r="AR589" s="34">
        <v>0.13590570719602982</v>
      </c>
      <c r="AS589" s="34">
        <v>7.867641241414032E-2</v>
      </c>
      <c r="AU589" s="35">
        <v>198.00053943251697</v>
      </c>
      <c r="AV589" s="161">
        <v>36.540001070655464</v>
      </c>
      <c r="AW589" s="35">
        <v>153.01508612939188</v>
      </c>
      <c r="AX589"/>
      <c r="AY589"/>
      <c r="AZ589"/>
      <c r="BA589"/>
      <c r="BB589"/>
      <c r="BC589"/>
      <c r="BD589" s="34">
        <v>3.5089006365303698E-3</v>
      </c>
      <c r="BE589"/>
      <c r="BF589"/>
      <c r="BG589" s="34">
        <v>0.10000372208436728</v>
      </c>
      <c r="BH589" s="35">
        <v>130.76320710612436</v>
      </c>
      <c r="BI589" s="34">
        <v>11.114467939727406</v>
      </c>
      <c r="BJ589" s="72">
        <v>28.985115258747793</v>
      </c>
      <c r="BK589" s="54">
        <v>3.6395084042778829</v>
      </c>
      <c r="BL589" s="72">
        <v>17.162570575754309</v>
      </c>
      <c r="BM589" s="34">
        <v>5.0432463048872593</v>
      </c>
      <c r="BN589" s="34">
        <v>1.3766375193296652</v>
      </c>
      <c r="BO589" s="51">
        <v>5.7564073034536696</v>
      </c>
      <c r="BP589" s="34">
        <v>0.97643569964397448</v>
      </c>
      <c r="BQ589" s="74">
        <v>6.2526225479162711</v>
      </c>
      <c r="BR589" s="74">
        <v>1.3443093802614641</v>
      </c>
      <c r="BS589" s="52">
        <v>3.6056816070520732</v>
      </c>
      <c r="BT589" s="53">
        <v>0.5153768683103892</v>
      </c>
      <c r="BU589" s="34">
        <v>3.2480001438486719</v>
      </c>
      <c r="BV589" s="37">
        <v>0.44907347070881437</v>
      </c>
      <c r="BW589" s="34">
        <v>3.8578161973603771</v>
      </c>
      <c r="BX589" s="34">
        <v>0.44466242313086635</v>
      </c>
      <c r="BY589" s="34">
        <v>0.16639155608300069</v>
      </c>
      <c r="BZ589" s="72">
        <v>8.665379221059446</v>
      </c>
      <c r="CA589" s="72">
        <v>1.7857661739849677</v>
      </c>
      <c r="CE589" s="34">
        <v>1.6493271478404723</v>
      </c>
      <c r="CF589" s="34">
        <v>0.46126507713884995</v>
      </c>
      <c r="CI589" s="29">
        <v>5.9233826254642876</v>
      </c>
      <c r="CJ589" s="41">
        <v>5.7338684186799345</v>
      </c>
      <c r="CK589" s="29">
        <v>5.6119708662167875</v>
      </c>
    </row>
    <row r="590" spans="1:89" x14ac:dyDescent="0.2">
      <c r="I590" s="30"/>
      <c r="J590" s="30"/>
      <c r="L590" s="30"/>
      <c r="M590" s="32"/>
      <c r="N590" s="30"/>
      <c r="O590" s="33"/>
      <c r="T590" s="38" t="e">
        <f t="shared" si="13"/>
        <v>#DIV/0!</v>
      </c>
      <c r="W590"/>
      <c r="X590"/>
      <c r="Y590"/>
      <c r="Z590"/>
      <c r="AA590"/>
      <c r="AB590"/>
      <c r="AO590"/>
      <c r="AQ590"/>
      <c r="AR590"/>
      <c r="AS590"/>
      <c r="AW590"/>
      <c r="AX590"/>
      <c r="AY590"/>
      <c r="AZ590"/>
      <c r="BA590"/>
      <c r="BB590"/>
      <c r="BC590"/>
      <c r="BD590"/>
      <c r="BE590"/>
      <c r="BF590"/>
      <c r="BG590"/>
      <c r="BH590"/>
    </row>
    <row r="591" spans="1:89" x14ac:dyDescent="0.2">
      <c r="I591" s="30"/>
      <c r="J591" s="30"/>
      <c r="L591" s="30"/>
      <c r="M591" s="32"/>
      <c r="N591" s="30"/>
      <c r="O591" s="33"/>
      <c r="T591" s="38" t="e">
        <f t="shared" si="13"/>
        <v>#DIV/0!</v>
      </c>
      <c r="W591"/>
      <c r="X591"/>
      <c r="Y591"/>
      <c r="Z591"/>
      <c r="AA591"/>
      <c r="AB591"/>
      <c r="AO591"/>
      <c r="AQ591"/>
      <c r="AR591"/>
      <c r="AS591"/>
      <c r="AW591"/>
      <c r="AX591"/>
      <c r="AY591"/>
      <c r="AZ591"/>
      <c r="BA591"/>
      <c r="BB591"/>
      <c r="BC591"/>
      <c r="BD591"/>
      <c r="BE591"/>
      <c r="BF591"/>
      <c r="BG591"/>
      <c r="BH591"/>
    </row>
    <row r="592" spans="1:89" x14ac:dyDescent="0.2">
      <c r="A592" t="s">
        <v>244</v>
      </c>
      <c r="C592" t="s">
        <v>717</v>
      </c>
      <c r="E592">
        <v>0</v>
      </c>
      <c r="I592" s="30"/>
      <c r="J592" s="30"/>
      <c r="K592" s="32">
        <v>6.3343444523749695E-2</v>
      </c>
      <c r="L592" s="30">
        <v>3.2590273938175431</v>
      </c>
      <c r="M592" s="32"/>
      <c r="N592" s="30"/>
      <c r="O592" s="33">
        <v>16.724242900226191</v>
      </c>
      <c r="P592" s="32">
        <v>0.37382668384016093</v>
      </c>
      <c r="Q592" s="32">
        <v>4.7206270419703454E-2</v>
      </c>
      <c r="T592" s="38">
        <f t="shared" si="13"/>
        <v>0</v>
      </c>
      <c r="W592"/>
      <c r="X592"/>
      <c r="Y592"/>
      <c r="Z592"/>
      <c r="AA592"/>
      <c r="AB592"/>
      <c r="AI592" s="30">
        <v>6.2886783739633083</v>
      </c>
      <c r="AJ592" s="31">
        <v>433.38426740387041</v>
      </c>
      <c r="AL592" s="33">
        <v>8.0574704699673294</v>
      </c>
      <c r="AM592" s="31">
        <v>43.252481779341551</v>
      </c>
      <c r="AN592" s="31">
        <v>0</v>
      </c>
      <c r="AO592"/>
      <c r="AQ592">
        <v>3.900603166624781E-2</v>
      </c>
      <c r="AR592">
        <v>7.123303593867808E-2</v>
      </c>
      <c r="AS592">
        <v>5.1531477758230713E-2</v>
      </c>
      <c r="AT592" s="31">
        <v>0.83855554159336521</v>
      </c>
      <c r="AU592" s="31">
        <v>160.59766901231467</v>
      </c>
      <c r="AW592">
        <v>27.425860769037456</v>
      </c>
      <c r="AX592"/>
      <c r="AY592"/>
      <c r="AZ592">
        <v>0</v>
      </c>
      <c r="BA592"/>
      <c r="BB592"/>
      <c r="BC592"/>
      <c r="BD592">
        <v>2.8434594119125414E-3</v>
      </c>
      <c r="BE592"/>
      <c r="BF592"/>
      <c r="BG592">
        <v>1.4667567227946725E-2</v>
      </c>
      <c r="BH592">
        <v>27.43201809499875</v>
      </c>
      <c r="BI592" s="30">
        <v>2.1457071500376985</v>
      </c>
      <c r="BJ592">
        <v>5.3760401482784621</v>
      </c>
      <c r="BL592" s="33">
        <v>3.3108538577532052</v>
      </c>
      <c r="BM592" s="30">
        <v>0.98415993340035202</v>
      </c>
      <c r="BN592" s="30">
        <v>0.86011127167630075</v>
      </c>
      <c r="BP592" s="30">
        <v>0.20219021739130436</v>
      </c>
      <c r="BU592">
        <v>0.78396534933400364</v>
      </c>
      <c r="BV592" s="32">
        <v>0.10980607564714756</v>
      </c>
      <c r="BW592" s="30">
        <v>0.66196195652173917</v>
      </c>
      <c r="BX592" s="30">
        <v>8.2258639105302858E-2</v>
      </c>
      <c r="BY592">
        <v>0.16796619753706965</v>
      </c>
      <c r="BZ592" s="33">
        <v>2.4484449610454893</v>
      </c>
      <c r="CA592" s="33">
        <v>0</v>
      </c>
      <c r="CE592" s="30">
        <v>0.31594775697411415</v>
      </c>
      <c r="CF592" s="30">
        <v>0.12594276200050267</v>
      </c>
    </row>
    <row r="593" spans="1:89" x14ac:dyDescent="0.2">
      <c r="A593" t="s">
        <v>244</v>
      </c>
      <c r="C593" t="s">
        <v>700</v>
      </c>
      <c r="H593" s="511">
        <v>44.501106983059067</v>
      </c>
      <c r="I593" s="511">
        <v>0.14394014032116265</v>
      </c>
      <c r="J593" s="511">
        <v>31.261080510766156</v>
      </c>
      <c r="K593" s="511">
        <v>6.3343444523749695E-2</v>
      </c>
      <c r="L593" s="511">
        <v>3.2590273938175423</v>
      </c>
      <c r="M593" s="511">
        <v>4.9452487094788049E-2</v>
      </c>
      <c r="N593" s="511">
        <v>2.7483058286362065</v>
      </c>
      <c r="O593" s="511">
        <v>17.322714967863948</v>
      </c>
      <c r="P593" s="511">
        <v>0.37382668384016088</v>
      </c>
      <c r="Q593" s="511">
        <v>2.998340353453164E-2</v>
      </c>
      <c r="R593" s="511">
        <v>1.7760028332048192E-2</v>
      </c>
      <c r="T593" s="38">
        <f t="shared" si="13"/>
        <v>60.051947913059216</v>
      </c>
      <c r="W593"/>
      <c r="X593"/>
      <c r="Y593"/>
      <c r="Z593"/>
      <c r="AA593"/>
      <c r="AB593"/>
      <c r="AO593"/>
      <c r="AQ593"/>
      <c r="AR593"/>
      <c r="AS593"/>
      <c r="AW593"/>
      <c r="AX593"/>
      <c r="AY593"/>
      <c r="AZ593"/>
      <c r="BA593"/>
      <c r="BB593"/>
      <c r="BC593"/>
      <c r="BD593"/>
      <c r="BE593"/>
      <c r="BF593"/>
      <c r="BG593"/>
      <c r="BH593"/>
    </row>
    <row r="594" spans="1:89" x14ac:dyDescent="0.2">
      <c r="A594" t="s">
        <v>244</v>
      </c>
      <c r="K594" s="209"/>
      <c r="L594" s="192"/>
      <c r="O594" s="192"/>
      <c r="P594" s="209"/>
      <c r="Q594" s="209"/>
      <c r="T594" s="38" t="e">
        <f t="shared" si="13"/>
        <v>#DIV/0!</v>
      </c>
      <c r="AE594" s="194"/>
      <c r="AF594" s="193"/>
      <c r="AG594" s="194"/>
      <c r="AH594" s="194"/>
      <c r="AI594" s="192"/>
      <c r="AK594" s="193"/>
      <c r="AL594" s="193"/>
      <c r="AM594" s="194"/>
      <c r="AN594" s="194"/>
      <c r="AO594" s="193"/>
      <c r="AP594" s="192"/>
      <c r="AQ594" s="192"/>
      <c r="AR594" s="194"/>
      <c r="AS594" s="192"/>
      <c r="AT594" s="194"/>
      <c r="AU594" s="194"/>
      <c r="AV594" s="192"/>
      <c r="AW594" s="194"/>
      <c r="AX594" s="209"/>
      <c r="AY594" s="192"/>
      <c r="AZ594" s="209"/>
      <c r="BA594" s="192"/>
      <c r="BB594" s="38"/>
      <c r="BC594" s="39"/>
      <c r="BD594" s="39"/>
      <c r="BE594" s="39"/>
      <c r="BF594" s="38"/>
      <c r="BG594" s="38"/>
    </row>
    <row r="595" spans="1:89" x14ac:dyDescent="0.2">
      <c r="A595" s="36" t="s">
        <v>244</v>
      </c>
      <c r="C595" s="36" t="s">
        <v>279</v>
      </c>
      <c r="H595" s="34">
        <v>44.501106983059067</v>
      </c>
      <c r="I595" s="34">
        <v>0.14394014032116265</v>
      </c>
      <c r="J595" s="34">
        <v>31.261080510766156</v>
      </c>
      <c r="K595" s="37">
        <v>6.3343444523749695E-2</v>
      </c>
      <c r="L595" s="34">
        <v>3.2590273938175427</v>
      </c>
      <c r="M595" s="37">
        <v>4.9452487094788049E-2</v>
      </c>
      <c r="N595" s="34">
        <v>2.7483058286362065</v>
      </c>
      <c r="O595" s="72">
        <v>17.02347893404507</v>
      </c>
      <c r="P595" s="37">
        <v>0.37382668384016093</v>
      </c>
      <c r="Q595" s="37">
        <v>3.8594836977117547E-2</v>
      </c>
      <c r="R595" s="37">
        <v>1.7760028332048192E-2</v>
      </c>
      <c r="T595" s="38">
        <f t="shared" si="13"/>
        <v>60.051947913059216</v>
      </c>
      <c r="W595" s="36"/>
      <c r="X595" s="36"/>
      <c r="Y595" s="36"/>
      <c r="Z595" s="36"/>
      <c r="AA595" s="36"/>
      <c r="AB595"/>
      <c r="AI595" s="34">
        <v>6.2886783739633083</v>
      </c>
      <c r="AJ595" s="35">
        <v>433.38426740387041</v>
      </c>
      <c r="AL595" s="72">
        <v>8.0574704699673294</v>
      </c>
      <c r="AM595" s="35">
        <v>43.252481779341551</v>
      </c>
      <c r="AO595"/>
      <c r="AQ595" s="34">
        <v>3.900603166624781E-2</v>
      </c>
      <c r="AR595" s="34">
        <v>7.123303593867808E-2</v>
      </c>
      <c r="AS595" s="34">
        <v>5.1531477758230713E-2</v>
      </c>
      <c r="AU595" s="35">
        <v>160.59766901231467</v>
      </c>
      <c r="AV595" s="161">
        <v>8.2112926254255036</v>
      </c>
      <c r="AW595" s="35">
        <v>27.425860769037456</v>
      </c>
      <c r="AX595"/>
      <c r="AY595"/>
      <c r="AZ595"/>
      <c r="BA595"/>
      <c r="BB595"/>
      <c r="BC595"/>
      <c r="BD595" s="34">
        <v>2.8434594119125414E-3</v>
      </c>
      <c r="BE595"/>
      <c r="BF595"/>
      <c r="BG595" s="34">
        <v>1.4667567227946725E-2</v>
      </c>
      <c r="BH595" s="35">
        <v>27.43201809499875</v>
      </c>
      <c r="BI595" s="34">
        <v>2.1457071500376985</v>
      </c>
      <c r="BJ595" s="72">
        <v>5.3760401482784621</v>
      </c>
      <c r="BK595" s="54">
        <v>0.70227698124160032</v>
      </c>
      <c r="BL595" s="72">
        <v>3.3108538577532052</v>
      </c>
      <c r="BM595" s="34">
        <v>0.98415993340035202</v>
      </c>
      <c r="BN595" s="34">
        <v>0.86011127167630075</v>
      </c>
      <c r="BO595" s="51">
        <v>1.150649198226408</v>
      </c>
      <c r="BP595" s="34">
        <v>0.20219021739130436</v>
      </c>
      <c r="BQ595" s="74">
        <v>1.3461935536336618</v>
      </c>
      <c r="BR595" s="74">
        <v>0.29781049375376456</v>
      </c>
      <c r="BS595" s="52">
        <v>0.82192568849808667</v>
      </c>
      <c r="BT595" s="53">
        <v>0.12088807297108045</v>
      </c>
      <c r="BU595" s="34">
        <v>0.78396534933400364</v>
      </c>
      <c r="BV595" s="37">
        <v>0.10980607564714756</v>
      </c>
      <c r="BW595" s="34">
        <v>0.66196195652173917</v>
      </c>
      <c r="BX595" s="34">
        <v>8.2258639105302858E-2</v>
      </c>
      <c r="BY595" s="34">
        <v>0.16796619753706965</v>
      </c>
      <c r="BZ595" s="72">
        <v>2.4484449610454893</v>
      </c>
      <c r="CA595" s="72">
        <v>0</v>
      </c>
      <c r="CE595" s="34">
        <v>0.31594775697411415</v>
      </c>
      <c r="CF595" s="34">
        <v>0.12594276200050267</v>
      </c>
      <c r="CI595" s="29">
        <v>1.1608999181354578</v>
      </c>
      <c r="CJ595" s="41">
        <v>1.1640603557212148</v>
      </c>
      <c r="CK595" s="29">
        <v>1.1269873208225514</v>
      </c>
    </row>
    <row r="596" spans="1:89" x14ac:dyDescent="0.2">
      <c r="A596" s="36"/>
      <c r="C596" s="36"/>
      <c r="K596" s="209"/>
      <c r="L596" s="192"/>
      <c r="O596" s="193"/>
      <c r="P596" s="209"/>
      <c r="Q596" s="209"/>
      <c r="T596" s="38" t="e">
        <f t="shared" si="13"/>
        <v>#DIV/0!</v>
      </c>
      <c r="AE596" s="194"/>
      <c r="AF596" s="193"/>
      <c r="AG596" s="194"/>
      <c r="AH596" s="194"/>
      <c r="AI596" s="192"/>
      <c r="AK596" s="193"/>
      <c r="AL596" s="193"/>
      <c r="AM596" s="194"/>
      <c r="AN596" s="194"/>
      <c r="AO596" s="193"/>
      <c r="AP596" s="192"/>
      <c r="AQ596" s="192"/>
      <c r="AR596" s="194"/>
      <c r="AS596" s="192"/>
      <c r="AT596" s="194"/>
      <c r="AU596" s="194"/>
      <c r="AV596" s="192"/>
      <c r="AW596" s="194"/>
      <c r="AX596" s="209"/>
      <c r="AY596" s="192"/>
      <c r="AZ596" s="209"/>
      <c r="BA596" s="192"/>
      <c r="BB596" s="38"/>
      <c r="BC596" s="39"/>
      <c r="BD596" s="39"/>
      <c r="BE596" s="39"/>
      <c r="BF596" s="38"/>
      <c r="BG596" s="38"/>
    </row>
    <row r="597" spans="1:89" x14ac:dyDescent="0.2">
      <c r="A597" s="36"/>
      <c r="C597" s="36"/>
      <c r="K597" s="209"/>
      <c r="L597" s="192"/>
      <c r="O597" s="193"/>
      <c r="P597" s="209"/>
      <c r="Q597" s="209"/>
      <c r="T597" s="38" t="e">
        <f t="shared" si="13"/>
        <v>#DIV/0!</v>
      </c>
      <c r="AE597" s="194"/>
      <c r="AF597" s="193"/>
      <c r="AG597" s="194"/>
      <c r="AH597" s="194"/>
      <c r="AI597" s="192"/>
      <c r="AK597" s="193"/>
      <c r="AL597" s="193"/>
      <c r="AM597" s="194"/>
      <c r="AN597" s="194"/>
      <c r="AO597" s="193"/>
      <c r="AP597" s="192"/>
      <c r="AQ597" s="192"/>
      <c r="AR597" s="194"/>
      <c r="AS597" s="192"/>
      <c r="AT597" s="194"/>
      <c r="AU597" s="194"/>
      <c r="AV597" s="192"/>
      <c r="AW597" s="194"/>
      <c r="AX597" s="209"/>
      <c r="AY597" s="192"/>
      <c r="AZ597" s="209"/>
      <c r="BA597" s="192"/>
      <c r="BB597" s="38"/>
      <c r="BC597" s="39"/>
      <c r="BD597" s="39"/>
      <c r="BE597" s="39"/>
      <c r="BF597" s="38"/>
      <c r="BG597" s="38"/>
    </row>
    <row r="598" spans="1:89" x14ac:dyDescent="0.2">
      <c r="A598" t="s">
        <v>247</v>
      </c>
      <c r="C598" t="s">
        <v>717</v>
      </c>
      <c r="K598" s="209">
        <v>7.5946153966802668E-2</v>
      </c>
      <c r="L598" s="192">
        <v>3.6961574571226947</v>
      </c>
      <c r="O598" s="193">
        <v>16.593016905470499</v>
      </c>
      <c r="P598" s="209">
        <v>0.3879097352192189</v>
      </c>
      <c r="Q598" s="209">
        <v>5.2845703065075321E-2</v>
      </c>
      <c r="T598" s="38">
        <f t="shared" si="13"/>
        <v>0</v>
      </c>
      <c r="AE598" s="194"/>
      <c r="AF598" s="193"/>
      <c r="AG598" s="194"/>
      <c r="AH598" s="194"/>
      <c r="AI598" s="192">
        <v>6.8975740189611265</v>
      </c>
      <c r="AJ598" s="31">
        <v>519.60970146964064</v>
      </c>
      <c r="AK598" s="193"/>
      <c r="AL598" s="193">
        <v>11.066410272144324</v>
      </c>
      <c r="AM598" s="194">
        <v>83.101218052956156</v>
      </c>
      <c r="AN598" s="194">
        <v>0</v>
      </c>
      <c r="AO598" s="193"/>
      <c r="AP598" s="192"/>
      <c r="AQ598" s="192">
        <v>2.2313380173656923E-2</v>
      </c>
      <c r="AR598" s="194">
        <v>3.8918172613751426E-2</v>
      </c>
      <c r="AS598" s="192">
        <v>5.9431779830024838E-2</v>
      </c>
      <c r="AT598" s="194">
        <v>1.3369864694873133</v>
      </c>
      <c r="AU598" s="194">
        <v>162.30343938882584</v>
      </c>
      <c r="AV598" s="192"/>
      <c r="AW598" s="194">
        <v>94.252078667198461</v>
      </c>
      <c r="AX598" s="209"/>
      <c r="AY598" s="192"/>
      <c r="AZ598" s="209">
        <v>1.0766115423557206E-2</v>
      </c>
      <c r="BA598" s="192"/>
      <c r="BB598" s="38"/>
      <c r="BC598" s="39"/>
      <c r="BD598" s="39">
        <v>2.9673549535176261E-3</v>
      </c>
      <c r="BE598" s="39"/>
      <c r="BF598" s="38"/>
      <c r="BG598" s="38">
        <v>5.4124597306170037E-2</v>
      </c>
      <c r="BH598" s="31">
        <v>77.964219310894961</v>
      </c>
      <c r="BI598" s="30">
        <v>6.7789497744914549</v>
      </c>
      <c r="BJ598">
        <v>17.170391495106312</v>
      </c>
      <c r="BL598" s="33">
        <v>10.412926088423895</v>
      </c>
      <c r="BM598" s="30">
        <v>3.0202595342558216</v>
      </c>
      <c r="BN598" s="30">
        <v>0.9408740833921394</v>
      </c>
      <c r="BP598" s="30">
        <v>0.61273337833277097</v>
      </c>
      <c r="BU598">
        <v>2.2176507839106554</v>
      </c>
      <c r="BV598" s="32">
        <v>0.30468673027950788</v>
      </c>
      <c r="BW598" s="30">
        <v>2.3062780965237937</v>
      </c>
      <c r="BX598" s="30">
        <v>0.26210499186941982</v>
      </c>
      <c r="BY598">
        <v>0.10907863651704354</v>
      </c>
      <c r="BZ598" s="33">
        <v>3.0340235633418215</v>
      </c>
      <c r="CA598" s="33">
        <v>0.21538367134047187</v>
      </c>
      <c r="CE598" s="30">
        <v>1.1056880004909029</v>
      </c>
      <c r="CF598" s="30">
        <v>0.33322035406375605</v>
      </c>
    </row>
    <row r="599" spans="1:89" x14ac:dyDescent="0.2">
      <c r="A599" t="s">
        <v>247</v>
      </c>
      <c r="C599" t="s">
        <v>700</v>
      </c>
      <c r="H599" s="512">
        <v>45.195461633928353</v>
      </c>
      <c r="I599" s="512">
        <v>0.21263633651607972</v>
      </c>
      <c r="J599" s="512">
        <v>29.800456567328407</v>
      </c>
      <c r="K599" s="512">
        <v>7.5350341766077564E-2</v>
      </c>
      <c r="L599" s="512">
        <v>3.6961574571226947</v>
      </c>
      <c r="M599" s="512">
        <v>5.2900385941900489E-2</v>
      </c>
      <c r="N599" s="512">
        <v>3.8515261688878981</v>
      </c>
      <c r="O599" s="512">
        <v>16.669663721345021</v>
      </c>
      <c r="P599" s="512">
        <v>0.38790973521921884</v>
      </c>
      <c r="Q599" s="512">
        <v>7.2041014607755083E-2</v>
      </c>
      <c r="R599" s="512">
        <v>6.1430272155708648E-2</v>
      </c>
      <c r="T599" s="38">
        <f t="shared" si="13"/>
        <v>65.004794041662038</v>
      </c>
      <c r="AE599" s="194"/>
      <c r="AF599" s="193"/>
      <c r="AG599" s="194"/>
      <c r="AH599" s="194"/>
      <c r="AI599" s="192"/>
      <c r="AK599" s="193"/>
      <c r="AL599" s="193"/>
      <c r="AM599" s="194"/>
      <c r="AN599" s="194"/>
      <c r="AO599" s="193"/>
      <c r="AP599" s="192"/>
      <c r="AQ599" s="192"/>
      <c r="AR599" s="194"/>
      <c r="AS599" s="192"/>
      <c r="AT599" s="194"/>
      <c r="AU599" s="194"/>
      <c r="AV599" s="192"/>
      <c r="AW599" s="194"/>
      <c r="AX599" s="209"/>
      <c r="AY599" s="192"/>
      <c r="AZ599" s="209"/>
      <c r="BA599" s="192"/>
      <c r="BB599" s="38"/>
      <c r="BC599" s="39"/>
      <c r="BD599" s="39"/>
      <c r="BE599" s="39"/>
      <c r="BF599" s="38"/>
      <c r="BG599" s="38"/>
    </row>
    <row r="600" spans="1:89" x14ac:dyDescent="0.2">
      <c r="A600" t="s">
        <v>247</v>
      </c>
      <c r="K600" s="209"/>
      <c r="L600" s="192"/>
      <c r="O600" s="193"/>
      <c r="P600" s="209"/>
      <c r="Q600" s="209"/>
      <c r="T600" s="38" t="e">
        <f t="shared" si="13"/>
        <v>#DIV/0!</v>
      </c>
      <c r="AE600" s="194"/>
      <c r="AF600" s="193"/>
      <c r="AG600" s="194"/>
      <c r="AH600" s="194"/>
      <c r="AI600" s="192"/>
      <c r="AK600" s="193"/>
      <c r="AL600" s="193"/>
      <c r="AM600" s="194"/>
      <c r="AN600" s="194"/>
      <c r="AO600" s="193"/>
      <c r="AP600" s="192"/>
      <c r="AQ600" s="192"/>
      <c r="AR600" s="194"/>
      <c r="AS600" s="192"/>
      <c r="AT600" s="194"/>
      <c r="AU600" s="194"/>
      <c r="AV600" s="192"/>
      <c r="AW600" s="194"/>
      <c r="AX600" s="209"/>
      <c r="AY600" s="192"/>
      <c r="AZ600" s="209"/>
      <c r="BA600" s="192"/>
      <c r="BB600" s="38"/>
      <c r="BC600" s="39"/>
      <c r="BD600" s="39"/>
      <c r="BE600" s="39"/>
      <c r="BF600" s="38"/>
      <c r="BG600" s="38"/>
    </row>
    <row r="601" spans="1:89" x14ac:dyDescent="0.2">
      <c r="A601" s="36" t="s">
        <v>247</v>
      </c>
      <c r="C601" s="36" t="s">
        <v>279</v>
      </c>
      <c r="H601" s="34">
        <v>45.195461633928353</v>
      </c>
      <c r="I601" s="34">
        <v>0.21263633651607972</v>
      </c>
      <c r="J601" s="34">
        <v>29.800456567328407</v>
      </c>
      <c r="K601" s="37">
        <v>7.5648247866440116E-2</v>
      </c>
      <c r="L601" s="34">
        <v>3.6961574571226947</v>
      </c>
      <c r="M601" s="37">
        <v>5.2900385941900489E-2</v>
      </c>
      <c r="N601" s="34">
        <v>3.8515261688878981</v>
      </c>
      <c r="O601" s="72">
        <v>16.631340313407762</v>
      </c>
      <c r="P601" s="37">
        <v>0.3879097352192189</v>
      </c>
      <c r="Q601" s="37">
        <v>6.2443358836415205E-2</v>
      </c>
      <c r="R601" s="37">
        <v>6.1430272155708648E-2</v>
      </c>
      <c r="T601" s="38">
        <f t="shared" si="13"/>
        <v>65.004794041662038</v>
      </c>
      <c r="W601" s="36"/>
      <c r="X601" s="36"/>
      <c r="Y601" s="36"/>
      <c r="Z601" s="36"/>
      <c r="AA601" s="36"/>
      <c r="AB601"/>
      <c r="AI601" s="34">
        <v>6.8975740189611265</v>
      </c>
      <c r="AJ601" s="35">
        <v>519.60970146964064</v>
      </c>
      <c r="AL601" s="72">
        <v>11.066410272144324</v>
      </c>
      <c r="AM601" s="35">
        <v>83.101218052956156</v>
      </c>
      <c r="AO601"/>
      <c r="AQ601" s="34">
        <v>2.2313380173656923E-2</v>
      </c>
      <c r="AR601" s="34">
        <v>3.8918172613751426E-2</v>
      </c>
      <c r="AS601" s="34">
        <v>5.9431779830024838E-2</v>
      </c>
      <c r="AU601" s="35">
        <v>162.30343938882584</v>
      </c>
      <c r="AV601" s="161">
        <v>23.93254452089835</v>
      </c>
      <c r="AW601" s="35">
        <v>94.252078667198461</v>
      </c>
      <c r="AX601"/>
      <c r="AY601"/>
      <c r="AZ601"/>
      <c r="BA601"/>
      <c r="BB601"/>
      <c r="BC601"/>
      <c r="BD601" s="34">
        <v>2.9673549535176261E-3</v>
      </c>
      <c r="BE601"/>
      <c r="BF601"/>
      <c r="BG601" s="34">
        <v>5.4124597306170037E-2</v>
      </c>
      <c r="BH601" s="35">
        <v>77.964219310894961</v>
      </c>
      <c r="BI601" s="34">
        <v>6.7789497744914549</v>
      </c>
      <c r="BJ601" s="72">
        <v>17.170391495106312</v>
      </c>
      <c r="BK601" s="54">
        <v>2.2120466040653897</v>
      </c>
      <c r="BL601" s="72">
        <v>10.412926088423895</v>
      </c>
      <c r="BM601" s="34">
        <v>3.0202595342558216</v>
      </c>
      <c r="BN601" s="34">
        <v>0.9408740833921394</v>
      </c>
      <c r="BO601" s="51">
        <v>3.508896550160356</v>
      </c>
      <c r="BP601" s="34">
        <v>0.61273337833277097</v>
      </c>
      <c r="BQ601" s="74">
        <v>3.994394125625413</v>
      </c>
      <c r="BR601" s="74">
        <v>0.87318992584330535</v>
      </c>
      <c r="BS601" s="52">
        <v>2.3813242058104676</v>
      </c>
      <c r="BT601" s="53">
        <v>0.34608168600328687</v>
      </c>
      <c r="BU601" s="34">
        <v>2.2176507839106554</v>
      </c>
      <c r="BV601" s="37">
        <v>0.30468673027950788</v>
      </c>
      <c r="BW601" s="34">
        <v>2.3062780965237937</v>
      </c>
      <c r="BX601" s="34">
        <v>0.26210499186941982</v>
      </c>
      <c r="BY601" s="34">
        <v>0.10907863651704354</v>
      </c>
      <c r="BZ601" s="72">
        <v>3.0340235633418215</v>
      </c>
      <c r="CA601" s="72">
        <v>0.21538367134047187</v>
      </c>
      <c r="CE601" s="34">
        <v>1.1056880004909029</v>
      </c>
      <c r="CF601" s="34">
        <v>0.33322035406375605</v>
      </c>
      <c r="CI601" s="29">
        <v>3.5215025773621322</v>
      </c>
      <c r="CJ601" s="41">
        <v>3.5424983580667635</v>
      </c>
      <c r="CK601" s="29">
        <v>3.4626887150521717</v>
      </c>
    </row>
    <row r="602" spans="1:89" x14ac:dyDescent="0.2">
      <c r="A602" s="36"/>
      <c r="C602" s="36"/>
      <c r="H602" s="34"/>
      <c r="I602" s="34"/>
      <c r="J602" s="34"/>
      <c r="K602" s="37"/>
      <c r="L602" s="34"/>
      <c r="M602" s="37"/>
      <c r="N602" s="34"/>
      <c r="O602" s="72"/>
      <c r="P602" s="37"/>
      <c r="Q602" s="37"/>
      <c r="R602" s="37"/>
      <c r="T602" s="38" t="e">
        <f t="shared" si="13"/>
        <v>#DIV/0!</v>
      </c>
      <c r="W602" s="36"/>
      <c r="X602" s="36"/>
      <c r="Y602" s="36"/>
      <c r="Z602" s="36"/>
      <c r="AA602" s="36"/>
      <c r="AB602"/>
      <c r="AI602" s="34"/>
      <c r="AJ602" s="35"/>
      <c r="AL602" s="72"/>
      <c r="AM602" s="35"/>
      <c r="AO602"/>
      <c r="AQ602" s="34"/>
      <c r="AR602" s="34"/>
      <c r="AS602" s="34"/>
      <c r="AU602" s="35"/>
      <c r="AV602" s="161"/>
      <c r="AW602" s="35"/>
      <c r="AX602"/>
      <c r="AY602"/>
      <c r="AZ602"/>
      <c r="BA602"/>
      <c r="BB602"/>
      <c r="BC602"/>
      <c r="BD602" s="34"/>
      <c r="BE602"/>
      <c r="BF602"/>
      <c r="BG602" s="34"/>
      <c r="BH602" s="35"/>
      <c r="BI602" s="34"/>
      <c r="BJ602" s="72"/>
      <c r="BK602" s="54"/>
      <c r="BL602" s="72"/>
      <c r="BM602" s="34"/>
      <c r="BN602" s="34"/>
      <c r="BO602" s="51"/>
      <c r="BP602" s="34"/>
      <c r="BQ602" s="74"/>
      <c r="BR602" s="74"/>
      <c r="BS602" s="52"/>
      <c r="BT602" s="53"/>
      <c r="BU602" s="34"/>
      <c r="BV602" s="37"/>
      <c r="BW602" s="34"/>
      <c r="BX602" s="34"/>
      <c r="BY602" s="34"/>
      <c r="BZ602" s="72"/>
      <c r="CA602" s="72"/>
      <c r="CE602" s="34"/>
      <c r="CF602" s="34"/>
      <c r="CI602" s="29"/>
      <c r="CJ602" s="41"/>
      <c r="CK602" s="29"/>
    </row>
    <row r="603" spans="1:89" x14ac:dyDescent="0.2">
      <c r="A603" s="36"/>
      <c r="C603" s="36"/>
      <c r="H603" s="34"/>
      <c r="I603" s="34"/>
      <c r="J603" s="34"/>
      <c r="K603" s="37"/>
      <c r="L603" s="34"/>
      <c r="M603" s="37"/>
      <c r="N603" s="34"/>
      <c r="O603" s="72"/>
      <c r="P603" s="37"/>
      <c r="Q603" s="37"/>
      <c r="R603" s="37"/>
      <c r="T603" s="38" t="e">
        <f t="shared" si="13"/>
        <v>#DIV/0!</v>
      </c>
      <c r="W603" s="36"/>
      <c r="X603" s="36"/>
      <c r="Y603" s="36"/>
      <c r="Z603" s="36"/>
      <c r="AA603" s="36"/>
      <c r="AB603"/>
      <c r="AI603" s="34"/>
      <c r="AJ603" s="35"/>
      <c r="AL603" s="72"/>
      <c r="AM603" s="35"/>
      <c r="AO603"/>
      <c r="AQ603" s="34"/>
      <c r="AR603" s="34"/>
      <c r="AS603" s="34"/>
      <c r="AU603" s="35"/>
      <c r="AV603" s="161"/>
      <c r="AW603" s="35"/>
      <c r="AX603"/>
      <c r="AY603"/>
      <c r="AZ603"/>
      <c r="BA603"/>
      <c r="BB603"/>
      <c r="BC603"/>
      <c r="BD603" s="34"/>
      <c r="BE603"/>
      <c r="BF603"/>
      <c r="BG603" s="34"/>
      <c r="BH603" s="35"/>
      <c r="BI603" s="34"/>
      <c r="BJ603" s="72"/>
      <c r="BK603" s="54"/>
      <c r="BL603" s="72"/>
      <c r="BM603" s="34"/>
      <c r="BN603" s="34"/>
      <c r="BO603" s="51"/>
      <c r="BP603" s="34"/>
      <c r="BQ603" s="74"/>
      <c r="BR603" s="74"/>
      <c r="BS603" s="52"/>
      <c r="BT603" s="53"/>
      <c r="BU603" s="34"/>
      <c r="BV603" s="37"/>
      <c r="BW603" s="34"/>
      <c r="BX603" s="34"/>
      <c r="BY603" s="34"/>
      <c r="BZ603" s="72"/>
      <c r="CA603" s="72"/>
      <c r="CE603" s="34"/>
      <c r="CF603" s="34"/>
      <c r="CI603" s="29"/>
      <c r="CJ603" s="41"/>
      <c r="CK603" s="29"/>
    </row>
    <row r="604" spans="1:89" x14ac:dyDescent="0.2">
      <c r="A604" s="2" t="s">
        <v>1430</v>
      </c>
      <c r="C604" t="s">
        <v>717</v>
      </c>
      <c r="H604" s="6"/>
      <c r="K604" s="3">
        <v>0.17183936146474854</v>
      </c>
      <c r="L604" s="6">
        <v>7.9528403281417184</v>
      </c>
      <c r="O604" s="7">
        <v>14.40979253358697</v>
      </c>
      <c r="P604" s="3">
        <v>0.33555088574485797</v>
      </c>
      <c r="Q604" s="3" t="s">
        <v>1432</v>
      </c>
      <c r="R604" s="3"/>
      <c r="T604" s="38">
        <f t="shared" si="13"/>
        <v>0</v>
      </c>
      <c r="W604" s="36"/>
      <c r="X604" s="36"/>
      <c r="Y604" s="36"/>
      <c r="Z604" s="36"/>
      <c r="AA604" s="36"/>
      <c r="AB604"/>
      <c r="AI604" s="34">
        <v>13.999832362382593</v>
      </c>
      <c r="AJ604" s="35">
        <v>1175.69349661158</v>
      </c>
      <c r="AL604" s="72">
        <v>80.407525858994163</v>
      </c>
      <c r="AM604" s="35">
        <v>1192.1519438830103</v>
      </c>
      <c r="AN604" s="31">
        <v>0</v>
      </c>
      <c r="AO604"/>
      <c r="AQ604" s="34">
        <v>0.55643918677921766</v>
      </c>
      <c r="AR604" s="34">
        <v>0.47952562121031983</v>
      </c>
      <c r="AS604" s="34">
        <v>0.42175543930567111</v>
      </c>
      <c r="AT604" s="31">
        <v>0</v>
      </c>
      <c r="AU604" s="35">
        <v>514.08346213292111</v>
      </c>
      <c r="AV604" s="161"/>
      <c r="AW604" s="35">
        <v>40.414932826061104</v>
      </c>
      <c r="AX604"/>
      <c r="AY604"/>
      <c r="AZ604">
        <v>0</v>
      </c>
      <c r="BA604"/>
      <c r="BB604"/>
      <c r="BC604"/>
      <c r="BD604" s="34">
        <v>6.9946379740815606E-2</v>
      </c>
      <c r="BE604"/>
      <c r="BF604"/>
      <c r="BG604" s="34">
        <v>7.259422185233623E-2</v>
      </c>
      <c r="BH604" s="35">
        <v>78.595767447390315</v>
      </c>
      <c r="BI604" s="34">
        <v>2.2776352395672332</v>
      </c>
      <c r="BJ604" s="72">
        <v>6.2746653192248241</v>
      </c>
      <c r="BK604" s="54"/>
      <c r="BL604" s="72">
        <v>3.8152538342646527</v>
      </c>
      <c r="BM604" s="34">
        <v>1.0915505885150396</v>
      </c>
      <c r="BN604" s="34">
        <v>0.69307062180477941</v>
      </c>
      <c r="BO604" s="51"/>
      <c r="BP604" s="34">
        <v>0.24359547021757225</v>
      </c>
      <c r="BQ604" s="74"/>
      <c r="BR604" s="74"/>
      <c r="BS604" s="52"/>
      <c r="BT604" s="53"/>
      <c r="BU604" s="34">
        <v>1.1131579479253357</v>
      </c>
      <c r="BV604" s="37">
        <v>0.16236807751753657</v>
      </c>
      <c r="BW604" s="34">
        <v>0.8459149922720246</v>
      </c>
      <c r="BX604" s="34">
        <v>0.12725044584472714</v>
      </c>
      <c r="BY604" s="34">
        <v>0.19322494352633457</v>
      </c>
      <c r="BZ604" s="72">
        <v>73.079734871002245</v>
      </c>
      <c r="CA604" s="72">
        <v>89.232748781357742</v>
      </c>
      <c r="CE604" s="34">
        <v>0.503745630721674</v>
      </c>
      <c r="CF604" s="34">
        <v>0.21531423136369041</v>
      </c>
      <c r="CI604" s="29"/>
      <c r="CJ604" s="41"/>
      <c r="CK604" s="29"/>
    </row>
    <row r="605" spans="1:89" x14ac:dyDescent="0.2">
      <c r="A605" s="2" t="s">
        <v>1430</v>
      </c>
      <c r="C605" t="s">
        <v>700</v>
      </c>
      <c r="H605" s="6">
        <v>44.091731074212809</v>
      </c>
      <c r="I605" s="6">
        <v>0.25014333575172243</v>
      </c>
      <c r="J605" s="6">
        <v>24.538774812845542</v>
      </c>
      <c r="K605" s="3">
        <v>0.17183936146474854</v>
      </c>
      <c r="L605" s="6">
        <v>7.9528403281417184</v>
      </c>
      <c r="M605" s="3">
        <v>8.6429743399669801E-2</v>
      </c>
      <c r="N605" s="6">
        <v>8.2342026347789741</v>
      </c>
      <c r="O605" s="7">
        <v>14.158435903149739</v>
      </c>
      <c r="P605" s="3">
        <v>0.33555088574485792</v>
      </c>
      <c r="Q605" s="3">
        <v>6.2509427059884437E-2</v>
      </c>
      <c r="R605" s="3">
        <v>4.454249345034849E-2</v>
      </c>
      <c r="T605" s="38">
        <f t="shared" si="13"/>
        <v>64.85887397249337</v>
      </c>
      <c r="W605" s="36"/>
      <c r="X605" s="36"/>
      <c r="Y605" s="36"/>
      <c r="Z605" s="36"/>
      <c r="AA605" s="36"/>
      <c r="AB605"/>
      <c r="AI605" s="34"/>
      <c r="AJ605" s="35"/>
      <c r="AL605" s="72"/>
      <c r="AM605" s="35"/>
      <c r="AO605"/>
      <c r="AQ605" s="34"/>
      <c r="AR605" s="34"/>
      <c r="AS605" s="34"/>
      <c r="AU605" s="35"/>
      <c r="AV605" s="161"/>
      <c r="AW605" s="35"/>
      <c r="AX605"/>
      <c r="AY605"/>
      <c r="AZ605"/>
      <c r="BA605"/>
      <c r="BB605"/>
      <c r="BC605"/>
      <c r="BD605" s="34"/>
      <c r="BE605"/>
      <c r="BF605"/>
      <c r="BG605" s="34"/>
      <c r="BH605" s="35"/>
      <c r="BI605" s="34"/>
      <c r="BJ605" s="72"/>
      <c r="BK605" s="54"/>
      <c r="BL605" s="72"/>
      <c r="BM605" s="34"/>
      <c r="BN605" s="34"/>
      <c r="BO605" s="51"/>
      <c r="BP605" s="34"/>
      <c r="BQ605" s="74"/>
      <c r="BR605" s="74"/>
      <c r="BS605" s="52"/>
      <c r="BT605" s="53"/>
      <c r="BU605" s="34"/>
      <c r="BV605" s="37"/>
      <c r="BW605" s="34"/>
      <c r="BX605" s="34"/>
      <c r="BY605" s="34"/>
      <c r="BZ605" s="72"/>
      <c r="CA605" s="72"/>
      <c r="CE605" s="34"/>
      <c r="CF605" s="34"/>
      <c r="CI605" s="29"/>
      <c r="CJ605" s="41"/>
      <c r="CK605" s="29"/>
    </row>
    <row r="606" spans="1:89" x14ac:dyDescent="0.2">
      <c r="A606" s="2" t="s">
        <v>1430</v>
      </c>
      <c r="H606" s="34"/>
      <c r="I606" s="34"/>
      <c r="J606" s="34"/>
      <c r="K606" s="37"/>
      <c r="L606" s="34"/>
      <c r="M606" s="37"/>
      <c r="N606" s="34"/>
      <c r="O606" s="72"/>
      <c r="P606" s="37"/>
      <c r="Q606" s="37"/>
      <c r="R606" s="37"/>
      <c r="T606" s="38" t="e">
        <f t="shared" si="13"/>
        <v>#DIV/0!</v>
      </c>
      <c r="W606" s="36"/>
      <c r="X606" s="36"/>
      <c r="Y606" s="36"/>
      <c r="Z606" s="36"/>
      <c r="AA606" s="36"/>
      <c r="AB606"/>
      <c r="AI606" s="34"/>
      <c r="AJ606" s="35"/>
      <c r="AL606" s="72"/>
      <c r="AM606" s="35"/>
      <c r="AO606"/>
      <c r="AQ606" s="34"/>
      <c r="AR606" s="34"/>
      <c r="AS606" s="34"/>
      <c r="AU606" s="35"/>
      <c r="AV606" s="161"/>
      <c r="AW606" s="35"/>
      <c r="AX606"/>
      <c r="AY606"/>
      <c r="AZ606"/>
      <c r="BA606"/>
      <c r="BB606"/>
      <c r="BC606"/>
      <c r="BD606" s="34"/>
      <c r="BE606"/>
      <c r="BF606"/>
      <c r="BG606" s="34"/>
      <c r="BH606" s="35"/>
      <c r="BI606" s="34"/>
      <c r="BJ606" s="72"/>
      <c r="BK606" s="54"/>
      <c r="BL606" s="72"/>
      <c r="BM606" s="34"/>
      <c r="BN606" s="34"/>
      <c r="BO606" s="51"/>
      <c r="BP606" s="34"/>
      <c r="BQ606" s="74"/>
      <c r="BR606" s="74"/>
      <c r="BS606" s="52"/>
      <c r="BT606" s="53"/>
      <c r="BU606" s="34"/>
      <c r="BV606" s="37"/>
      <c r="BW606" s="34"/>
      <c r="BX606" s="34"/>
      <c r="BY606" s="34"/>
      <c r="BZ606" s="72"/>
      <c r="CA606" s="72"/>
      <c r="CE606" s="34"/>
      <c r="CF606" s="34"/>
      <c r="CI606" s="29"/>
      <c r="CJ606" s="41"/>
      <c r="CK606" s="29"/>
    </row>
    <row r="607" spans="1:89" x14ac:dyDescent="0.2">
      <c r="A607" s="5" t="s">
        <v>1430</v>
      </c>
      <c r="C607" s="36" t="s">
        <v>279</v>
      </c>
      <c r="H607" s="34">
        <v>44.091731074212809</v>
      </c>
      <c r="I607" s="34">
        <v>0.25014333575172243</v>
      </c>
      <c r="J607" s="34">
        <v>24.538774812845542</v>
      </c>
      <c r="K607" s="37">
        <v>0.17183936146474854</v>
      </c>
      <c r="L607" s="34">
        <v>7.9528403281417184</v>
      </c>
      <c r="M607" s="37">
        <v>8.6429743399669801E-2</v>
      </c>
      <c r="N607" s="34">
        <v>8.2342026347789741</v>
      </c>
      <c r="O607" s="72">
        <v>14.284114218368355</v>
      </c>
      <c r="P607" s="37">
        <v>0.33555088574485792</v>
      </c>
      <c r="Q607" s="37">
        <v>6.2509427059884437E-2</v>
      </c>
      <c r="R607" s="37">
        <v>4.454249345034849E-2</v>
      </c>
      <c r="T607" s="38">
        <f t="shared" si="13"/>
        <v>64.85887397249337</v>
      </c>
      <c r="W607" s="36"/>
      <c r="X607" s="36"/>
      <c r="Y607" s="36"/>
      <c r="Z607" s="36"/>
      <c r="AA607" s="36"/>
      <c r="AB607"/>
      <c r="AI607" s="34">
        <v>13.999832362382593</v>
      </c>
      <c r="AJ607" s="35">
        <v>1175.69349661158</v>
      </c>
      <c r="AL607" s="72">
        <v>80.407525858994163</v>
      </c>
      <c r="AM607" s="35">
        <v>1192.1519438830103</v>
      </c>
      <c r="AO607"/>
      <c r="AQ607" s="34">
        <v>0.55643918677921766</v>
      </c>
      <c r="AR607" s="34">
        <v>0.47952562121031983</v>
      </c>
      <c r="AS607" s="34">
        <v>0.42175543930567111</v>
      </c>
      <c r="AU607" s="35">
        <v>514.08346213292111</v>
      </c>
      <c r="AV607" s="161">
        <v>10.766865909477978</v>
      </c>
      <c r="AW607" s="35">
        <v>40.414932826061104</v>
      </c>
      <c r="AX607"/>
      <c r="AY607"/>
      <c r="AZ607"/>
      <c r="BA607"/>
      <c r="BB607"/>
      <c r="BC607"/>
      <c r="BD607" s="34">
        <v>6.9946379740815606E-2</v>
      </c>
      <c r="BE607"/>
      <c r="BF607"/>
      <c r="BG607" s="34">
        <v>7.259422185233623E-2</v>
      </c>
      <c r="BH607" s="35">
        <v>78.595767447390315</v>
      </c>
      <c r="BI607" s="34">
        <v>2.2776352395672332</v>
      </c>
      <c r="BJ607" s="72">
        <v>6.2746653192248241</v>
      </c>
      <c r="BK607" s="54">
        <v>0.78741187391102407</v>
      </c>
      <c r="BL607" s="72">
        <v>3.8152538342646527</v>
      </c>
      <c r="BM607" s="34">
        <v>1.0915505885150396</v>
      </c>
      <c r="BN607" s="34">
        <v>0.69307062180477941</v>
      </c>
      <c r="BO607" s="51">
        <v>1.3295188638670343</v>
      </c>
      <c r="BP607" s="34">
        <v>0.24359547021757225</v>
      </c>
      <c r="BQ607" s="74">
        <v>1.6828747104151647</v>
      </c>
      <c r="BR607" s="74">
        <v>0.38433038989377477</v>
      </c>
      <c r="BS607" s="52">
        <v>1.0950233356187948</v>
      </c>
      <c r="BT607" s="53">
        <v>0.16626697896267942</v>
      </c>
      <c r="BU607" s="34">
        <v>1.1131579479253357</v>
      </c>
      <c r="BV607" s="37">
        <v>0.16236807751753657</v>
      </c>
      <c r="BW607" s="34">
        <v>0.8459149922720246</v>
      </c>
      <c r="BX607" s="34">
        <v>0.12725044584472714</v>
      </c>
      <c r="BY607" s="34">
        <v>0.19322494352633457</v>
      </c>
      <c r="BZ607" s="72">
        <v>73.079734871002245</v>
      </c>
      <c r="CA607" s="72">
        <v>89.232748781357742</v>
      </c>
      <c r="CE607" s="34">
        <v>0.503745630721674</v>
      </c>
      <c r="CF607" s="34">
        <v>0.21531423136369041</v>
      </c>
      <c r="CI607" s="29">
        <v>1.310384518419405</v>
      </c>
      <c r="CJ607" s="41">
        <v>1.3642853384164886</v>
      </c>
      <c r="CK607" s="29">
        <v>1.3138867347652095</v>
      </c>
    </row>
    <row r="608" spans="1:89" x14ac:dyDescent="0.2">
      <c r="A608" s="36"/>
      <c r="C608" s="36"/>
      <c r="H608" s="34"/>
      <c r="I608" s="34"/>
      <c r="J608" s="34"/>
      <c r="K608" s="37"/>
      <c r="L608" s="34"/>
      <c r="M608" s="37"/>
      <c r="N608" s="34"/>
      <c r="O608" s="72"/>
      <c r="P608" s="37"/>
      <c r="Q608" s="37"/>
      <c r="R608" s="37"/>
      <c r="T608" s="38" t="e">
        <f t="shared" si="13"/>
        <v>#DIV/0!</v>
      </c>
      <c r="W608" s="36"/>
      <c r="X608" s="36"/>
      <c r="Y608" s="36"/>
      <c r="Z608" s="36"/>
      <c r="AA608" s="36"/>
      <c r="AB608"/>
      <c r="AI608" s="34"/>
      <c r="AJ608" s="35"/>
      <c r="AL608" s="72"/>
      <c r="AM608" s="35"/>
      <c r="AO608"/>
      <c r="AQ608" s="34"/>
      <c r="AR608" s="34"/>
      <c r="AS608" s="34"/>
      <c r="AU608" s="35"/>
      <c r="AV608" s="161"/>
      <c r="AW608" s="35"/>
      <c r="AX608"/>
      <c r="AY608"/>
      <c r="AZ608"/>
      <c r="BA608"/>
      <c r="BB608"/>
      <c r="BC608"/>
      <c r="BD608" s="34"/>
      <c r="BE608"/>
      <c r="BF608"/>
      <c r="BG608" s="34"/>
      <c r="BH608" s="35"/>
      <c r="BI608" s="34"/>
      <c r="BJ608" s="72"/>
      <c r="BK608" s="54"/>
      <c r="BL608" s="72"/>
      <c r="BM608" s="34"/>
      <c r="BN608" s="34"/>
      <c r="BO608" s="51"/>
      <c r="BP608" s="34"/>
      <c r="BQ608" s="74"/>
      <c r="BR608" s="74"/>
      <c r="BS608" s="52"/>
      <c r="BT608" s="53"/>
      <c r="BU608" s="34"/>
      <c r="BV608" s="37"/>
      <c r="BW608" s="34"/>
      <c r="BX608" s="34"/>
      <c r="BY608" s="34"/>
      <c r="BZ608" s="72"/>
      <c r="CA608" s="72"/>
      <c r="CE608" s="34"/>
      <c r="CF608" s="34"/>
      <c r="CI608" s="29"/>
      <c r="CJ608" s="41"/>
      <c r="CK608" s="29"/>
    </row>
    <row r="609" spans="1:89" x14ac:dyDescent="0.2">
      <c r="A609" s="2" t="s">
        <v>1431</v>
      </c>
      <c r="C609" t="s">
        <v>717</v>
      </c>
      <c r="H609" s="6"/>
      <c r="K609" s="3">
        <v>0.18663300301376151</v>
      </c>
      <c r="L609" s="6">
        <v>6.0478480504587164</v>
      </c>
      <c r="O609" s="7">
        <v>13.532672018348626</v>
      </c>
      <c r="P609" s="3">
        <v>0.40490068807339452</v>
      </c>
      <c r="Q609" s="3" t="s">
        <v>1433</v>
      </c>
      <c r="R609" s="3"/>
      <c r="S609" s="2"/>
      <c r="T609" s="38">
        <f t="shared" si="13"/>
        <v>0</v>
      </c>
      <c r="U609" s="2"/>
      <c r="V609" s="2"/>
      <c r="AC609" s="2"/>
      <c r="AD609" s="2"/>
      <c r="AE609" s="2"/>
      <c r="AF609" s="2"/>
      <c r="AG609" s="2"/>
      <c r="AH609" s="2"/>
      <c r="AI609" s="6">
        <v>11.660126146788993</v>
      </c>
      <c r="AJ609" s="8">
        <v>1276.9088876146791</v>
      </c>
      <c r="AK609" s="2"/>
      <c r="AL609" s="7">
        <v>27.135871559633031</v>
      </c>
      <c r="AM609" s="8">
        <v>264.1204701834863</v>
      </c>
      <c r="AN609" s="8">
        <v>0</v>
      </c>
      <c r="AO609" s="2"/>
      <c r="AP609" s="2"/>
      <c r="AQ609" s="6">
        <v>0.52764048165137623</v>
      </c>
      <c r="AR609" s="6">
        <v>0.29210550458715601</v>
      </c>
      <c r="AS609" s="6">
        <v>1.3594088302752294</v>
      </c>
      <c r="AT609" s="8">
        <v>0</v>
      </c>
      <c r="AU609" s="8">
        <v>603.24443807339446</v>
      </c>
      <c r="AV609" s="515"/>
      <c r="AW609" s="8">
        <v>62.464850917431207</v>
      </c>
      <c r="AX609" s="2"/>
      <c r="AY609" s="2"/>
      <c r="AZ609" s="2">
        <v>0</v>
      </c>
      <c r="BA609" s="2"/>
      <c r="BB609" s="2"/>
      <c r="BC609" s="2"/>
      <c r="BD609" s="6">
        <v>9.9992545871559636E-3</v>
      </c>
      <c r="BE609" s="2"/>
      <c r="BF609" s="2"/>
      <c r="BG609" s="6">
        <v>0.13384627293577983</v>
      </c>
      <c r="BH609" s="8">
        <v>90.52993119266057</v>
      </c>
      <c r="BI609" s="6">
        <v>4.993247706422018</v>
      </c>
      <c r="BJ609" s="7">
        <v>12.994788417431193</v>
      </c>
      <c r="BK609" s="54"/>
      <c r="BL609" s="7">
        <v>6.9391628440366988</v>
      </c>
      <c r="BM609" s="6">
        <v>2.1936129587155966</v>
      </c>
      <c r="BN609" s="6">
        <v>0.76565401376146791</v>
      </c>
      <c r="BO609" s="51"/>
      <c r="BP609" s="6">
        <v>0.48584002293577983</v>
      </c>
      <c r="BQ609" s="516"/>
      <c r="BR609" s="516"/>
      <c r="BS609" s="517"/>
      <c r="BT609" s="518"/>
      <c r="BU609" s="6">
        <v>2.2139168577981656</v>
      </c>
      <c r="BV609" s="3">
        <v>0.30785625</v>
      </c>
      <c r="BW609" s="6">
        <v>1.8864158256880734</v>
      </c>
      <c r="BX609" s="6">
        <v>0.29447373853211012</v>
      </c>
      <c r="BY609" s="6">
        <v>0.26211353211009175</v>
      </c>
      <c r="BZ609" s="7">
        <v>11.260051605504588</v>
      </c>
      <c r="CA609" s="7">
        <v>5.4427006880733959</v>
      </c>
      <c r="CB609" s="2"/>
      <c r="CC609" s="2"/>
      <c r="CD609" s="2"/>
      <c r="CE609" s="6">
        <v>1.4280494266055048</v>
      </c>
      <c r="CF609" s="6">
        <v>0.45913646788990836</v>
      </c>
      <c r="CI609" s="29"/>
      <c r="CJ609" s="41"/>
      <c r="CK609" s="29"/>
    </row>
    <row r="610" spans="1:89" x14ac:dyDescent="0.2">
      <c r="A610" s="2" t="s">
        <v>1431</v>
      </c>
      <c r="C610" t="s">
        <v>700</v>
      </c>
      <c r="H610" s="6">
        <v>45.436869679967756</v>
      </c>
      <c r="I610" s="6">
        <v>0.25162223953307927</v>
      </c>
      <c r="J610" s="6">
        <v>24.391518417334396</v>
      </c>
      <c r="K610" s="3">
        <v>0.18663300301376151</v>
      </c>
      <c r="L610" s="6">
        <v>6.0478480504587164</v>
      </c>
      <c r="M610" s="3">
        <v>8.4637458188841108E-2</v>
      </c>
      <c r="N610" s="6">
        <v>9.0689390737588891</v>
      </c>
      <c r="O610" s="7">
        <v>13.719423968966765</v>
      </c>
      <c r="P610" s="3">
        <v>0.40490068807339452</v>
      </c>
      <c r="Q610" s="3">
        <v>0.16243181560509229</v>
      </c>
      <c r="R610" s="3">
        <v>5.4092134707499996E-2</v>
      </c>
      <c r="T610" s="38">
        <f t="shared" si="13"/>
        <v>72.77480525270947</v>
      </c>
      <c r="W610" s="36"/>
      <c r="X610" s="36"/>
      <c r="Y610" s="36"/>
      <c r="Z610" s="36"/>
      <c r="AA610" s="36"/>
      <c r="AB610"/>
      <c r="AI610" s="34"/>
      <c r="AJ610" s="35"/>
      <c r="AL610" s="72"/>
      <c r="AM610" s="35"/>
      <c r="AO610"/>
      <c r="AQ610" s="34"/>
      <c r="AR610" s="34"/>
      <c r="AS610" s="34"/>
      <c r="AU610" s="35"/>
      <c r="AV610" s="161"/>
      <c r="AW610" s="35"/>
      <c r="AX610"/>
      <c r="AY610"/>
      <c r="AZ610"/>
      <c r="BA610"/>
      <c r="BB610"/>
      <c r="BC610"/>
      <c r="BD610" s="34"/>
      <c r="BE610"/>
      <c r="BF610"/>
      <c r="BG610" s="34"/>
      <c r="BH610" s="35"/>
      <c r="BI610" s="34"/>
      <c r="BJ610" s="72"/>
      <c r="BK610" s="54"/>
      <c r="BL610" s="72"/>
      <c r="BM610" s="34"/>
      <c r="BN610" s="34"/>
      <c r="BO610" s="51"/>
      <c r="BP610" s="34"/>
      <c r="BQ610" s="74"/>
      <c r="BR610" s="74"/>
      <c r="BS610" s="52"/>
      <c r="BT610" s="53"/>
      <c r="BU610" s="34"/>
      <c r="BV610" s="37"/>
      <c r="BW610" s="34"/>
      <c r="BX610" s="34"/>
      <c r="BY610" s="34"/>
      <c r="BZ610" s="72"/>
      <c r="CA610" s="72"/>
      <c r="CE610" s="34"/>
      <c r="CF610" s="34"/>
      <c r="CI610" s="29"/>
      <c r="CJ610" s="41"/>
      <c r="CK610" s="29"/>
    </row>
    <row r="611" spans="1:89" x14ac:dyDescent="0.2">
      <c r="A611" s="2" t="s">
        <v>1431</v>
      </c>
      <c r="H611" s="34"/>
      <c r="I611" s="34"/>
      <c r="J611" s="34"/>
      <c r="K611" s="37"/>
      <c r="L611" s="34"/>
      <c r="M611" s="37"/>
      <c r="N611" s="34"/>
      <c r="O611" s="72"/>
      <c r="P611" s="37"/>
      <c r="Q611" s="37"/>
      <c r="R611" s="37"/>
      <c r="T611" s="38" t="e">
        <f t="shared" si="13"/>
        <v>#DIV/0!</v>
      </c>
      <c r="W611" s="36"/>
      <c r="X611" s="36"/>
      <c r="Y611" s="36"/>
      <c r="Z611" s="36"/>
      <c r="AA611" s="36"/>
      <c r="AB611"/>
      <c r="AI611" s="34"/>
      <c r="AJ611" s="35"/>
      <c r="AL611" s="72"/>
      <c r="AM611" s="35"/>
      <c r="AO611"/>
      <c r="AQ611" s="34"/>
      <c r="AR611" s="34"/>
      <c r="AS611" s="34"/>
      <c r="AU611" s="35"/>
      <c r="AV611" s="161"/>
      <c r="AW611" s="35"/>
      <c r="AX611"/>
      <c r="AY611"/>
      <c r="AZ611"/>
      <c r="BA611"/>
      <c r="BB611"/>
      <c r="BC611"/>
      <c r="BD611" s="34"/>
      <c r="BE611"/>
      <c r="BF611"/>
      <c r="BG611" s="34"/>
      <c r="BH611" s="35"/>
      <c r="BI611" s="34"/>
      <c r="BJ611" s="72"/>
      <c r="BK611" s="54"/>
      <c r="BL611" s="72"/>
      <c r="BM611" s="34"/>
      <c r="BN611" s="34"/>
      <c r="BO611" s="51"/>
      <c r="BP611" s="34"/>
      <c r="BQ611" s="74"/>
      <c r="BR611" s="74"/>
      <c r="BS611" s="52"/>
      <c r="BT611" s="53"/>
      <c r="BU611" s="34"/>
      <c r="BV611" s="37"/>
      <c r="BW611" s="34"/>
      <c r="BX611" s="34"/>
      <c r="BY611" s="34"/>
      <c r="BZ611" s="72"/>
      <c r="CA611" s="72"/>
      <c r="CE611" s="34"/>
      <c r="CF611" s="34"/>
      <c r="CI611" s="29"/>
      <c r="CJ611" s="41"/>
      <c r="CK611" s="29"/>
    </row>
    <row r="612" spans="1:89" x14ac:dyDescent="0.2">
      <c r="A612" s="5" t="s">
        <v>1431</v>
      </c>
      <c r="C612" s="36" t="s">
        <v>279</v>
      </c>
      <c r="H612" s="34">
        <v>45.436869679967756</v>
      </c>
      <c r="I612" s="34">
        <v>0.25162223953307927</v>
      </c>
      <c r="J612" s="34">
        <v>24.391518417334396</v>
      </c>
      <c r="K612" s="37">
        <v>0.18663300301376151</v>
      </c>
      <c r="L612" s="34">
        <v>6.0478480504587164</v>
      </c>
      <c r="M612" s="37">
        <v>8.4637458188841108E-2</v>
      </c>
      <c r="N612" s="34">
        <v>9.0689390737588891</v>
      </c>
      <c r="O612" s="72">
        <v>13.626047993657696</v>
      </c>
      <c r="P612" s="37">
        <v>0.40490068807339452</v>
      </c>
      <c r="Q612" s="37">
        <v>0.16243181560509229</v>
      </c>
      <c r="R612" s="37">
        <v>5.4092134707499996E-2</v>
      </c>
      <c r="T612" s="38">
        <f t="shared" si="13"/>
        <v>72.77480525270947</v>
      </c>
      <c r="W612" s="36"/>
      <c r="X612" s="36"/>
      <c r="Y612" s="36"/>
      <c r="Z612" s="36"/>
      <c r="AA612" s="36"/>
      <c r="AB612"/>
      <c r="AI612" s="34">
        <v>11.660126146788993</v>
      </c>
      <c r="AJ612" s="35">
        <v>1276.9088876146791</v>
      </c>
      <c r="AL612" s="72">
        <v>27.135871559633031</v>
      </c>
      <c r="AM612" s="35">
        <v>264.1204701834863</v>
      </c>
      <c r="AO612"/>
      <c r="AQ612" s="34">
        <v>0.52764048165137623</v>
      </c>
      <c r="AR612" s="34">
        <v>0.29210550458715601</v>
      </c>
      <c r="AS612" s="34">
        <v>1.3594088302752294</v>
      </c>
      <c r="AU612" s="35">
        <v>603.24443807339446</v>
      </c>
      <c r="AV612" s="161">
        <v>21.464025816183092</v>
      </c>
      <c r="AW612" s="35">
        <v>62.464850917431207</v>
      </c>
      <c r="AX612"/>
      <c r="AY612"/>
      <c r="AZ612"/>
      <c r="BA612"/>
      <c r="BB612"/>
      <c r="BC612"/>
      <c r="BD612" s="34">
        <v>9.9992545871559636E-3</v>
      </c>
      <c r="BE612"/>
      <c r="BF612"/>
      <c r="BG612" s="34">
        <v>0.13384627293577983</v>
      </c>
      <c r="BH612" s="35">
        <v>90.52993119266057</v>
      </c>
      <c r="BI612" s="34">
        <v>4.993247706422018</v>
      </c>
      <c r="BJ612" s="72">
        <v>12.994788417431193</v>
      </c>
      <c r="BK612" s="54">
        <v>1.5241370952937832</v>
      </c>
      <c r="BL612" s="72">
        <v>6.9391628440366988</v>
      </c>
      <c r="BM612" s="34">
        <v>2.1936129587155966</v>
      </c>
      <c r="BN612" s="34">
        <v>0.76565401376146791</v>
      </c>
      <c r="BO612" s="51">
        <v>2.6310578892519949</v>
      </c>
      <c r="BP612" s="34">
        <v>0.48584002293577983</v>
      </c>
      <c r="BQ612" s="74">
        <v>3.3596231385153148</v>
      </c>
      <c r="BR612" s="74">
        <v>0.76653407671487306</v>
      </c>
      <c r="BS612" s="52">
        <v>2.1819278703479048</v>
      </c>
      <c r="BT612" s="53">
        <v>0.33099056391828818</v>
      </c>
      <c r="BU612" s="34">
        <v>2.2139168577981656</v>
      </c>
      <c r="BV612" s="37">
        <v>0.30785625</v>
      </c>
      <c r="BW612" s="34">
        <v>1.8864158256880734</v>
      </c>
      <c r="BX612" s="34">
        <v>0.29447373853211012</v>
      </c>
      <c r="BY612" s="34">
        <v>0.26211353211009175</v>
      </c>
      <c r="BZ612" s="72">
        <v>11.260051605504588</v>
      </c>
      <c r="CA612" s="72">
        <v>5.4427006880733959</v>
      </c>
      <c r="CE612" s="34">
        <v>1.4280494266055048</v>
      </c>
      <c r="CF612" s="34">
        <v>0.45913646788990836</v>
      </c>
      <c r="CI612" s="29">
        <v>2.5433244556231323</v>
      </c>
      <c r="CJ612" s="41">
        <v>2.7278900603447847</v>
      </c>
      <c r="CK612" s="29">
        <v>2.6219591517880683</v>
      </c>
    </row>
    <row r="613" spans="1:89" x14ac:dyDescent="0.2">
      <c r="A613" s="5"/>
      <c r="C613" s="36"/>
      <c r="H613" s="34"/>
      <c r="I613" s="34"/>
      <c r="J613" s="34"/>
      <c r="K613" s="37"/>
      <c r="L613" s="34"/>
      <c r="M613" s="37"/>
      <c r="N613" s="34"/>
      <c r="O613" s="72"/>
      <c r="P613" s="37"/>
      <c r="Q613" s="37"/>
      <c r="R613" s="37"/>
      <c r="T613" s="38" t="e">
        <f t="shared" si="13"/>
        <v>#DIV/0!</v>
      </c>
      <c r="W613" s="36"/>
      <c r="X613" s="36"/>
      <c r="Y613" s="36"/>
      <c r="Z613" s="36"/>
      <c r="AA613" s="36"/>
      <c r="AB613"/>
      <c r="AI613" s="34"/>
      <c r="AJ613" s="35"/>
      <c r="AL613" s="72"/>
      <c r="AM613" s="35"/>
      <c r="AO613"/>
      <c r="AQ613" s="34"/>
      <c r="AR613" s="34"/>
      <c r="AS613" s="34"/>
      <c r="AU613" s="35"/>
      <c r="AV613" s="161"/>
      <c r="AW613" s="35"/>
      <c r="AX613"/>
      <c r="AY613"/>
      <c r="AZ613"/>
      <c r="BA613"/>
      <c r="BB613"/>
      <c r="BC613"/>
      <c r="BD613" s="34"/>
      <c r="BE613"/>
      <c r="BF613"/>
      <c r="BG613" s="34"/>
      <c r="BH613" s="35"/>
      <c r="BI613" s="34"/>
      <c r="BJ613" s="72"/>
      <c r="BK613" s="54"/>
      <c r="BL613" s="72"/>
      <c r="BM613" s="34"/>
      <c r="BN613" s="34"/>
      <c r="BO613" s="51"/>
      <c r="BP613" s="34"/>
      <c r="BQ613" s="74"/>
      <c r="BR613" s="74"/>
      <c r="BS613" s="52"/>
      <c r="BT613" s="53"/>
      <c r="BU613" s="34"/>
      <c r="BV613" s="37"/>
      <c r="BW613" s="34"/>
      <c r="BX613" s="34"/>
      <c r="BY613" s="34"/>
      <c r="BZ613" s="72"/>
      <c r="CA613" s="72"/>
      <c r="CE613" s="34"/>
      <c r="CF613" s="34"/>
      <c r="CI613" s="29"/>
      <c r="CJ613" s="41"/>
      <c r="CK613" s="29"/>
    </row>
    <row r="614" spans="1:89" x14ac:dyDescent="0.2">
      <c r="A614" s="2" t="s">
        <v>1468</v>
      </c>
      <c r="C614" t="s">
        <v>717</v>
      </c>
      <c r="H614" s="34"/>
      <c r="I614" s="34"/>
      <c r="J614" s="34"/>
      <c r="K614" s="3">
        <v>0.12391464857534945</v>
      </c>
      <c r="L614" s="6">
        <v>5.7363598475222384</v>
      </c>
      <c r="O614" s="7">
        <v>14.37345870393901</v>
      </c>
      <c r="P614" s="3">
        <v>0.57033357052096567</v>
      </c>
      <c r="Q614" s="3">
        <v>0.16715451080050825</v>
      </c>
      <c r="R614" s="3"/>
      <c r="S614" s="2"/>
      <c r="T614" s="38">
        <f t="shared" si="13"/>
        <v>0</v>
      </c>
      <c r="U614" s="2"/>
      <c r="V614" s="2"/>
      <c r="AC614" s="2"/>
      <c r="AD614" s="2"/>
      <c r="AE614" s="2"/>
      <c r="AF614" s="2"/>
      <c r="AG614" s="2"/>
      <c r="AH614" s="2"/>
      <c r="AI614" s="6">
        <v>9.5985870393900878</v>
      </c>
      <c r="AJ614" s="8">
        <v>847.80137229987315</v>
      </c>
      <c r="AK614" s="2"/>
      <c r="AL614" s="7">
        <v>33.340330368487933</v>
      </c>
      <c r="AM614" s="8">
        <v>525.93166454891991</v>
      </c>
      <c r="AN614" s="8">
        <v>6.7800381194409143</v>
      </c>
      <c r="AO614" s="2"/>
      <c r="AP614" s="2"/>
      <c r="AQ614" s="6">
        <v>0.59836340533672172</v>
      </c>
      <c r="AR614" s="6">
        <v>0.26599822109275734</v>
      </c>
      <c r="AS614" s="6">
        <v>0.19093214739517153</v>
      </c>
      <c r="AT614" s="8">
        <v>3.5940609911054637</v>
      </c>
      <c r="AU614" s="8">
        <v>1363.2065311308768</v>
      </c>
      <c r="AV614" s="515"/>
      <c r="AW614" s="8">
        <v>234.45341804320199</v>
      </c>
      <c r="AX614" s="2"/>
      <c r="AY614" s="2"/>
      <c r="AZ614" s="2">
        <v>0</v>
      </c>
      <c r="BA614" s="2"/>
      <c r="BB614" s="2"/>
      <c r="BC614" s="2"/>
      <c r="BD614" s="6">
        <v>2.745029224904702E-2</v>
      </c>
      <c r="BE614" s="2"/>
      <c r="BF614" s="2"/>
      <c r="BG614" s="6">
        <v>0.18674182973316389</v>
      </c>
      <c r="BH614" s="8">
        <v>290.94099110546381</v>
      </c>
      <c r="BI614" s="6">
        <v>16.855877509529861</v>
      </c>
      <c r="BJ614" s="7">
        <v>44.311186785260489</v>
      </c>
      <c r="BK614" s="54"/>
      <c r="BL614" s="7">
        <v>25.413743329097841</v>
      </c>
      <c r="BM614" s="6">
        <v>7.7484058449809403</v>
      </c>
      <c r="BN614" s="6">
        <v>1.2932980686149937</v>
      </c>
      <c r="BO614" s="51"/>
      <c r="BP614" s="6">
        <v>1.5152922998729348</v>
      </c>
      <c r="BQ614" s="516"/>
      <c r="BR614" s="516"/>
      <c r="BS614" s="517"/>
      <c r="BT614" s="518"/>
      <c r="BU614" s="6">
        <v>5.2009311308767465</v>
      </c>
      <c r="BV614" s="3">
        <v>0.71428996188055915</v>
      </c>
      <c r="BW614" s="6">
        <v>5.8109977128335446</v>
      </c>
      <c r="BX614" s="6">
        <v>0.6772439644218553</v>
      </c>
      <c r="BY614" s="6">
        <v>35.785839898348158</v>
      </c>
      <c r="BZ614" s="7">
        <v>14.164083862770015</v>
      </c>
      <c r="CA614" s="7">
        <v>10.857451080050829</v>
      </c>
      <c r="CB614" s="2"/>
      <c r="CC614" s="2"/>
      <c r="CD614" s="2"/>
      <c r="CE614" s="6">
        <v>2.6991740787801777</v>
      </c>
      <c r="CF614" s="6">
        <v>0.9513867852604827</v>
      </c>
      <c r="CG614" s="2">
        <v>393.5</v>
      </c>
      <c r="CI614" s="29"/>
      <c r="CJ614" s="41"/>
      <c r="CK614" s="29"/>
    </row>
    <row r="615" spans="1:89" x14ac:dyDescent="0.2">
      <c r="A615" s="2" t="s">
        <v>1468</v>
      </c>
      <c r="C615" t="s">
        <v>700</v>
      </c>
      <c r="H615" s="34"/>
      <c r="I615" s="34"/>
      <c r="J615" s="34"/>
      <c r="K615" s="37"/>
      <c r="L615" s="34"/>
      <c r="M615" s="37"/>
      <c r="N615" s="34"/>
      <c r="O615" s="72"/>
      <c r="P615" s="37"/>
      <c r="Q615" s="37"/>
      <c r="R615" s="37"/>
      <c r="T615" s="38" t="e">
        <f t="shared" si="13"/>
        <v>#DIV/0!</v>
      </c>
      <c r="W615" s="36"/>
      <c r="X615" s="36"/>
      <c r="Y615" s="36"/>
      <c r="Z615" s="36"/>
      <c r="AA615" s="36"/>
      <c r="AB615"/>
      <c r="AI615" s="34"/>
      <c r="AJ615" s="35"/>
      <c r="AL615" s="72"/>
      <c r="AM615" s="35"/>
      <c r="AO615"/>
      <c r="AQ615" s="34"/>
      <c r="AR615" s="34"/>
      <c r="AS615" s="34"/>
      <c r="AU615" s="35"/>
      <c r="AV615" s="161"/>
      <c r="AW615" s="35"/>
      <c r="AX615"/>
      <c r="AY615"/>
      <c r="AZ615"/>
      <c r="BA615"/>
      <c r="BB615"/>
      <c r="BC615"/>
      <c r="BD615" s="34"/>
      <c r="BE615"/>
      <c r="BF615"/>
      <c r="BG615" s="34"/>
      <c r="BH615" s="35"/>
      <c r="BI615" s="34"/>
      <c r="BJ615" s="72"/>
      <c r="BK615" s="54"/>
      <c r="BL615" s="72"/>
      <c r="BM615" s="34"/>
      <c r="BN615" s="34"/>
      <c r="BO615" s="51"/>
      <c r="BP615" s="34"/>
      <c r="BQ615" s="74"/>
      <c r="BR615" s="74"/>
      <c r="BS615" s="52"/>
      <c r="BT615" s="53"/>
      <c r="BU615" s="34"/>
      <c r="BV615" s="37"/>
      <c r="BW615" s="34"/>
      <c r="BX615" s="34"/>
      <c r="BY615" s="34"/>
      <c r="BZ615" s="72"/>
      <c r="CA615" s="72"/>
      <c r="CE615" s="34"/>
      <c r="CF615" s="34"/>
      <c r="CI615" s="29"/>
      <c r="CJ615" s="41"/>
      <c r="CK615" s="29"/>
    </row>
    <row r="616" spans="1:89" x14ac:dyDescent="0.2">
      <c r="A616" s="2" t="s">
        <v>1468</v>
      </c>
      <c r="H616" s="34"/>
      <c r="I616" s="34"/>
      <c r="J616" s="34"/>
      <c r="K616" s="37"/>
      <c r="L616" s="34"/>
      <c r="M616" s="37"/>
      <c r="N616" s="34"/>
      <c r="O616" s="72"/>
      <c r="P616" s="37"/>
      <c r="Q616" s="37"/>
      <c r="R616" s="37"/>
      <c r="T616" s="38" t="e">
        <f t="shared" si="13"/>
        <v>#DIV/0!</v>
      </c>
      <c r="W616" s="36"/>
      <c r="X616" s="36"/>
      <c r="Y616" s="36"/>
      <c r="Z616" s="36"/>
      <c r="AA616" s="36"/>
      <c r="AB616"/>
      <c r="AI616" s="34"/>
      <c r="AJ616" s="35"/>
      <c r="AL616" s="72"/>
      <c r="AM616" s="35"/>
      <c r="AO616"/>
      <c r="AQ616" s="34"/>
      <c r="AR616" s="34"/>
      <c r="AS616" s="34"/>
      <c r="AU616" s="35"/>
      <c r="AV616" s="161"/>
      <c r="AW616" s="35"/>
      <c r="AX616"/>
      <c r="AY616"/>
      <c r="AZ616"/>
      <c r="BA616"/>
      <c r="BB616"/>
      <c r="BC616"/>
      <c r="BD616" s="34"/>
      <c r="BE616"/>
      <c r="BF616"/>
      <c r="BG616" s="34"/>
      <c r="BH616" s="35"/>
      <c r="BI616" s="34"/>
      <c r="BJ616" s="72"/>
      <c r="BK616" s="54"/>
      <c r="BL616" s="72"/>
      <c r="BM616" s="34"/>
      <c r="BN616" s="34"/>
      <c r="BO616" s="51"/>
      <c r="BP616" s="34"/>
      <c r="BQ616" s="74"/>
      <c r="BR616" s="74"/>
      <c r="BS616" s="52"/>
      <c r="BT616" s="53"/>
      <c r="BU616" s="34"/>
      <c r="BV616" s="37"/>
      <c r="BW616" s="34"/>
      <c r="BX616" s="34"/>
      <c r="BY616" s="34"/>
      <c r="BZ616" s="72"/>
      <c r="CA616" s="72"/>
      <c r="CE616" s="34"/>
      <c r="CF616" s="34"/>
      <c r="CI616" s="29"/>
      <c r="CJ616" s="41"/>
      <c r="CK616" s="29"/>
    </row>
    <row r="617" spans="1:89" x14ac:dyDescent="0.2">
      <c r="A617" s="5" t="s">
        <v>1468</v>
      </c>
      <c r="C617" s="36" t="s">
        <v>279</v>
      </c>
      <c r="H617" s="34" t="e">
        <v>#DIV/0!</v>
      </c>
      <c r="I617" s="34" t="e">
        <v>#DIV/0!</v>
      </c>
      <c r="J617" s="34" t="e">
        <v>#DIV/0!</v>
      </c>
      <c r="K617" s="37">
        <v>0.12391464857534945</v>
      </c>
      <c r="L617" s="34">
        <v>5.7363598475222384</v>
      </c>
      <c r="M617" s="37" t="e">
        <v>#DIV/0!</v>
      </c>
      <c r="N617" s="34" t="e">
        <v>#DIV/0!</v>
      </c>
      <c r="O617" s="72">
        <v>14.37345870393901</v>
      </c>
      <c r="P617" s="37">
        <v>0.57033357052096567</v>
      </c>
      <c r="Q617" s="37">
        <v>0.16715451080050825</v>
      </c>
      <c r="R617" s="37" t="e">
        <v>#DIV/0!</v>
      </c>
      <c r="T617" s="38" t="e">
        <f t="shared" si="13"/>
        <v>#DIV/0!</v>
      </c>
      <c r="W617" s="36"/>
      <c r="X617" s="36"/>
      <c r="Y617" s="36"/>
      <c r="Z617" s="36"/>
      <c r="AA617" s="36"/>
      <c r="AB617"/>
      <c r="AI617" s="34">
        <v>9.5985870393900878</v>
      </c>
      <c r="AJ617" s="35">
        <v>847.80137229987315</v>
      </c>
      <c r="AL617" s="72">
        <v>33.340330368487933</v>
      </c>
      <c r="AM617" s="35">
        <v>525.93166454891991</v>
      </c>
      <c r="AO617"/>
      <c r="AQ617" s="34">
        <v>0.59836340533672172</v>
      </c>
      <c r="AR617" s="34">
        <v>0.26599822109275734</v>
      </c>
      <c r="AS617" s="34">
        <v>0.19093214739517153</v>
      </c>
      <c r="AU617" s="35">
        <v>1363.2065311308768</v>
      </c>
      <c r="AV617" s="161">
        <v>57.680698743490531</v>
      </c>
      <c r="AW617" s="35">
        <v>234.45341804320199</v>
      </c>
      <c r="AX617"/>
      <c r="AY617"/>
      <c r="AZ617"/>
      <c r="BA617"/>
      <c r="BB617"/>
      <c r="BC617"/>
      <c r="BD617" s="34">
        <v>2.745029224904702E-2</v>
      </c>
      <c r="BE617"/>
      <c r="BF617"/>
      <c r="BG617" s="34">
        <v>0.18674182973316389</v>
      </c>
      <c r="BH617" s="35">
        <v>290.94099110546381</v>
      </c>
      <c r="BI617" s="34">
        <v>16.855877509529861</v>
      </c>
      <c r="BJ617" s="72">
        <v>44.311186785260489</v>
      </c>
      <c r="BK617" s="54">
        <v>5.432351023936679</v>
      </c>
      <c r="BL617" s="72">
        <v>25.413743329097841</v>
      </c>
      <c r="BM617" s="34">
        <v>7.7484058449809403</v>
      </c>
      <c r="BN617" s="34">
        <v>1.2932980686149937</v>
      </c>
      <c r="BO617" s="51">
        <v>8.8903682977075693</v>
      </c>
      <c r="BP617" s="34">
        <v>1.5152922998729348</v>
      </c>
      <c r="BQ617" s="74">
        <v>9.7860639579507058</v>
      </c>
      <c r="BR617" s="74">
        <v>2.1160298791895782</v>
      </c>
      <c r="BS617" s="52">
        <v>5.7080625273961783</v>
      </c>
      <c r="BT617" s="53">
        <v>0.82055387655784195</v>
      </c>
      <c r="BU617" s="34">
        <v>5.2009311308767465</v>
      </c>
      <c r="BV617" s="37">
        <v>0.71428996188055915</v>
      </c>
      <c r="BW617" s="34">
        <v>5.8109977128335446</v>
      </c>
      <c r="BX617" s="34">
        <v>0.6772439644218553</v>
      </c>
      <c r="BY617" s="34">
        <v>35.785839898348158</v>
      </c>
      <c r="BZ617" s="72">
        <v>14.164083862770015</v>
      </c>
      <c r="CA617" s="72">
        <v>10.857451080050829</v>
      </c>
      <c r="CE617" s="34">
        <v>2.6991740787801777</v>
      </c>
      <c r="CF617" s="34">
        <v>0.9513867852604827</v>
      </c>
      <c r="CI617" s="29">
        <v>9.1480338925257847</v>
      </c>
      <c r="CJ617" s="41">
        <v>8.8684966053844718</v>
      </c>
      <c r="CK617" s="29">
        <v>8.6545743952124496</v>
      </c>
    </row>
    <row r="618" spans="1:89" x14ac:dyDescent="0.2">
      <c r="A618" s="36"/>
      <c r="C618" s="36"/>
      <c r="H618" s="34"/>
      <c r="I618" s="34"/>
      <c r="J618" s="34"/>
      <c r="K618" s="37"/>
      <c r="L618" s="34"/>
      <c r="M618" s="37"/>
      <c r="N618" s="34"/>
      <c r="O618" s="72"/>
      <c r="P618" s="37"/>
      <c r="Q618" s="37"/>
      <c r="R618" s="37"/>
      <c r="T618" s="38" t="e">
        <f t="shared" si="13"/>
        <v>#DIV/0!</v>
      </c>
      <c r="W618" s="36"/>
      <c r="X618" s="36"/>
      <c r="Y618" s="36"/>
      <c r="Z618" s="36"/>
      <c r="AA618" s="36"/>
      <c r="AB618"/>
      <c r="AI618" s="34"/>
      <c r="AJ618" s="35"/>
      <c r="AL618" s="72"/>
      <c r="AM618" s="35"/>
      <c r="AO618"/>
      <c r="AQ618" s="34"/>
      <c r="AR618" s="34"/>
      <c r="AS618" s="34"/>
      <c r="AU618" s="35"/>
      <c r="AV618" s="161"/>
      <c r="AW618" s="35"/>
      <c r="AX618"/>
      <c r="AY618"/>
      <c r="AZ618"/>
      <c r="BA618"/>
      <c r="BB618"/>
      <c r="BC618"/>
      <c r="BD618" s="34"/>
      <c r="BE618"/>
      <c r="BF618"/>
      <c r="BG618" s="34"/>
      <c r="BH618" s="35"/>
      <c r="BI618" s="34"/>
      <c r="BJ618" s="72"/>
      <c r="BK618" s="54"/>
      <c r="BL618" s="72"/>
      <c r="BM618" s="34"/>
      <c r="BN618" s="34"/>
      <c r="BO618" s="51"/>
      <c r="BP618" s="34"/>
      <c r="BQ618" s="74"/>
      <c r="BR618" s="74"/>
      <c r="BS618" s="52"/>
      <c r="BT618" s="53"/>
      <c r="BU618" s="34"/>
      <c r="BV618" s="37"/>
      <c r="BW618" s="34"/>
      <c r="BX618" s="34"/>
      <c r="BY618" s="34"/>
      <c r="BZ618" s="72"/>
      <c r="CA618" s="72"/>
      <c r="CE618" s="34"/>
      <c r="CF618" s="34"/>
      <c r="CI618" s="29"/>
      <c r="CJ618" s="41"/>
      <c r="CK618" s="29"/>
    </row>
    <row r="619" spans="1:89" s="2" customFormat="1" x14ac:dyDescent="0.2">
      <c r="A619" s="2" t="s">
        <v>1303</v>
      </c>
      <c r="C619" s="2" t="s">
        <v>717</v>
      </c>
      <c r="H619" s="6"/>
      <c r="I619" s="6"/>
      <c r="J619" s="6"/>
      <c r="K619" s="3">
        <v>0.10772382544887624</v>
      </c>
      <c r="L619" s="6">
        <v>4.7411186176432381</v>
      </c>
      <c r="M619" s="3"/>
      <c r="N619" s="6"/>
      <c r="O619" s="7">
        <v>15.946884067385565</v>
      </c>
      <c r="P619" s="3">
        <v>0.47918548352171847</v>
      </c>
      <c r="Q619" s="3">
        <v>2.0300549997834656E-2</v>
      </c>
      <c r="R619" s="3"/>
      <c r="T619" s="38">
        <f t="shared" si="13"/>
        <v>0</v>
      </c>
      <c r="AI619" s="6">
        <v>9.1474353644277002</v>
      </c>
      <c r="AJ619" s="8">
        <v>737.02672036724289</v>
      </c>
      <c r="AL619" s="7">
        <v>17.600015590489804</v>
      </c>
      <c r="AM619" s="8">
        <v>205.94842146290765</v>
      </c>
      <c r="AN619" s="8">
        <v>11.067485167381232</v>
      </c>
      <c r="AQ619" s="6">
        <v>0.20647221861331255</v>
      </c>
      <c r="AR619" s="6">
        <v>0.24835650253345462</v>
      </c>
      <c r="AS619" s="6">
        <v>0.35892685461868262</v>
      </c>
      <c r="AT619" s="8">
        <v>0.95056082456368296</v>
      </c>
      <c r="AU619" s="8">
        <v>206.482222510935</v>
      </c>
      <c r="AV619" s="515"/>
      <c r="AW619" s="8">
        <v>43.350829327443599</v>
      </c>
      <c r="AZ619" s="2">
        <v>0</v>
      </c>
      <c r="BD619" s="6">
        <v>1.0760036377809538E-2</v>
      </c>
      <c r="BG619" s="6">
        <v>4.8412844831319558E-2</v>
      </c>
      <c r="BH619" s="8">
        <v>285.11597592135467</v>
      </c>
      <c r="BI619" s="6">
        <v>3.5209510198778746</v>
      </c>
      <c r="BJ619" s="7">
        <v>9.0849530119960153</v>
      </c>
      <c r="BK619" s="54"/>
      <c r="BL619" s="7">
        <v>5.3669611536962467</v>
      </c>
      <c r="BM619" s="6">
        <v>1.6257520679052446</v>
      </c>
      <c r="BN619" s="6">
        <v>1.0172077865835174</v>
      </c>
      <c r="BO619" s="51"/>
      <c r="BP619" s="6">
        <v>0.34364037936858516</v>
      </c>
      <c r="BQ619" s="516"/>
      <c r="BR619" s="516"/>
      <c r="BS619" s="517"/>
      <c r="BT619" s="518"/>
      <c r="BU619" s="6">
        <v>1.3163877268199733</v>
      </c>
      <c r="BV619" s="3">
        <v>0.18657187648867526</v>
      </c>
      <c r="BW619" s="6">
        <v>1.1898499415356634</v>
      </c>
      <c r="BX619" s="6">
        <v>0.15731510112164915</v>
      </c>
      <c r="BY619" s="6">
        <v>0.28623706205881083</v>
      </c>
      <c r="BZ619" s="7">
        <v>7.3426486509895641</v>
      </c>
      <c r="CA619" s="7">
        <v>2.542453769867048</v>
      </c>
      <c r="CE619" s="6">
        <v>0.60374275691828005</v>
      </c>
      <c r="CF619" s="6">
        <v>0.22933090814603097</v>
      </c>
      <c r="CG619" s="2">
        <v>230.90999999999997</v>
      </c>
      <c r="CI619" s="175"/>
      <c r="CJ619" s="13"/>
      <c r="CK619" s="175"/>
    </row>
    <row r="620" spans="1:89" x14ac:dyDescent="0.2">
      <c r="A620" s="2" t="s">
        <v>1303</v>
      </c>
      <c r="C620" t="s">
        <v>700</v>
      </c>
      <c r="H620" s="34"/>
      <c r="I620" s="34"/>
      <c r="J620" s="34"/>
      <c r="K620" s="37"/>
      <c r="L620" s="34"/>
      <c r="M620" s="37"/>
      <c r="N620" s="34"/>
      <c r="O620" s="72"/>
      <c r="P620" s="37"/>
      <c r="Q620" s="37"/>
      <c r="R620" s="37"/>
      <c r="T620" s="38" t="e">
        <f t="shared" si="13"/>
        <v>#DIV/0!</v>
      </c>
      <c r="W620" s="36"/>
      <c r="X620" s="36"/>
      <c r="Y620" s="36"/>
      <c r="Z620" s="36"/>
      <c r="AA620" s="36"/>
      <c r="AB620"/>
      <c r="AI620" s="34"/>
      <c r="AJ620" s="35"/>
      <c r="AL620" s="72"/>
      <c r="AM620" s="35"/>
      <c r="AO620"/>
      <c r="AQ620" s="34"/>
      <c r="AR620" s="34"/>
      <c r="AS620" s="34"/>
      <c r="AU620" s="35"/>
      <c r="AV620" s="161"/>
      <c r="AW620" s="35"/>
      <c r="AX620"/>
      <c r="AY620"/>
      <c r="AZ620"/>
      <c r="BA620"/>
      <c r="BB620"/>
      <c r="BC620"/>
      <c r="BD620" s="34"/>
      <c r="BE620"/>
      <c r="BF620"/>
      <c r="BG620" s="34"/>
      <c r="BH620" s="35"/>
      <c r="BI620" s="34"/>
      <c r="BJ620" s="72"/>
      <c r="BK620" s="54"/>
      <c r="BL620" s="72"/>
      <c r="BM620" s="34"/>
      <c r="BN620" s="34"/>
      <c r="BO620" s="51"/>
      <c r="BP620" s="34"/>
      <c r="BQ620" s="74"/>
      <c r="BR620" s="74"/>
      <c r="BS620" s="52"/>
      <c r="BT620" s="53"/>
      <c r="BU620" s="34"/>
      <c r="BV620" s="37"/>
      <c r="BW620" s="34"/>
      <c r="BX620" s="34"/>
      <c r="BY620" s="34"/>
      <c r="BZ620" s="72"/>
      <c r="CA620" s="72"/>
      <c r="CE620" s="34"/>
      <c r="CF620" s="34"/>
      <c r="CI620" s="29"/>
      <c r="CJ620" s="41"/>
      <c r="CK620" s="29"/>
    </row>
    <row r="621" spans="1:89" x14ac:dyDescent="0.2">
      <c r="A621" s="2" t="s">
        <v>1303</v>
      </c>
      <c r="H621" s="34"/>
      <c r="I621" s="34"/>
      <c r="J621" s="34"/>
      <c r="K621" s="37"/>
      <c r="L621" s="34"/>
      <c r="M621" s="37"/>
      <c r="N621" s="34"/>
      <c r="O621" s="72"/>
      <c r="P621" s="37"/>
      <c r="Q621" s="37"/>
      <c r="R621" s="37"/>
      <c r="T621" s="38" t="e">
        <f t="shared" si="13"/>
        <v>#DIV/0!</v>
      </c>
      <c r="W621" s="36"/>
      <c r="X621" s="36"/>
      <c r="Y621" s="36"/>
      <c r="Z621" s="36"/>
      <c r="AA621" s="36"/>
      <c r="AB621"/>
      <c r="AI621" s="34"/>
      <c r="AJ621" s="35"/>
      <c r="AL621" s="72"/>
      <c r="AM621" s="35"/>
      <c r="AO621"/>
      <c r="AQ621" s="34"/>
      <c r="AR621" s="34"/>
      <c r="AS621" s="34"/>
      <c r="AU621" s="35"/>
      <c r="AV621" s="161"/>
      <c r="AW621" s="35"/>
      <c r="AX621"/>
      <c r="AY621"/>
      <c r="AZ621"/>
      <c r="BA621"/>
      <c r="BB621"/>
      <c r="BC621"/>
      <c r="BD621" s="34"/>
      <c r="BE621"/>
      <c r="BF621"/>
      <c r="BG621" s="34"/>
      <c r="BH621" s="35"/>
      <c r="BI621" s="34"/>
      <c r="BJ621" s="72"/>
      <c r="BK621" s="54"/>
      <c r="BL621" s="72"/>
      <c r="BM621" s="34"/>
      <c r="BN621" s="34"/>
      <c r="BO621" s="51"/>
      <c r="BP621" s="34"/>
      <c r="BQ621" s="74"/>
      <c r="BR621" s="74"/>
      <c r="BS621" s="52"/>
      <c r="BT621" s="53"/>
      <c r="BU621" s="34"/>
      <c r="BV621" s="37"/>
      <c r="BW621" s="34"/>
      <c r="BX621" s="34"/>
      <c r="BY621" s="34"/>
      <c r="BZ621" s="72"/>
      <c r="CA621" s="72"/>
      <c r="CE621" s="34"/>
      <c r="CF621" s="34"/>
      <c r="CI621" s="29"/>
      <c r="CJ621" s="41"/>
      <c r="CK621" s="29"/>
    </row>
    <row r="622" spans="1:89" x14ac:dyDescent="0.2">
      <c r="A622" s="5" t="s">
        <v>1303</v>
      </c>
      <c r="C622" s="36" t="s">
        <v>279</v>
      </c>
      <c r="H622" s="34" t="e">
        <v>#DIV/0!</v>
      </c>
      <c r="I622" s="34" t="e">
        <v>#DIV/0!</v>
      </c>
      <c r="J622" s="34" t="e">
        <v>#DIV/0!</v>
      </c>
      <c r="K622" s="37">
        <v>0.10772382544887624</v>
      </c>
      <c r="L622" s="34">
        <v>4.7411186176432381</v>
      </c>
      <c r="M622" s="37" t="e">
        <v>#DIV/0!</v>
      </c>
      <c r="N622" s="34" t="e">
        <v>#DIV/0!</v>
      </c>
      <c r="O622" s="72">
        <v>15.946884067385565</v>
      </c>
      <c r="P622" s="37">
        <v>0.47918548352171847</v>
      </c>
      <c r="Q622" s="37">
        <v>2.0300549997834656E-2</v>
      </c>
      <c r="R622" s="37" t="e">
        <v>#DIV/0!</v>
      </c>
      <c r="T622" s="38" t="e">
        <f t="shared" si="13"/>
        <v>#DIV/0!</v>
      </c>
      <c r="W622" s="36"/>
      <c r="X622" s="36"/>
      <c r="Y622" s="36"/>
      <c r="Z622" s="36"/>
      <c r="AA622" s="36"/>
      <c r="AB622"/>
      <c r="AI622" s="34">
        <v>9.1474353644277002</v>
      </c>
      <c r="AJ622" s="35">
        <v>737.02672036724289</v>
      </c>
      <c r="AL622" s="72">
        <v>17.600015590489804</v>
      </c>
      <c r="AM622" s="35">
        <v>205.94842146290765</v>
      </c>
      <c r="AO622"/>
      <c r="AQ622" s="34">
        <v>0.20647221861331255</v>
      </c>
      <c r="AR622" s="34">
        <v>0.24835650253345462</v>
      </c>
      <c r="AS622" s="34">
        <v>0.35892685461868262</v>
      </c>
      <c r="AU622" s="35">
        <v>206.482222510935</v>
      </c>
      <c r="AV622" s="161">
        <v>13.793435791327887</v>
      </c>
      <c r="AW622" s="35">
        <v>43.350829327443599</v>
      </c>
      <c r="AX622"/>
      <c r="AY622"/>
      <c r="AZ622"/>
      <c r="BA622"/>
      <c r="BB622"/>
      <c r="BC622"/>
      <c r="BD622" s="34">
        <v>1.0760036377809538E-2</v>
      </c>
      <c r="BE622"/>
      <c r="BF622"/>
      <c r="BG622" s="34">
        <v>4.8412844831319558E-2</v>
      </c>
      <c r="BH622" s="35">
        <v>285.11597592135467</v>
      </c>
      <c r="BI622" s="34">
        <v>3.5209510198778746</v>
      </c>
      <c r="BJ622" s="72">
        <v>9.0849530119960153</v>
      </c>
      <c r="BK622" s="54">
        <v>1.1430465199892961</v>
      </c>
      <c r="BL622" s="72">
        <v>5.3669611536962467</v>
      </c>
      <c r="BM622" s="34">
        <v>1.6257520679052446</v>
      </c>
      <c r="BN622" s="34">
        <v>1.0172077865835174</v>
      </c>
      <c r="BO622" s="51">
        <v>1.9342154555904589</v>
      </c>
      <c r="BP622" s="34">
        <v>0.34364037936858516</v>
      </c>
      <c r="BQ622" s="74">
        <v>2.2617570487057974</v>
      </c>
      <c r="BR622" s="74">
        <v>0.50029937654961376</v>
      </c>
      <c r="BS622" s="52">
        <v>1.3805891168720072</v>
      </c>
      <c r="BT622" s="53">
        <v>0.20302413894643911</v>
      </c>
      <c r="BU622" s="34">
        <v>1.3163877268199733</v>
      </c>
      <c r="BV622" s="37">
        <v>0.18657187648867526</v>
      </c>
      <c r="BW622" s="34">
        <v>1.1898499415356634</v>
      </c>
      <c r="BX622" s="34">
        <v>0.15731510112164915</v>
      </c>
      <c r="BY622" s="34">
        <v>0.28623706205881083</v>
      </c>
      <c r="BZ622" s="72">
        <v>7.3426486509895641</v>
      </c>
      <c r="CA622" s="72">
        <v>2.542453769867048</v>
      </c>
      <c r="CE622" s="34">
        <v>0.60374275691828005</v>
      </c>
      <c r="CF622" s="34">
        <v>0.22933090814603097</v>
      </c>
      <c r="CI622" s="29">
        <v>1.9228395891490713</v>
      </c>
      <c r="CJ622" s="41">
        <v>1.9597481075518188</v>
      </c>
      <c r="CK622" s="29">
        <v>1.9200586700704867</v>
      </c>
    </row>
    <row r="623" spans="1:89" x14ac:dyDescent="0.2">
      <c r="C623" s="36"/>
      <c r="H623" s="34"/>
      <c r="I623" s="34"/>
      <c r="J623" s="34"/>
      <c r="K623" s="37"/>
      <c r="L623" s="34"/>
      <c r="M623" s="37"/>
      <c r="N623" s="34"/>
      <c r="O623" s="72"/>
      <c r="P623" s="37"/>
      <c r="Q623" s="37"/>
      <c r="R623" s="37"/>
      <c r="T623" s="38" t="e">
        <f t="shared" si="13"/>
        <v>#DIV/0!</v>
      </c>
      <c r="W623" s="36"/>
      <c r="X623" s="36"/>
      <c r="Y623" s="36"/>
      <c r="Z623" s="36"/>
      <c r="AA623" s="36"/>
      <c r="AB623"/>
      <c r="AI623" s="34"/>
      <c r="AJ623" s="35"/>
      <c r="AL623" s="72"/>
      <c r="AM623" s="35"/>
      <c r="AO623"/>
      <c r="AQ623" s="34"/>
      <c r="AR623" s="34"/>
      <c r="AS623" s="34"/>
      <c r="AU623" s="35"/>
      <c r="AV623" s="161"/>
      <c r="AW623" s="35"/>
      <c r="AX623"/>
      <c r="AY623"/>
      <c r="AZ623"/>
      <c r="BA623"/>
      <c r="BB623"/>
      <c r="BC623"/>
      <c r="BD623" s="34"/>
      <c r="BE623"/>
      <c r="BF623"/>
      <c r="BG623" s="34"/>
      <c r="BH623" s="35"/>
      <c r="BI623" s="34"/>
      <c r="BJ623" s="72"/>
      <c r="BK623" s="54"/>
      <c r="BL623" s="72"/>
      <c r="BM623" s="34"/>
      <c r="BN623" s="34"/>
      <c r="BO623" s="51"/>
      <c r="BP623" s="34"/>
      <c r="BQ623" s="74"/>
      <c r="BR623" s="74"/>
      <c r="BS623" s="52"/>
      <c r="BT623" s="53"/>
      <c r="BU623" s="34"/>
      <c r="BV623" s="37"/>
      <c r="BW623" s="34"/>
      <c r="BX623" s="34"/>
      <c r="BY623" s="34"/>
      <c r="BZ623" s="72"/>
      <c r="CA623" s="72"/>
      <c r="CE623" s="34"/>
      <c r="CF623" s="34"/>
      <c r="CI623" s="29"/>
      <c r="CJ623" s="41"/>
      <c r="CK623" s="29"/>
    </row>
    <row r="624" spans="1:89" s="2" customFormat="1" x14ac:dyDescent="0.2">
      <c r="A624" s="2" t="s">
        <v>217</v>
      </c>
      <c r="C624" s="2" t="s">
        <v>717</v>
      </c>
      <c r="H624" s="6"/>
      <c r="I624" s="6"/>
      <c r="J624" s="6"/>
      <c r="K624" s="3">
        <v>8.7785824575754151E-2</v>
      </c>
      <c r="L624" s="6">
        <v>4.1834063947576539</v>
      </c>
      <c r="M624" s="3"/>
      <c r="N624" s="6"/>
      <c r="O624" s="7">
        <v>16.867167551689075</v>
      </c>
      <c r="P624" s="3">
        <v>0.32364359959326622</v>
      </c>
      <c r="Q624" s="3">
        <v>8.7308778669076936E-2</v>
      </c>
      <c r="R624" s="3"/>
      <c r="T624" s="38">
        <f t="shared" si="13"/>
        <v>0</v>
      </c>
      <c r="AI624" s="6">
        <v>8.1161800926448979</v>
      </c>
      <c r="AJ624" s="8">
        <v>600.61456332617786</v>
      </c>
      <c r="AL624" s="7">
        <v>12.717709298384362</v>
      </c>
      <c r="AM624" s="8">
        <v>122.52672014461642</v>
      </c>
      <c r="AN624" s="8">
        <v>1.2727488419387638</v>
      </c>
      <c r="AQ624" s="6">
        <v>0.11324257146085187</v>
      </c>
      <c r="AR624" s="6">
        <v>6.8235227657891764E-2</v>
      </c>
      <c r="AS624" s="6">
        <v>0.86416845554174659</v>
      </c>
      <c r="AT624" s="8">
        <v>2.041125296576658</v>
      </c>
      <c r="AU624" s="8">
        <v>199.09027228561743</v>
      </c>
      <c r="AV624" s="515"/>
      <c r="AW624" s="8">
        <v>34.545983504688735</v>
      </c>
      <c r="AZ624" s="2">
        <v>6.7698565133883185E-2</v>
      </c>
      <c r="BD624" s="6">
        <v>6.0551915037848824E-3</v>
      </c>
      <c r="BG624" s="6">
        <v>3.2085075132753361E-2</v>
      </c>
      <c r="BH624" s="8">
        <v>49.682352276578918</v>
      </c>
      <c r="BI624" s="6">
        <v>2.1925341769291604</v>
      </c>
      <c r="BJ624" s="7">
        <v>5.8994480849621498</v>
      </c>
      <c r="BK624" s="54"/>
      <c r="BL624" s="7">
        <v>3.6249802282227992</v>
      </c>
      <c r="BM624" s="6">
        <v>1.0894203479832785</v>
      </c>
      <c r="BN624" s="6">
        <v>0.76224155462659593</v>
      </c>
      <c r="BO624" s="51"/>
      <c r="BP624" s="6">
        <v>0.24304999435092081</v>
      </c>
      <c r="BQ624" s="516"/>
      <c r="BR624" s="516"/>
      <c r="BS624" s="517"/>
      <c r="BT624" s="518"/>
      <c r="BU624" s="6">
        <v>0.89934318156140558</v>
      </c>
      <c r="BV624" s="3">
        <v>0.12689842955598238</v>
      </c>
      <c r="BW624" s="6">
        <v>0.82646593605242336</v>
      </c>
      <c r="BX624" s="6">
        <v>0.11206835385832108</v>
      </c>
      <c r="BY624" s="6">
        <v>1.6331487967461304E-2</v>
      </c>
      <c r="BZ624" s="7">
        <v>4.8916732572590664</v>
      </c>
      <c r="CA624" s="7">
        <v>1.8208902948819341</v>
      </c>
      <c r="CE624" s="6">
        <v>0.36575251384024399</v>
      </c>
      <c r="CF624" s="6">
        <v>0.133499604564456</v>
      </c>
      <c r="CG624" s="2">
        <v>177.02</v>
      </c>
      <c r="CI624" s="175"/>
      <c r="CJ624" s="13"/>
      <c r="CK624" s="175"/>
    </row>
    <row r="625" spans="1:89" x14ac:dyDescent="0.2">
      <c r="A625" s="2" t="s">
        <v>217</v>
      </c>
      <c r="C625" t="s">
        <v>700</v>
      </c>
      <c r="H625" s="34"/>
      <c r="I625" s="34"/>
      <c r="J625" s="34"/>
      <c r="K625" s="37"/>
      <c r="L625" s="34"/>
      <c r="M625" s="37"/>
      <c r="N625" s="34"/>
      <c r="O625" s="72"/>
      <c r="P625" s="37"/>
      <c r="Q625" s="37"/>
      <c r="R625" s="37"/>
      <c r="T625" s="38" t="e">
        <f t="shared" si="13"/>
        <v>#DIV/0!</v>
      </c>
      <c r="W625" s="36"/>
      <c r="X625" s="36"/>
      <c r="Y625" s="36"/>
      <c r="Z625" s="36"/>
      <c r="AA625" s="36"/>
      <c r="AB625"/>
      <c r="AI625" s="34"/>
      <c r="AJ625" s="35"/>
      <c r="AL625" s="72"/>
      <c r="AM625" s="35"/>
      <c r="AO625"/>
      <c r="AQ625" s="34"/>
      <c r="AR625" s="34"/>
      <c r="AS625" s="34"/>
      <c r="AU625" s="35"/>
      <c r="AV625" s="161"/>
      <c r="AW625" s="35"/>
      <c r="AX625"/>
      <c r="AY625"/>
      <c r="AZ625"/>
      <c r="BA625"/>
      <c r="BB625"/>
      <c r="BC625"/>
      <c r="BD625" s="34"/>
      <c r="BE625"/>
      <c r="BF625"/>
      <c r="BG625" s="34"/>
      <c r="BH625" s="35"/>
      <c r="BI625" s="34"/>
      <c r="BJ625" s="72"/>
      <c r="BK625" s="54"/>
      <c r="BL625" s="72"/>
      <c r="BM625" s="34"/>
      <c r="BN625" s="34"/>
      <c r="BO625" s="51"/>
      <c r="BP625" s="34"/>
      <c r="BQ625" s="74"/>
      <c r="BR625" s="74"/>
      <c r="BS625" s="52"/>
      <c r="BT625" s="53"/>
      <c r="BU625" s="34"/>
      <c r="BV625" s="37"/>
      <c r="BW625" s="34"/>
      <c r="BX625" s="34"/>
      <c r="BY625" s="34"/>
      <c r="BZ625" s="72"/>
      <c r="CA625" s="72"/>
      <c r="CE625" s="34"/>
      <c r="CF625" s="34"/>
      <c r="CI625" s="29"/>
      <c r="CJ625" s="41"/>
      <c r="CK625" s="29"/>
    </row>
    <row r="626" spans="1:89" x14ac:dyDescent="0.2">
      <c r="A626" s="2" t="s">
        <v>217</v>
      </c>
      <c r="H626" s="34"/>
      <c r="I626" s="34"/>
      <c r="J626" s="34"/>
      <c r="K626" s="37"/>
      <c r="L626" s="34"/>
      <c r="M626" s="37"/>
      <c r="N626" s="34"/>
      <c r="O626" s="72"/>
      <c r="P626" s="37"/>
      <c r="Q626" s="37"/>
      <c r="R626" s="37"/>
      <c r="T626" s="38" t="e">
        <f t="shared" si="13"/>
        <v>#DIV/0!</v>
      </c>
      <c r="W626" s="36"/>
      <c r="X626" s="36"/>
      <c r="Y626" s="36"/>
      <c r="Z626" s="36"/>
      <c r="AA626" s="36"/>
      <c r="AB626"/>
      <c r="AI626" s="34"/>
      <c r="AJ626" s="35"/>
      <c r="AL626" s="72"/>
      <c r="AM626" s="35"/>
      <c r="AO626"/>
      <c r="AQ626" s="34"/>
      <c r="AR626" s="34"/>
      <c r="AS626" s="34"/>
      <c r="AU626" s="35"/>
      <c r="AV626" s="161"/>
      <c r="AW626" s="35"/>
      <c r="AX626"/>
      <c r="AY626"/>
      <c r="AZ626"/>
      <c r="BA626"/>
      <c r="BB626"/>
      <c r="BC626"/>
      <c r="BD626" s="34"/>
      <c r="BE626"/>
      <c r="BF626"/>
      <c r="BG626" s="34"/>
      <c r="BH626" s="35"/>
      <c r="BI626" s="34"/>
      <c r="BJ626" s="72"/>
      <c r="BK626" s="54"/>
      <c r="BL626" s="72"/>
      <c r="BM626" s="34"/>
      <c r="BN626" s="34"/>
      <c r="BO626" s="51"/>
      <c r="BP626" s="34"/>
      <c r="BQ626" s="74"/>
      <c r="BR626" s="74"/>
      <c r="BS626" s="52"/>
      <c r="BT626" s="53"/>
      <c r="BU626" s="34"/>
      <c r="BV626" s="37"/>
      <c r="BW626" s="34"/>
      <c r="BX626" s="34"/>
      <c r="BY626" s="34"/>
      <c r="BZ626" s="72"/>
      <c r="CA626" s="72"/>
      <c r="CE626" s="34"/>
      <c r="CF626" s="34"/>
      <c r="CI626" s="29"/>
      <c r="CJ626" s="41"/>
      <c r="CK626" s="29"/>
    </row>
    <row r="627" spans="1:89" x14ac:dyDescent="0.2">
      <c r="A627" s="5" t="s">
        <v>217</v>
      </c>
      <c r="C627" s="36" t="s">
        <v>279</v>
      </c>
      <c r="H627" s="34" t="e">
        <v>#DIV/0!</v>
      </c>
      <c r="I627" s="34" t="e">
        <v>#DIV/0!</v>
      </c>
      <c r="J627" s="34" t="e">
        <v>#DIV/0!</v>
      </c>
      <c r="K627" s="37">
        <v>8.7785824575754151E-2</v>
      </c>
      <c r="L627" s="34">
        <v>4.1834063947576539</v>
      </c>
      <c r="M627" s="37" t="e">
        <v>#DIV/0!</v>
      </c>
      <c r="N627" s="34" t="e">
        <v>#DIV/0!</v>
      </c>
      <c r="O627" s="72">
        <v>16.867167551689075</v>
      </c>
      <c r="P627" s="37">
        <v>0.32364359959326622</v>
      </c>
      <c r="Q627" s="37">
        <v>8.7308778669076936E-2</v>
      </c>
      <c r="R627" s="37" t="e">
        <v>#DIV/0!</v>
      </c>
      <c r="T627" s="38" t="e">
        <f t="shared" si="13"/>
        <v>#DIV/0!</v>
      </c>
      <c r="W627" s="36"/>
      <c r="X627" s="36"/>
      <c r="Y627" s="36"/>
      <c r="Z627" s="36"/>
      <c r="AA627" s="36"/>
      <c r="AB627"/>
      <c r="AI627" s="34">
        <v>8.1161800926448979</v>
      </c>
      <c r="AJ627" s="35">
        <v>600.61456332617786</v>
      </c>
      <c r="AL627" s="72">
        <v>12.717709298384362</v>
      </c>
      <c r="AM627" s="35">
        <v>122.52672014461642</v>
      </c>
      <c r="AO627"/>
      <c r="AQ627" s="34">
        <v>0.11324257146085187</v>
      </c>
      <c r="AR627" s="34">
        <v>6.8235227657891764E-2</v>
      </c>
      <c r="AS627" s="34">
        <v>0.86416845554174659</v>
      </c>
      <c r="AU627" s="35">
        <v>199.09027228561743</v>
      </c>
      <c r="AV627" s="161">
        <v>9.4764178875053187</v>
      </c>
      <c r="AW627" s="35">
        <v>34.545983504688735</v>
      </c>
      <c r="AX627"/>
      <c r="AY627"/>
      <c r="AZ627"/>
      <c r="BA627"/>
      <c r="BB627"/>
      <c r="BC627"/>
      <c r="BD627" s="34">
        <v>6.0551915037848824E-3</v>
      </c>
      <c r="BE627"/>
      <c r="BF627"/>
      <c r="BG627" s="34">
        <v>3.2085075132753361E-2</v>
      </c>
      <c r="BH627" s="35">
        <v>49.682352276578918</v>
      </c>
      <c r="BI627" s="34">
        <v>2.1925341769291604</v>
      </c>
      <c r="BJ627" s="72">
        <v>5.8994480849621498</v>
      </c>
      <c r="BK627" s="54">
        <v>0.75141090812411604</v>
      </c>
      <c r="BL627" s="72">
        <v>3.6249802282227992</v>
      </c>
      <c r="BM627" s="34">
        <v>1.0894203479832785</v>
      </c>
      <c r="BN627" s="34">
        <v>0.76224155462659593</v>
      </c>
      <c r="BO627" s="51">
        <v>1.3518960956151869</v>
      </c>
      <c r="BP627" s="34">
        <v>0.24304999435092081</v>
      </c>
      <c r="BQ627" s="74">
        <v>1.5590453716782273</v>
      </c>
      <c r="BR627" s="74">
        <v>0.34409953502198709</v>
      </c>
      <c r="BS627" s="52">
        <v>0.9474445762714564</v>
      </c>
      <c r="BT627" s="53">
        <v>0.13901645568746646</v>
      </c>
      <c r="BU627" s="34">
        <v>0.89934318156140558</v>
      </c>
      <c r="BV627" s="37">
        <v>0.12689842955598238</v>
      </c>
      <c r="BW627" s="34">
        <v>0.82646593605242336</v>
      </c>
      <c r="BX627" s="34">
        <v>0.11206835385832108</v>
      </c>
      <c r="BY627" s="34">
        <v>1.6331487967461304E-2</v>
      </c>
      <c r="BZ627" s="72">
        <v>4.8916732572590664</v>
      </c>
      <c r="CA627" s="72">
        <v>1.8208902948819341</v>
      </c>
      <c r="CE627" s="34">
        <v>0.36575251384024399</v>
      </c>
      <c r="CF627" s="34">
        <v>0.133499604564456</v>
      </c>
      <c r="CI627" s="29">
        <v>1.3268631549842596</v>
      </c>
      <c r="CJ627" s="41">
        <v>1.3613611830356027</v>
      </c>
      <c r="CK627" s="29">
        <v>1.3674639488256985</v>
      </c>
    </row>
    <row r="628" spans="1:89" x14ac:dyDescent="0.2">
      <c r="C628" s="36"/>
      <c r="H628" s="34"/>
      <c r="I628" s="34"/>
      <c r="J628" s="34"/>
      <c r="K628" s="37"/>
      <c r="L628" s="34"/>
      <c r="M628" s="37"/>
      <c r="N628" s="34"/>
      <c r="O628" s="72"/>
      <c r="P628" s="37"/>
      <c r="Q628" s="37"/>
      <c r="R628" s="37"/>
      <c r="T628" s="38" t="e">
        <f t="shared" si="13"/>
        <v>#DIV/0!</v>
      </c>
      <c r="W628" s="36"/>
      <c r="X628" s="36"/>
      <c r="Y628" s="36"/>
      <c r="Z628" s="36"/>
      <c r="AA628" s="36"/>
      <c r="AB628"/>
      <c r="AI628" s="34"/>
      <c r="AJ628" s="35"/>
      <c r="AL628" s="72"/>
      <c r="AM628" s="35"/>
      <c r="AO628"/>
      <c r="AQ628" s="34"/>
      <c r="AR628" s="34"/>
      <c r="AS628" s="34"/>
      <c r="AU628" s="35"/>
      <c r="AV628" s="161"/>
      <c r="AW628" s="35"/>
      <c r="AX628"/>
      <c r="AY628"/>
      <c r="AZ628"/>
      <c r="BA628"/>
      <c r="BB628"/>
      <c r="BC628"/>
      <c r="BD628" s="34"/>
      <c r="BE628"/>
      <c r="BF628"/>
      <c r="BG628" s="34"/>
      <c r="BH628" s="35"/>
      <c r="BI628" s="34"/>
      <c r="BJ628" s="72"/>
      <c r="BK628" s="54"/>
      <c r="BL628" s="72"/>
      <c r="BM628" s="34"/>
      <c r="BN628" s="34"/>
      <c r="BO628" s="51"/>
      <c r="BP628" s="34"/>
      <c r="BQ628" s="74"/>
      <c r="BR628" s="74"/>
      <c r="BS628" s="52"/>
      <c r="BT628" s="53"/>
      <c r="BU628" s="34"/>
      <c r="BV628" s="37"/>
      <c r="BW628" s="34"/>
      <c r="BX628" s="34"/>
      <c r="BY628" s="34"/>
      <c r="BZ628" s="72"/>
      <c r="CA628" s="72"/>
      <c r="CE628" s="34"/>
      <c r="CF628" s="34"/>
      <c r="CI628" s="29"/>
      <c r="CJ628" s="41"/>
      <c r="CK628" s="29"/>
    </row>
    <row r="629" spans="1:89" x14ac:dyDescent="0.2">
      <c r="A629" s="2" t="s">
        <v>1443</v>
      </c>
      <c r="C629" t="s">
        <v>717</v>
      </c>
      <c r="H629" s="34"/>
      <c r="I629" s="34"/>
      <c r="J629" s="34"/>
      <c r="K629" s="3">
        <v>0.10658577267595033</v>
      </c>
      <c r="L629" s="6">
        <v>4.9610958474469955</v>
      </c>
      <c r="O629" s="7">
        <v>15.584766654121193</v>
      </c>
      <c r="P629" s="3">
        <v>0.45745932128967504</v>
      </c>
      <c r="Q629" s="3">
        <v>0.13408449378998871</v>
      </c>
      <c r="R629" s="3"/>
      <c r="S629" s="2"/>
      <c r="T629" s="38">
        <f t="shared" si="13"/>
        <v>0</v>
      </c>
      <c r="U629" s="2"/>
      <c r="V629" s="2"/>
      <c r="AC629" s="2"/>
      <c r="AD629" s="2"/>
      <c r="AE629" s="2"/>
      <c r="AF629" s="2"/>
      <c r="AG629" s="2"/>
      <c r="AH629" s="2"/>
      <c r="AI629" s="6">
        <v>10.423915757119561</v>
      </c>
      <c r="AJ629" s="8">
        <v>729.24037134612979</v>
      </c>
      <c r="AK629" s="2"/>
      <c r="AL629" s="7">
        <v>17.672983314515118</v>
      </c>
      <c r="AM629" s="8">
        <v>175.64816208756744</v>
      </c>
      <c r="AN629" s="8">
        <v>27.602421277129594</v>
      </c>
      <c r="AO629" s="2"/>
      <c r="AP629" s="2"/>
      <c r="AQ629" s="6">
        <v>0.30444015807301472</v>
      </c>
      <c r="AR629" s="6">
        <v>0.40796857357922467</v>
      </c>
      <c r="AS629" s="6">
        <v>1.7057583741061351</v>
      </c>
      <c r="AT629" s="8">
        <v>2.4875297955087192</v>
      </c>
      <c r="AU629" s="8">
        <v>241.42883577970144</v>
      </c>
      <c r="AV629" s="515"/>
      <c r="AW629" s="8">
        <v>41.111278384142523</v>
      </c>
      <c r="AX629" s="2"/>
      <c r="AY629" s="2"/>
      <c r="AZ629" s="2">
        <v>0</v>
      </c>
      <c r="BA629" s="2"/>
      <c r="BB629" s="2"/>
      <c r="BC629" s="2"/>
      <c r="BD629" s="6">
        <v>1.0839762890477984E-2</v>
      </c>
      <c r="BE629" s="2"/>
      <c r="BF629" s="2"/>
      <c r="BG629" s="6">
        <v>9.9709289925981673E-2</v>
      </c>
      <c r="BH629" s="8">
        <v>1249.0000313636933</v>
      </c>
      <c r="BI629" s="6">
        <v>3.2978155187554887</v>
      </c>
      <c r="BJ629" s="7">
        <v>9.7950577091958362</v>
      </c>
      <c r="BK629" s="54"/>
      <c r="BL629" s="7">
        <v>4.8734914063480117</v>
      </c>
      <c r="BM629" s="6">
        <v>1.5055824865136118</v>
      </c>
      <c r="BN629" s="6">
        <v>0.85695712583113792</v>
      </c>
      <c r="BO629" s="51"/>
      <c r="BP629" s="6">
        <v>0.30879851963367205</v>
      </c>
      <c r="BQ629" s="516"/>
      <c r="BR629" s="516"/>
      <c r="BS629" s="517"/>
      <c r="BT629" s="518"/>
      <c r="BU629" s="6">
        <v>1.2086369025216412</v>
      </c>
      <c r="BV629" s="3">
        <v>0.16914874231589513</v>
      </c>
      <c r="BW629" s="6">
        <v>1.0593845502446371</v>
      </c>
      <c r="BX629" s="6">
        <v>0.13644812445113538</v>
      </c>
      <c r="BY629" s="6">
        <v>0.15386714339480617</v>
      </c>
      <c r="BZ629" s="7">
        <v>7.1414063480115422</v>
      </c>
      <c r="CA629" s="7">
        <v>3.0394178898507085</v>
      </c>
      <c r="CB629" s="2"/>
      <c r="CC629" s="2"/>
      <c r="CD629" s="2"/>
      <c r="CE629" s="6">
        <v>0.54146408857107031</v>
      </c>
      <c r="CF629" s="6">
        <v>0.22733414878936145</v>
      </c>
      <c r="CG629" s="2">
        <v>318.83999999999997</v>
      </c>
      <c r="CI629" s="29"/>
      <c r="CJ629" s="41"/>
      <c r="CK629" s="29"/>
    </row>
    <row r="630" spans="1:89" x14ac:dyDescent="0.2">
      <c r="A630" s="2" t="s">
        <v>1443</v>
      </c>
      <c r="C630" t="s">
        <v>700</v>
      </c>
      <c r="H630" s="34"/>
      <c r="I630" s="34"/>
      <c r="J630" s="34"/>
      <c r="K630" s="37"/>
      <c r="L630" s="34"/>
      <c r="M630" s="37"/>
      <c r="N630" s="34"/>
      <c r="O630" s="72"/>
      <c r="P630" s="37"/>
      <c r="Q630" s="37"/>
      <c r="R630" s="37"/>
      <c r="T630" s="38" t="e">
        <f t="shared" si="13"/>
        <v>#DIV/0!</v>
      </c>
      <c r="W630" s="36"/>
      <c r="X630" s="36"/>
      <c r="Y630" s="36"/>
      <c r="Z630" s="36"/>
      <c r="AA630" s="36"/>
      <c r="AB630"/>
      <c r="AI630" s="34"/>
      <c r="AJ630" s="35"/>
      <c r="AL630" s="72"/>
      <c r="AM630" s="35"/>
      <c r="AO630"/>
      <c r="AQ630" s="34"/>
      <c r="AR630" s="34"/>
      <c r="AS630" s="34"/>
      <c r="AU630" s="35"/>
      <c r="AV630" s="161"/>
      <c r="AW630" s="35"/>
      <c r="AX630"/>
      <c r="AY630"/>
      <c r="AZ630"/>
      <c r="BA630"/>
      <c r="BB630"/>
      <c r="BC630"/>
      <c r="BD630" s="34"/>
      <c r="BE630"/>
      <c r="BF630"/>
      <c r="BG630" s="34"/>
      <c r="BH630" s="35"/>
      <c r="BI630" s="34"/>
      <c r="BJ630" s="72"/>
      <c r="BK630" s="54"/>
      <c r="BL630" s="72"/>
      <c r="BM630" s="34"/>
      <c r="BN630" s="34"/>
      <c r="BO630" s="51"/>
      <c r="BP630" s="34"/>
      <c r="BQ630" s="74"/>
      <c r="BR630" s="74"/>
      <c r="BS630" s="52"/>
      <c r="BT630" s="53"/>
      <c r="BU630" s="34"/>
      <c r="BV630" s="37"/>
      <c r="BW630" s="34"/>
      <c r="BX630" s="34"/>
      <c r="BY630" s="34"/>
      <c r="BZ630" s="72"/>
      <c r="CA630" s="72"/>
      <c r="CE630" s="34"/>
      <c r="CF630" s="34"/>
      <c r="CI630" s="29"/>
      <c r="CJ630" s="41"/>
      <c r="CK630" s="29"/>
    </row>
    <row r="631" spans="1:89" x14ac:dyDescent="0.2">
      <c r="A631" s="2" t="s">
        <v>1443</v>
      </c>
      <c r="H631" s="34"/>
      <c r="I631" s="34"/>
      <c r="J631" s="34"/>
      <c r="K631" s="37"/>
      <c r="L631" s="34"/>
      <c r="M631" s="37"/>
      <c r="N631" s="34"/>
      <c r="O631" s="72"/>
      <c r="P631" s="37"/>
      <c r="Q631" s="37"/>
      <c r="R631" s="37"/>
      <c r="T631" s="38" t="e">
        <f t="shared" si="13"/>
        <v>#DIV/0!</v>
      </c>
      <c r="W631" s="36"/>
      <c r="X631" s="36"/>
      <c r="Y631" s="36"/>
      <c r="Z631" s="36"/>
      <c r="AA631" s="36"/>
      <c r="AB631"/>
      <c r="AI631" s="34"/>
      <c r="AJ631" s="35"/>
      <c r="AL631" s="72"/>
      <c r="AM631" s="35"/>
      <c r="AO631"/>
      <c r="AQ631" s="34"/>
      <c r="AR631" s="34"/>
      <c r="AS631" s="34"/>
      <c r="AU631" s="35"/>
      <c r="AV631" s="161"/>
      <c r="AW631" s="35"/>
      <c r="AX631"/>
      <c r="AY631"/>
      <c r="AZ631"/>
      <c r="BA631"/>
      <c r="BB631"/>
      <c r="BC631"/>
      <c r="BD631" s="34"/>
      <c r="BE631"/>
      <c r="BF631"/>
      <c r="BG631" s="34"/>
      <c r="BH631" s="35"/>
      <c r="BI631" s="34"/>
      <c r="BJ631" s="72"/>
      <c r="BK631" s="54"/>
      <c r="BL631" s="72"/>
      <c r="BM631" s="34"/>
      <c r="BN631" s="34"/>
      <c r="BO631" s="51"/>
      <c r="BP631" s="34"/>
      <c r="BQ631" s="74"/>
      <c r="BR631" s="74"/>
      <c r="BS631" s="52"/>
      <c r="BT631" s="53"/>
      <c r="BU631" s="34"/>
      <c r="BV631" s="37"/>
      <c r="BW631" s="34"/>
      <c r="BX631" s="34"/>
      <c r="BY631" s="34"/>
      <c r="BZ631" s="72"/>
      <c r="CA631" s="72"/>
      <c r="CE631" s="34"/>
      <c r="CF631" s="34"/>
      <c r="CI631" s="29"/>
      <c r="CJ631" s="41"/>
      <c r="CK631" s="29"/>
    </row>
    <row r="632" spans="1:89" x14ac:dyDescent="0.2">
      <c r="A632" s="5" t="s">
        <v>1443</v>
      </c>
      <c r="C632" s="36" t="s">
        <v>279</v>
      </c>
      <c r="H632" s="34" t="e">
        <v>#DIV/0!</v>
      </c>
      <c r="I632" s="34" t="e">
        <v>#DIV/0!</v>
      </c>
      <c r="J632" s="34" t="e">
        <v>#DIV/0!</v>
      </c>
      <c r="K632" s="37">
        <v>0.10658577267595033</v>
      </c>
      <c r="L632" s="34">
        <v>4.9610958474469955</v>
      </c>
      <c r="M632" s="37" t="e">
        <v>#DIV/0!</v>
      </c>
      <c r="N632" s="34" t="e">
        <v>#DIV/0!</v>
      </c>
      <c r="O632" s="72">
        <v>15.584766654121193</v>
      </c>
      <c r="P632" s="37">
        <v>0.45745932128967504</v>
      </c>
      <c r="Q632" s="37">
        <v>0.13408449378998871</v>
      </c>
      <c r="R632" s="37" t="e">
        <v>#DIV/0!</v>
      </c>
      <c r="T632" s="38" t="e">
        <f t="shared" si="13"/>
        <v>#DIV/0!</v>
      </c>
      <c r="W632" s="36"/>
      <c r="X632" s="36"/>
      <c r="Y632" s="36"/>
      <c r="Z632" s="36"/>
      <c r="AA632" s="36"/>
      <c r="AB632"/>
      <c r="AI632" s="34">
        <v>10.423915757119561</v>
      </c>
      <c r="AJ632" s="35">
        <v>729.24037134612979</v>
      </c>
      <c r="AL632" s="72">
        <v>17.672983314515118</v>
      </c>
      <c r="AM632" s="35">
        <v>175.64816208756744</v>
      </c>
      <c r="AO632"/>
      <c r="AQ632" s="34">
        <v>0.30444015807301472</v>
      </c>
      <c r="AR632" s="34">
        <v>0.40796857357922467</v>
      </c>
      <c r="AS632" s="34">
        <v>1.7057583741061351</v>
      </c>
      <c r="AU632" s="35">
        <v>241.42883577970144</v>
      </c>
      <c r="AV632" s="161">
        <v>12.614575289772162</v>
      </c>
      <c r="AW632" s="35">
        <v>41.111278384142523</v>
      </c>
      <c r="AX632"/>
      <c r="AY632"/>
      <c r="AZ632"/>
      <c r="BA632"/>
      <c r="BB632"/>
      <c r="BC632"/>
      <c r="BD632" s="34">
        <v>1.0839762890477984E-2</v>
      </c>
      <c r="BE632"/>
      <c r="BF632"/>
      <c r="BG632" s="34">
        <v>9.9709289925981673E-2</v>
      </c>
      <c r="BH632" s="35">
        <v>1249.0000313636933</v>
      </c>
      <c r="BI632" s="34">
        <v>3.2978155187554887</v>
      </c>
      <c r="BJ632" s="72">
        <v>9.7950577091958362</v>
      </c>
      <c r="BK632" s="54">
        <v>1.0487223706455508</v>
      </c>
      <c r="BL632" s="72">
        <v>4.8734914063480117</v>
      </c>
      <c r="BM632" s="34">
        <v>1.5055824865136118</v>
      </c>
      <c r="BN632" s="34">
        <v>0.85695712583113792</v>
      </c>
      <c r="BO632" s="51">
        <v>1.7564873678635184</v>
      </c>
      <c r="BP632" s="34">
        <v>0.30879851963367205</v>
      </c>
      <c r="BQ632" s="74">
        <v>2.0637299809724023</v>
      </c>
      <c r="BR632" s="74">
        <v>0.45718821069260274</v>
      </c>
      <c r="BS632" s="52">
        <v>1.2635712490515887</v>
      </c>
      <c r="BT632" s="53">
        <v>0.18610810541499034</v>
      </c>
      <c r="BU632" s="34">
        <v>1.2086369025216412</v>
      </c>
      <c r="BV632" s="37">
        <v>0.16914874231589513</v>
      </c>
      <c r="BW632" s="34">
        <v>1.0593845502446371</v>
      </c>
      <c r="BX632" s="34">
        <v>0.13644812445113538</v>
      </c>
      <c r="BY632" s="34">
        <v>0.15386714339480617</v>
      </c>
      <c r="BZ632" s="72">
        <v>7.1414063480115422</v>
      </c>
      <c r="CA632" s="72">
        <v>3.0394178898507085</v>
      </c>
      <c r="CE632" s="34">
        <v>0.54146408857107031</v>
      </c>
      <c r="CF632" s="34">
        <v>0.22733414878936145</v>
      </c>
      <c r="CI632" s="29">
        <v>1.7726656961641825</v>
      </c>
      <c r="CJ632" s="41">
        <v>1.778819514890235</v>
      </c>
      <c r="CK632" s="29">
        <v>1.7179768925361381</v>
      </c>
    </row>
    <row r="633" spans="1:89" x14ac:dyDescent="0.2">
      <c r="C633" s="36"/>
      <c r="H633" s="34"/>
      <c r="I633" s="34"/>
      <c r="J633" s="34"/>
      <c r="K633" s="37"/>
      <c r="L633" s="34"/>
      <c r="M633" s="37"/>
      <c r="N633" s="34"/>
      <c r="O633" s="72"/>
      <c r="P633" s="37"/>
      <c r="Q633" s="37"/>
      <c r="R633" s="37"/>
      <c r="T633" s="38" t="e">
        <f t="shared" si="13"/>
        <v>#DIV/0!</v>
      </c>
      <c r="W633" s="36"/>
      <c r="X633" s="36"/>
      <c r="Y633" s="36"/>
      <c r="Z633" s="36"/>
      <c r="AA633" s="36"/>
      <c r="AB633"/>
      <c r="AI633" s="34"/>
      <c r="AJ633" s="35"/>
      <c r="AL633" s="72"/>
      <c r="AM633" s="35"/>
      <c r="AO633"/>
      <c r="AQ633" s="34"/>
      <c r="AR633" s="34"/>
      <c r="AS633" s="34"/>
      <c r="AU633" s="35"/>
      <c r="AV633" s="161"/>
      <c r="AW633" s="35"/>
      <c r="AX633"/>
      <c r="AY633"/>
      <c r="AZ633"/>
      <c r="BA633"/>
      <c r="BB633"/>
      <c r="BC633"/>
      <c r="BD633" s="34"/>
      <c r="BE633"/>
      <c r="BF633"/>
      <c r="BG633" s="34"/>
      <c r="BH633" s="35"/>
      <c r="BI633" s="34"/>
      <c r="BJ633" s="72"/>
      <c r="BK633" s="54"/>
      <c r="BL633" s="72"/>
      <c r="BM633" s="34"/>
      <c r="BN633" s="34"/>
      <c r="BO633" s="51"/>
      <c r="BP633" s="34"/>
      <c r="BQ633" s="74"/>
      <c r="BR633" s="74"/>
      <c r="BS633" s="52"/>
      <c r="BT633" s="53"/>
      <c r="BU633" s="34"/>
      <c r="BV633" s="37"/>
      <c r="BW633" s="34"/>
      <c r="BX633" s="34"/>
      <c r="BY633" s="34"/>
      <c r="BZ633" s="72"/>
      <c r="CA633" s="72"/>
      <c r="CE633" s="34"/>
      <c r="CF633" s="34"/>
      <c r="CI633" s="29"/>
      <c r="CJ633" s="41"/>
      <c r="CK633" s="29"/>
    </row>
    <row r="634" spans="1:89" x14ac:dyDescent="0.2">
      <c r="A634" s="2" t="s">
        <v>1446</v>
      </c>
      <c r="C634" t="s">
        <v>717</v>
      </c>
      <c r="H634" s="34"/>
      <c r="I634" s="34"/>
      <c r="J634" s="34"/>
      <c r="K634" s="37"/>
      <c r="L634" s="34"/>
      <c r="M634" s="37"/>
      <c r="N634" s="34"/>
      <c r="O634" s="72"/>
      <c r="P634" s="37"/>
      <c r="Q634" s="37"/>
      <c r="R634" s="37"/>
      <c r="T634" s="38" t="e">
        <f t="shared" si="13"/>
        <v>#DIV/0!</v>
      </c>
      <c r="W634" s="36"/>
      <c r="X634" s="36"/>
      <c r="Y634" s="36"/>
      <c r="Z634" s="36"/>
      <c r="AA634" s="36"/>
      <c r="AB634"/>
      <c r="AI634" s="34"/>
      <c r="AJ634" s="35"/>
      <c r="AL634" s="72"/>
      <c r="AM634" s="35"/>
      <c r="AO634"/>
      <c r="AQ634" s="34"/>
      <c r="AR634" s="34"/>
      <c r="AS634" s="34"/>
      <c r="AU634" s="35"/>
      <c r="AV634" s="161"/>
      <c r="AW634" s="35"/>
      <c r="AX634"/>
      <c r="AY634"/>
      <c r="AZ634"/>
      <c r="BA634"/>
      <c r="BB634"/>
      <c r="BC634"/>
      <c r="BD634" s="34"/>
      <c r="BE634"/>
      <c r="BF634"/>
      <c r="BG634" s="34"/>
      <c r="BH634" s="35"/>
      <c r="BI634" s="34"/>
      <c r="BJ634" s="72"/>
      <c r="BK634" s="54"/>
      <c r="BL634" s="72"/>
      <c r="BM634" s="34"/>
      <c r="BN634" s="34"/>
      <c r="BO634" s="51"/>
      <c r="BP634" s="34"/>
      <c r="BQ634" s="74"/>
      <c r="BR634" s="74"/>
      <c r="BS634" s="52"/>
      <c r="BT634" s="53"/>
      <c r="BU634" s="34"/>
      <c r="BV634" s="37"/>
      <c r="BW634" s="34"/>
      <c r="BX634" s="34"/>
      <c r="BY634" s="34"/>
      <c r="BZ634" s="72"/>
      <c r="CA634" s="72"/>
      <c r="CE634" s="34"/>
      <c r="CF634" s="34"/>
      <c r="CI634" s="29"/>
      <c r="CJ634" s="41"/>
      <c r="CK634" s="29"/>
    </row>
    <row r="635" spans="1:89" x14ac:dyDescent="0.2">
      <c r="A635" s="2" t="s">
        <v>1446</v>
      </c>
      <c r="C635" t="s">
        <v>700</v>
      </c>
      <c r="H635" s="34"/>
      <c r="I635" s="34"/>
      <c r="J635" s="34"/>
      <c r="K635" s="37"/>
      <c r="L635" s="34"/>
      <c r="M635" s="37"/>
      <c r="N635" s="34"/>
      <c r="O635" s="72"/>
      <c r="P635" s="37"/>
      <c r="Q635" s="37"/>
      <c r="R635" s="37"/>
      <c r="T635" s="38" t="e">
        <f t="shared" si="13"/>
        <v>#DIV/0!</v>
      </c>
      <c r="W635" s="36"/>
      <c r="X635" s="36"/>
      <c r="Y635" s="36"/>
      <c r="Z635" s="36"/>
      <c r="AA635" s="36"/>
      <c r="AB635"/>
      <c r="AI635" s="34"/>
      <c r="AJ635" s="35"/>
      <c r="AL635" s="72"/>
      <c r="AM635" s="35"/>
      <c r="AO635"/>
      <c r="AQ635" s="34"/>
      <c r="AR635" s="34"/>
      <c r="AS635" s="34"/>
      <c r="AU635" s="35"/>
      <c r="AV635" s="161"/>
      <c r="AW635" s="35"/>
      <c r="AX635"/>
      <c r="AY635"/>
      <c r="AZ635"/>
      <c r="BA635"/>
      <c r="BB635"/>
      <c r="BC635"/>
      <c r="BD635" s="34"/>
      <c r="BE635"/>
      <c r="BF635"/>
      <c r="BG635" s="34"/>
      <c r="BH635" s="35"/>
      <c r="BI635" s="34"/>
      <c r="BJ635" s="72"/>
      <c r="BK635" s="54"/>
      <c r="BL635" s="72"/>
      <c r="BM635" s="34"/>
      <c r="BN635" s="34"/>
      <c r="BO635" s="51"/>
      <c r="BP635" s="34"/>
      <c r="BQ635" s="74"/>
      <c r="BR635" s="74"/>
      <c r="BS635" s="52"/>
      <c r="BT635" s="53"/>
      <c r="BU635" s="34"/>
      <c r="BV635" s="37"/>
      <c r="BW635" s="34"/>
      <c r="BX635" s="34"/>
      <c r="BY635" s="34"/>
      <c r="BZ635" s="72"/>
      <c r="CA635" s="72"/>
      <c r="CE635" s="34"/>
      <c r="CF635" s="34"/>
      <c r="CI635" s="29"/>
      <c r="CJ635" s="41"/>
      <c r="CK635" s="29"/>
    </row>
    <row r="636" spans="1:89" x14ac:dyDescent="0.2">
      <c r="A636" s="2" t="s">
        <v>1446</v>
      </c>
      <c r="H636" s="34"/>
      <c r="I636" s="34"/>
      <c r="J636" s="34"/>
      <c r="K636" s="3">
        <v>0.1317294929062178</v>
      </c>
      <c r="L636" s="6">
        <v>5.6584197870147719</v>
      </c>
      <c r="O636" s="7">
        <v>14.234781861903127</v>
      </c>
      <c r="P636" s="3">
        <v>0.45996135348677436</v>
      </c>
      <c r="Q636" s="3">
        <v>0.15222389213328752</v>
      </c>
      <c r="R636" s="3"/>
      <c r="S636" s="2"/>
      <c r="T636" s="38">
        <f t="shared" si="13"/>
        <v>0</v>
      </c>
      <c r="U636" s="2"/>
      <c r="V636" s="2"/>
      <c r="AC636" s="2"/>
      <c r="AD636" s="2"/>
      <c r="AE636" s="2"/>
      <c r="AF636" s="2"/>
      <c r="AG636" s="2"/>
      <c r="AH636" s="2"/>
      <c r="AI636" s="6">
        <v>12.96808055650979</v>
      </c>
      <c r="AJ636" s="8">
        <v>901.26910855376161</v>
      </c>
      <c r="AK636" s="2"/>
      <c r="AL636" s="7">
        <v>17.995562950875986</v>
      </c>
      <c r="AM636" s="8">
        <v>129.9939024390244</v>
      </c>
      <c r="AN636" s="8">
        <v>23.693619031260734</v>
      </c>
      <c r="AO636" s="2"/>
      <c r="AP636" s="2"/>
      <c r="AQ636" s="6">
        <v>1.701766575060117</v>
      </c>
      <c r="AR636" s="6">
        <v>0.35753134661628305</v>
      </c>
      <c r="AS636" s="6">
        <v>0.73950060116798355</v>
      </c>
      <c r="AT636" s="8">
        <v>4.1302344555135688</v>
      </c>
      <c r="AU636" s="8">
        <v>303.0886293369976</v>
      </c>
      <c r="AV636" s="515"/>
      <c r="AW636" s="8">
        <v>51.822011336310538</v>
      </c>
      <c r="AX636" s="2"/>
      <c r="AY636" s="2"/>
      <c r="AZ636" s="2">
        <v>0</v>
      </c>
      <c r="BA636" s="2"/>
      <c r="BB636" s="2"/>
      <c r="BC636" s="2"/>
      <c r="BD636" s="6">
        <v>1.4371564754379939E-2</v>
      </c>
      <c r="BE636" s="2"/>
      <c r="BF636" s="2"/>
      <c r="BG636" s="6">
        <v>8.1297406389556848E-2</v>
      </c>
      <c r="BH636" s="8">
        <v>6136.5428546891098</v>
      </c>
      <c r="BI636" s="6">
        <v>4.7829482995534187</v>
      </c>
      <c r="BJ636" s="7">
        <v>12.09771083819993</v>
      </c>
      <c r="BK636" s="54"/>
      <c r="BL636" s="7">
        <v>6.8823943661971843</v>
      </c>
      <c r="BM636" s="6">
        <v>2.1497936705599452</v>
      </c>
      <c r="BN636" s="6">
        <v>0.92526524390243914</v>
      </c>
      <c r="BO636" s="51"/>
      <c r="BP636" s="6">
        <v>0.44478963414634148</v>
      </c>
      <c r="BQ636" s="516"/>
      <c r="BR636" s="516"/>
      <c r="BS636" s="517"/>
      <c r="BT636" s="518"/>
      <c r="BU636" s="6">
        <v>1.6850682755066986</v>
      </c>
      <c r="BV636" s="3">
        <v>0.23640544486430776</v>
      </c>
      <c r="BW636" s="6">
        <v>1.6049441772586739</v>
      </c>
      <c r="BX636" s="6">
        <v>0.18643799381655787</v>
      </c>
      <c r="BY636" s="6">
        <v>0.81668928203366542</v>
      </c>
      <c r="BZ636" s="7">
        <v>4.7036241841291648</v>
      </c>
      <c r="CA636" s="7">
        <v>1.6556080384747509</v>
      </c>
      <c r="CB636" s="2"/>
      <c r="CC636" s="2"/>
      <c r="CD636" s="2"/>
      <c r="CE636" s="6">
        <v>0.67162379766403291</v>
      </c>
      <c r="CF636" s="6">
        <v>0.22875644108553761</v>
      </c>
      <c r="CG636" s="2">
        <v>232.88</v>
      </c>
      <c r="CI636" s="29"/>
      <c r="CJ636" s="41"/>
      <c r="CK636" s="29"/>
    </row>
    <row r="637" spans="1:89" x14ac:dyDescent="0.2">
      <c r="A637" s="5" t="s">
        <v>1446</v>
      </c>
      <c r="C637" s="36" t="s">
        <v>279</v>
      </c>
      <c r="H637" s="34" t="e">
        <v>#DIV/0!</v>
      </c>
      <c r="I637" s="34" t="e">
        <v>#DIV/0!</v>
      </c>
      <c r="J637" s="34" t="e">
        <v>#DIV/0!</v>
      </c>
      <c r="K637" s="37">
        <v>0.1317294929062178</v>
      </c>
      <c r="L637" s="34">
        <v>5.6584197870147719</v>
      </c>
      <c r="M637" s="37" t="e">
        <v>#DIV/0!</v>
      </c>
      <c r="N637" s="34" t="e">
        <v>#DIV/0!</v>
      </c>
      <c r="O637" s="72">
        <v>14.234781861903127</v>
      </c>
      <c r="P637" s="37">
        <v>0.45996135348677436</v>
      </c>
      <c r="Q637" s="37">
        <v>0.15222389213328752</v>
      </c>
      <c r="R637" s="37" t="e">
        <v>#DIV/0!</v>
      </c>
      <c r="T637" s="38" t="e">
        <f t="shared" si="13"/>
        <v>#DIV/0!</v>
      </c>
      <c r="W637" s="36"/>
      <c r="X637" s="36"/>
      <c r="Y637" s="36"/>
      <c r="Z637" s="36"/>
      <c r="AA637" s="36"/>
      <c r="AB637"/>
      <c r="AI637" s="34">
        <v>12.96808055650979</v>
      </c>
      <c r="AJ637" s="35">
        <v>901.26910855376161</v>
      </c>
      <c r="AL637" s="72">
        <v>17.995562950875986</v>
      </c>
      <c r="AM637" s="35">
        <v>129.9939024390244</v>
      </c>
      <c r="AO637"/>
      <c r="AQ637" s="34">
        <v>1.701766575060117</v>
      </c>
      <c r="AR637" s="34">
        <v>0.35753134661628305</v>
      </c>
      <c r="AS637" s="34">
        <v>0.73950060116798355</v>
      </c>
      <c r="AU637" s="35">
        <v>303.0886293369976</v>
      </c>
      <c r="AV637" s="161">
        <v>17.796147662240124</v>
      </c>
      <c r="AW637" s="35">
        <v>51.822011336310538</v>
      </c>
      <c r="AX637"/>
      <c r="AY637"/>
      <c r="AZ637"/>
      <c r="BA637"/>
      <c r="BB637"/>
      <c r="BC637"/>
      <c r="BD637" s="34">
        <v>1.4371564754379939E-2</v>
      </c>
      <c r="BE637"/>
      <c r="BF637"/>
      <c r="BG637" s="34">
        <v>8.1297406389556848E-2</v>
      </c>
      <c r="BH637" s="35">
        <v>6136.5428546891098</v>
      </c>
      <c r="BI637" s="34">
        <v>4.7829482995534187</v>
      </c>
      <c r="BJ637" s="72">
        <v>12.09771083819993</v>
      </c>
      <c r="BK637" s="54">
        <v>1.4942268696076735</v>
      </c>
      <c r="BL637" s="72">
        <v>6.8823943661971843</v>
      </c>
      <c r="BM637" s="34">
        <v>2.1497936705599452</v>
      </c>
      <c r="BN637" s="34">
        <v>0.92526524390243914</v>
      </c>
      <c r="BO637" s="51">
        <v>2.5202993079035019</v>
      </c>
      <c r="BP637" s="34">
        <v>0.44478963414634148</v>
      </c>
      <c r="BQ637" s="74">
        <v>2.9319802226487393</v>
      </c>
      <c r="BR637" s="74">
        <v>0.64650150433764231</v>
      </c>
      <c r="BS637" s="52">
        <v>1.7784102530977215</v>
      </c>
      <c r="BT637" s="53">
        <v>0.26070331389978679</v>
      </c>
      <c r="BU637" s="34">
        <v>1.6850682755066986</v>
      </c>
      <c r="BV637" s="37">
        <v>0.23640544486430776</v>
      </c>
      <c r="BW637" s="34">
        <v>1.6049441772586739</v>
      </c>
      <c r="BX637" s="34">
        <v>0.18643799381655787</v>
      </c>
      <c r="BY637" s="34">
        <v>0.81668928203366542</v>
      </c>
      <c r="BZ637" s="72">
        <v>4.7036241841291648</v>
      </c>
      <c r="CA637" s="72">
        <v>1.6556080384747509</v>
      </c>
      <c r="CE637" s="34">
        <v>0.67162379766403291</v>
      </c>
      <c r="CF637" s="34">
        <v>0.22875644108553761</v>
      </c>
      <c r="CI637" s="29">
        <v>2.5154067661747499</v>
      </c>
      <c r="CJ637" s="41">
        <v>2.55475156119864</v>
      </c>
      <c r="CK637" s="29">
        <v>2.4907395963371157</v>
      </c>
    </row>
    <row r="638" spans="1:89" x14ac:dyDescent="0.2">
      <c r="A638" s="2"/>
      <c r="C638" s="36"/>
      <c r="H638" s="34"/>
      <c r="I638" s="34"/>
      <c r="J638" s="34"/>
      <c r="K638" s="37"/>
      <c r="L638" s="34"/>
      <c r="M638" s="37"/>
      <c r="N638" s="34"/>
      <c r="O638" s="72"/>
      <c r="P638" s="37"/>
      <c r="Q638" s="37"/>
      <c r="R638" s="37"/>
      <c r="T638" s="38" t="e">
        <f t="shared" si="13"/>
        <v>#DIV/0!</v>
      </c>
      <c r="W638" s="36"/>
      <c r="X638" s="36"/>
      <c r="Y638" s="36"/>
      <c r="Z638" s="36"/>
      <c r="AA638" s="36"/>
      <c r="AB638"/>
      <c r="AI638" s="34"/>
      <c r="AJ638" s="35"/>
      <c r="AL638" s="72"/>
      <c r="AM638" s="35"/>
      <c r="AO638"/>
      <c r="AQ638" s="34"/>
      <c r="AR638" s="34"/>
      <c r="AS638" s="34"/>
      <c r="AU638" s="35"/>
      <c r="AV638" s="161"/>
      <c r="AW638" s="35"/>
      <c r="AX638"/>
      <c r="AY638"/>
      <c r="AZ638"/>
      <c r="BA638"/>
      <c r="BB638"/>
      <c r="BC638"/>
      <c r="BD638" s="34"/>
      <c r="BE638"/>
      <c r="BF638"/>
      <c r="BG638" s="34"/>
      <c r="BH638" s="35"/>
      <c r="BI638" s="34"/>
      <c r="BJ638" s="72"/>
      <c r="BK638" s="54"/>
      <c r="BL638" s="72"/>
      <c r="BM638" s="34"/>
      <c r="BN638" s="34"/>
      <c r="BO638" s="51"/>
      <c r="BP638" s="34"/>
      <c r="BQ638" s="74"/>
      <c r="BR638" s="74"/>
      <c r="BS638" s="52"/>
      <c r="BT638" s="53"/>
      <c r="BU638" s="34"/>
      <c r="BV638" s="37"/>
      <c r="BW638" s="34"/>
      <c r="BX638" s="34"/>
      <c r="BY638" s="34"/>
      <c r="BZ638" s="72"/>
      <c r="CA638" s="72"/>
      <c r="CE638" s="34"/>
      <c r="CF638" s="34"/>
      <c r="CI638" s="29"/>
      <c r="CJ638" s="41"/>
      <c r="CK638" s="29"/>
    </row>
    <row r="639" spans="1:89" s="2" customFormat="1" x14ac:dyDescent="0.2">
      <c r="A639" s="2" t="s">
        <v>1501</v>
      </c>
      <c r="C639" s="2" t="s">
        <v>717</v>
      </c>
      <c r="H639" s="6"/>
      <c r="I639" s="6"/>
      <c r="J639" s="6"/>
      <c r="K639" s="3">
        <v>9.8829963393908371E-2</v>
      </c>
      <c r="L639" s="6">
        <v>5.3075377527514718</v>
      </c>
      <c r="M639" s="3"/>
      <c r="N639" s="6"/>
      <c r="O639" s="7">
        <v>15.201510110058869</v>
      </c>
      <c r="P639" s="3">
        <v>0.60348675454312772</v>
      </c>
      <c r="Q639" s="3">
        <v>0.10979907857691322</v>
      </c>
      <c r="R639" s="3"/>
      <c r="T639" s="38">
        <f t="shared" si="13"/>
        <v>0</v>
      </c>
      <c r="AI639" s="6">
        <v>10.330348733043255</v>
      </c>
      <c r="AJ639" s="8">
        <v>676.17654210391606</v>
      </c>
      <c r="AL639" s="7">
        <v>18.834303173790634</v>
      </c>
      <c r="AM639" s="8">
        <v>212.13533401586898</v>
      </c>
      <c r="AN639" s="8">
        <v>2.2446378295367291</v>
      </c>
      <c r="AQ639" s="6">
        <v>0.10030714102892246</v>
      </c>
      <c r="AR639" s="6">
        <v>0.15157729715894547</v>
      </c>
      <c r="AS639" s="6">
        <v>0.1329760685948298</v>
      </c>
      <c r="AT639" s="8">
        <v>4.7070706424366531</v>
      </c>
      <c r="AU639" s="8">
        <v>199.97472485282827</v>
      </c>
      <c r="AV639" s="515"/>
      <c r="AW639" s="8">
        <v>169.62330432556948</v>
      </c>
      <c r="AZ639" s="2">
        <v>0</v>
      </c>
      <c r="BD639" s="6">
        <v>7.1689275659073456E-3</v>
      </c>
      <c r="BG639" s="6">
        <v>0.12940644996160736</v>
      </c>
      <c r="BH639" s="8">
        <v>142.72562068082928</v>
      </c>
      <c r="BI639" s="6">
        <v>12.586964422830814</v>
      </c>
      <c r="BJ639" s="7">
        <v>32.93432940875352</v>
      </c>
      <c r="BK639" s="54"/>
      <c r="BL639" s="7">
        <v>18.841534425390325</v>
      </c>
      <c r="BM639" s="6">
        <v>5.6087515996928587</v>
      </c>
      <c r="BN639" s="6">
        <v>1.3898902610698745</v>
      </c>
      <c r="BO639" s="51"/>
      <c r="BP639" s="6">
        <v>1.0777369465062707</v>
      </c>
      <c r="BQ639" s="516"/>
      <c r="BR639" s="516"/>
      <c r="BS639" s="517"/>
      <c r="BT639" s="518"/>
      <c r="BU639" s="6">
        <v>3.5112375223956995</v>
      </c>
      <c r="BV639" s="3">
        <v>0.47983587151266954</v>
      </c>
      <c r="BW639" s="6">
        <v>4.1439378039416432</v>
      </c>
      <c r="BX639" s="6">
        <v>0.48934796519068341</v>
      </c>
      <c r="BY639" s="6">
        <v>0</v>
      </c>
      <c r="BZ639" s="7">
        <v>9.3548758638341436</v>
      </c>
      <c r="CA639" s="7">
        <v>4.2010174046583053</v>
      </c>
      <c r="CE639" s="6">
        <v>2.070255950857435</v>
      </c>
      <c r="CF639" s="6">
        <v>0.52901266956744297</v>
      </c>
      <c r="CG639" s="2">
        <v>156.28</v>
      </c>
      <c r="CI639" s="175"/>
      <c r="CJ639" s="13"/>
      <c r="CK639" s="175"/>
    </row>
    <row r="640" spans="1:89" x14ac:dyDescent="0.2">
      <c r="A640" s="2" t="s">
        <v>1501</v>
      </c>
      <c r="C640" t="s">
        <v>700</v>
      </c>
      <c r="H640" s="34"/>
      <c r="I640" s="34"/>
      <c r="J640" s="34"/>
      <c r="T640" s="38" t="e">
        <f t="shared" si="13"/>
        <v>#DIV/0!</v>
      </c>
      <c r="CI640" s="29"/>
      <c r="CJ640" s="41"/>
      <c r="CK640" s="29"/>
    </row>
    <row r="641" spans="1:109" x14ac:dyDescent="0.2">
      <c r="A641" s="2" t="s">
        <v>1501</v>
      </c>
      <c r="H641" s="34"/>
      <c r="I641" s="34"/>
      <c r="J641" s="34"/>
      <c r="K641" s="37"/>
      <c r="L641" s="34"/>
      <c r="M641" s="37"/>
      <c r="N641" s="34"/>
      <c r="O641" s="72"/>
      <c r="P641" s="37"/>
      <c r="Q641" s="37"/>
      <c r="R641" s="37"/>
      <c r="T641" s="38" t="e">
        <f t="shared" si="13"/>
        <v>#DIV/0!</v>
      </c>
      <c r="W641" s="36"/>
      <c r="X641" s="36"/>
      <c r="Y641" s="36"/>
      <c r="Z641" s="36"/>
      <c r="AA641" s="36"/>
      <c r="AB641"/>
      <c r="AI641" s="34"/>
      <c r="AJ641" s="35"/>
      <c r="AL641" s="72"/>
      <c r="AM641" s="35"/>
      <c r="AO641"/>
      <c r="AQ641" s="34"/>
      <c r="AR641" s="34"/>
      <c r="AS641" s="34"/>
      <c r="AU641" s="35"/>
      <c r="AV641" s="161"/>
      <c r="AW641" s="35"/>
      <c r="AX641"/>
      <c r="AY641"/>
      <c r="AZ641"/>
      <c r="BA641"/>
      <c r="BB641"/>
      <c r="BC641"/>
      <c r="BD641" s="34"/>
      <c r="BE641"/>
      <c r="BF641"/>
      <c r="BG641" s="34"/>
      <c r="BH641" s="35"/>
      <c r="BI641" s="34"/>
      <c r="BJ641" s="72"/>
      <c r="BK641" s="54"/>
      <c r="BL641" s="72"/>
      <c r="BM641" s="34"/>
      <c r="BN641" s="34"/>
      <c r="BO641" s="51"/>
      <c r="BP641" s="34"/>
      <c r="BQ641" s="74"/>
      <c r="BR641" s="74"/>
      <c r="BS641" s="52"/>
      <c r="BT641" s="53"/>
      <c r="BU641" s="34"/>
      <c r="BV641" s="37"/>
      <c r="BW641" s="34"/>
      <c r="BX641" s="34"/>
      <c r="BY641" s="34"/>
      <c r="BZ641" s="72"/>
      <c r="CA641" s="72"/>
      <c r="CE641" s="34"/>
      <c r="CF641" s="34"/>
      <c r="CI641" s="29"/>
      <c r="CJ641" s="41"/>
      <c r="CK641" s="29"/>
    </row>
    <row r="642" spans="1:109" x14ac:dyDescent="0.2">
      <c r="A642" s="5" t="s">
        <v>1501</v>
      </c>
      <c r="C642" s="36" t="s">
        <v>279</v>
      </c>
      <c r="H642" s="34" t="e">
        <v>#DIV/0!</v>
      </c>
      <c r="I642" s="34" t="e">
        <v>#DIV/0!</v>
      </c>
      <c r="J642" s="34" t="e">
        <v>#DIV/0!</v>
      </c>
      <c r="K642" s="37">
        <v>9.8829963393908371E-2</v>
      </c>
      <c r="L642" s="34">
        <v>5.3075377527514718</v>
      </c>
      <c r="M642" s="37" t="e">
        <v>#DIV/0!</v>
      </c>
      <c r="N642" s="34" t="e">
        <v>#DIV/0!</v>
      </c>
      <c r="O642" s="72">
        <v>15.201510110058869</v>
      </c>
      <c r="P642" s="37">
        <v>0.60348675454312772</v>
      </c>
      <c r="Q642" s="37">
        <v>0.10979907857691322</v>
      </c>
      <c r="R642" s="37" t="e">
        <v>#DIV/0!</v>
      </c>
      <c r="T642" s="38" t="e">
        <f t="shared" si="13"/>
        <v>#DIV/0!</v>
      </c>
      <c r="W642" s="36"/>
      <c r="X642" s="36"/>
      <c r="Y642" s="36"/>
      <c r="Z642" s="36"/>
      <c r="AA642" s="36"/>
      <c r="AB642"/>
      <c r="AI642" s="34">
        <v>10.330348733043255</v>
      </c>
      <c r="AJ642" s="35">
        <v>676.17654210391606</v>
      </c>
      <c r="AL642" s="72">
        <v>18.834303173790634</v>
      </c>
      <c r="AM642" s="35">
        <v>212.13533401586898</v>
      </c>
      <c r="AO642"/>
      <c r="AQ642" s="34">
        <v>0.10030714102892246</v>
      </c>
      <c r="AR642" s="34">
        <v>0.15157729715894547</v>
      </c>
      <c r="AS642" s="34">
        <v>0.1329760685948298</v>
      </c>
      <c r="AU642" s="35">
        <v>199.97472485282827</v>
      </c>
      <c r="AV642" s="161">
        <v>39.883139983315509</v>
      </c>
      <c r="AW642" s="35">
        <v>169.62330432556948</v>
      </c>
      <c r="AX642"/>
      <c r="AY642"/>
      <c r="AZ642"/>
      <c r="BA642"/>
      <c r="BB642"/>
      <c r="BC642"/>
      <c r="BD642" s="34">
        <v>7.1689275659073456E-3</v>
      </c>
      <c r="BE642"/>
      <c r="BF642"/>
      <c r="BG642" s="34">
        <v>0.12940644996160736</v>
      </c>
      <c r="BH642" s="35">
        <v>142.72562068082928</v>
      </c>
      <c r="BI642" s="34">
        <v>12.586964422830814</v>
      </c>
      <c r="BJ642" s="72">
        <v>32.93432940875352</v>
      </c>
      <c r="BK642" s="54">
        <v>4.0371615062597304</v>
      </c>
      <c r="BL642" s="72">
        <v>18.841534425390325</v>
      </c>
      <c r="BM642" s="34">
        <v>5.6087515996928587</v>
      </c>
      <c r="BN642" s="34">
        <v>1.3898902610698745</v>
      </c>
      <c r="BO642" s="51">
        <v>6.3682247156929312</v>
      </c>
      <c r="BP642" s="34">
        <v>1.0777369465062707</v>
      </c>
      <c r="BQ642" s="74">
        <v>6.8641392627172291</v>
      </c>
      <c r="BR642" s="74">
        <v>1.4701265525727019</v>
      </c>
      <c r="BS642" s="52">
        <v>3.9280178807602288</v>
      </c>
      <c r="BT642" s="53">
        <v>0.5592945180700406</v>
      </c>
      <c r="BU642" s="34">
        <v>3.5112375223956995</v>
      </c>
      <c r="BV642" s="37">
        <v>0.47983587151266954</v>
      </c>
      <c r="BW642" s="34">
        <v>4.1439378039416432</v>
      </c>
      <c r="BX642" s="34">
        <v>0.48934796519068341</v>
      </c>
      <c r="BY642" s="34">
        <v>0</v>
      </c>
      <c r="BZ642" s="72">
        <v>9.3548758638341436</v>
      </c>
      <c r="CA642" s="72">
        <v>4.2010174046583053</v>
      </c>
      <c r="CE642" s="34">
        <v>2.070255950857435</v>
      </c>
      <c r="CF642" s="34">
        <v>0.52901266956744297</v>
      </c>
      <c r="CI642" s="29">
        <v>6.5399630500541077</v>
      </c>
      <c r="CJ642" s="41">
        <v>6.3447234751161918</v>
      </c>
      <c r="CK642" s="29">
        <v>6.2199876219084942</v>
      </c>
    </row>
    <row r="643" spans="1:109" x14ac:dyDescent="0.2">
      <c r="A643" s="2"/>
      <c r="C643" s="36"/>
      <c r="K643" s="209"/>
      <c r="L643" s="192"/>
      <c r="O643" s="193"/>
      <c r="P643" s="209"/>
      <c r="Q643" s="209"/>
      <c r="T643" s="38" t="e">
        <f>100*(N643/40.304)/(N643/40.304+L643/71.846)</f>
        <v>#DIV/0!</v>
      </c>
      <c r="AE643" s="194"/>
      <c r="AF643" s="193"/>
      <c r="AG643" s="194"/>
      <c r="AH643" s="194"/>
      <c r="AI643" s="192"/>
      <c r="AK643" s="193"/>
      <c r="AL643" s="193"/>
      <c r="AM643" s="194"/>
      <c r="AN643" s="194"/>
      <c r="AO643" s="193"/>
      <c r="AP643" s="192"/>
      <c r="AQ643" s="192"/>
      <c r="AR643" s="194"/>
      <c r="AS643" s="192"/>
      <c r="AT643" s="194"/>
      <c r="AU643" s="194"/>
      <c r="AV643" s="192"/>
      <c r="AW643" s="194"/>
      <c r="AX643" s="209"/>
      <c r="AY643" s="192"/>
      <c r="AZ643" s="209"/>
      <c r="BA643" s="192"/>
      <c r="BB643" s="38"/>
      <c r="BC643" s="39"/>
      <c r="BD643" s="39"/>
      <c r="BE643" s="39"/>
      <c r="BF643" s="38"/>
      <c r="BG643" s="38"/>
    </row>
    <row r="644" spans="1:109" s="2" customFormat="1" x14ac:dyDescent="0.2">
      <c r="A644" s="2" t="s">
        <v>1502</v>
      </c>
      <c r="C644" s="2" t="s">
        <v>717</v>
      </c>
      <c r="H644" s="6"/>
      <c r="I644" s="6"/>
      <c r="J644" s="6"/>
      <c r="K644" s="3">
        <v>0.10802803174474553</v>
      </c>
      <c r="L644" s="6">
        <v>6.3150536000675288</v>
      </c>
      <c r="M644" s="3"/>
      <c r="N644" s="6"/>
      <c r="O644" s="7">
        <v>14.84839199797417</v>
      </c>
      <c r="P644" s="3">
        <v>0.70735409808390304</v>
      </c>
      <c r="Q644" s="3">
        <v>0.22334430657550433</v>
      </c>
      <c r="R644" s="3"/>
      <c r="T644" s="38">
        <f>100*(N644/40.304)/(N644/40.304+L644/71.846)</f>
        <v>0</v>
      </c>
      <c r="AI644" s="6">
        <v>13.600345235080614</v>
      </c>
      <c r="AJ644" s="8">
        <v>739.10804423060699</v>
      </c>
      <c r="AL644" s="7">
        <v>16.317780872794799</v>
      </c>
      <c r="AM644" s="8">
        <v>140.01333670971556</v>
      </c>
      <c r="AN644" s="8">
        <v>0</v>
      </c>
      <c r="AQ644" s="6">
        <v>0.15184434878028194</v>
      </c>
      <c r="AR644" s="6">
        <v>0.12338144677977549</v>
      </c>
      <c r="AS644" s="6">
        <v>7.4381700008440965E-2</v>
      </c>
      <c r="AT644" s="8">
        <v>0</v>
      </c>
      <c r="AU644" s="8">
        <v>201.83683632987254</v>
      </c>
      <c r="AV644" s="515"/>
      <c r="AW644" s="8">
        <v>268.66582257111503</v>
      </c>
      <c r="AZ644" s="2">
        <v>0</v>
      </c>
      <c r="BD644" s="6">
        <v>1.0917531864607075E-2</v>
      </c>
      <c r="BG644" s="6">
        <v>0.16236093525787121</v>
      </c>
      <c r="BH644" s="8">
        <v>226.9170254072761</v>
      </c>
      <c r="BI644" s="6">
        <v>19.913113868489916</v>
      </c>
      <c r="BJ644" s="7">
        <v>52.394150417827291</v>
      </c>
      <c r="BK644" s="54"/>
      <c r="BL644" s="7">
        <v>30.380737739512114</v>
      </c>
      <c r="BM644" s="6">
        <v>9.1113674347936193</v>
      </c>
      <c r="BN644" s="6">
        <v>1.5945111842660589</v>
      </c>
      <c r="BO644" s="51"/>
      <c r="BP644" s="6">
        <v>1.7477222925635183</v>
      </c>
      <c r="BQ644" s="516"/>
      <c r="BR644" s="516"/>
      <c r="BS644" s="517"/>
      <c r="BT644" s="518"/>
      <c r="BU644" s="6">
        <v>5.6168903519878448</v>
      </c>
      <c r="BV644" s="3">
        <v>0.77812298472187069</v>
      </c>
      <c r="BW644" s="6">
        <v>6.7408584451759932</v>
      </c>
      <c r="BX644" s="6">
        <v>0.82024731999662359</v>
      </c>
      <c r="BY644" s="6">
        <v>0</v>
      </c>
      <c r="BZ644" s="7">
        <v>6.3456571283869332</v>
      </c>
      <c r="CA644" s="7">
        <v>6.1893221912720531</v>
      </c>
      <c r="CE644" s="6">
        <v>3.0324537857685487</v>
      </c>
      <c r="CF644" s="6">
        <v>0.8504254241580147</v>
      </c>
      <c r="CG644" s="2">
        <v>118.47</v>
      </c>
    </row>
    <row r="645" spans="1:109" x14ac:dyDescent="0.2">
      <c r="A645" s="2" t="s">
        <v>1502</v>
      </c>
      <c r="C645" t="s">
        <v>700</v>
      </c>
      <c r="K645" s="209"/>
      <c r="L645" s="192"/>
      <c r="O645" s="193"/>
      <c r="P645" s="209"/>
      <c r="Q645" s="209"/>
      <c r="T645" s="38" t="e">
        <f>100*(N645/40.304)/(N645/40.304+L645/71.846)</f>
        <v>#DIV/0!</v>
      </c>
      <c r="AE645" s="194"/>
      <c r="AF645" s="193"/>
      <c r="AG645" s="194"/>
      <c r="AH645" s="194"/>
      <c r="AI645" s="192"/>
      <c r="AK645" s="193"/>
      <c r="AL645" s="193"/>
      <c r="AM645" s="194"/>
      <c r="AN645" s="194"/>
      <c r="AO645" s="193"/>
      <c r="AP645" s="192"/>
      <c r="AQ645" s="192"/>
      <c r="AR645" s="194"/>
      <c r="AS645" s="192"/>
      <c r="AT645" s="194"/>
      <c r="AU645" s="194"/>
      <c r="AV645" s="192"/>
      <c r="AW645" s="194"/>
      <c r="AX645" s="209"/>
      <c r="AY645" s="192"/>
      <c r="AZ645" s="209"/>
      <c r="BA645" s="192"/>
      <c r="BB645" s="38"/>
      <c r="BC645" s="39"/>
      <c r="BD645" s="39"/>
      <c r="BE645" s="39"/>
      <c r="BF645" s="38"/>
      <c r="BG645" s="38"/>
    </row>
    <row r="646" spans="1:109" x14ac:dyDescent="0.2">
      <c r="A646" s="2" t="s">
        <v>1502</v>
      </c>
      <c r="K646" s="209"/>
      <c r="L646" s="192"/>
      <c r="O646" s="193"/>
      <c r="P646" s="209"/>
      <c r="Q646" s="209"/>
      <c r="T646" s="38" t="e">
        <f>100*(N646/40.304)/(N646/40.304+L646/71.846)</f>
        <v>#DIV/0!</v>
      </c>
      <c r="AE646" s="194"/>
      <c r="AF646" s="193"/>
      <c r="AG646" s="194"/>
      <c r="AH646" s="194"/>
      <c r="AI646" s="192"/>
      <c r="AK646" s="193"/>
      <c r="AL646" s="193"/>
      <c r="AM646" s="194"/>
      <c r="AN646" s="194"/>
      <c r="AO646" s="193"/>
      <c r="AP646" s="192"/>
      <c r="AQ646" s="192"/>
      <c r="AR646" s="194"/>
      <c r="AS646" s="192"/>
      <c r="AT646" s="194"/>
      <c r="AU646" s="194"/>
      <c r="AV646" s="192"/>
      <c r="AW646" s="194"/>
      <c r="AX646" s="209"/>
      <c r="AY646" s="192"/>
      <c r="AZ646" s="209"/>
      <c r="BA646" s="192"/>
      <c r="BB646" s="38"/>
      <c r="BC646" s="39"/>
      <c r="BD646" s="39"/>
      <c r="BE646" s="39"/>
      <c r="BF646" s="38"/>
      <c r="BG646" s="38"/>
    </row>
    <row r="647" spans="1:109" x14ac:dyDescent="0.2">
      <c r="A647" s="5" t="s">
        <v>1502</v>
      </c>
      <c r="C647" s="36" t="s">
        <v>279</v>
      </c>
      <c r="H647" s="34" t="e">
        <v>#DIV/0!</v>
      </c>
      <c r="I647" s="34" t="e">
        <v>#DIV/0!</v>
      </c>
      <c r="J647" s="34" t="e">
        <v>#DIV/0!</v>
      </c>
      <c r="K647" s="37">
        <v>0.10802803174474553</v>
      </c>
      <c r="L647" s="34">
        <v>6.3150536000675288</v>
      </c>
      <c r="M647" s="37" t="e">
        <v>#DIV/0!</v>
      </c>
      <c r="N647" s="34" t="e">
        <v>#DIV/0!</v>
      </c>
      <c r="O647" s="72">
        <v>14.84839199797417</v>
      </c>
      <c r="P647" s="37">
        <v>0.70735409808390304</v>
      </c>
      <c r="Q647" s="37">
        <v>0.22334430657550433</v>
      </c>
      <c r="R647" s="37" t="e">
        <v>#DIV/0!</v>
      </c>
      <c r="T647" s="38" t="e">
        <f>100*(N647/40.304)/(N647/40.304+L647/71.846)</f>
        <v>#DIV/0!</v>
      </c>
      <c r="W647" s="36"/>
      <c r="X647" s="36"/>
      <c r="Y647" s="36"/>
      <c r="Z647" s="36"/>
      <c r="AA647" s="36"/>
      <c r="AB647"/>
      <c r="AI647" s="34">
        <v>13.600345235080614</v>
      </c>
      <c r="AJ647" s="35">
        <v>739.10804423060699</v>
      </c>
      <c r="AL647" s="72">
        <v>16.317780872794799</v>
      </c>
      <c r="AM647" s="35">
        <v>140.01333670971556</v>
      </c>
      <c r="AO647"/>
      <c r="AQ647" s="34">
        <v>0.15184434878028194</v>
      </c>
      <c r="AR647" s="34">
        <v>0.12338144677977549</v>
      </c>
      <c r="AS647" s="34">
        <v>7.4381700008440965E-2</v>
      </c>
      <c r="AU647" s="35">
        <v>201.83683632987254</v>
      </c>
      <c r="AV647" s="161">
        <v>64.172072356443891</v>
      </c>
      <c r="AW647" s="35">
        <v>268.66582257111503</v>
      </c>
      <c r="AX647"/>
      <c r="AY647"/>
      <c r="AZ647"/>
      <c r="BA647"/>
      <c r="BB647"/>
      <c r="BC647"/>
      <c r="BD647" s="34">
        <v>1.0917531864607075E-2</v>
      </c>
      <c r="BE647"/>
      <c r="BF647"/>
      <c r="BG647" s="34">
        <v>0.16236093525787121</v>
      </c>
      <c r="BH647" s="35">
        <v>226.9170254072761</v>
      </c>
      <c r="BI647" s="34">
        <v>19.913113868489916</v>
      </c>
      <c r="BJ647" s="72">
        <v>52.394150417827291</v>
      </c>
      <c r="BK647" s="54">
        <v>6.4684994592620102</v>
      </c>
      <c r="BL647" s="72">
        <v>30.380737739512114</v>
      </c>
      <c r="BM647" s="34">
        <v>9.1113674347936193</v>
      </c>
      <c r="BN647" s="34">
        <v>1.5945111842660589</v>
      </c>
      <c r="BO647" s="51">
        <v>10.382151759951894</v>
      </c>
      <c r="BP647" s="34">
        <v>1.7477222925635183</v>
      </c>
      <c r="BQ647" s="74">
        <v>11.082862748368925</v>
      </c>
      <c r="BR647" s="74">
        <v>2.3681810537215773</v>
      </c>
      <c r="BS647" s="52">
        <v>6.3128681504896624</v>
      </c>
      <c r="BT647" s="53">
        <v>0.89677951163880176</v>
      </c>
      <c r="BU647" s="34">
        <v>5.6168903519878448</v>
      </c>
      <c r="BV647" s="37">
        <v>0.77812298472187069</v>
      </c>
      <c r="BW647" s="34">
        <v>6.7408584451759932</v>
      </c>
      <c r="BX647" s="34">
        <v>0.82024731999662359</v>
      </c>
      <c r="BY647" s="34">
        <v>0</v>
      </c>
      <c r="BZ647" s="72">
        <v>6.3456571283869332</v>
      </c>
      <c r="CA647" s="72">
        <v>6.1893221912720531</v>
      </c>
      <c r="CE647" s="34">
        <v>3.0324537857685487</v>
      </c>
      <c r="CF647" s="34">
        <v>0.8504254241580147</v>
      </c>
      <c r="CI647" s="29">
        <v>10.737231623177177</v>
      </c>
      <c r="CJ647" s="41">
        <v>10.294967273058614</v>
      </c>
      <c r="CK647" s="29">
        <v>10.114256383619889</v>
      </c>
    </row>
    <row r="648" spans="1:109" ht="38.25" customHeight="1" x14ac:dyDescent="0.2">
      <c r="H648"/>
      <c r="I648"/>
      <c r="J648"/>
      <c r="K648"/>
      <c r="L648"/>
      <c r="M648"/>
      <c r="N648"/>
      <c r="O648"/>
      <c r="P648"/>
      <c r="Q648"/>
      <c r="R648"/>
      <c r="W648"/>
      <c r="X648"/>
      <c r="Y648"/>
      <c r="Z648"/>
      <c r="AA648"/>
      <c r="AB648"/>
      <c r="AI648"/>
      <c r="AJ648"/>
      <c r="AL648"/>
      <c r="AM648"/>
      <c r="AN648"/>
      <c r="AO648"/>
      <c r="AQ648"/>
      <c r="AR648"/>
      <c r="AS648"/>
      <c r="AT648"/>
      <c r="AU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L648"/>
      <c r="BM648"/>
      <c r="BN648"/>
      <c r="BO648"/>
      <c r="BP648"/>
      <c r="BV648"/>
      <c r="BW648"/>
      <c r="BX648"/>
      <c r="BZ648"/>
      <c r="CA648"/>
      <c r="CE648"/>
      <c r="CF648"/>
    </row>
    <row r="649" spans="1:109" x14ac:dyDescent="0.2">
      <c r="H649"/>
      <c r="I649"/>
      <c r="J649"/>
      <c r="K649"/>
      <c r="L649"/>
      <c r="M649"/>
      <c r="N649"/>
      <c r="O649"/>
      <c r="P649"/>
      <c r="Q649"/>
      <c r="R649"/>
      <c r="W649"/>
      <c r="X649"/>
      <c r="Y649"/>
      <c r="Z649"/>
      <c r="AA649"/>
      <c r="AB649"/>
      <c r="AI649"/>
      <c r="AJ649"/>
      <c r="AL649"/>
      <c r="AM649"/>
      <c r="AN649"/>
      <c r="AO649"/>
      <c r="AQ649"/>
      <c r="AR649"/>
      <c r="AS649"/>
      <c r="AT649"/>
      <c r="AU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L649"/>
      <c r="BM649"/>
      <c r="BN649"/>
      <c r="BO649"/>
      <c r="BP649"/>
      <c r="BV649"/>
      <c r="BW649"/>
      <c r="BX649"/>
      <c r="BZ649"/>
      <c r="CA649"/>
      <c r="CE649"/>
      <c r="CF649"/>
    </row>
    <row r="650" spans="1:109" x14ac:dyDescent="0.2">
      <c r="H650"/>
      <c r="I650"/>
      <c r="J650"/>
      <c r="K650"/>
      <c r="L650"/>
      <c r="M650"/>
      <c r="N650"/>
      <c r="O650"/>
      <c r="P650"/>
      <c r="Q650"/>
      <c r="R650"/>
      <c r="W650"/>
      <c r="X650"/>
      <c r="Y650"/>
      <c r="Z650"/>
      <c r="AA650"/>
      <c r="AB650"/>
      <c r="AI650"/>
      <c r="AJ650"/>
      <c r="AL650"/>
      <c r="AM650"/>
      <c r="AN650"/>
      <c r="AO650"/>
      <c r="AQ650"/>
      <c r="AR650"/>
      <c r="AS650"/>
      <c r="AT650"/>
      <c r="AU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L650"/>
      <c r="BM650"/>
      <c r="BN650"/>
      <c r="BO650"/>
      <c r="BP650"/>
      <c r="BV650"/>
      <c r="BW650"/>
      <c r="BX650"/>
      <c r="BZ650"/>
      <c r="CA650"/>
      <c r="CE650"/>
      <c r="CF650"/>
    </row>
    <row r="651" spans="1:109" ht="51" customHeight="1" x14ac:dyDescent="0.2">
      <c r="A651" s="991" t="s">
        <v>1484</v>
      </c>
      <c r="B651" s="272" t="s">
        <v>639</v>
      </c>
      <c r="C651" s="380">
        <v>-0.67972997150343473</v>
      </c>
      <c r="D651" s="381">
        <v>40954</v>
      </c>
      <c r="E651" s="227" t="s">
        <v>1485</v>
      </c>
      <c r="F651" s="50"/>
      <c r="H651" s="38"/>
      <c r="I651" s="38"/>
      <c r="J651" s="30"/>
      <c r="L651" s="30"/>
      <c r="M651" s="32"/>
      <c r="N651" s="30"/>
      <c r="O651" s="33"/>
      <c r="V651" s="50"/>
      <c r="W651" s="50"/>
      <c r="X651"/>
      <c r="Y651"/>
      <c r="Z651"/>
      <c r="AA651"/>
      <c r="AB651"/>
      <c r="AO651"/>
      <c r="AQ651"/>
      <c r="AR651"/>
      <c r="AS651"/>
      <c r="AX651"/>
      <c r="AY651"/>
      <c r="AZ651"/>
      <c r="BA651"/>
      <c r="BB651"/>
      <c r="BC651"/>
      <c r="BD651"/>
      <c r="BE651"/>
      <c r="BF651"/>
      <c r="BG651"/>
      <c r="DE651" t="s">
        <v>1114</v>
      </c>
    </row>
    <row r="652" spans="1:109" x14ac:dyDescent="0.2">
      <c r="A652" s="992"/>
      <c r="B652" s="272" t="s">
        <v>640</v>
      </c>
      <c r="C652" s="380">
        <v>35.574390511591915</v>
      </c>
      <c r="D652" s="50"/>
      <c r="E652" s="50"/>
      <c r="F652" s="50"/>
      <c r="H652" s="38"/>
      <c r="I652" s="38"/>
      <c r="J652" s="30"/>
      <c r="L652" s="30"/>
      <c r="M652" s="32"/>
      <c r="N652" s="30"/>
      <c r="O652" s="33"/>
      <c r="V652" s="50"/>
      <c r="W652" s="50"/>
      <c r="X652"/>
      <c r="Y652"/>
      <c r="Z652"/>
      <c r="AA652"/>
      <c r="AB652"/>
      <c r="AO652"/>
      <c r="AQ652"/>
      <c r="AR652"/>
      <c r="AS652"/>
      <c r="AX652"/>
      <c r="AY652"/>
      <c r="AZ652"/>
      <c r="BA652"/>
      <c r="BB652"/>
      <c r="BC652"/>
      <c r="BD652"/>
      <c r="BE652"/>
      <c r="BF652"/>
      <c r="BG652"/>
    </row>
    <row r="653" spans="1:109" x14ac:dyDescent="0.2">
      <c r="A653" s="50"/>
      <c r="B653" s="50"/>
      <c r="C653" s="50"/>
      <c r="D653" s="50"/>
      <c r="E653" s="50"/>
      <c r="F653" s="50"/>
      <c r="H653" s="38"/>
      <c r="I653" s="38"/>
      <c r="J653" s="30"/>
      <c r="L653" s="30"/>
      <c r="M653" s="32"/>
      <c r="N653" s="30"/>
      <c r="O653" s="33"/>
      <c r="V653" s="50"/>
      <c r="W653" s="50"/>
      <c r="X653"/>
      <c r="Y653"/>
      <c r="Z653"/>
      <c r="AA653"/>
      <c r="AB653"/>
      <c r="AO653"/>
      <c r="AQ653"/>
      <c r="AR653"/>
      <c r="AS653"/>
      <c r="AX653"/>
      <c r="AY653"/>
      <c r="AZ653"/>
      <c r="BA653"/>
      <c r="BB653"/>
      <c r="BC653"/>
      <c r="BD653"/>
      <c r="BE653"/>
      <c r="BF653"/>
      <c r="BG653"/>
    </row>
    <row r="654" spans="1:109" x14ac:dyDescent="0.2">
      <c r="A654" s="50" t="s">
        <v>641</v>
      </c>
      <c r="B654" s="50" t="s">
        <v>639</v>
      </c>
      <c r="C654" s="50">
        <v>1.5887951413084942E-2</v>
      </c>
      <c r="D654" s="50" t="s">
        <v>744</v>
      </c>
      <c r="E654" s="50"/>
      <c r="F654" s="50"/>
      <c r="H654" s="38"/>
      <c r="I654" s="38"/>
      <c r="J654" s="30"/>
      <c r="M654" s="32"/>
      <c r="N654" s="30"/>
      <c r="O654" s="33"/>
      <c r="V654" s="50"/>
      <c r="W654" s="50"/>
      <c r="X654"/>
      <c r="Y654"/>
      <c r="Z654"/>
      <c r="AA654"/>
      <c r="AB654"/>
      <c r="AO654"/>
      <c r="AQ654"/>
      <c r="AR654"/>
      <c r="AS654"/>
      <c r="AX654"/>
      <c r="AY654"/>
      <c r="AZ654"/>
      <c r="BA654"/>
      <c r="BB654"/>
      <c r="BC654"/>
      <c r="BD654"/>
      <c r="BE654"/>
      <c r="BF654"/>
      <c r="BG654"/>
    </row>
    <row r="655" spans="1:109" x14ac:dyDescent="0.2">
      <c r="A655" s="50" t="s">
        <v>641</v>
      </c>
      <c r="B655" s="50" t="s">
        <v>640</v>
      </c>
      <c r="C655" s="50">
        <v>9.2199169723549169E-3</v>
      </c>
      <c r="D655" s="50"/>
      <c r="E655" s="50"/>
      <c r="F655" s="50"/>
      <c r="H655" s="38"/>
      <c r="I655" s="38"/>
      <c r="J655" s="30"/>
      <c r="M655" s="32"/>
      <c r="N655" s="30"/>
      <c r="O655" s="33"/>
      <c r="V655" s="50"/>
      <c r="W655" s="50"/>
      <c r="X655"/>
      <c r="Y655"/>
      <c r="Z655"/>
      <c r="AA655"/>
      <c r="AB655"/>
      <c r="AO655"/>
      <c r="AQ655"/>
      <c r="AR655"/>
      <c r="AS655"/>
      <c r="AX655"/>
      <c r="AY655"/>
      <c r="AZ655"/>
      <c r="BA655"/>
      <c r="BB655"/>
      <c r="BC655"/>
      <c r="BD655"/>
      <c r="BE655"/>
      <c r="BF655"/>
      <c r="BG655"/>
    </row>
    <row r="656" spans="1:109" x14ac:dyDescent="0.2">
      <c r="A656" s="50"/>
      <c r="B656" s="50"/>
      <c r="C656" s="50"/>
      <c r="D656" s="50"/>
      <c r="E656" s="50"/>
      <c r="F656" s="50"/>
      <c r="H656" s="38"/>
      <c r="I656" s="38"/>
      <c r="J656" s="30"/>
      <c r="M656" s="32"/>
      <c r="N656" s="30"/>
      <c r="O656" s="33"/>
      <c r="V656" s="50"/>
      <c r="W656" s="50"/>
      <c r="X656"/>
      <c r="Y656"/>
      <c r="Z656"/>
      <c r="AA656"/>
      <c r="AB656"/>
      <c r="AO656"/>
      <c r="AQ656"/>
      <c r="AR656"/>
      <c r="AS656"/>
      <c r="AX656"/>
      <c r="AY656"/>
      <c r="AZ656"/>
      <c r="BA656"/>
      <c r="BB656"/>
      <c r="BC656"/>
      <c r="BD656"/>
      <c r="BE656"/>
      <c r="BF656"/>
      <c r="BG656"/>
    </row>
    <row r="657" spans="1:104" x14ac:dyDescent="0.2">
      <c r="A657" s="50" t="s">
        <v>643</v>
      </c>
      <c r="B657" s="50" t="s">
        <v>639</v>
      </c>
      <c r="C657" s="50">
        <v>147.18861041757185</v>
      </c>
      <c r="D657" s="50" t="s">
        <v>744</v>
      </c>
      <c r="E657" s="50"/>
      <c r="F657" s="50"/>
      <c r="H657" s="38"/>
      <c r="I657" s="38"/>
      <c r="J657" s="30"/>
      <c r="M657" s="32"/>
      <c r="N657" s="30"/>
      <c r="O657" s="33"/>
      <c r="V657" s="50"/>
      <c r="W657" s="50"/>
      <c r="X657"/>
      <c r="Y657"/>
      <c r="Z657"/>
      <c r="AA657"/>
      <c r="AB657"/>
      <c r="AO657"/>
      <c r="AQ657"/>
      <c r="AR657"/>
      <c r="AS657"/>
      <c r="AX657"/>
      <c r="AY657"/>
      <c r="AZ657"/>
      <c r="BA657"/>
      <c r="BB657"/>
      <c r="BC657"/>
      <c r="BD657"/>
      <c r="BE657"/>
      <c r="BF657"/>
      <c r="BG657"/>
    </row>
    <row r="658" spans="1:104" x14ac:dyDescent="0.2">
      <c r="A658" s="50" t="s">
        <v>643</v>
      </c>
      <c r="B658" s="50" t="s">
        <v>640</v>
      </c>
      <c r="C658" s="76">
        <v>34.1407540277865</v>
      </c>
      <c r="D658" s="50"/>
      <c r="E658" s="50"/>
      <c r="F658" s="50"/>
      <c r="H658" s="38"/>
      <c r="I658" s="38"/>
      <c r="J658" s="30"/>
      <c r="M658" s="32"/>
      <c r="N658" s="30"/>
      <c r="O658" s="33"/>
      <c r="V658" s="50"/>
      <c r="W658" s="50"/>
      <c r="X658"/>
      <c r="Y658"/>
      <c r="Z658"/>
      <c r="AA658"/>
      <c r="AB658"/>
      <c r="AO658"/>
      <c r="AQ658"/>
      <c r="AR658"/>
      <c r="AS658"/>
      <c r="AX658"/>
      <c r="AY658"/>
      <c r="AZ658"/>
      <c r="BA658"/>
      <c r="BB658"/>
      <c r="BC658"/>
      <c r="BD658"/>
      <c r="BE658"/>
      <c r="BF658"/>
      <c r="BG658"/>
    </row>
    <row r="659" spans="1:104" x14ac:dyDescent="0.2">
      <c r="A659" s="50"/>
      <c r="B659" s="50"/>
      <c r="C659" s="50"/>
      <c r="D659" s="50"/>
      <c r="E659" s="50"/>
      <c r="F659" s="50"/>
      <c r="H659" s="38"/>
      <c r="I659" s="38"/>
      <c r="J659" s="30"/>
      <c r="M659" s="32"/>
      <c r="N659" s="30"/>
      <c r="O659" s="33"/>
      <c r="V659" s="50"/>
      <c r="W659" s="50"/>
      <c r="X659"/>
      <c r="Y659"/>
      <c r="Z659"/>
      <c r="AA659"/>
      <c r="AB659"/>
      <c r="AO659"/>
      <c r="AQ659"/>
      <c r="AR659"/>
      <c r="AS659"/>
      <c r="AX659"/>
      <c r="AY659"/>
      <c r="AZ659"/>
      <c r="BA659"/>
      <c r="BB659"/>
      <c r="BC659"/>
      <c r="BD659"/>
      <c r="BE659"/>
      <c r="BF659"/>
      <c r="BG659"/>
    </row>
    <row r="660" spans="1:104" x14ac:dyDescent="0.2">
      <c r="A660" s="50" t="s">
        <v>745</v>
      </c>
      <c r="B660" s="50" t="s">
        <v>639</v>
      </c>
      <c r="C660" s="50">
        <v>8.6141765689751484</v>
      </c>
      <c r="D660" s="50" t="s">
        <v>744</v>
      </c>
      <c r="E660" s="50"/>
      <c r="F660" s="50"/>
      <c r="H660" s="38"/>
      <c r="I660" s="38"/>
      <c r="J660" s="30"/>
      <c r="M660" s="32"/>
      <c r="N660" s="30"/>
      <c r="O660" s="33"/>
      <c r="V660" s="50"/>
      <c r="W660" s="50"/>
      <c r="X660"/>
      <c r="Y660"/>
      <c r="Z660"/>
      <c r="AA660"/>
      <c r="AB660"/>
      <c r="AO660"/>
      <c r="AQ660"/>
      <c r="AR660"/>
      <c r="AS660"/>
      <c r="AX660"/>
      <c r="AY660"/>
      <c r="AZ660"/>
      <c r="BA660"/>
      <c r="BB660"/>
      <c r="BC660"/>
      <c r="BD660"/>
      <c r="BE660"/>
      <c r="BF660"/>
      <c r="BG660"/>
    </row>
    <row r="661" spans="1:104" x14ac:dyDescent="0.2">
      <c r="A661" s="50" t="s">
        <v>745</v>
      </c>
      <c r="B661" s="50" t="s">
        <v>640</v>
      </c>
      <c r="C661" s="39">
        <v>12.150788110813757</v>
      </c>
      <c r="D661" s="50"/>
      <c r="E661" s="50"/>
      <c r="F661" s="50"/>
      <c r="H661" s="38"/>
      <c r="I661" s="38"/>
      <c r="J661" s="30"/>
      <c r="L661" s="30"/>
      <c r="M661" s="32"/>
      <c r="N661" s="30"/>
      <c r="O661" s="33"/>
      <c r="V661" s="50"/>
      <c r="W661" s="50"/>
      <c r="X661"/>
      <c r="Y661"/>
      <c r="Z661"/>
      <c r="AA661"/>
      <c r="AB661"/>
      <c r="AO661"/>
      <c r="AQ661"/>
      <c r="AR661"/>
      <c r="AS661"/>
      <c r="AX661"/>
      <c r="AY661"/>
      <c r="AZ661"/>
      <c r="BA661"/>
      <c r="BB661"/>
      <c r="BC661"/>
      <c r="BD661"/>
      <c r="BE661"/>
      <c r="BF661"/>
      <c r="BG661"/>
    </row>
    <row r="662" spans="1:104" x14ac:dyDescent="0.2">
      <c r="A662" s="50"/>
      <c r="B662" s="50"/>
      <c r="C662" s="50"/>
      <c r="D662" s="50"/>
      <c r="E662" s="50"/>
      <c r="F662" s="50"/>
      <c r="H662" s="38"/>
      <c r="I662" s="38"/>
      <c r="J662" s="30"/>
      <c r="L662" s="30"/>
      <c r="M662" s="32"/>
      <c r="N662" s="30"/>
      <c r="O662" s="33"/>
      <c r="V662" s="50"/>
      <c r="W662" s="50"/>
      <c r="X662"/>
      <c r="Y662"/>
      <c r="Z662"/>
      <c r="AA662"/>
      <c r="AB662"/>
      <c r="AO662"/>
      <c r="AQ662"/>
      <c r="AR662"/>
      <c r="AS662"/>
      <c r="AX662"/>
      <c r="AY662"/>
      <c r="AZ662"/>
      <c r="BA662"/>
      <c r="BB662"/>
      <c r="BC662"/>
      <c r="BD662"/>
      <c r="BE662"/>
      <c r="BF662"/>
      <c r="BG662"/>
    </row>
    <row r="663" spans="1:104" x14ac:dyDescent="0.2">
      <c r="A663" s="50" t="s">
        <v>746</v>
      </c>
      <c r="B663" s="50" t="s">
        <v>639</v>
      </c>
      <c r="C663" s="50">
        <v>4.0304730166482615E-3</v>
      </c>
      <c r="D663" s="50"/>
      <c r="E663" s="50"/>
      <c r="F663" s="50"/>
      <c r="H663" s="38"/>
      <c r="I663" s="38"/>
      <c r="J663" s="30"/>
      <c r="L663" s="30"/>
      <c r="M663" s="32"/>
      <c r="N663" s="30"/>
      <c r="O663" s="33"/>
      <c r="V663" s="50"/>
      <c r="W663" s="50"/>
      <c r="X663"/>
      <c r="Y663"/>
      <c r="Z663"/>
      <c r="AA663"/>
      <c r="AB663"/>
      <c r="AO663"/>
      <c r="AQ663"/>
      <c r="AR663"/>
      <c r="AS663"/>
      <c r="AX663"/>
      <c r="AY663"/>
      <c r="AZ663"/>
      <c r="BA663"/>
      <c r="BB663"/>
      <c r="BC663"/>
      <c r="BD663"/>
      <c r="BE663"/>
      <c r="BF663"/>
      <c r="BG663"/>
    </row>
    <row r="664" spans="1:104" x14ac:dyDescent="0.2">
      <c r="A664" s="50" t="s">
        <v>746</v>
      </c>
      <c r="B664" s="50" t="s">
        <v>640</v>
      </c>
      <c r="C664" s="50">
        <v>2.0050644929754453E-2</v>
      </c>
      <c r="D664" s="50"/>
      <c r="E664" s="50"/>
      <c r="F664" s="50"/>
      <c r="H664" s="38"/>
      <c r="I664" s="38"/>
      <c r="J664" s="30"/>
      <c r="L664" s="30"/>
      <c r="M664" s="32"/>
      <c r="N664" s="30"/>
      <c r="O664" s="33"/>
      <c r="V664" s="50"/>
      <c r="W664" s="50"/>
      <c r="X664"/>
      <c r="Y664"/>
      <c r="Z664"/>
      <c r="AA664"/>
      <c r="AB664"/>
      <c r="AO664"/>
      <c r="AQ664"/>
      <c r="AR664"/>
      <c r="AS664"/>
      <c r="AX664"/>
      <c r="AY664"/>
      <c r="AZ664"/>
      <c r="BA664"/>
      <c r="BB664"/>
      <c r="BC664"/>
      <c r="BD664"/>
      <c r="BE664"/>
      <c r="BF664"/>
      <c r="BG664"/>
      <c r="CW664" s="37">
        <v>0.34184496235099349</v>
      </c>
      <c r="CX664" s="37">
        <v>0.13147533303076347</v>
      </c>
      <c r="CY664" s="37">
        <v>0.23245672113390561</v>
      </c>
      <c r="CZ664" s="37">
        <v>0.77134513480636402</v>
      </c>
    </row>
    <row r="665" spans="1:104" x14ac:dyDescent="0.2">
      <c r="A665" s="50"/>
      <c r="B665" s="50"/>
      <c r="C665" s="50"/>
      <c r="D665" s="50"/>
      <c r="E665" s="50"/>
      <c r="F665" s="50"/>
      <c r="H665" s="38"/>
      <c r="I665" s="38"/>
      <c r="J665" s="30"/>
      <c r="L665" s="30"/>
      <c r="M665" s="32"/>
      <c r="N665" s="30"/>
      <c r="O665" s="33"/>
      <c r="V665" s="50"/>
      <c r="W665" s="50"/>
      <c r="X665"/>
      <c r="Y665"/>
      <c r="Z665"/>
      <c r="AA665"/>
      <c r="AB665"/>
      <c r="AO665"/>
      <c r="AQ665"/>
      <c r="AR665"/>
      <c r="AS665"/>
      <c r="AX665"/>
      <c r="AY665"/>
      <c r="AZ665"/>
      <c r="BA665"/>
      <c r="BB665"/>
      <c r="BC665"/>
      <c r="BD665"/>
      <c r="BE665"/>
      <c r="BF665"/>
      <c r="BG665"/>
      <c r="CW665">
        <v>3.7505384414959361E-2</v>
      </c>
      <c r="CX665">
        <v>1.0713094381508187E-2</v>
      </c>
      <c r="CY665">
        <v>9.9330087537013428E-3</v>
      </c>
      <c r="CZ665">
        <v>6.5392316941398118E-2</v>
      </c>
    </row>
    <row r="666" spans="1:104" x14ac:dyDescent="0.2">
      <c r="A666" s="50" t="s">
        <v>749</v>
      </c>
      <c r="B666" s="50" t="s">
        <v>639</v>
      </c>
      <c r="C666" s="50">
        <v>0.40220342124291886</v>
      </c>
      <c r="D666" s="50"/>
      <c r="E666" s="50"/>
      <c r="F666" s="50"/>
      <c r="H666" s="38"/>
      <c r="I666" s="38"/>
      <c r="J666" s="30"/>
      <c r="L666" s="30"/>
      <c r="M666" s="32"/>
      <c r="N666" s="30"/>
      <c r="O666" s="33"/>
      <c r="V666" s="50"/>
      <c r="W666" s="50"/>
      <c r="X666"/>
      <c r="Y666"/>
      <c r="Z666"/>
      <c r="AA666"/>
      <c r="AB666"/>
      <c r="AO666"/>
      <c r="AQ666"/>
      <c r="AR666"/>
      <c r="AS666"/>
      <c r="AX666"/>
      <c r="AY666"/>
      <c r="AZ666"/>
      <c r="BA666"/>
      <c r="BB666"/>
      <c r="BC666"/>
      <c r="BD666"/>
      <c r="BE666"/>
      <c r="BF666"/>
      <c r="BG666"/>
      <c r="CW666">
        <v>0.10971460324300537</v>
      </c>
      <c r="CX666">
        <v>8.1483683171211033E-2</v>
      </c>
      <c r="CY666">
        <v>4.2730572406118897E-2</v>
      </c>
      <c r="CZ666">
        <v>8.4776987616333371E-2</v>
      </c>
    </row>
    <row r="667" spans="1:104" x14ac:dyDescent="0.2">
      <c r="A667" s="50" t="s">
        <v>749</v>
      </c>
      <c r="B667" s="50" t="s">
        <v>640</v>
      </c>
      <c r="C667" s="50">
        <v>4.8790788281450244</v>
      </c>
      <c r="D667" s="50"/>
      <c r="E667" s="50"/>
      <c r="F667" s="50"/>
      <c r="H667" s="38"/>
      <c r="I667" s="38"/>
      <c r="J667" s="30"/>
      <c r="L667" s="30"/>
      <c r="M667" s="32"/>
      <c r="N667" s="30"/>
      <c r="O667" s="33"/>
      <c r="V667" s="50"/>
      <c r="W667" s="50"/>
      <c r="X667"/>
      <c r="Y667"/>
      <c r="Z667"/>
      <c r="AA667"/>
      <c r="AB667"/>
      <c r="AO667"/>
      <c r="AQ667"/>
      <c r="AR667"/>
      <c r="AS667"/>
      <c r="AX667"/>
      <c r="AY667"/>
      <c r="AZ667"/>
      <c r="BA667"/>
      <c r="BB667"/>
      <c r="BC667"/>
      <c r="BD667"/>
      <c r="BE667"/>
      <c r="BF667"/>
      <c r="BG667"/>
    </row>
    <row r="668" spans="1:104" x14ac:dyDescent="0.2">
      <c r="I668" s="30"/>
      <c r="J668" s="30"/>
      <c r="L668" s="30"/>
      <c r="M668" s="32"/>
      <c r="N668" s="30"/>
      <c r="O668" s="33"/>
      <c r="W668"/>
      <c r="X668"/>
      <c r="Y668"/>
      <c r="Z668"/>
      <c r="AA668"/>
      <c r="AB668"/>
      <c r="AO668"/>
      <c r="AQ668"/>
      <c r="AR668"/>
      <c r="AS668"/>
      <c r="AX668"/>
      <c r="AY668"/>
      <c r="AZ668"/>
      <c r="BA668"/>
      <c r="BB668"/>
      <c r="BC668"/>
      <c r="BD668"/>
      <c r="BE668"/>
      <c r="BF668"/>
      <c r="BG668"/>
    </row>
    <row r="669" spans="1:104" x14ac:dyDescent="0.2">
      <c r="I669" s="30"/>
      <c r="J669" s="30"/>
      <c r="L669" s="30"/>
      <c r="M669" s="32"/>
      <c r="N669" s="30"/>
      <c r="O669" s="33"/>
      <c r="W669"/>
      <c r="X669"/>
      <c r="Y669"/>
      <c r="Z669"/>
      <c r="AA669"/>
      <c r="AB669"/>
      <c r="AO669"/>
      <c r="AQ669"/>
      <c r="AR669"/>
      <c r="AS669"/>
      <c r="AX669"/>
      <c r="AY669"/>
      <c r="AZ669"/>
      <c r="BA669"/>
      <c r="BB669"/>
      <c r="BC669"/>
      <c r="BD669"/>
      <c r="BE669"/>
      <c r="BF669"/>
      <c r="BG669"/>
    </row>
    <row r="671" spans="1:104" x14ac:dyDescent="0.2">
      <c r="C671" s="41"/>
      <c r="D671" s="41"/>
      <c r="E671" s="41"/>
      <c r="F671" s="41"/>
      <c r="G671" s="41"/>
      <c r="H671" s="65"/>
      <c r="I671" s="47"/>
      <c r="J671" s="47"/>
      <c r="K671" s="29"/>
      <c r="L671" s="47"/>
      <c r="M671" s="175"/>
      <c r="N671" s="47"/>
      <c r="O671" s="12"/>
      <c r="P671" s="29"/>
      <c r="Q671" s="29"/>
      <c r="R671" s="29"/>
      <c r="S671" s="41"/>
      <c r="T671" s="41"/>
      <c r="U671" s="41"/>
      <c r="V671" s="41"/>
      <c r="W671" s="13"/>
      <c r="X671" s="13"/>
      <c r="Y671" s="13"/>
      <c r="Z671" s="13"/>
      <c r="AA671" s="13"/>
      <c r="AB671" s="13"/>
      <c r="AC671" s="41"/>
      <c r="AD671" s="41"/>
      <c r="AE671" s="41"/>
      <c r="AF671" s="41"/>
      <c r="AG671" s="41"/>
      <c r="AH671" s="41"/>
      <c r="AI671" s="65"/>
      <c r="AJ671" s="67"/>
      <c r="AK671" s="41"/>
      <c r="AL671" s="68"/>
    </row>
    <row r="672" spans="1:104" x14ac:dyDescent="0.2">
      <c r="A672" s="419" t="s">
        <v>1291</v>
      </c>
      <c r="B672" s="420"/>
      <c r="C672" s="421" t="s">
        <v>157</v>
      </c>
      <c r="D672" s="421" t="s">
        <v>158</v>
      </c>
      <c r="E672" s="421" t="s">
        <v>156</v>
      </c>
      <c r="F672" s="421" t="s">
        <v>162</v>
      </c>
      <c r="G672" s="421" t="s">
        <v>163</v>
      </c>
      <c r="H672" s="422" t="s">
        <v>152</v>
      </c>
      <c r="I672" s="422" t="s">
        <v>165</v>
      </c>
      <c r="J672" s="422" t="s">
        <v>166</v>
      </c>
      <c r="K672" s="423" t="s">
        <v>262</v>
      </c>
      <c r="L672" s="422" t="s">
        <v>307</v>
      </c>
      <c r="M672" s="423" t="s">
        <v>308</v>
      </c>
      <c r="N672" s="422" t="s">
        <v>309</v>
      </c>
      <c r="O672" s="424" t="s">
        <v>263</v>
      </c>
      <c r="P672" s="423" t="s">
        <v>167</v>
      </c>
      <c r="Q672" s="423" t="s">
        <v>168</v>
      </c>
      <c r="R672" s="423" t="s">
        <v>324</v>
      </c>
      <c r="S672" s="421" t="s">
        <v>319</v>
      </c>
      <c r="T672" s="421"/>
      <c r="U672" s="421" t="s">
        <v>264</v>
      </c>
      <c r="V672" s="421" t="s">
        <v>169</v>
      </c>
      <c r="W672" s="421" t="s">
        <v>170</v>
      </c>
      <c r="X672" s="421" t="s">
        <v>171</v>
      </c>
      <c r="Y672" s="421" t="s">
        <v>172</v>
      </c>
      <c r="Z672" s="421" t="s">
        <v>173</v>
      </c>
      <c r="AA672" s="421" t="s">
        <v>174</v>
      </c>
      <c r="AB672" s="421" t="s">
        <v>175</v>
      </c>
      <c r="AC672" s="421" t="s">
        <v>176</v>
      </c>
      <c r="AD672" s="421" t="s">
        <v>177</v>
      </c>
      <c r="AE672" s="421" t="s">
        <v>178</v>
      </c>
      <c r="AF672" s="421" t="s">
        <v>179</v>
      </c>
      <c r="AG672" s="421" t="s">
        <v>326</v>
      </c>
      <c r="AH672" s="421" t="s">
        <v>180</v>
      </c>
      <c r="AI672" s="422" t="s">
        <v>265</v>
      </c>
      <c r="AJ672" s="425" t="s">
        <v>182</v>
      </c>
      <c r="AK672" s="421" t="s">
        <v>183</v>
      </c>
      <c r="AL672" s="424" t="s">
        <v>186</v>
      </c>
      <c r="AM672"/>
      <c r="AN672"/>
      <c r="AO672"/>
      <c r="AQ672"/>
      <c r="AR672"/>
      <c r="AS672"/>
      <c r="AT672"/>
      <c r="AU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L672"/>
      <c r="BM672"/>
      <c r="BN672"/>
      <c r="BO672"/>
      <c r="BP672"/>
      <c r="BV672"/>
      <c r="BW672"/>
      <c r="BX672"/>
      <c r="BZ672"/>
      <c r="CA672"/>
      <c r="CE672"/>
      <c r="CF672"/>
    </row>
    <row r="673" spans="1:132" s="2" customFormat="1" x14ac:dyDescent="0.2">
      <c r="A673" s="496" t="s">
        <v>963</v>
      </c>
      <c r="B673" s="505" t="s">
        <v>197</v>
      </c>
      <c r="C673" s="504">
        <v>0.3624814165430339</v>
      </c>
      <c r="D673" s="503">
        <v>4.6350552012485301E-2</v>
      </c>
      <c r="E673" s="503">
        <v>15.646773279898268</v>
      </c>
      <c r="F673" s="502">
        <v>12.462163542128284</v>
      </c>
      <c r="G673" s="501">
        <v>841.03745592570476</v>
      </c>
      <c r="H673" s="502">
        <v>5.1719768405233051</v>
      </c>
      <c r="I673" s="503">
        <v>13.699860310976666</v>
      </c>
      <c r="J673" s="501">
        <v>89.912660642376849</v>
      </c>
      <c r="K673" s="500">
        <v>9.8249725438816213</v>
      </c>
      <c r="L673" s="499">
        <v>0.34307277316429358</v>
      </c>
      <c r="M673" s="499">
        <v>0.25961869713492997</v>
      </c>
      <c r="N673" s="499">
        <v>0.47727558235872142</v>
      </c>
      <c r="O673" s="498">
        <v>1.0753106876553438</v>
      </c>
      <c r="P673" s="501">
        <v>1364.4699524093946</v>
      </c>
      <c r="Q673" s="501">
        <v>32.326641105181018</v>
      </c>
      <c r="R673" s="499">
        <v>0</v>
      </c>
      <c r="S673" s="497">
        <v>1.8997842045432652E-2</v>
      </c>
      <c r="T673" s="497"/>
      <c r="U673" s="497">
        <v>2.8599622357950712E-2</v>
      </c>
      <c r="V673" s="501">
        <v>202.21144101269726</v>
      </c>
      <c r="W673" s="502">
        <v>2.3403202250438331</v>
      </c>
      <c r="X673" s="503">
        <v>6.2257522976435915</v>
      </c>
      <c r="Y673" s="503">
        <v>3.8051694572358921</v>
      </c>
      <c r="Z673" s="502">
        <v>1.1459925242288203</v>
      </c>
      <c r="AA673" s="502">
        <v>0.82608581722895513</v>
      </c>
      <c r="AB673" s="496">
        <v>0.24992765071963935</v>
      </c>
      <c r="AC673" s="502">
        <v>0.99986566732818261</v>
      </c>
      <c r="AD673" s="504">
        <v>0.14203797614689503</v>
      </c>
      <c r="AE673" s="502">
        <v>0.82489258395791998</v>
      </c>
      <c r="AF673" s="502">
        <v>0.10936084083158321</v>
      </c>
      <c r="AG673" s="503">
        <v>6.0080345272730783E-2</v>
      </c>
      <c r="AH673" s="503">
        <v>3.8542417294464464</v>
      </c>
      <c r="AI673" s="503">
        <v>1.32043120556444</v>
      </c>
      <c r="AJ673" s="502">
        <v>0.36006843798770738</v>
      </c>
      <c r="AK673" s="502">
        <v>0.17317506406427624</v>
      </c>
      <c r="AL673" s="502">
        <v>519.01</v>
      </c>
    </row>
    <row r="674" spans="1:132" s="2" customFormat="1" x14ac:dyDescent="0.2">
      <c r="A674" s="496" t="s">
        <v>1446</v>
      </c>
      <c r="B674" s="505"/>
      <c r="C674" s="504">
        <v>0.45996135348677436</v>
      </c>
      <c r="D674" s="503">
        <v>0.15222389213328752</v>
      </c>
      <c r="E674" s="503">
        <v>14.234781861903127</v>
      </c>
      <c r="F674" s="502">
        <v>12.96808055650979</v>
      </c>
      <c r="G674" s="501">
        <v>901.26910855376161</v>
      </c>
      <c r="H674" s="502">
        <v>5.6584197870147719</v>
      </c>
      <c r="I674" s="503">
        <v>17.995562950875986</v>
      </c>
      <c r="J674" s="501">
        <v>129.9939024390244</v>
      </c>
      <c r="K674" s="500">
        <v>23.693619031260734</v>
      </c>
      <c r="L674" s="499">
        <v>1.701766575060117</v>
      </c>
      <c r="M674" s="499">
        <v>0.35753134661628305</v>
      </c>
      <c r="N674" s="499">
        <v>0.73950060116798355</v>
      </c>
      <c r="O674" s="498">
        <v>4.1302344555135688</v>
      </c>
      <c r="P674" s="501">
        <v>303.0886293369976</v>
      </c>
      <c r="Q674" s="501">
        <v>51.822011336310538</v>
      </c>
      <c r="R674" s="499">
        <v>0</v>
      </c>
      <c r="S674" s="497">
        <v>1.4371564754379939E-2</v>
      </c>
      <c r="T674" s="497"/>
      <c r="U674" s="497">
        <v>8.1297406389556848E-2</v>
      </c>
      <c r="V674" s="501">
        <v>6136.5428546891098</v>
      </c>
      <c r="W674" s="502">
        <v>4.7829482995534187</v>
      </c>
      <c r="X674" s="503">
        <v>12.09771083819993</v>
      </c>
      <c r="Y674" s="503">
        <v>6.8823943661971843</v>
      </c>
      <c r="Z674" s="502">
        <v>2.1497936705599452</v>
      </c>
      <c r="AA674" s="502">
        <v>0.92526524390243914</v>
      </c>
      <c r="AB674" s="496">
        <v>0.44478963414634148</v>
      </c>
      <c r="AC674" s="502">
        <v>1.6850682755066986</v>
      </c>
      <c r="AD674" s="504">
        <v>0.23640544486430776</v>
      </c>
      <c r="AE674" s="502">
        <v>1.6049441772586739</v>
      </c>
      <c r="AF674" s="502">
        <v>0.18643799381655787</v>
      </c>
      <c r="AG674" s="503">
        <v>0.81668928203366542</v>
      </c>
      <c r="AH674" s="503">
        <v>4.7036241841291648</v>
      </c>
      <c r="AI674" s="503">
        <v>1.6556080384747509</v>
      </c>
      <c r="AJ674" s="502">
        <v>0.67162379766403291</v>
      </c>
      <c r="AK674" s="502">
        <v>0.22875644108553761</v>
      </c>
      <c r="AL674" s="502">
        <v>232.88</v>
      </c>
    </row>
    <row r="675" spans="1:132" s="2" customFormat="1" x14ac:dyDescent="0.2">
      <c r="A675" s="496"/>
      <c r="B675" s="505"/>
      <c r="C675" s="504"/>
      <c r="D675" s="503"/>
      <c r="E675" s="503"/>
      <c r="F675" s="502"/>
      <c r="G675" s="501"/>
      <c r="H675" s="502"/>
      <c r="I675" s="503"/>
      <c r="J675" s="501"/>
      <c r="K675" s="500"/>
      <c r="L675" s="499"/>
      <c r="M675" s="499"/>
      <c r="N675" s="499"/>
      <c r="O675" s="498"/>
      <c r="P675" s="501"/>
      <c r="Q675" s="501"/>
      <c r="R675" s="499"/>
      <c r="S675" s="497"/>
      <c r="T675" s="497"/>
      <c r="U675" s="497"/>
      <c r="V675" s="501"/>
      <c r="W675" s="502"/>
      <c r="X675" s="503"/>
      <c r="Y675" s="503"/>
      <c r="Z675" s="502"/>
      <c r="AA675" s="502"/>
      <c r="AB675" s="496"/>
      <c r="AC675" s="502"/>
      <c r="AD675" s="504"/>
      <c r="AE675" s="502"/>
      <c r="AF675" s="502"/>
      <c r="AG675" s="503"/>
      <c r="AH675" s="503"/>
      <c r="AI675" s="503"/>
      <c r="AJ675" s="502"/>
      <c r="AK675" s="502"/>
      <c r="AL675" s="502"/>
    </row>
    <row r="676" spans="1:132" s="2" customFormat="1" x14ac:dyDescent="0.2">
      <c r="A676" s="496"/>
      <c r="B676" s="505"/>
      <c r="C676" s="504"/>
      <c r="D676" s="503"/>
      <c r="E676" s="503"/>
      <c r="F676" s="502"/>
      <c r="G676" s="501"/>
      <c r="H676" s="502"/>
      <c r="I676" s="503"/>
      <c r="J676" s="501"/>
      <c r="K676" s="498"/>
      <c r="L676" s="499"/>
      <c r="M676" s="499"/>
      <c r="N676" s="499"/>
      <c r="O676" s="498"/>
      <c r="P676" s="501"/>
      <c r="Q676" s="501"/>
      <c r="R676" s="499"/>
      <c r="S676" s="497"/>
      <c r="T676" s="497"/>
      <c r="U676" s="497"/>
      <c r="V676" s="501"/>
      <c r="W676" s="502"/>
      <c r="X676" s="503"/>
      <c r="Y676" s="503"/>
      <c r="Z676" s="502"/>
      <c r="AA676" s="502"/>
      <c r="AB676" s="502"/>
      <c r="AC676" s="502"/>
      <c r="AD676" s="504"/>
      <c r="AE676" s="502"/>
      <c r="AF676" s="502"/>
      <c r="AG676" s="503"/>
      <c r="AH676" s="503"/>
      <c r="AI676" s="503"/>
      <c r="AJ676" s="502"/>
      <c r="AK676" s="502"/>
      <c r="AL676" s="502"/>
    </row>
    <row r="680" spans="1:132" s="576" customFormat="1" x14ac:dyDescent="0.2">
      <c r="A680" s="576" t="s">
        <v>963</v>
      </c>
      <c r="E680" s="576">
        <v>0</v>
      </c>
      <c r="H680" s="577"/>
      <c r="I680" s="416"/>
      <c r="J680" s="416"/>
      <c r="K680" s="552">
        <v>0.12292603455810101</v>
      </c>
      <c r="L680" s="416">
        <v>5.1719768405233051</v>
      </c>
      <c r="M680" s="417"/>
      <c r="N680" s="416"/>
      <c r="O680" s="578">
        <v>15.646773279898268</v>
      </c>
      <c r="P680" s="552">
        <v>0.3624814165430339</v>
      </c>
      <c r="Q680" s="552">
        <v>4.6350552012485301E-2</v>
      </c>
      <c r="R680" s="552"/>
      <c r="W680" s="418"/>
      <c r="X680" s="418"/>
      <c r="Y680" s="418"/>
      <c r="Z680" s="418"/>
      <c r="AA680" s="418"/>
      <c r="AB680" s="418"/>
      <c r="AI680" s="577">
        <v>12.462163542128284</v>
      </c>
      <c r="AJ680" s="579">
        <v>841.03745592570476</v>
      </c>
      <c r="AL680" s="580">
        <v>13.699860310976666</v>
      </c>
      <c r="AM680" s="579">
        <v>89.912660642376849</v>
      </c>
      <c r="AN680" s="581">
        <v>9.8249725438816213</v>
      </c>
      <c r="AO680" s="580"/>
      <c r="AQ680" s="577">
        <v>0.34307277316429358</v>
      </c>
      <c r="AR680" s="577">
        <v>0.25961869713492997</v>
      </c>
      <c r="AS680" s="577">
        <v>0.47727558235872142</v>
      </c>
      <c r="AT680" s="580">
        <v>1.0753106876553438</v>
      </c>
      <c r="AU680" s="579">
        <v>1364.4699524093946</v>
      </c>
      <c r="AW680" s="579">
        <v>32.326641105181018</v>
      </c>
      <c r="AX680" s="577"/>
      <c r="AY680" s="577"/>
      <c r="AZ680" s="580">
        <v>0</v>
      </c>
      <c r="BA680" s="577"/>
      <c r="BB680" s="577"/>
      <c r="BC680" s="577"/>
      <c r="BD680" s="577">
        <v>1.8997842045432652E-2</v>
      </c>
      <c r="BE680" s="577"/>
      <c r="BF680" s="577"/>
      <c r="BG680" s="577">
        <v>2.8599622357950712E-2</v>
      </c>
      <c r="BH680" s="579">
        <v>202.21144101269726</v>
      </c>
      <c r="BI680" s="577">
        <v>2.3403202250438331</v>
      </c>
      <c r="BJ680" s="580">
        <v>6.2257522976435915</v>
      </c>
      <c r="BL680" s="580">
        <v>3.8051694572358921</v>
      </c>
      <c r="BM680" s="577">
        <v>1.1459925242288203</v>
      </c>
      <c r="BN680" s="552">
        <v>0.82608581722895513</v>
      </c>
      <c r="BO680" s="577"/>
      <c r="BP680" s="577">
        <v>0.24992765071963935</v>
      </c>
      <c r="BU680" s="577">
        <v>0.99986566732818261</v>
      </c>
      <c r="BV680" s="577">
        <v>0.14203797614689503</v>
      </c>
      <c r="BW680" s="577">
        <v>0.82489258395791998</v>
      </c>
      <c r="BX680" s="577">
        <v>0.10936084083158321</v>
      </c>
      <c r="BY680" s="577">
        <v>6.0080345272730783E-2</v>
      </c>
      <c r="BZ680" s="580">
        <v>3.8542417294464464</v>
      </c>
      <c r="CA680" s="580">
        <v>1.32043120556444</v>
      </c>
      <c r="CE680" s="577">
        <v>0.36006843798770738</v>
      </c>
      <c r="CF680" s="577">
        <v>0.17317506406427624</v>
      </c>
      <c r="CG680" s="580">
        <v>519.01</v>
      </c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</row>
    <row r="681" spans="1:132" s="576" customFormat="1" x14ac:dyDescent="0.2">
      <c r="A681" s="576" t="s">
        <v>1446</v>
      </c>
      <c r="E681" s="576">
        <v>0</v>
      </c>
      <c r="H681" s="577"/>
      <c r="I681" s="416"/>
      <c r="J681" s="416"/>
      <c r="K681" s="552">
        <v>0.1317294929062178</v>
      </c>
      <c r="L681" s="416">
        <v>5.6584197870147719</v>
      </c>
      <c r="M681" s="417"/>
      <c r="N681" s="416"/>
      <c r="O681" s="578">
        <v>14.234781861903127</v>
      </c>
      <c r="P681" s="552">
        <v>0.45996135348677436</v>
      </c>
      <c r="Q681" s="552">
        <v>0.15222389213328752</v>
      </c>
      <c r="R681" s="552"/>
      <c r="W681" s="418"/>
      <c r="X681" s="418"/>
      <c r="Y681" s="418"/>
      <c r="Z681" s="418"/>
      <c r="AA681" s="418"/>
      <c r="AB681" s="418"/>
      <c r="AI681" s="577">
        <v>12.96808055650979</v>
      </c>
      <c r="AJ681" s="579">
        <v>901.26910855376161</v>
      </c>
      <c r="AL681" s="580">
        <v>17.995562950875986</v>
      </c>
      <c r="AM681" s="579">
        <v>129.9939024390244</v>
      </c>
      <c r="AN681" s="581">
        <v>23.693619031260734</v>
      </c>
      <c r="AO681" s="580"/>
      <c r="AQ681" s="577">
        <v>1.701766575060117</v>
      </c>
      <c r="AR681" s="577">
        <v>0.35753134661628305</v>
      </c>
      <c r="AS681" s="577">
        <v>0.73950060116798355</v>
      </c>
      <c r="AT681" s="580">
        <v>4.1302344555135688</v>
      </c>
      <c r="AU681" s="579">
        <v>303.0886293369976</v>
      </c>
      <c r="AW681" s="579">
        <v>51.822011336310538</v>
      </c>
      <c r="AX681" s="577"/>
      <c r="AY681" s="577"/>
      <c r="AZ681" s="580">
        <v>0</v>
      </c>
      <c r="BA681" s="577"/>
      <c r="BB681" s="577"/>
      <c r="BC681" s="577"/>
      <c r="BD681" s="577">
        <v>1.4371564754379939E-2</v>
      </c>
      <c r="BE681" s="577"/>
      <c r="BF681" s="577"/>
      <c r="BG681" s="577">
        <v>8.1297406389556848E-2</v>
      </c>
      <c r="BH681" s="579">
        <v>6136.5428546891098</v>
      </c>
      <c r="BI681" s="577">
        <v>4.7829482995534187</v>
      </c>
      <c r="BJ681" s="580">
        <v>12.09771083819993</v>
      </c>
      <c r="BL681" s="580">
        <v>6.8823943661971843</v>
      </c>
      <c r="BM681" s="577">
        <v>2.1497936705599452</v>
      </c>
      <c r="BN681" s="552">
        <v>0.92526524390243914</v>
      </c>
      <c r="BO681" s="577"/>
      <c r="BP681" s="577">
        <v>0.44478963414634148</v>
      </c>
      <c r="BU681" s="577">
        <v>1.6850682755066986</v>
      </c>
      <c r="BV681" s="577">
        <v>0.23640544486430776</v>
      </c>
      <c r="BW681" s="577">
        <v>1.6049441772586739</v>
      </c>
      <c r="BX681" s="577">
        <v>0.18643799381655787</v>
      </c>
      <c r="BY681" s="577">
        <v>0.81668928203366542</v>
      </c>
      <c r="BZ681" s="580">
        <v>4.7036241841291648</v>
      </c>
      <c r="CA681" s="580">
        <v>1.6556080384747509</v>
      </c>
      <c r="CE681" s="577">
        <v>0.67162379766403291</v>
      </c>
      <c r="CF681" s="577">
        <v>0.22875644108553761</v>
      </c>
      <c r="CG681" s="580">
        <v>232.88</v>
      </c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</row>
    <row r="682" spans="1:132" s="576" customFormat="1" x14ac:dyDescent="0.2">
      <c r="A682" s="576">
        <v>0</v>
      </c>
      <c r="E682" s="576">
        <v>0</v>
      </c>
      <c r="H682" s="577"/>
      <c r="I682" s="416"/>
      <c r="J682" s="416"/>
      <c r="K682" s="552">
        <v>0</v>
      </c>
      <c r="L682" s="416">
        <v>0</v>
      </c>
      <c r="M682" s="417"/>
      <c r="N682" s="416"/>
      <c r="O682" s="578">
        <v>0</v>
      </c>
      <c r="P682" s="552">
        <v>0</v>
      </c>
      <c r="Q682" s="552">
        <v>0</v>
      </c>
      <c r="R682" s="552"/>
      <c r="W682" s="418"/>
      <c r="X682" s="418"/>
      <c r="Y682" s="418"/>
      <c r="Z682" s="418"/>
      <c r="AA682" s="418"/>
      <c r="AB682" s="418"/>
      <c r="AI682" s="577">
        <v>0</v>
      </c>
      <c r="AJ682" s="579">
        <v>0</v>
      </c>
      <c r="AL682" s="580">
        <v>0</v>
      </c>
      <c r="AM682" s="579">
        <v>0</v>
      </c>
      <c r="AN682" s="581">
        <v>0</v>
      </c>
      <c r="AO682" s="580"/>
      <c r="AQ682" s="577">
        <v>0</v>
      </c>
      <c r="AR682" s="577">
        <v>0</v>
      </c>
      <c r="AS682" s="577">
        <v>0</v>
      </c>
      <c r="AT682" s="580">
        <v>0</v>
      </c>
      <c r="AU682" s="579">
        <v>0</v>
      </c>
      <c r="AW682" s="579">
        <v>0</v>
      </c>
      <c r="AX682" s="577"/>
      <c r="AY682" s="577"/>
      <c r="AZ682" s="580">
        <v>0</v>
      </c>
      <c r="BA682" s="577"/>
      <c r="BB682" s="577"/>
      <c r="BC682" s="577"/>
      <c r="BD682" s="577">
        <v>0</v>
      </c>
      <c r="BE682" s="577"/>
      <c r="BF682" s="577"/>
      <c r="BG682" s="577">
        <v>0</v>
      </c>
      <c r="BH682" s="579">
        <v>0</v>
      </c>
      <c r="BI682" s="577">
        <v>0</v>
      </c>
      <c r="BJ682" s="580">
        <v>0</v>
      </c>
      <c r="BL682" s="580">
        <v>0</v>
      </c>
      <c r="BM682" s="577">
        <v>0</v>
      </c>
      <c r="BN682" s="552">
        <v>0</v>
      </c>
      <c r="BO682" s="577"/>
      <c r="BP682" s="577">
        <v>0</v>
      </c>
      <c r="BU682" s="577">
        <v>0</v>
      </c>
      <c r="BV682" s="577">
        <v>0</v>
      </c>
      <c r="BW682" s="577">
        <v>0</v>
      </c>
      <c r="BX682" s="577">
        <v>0</v>
      </c>
      <c r="BY682" s="577">
        <v>0</v>
      </c>
      <c r="BZ682" s="580">
        <v>0</v>
      </c>
      <c r="CA682" s="580">
        <v>0</v>
      </c>
      <c r="CE682" s="577">
        <v>0</v>
      </c>
      <c r="CF682" s="577">
        <v>0</v>
      </c>
      <c r="CG682" s="580">
        <v>0</v>
      </c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</row>
    <row r="683" spans="1:132" s="576" customFormat="1" x14ac:dyDescent="0.2">
      <c r="A683" s="576">
        <v>0</v>
      </c>
      <c r="H683" s="577"/>
      <c r="I683" s="416"/>
      <c r="J683" s="416"/>
      <c r="K683" s="552">
        <v>0</v>
      </c>
      <c r="L683" s="416">
        <v>0</v>
      </c>
      <c r="M683" s="417"/>
      <c r="N683" s="416"/>
      <c r="O683" s="578">
        <v>0</v>
      </c>
      <c r="P683" s="552">
        <v>0</v>
      </c>
      <c r="Q683" s="552">
        <v>0</v>
      </c>
      <c r="R683" s="552"/>
      <c r="W683" s="418"/>
      <c r="X683" s="418"/>
      <c r="Y683" s="418"/>
      <c r="Z683" s="418"/>
      <c r="AA683" s="418"/>
      <c r="AB683" s="418"/>
      <c r="AI683" s="577">
        <v>0</v>
      </c>
      <c r="AJ683" s="579">
        <v>0</v>
      </c>
      <c r="AL683" s="580">
        <v>0</v>
      </c>
      <c r="AM683" s="579">
        <v>0</v>
      </c>
      <c r="AN683" s="581">
        <v>0</v>
      </c>
      <c r="AO683" s="580"/>
      <c r="AQ683" s="577">
        <v>0</v>
      </c>
      <c r="AR683" s="577">
        <v>0</v>
      </c>
      <c r="AS683" s="577">
        <v>0</v>
      </c>
      <c r="AT683" s="580">
        <v>0</v>
      </c>
      <c r="AU683" s="579">
        <v>0</v>
      </c>
      <c r="AW683" s="579">
        <v>0</v>
      </c>
      <c r="AX683" s="577"/>
      <c r="AY683" s="577"/>
      <c r="AZ683" s="580">
        <v>0</v>
      </c>
      <c r="BA683" s="577"/>
      <c r="BB683" s="577"/>
      <c r="BC683" s="577"/>
      <c r="BD683" s="577">
        <v>0</v>
      </c>
      <c r="BE683" s="577"/>
      <c r="BF683" s="577"/>
      <c r="BG683" s="577">
        <v>0</v>
      </c>
      <c r="BH683" s="579">
        <v>0</v>
      </c>
      <c r="BI683" s="577">
        <v>0</v>
      </c>
      <c r="BJ683" s="580">
        <v>0</v>
      </c>
      <c r="BL683" s="580">
        <v>0</v>
      </c>
      <c r="BM683" s="577">
        <v>0</v>
      </c>
      <c r="BN683" s="552">
        <v>0</v>
      </c>
      <c r="BO683" s="577"/>
      <c r="BP683" s="577">
        <v>0</v>
      </c>
      <c r="BU683" s="577">
        <v>0</v>
      </c>
      <c r="BV683" s="577">
        <v>0</v>
      </c>
      <c r="BW683" s="577">
        <v>0</v>
      </c>
      <c r="BX683" s="577">
        <v>0</v>
      </c>
      <c r="BY683" s="577">
        <v>0</v>
      </c>
      <c r="BZ683" s="580">
        <v>0</v>
      </c>
      <c r="CA683" s="580">
        <v>0</v>
      </c>
      <c r="CE683" s="577">
        <v>0</v>
      </c>
      <c r="CF683" s="577">
        <v>0</v>
      </c>
      <c r="CG683" s="580">
        <v>0</v>
      </c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</row>
    <row r="685" spans="1:132" x14ac:dyDescent="0.2">
      <c r="A685" t="s">
        <v>43</v>
      </c>
      <c r="B685" s="50" t="s">
        <v>639</v>
      </c>
      <c r="C685">
        <v>1.8846369205886178E-2</v>
      </c>
    </row>
    <row r="686" spans="1:132" x14ac:dyDescent="0.2">
      <c r="A686" t="s">
        <v>43</v>
      </c>
      <c r="B686" s="50" t="s">
        <v>640</v>
      </c>
      <c r="C686">
        <v>5.5525736539191795E-2</v>
      </c>
    </row>
    <row r="687" spans="1:132" x14ac:dyDescent="0.2">
      <c r="A687" t="s">
        <v>42</v>
      </c>
      <c r="B687" t="s">
        <v>1251</v>
      </c>
      <c r="C687" s="32">
        <v>0.69135102649622027</v>
      </c>
    </row>
    <row r="689" spans="1:87" x14ac:dyDescent="0.2">
      <c r="A689" t="s">
        <v>44</v>
      </c>
      <c r="C689">
        <v>5.608573664301756E-2</v>
      </c>
    </row>
    <row r="690" spans="1:87" x14ac:dyDescent="0.2">
      <c r="A690" t="s">
        <v>44</v>
      </c>
      <c r="C690">
        <v>-2.0425780504900792E-2</v>
      </c>
    </row>
    <row r="691" spans="1:87" x14ac:dyDescent="0.2">
      <c r="A691" t="s">
        <v>44</v>
      </c>
      <c r="B691" t="s">
        <v>1251</v>
      </c>
      <c r="C691">
        <v>0.70433934905807194</v>
      </c>
    </row>
    <row r="693" spans="1:87" x14ac:dyDescent="0.2">
      <c r="A693" t="s">
        <v>45</v>
      </c>
      <c r="C693">
        <v>1.3694224962710654E-2</v>
      </c>
    </row>
    <row r="694" spans="1:87" x14ac:dyDescent="0.2">
      <c r="A694" t="s">
        <v>45</v>
      </c>
      <c r="C694">
        <v>6.0145253766241205E-3</v>
      </c>
    </row>
    <row r="695" spans="1:87" x14ac:dyDescent="0.2">
      <c r="A695" t="s">
        <v>45</v>
      </c>
      <c r="C695">
        <v>0.90132161026261126</v>
      </c>
    </row>
    <row r="700" spans="1:87" x14ac:dyDescent="0.2">
      <c r="A700" s="276"/>
      <c r="H700" s="41" t="s">
        <v>148</v>
      </c>
      <c r="I700" s="41" t="s">
        <v>149</v>
      </c>
      <c r="J700" s="41" t="s">
        <v>150</v>
      </c>
      <c r="K700" s="41" t="s">
        <v>151</v>
      </c>
      <c r="L700" s="41" t="s">
        <v>152</v>
      </c>
      <c r="M700" s="41" t="s">
        <v>153</v>
      </c>
      <c r="N700" s="41" t="s">
        <v>154</v>
      </c>
      <c r="O700" s="41" t="s">
        <v>156</v>
      </c>
      <c r="P700" s="41" t="s">
        <v>157</v>
      </c>
      <c r="Q700" s="41" t="s">
        <v>158</v>
      </c>
      <c r="R700" s="41" t="s">
        <v>261</v>
      </c>
      <c r="U700" s="41"/>
      <c r="V700" s="41"/>
      <c r="W700" s="41"/>
      <c r="AI700" s="41" t="s">
        <v>1349</v>
      </c>
      <c r="AJ700" s="41" t="s">
        <v>1350</v>
      </c>
      <c r="AK700" s="41" t="s">
        <v>305</v>
      </c>
      <c r="AL700" s="41" t="s">
        <v>165</v>
      </c>
      <c r="AM700" s="41" t="s">
        <v>166</v>
      </c>
      <c r="AN700" s="41" t="s">
        <v>262</v>
      </c>
      <c r="AO700" s="41" t="s">
        <v>306</v>
      </c>
      <c r="AT700" s="41" t="s">
        <v>263</v>
      </c>
      <c r="AU700" s="41" t="s">
        <v>1351</v>
      </c>
      <c r="AV700" s="41" t="s">
        <v>316</v>
      </c>
      <c r="AW700" s="41" t="s">
        <v>168</v>
      </c>
      <c r="AX700" s="41" t="s">
        <v>317</v>
      </c>
      <c r="AY700" s="41" t="s">
        <v>312</v>
      </c>
      <c r="BA700" s="41" t="s">
        <v>333</v>
      </c>
      <c r="BG700" s="41" t="s">
        <v>264</v>
      </c>
      <c r="BH700" s="41" t="s">
        <v>169</v>
      </c>
      <c r="BI700" s="41" t="s">
        <v>170</v>
      </c>
      <c r="BJ700" s="41" t="s">
        <v>171</v>
      </c>
      <c r="BK700" s="41" t="s">
        <v>320</v>
      </c>
      <c r="BL700" s="41" t="s">
        <v>172</v>
      </c>
      <c r="BM700" s="41" t="s">
        <v>173</v>
      </c>
      <c r="BN700" s="41" t="s">
        <v>174</v>
      </c>
      <c r="BO700" s="41" t="s">
        <v>313</v>
      </c>
      <c r="BP700" s="41" t="s">
        <v>175</v>
      </c>
      <c r="BQ700" s="41" t="s">
        <v>314</v>
      </c>
      <c r="BR700" s="41" t="s">
        <v>315</v>
      </c>
      <c r="BS700" s="41" t="s">
        <v>321</v>
      </c>
      <c r="BT700" s="41" t="s">
        <v>325</v>
      </c>
      <c r="BU700" s="41" t="s">
        <v>176</v>
      </c>
      <c r="BV700" s="41" t="s">
        <v>177</v>
      </c>
      <c r="BW700" s="41" t="s">
        <v>178</v>
      </c>
      <c r="BX700" s="41" t="s">
        <v>179</v>
      </c>
      <c r="BY700" s="41" t="s">
        <v>326</v>
      </c>
      <c r="BZ700" s="41" t="s">
        <v>182</v>
      </c>
      <c r="CA700" s="41" t="s">
        <v>183</v>
      </c>
      <c r="CB700" s="41"/>
      <c r="CC700" s="41" t="s">
        <v>322</v>
      </c>
      <c r="CE700" s="41"/>
      <c r="CF700" s="41"/>
      <c r="CG700" s="30"/>
      <c r="CI700" s="30"/>
    </row>
    <row r="703" spans="1:87" x14ac:dyDescent="0.2">
      <c r="A703" s="444" t="s">
        <v>1010</v>
      </c>
      <c r="D703" s="50" t="s">
        <v>1354</v>
      </c>
      <c r="E703">
        <v>140</v>
      </c>
      <c r="H703">
        <v>45.63</v>
      </c>
      <c r="I703">
        <v>0.246</v>
      </c>
      <c r="J703">
        <v>28.95</v>
      </c>
      <c r="K703">
        <v>8.8999999999999996E-2</v>
      </c>
      <c r="L703">
        <v>4.59</v>
      </c>
      <c r="M703">
        <v>6.8000000000000005E-2</v>
      </c>
      <c r="N703">
        <v>4.26</v>
      </c>
      <c r="O703">
        <v>16.32</v>
      </c>
      <c r="P703">
        <v>0.30299999999999999</v>
      </c>
      <c r="Q703">
        <v>0.11700000000000001</v>
      </c>
      <c r="R703">
        <v>3.6999999999999998E-2</v>
      </c>
      <c r="W703"/>
      <c r="AI703">
        <v>9.4700000000000006</v>
      </c>
      <c r="AJ703">
        <v>606</v>
      </c>
      <c r="AK703">
        <v>20.3</v>
      </c>
      <c r="AL703">
        <v>17</v>
      </c>
      <c r="AM703">
        <v>134</v>
      </c>
      <c r="AN703">
        <v>14.9</v>
      </c>
      <c r="AO703">
        <v>3.5</v>
      </c>
      <c r="AT703">
        <v>1.19</v>
      </c>
      <c r="AU703">
        <v>169</v>
      </c>
      <c r="AV703">
        <v>12.6</v>
      </c>
      <c r="AW703">
        <v>44.8</v>
      </c>
      <c r="AX703">
        <v>2.85</v>
      </c>
      <c r="AY703">
        <v>6.2E-2</v>
      </c>
      <c r="BA703" t="s">
        <v>1353</v>
      </c>
      <c r="BG703">
        <v>7.4999999999999997E-2</v>
      </c>
      <c r="BH703">
        <v>32.9</v>
      </c>
      <c r="BI703">
        <v>2.87</v>
      </c>
      <c r="BJ703">
        <v>7.18</v>
      </c>
      <c r="BK703">
        <v>1.04</v>
      </c>
      <c r="BL703">
        <v>4.58</v>
      </c>
      <c r="BM703">
        <v>1.31</v>
      </c>
      <c r="BN703">
        <v>0.84</v>
      </c>
      <c r="BO703">
        <v>1.56</v>
      </c>
      <c r="BP703">
        <v>0.28999999999999998</v>
      </c>
      <c r="BQ703">
        <v>1.91</v>
      </c>
      <c r="BR703">
        <v>0.4</v>
      </c>
      <c r="BS703">
        <v>1.19</v>
      </c>
      <c r="BT703">
        <v>0.17</v>
      </c>
      <c r="BU703">
        <v>1.1499999999999999</v>
      </c>
      <c r="BV703">
        <v>0.15</v>
      </c>
      <c r="BW703">
        <v>0.91</v>
      </c>
      <c r="BX703">
        <v>0.14000000000000001</v>
      </c>
      <c r="BY703">
        <v>0.09</v>
      </c>
      <c r="BZ703">
        <v>0.53</v>
      </c>
      <c r="CA703">
        <v>0.13</v>
      </c>
      <c r="CC703">
        <v>1.39</v>
      </c>
      <c r="CE703"/>
      <c r="CF703"/>
      <c r="CG703" s="30"/>
      <c r="CI703" s="30"/>
    </row>
    <row r="704" spans="1:87" x14ac:dyDescent="0.2">
      <c r="A704" s="444" t="s">
        <v>1011</v>
      </c>
      <c r="D704" s="50" t="s">
        <v>1354</v>
      </c>
      <c r="E704">
        <v>140</v>
      </c>
      <c r="H704">
        <v>45.02</v>
      </c>
      <c r="I704">
        <v>0.221</v>
      </c>
      <c r="J704">
        <v>29.3</v>
      </c>
      <c r="K704">
        <v>8.3000000000000004E-2</v>
      </c>
      <c r="L704">
        <v>4.3179999999999996</v>
      </c>
      <c r="M704">
        <v>6.0999999999999999E-2</v>
      </c>
      <c r="N704">
        <v>4.25</v>
      </c>
      <c r="O704">
        <v>16.14</v>
      </c>
      <c r="P704">
        <v>0.29699999999999999</v>
      </c>
      <c r="Q704">
        <v>2.1999999999999999E-2</v>
      </c>
      <c r="R704">
        <v>2.5999999999999999E-2</v>
      </c>
      <c r="W704"/>
      <c r="AI704">
        <v>8.33</v>
      </c>
      <c r="AJ704">
        <v>566</v>
      </c>
      <c r="AK704">
        <v>17.600000000000001</v>
      </c>
      <c r="AL704">
        <v>16.399999999999999</v>
      </c>
      <c r="AM704">
        <v>133</v>
      </c>
      <c r="AN704">
        <v>15.6</v>
      </c>
      <c r="AO704">
        <v>3.9</v>
      </c>
      <c r="AT704">
        <v>1.03</v>
      </c>
      <c r="AU704">
        <v>161</v>
      </c>
      <c r="AV704">
        <v>10.5</v>
      </c>
      <c r="AW704">
        <v>36.1</v>
      </c>
      <c r="AX704">
        <v>2.62</v>
      </c>
      <c r="AY704">
        <v>0.06</v>
      </c>
      <c r="BA704" t="s">
        <v>1353</v>
      </c>
      <c r="BG704">
        <v>5.0999999999999997E-2</v>
      </c>
      <c r="BH704">
        <v>28</v>
      </c>
      <c r="BI704">
        <v>2.77</v>
      </c>
      <c r="BJ704">
        <v>6.6</v>
      </c>
      <c r="BK704">
        <v>1</v>
      </c>
      <c r="BL704">
        <v>4.4400000000000004</v>
      </c>
      <c r="BM704">
        <v>1.26</v>
      </c>
      <c r="BN704">
        <v>0.91</v>
      </c>
      <c r="BO704">
        <v>1.5</v>
      </c>
      <c r="BP704">
        <v>0.28000000000000003</v>
      </c>
      <c r="BQ704">
        <v>1.85</v>
      </c>
      <c r="BR704">
        <v>0.39</v>
      </c>
      <c r="BS704">
        <v>1.17</v>
      </c>
      <c r="BT704">
        <v>0.16</v>
      </c>
      <c r="BU704">
        <v>1.1000000000000001</v>
      </c>
      <c r="BV704">
        <v>0.15</v>
      </c>
      <c r="BW704">
        <v>0.81</v>
      </c>
      <c r="BX704">
        <v>0.12</v>
      </c>
      <c r="BY704">
        <v>6.8000000000000005E-2</v>
      </c>
      <c r="BZ704">
        <v>0.48</v>
      </c>
      <c r="CA704">
        <v>0.12</v>
      </c>
      <c r="CC704">
        <v>1.17</v>
      </c>
      <c r="CE704"/>
      <c r="CF704"/>
      <c r="CG704" s="30"/>
      <c r="CI704" s="30"/>
    </row>
    <row r="705" spans="1:87" x14ac:dyDescent="0.2">
      <c r="A705" s="444" t="s">
        <v>103</v>
      </c>
      <c r="D705" s="50" t="s">
        <v>1354</v>
      </c>
      <c r="E705">
        <v>140</v>
      </c>
      <c r="H705">
        <v>44.24</v>
      </c>
      <c r="I705">
        <v>0.23499999999999999</v>
      </c>
      <c r="J705">
        <v>29.24</v>
      </c>
      <c r="K705">
        <v>0.1</v>
      </c>
      <c r="L705">
        <v>4.3899999999999997</v>
      </c>
      <c r="M705">
        <v>6.0999999999999999E-2</v>
      </c>
      <c r="N705">
        <v>4.13</v>
      </c>
      <c r="O705">
        <v>16.12</v>
      </c>
      <c r="P705">
        <v>0.309</v>
      </c>
      <c r="Q705">
        <v>2.9000000000000001E-2</v>
      </c>
      <c r="R705">
        <v>3.2000000000000001E-2</v>
      </c>
      <c r="W705"/>
      <c r="AI705">
        <v>8.58</v>
      </c>
      <c r="AJ705">
        <v>686</v>
      </c>
      <c r="AK705">
        <v>17.3</v>
      </c>
      <c r="AL705">
        <v>15.6</v>
      </c>
      <c r="AM705">
        <v>147</v>
      </c>
      <c r="AN705">
        <v>12.9</v>
      </c>
      <c r="AO705">
        <v>4.3</v>
      </c>
      <c r="AT705">
        <v>1</v>
      </c>
      <c r="AU705">
        <v>163</v>
      </c>
      <c r="AV705">
        <v>10.9</v>
      </c>
      <c r="AW705">
        <v>34</v>
      </c>
      <c r="AX705">
        <v>2.88</v>
      </c>
      <c r="AY705">
        <v>0.21</v>
      </c>
      <c r="BA705" t="s">
        <v>1353</v>
      </c>
      <c r="BG705">
        <v>3.7999999999999999E-2</v>
      </c>
      <c r="BH705">
        <v>30</v>
      </c>
      <c r="BI705">
        <v>2.82</v>
      </c>
      <c r="BJ705">
        <v>7.31</v>
      </c>
      <c r="BK705">
        <v>1.02</v>
      </c>
      <c r="BL705">
        <v>4.34</v>
      </c>
      <c r="BM705">
        <v>1.29</v>
      </c>
      <c r="BN705">
        <v>0.93</v>
      </c>
      <c r="BO705">
        <v>1.7</v>
      </c>
      <c r="BP705">
        <v>0.3</v>
      </c>
      <c r="BQ705">
        <v>1.85</v>
      </c>
      <c r="BR705">
        <v>0.41</v>
      </c>
      <c r="BS705">
        <v>1.2</v>
      </c>
      <c r="BT705">
        <v>0.18</v>
      </c>
      <c r="BU705">
        <v>1.1100000000000001</v>
      </c>
      <c r="BV705">
        <v>0.17</v>
      </c>
      <c r="BW705">
        <v>0.95</v>
      </c>
      <c r="BX705">
        <v>0.18</v>
      </c>
      <c r="BY705">
        <v>0.15</v>
      </c>
      <c r="BZ705">
        <v>0.45</v>
      </c>
      <c r="CA705">
        <v>0.13</v>
      </c>
      <c r="CC705">
        <v>0.15</v>
      </c>
      <c r="CE705"/>
      <c r="CF705"/>
      <c r="CG705" s="30"/>
      <c r="CI705" s="30"/>
    </row>
  </sheetData>
  <sortState xmlns:xlrd2="http://schemas.microsoft.com/office/spreadsheetml/2017/richdata2" ref="A55:EB68">
    <sortCondition ref="A55:A68"/>
    <sortCondition ref="D55:D68"/>
  </sortState>
  <mergeCells count="1">
    <mergeCell ref="A651:A652"/>
  </mergeCells>
  <phoneticPr fontId="0" type="noConversion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indexed="27"/>
  </sheetPr>
  <dimension ref="A1:BU427"/>
  <sheetViews>
    <sheetView zoomScale="130" workbookViewId="0">
      <pane xSplit="2" ySplit="1" topLeftCell="C34" activePane="bottomRight" state="frozen"/>
      <selection pane="topRight" activeCell="C1" sqref="C1"/>
      <selection pane="bottomLeft" activeCell="A2" sqref="A2"/>
      <selection pane="bottomRight" activeCell="M63" sqref="M63"/>
    </sheetView>
  </sheetViews>
  <sheetFormatPr defaultColWidth="14.6640625" defaultRowHeight="12.75" x14ac:dyDescent="0.2"/>
  <cols>
    <col min="1" max="1" width="27.1640625" style="50" customWidth="1"/>
    <col min="2" max="2" width="14.6640625" style="50" customWidth="1"/>
    <col min="3" max="3" width="23.5" style="50" customWidth="1"/>
    <col min="4" max="4" width="7.83203125" style="50" customWidth="1"/>
    <col min="5" max="5" width="8.5" style="38" bestFit="1" customWidth="1"/>
    <col min="6" max="6" width="5.83203125" style="38" customWidth="1"/>
    <col min="7" max="7" width="7" style="38" customWidth="1"/>
    <col min="8" max="8" width="8" style="49" customWidth="1"/>
    <col min="9" max="9" width="7.83203125" style="38" customWidth="1"/>
    <col min="10" max="10" width="6.83203125" style="49" hidden="1" customWidth="1"/>
    <col min="11" max="11" width="7" style="38" hidden="1" customWidth="1"/>
    <col min="12" max="12" width="6.83203125" style="38" hidden="1" customWidth="1"/>
    <col min="13" max="13" width="6.33203125" style="49" customWidth="1"/>
    <col min="14" max="14" width="6.6640625" style="49" hidden="1" customWidth="1"/>
    <col min="15" max="15" width="7.33203125" style="49" hidden="1" customWidth="1"/>
    <col min="16" max="16" width="6.83203125" style="50" hidden="1" customWidth="1"/>
    <col min="17" max="17" width="8.83203125" style="38" hidden="1" customWidth="1"/>
    <col min="18" max="18" width="7.5" style="50" hidden="1" customWidth="1"/>
    <col min="19" max="19" width="9" style="50" hidden="1" customWidth="1"/>
    <col min="20" max="20" width="6" style="50" customWidth="1"/>
    <col min="21" max="21" width="5.83203125" style="76" hidden="1" customWidth="1"/>
    <col min="22" max="22" width="6.83203125" style="50" hidden="1" customWidth="1"/>
    <col min="23" max="23" width="7.5" style="50" customWidth="1"/>
    <col min="24" max="24" width="7.5" style="39" customWidth="1"/>
    <col min="25" max="25" width="7.33203125" style="76" hidden="1" customWidth="1"/>
    <col min="26" max="29" width="5.83203125" style="50" hidden="1" customWidth="1"/>
    <col min="30" max="30" width="6.1640625" style="50" hidden="1" customWidth="1"/>
    <col min="31" max="35" width="6.6640625" style="50" hidden="1" customWidth="1"/>
    <col min="36" max="36" width="6.83203125" style="38" hidden="1" customWidth="1"/>
    <col min="37" max="37" width="6.6640625" style="76" customWidth="1"/>
    <col min="38" max="38" width="5.83203125" style="50" hidden="1" customWidth="1"/>
    <col min="39" max="41" width="6.6640625" style="50" hidden="1" customWidth="1"/>
    <col min="42" max="45" width="5.83203125" style="50" customWidth="1"/>
    <col min="46" max="46" width="6.5" style="50" customWidth="1"/>
    <col min="47" max="49" width="5.83203125" style="50" customWidth="1"/>
    <col min="50" max="50" width="6.6640625" style="50" customWidth="1"/>
    <col min="51" max="51" width="5.83203125" style="49" customWidth="1"/>
    <col min="52" max="54" width="5.6640625" style="50" customWidth="1"/>
    <col min="55" max="55" width="5.83203125" style="50" customWidth="1"/>
    <col min="56" max="56" width="4.83203125" style="50" customWidth="1"/>
    <col min="57" max="57" width="5.6640625" style="50" customWidth="1"/>
    <col min="58" max="58" width="5.83203125" style="50" customWidth="1"/>
    <col min="59" max="59" width="8.6640625" style="50" customWidth="1"/>
    <col min="60" max="61" width="14.6640625" style="50" customWidth="1"/>
    <col min="62" max="64" width="9" style="49" customWidth="1"/>
    <col min="65" max="65" width="5.6640625" style="50" customWidth="1"/>
    <col min="66" max="66" width="6.5" style="50" customWidth="1"/>
    <col min="67" max="67" width="6" style="50" customWidth="1"/>
    <col min="68" max="70" width="8.83203125" style="50" customWidth="1"/>
    <col min="71" max="16384" width="14.6640625" style="50"/>
  </cols>
  <sheetData>
    <row r="1" spans="1:70" s="36" customFormat="1" x14ac:dyDescent="0.2">
      <c r="D1" s="58" t="s">
        <v>159</v>
      </c>
      <c r="E1" s="124" t="s">
        <v>148</v>
      </c>
      <c r="F1" s="124" t="s">
        <v>149</v>
      </c>
      <c r="G1" s="124" t="s">
        <v>150</v>
      </c>
      <c r="H1" s="119" t="s">
        <v>151</v>
      </c>
      <c r="I1" s="124" t="s">
        <v>152</v>
      </c>
      <c r="J1" s="119" t="s">
        <v>153</v>
      </c>
      <c r="K1" s="124" t="s">
        <v>154</v>
      </c>
      <c r="L1" s="124" t="s">
        <v>156</v>
      </c>
      <c r="M1" s="119" t="s">
        <v>157</v>
      </c>
      <c r="N1" s="119" t="s">
        <v>158</v>
      </c>
      <c r="O1" s="119" t="s">
        <v>261</v>
      </c>
      <c r="P1" s="58" t="s">
        <v>159</v>
      </c>
      <c r="Q1" s="817" t="s">
        <v>160</v>
      </c>
      <c r="R1" s="58" t="s">
        <v>157</v>
      </c>
      <c r="S1" s="58" t="s">
        <v>156</v>
      </c>
      <c r="T1" s="58" t="s">
        <v>162</v>
      </c>
      <c r="U1" s="125" t="s">
        <v>305</v>
      </c>
      <c r="V1" s="58" t="s">
        <v>163</v>
      </c>
      <c r="W1" s="58" t="s">
        <v>152</v>
      </c>
      <c r="X1" s="123" t="s">
        <v>165</v>
      </c>
      <c r="Y1" s="125" t="s">
        <v>166</v>
      </c>
      <c r="Z1" s="58" t="s">
        <v>262</v>
      </c>
      <c r="AA1" s="58" t="s">
        <v>306</v>
      </c>
      <c r="AB1" s="58" t="s">
        <v>307</v>
      </c>
      <c r="AC1" s="58" t="s">
        <v>309</v>
      </c>
      <c r="AD1" s="58" t="s">
        <v>263</v>
      </c>
      <c r="AE1" s="58" t="s">
        <v>167</v>
      </c>
      <c r="AF1" s="58" t="s">
        <v>316</v>
      </c>
      <c r="AG1" s="58" t="s">
        <v>168</v>
      </c>
      <c r="AH1" s="58" t="s">
        <v>317</v>
      </c>
      <c r="AI1" s="58" t="s">
        <v>319</v>
      </c>
      <c r="AJ1" s="124" t="s">
        <v>264</v>
      </c>
      <c r="AK1" s="125" t="s">
        <v>169</v>
      </c>
      <c r="AL1" s="382" t="s">
        <v>170</v>
      </c>
      <c r="AM1" s="382" t="s">
        <v>171</v>
      </c>
      <c r="AN1" s="382" t="s">
        <v>320</v>
      </c>
      <c r="AO1" s="382" t="s">
        <v>172</v>
      </c>
      <c r="AP1" s="382" t="s">
        <v>173</v>
      </c>
      <c r="AQ1" s="382" t="s">
        <v>174</v>
      </c>
      <c r="AR1" s="382" t="s">
        <v>313</v>
      </c>
      <c r="AS1" s="382" t="s">
        <v>175</v>
      </c>
      <c r="AT1" s="382" t="s">
        <v>314</v>
      </c>
      <c r="AU1" s="382" t="s">
        <v>315</v>
      </c>
      <c r="AV1" s="382" t="s">
        <v>321</v>
      </c>
      <c r="AW1" s="382" t="s">
        <v>325</v>
      </c>
      <c r="AX1" s="382" t="s">
        <v>176</v>
      </c>
      <c r="AY1" s="383" t="s">
        <v>177</v>
      </c>
      <c r="AZ1" s="58" t="s">
        <v>178</v>
      </c>
      <c r="BA1" s="58" t="s">
        <v>179</v>
      </c>
      <c r="BB1" s="58" t="s">
        <v>326</v>
      </c>
      <c r="BC1" s="58" t="s">
        <v>180</v>
      </c>
      <c r="BD1" s="58" t="s">
        <v>265</v>
      </c>
      <c r="BE1" s="58" t="s">
        <v>182</v>
      </c>
      <c r="BF1" s="58" t="s">
        <v>183</v>
      </c>
      <c r="BG1" s="58" t="s">
        <v>186</v>
      </c>
      <c r="BI1" s="58" t="s">
        <v>161</v>
      </c>
      <c r="BJ1" s="119" t="s">
        <v>472</v>
      </c>
      <c r="BK1" s="119" t="s">
        <v>160</v>
      </c>
      <c r="BL1" s="119" t="s">
        <v>686</v>
      </c>
      <c r="BM1" s="58" t="s">
        <v>554</v>
      </c>
      <c r="BN1" s="58" t="s">
        <v>481</v>
      </c>
      <c r="BO1" s="119" t="s">
        <v>482</v>
      </c>
      <c r="BP1" s="58" t="s">
        <v>329</v>
      </c>
      <c r="BQ1" s="58" t="s">
        <v>330</v>
      </c>
      <c r="BR1" s="58" t="s">
        <v>331</v>
      </c>
    </row>
    <row r="2" spans="1:70" x14ac:dyDescent="0.2">
      <c r="A2" s="50" t="s">
        <v>142</v>
      </c>
      <c r="B2" s="36" t="s">
        <v>1318</v>
      </c>
      <c r="C2" s="50" t="s">
        <v>266</v>
      </c>
      <c r="E2" s="38" t="s">
        <v>224</v>
      </c>
      <c r="F2" s="38">
        <f>0.44*1.6683</f>
        <v>0.73405199999999993</v>
      </c>
      <c r="G2" s="38">
        <f>11.2*1.8895</f>
        <v>21.162399999999998</v>
      </c>
      <c r="H2" s="49">
        <f>V2*1.4616/10000</f>
        <v>0.19015415999999999</v>
      </c>
      <c r="I2" s="38">
        <f>7.85*1.2865</f>
        <v>10.099024999999999</v>
      </c>
      <c r="J2" s="49">
        <f>0.1133*1.2912</f>
        <v>0.14629296</v>
      </c>
      <c r="K2" s="48">
        <f>I2*BJ$5</f>
        <v>7.9562890569832891</v>
      </c>
      <c r="L2" s="38">
        <f>9.81*1.3992</f>
        <v>13.726152000000001</v>
      </c>
      <c r="M2" s="49">
        <f>0.359*1.348</f>
        <v>0.48393200000000003</v>
      </c>
      <c r="N2" s="49">
        <f>0.204*1.2046</f>
        <v>0.24573839999999997</v>
      </c>
      <c r="Q2" s="38">
        <f>100*(K2/40.304)/(K2/40.304+I2/71.846)</f>
        <v>58.409287572380627</v>
      </c>
      <c r="R2" s="49"/>
      <c r="S2" s="45"/>
      <c r="T2" s="39">
        <v>22.49</v>
      </c>
      <c r="U2" s="76">
        <v>54</v>
      </c>
      <c r="V2" s="76">
        <v>1301</v>
      </c>
      <c r="W2" s="39"/>
      <c r="X2" s="39">
        <v>25.11</v>
      </c>
      <c r="Y2" s="76">
        <v>273</v>
      </c>
      <c r="Z2" s="49"/>
      <c r="AA2" s="49"/>
      <c r="AB2" s="49"/>
      <c r="AC2" s="49"/>
      <c r="AD2" s="49"/>
      <c r="AE2" s="49"/>
      <c r="AF2" s="49"/>
      <c r="AG2" s="49"/>
      <c r="AH2" s="49"/>
      <c r="AI2" s="49"/>
      <c r="AL2" s="39">
        <v>21.09</v>
      </c>
      <c r="AM2" s="39">
        <v>53</v>
      </c>
      <c r="AN2" s="199">
        <f>89.1*EXP((LN(AL2/234.7)+2*LN(AO2/452.4))/3)</f>
        <v>6.2889010311931584</v>
      </c>
      <c r="AO2" s="39">
        <v>28.3</v>
      </c>
      <c r="AP2" s="38">
        <v>9.3000000000000007</v>
      </c>
      <c r="AQ2" s="38">
        <v>1.1990000000000001</v>
      </c>
      <c r="AR2" s="200">
        <f>AVERAGE(BP2:BR2)</f>
        <v>11.15360285154266</v>
      </c>
      <c r="AS2" s="38">
        <v>2.0099999999999998</v>
      </c>
      <c r="AT2" s="38">
        <v>13.23</v>
      </c>
      <c r="AU2" s="38">
        <v>2.83</v>
      </c>
      <c r="AV2" s="200">
        <f>(158.9*10^((2*LOG10(AS2/36.3)+3*LOG10(AX2/162.5))/5)+158.9*10^((2*LOG10(AP2/147.1)+6*LOG10(AX2/162.5))/8))/2</f>
        <v>7.925263256685259</v>
      </c>
      <c r="AW2" s="38">
        <v>1.6</v>
      </c>
      <c r="AX2" s="38">
        <v>7.52</v>
      </c>
      <c r="AY2" s="49">
        <v>1.036</v>
      </c>
      <c r="AZ2" s="38">
        <v>7.69</v>
      </c>
      <c r="BA2" s="38">
        <v>0.96599999999999997</v>
      </c>
      <c r="BB2" s="39"/>
      <c r="BC2" s="39">
        <v>3</v>
      </c>
      <c r="BD2" s="39">
        <v>3</v>
      </c>
      <c r="BE2" s="38">
        <v>4.4000000000000004</v>
      </c>
      <c r="BF2" s="38">
        <v>1.24</v>
      </c>
      <c r="BG2" s="39">
        <v>18.100000000000001</v>
      </c>
      <c r="BP2" s="116">
        <f>196.6*10^(LOG10(AP2/147.1)+(LOG10(AP2/147.1)-LOG10(AL2/234.7))*0.4)</f>
        <v>10.798825007742737</v>
      </c>
      <c r="BQ2" s="116">
        <f>196.6*10^(LOG10(AP2/147.1)+0.6666*(LOG10(AS2/36.3)-LOG10(AP2/147.1)))</f>
        <v>11.378117100188538</v>
      </c>
      <c r="BR2" s="116">
        <f>196.6*10^(LOG10(AS2/36.3)-(LOG10(AX2/162.5)-LOG10(AS2/36.3))/5)</f>
        <v>11.283866446696708</v>
      </c>
    </row>
    <row r="3" spans="1:70" x14ac:dyDescent="0.2">
      <c r="A3" s="50" t="s">
        <v>142</v>
      </c>
      <c r="B3" s="36" t="s">
        <v>1318</v>
      </c>
      <c r="C3" s="50" t="s">
        <v>266</v>
      </c>
      <c r="E3" s="38" t="s">
        <v>224</v>
      </c>
      <c r="F3" s="38">
        <f>0.59*1.6683</f>
        <v>0.98429699999999987</v>
      </c>
      <c r="G3" s="38">
        <f>10.72*1.8895</f>
        <v>20.25544</v>
      </c>
      <c r="H3" s="49">
        <f>V3*1.4616/10000</f>
        <v>0.16749936000000001</v>
      </c>
      <c r="I3" s="38">
        <f>7.66*1.2865</f>
        <v>9.85459</v>
      </c>
      <c r="J3" s="49">
        <f>0.1068*1.2912</f>
        <v>0.13790015999999999</v>
      </c>
      <c r="K3" s="38">
        <f>3.9*1.6583</f>
        <v>6.4673699999999998</v>
      </c>
      <c r="L3" s="38">
        <f>9.36*1.3992</f>
        <v>13.096511999999999</v>
      </c>
      <c r="M3" s="49">
        <f>0.367*1.348</f>
        <v>0.49471600000000004</v>
      </c>
      <c r="N3" s="49">
        <f>0.192*1.2046</f>
        <v>0.23128319999999999</v>
      </c>
      <c r="Q3" s="38">
        <f t="shared" ref="Q3:Q66" si="0">100*(K3/40.304)/(K3/40.304+I3/71.846)</f>
        <v>53.914632338286147</v>
      </c>
      <c r="R3" s="49"/>
      <c r="S3" s="49"/>
      <c r="T3" s="39">
        <v>21.6</v>
      </c>
      <c r="U3" s="76">
        <v>65</v>
      </c>
      <c r="V3" s="76">
        <v>1146</v>
      </c>
      <c r="W3" s="39"/>
      <c r="X3" s="39">
        <v>23.97</v>
      </c>
      <c r="Y3" s="76">
        <v>159</v>
      </c>
      <c r="Z3" s="49"/>
      <c r="AA3" s="49"/>
      <c r="AB3" s="49"/>
      <c r="AC3" s="49"/>
      <c r="AD3" s="49"/>
      <c r="AE3" s="49"/>
      <c r="AF3" s="49"/>
      <c r="AG3" s="49"/>
      <c r="AH3" s="49"/>
      <c r="AI3" s="49"/>
      <c r="AL3" s="39">
        <v>22.63</v>
      </c>
      <c r="AM3" s="39">
        <v>54.6</v>
      </c>
      <c r="AN3" s="199">
        <f>89.1*EXP((LN(AL3/234.7)+2*LN(AO3/452.4))/3)</f>
        <v>6.6490167579195436</v>
      </c>
      <c r="AO3" s="39">
        <v>29.7</v>
      </c>
      <c r="AP3" s="38">
        <v>10.02</v>
      </c>
      <c r="AQ3" s="38">
        <v>1.3560000000000001</v>
      </c>
      <c r="AR3" s="200">
        <f>AVERAGE(BP3:BR3)</f>
        <v>11.254517638646954</v>
      </c>
      <c r="AS3" s="38">
        <v>1.946</v>
      </c>
      <c r="AT3" s="38">
        <v>13.4</v>
      </c>
      <c r="AU3" s="38">
        <v>2.96</v>
      </c>
      <c r="AV3" s="200">
        <f>(158.9*10^((2*LOG10(AS3/36.3)+3*LOG10(AX3/162.5))/5)+158.9*10^((2*LOG10(AP3/147.1)+6*LOG10(AX3/162.5))/8))/2</f>
        <v>8.3590998975395152</v>
      </c>
      <c r="AW3" s="38">
        <v>1.45</v>
      </c>
      <c r="AX3" s="38">
        <v>8.1</v>
      </c>
      <c r="AY3" s="49">
        <v>1.05</v>
      </c>
      <c r="AZ3" s="38">
        <v>7.93</v>
      </c>
      <c r="BA3" s="38">
        <v>1.0149999999999999</v>
      </c>
      <c r="BB3" s="39"/>
      <c r="BC3" s="39">
        <v>3.34</v>
      </c>
      <c r="BD3" s="39">
        <v>2.16</v>
      </c>
      <c r="BE3" s="38">
        <v>4.3029999999999999</v>
      </c>
      <c r="BF3" s="38">
        <v>1.1499999999999999</v>
      </c>
      <c r="BG3" s="39">
        <v>6.2</v>
      </c>
      <c r="BJ3" s="49">
        <f>K3/I3</f>
        <v>0.65627996700014912</v>
      </c>
      <c r="BP3" s="116">
        <f>196.6*10^(LOG10(AP3/147.1)+(LOG10(AP3/147.1)-LOG10(AL3/234.7))*0.4)</f>
        <v>11.653919022996714</v>
      </c>
      <c r="BQ3" s="116">
        <f>196.6*10^(LOG10(AP3/147.1)+0.6666*(LOG10(AS3/36.3)-LOG10(AP3/147.1)))</f>
        <v>11.415622662137784</v>
      </c>
      <c r="BR3" s="116">
        <f>196.6*10^(LOG10(AS3/36.3)-(LOG10(AX3/162.5)-LOG10(AS3/36.3))/5)</f>
        <v>10.694011230806371</v>
      </c>
    </row>
    <row r="4" spans="1:70" x14ac:dyDescent="0.2">
      <c r="A4" s="50" t="s">
        <v>142</v>
      </c>
      <c r="B4" s="36" t="s">
        <v>1318</v>
      </c>
      <c r="C4" s="50" t="s">
        <v>300</v>
      </c>
      <c r="E4" s="38" t="s">
        <v>224</v>
      </c>
      <c r="F4" s="38">
        <f>0.51*1.6683</f>
        <v>0.85083299999999995</v>
      </c>
      <c r="G4" s="38">
        <f>11.4*1.8895</f>
        <v>21.540299999999998</v>
      </c>
      <c r="H4" s="49">
        <f>V4*1.4616/10000</f>
        <v>0.16062984</v>
      </c>
      <c r="I4" s="38">
        <f>6.87*1.2865</f>
        <v>8.8382550000000002</v>
      </c>
      <c r="J4" s="49">
        <f>0.095*1.2912</f>
        <v>0.122664</v>
      </c>
      <c r="K4" s="38">
        <f>4.9*1.6583</f>
        <v>8.1256700000000013</v>
      </c>
      <c r="L4" s="38">
        <f>9.7*1.3992</f>
        <v>13.572239999999999</v>
      </c>
      <c r="M4" s="49">
        <f>0.36*1.348</f>
        <v>0.48527999999999999</v>
      </c>
      <c r="N4" s="49">
        <f>0.203*1.2046</f>
        <v>0.2445338</v>
      </c>
      <c r="Q4" s="38">
        <f t="shared" si="0"/>
        <v>62.105132346662259</v>
      </c>
      <c r="R4" s="49"/>
      <c r="S4" s="49"/>
      <c r="T4" s="39">
        <v>17.68</v>
      </c>
      <c r="U4" s="76">
        <v>48</v>
      </c>
      <c r="V4" s="76">
        <v>1099</v>
      </c>
      <c r="W4" s="39"/>
      <c r="X4" s="39">
        <v>26.9</v>
      </c>
      <c r="Y4" s="76">
        <v>202</v>
      </c>
      <c r="Z4" s="49"/>
      <c r="AA4" s="49"/>
      <c r="AB4" s="49"/>
      <c r="AC4" s="49"/>
      <c r="AD4" s="49"/>
      <c r="AE4" s="49"/>
      <c r="AF4" s="49"/>
      <c r="AG4" s="49"/>
      <c r="AH4" s="49"/>
      <c r="AI4" s="49"/>
      <c r="AL4" s="39">
        <v>20.23</v>
      </c>
      <c r="AM4" s="39">
        <v>51.6</v>
      </c>
      <c r="AN4" s="199">
        <f>89.1*EXP((LN(AL4/234.7)+2*LN(AO4/452.4))/3)</f>
        <v>6.5481078113691877</v>
      </c>
      <c r="AO4" s="39">
        <v>30.7</v>
      </c>
      <c r="AP4" s="38">
        <v>8.7100000000000009</v>
      </c>
      <c r="AQ4" s="38">
        <v>1.282</v>
      </c>
      <c r="AR4" s="200">
        <f>AVERAGE(BP4:BR4)</f>
        <v>10.265261721093582</v>
      </c>
      <c r="AS4" s="38">
        <v>1.83</v>
      </c>
      <c r="AT4" s="38">
        <v>13.2</v>
      </c>
      <c r="AU4" s="38">
        <v>2.4900000000000002</v>
      </c>
      <c r="AV4" s="200">
        <f>(158.9*10^((2*LOG10(AS4/36.3)+3*LOG10(AX4/162.5))/5)+158.9*10^((2*LOG10(AP4/147.1)+6*LOG10(AX4/162.5))/8))/2</f>
        <v>7.1289460800899311</v>
      </c>
      <c r="AW4" s="38">
        <v>1.06</v>
      </c>
      <c r="AX4" s="38">
        <v>6.69</v>
      </c>
      <c r="AY4" s="49">
        <v>0.94499999999999995</v>
      </c>
      <c r="AZ4" s="38">
        <v>6.58</v>
      </c>
      <c r="BA4" s="38">
        <v>0.95</v>
      </c>
      <c r="BB4" s="39"/>
      <c r="BC4" s="39">
        <v>6</v>
      </c>
      <c r="BD4" s="39">
        <v>6</v>
      </c>
      <c r="BE4" s="38">
        <v>3.76</v>
      </c>
      <c r="BF4" s="38">
        <v>1.06</v>
      </c>
      <c r="BG4" s="39">
        <v>38.86</v>
      </c>
      <c r="BJ4" s="49">
        <f>K4/I4</f>
        <v>0.91937492185957537</v>
      </c>
      <c r="BP4" s="116">
        <f>196.6*10^(LOG10(AP4/147.1)+(LOG10(AP4/147.1)-LOG10(AL4/234.7))*0.4)</f>
        <v>10.017470482634863</v>
      </c>
      <c r="BQ4" s="116">
        <f>196.6*10^(LOG10(AP4/147.1)+0.6666*(LOG10(AS4/36.3)-LOG10(AP4/147.1)))</f>
        <v>10.457301786052817</v>
      </c>
      <c r="BR4" s="116">
        <f>196.6*10^(LOG10(AS4/36.3)-(LOG10(AX4/162.5)-LOG10(AS4/36.3))/5)</f>
        <v>10.321012894593066</v>
      </c>
    </row>
    <row r="5" spans="1:70" x14ac:dyDescent="0.2">
      <c r="A5" s="50" t="s">
        <v>669</v>
      </c>
      <c r="B5" s="50" t="s">
        <v>1318</v>
      </c>
      <c r="C5" s="50" t="s">
        <v>197</v>
      </c>
      <c r="D5" s="38">
        <f>SUM(E5:P5)</f>
        <v>100.01281233731744</v>
      </c>
      <c r="E5" s="48">
        <v>45.9</v>
      </c>
      <c r="F5" s="38">
        <f>(F2*$BG2+F3*$BG3+F4*$BG4)/$BG5</f>
        <v>0.83046790658644709</v>
      </c>
      <c r="G5" s="38">
        <f>(G2*$BG2+G3*$BG3+G4*$BG4)/$BG5</f>
        <v>21.305877549081696</v>
      </c>
      <c r="H5" s="49">
        <f>V5*1.4616/10000</f>
        <v>0.16976507141228628</v>
      </c>
      <c r="I5" s="38">
        <f t="shared" ref="I5:N5" si="1">(I2*$BG2+I3*$BG3+I4*$BG4)/$BG5</f>
        <v>9.2993255193160227</v>
      </c>
      <c r="J5" s="49">
        <f t="shared" si="1"/>
        <v>0.13093107359088033</v>
      </c>
      <c r="K5" s="120">
        <f t="shared" si="1"/>
        <v>7.9143455055636096</v>
      </c>
      <c r="L5" s="38">
        <f t="shared" si="1"/>
        <v>13.569648068397722</v>
      </c>
      <c r="M5" s="49">
        <f t="shared" si="1"/>
        <v>0.4858199683343889</v>
      </c>
      <c r="N5" s="49">
        <f t="shared" si="1"/>
        <v>0.24357828290056999</v>
      </c>
      <c r="O5" s="354">
        <f>O9*AO6/AO10</f>
        <v>0.16305339213382281</v>
      </c>
      <c r="P5" s="38"/>
      <c r="Q5" s="38">
        <f t="shared" si="0"/>
        <v>60.271950301063114</v>
      </c>
      <c r="R5" s="49"/>
      <c r="S5" s="38"/>
      <c r="T5" s="39">
        <f>(T2*$BG2+T3*$BG3+T4*$BG4)/$BG5</f>
        <v>19.443220392653583</v>
      </c>
      <c r="U5" s="76">
        <v>51.388220392653587</v>
      </c>
      <c r="V5" s="76">
        <f>(V2*$BG2+V3*$BG3+V4*$BG4)/$BG5</f>
        <v>1161.5015832805575</v>
      </c>
      <c r="W5" s="38"/>
      <c r="X5" s="39">
        <f>(X2*$BG2+X3*$BG3+X4*$BG4)/$BG5</f>
        <v>26.099414186193794</v>
      </c>
      <c r="Y5" s="76">
        <f>(Y2*$BG2+Y3*$BG3+Y4*$BG4)/$BG5</f>
        <v>218.12571247625081</v>
      </c>
      <c r="Z5" s="38"/>
      <c r="AA5" s="38"/>
      <c r="AB5" s="38"/>
      <c r="AC5" s="38"/>
      <c r="AD5" s="38"/>
      <c r="AE5" s="38"/>
      <c r="AF5" s="38"/>
      <c r="AG5" s="38"/>
      <c r="AH5" s="38"/>
      <c r="AI5" s="38"/>
      <c r="AL5" s="39">
        <f>(AL2*$BG2+AL3*$BG3+AL4*$BG4)/$BG5</f>
        <v>20.712045598480053</v>
      </c>
      <c r="AM5" s="39">
        <f>(AM2*$BG2+AM3*$BG3+AM4*$BG4)/$BG5</f>
        <v>52.295693476884111</v>
      </c>
      <c r="AN5" s="199">
        <f>89.1*EXP((LN(AL5/234.7)+2*LN(AO5/452.4))/3)</f>
        <v>6.4865859480673542</v>
      </c>
      <c r="AO5" s="39">
        <f>(AO2*$BG2+AO3*$BG3+AO4*$BG4)/$BG5</f>
        <v>29.914059531348954</v>
      </c>
      <c r="AP5" s="38">
        <f>(AP2*$BG2+AP3*$BG3+AP4*$BG4)/$BG5</f>
        <v>9.0076725775807489</v>
      </c>
      <c r="AQ5" s="38">
        <f>(AQ2*$BG2+AQ3*$BG3+AQ4*$BG4)/$BG5</f>
        <v>1.2654784673844206</v>
      </c>
      <c r="AR5" s="200">
        <f>AVERAGE(BP5:BR5)</f>
        <v>10.616518920536862</v>
      </c>
      <c r="AS5" s="38">
        <f>(AS2*$BG2+AS3*$BG3+AS4*$BG4)/$BG5</f>
        <v>1.8929702343255226</v>
      </c>
      <c r="AT5" s="38">
        <v>13.228229892336923</v>
      </c>
      <c r="AU5" s="38">
        <v>2.6335718809373025</v>
      </c>
      <c r="AV5" s="200">
        <f>(158.9*10^((2*LOG10(AS5/36.3)+3*LOG10(AX5/162.5))/5)+158.9*10^((2*LOG10(AP5/147.1)+6*LOG10(AX5/162.5))/8))/2</f>
        <v>7.4788118119811013</v>
      </c>
      <c r="AW5" s="38">
        <v>1.2530335655478153</v>
      </c>
      <c r="AX5" s="38">
        <f>(AX2*$BG2+AX3*$BG3+AX4*$BG4)/$BG5</f>
        <v>7.0662666244458521</v>
      </c>
      <c r="AY5" s="49">
        <f>(AY2*$BG2+AY3*$BG3+AY4*$BG4)/$BG5</f>
        <v>0.98138537048765051</v>
      </c>
      <c r="AZ5" s="38">
        <f>(AZ2*$BG2+AZ3*$BG3+AZ4*$BG4)/$BG5</f>
        <v>7.0306174794173533</v>
      </c>
      <c r="BA5" s="38">
        <f>(BA2*$BG2+BA3*$BG3+BA4*$BG4)/$BG5</f>
        <v>0.96096580113996199</v>
      </c>
      <c r="BB5" s="39"/>
      <c r="BC5" s="39">
        <v>4.8791640278657384</v>
      </c>
      <c r="BD5" s="39">
        <v>4.7633312222925905</v>
      </c>
      <c r="BE5" s="38">
        <f>(BE2*$BG2+BE3*$BG3+BE4*$BG4)/$BG5</f>
        <v>3.9967099430019006</v>
      </c>
      <c r="BF5" s="38">
        <f>(BF2*$BG2+BF3*$BG3+BF4*$BG4)/$BG5</f>
        <v>1.1204179860671313</v>
      </c>
      <c r="BG5" s="39">
        <f>SUM(BG2:BG4)</f>
        <v>63.16</v>
      </c>
      <c r="BJ5" s="49">
        <f>AVERAGE(BJ2:BJ4)</f>
        <v>0.7878274444298623</v>
      </c>
      <c r="BP5" s="116">
        <f>196.6*10^(LOG10(AP5/147.1)+(LOG10(AP5/147.1)-LOG10(AL5/234.7))*0.4)</f>
        <v>10.401582983280109</v>
      </c>
      <c r="BQ5" s="116">
        <f>196.6*10^(LOG10(AP5/147.1)+0.6666*(LOG10(AS5/36.3)-LOG10(AP5/147.1)))</f>
        <v>10.816321243070593</v>
      </c>
      <c r="BR5" s="116">
        <f>196.6*10^(LOG10(AS5/36.3)-(LOG10(AX5/162.5)-LOG10(AS5/36.3))/5)</f>
        <v>10.631652535259883</v>
      </c>
    </row>
    <row r="6" spans="1:70" s="361" customFormat="1" x14ac:dyDescent="0.2">
      <c r="A6" s="361" t="s">
        <v>553</v>
      </c>
      <c r="B6" s="361" t="s">
        <v>1318</v>
      </c>
      <c r="D6" s="369"/>
      <c r="E6" s="370">
        <f t="shared" ref="E6:O6" si="2">E5</f>
        <v>45.9</v>
      </c>
      <c r="F6" s="362">
        <f t="shared" si="2"/>
        <v>0.83046790658644709</v>
      </c>
      <c r="G6" s="362">
        <f t="shared" si="2"/>
        <v>21.305877549081696</v>
      </c>
      <c r="H6" s="363">
        <f t="shared" si="2"/>
        <v>0.16976507141228628</v>
      </c>
      <c r="I6" s="362">
        <f t="shared" si="2"/>
        <v>9.2993255193160227</v>
      </c>
      <c r="J6" s="363">
        <f t="shared" si="2"/>
        <v>0.13093107359088033</v>
      </c>
      <c r="K6" s="362">
        <f t="shared" si="2"/>
        <v>7.9143455055636096</v>
      </c>
      <c r="L6" s="362">
        <f t="shared" si="2"/>
        <v>13.569648068397722</v>
      </c>
      <c r="M6" s="363">
        <f t="shared" si="2"/>
        <v>0.4858199683343889</v>
      </c>
      <c r="N6" s="363">
        <f t="shared" si="2"/>
        <v>0.24357828290056999</v>
      </c>
      <c r="O6" s="363">
        <f t="shared" si="2"/>
        <v>0.16305339213382281</v>
      </c>
      <c r="P6" s="362"/>
      <c r="Q6" s="38">
        <f t="shared" si="0"/>
        <v>60.271950301063114</v>
      </c>
      <c r="R6" s="362"/>
      <c r="S6" s="362"/>
      <c r="T6" s="365">
        <f>T5</f>
        <v>19.443220392653583</v>
      </c>
      <c r="U6" s="364">
        <f>U5</f>
        <v>51.388220392653587</v>
      </c>
      <c r="V6" s="364">
        <f>V5</f>
        <v>1161.5015832805575</v>
      </c>
      <c r="W6" s="362"/>
      <c r="X6" s="365">
        <f>X5</f>
        <v>26.099414186193794</v>
      </c>
      <c r="Y6" s="364">
        <f>Y5</f>
        <v>218.12571247625081</v>
      </c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4"/>
      <c r="AL6" s="365">
        <f t="shared" ref="AL6:BA6" si="3">AL5</f>
        <v>20.712045598480053</v>
      </c>
      <c r="AM6" s="365">
        <f t="shared" si="3"/>
        <v>52.295693476884111</v>
      </c>
      <c r="AN6" s="365">
        <f t="shared" si="3"/>
        <v>6.4865859480673542</v>
      </c>
      <c r="AO6" s="365">
        <f t="shared" si="3"/>
        <v>29.914059531348954</v>
      </c>
      <c r="AP6" s="365">
        <f t="shared" si="3"/>
        <v>9.0076725775807489</v>
      </c>
      <c r="AQ6" s="365">
        <f t="shared" si="3"/>
        <v>1.2654784673844206</v>
      </c>
      <c r="AR6" s="365">
        <f t="shared" si="3"/>
        <v>10.616518920536862</v>
      </c>
      <c r="AS6" s="365">
        <f t="shared" si="3"/>
        <v>1.8929702343255226</v>
      </c>
      <c r="AT6" s="365">
        <f t="shared" si="3"/>
        <v>13.228229892336923</v>
      </c>
      <c r="AU6" s="365">
        <f t="shared" si="3"/>
        <v>2.6335718809373025</v>
      </c>
      <c r="AV6" s="365">
        <f t="shared" si="3"/>
        <v>7.4788118119811013</v>
      </c>
      <c r="AW6" s="365">
        <f t="shared" si="3"/>
        <v>1.2530335655478153</v>
      </c>
      <c r="AX6" s="365">
        <f t="shared" si="3"/>
        <v>7.0662666244458521</v>
      </c>
      <c r="AY6" s="365">
        <f t="shared" si="3"/>
        <v>0.98138537048765051</v>
      </c>
      <c r="AZ6" s="362">
        <f t="shared" si="3"/>
        <v>7.0306174794173533</v>
      </c>
      <c r="BA6" s="362">
        <f t="shared" si="3"/>
        <v>0.96096580113996199</v>
      </c>
      <c r="BB6" s="365"/>
      <c r="BC6" s="365">
        <f>BC5</f>
        <v>4.8791640278657384</v>
      </c>
      <c r="BD6" s="365">
        <f>BD5</f>
        <v>4.7633312222925905</v>
      </c>
      <c r="BE6" s="362">
        <f>BE5</f>
        <v>3.9967099430019006</v>
      </c>
      <c r="BF6" s="362">
        <f>BF5</f>
        <v>1.1204179860671313</v>
      </c>
      <c r="BG6" s="365">
        <f>BG5</f>
        <v>63.16</v>
      </c>
      <c r="BH6" s="353">
        <f>BG6/BG$12</f>
        <v>0.23324347280180216</v>
      </c>
      <c r="BJ6" s="363"/>
      <c r="BK6" s="363"/>
      <c r="BL6" s="363"/>
    </row>
    <row r="7" spans="1:70" s="36" customFormat="1" x14ac:dyDescent="0.2">
      <c r="E7"/>
      <c r="F7" s="34"/>
      <c r="G7" s="34"/>
      <c r="H7" s="37"/>
      <c r="I7" s="34"/>
      <c r="J7" s="37"/>
      <c r="K7" s="34"/>
      <c r="L7" s="34"/>
      <c r="M7" s="37"/>
      <c r="N7" s="37"/>
      <c r="O7" s="37"/>
      <c r="P7" s="34"/>
      <c r="Q7" s="38" t="e">
        <f t="shared" si="0"/>
        <v>#DIV/0!</v>
      </c>
      <c r="R7" s="34"/>
      <c r="S7" s="34"/>
      <c r="T7" s="72"/>
      <c r="U7" s="35"/>
      <c r="V7" s="35"/>
      <c r="W7" s="34"/>
      <c r="X7" s="72"/>
      <c r="Y7" s="35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5"/>
      <c r="AL7" s="72"/>
      <c r="AM7" s="72"/>
      <c r="AN7" s="72"/>
      <c r="AO7" s="72"/>
      <c r="AP7" s="34"/>
      <c r="AQ7" s="34"/>
      <c r="AR7" s="34"/>
      <c r="AS7" s="34"/>
      <c r="AT7" s="34"/>
      <c r="AU7" s="34"/>
      <c r="AV7" s="34"/>
      <c r="AW7" s="34"/>
      <c r="AX7" s="34"/>
      <c r="AY7" s="37"/>
      <c r="AZ7" s="34"/>
      <c r="BA7" s="34"/>
      <c r="BB7" s="72"/>
      <c r="BC7" s="34"/>
      <c r="BD7" s="34"/>
      <c r="BE7" s="34"/>
      <c r="BF7" s="34"/>
      <c r="BG7" s="72"/>
      <c r="BJ7" s="37"/>
      <c r="BK7" s="37"/>
      <c r="BL7" s="37"/>
    </row>
    <row r="8" spans="1:70" x14ac:dyDescent="0.2">
      <c r="A8" s="50" t="s">
        <v>142</v>
      </c>
      <c r="B8" s="71" t="s">
        <v>717</v>
      </c>
      <c r="D8" s="39"/>
      <c r="E8" s="48"/>
      <c r="H8" s="49">
        <f>V8*1.4616/10000</f>
        <v>0.18450375927178153</v>
      </c>
      <c r="I8" s="38">
        <v>9.662828107691567</v>
      </c>
      <c r="L8" s="38" t="s">
        <v>1315</v>
      </c>
      <c r="M8" s="49">
        <v>0.43357390550498476</v>
      </c>
      <c r="N8" s="49" t="s">
        <v>1316</v>
      </c>
      <c r="P8" s="38"/>
      <c r="Q8" s="38">
        <f t="shared" si="0"/>
        <v>0</v>
      </c>
      <c r="R8" s="38"/>
      <c r="S8" s="38"/>
      <c r="T8" s="38">
        <v>22.306585753503825</v>
      </c>
      <c r="V8" s="76">
        <v>1262.3409911862448</v>
      </c>
      <c r="W8" s="38"/>
      <c r="X8" s="39">
        <v>25.87676154698261</v>
      </c>
      <c r="Y8" s="76">
        <v>112.80450801907237</v>
      </c>
      <c r="Z8" s="79">
        <v>9.0265279583875149</v>
      </c>
      <c r="AA8" s="38"/>
      <c r="AB8" s="38">
        <v>0.37069402302172122</v>
      </c>
      <c r="AC8" s="38">
        <v>0.26969224100563499</v>
      </c>
      <c r="AD8" s="39">
        <v>5.9127679044454062</v>
      </c>
      <c r="AE8" s="76">
        <v>121.36112315176032</v>
      </c>
      <c r="AF8" s="76"/>
      <c r="AG8" s="76">
        <v>253.361315802148</v>
      </c>
      <c r="AH8" s="76"/>
      <c r="AI8" s="38">
        <v>1.7957809565091746E-2</v>
      </c>
      <c r="AJ8" s="38">
        <v>0.29482348408226172</v>
      </c>
      <c r="AK8" s="76">
        <v>208.32317102538167</v>
      </c>
      <c r="AL8" s="39">
        <v>18.971506526031881</v>
      </c>
      <c r="AM8" s="39">
        <v>49.415359052160092</v>
      </c>
      <c r="AN8" s="199">
        <f>89.1*EXP((LN(AL8/234.7)+2*LN(AO8/452.4))/3)</f>
        <v>6.1678313048531272</v>
      </c>
      <c r="AO8" s="38">
        <v>28.980802388864806</v>
      </c>
      <c r="AP8" s="38">
        <v>8.5905389394596128</v>
      </c>
      <c r="AQ8" s="38">
        <v>1.0563609786639694</v>
      </c>
      <c r="AR8" s="200">
        <f>AVERAGE(BP8:BR8)</f>
        <v>10.039040744564671</v>
      </c>
      <c r="AS8" s="38">
        <v>1.7648057602465923</v>
      </c>
      <c r="AT8" s="200">
        <f>(242.7*10^((4*LOG10(AS8/36.3)+LOG10(AX8/162.5))/5)+242.7*10^((4*LOG10(AP8/147.1)+4*LOG10(AX8/162.5))/8))/2</f>
        <v>11.669782207020504</v>
      </c>
      <c r="AU8" s="200">
        <f>(55.6*10^((3*LOG10(AS8/36.3)+2*LOG10(AX8/162.5))/5)+55.6*10^((3*LOG10(AP8/147.1)+5*LOG10(AX8/162.5))/8))/2</f>
        <v>2.5735566128371694</v>
      </c>
      <c r="AV8" s="200">
        <f>(158.9*10^((2*LOG10(AS8/36.3)+3*LOG10(AX8/162.5))/5)+158.9*10^((2*LOG10(AP8/147.1)+6*LOG10(AX8/162.5))/8))/2</f>
        <v>7.0804550517856688</v>
      </c>
      <c r="AW8" s="201">
        <f>(24.2*10^((LOG10(AS8/36.3)+4*LOG10(AX8/162.5))/5)+24.2*10^((LOG10(AP8/147.1)+7*LOG10(AX8/162.5))/8))/2</f>
        <v>1.0381099581514865</v>
      </c>
      <c r="AX8" s="38">
        <v>6.710956990800943</v>
      </c>
      <c r="AY8" s="49">
        <v>0.91986533737899145</v>
      </c>
      <c r="AZ8" s="38">
        <v>6.7701598998217962</v>
      </c>
      <c r="BA8" s="38">
        <v>0.90157588017145873</v>
      </c>
      <c r="BB8" s="39">
        <v>0.50240090545682214</v>
      </c>
      <c r="BC8" s="39">
        <v>3.4405191927948757</v>
      </c>
      <c r="BD8" s="39">
        <v>3.0643741270529303</v>
      </c>
      <c r="BE8" s="38">
        <v>3.9493122381158781</v>
      </c>
      <c r="BF8" s="38">
        <v>1.0974998795935078</v>
      </c>
      <c r="BG8" s="39">
        <v>207.63</v>
      </c>
      <c r="BH8" s="327">
        <f>BG8/BG$12</f>
        <v>0.76675652719819798</v>
      </c>
      <c r="BI8" s="39"/>
      <c r="BP8" s="116">
        <f>196.6*10^(LOG10(AP8/147.1)+(LOG10(AP8/147.1)-LOG10(AL8/234.7))*0.4)</f>
        <v>10.081353762877324</v>
      </c>
      <c r="BQ8" s="116">
        <f>196.6*10^(LOG10(AP8/147.1)+0.6666*(LOG10(AS8/36.3)-LOG10(AP8/147.1)))</f>
        <v>10.1605743713503</v>
      </c>
      <c r="BR8" s="116">
        <f>196.6*10^(LOG10(AS8/36.3)-(LOG10(AX8/162.5)-LOG10(AS8/36.3))/5)</f>
        <v>9.8751940994663894</v>
      </c>
    </row>
    <row r="9" spans="1:70" x14ac:dyDescent="0.2">
      <c r="A9" s="50" t="s">
        <v>142</v>
      </c>
      <c r="B9" s="71" t="s">
        <v>700</v>
      </c>
      <c r="D9" s="38">
        <f>SUM(E9:P9)</f>
        <v>99.849535759907809</v>
      </c>
      <c r="E9" s="38">
        <v>47.330594994107848</v>
      </c>
      <c r="F9" s="38">
        <v>0.77265537528192796</v>
      </c>
      <c r="G9" s="38">
        <v>20.484073944013026</v>
      </c>
      <c r="H9" s="49">
        <v>0.19222045637684909</v>
      </c>
      <c r="I9" s="38">
        <v>9.662828107691567</v>
      </c>
      <c r="J9" s="38">
        <v>0.13841036513729643</v>
      </c>
      <c r="K9" s="38">
        <v>7.5139220717885076</v>
      </c>
      <c r="L9" s="38">
        <v>12.920157231869439</v>
      </c>
      <c r="M9" s="49">
        <v>0.43553510843186155</v>
      </c>
      <c r="N9" s="49">
        <v>0.24117164360930071</v>
      </c>
      <c r="O9">
        <v>0.1579664616001823</v>
      </c>
      <c r="P9" s="38"/>
      <c r="Q9" s="38">
        <f t="shared" si="0"/>
        <v>58.09185890620639</v>
      </c>
      <c r="R9" s="38"/>
      <c r="S9" s="38"/>
      <c r="T9" s="38"/>
      <c r="V9" s="76"/>
      <c r="W9" s="38"/>
      <c r="Z9" s="39"/>
      <c r="AA9" s="38"/>
      <c r="AB9" s="38"/>
      <c r="AC9" s="38"/>
      <c r="AD9" s="39"/>
      <c r="AE9" s="76"/>
      <c r="AF9" s="76"/>
      <c r="AG9" s="76"/>
      <c r="AH9" s="76"/>
      <c r="AI9" s="38"/>
      <c r="AL9" s="39"/>
      <c r="AM9" s="39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Z9" s="38"/>
      <c r="BA9" s="38"/>
      <c r="BB9" s="39"/>
      <c r="BC9" s="39"/>
      <c r="BD9" s="39"/>
      <c r="BE9" s="38"/>
      <c r="BF9" s="38"/>
      <c r="BG9" s="39"/>
      <c r="BI9" s="39"/>
      <c r="BP9" s="116" t="e">
        <f>196.6*10^(LOG10(AP9/147.1)+(LOG10(AP9/147.1)-LOG10(AL9/234.7))*0.4)</f>
        <v>#NUM!</v>
      </c>
      <c r="BQ9" s="116" t="e">
        <f>196.6*10^(LOG10(AP9/147.1)+0.6666*(LOG10(AS9/36.3)-LOG10(AP9/147.1)))</f>
        <v>#NUM!</v>
      </c>
      <c r="BR9" s="116" t="e">
        <f>196.6*10^(LOG10(AS9/36.3)-(LOG10(AX9/162.5)-LOG10(AS9/36.3))/5)</f>
        <v>#NUM!</v>
      </c>
    </row>
    <row r="10" spans="1:70" s="361" customFormat="1" x14ac:dyDescent="0.2">
      <c r="A10" s="359" t="s">
        <v>142</v>
      </c>
      <c r="B10" s="360" t="s">
        <v>233</v>
      </c>
      <c r="D10" s="362"/>
      <c r="E10" s="362">
        <f t="shared" ref="E10:O10" si="4">AVERAGE(E8:E9)</f>
        <v>47.330594994107848</v>
      </c>
      <c r="F10" s="362">
        <f t="shared" si="4"/>
        <v>0.77265537528192796</v>
      </c>
      <c r="G10" s="362">
        <f t="shared" si="4"/>
        <v>20.484073944013026</v>
      </c>
      <c r="H10" s="363">
        <f t="shared" si="4"/>
        <v>0.18836210782431531</v>
      </c>
      <c r="I10" s="362">
        <f t="shared" si="4"/>
        <v>9.662828107691567</v>
      </c>
      <c r="J10" s="363">
        <f t="shared" si="4"/>
        <v>0.13841036513729643</v>
      </c>
      <c r="K10" s="362">
        <f t="shared" si="4"/>
        <v>7.5139220717885076</v>
      </c>
      <c r="L10" s="362">
        <f t="shared" si="4"/>
        <v>12.920157231869439</v>
      </c>
      <c r="M10" s="363">
        <f t="shared" si="4"/>
        <v>0.43455450696842313</v>
      </c>
      <c r="N10" s="363">
        <f t="shared" si="4"/>
        <v>0.24117164360930071</v>
      </c>
      <c r="O10" s="363">
        <f t="shared" si="4"/>
        <v>0.1579664616001823</v>
      </c>
      <c r="P10" s="362"/>
      <c r="Q10" s="38">
        <f t="shared" si="0"/>
        <v>58.09185890620639</v>
      </c>
      <c r="R10" s="362"/>
      <c r="S10" s="362"/>
      <c r="T10" s="362">
        <f>AVERAGE(T8:T9)</f>
        <v>22.306585753503825</v>
      </c>
      <c r="U10" s="364"/>
      <c r="V10" s="364">
        <f>AVERAGE(V8:V9)</f>
        <v>1262.3409911862448</v>
      </c>
      <c r="W10" s="362"/>
      <c r="X10" s="365">
        <f>AVERAGE(X8:X9)</f>
        <v>25.87676154698261</v>
      </c>
      <c r="Y10" s="364">
        <f>AVERAGE(Y8:Y9)</f>
        <v>112.80450801907237</v>
      </c>
      <c r="Z10" s="366"/>
      <c r="AA10" s="362"/>
      <c r="AB10" s="362">
        <f>AVERAGE(AB8:AB9)</f>
        <v>0.37069402302172122</v>
      </c>
      <c r="AC10" s="362">
        <f>AVERAGE(AC8:AC9)</f>
        <v>0.26969224100563499</v>
      </c>
      <c r="AD10" s="365">
        <f>AVERAGE(AD8:AD9)</f>
        <v>5.9127679044454062</v>
      </c>
      <c r="AE10" s="364">
        <f>AVERAGE(AE8:AE9)</f>
        <v>121.36112315176032</v>
      </c>
      <c r="AF10" s="291">
        <f>1560*10^((LOG10(AU10/55.6)+LOG10(AV10/158.9))/2)</f>
        <v>68.670035585620056</v>
      </c>
      <c r="AG10" s="364">
        <f>AVERAGE(AG8:AG9)</f>
        <v>253.361315802148</v>
      </c>
      <c r="AH10" s="364"/>
      <c r="AI10" s="362">
        <f>AVERAGE(AI8:AI9)</f>
        <v>1.7957809565091746E-2</v>
      </c>
      <c r="AJ10" s="362">
        <f>AVERAGE(AJ8:AJ9)</f>
        <v>0.29482348408226172</v>
      </c>
      <c r="AK10" s="364">
        <f>AVERAGE(AK8:AK9)</f>
        <v>208.32317102538167</v>
      </c>
      <c r="AL10" s="365">
        <f>AVERAGE(AL8:AL9)</f>
        <v>18.971506526031881</v>
      </c>
      <c r="AM10" s="365">
        <f>AVERAGE(AM8:AM9)</f>
        <v>49.415359052160092</v>
      </c>
      <c r="AN10" s="362"/>
      <c r="AO10" s="362">
        <f>AVERAGE(AO8:AO9)</f>
        <v>28.980802388864806</v>
      </c>
      <c r="AP10" s="362">
        <f>AVERAGE(AP8:AP9)</f>
        <v>8.5905389394596128</v>
      </c>
      <c r="AQ10" s="362">
        <f>AVERAGE(AQ8:AQ9)</f>
        <v>1.0563609786639694</v>
      </c>
      <c r="AR10" s="362"/>
      <c r="AS10" s="362">
        <f>AVERAGE(AS8:AS9)</f>
        <v>1.7648057602465923</v>
      </c>
      <c r="AT10" s="367">
        <f>AT6*AS10/AS6</f>
        <v>12.332606127946024</v>
      </c>
      <c r="AU10" s="368">
        <f>AU6*AS10/AS6</f>
        <v>2.455264610728348</v>
      </c>
      <c r="AV10" s="368">
        <f>AV6*AT10/AT6</f>
        <v>6.9724552062421967</v>
      </c>
      <c r="AW10" s="368">
        <f>AW6*AX10/AX6</f>
        <v>1.190027890729469</v>
      </c>
      <c r="AX10" s="362">
        <f t="shared" ref="AX10:BF10" si="5">AVERAGE(AX8:AX9)</f>
        <v>6.710956990800943</v>
      </c>
      <c r="AY10" s="363">
        <f t="shared" si="5"/>
        <v>0.91986533737899145</v>
      </c>
      <c r="AZ10" s="362">
        <f t="shared" si="5"/>
        <v>6.7701598998217962</v>
      </c>
      <c r="BA10" s="362">
        <f t="shared" si="5"/>
        <v>0.90157588017145873</v>
      </c>
      <c r="BB10" s="365">
        <f t="shared" si="5"/>
        <v>0.50240090545682214</v>
      </c>
      <c r="BC10" s="365">
        <f t="shared" si="5"/>
        <v>3.4405191927948757</v>
      </c>
      <c r="BD10" s="365">
        <f t="shared" si="5"/>
        <v>3.0643741270529303</v>
      </c>
      <c r="BE10" s="362">
        <f t="shared" si="5"/>
        <v>3.9493122381158781</v>
      </c>
      <c r="BF10" s="362">
        <f t="shared" si="5"/>
        <v>1.0974998795935078</v>
      </c>
      <c r="BG10" s="365">
        <v>207.63</v>
      </c>
      <c r="BH10" s="363">
        <f>BG10/BG12</f>
        <v>0.76675652719819798</v>
      </c>
      <c r="BI10" s="365"/>
      <c r="BJ10" s="363"/>
      <c r="BK10" s="363"/>
      <c r="BL10" s="363"/>
    </row>
    <row r="11" spans="1:70" x14ac:dyDescent="0.2">
      <c r="A11" s="71"/>
      <c r="B11" s="77"/>
      <c r="D11" s="39"/>
      <c r="E11" s="48"/>
      <c r="F11" s="34"/>
      <c r="G11" s="34"/>
      <c r="H11" s="37"/>
      <c r="I11" s="34"/>
      <c r="J11" s="37"/>
      <c r="K11" s="34"/>
      <c r="L11" s="34"/>
      <c r="M11" s="37"/>
      <c r="N11" s="37"/>
      <c r="O11"/>
      <c r="P11" s="38"/>
      <c r="Q11" s="38" t="e">
        <f t="shared" si="0"/>
        <v>#DIV/0!</v>
      </c>
      <c r="R11" s="38"/>
      <c r="S11" s="38"/>
      <c r="T11" s="34"/>
      <c r="U11" s="35"/>
      <c r="V11" s="35"/>
      <c r="W11" s="34"/>
      <c r="X11" s="72"/>
      <c r="Y11" s="35"/>
      <c r="Z11" s="72"/>
      <c r="AA11" s="34"/>
      <c r="AB11" s="34"/>
      <c r="AC11" s="34"/>
      <c r="AD11" s="72"/>
      <c r="AE11" s="35"/>
      <c r="AF11" s="35"/>
      <c r="AG11" s="35"/>
      <c r="AH11" s="35"/>
      <c r="AI11" s="35"/>
      <c r="AJ11" s="34"/>
      <c r="AK11" s="35"/>
      <c r="AL11" s="72"/>
      <c r="AM11" s="72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7"/>
      <c r="AZ11" s="34"/>
      <c r="BA11" s="34"/>
      <c r="BB11" s="72"/>
      <c r="BC11" s="72"/>
      <c r="BD11" s="72"/>
      <c r="BE11" s="34"/>
      <c r="BF11" s="34"/>
      <c r="BG11" s="39"/>
      <c r="BI11" s="72"/>
      <c r="BJ11" s="37"/>
      <c r="BK11" s="37"/>
      <c r="BL11" s="37"/>
    </row>
    <row r="12" spans="1:70" x14ac:dyDescent="0.2">
      <c r="A12" s="77" t="s">
        <v>142</v>
      </c>
      <c r="B12" s="77" t="s">
        <v>1317</v>
      </c>
      <c r="D12" s="39"/>
      <c r="E12" s="352">
        <f t="shared" ref="E12:O12" si="6">E6*$BH6+E10*$BH10</f>
        <v>46.996918049509269</v>
      </c>
      <c r="F12" s="351">
        <f t="shared" si="6"/>
        <v>0.78613977085485698</v>
      </c>
      <c r="G12" s="351">
        <f t="shared" si="6"/>
        <v>20.675754270820285</v>
      </c>
      <c r="H12" s="351">
        <f t="shared" si="6"/>
        <v>0.18402447046775211</v>
      </c>
      <c r="I12" s="351">
        <f t="shared" si="6"/>
        <v>9.5780435016064125</v>
      </c>
      <c r="J12" s="351">
        <f t="shared" si="6"/>
        <v>0.13666586920291321</v>
      </c>
      <c r="K12" s="351">
        <f t="shared" si="6"/>
        <v>7.6073182240734356</v>
      </c>
      <c r="L12" s="351">
        <f t="shared" si="6"/>
        <v>13.071646730134244</v>
      </c>
      <c r="M12" s="351">
        <f t="shared" si="6"/>
        <v>0.44651184121220766</v>
      </c>
      <c r="N12" s="351">
        <f t="shared" si="6"/>
        <v>0.24173297651537765</v>
      </c>
      <c r="O12" s="351">
        <f t="shared" si="6"/>
        <v>0.15915295494375015</v>
      </c>
      <c r="P12" s="351"/>
      <c r="Q12" s="38">
        <f t="shared" si="0"/>
        <v>58.606253429177976</v>
      </c>
      <c r="R12" s="351"/>
      <c r="S12" s="351"/>
      <c r="T12" s="351">
        <f>T6*$BH6+T10*$BH10</f>
        <v>21.638724472838732</v>
      </c>
      <c r="U12" s="356">
        <f>U6</f>
        <v>51.388220392653587</v>
      </c>
      <c r="V12" s="355">
        <f>V6*$BH6+V10*$BH10</f>
        <v>1238.820857491045</v>
      </c>
      <c r="W12" s="351"/>
      <c r="X12" s="352">
        <f>X6*$BH6+X10*$BH10</f>
        <v>25.928693821780715</v>
      </c>
      <c r="Y12" s="355">
        <f>Y6*$BH6+Y10*$BH10</f>
        <v>137.36999150633335</v>
      </c>
      <c r="Z12" s="352"/>
      <c r="AA12" s="351"/>
      <c r="AB12" s="362">
        <f>AB10</f>
        <v>0.37069402302172122</v>
      </c>
      <c r="AC12" s="362">
        <f>AC10</f>
        <v>0.26969224100563499</v>
      </c>
      <c r="AD12" s="365">
        <f>AD10</f>
        <v>5.9127679044454062</v>
      </c>
      <c r="AE12" s="364">
        <f>AE10</f>
        <v>121.36112315176032</v>
      </c>
      <c r="AF12" s="291">
        <f>1560*10^((LOG10(AU12/55.6)+LOG10(AV12/158.9))/2)</f>
        <v>69.83321717237439</v>
      </c>
      <c r="AG12" s="364">
        <f>AG10</f>
        <v>253.361315802148</v>
      </c>
      <c r="AH12" s="351"/>
      <c r="AI12" s="351">
        <f>AI6*$BH6+AI10*$BH10</f>
        <v>1.3769267698216328E-2</v>
      </c>
      <c r="AJ12" s="358">
        <f>AJ10</f>
        <v>0.29482348408226172</v>
      </c>
      <c r="AK12" s="355">
        <f>AK6*$BH6+AK10*$BH10</f>
        <v>159.7331511503379</v>
      </c>
      <c r="AL12" s="352">
        <f>AL6*$BH6+AL10*$BH10</f>
        <v>19.377475903836924</v>
      </c>
      <c r="AM12" s="352">
        <f t="shared" ref="AM12:AY12" si="7">AM6*$BH6+AM10*$BH10</f>
        <v>50.087178256213313</v>
      </c>
      <c r="AN12" s="352">
        <f t="shared" si="7"/>
        <v>1.5129538331546</v>
      </c>
      <c r="AO12" s="352">
        <f t="shared" si="7"/>
        <v>29.198478525794901</v>
      </c>
      <c r="AP12" s="352">
        <f t="shared" si="7"/>
        <v>8.6878326378374382</v>
      </c>
      <c r="AQ12" s="352">
        <f t="shared" si="7"/>
        <v>1.1051362679567194</v>
      </c>
      <c r="AR12" s="352">
        <f t="shared" si="7"/>
        <v>2.4762337420920577</v>
      </c>
      <c r="AS12" s="352">
        <f t="shared" si="7"/>
        <v>1.7946992872705787</v>
      </c>
      <c r="AT12" s="352">
        <f t="shared" si="7"/>
        <v>12.541504525076382</v>
      </c>
      <c r="AU12" s="352">
        <f t="shared" si="7"/>
        <v>2.4968536176576941</v>
      </c>
      <c r="AV12" s="352">
        <f t="shared" si="7"/>
        <v>7.0905595794408729</v>
      </c>
      <c r="AW12" s="352">
        <f t="shared" si="7"/>
        <v>1.2047235531303213</v>
      </c>
      <c r="AX12" s="352">
        <f t="shared" si="7"/>
        <v>6.7938306436722193</v>
      </c>
      <c r="AY12" s="352">
        <f t="shared" si="7"/>
        <v>0.93421448354813708</v>
      </c>
      <c r="AZ12" s="351">
        <f>AZ6*$BH6+AZ10*$BH10</f>
        <v>6.830909930204216</v>
      </c>
      <c r="BA12" s="351">
        <f>BA6*$BH6+BA10*$BH10</f>
        <v>0.91542819158757704</v>
      </c>
      <c r="BB12" s="365">
        <f>BB10</f>
        <v>0.50240090545682214</v>
      </c>
      <c r="BC12" s="352">
        <f>BC6*$BH6+BC10*$BH10</f>
        <v>3.7760737102551802</v>
      </c>
      <c r="BD12" s="352">
        <f>BD6*$BH6+BD10*$BH10</f>
        <v>3.460644780087891</v>
      </c>
      <c r="BE12" s="351">
        <f>BE6*$BH6+BE10*$BH10</f>
        <v>3.9603674434063296</v>
      </c>
      <c r="BF12" s="351">
        <f>BF6*$BH6+BF10*$BH10</f>
        <v>1.1028453783374572</v>
      </c>
      <c r="BG12" s="39">
        <f>SUM(BG6,BG8)</f>
        <v>270.78999999999996</v>
      </c>
      <c r="BI12" s="72"/>
      <c r="BJ12" s="37"/>
      <c r="BK12" s="37"/>
      <c r="BL12" s="37"/>
    </row>
    <row r="13" spans="1:70" s="36" customFormat="1" x14ac:dyDescent="0.2">
      <c r="E13"/>
      <c r="F13" s="34"/>
      <c r="G13" s="34"/>
      <c r="H13" s="37"/>
      <c r="I13" s="34"/>
      <c r="J13" s="37"/>
      <c r="K13" s="34"/>
      <c r="L13" s="34"/>
      <c r="M13" s="37"/>
      <c r="N13" s="37"/>
      <c r="O13" s="37"/>
      <c r="P13" s="34"/>
      <c r="Q13" s="38" t="e">
        <f t="shared" si="0"/>
        <v>#DIV/0!</v>
      </c>
      <c r="R13" s="34"/>
      <c r="S13" s="34"/>
      <c r="T13" s="72"/>
      <c r="U13" s="35"/>
      <c r="V13" s="35"/>
      <c r="W13" s="34"/>
      <c r="X13" s="72"/>
      <c r="Y13" s="35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5"/>
      <c r="AL13" s="72"/>
      <c r="AM13" s="72"/>
      <c r="AN13" s="72"/>
      <c r="AO13" s="72"/>
      <c r="AP13" s="34"/>
      <c r="AQ13" s="34"/>
      <c r="AR13" s="34"/>
      <c r="AS13" s="34"/>
      <c r="AT13" s="34"/>
      <c r="AU13" s="34"/>
      <c r="AV13" s="34"/>
      <c r="AW13" s="34"/>
      <c r="AX13" s="34"/>
      <c r="AY13" s="37"/>
      <c r="AZ13" s="34"/>
      <c r="BA13" s="34"/>
      <c r="BB13" s="34"/>
      <c r="BC13" s="34"/>
      <c r="BD13" s="34"/>
      <c r="BE13" s="34"/>
      <c r="BF13" s="34"/>
      <c r="BG13" s="72"/>
      <c r="BJ13" s="37"/>
      <c r="BK13" s="37"/>
      <c r="BL13" s="37"/>
    </row>
    <row r="14" spans="1:70" x14ac:dyDescent="0.2">
      <c r="E14" s="48"/>
      <c r="P14" s="38"/>
      <c r="Q14" s="38" t="e">
        <f t="shared" si="0"/>
        <v>#DIV/0!</v>
      </c>
      <c r="R14" s="49"/>
      <c r="S14" s="38"/>
      <c r="T14" s="39"/>
      <c r="V14" s="76"/>
      <c r="W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L14" s="39"/>
      <c r="AM14" s="39"/>
      <c r="AN14" s="39"/>
      <c r="AO14" s="39"/>
      <c r="AP14" s="38"/>
      <c r="AQ14" s="38"/>
      <c r="AR14" s="38"/>
      <c r="AS14" s="38"/>
      <c r="AT14" s="38"/>
      <c r="AU14" s="38"/>
      <c r="AV14" s="38"/>
      <c r="AW14" s="38"/>
      <c r="AX14" s="38"/>
      <c r="AZ14" s="38"/>
      <c r="BA14" s="38"/>
      <c r="BB14" s="38"/>
      <c r="BC14" s="38"/>
      <c r="BD14" s="38"/>
      <c r="BE14" s="39"/>
      <c r="BF14" s="38"/>
      <c r="BG14" s="39"/>
    </row>
    <row r="15" spans="1:70" x14ac:dyDescent="0.2">
      <c r="E15" s="48"/>
      <c r="P15" s="38"/>
      <c r="Q15" s="38" t="e">
        <f t="shared" si="0"/>
        <v>#DIV/0!</v>
      </c>
      <c r="R15" s="49"/>
      <c r="S15" s="38"/>
      <c r="T15" s="39"/>
      <c r="V15" s="39">
        <f>V6/T6</f>
        <v>59.738127729057616</v>
      </c>
      <c r="W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L15" s="39"/>
      <c r="AM15" s="39"/>
      <c r="AN15" s="39"/>
      <c r="AO15" s="39"/>
      <c r="AP15" s="38"/>
      <c r="AQ15" s="38"/>
      <c r="AR15" s="38"/>
      <c r="AS15" s="38"/>
      <c r="AT15" s="38"/>
      <c r="AU15" s="38"/>
      <c r="AV15" s="38"/>
      <c r="AW15" s="38"/>
      <c r="AX15" s="38"/>
      <c r="AZ15" s="38"/>
      <c r="BA15" s="38"/>
      <c r="BB15" s="38"/>
      <c r="BC15" s="38"/>
      <c r="BD15" s="38"/>
      <c r="BE15" s="39"/>
      <c r="BF15" s="38"/>
      <c r="BG15" s="39"/>
    </row>
    <row r="16" spans="1:70" x14ac:dyDescent="0.2">
      <c r="E16" s="48"/>
      <c r="P16" s="38"/>
      <c r="Q16" s="38" t="e">
        <f t="shared" si="0"/>
        <v>#DIV/0!</v>
      </c>
      <c r="R16" s="49"/>
      <c r="S16" s="38"/>
      <c r="T16" s="39"/>
      <c r="V16" s="76"/>
      <c r="W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L16" s="39"/>
      <c r="AM16" s="39"/>
      <c r="AN16" s="39"/>
      <c r="AO16" s="39"/>
      <c r="AP16" s="38"/>
      <c r="AQ16" s="38"/>
      <c r="AR16" s="38"/>
      <c r="AS16" s="38"/>
      <c r="AT16" s="38"/>
      <c r="AU16" s="38"/>
      <c r="AV16" s="38"/>
      <c r="AW16" s="38"/>
      <c r="AX16" s="38"/>
      <c r="AZ16" s="38"/>
      <c r="BA16" s="38"/>
      <c r="BB16" s="38"/>
      <c r="BC16" s="38"/>
      <c r="BD16" s="38"/>
      <c r="BE16" s="39"/>
      <c r="BF16" s="38"/>
      <c r="BG16" s="39"/>
    </row>
    <row r="17" spans="1:70" x14ac:dyDescent="0.2">
      <c r="A17" s="50" t="s">
        <v>142</v>
      </c>
      <c r="B17" s="71" t="s">
        <v>467</v>
      </c>
      <c r="C17" s="50" t="s">
        <v>466</v>
      </c>
      <c r="E17" s="48"/>
      <c r="F17" s="38">
        <f>0.44*1.6683</f>
        <v>0.73405199999999993</v>
      </c>
      <c r="G17" s="38">
        <f>11.2*1.8895</f>
        <v>21.162399999999998</v>
      </c>
      <c r="H17" s="49">
        <f>V17*1.4616/10000</f>
        <v>0.19015415999999999</v>
      </c>
      <c r="I17" s="38">
        <f>7.85*1.2865</f>
        <v>10.099024999999999</v>
      </c>
      <c r="J17" s="49">
        <f>0.1133*1.2912</f>
        <v>0.14629296</v>
      </c>
      <c r="K17" s="48">
        <f>I17*BJ$5</f>
        <v>7.9562890569832891</v>
      </c>
      <c r="L17" s="38">
        <f>9.81*1.3992</f>
        <v>13.726152000000001</v>
      </c>
      <c r="M17" s="49">
        <f>0.359*1.348</f>
        <v>0.48393200000000003</v>
      </c>
      <c r="N17" s="49">
        <f>0.204*1.2046</f>
        <v>0.24573839999999997</v>
      </c>
      <c r="P17" s="38"/>
      <c r="Q17" s="38">
        <f t="shared" si="0"/>
        <v>58.409287572380627</v>
      </c>
      <c r="R17" s="49"/>
      <c r="S17" s="38"/>
      <c r="T17" s="39">
        <v>22.49</v>
      </c>
      <c r="U17" s="76">
        <v>54</v>
      </c>
      <c r="V17" s="76">
        <v>1301</v>
      </c>
      <c r="W17" s="38"/>
      <c r="X17" s="39">
        <v>25.11</v>
      </c>
      <c r="Y17" s="76">
        <v>273</v>
      </c>
      <c r="Z17" s="38"/>
      <c r="AA17" s="38"/>
      <c r="AB17" s="38"/>
      <c r="AC17" s="38"/>
      <c r="AD17" s="39">
        <v>10.1</v>
      </c>
      <c r="AE17" s="76">
        <v>141</v>
      </c>
      <c r="AF17" s="76"/>
      <c r="AG17" s="76">
        <v>250</v>
      </c>
      <c r="AH17" s="76"/>
      <c r="AI17" s="76"/>
      <c r="AJ17" s="38">
        <v>0.37</v>
      </c>
      <c r="AK17" s="76">
        <v>224</v>
      </c>
      <c r="AL17" s="39">
        <v>21.09</v>
      </c>
      <c r="AM17" s="39">
        <v>53</v>
      </c>
      <c r="AN17" s="199">
        <f t="shared" ref="AN17:AN23" si="8">89.1*EXP((LN(AL17/234.7)+2*LN(AO17/452.4))/3)</f>
        <v>6.2889010311931584</v>
      </c>
      <c r="AO17" s="39">
        <v>28.3</v>
      </c>
      <c r="AP17" s="38">
        <v>9.3000000000000007</v>
      </c>
      <c r="AQ17" s="38">
        <v>1.1990000000000001</v>
      </c>
      <c r="AR17" s="38">
        <v>11</v>
      </c>
      <c r="AS17" s="38">
        <v>2.0099999999999998</v>
      </c>
      <c r="AT17" s="38">
        <v>13.23</v>
      </c>
      <c r="AU17" s="38">
        <v>2.83</v>
      </c>
      <c r="AV17" s="38"/>
      <c r="AW17" s="38">
        <v>1.6</v>
      </c>
      <c r="AX17" s="38">
        <v>7.52</v>
      </c>
      <c r="AY17" s="49">
        <v>1.036</v>
      </c>
      <c r="AZ17" s="38">
        <v>7.69</v>
      </c>
      <c r="BA17" s="38">
        <v>0.96599999999999997</v>
      </c>
      <c r="BB17" s="38">
        <v>0.55000000000000004</v>
      </c>
      <c r="BC17" s="39">
        <v>3</v>
      </c>
      <c r="BD17" s="39">
        <v>3</v>
      </c>
      <c r="BE17" s="39">
        <v>4.4000000000000004</v>
      </c>
      <c r="BF17" s="38">
        <v>1.24</v>
      </c>
      <c r="BG17" s="39">
        <v>18.100000000000001</v>
      </c>
      <c r="BH17" s="50">
        <v>18.899999999999999</v>
      </c>
      <c r="BI17" s="39">
        <f t="shared" ref="BI17:BI22" si="9">V17/T17</f>
        <v>57.847932414406408</v>
      </c>
      <c r="BJ17" s="45" t="s">
        <v>473</v>
      </c>
      <c r="BK17" s="45"/>
      <c r="BL17" s="45"/>
      <c r="BM17" s="49">
        <f t="shared" ref="BM17:BM22" si="10">BD17/Y17</f>
        <v>1.098901098901099E-2</v>
      </c>
      <c r="BP17" s="116">
        <f t="shared" ref="BP17:BP23" si="11">196.6*10^(LOG10(AP17/147.1)+(LOG10(AP17/147.1)-LOG10(AL17/234.7))*0.4)</f>
        <v>10.798825007742737</v>
      </c>
      <c r="BQ17" s="116">
        <f t="shared" ref="BQ17:BQ23" si="12">196.6*10^(LOG10(AP17/147.1)+0.6666*(LOG10(AS17/36.3)-LOG10(AP17/147.1)))</f>
        <v>11.378117100188538</v>
      </c>
      <c r="BR17" s="116">
        <f t="shared" ref="BR17:BR23" si="13">196.6*10^(LOG10(AS17/36.3)-(LOG10(AX17/162.5)-LOG10(AS17/36.3))/5)</f>
        <v>11.283866446696708</v>
      </c>
    </row>
    <row r="18" spans="1:70" x14ac:dyDescent="0.2">
      <c r="A18" s="50" t="s">
        <v>142</v>
      </c>
      <c r="B18" s="71" t="s">
        <v>468</v>
      </c>
      <c r="C18" s="50" t="s">
        <v>466</v>
      </c>
      <c r="E18" s="48"/>
      <c r="F18" s="38">
        <f>0.59*1.6683</f>
        <v>0.98429699999999987</v>
      </c>
      <c r="G18" s="38">
        <f>10.72*1.8895</f>
        <v>20.25544</v>
      </c>
      <c r="H18" s="49">
        <f>V18*1.4616/10000</f>
        <v>0.16749936000000001</v>
      </c>
      <c r="I18" s="38">
        <f>7.66*1.2865</f>
        <v>9.85459</v>
      </c>
      <c r="J18" s="49">
        <f>0.1068*1.2912</f>
        <v>0.13790015999999999</v>
      </c>
      <c r="K18" s="38">
        <f>3.9*1.6583</f>
        <v>6.4673699999999998</v>
      </c>
      <c r="L18" s="38">
        <f>9.36*1.3992</f>
        <v>13.096511999999999</v>
      </c>
      <c r="M18" s="49">
        <f>0.367*1.348</f>
        <v>0.49471600000000004</v>
      </c>
      <c r="N18" s="49">
        <f>0.192*1.2046</f>
        <v>0.23128319999999999</v>
      </c>
      <c r="P18" s="38"/>
      <c r="Q18" s="38">
        <f t="shared" si="0"/>
        <v>53.914632338286147</v>
      </c>
      <c r="R18" s="49"/>
      <c r="S18" s="38"/>
      <c r="T18" s="39">
        <v>21.6</v>
      </c>
      <c r="U18" s="76">
        <v>65</v>
      </c>
      <c r="V18" s="76">
        <v>1146</v>
      </c>
      <c r="W18" s="38"/>
      <c r="X18" s="39">
        <v>23.97</v>
      </c>
      <c r="Y18" s="76">
        <v>159</v>
      </c>
      <c r="Z18" s="39">
        <v>5.68</v>
      </c>
      <c r="AA18" s="38"/>
      <c r="AB18" s="38"/>
      <c r="AC18" s="38"/>
      <c r="AD18" s="39">
        <v>9</v>
      </c>
      <c r="AE18" s="76">
        <v>150.4</v>
      </c>
      <c r="AF18" s="76"/>
      <c r="AG18" s="76">
        <v>375</v>
      </c>
      <c r="AH18" s="76"/>
      <c r="AI18" s="76"/>
      <c r="AJ18" s="38">
        <v>0.37</v>
      </c>
      <c r="AK18" s="76">
        <v>271</v>
      </c>
      <c r="AL18" s="39">
        <v>22.63</v>
      </c>
      <c r="AM18" s="39">
        <v>54.6</v>
      </c>
      <c r="AN18" s="199">
        <f t="shared" si="8"/>
        <v>6.6490167579195436</v>
      </c>
      <c r="AO18" s="39">
        <v>29.7</v>
      </c>
      <c r="AP18" s="38">
        <v>10.02</v>
      </c>
      <c r="AQ18" s="38">
        <v>1.3560000000000001</v>
      </c>
      <c r="AR18" s="38">
        <v>10</v>
      </c>
      <c r="AS18" s="38">
        <v>1.946</v>
      </c>
      <c r="AT18" s="38">
        <v>13.4</v>
      </c>
      <c r="AU18" s="38">
        <v>2.96</v>
      </c>
      <c r="AV18" s="38"/>
      <c r="AW18" s="38">
        <v>1.45</v>
      </c>
      <c r="AX18" s="38">
        <v>8.1</v>
      </c>
      <c r="AY18" s="49">
        <v>1.05</v>
      </c>
      <c r="AZ18" s="38">
        <v>7.93</v>
      </c>
      <c r="BA18" s="38">
        <v>1.0149999999999999</v>
      </c>
      <c r="BB18" s="38">
        <v>0.8</v>
      </c>
      <c r="BC18" s="39">
        <v>3.34</v>
      </c>
      <c r="BD18" s="39">
        <v>2.16</v>
      </c>
      <c r="BE18" s="39">
        <v>4.3029999999999999</v>
      </c>
      <c r="BF18" s="38">
        <v>1.1499999999999999</v>
      </c>
      <c r="BG18" s="39">
        <v>6.2</v>
      </c>
      <c r="BH18" s="50">
        <v>6.1</v>
      </c>
      <c r="BI18" s="39">
        <f t="shared" si="9"/>
        <v>53.05555555555555</v>
      </c>
      <c r="BJ18" s="49">
        <f>K18/I18</f>
        <v>0.65627996700014912</v>
      </c>
      <c r="BM18" s="49">
        <f t="shared" si="10"/>
        <v>1.358490566037736E-2</v>
      </c>
      <c r="BP18" s="116">
        <f t="shared" si="11"/>
        <v>11.653919022996714</v>
      </c>
      <c r="BQ18" s="116">
        <f t="shared" si="12"/>
        <v>11.415622662137784</v>
      </c>
      <c r="BR18" s="116">
        <f t="shared" si="13"/>
        <v>10.694011230806371</v>
      </c>
    </row>
    <row r="19" spans="1:70" x14ac:dyDescent="0.2">
      <c r="A19" s="50" t="s">
        <v>142</v>
      </c>
      <c r="B19" s="71" t="s">
        <v>469</v>
      </c>
      <c r="C19" s="50" t="s">
        <v>466</v>
      </c>
      <c r="E19" s="48"/>
      <c r="F19" s="38">
        <f>0.51*1.6683</f>
        <v>0.85083299999999995</v>
      </c>
      <c r="G19" s="38">
        <f>11.4*1.8895</f>
        <v>21.540299999999998</v>
      </c>
      <c r="H19" s="49">
        <f>V19*1.4616/10000</f>
        <v>0.16062984</v>
      </c>
      <c r="I19" s="38">
        <f>6.87*1.2865</f>
        <v>8.8382550000000002</v>
      </c>
      <c r="J19" s="49">
        <f>0.095*1.2912</f>
        <v>0.122664</v>
      </c>
      <c r="K19" s="38">
        <f>4.9*1.6583</f>
        <v>8.1256700000000013</v>
      </c>
      <c r="L19" s="38">
        <f>9.7*1.3992</f>
        <v>13.572239999999999</v>
      </c>
      <c r="M19" s="49">
        <f>0.36*1.348</f>
        <v>0.48527999999999999</v>
      </c>
      <c r="N19" s="49">
        <f>0.203*1.2046</f>
        <v>0.2445338</v>
      </c>
      <c r="P19" s="38"/>
      <c r="Q19" s="38">
        <f t="shared" si="0"/>
        <v>62.105132346662259</v>
      </c>
      <c r="R19" s="49"/>
      <c r="S19" s="38"/>
      <c r="T19" s="39">
        <v>17.68</v>
      </c>
      <c r="U19" s="76">
        <v>48</v>
      </c>
      <c r="V19" s="76">
        <v>1099</v>
      </c>
      <c r="W19" s="38"/>
      <c r="X19" s="39">
        <v>26.9</v>
      </c>
      <c r="Y19" s="76">
        <v>202</v>
      </c>
      <c r="Z19" s="39">
        <v>7.2</v>
      </c>
      <c r="AA19" s="38"/>
      <c r="AB19" s="38"/>
      <c r="AC19" s="38"/>
      <c r="AD19" s="39">
        <v>7.7</v>
      </c>
      <c r="AE19" s="76">
        <v>153</v>
      </c>
      <c r="AF19" s="76"/>
      <c r="AG19" s="76">
        <v>187</v>
      </c>
      <c r="AH19" s="76"/>
      <c r="AI19" s="76"/>
      <c r="AJ19" s="38">
        <v>0.44</v>
      </c>
      <c r="AK19" s="76">
        <v>241</v>
      </c>
      <c r="AL19" s="39">
        <v>20.23</v>
      </c>
      <c r="AM19" s="39">
        <v>51.6</v>
      </c>
      <c r="AN19" s="199">
        <f t="shared" si="8"/>
        <v>6.5481078113691877</v>
      </c>
      <c r="AO19" s="39">
        <v>30.7</v>
      </c>
      <c r="AP19" s="38">
        <v>8.7100000000000009</v>
      </c>
      <c r="AQ19" s="38">
        <v>1.282</v>
      </c>
      <c r="AR19" s="200">
        <f>AVERAGE(BP19:BR19)</f>
        <v>10.265261721093582</v>
      </c>
      <c r="AS19" s="38">
        <v>1.83</v>
      </c>
      <c r="AT19" s="38">
        <v>13.2</v>
      </c>
      <c r="AU19" s="38">
        <v>2.4900000000000002</v>
      </c>
      <c r="AV19" s="38"/>
      <c r="AW19" s="38">
        <v>1.06</v>
      </c>
      <c r="AX19" s="38">
        <v>6.69</v>
      </c>
      <c r="AY19" s="49">
        <v>0.94499999999999995</v>
      </c>
      <c r="AZ19" s="38">
        <v>6.58</v>
      </c>
      <c r="BA19" s="38">
        <v>0.95</v>
      </c>
      <c r="BB19" s="38">
        <v>0.46</v>
      </c>
      <c r="BC19" s="39">
        <v>6</v>
      </c>
      <c r="BD19" s="39">
        <v>6</v>
      </c>
      <c r="BE19" s="39">
        <v>3.76</v>
      </c>
      <c r="BF19" s="38">
        <v>1.06</v>
      </c>
      <c r="BG19" s="39">
        <v>38.86</v>
      </c>
      <c r="BH19" s="50">
        <v>38.799999999999997</v>
      </c>
      <c r="BI19" s="39">
        <f t="shared" si="9"/>
        <v>62.160633484162894</v>
      </c>
      <c r="BJ19" s="49">
        <f>K19/I19</f>
        <v>0.91937492185957537</v>
      </c>
      <c r="BM19" s="49">
        <f t="shared" si="10"/>
        <v>2.9702970297029702E-2</v>
      </c>
      <c r="BP19" s="116">
        <f t="shared" si="11"/>
        <v>10.017470482634863</v>
      </c>
      <c r="BQ19" s="116">
        <f t="shared" si="12"/>
        <v>10.457301786052817</v>
      </c>
      <c r="BR19" s="116">
        <f t="shared" si="13"/>
        <v>10.321012894593066</v>
      </c>
    </row>
    <row r="20" spans="1:70" x14ac:dyDescent="0.2">
      <c r="A20" s="71"/>
      <c r="B20" s="71" t="s">
        <v>197</v>
      </c>
      <c r="D20" s="39"/>
      <c r="E20" s="48">
        <v>45.8</v>
      </c>
      <c r="F20" s="38">
        <f t="shared" ref="F20:N20" si="14">(F17*$BG17+F18*$BG18+F19*$BG19)/$BG20</f>
        <v>0.83046790658644709</v>
      </c>
      <c r="G20" s="38">
        <f t="shared" si="14"/>
        <v>21.305877549081696</v>
      </c>
      <c r="H20" s="49">
        <f t="shared" si="14"/>
        <v>0.16976507141228628</v>
      </c>
      <c r="I20" s="38">
        <f t="shared" si="14"/>
        <v>9.2993255193160227</v>
      </c>
      <c r="J20" s="49">
        <f t="shared" si="14"/>
        <v>0.13093107359088033</v>
      </c>
      <c r="K20" s="38">
        <f t="shared" si="14"/>
        <v>7.9143455055636096</v>
      </c>
      <c r="L20" s="38">
        <f t="shared" si="14"/>
        <v>13.569648068397722</v>
      </c>
      <c r="M20" s="49">
        <f t="shared" si="14"/>
        <v>0.4858199683343889</v>
      </c>
      <c r="N20" s="49">
        <f t="shared" si="14"/>
        <v>0.24357828290056999</v>
      </c>
      <c r="O20"/>
      <c r="P20" s="38"/>
      <c r="Q20" s="38">
        <f t="shared" si="0"/>
        <v>60.271950301063114</v>
      </c>
      <c r="R20" s="38"/>
      <c r="S20" s="38"/>
      <c r="T20" s="39">
        <f>(T17*$BG17+T18*$BG18+T19*$BG19)/$BG20</f>
        <v>19.443220392653583</v>
      </c>
      <c r="U20" s="76">
        <f>(U17*$BG17+U18*$BG18+U19*$BG19)/$BG20</f>
        <v>51.388220392653587</v>
      </c>
      <c r="V20" s="76">
        <f>(V17*$BG17+V18*$BG18+V19*$BG19)/$BG20</f>
        <v>1161.5015832805575</v>
      </c>
      <c r="W20" s="38"/>
      <c r="X20" s="39">
        <f>(X17*$BG17+X18*$BG18+X19*$BG19)/$BG20</f>
        <v>26.099414186193794</v>
      </c>
      <c r="Y20" s="76">
        <f>(Y17*$BG17+Y18*$BG18+Y19*$BG19)/$BG20</f>
        <v>218.12571247625081</v>
      </c>
      <c r="Z20" s="39">
        <f>(Z17*$BG17+Z18*$BG18+Z19*$BG19)/$BG20</f>
        <v>4.9874604179860684</v>
      </c>
      <c r="AA20" s="38"/>
      <c r="AB20" s="38"/>
      <c r="AC20" s="38"/>
      <c r="AD20" s="39">
        <f>(AD17*$BG17+AD18*$BG18+AD19*$BG19)/$BG20</f>
        <v>8.5153894870170994</v>
      </c>
      <c r="AE20" s="76">
        <f>(AE17*$BG17+AE18*$BG18+AE19*$BG19)/$BG20</f>
        <v>149.30588980367321</v>
      </c>
      <c r="AF20" s="76"/>
      <c r="AG20" s="76">
        <f t="shared" ref="AG20:BF20" si="15">(AG17*$BG17+AG18*$BG18+AG19*$BG19)/$BG20</f>
        <v>223.50886637112097</v>
      </c>
      <c r="AH20" s="76"/>
      <c r="AI20" s="76"/>
      <c r="AJ20" s="38">
        <f t="shared" si="15"/>
        <v>0.41306839772007603</v>
      </c>
      <c r="AK20" s="76">
        <f t="shared" si="15"/>
        <v>239.07314756174796</v>
      </c>
      <c r="AL20" s="39">
        <f t="shared" si="15"/>
        <v>20.712045598480053</v>
      </c>
      <c r="AM20" s="39">
        <f t="shared" si="15"/>
        <v>52.295693476884111</v>
      </c>
      <c r="AN20" s="199">
        <f t="shared" si="8"/>
        <v>6.4865859480673542</v>
      </c>
      <c r="AO20" s="39">
        <f t="shared" si="15"/>
        <v>29.914059531348954</v>
      </c>
      <c r="AP20" s="38">
        <f t="shared" si="15"/>
        <v>9.0076725775807489</v>
      </c>
      <c r="AQ20" s="38">
        <f t="shared" si="15"/>
        <v>1.2654784673844206</v>
      </c>
      <c r="AR20" s="200">
        <f>AVERAGE(BP20:BR20)</f>
        <v>10.616518920536862</v>
      </c>
      <c r="AS20" s="38">
        <f t="shared" si="15"/>
        <v>1.8929702343255226</v>
      </c>
      <c r="AT20" s="38">
        <f t="shared" si="15"/>
        <v>13.228229892336923</v>
      </c>
      <c r="AU20" s="38">
        <f t="shared" si="15"/>
        <v>2.6335718809373025</v>
      </c>
      <c r="AV20" s="38"/>
      <c r="AW20" s="38">
        <f t="shared" si="15"/>
        <v>1.2530335655478153</v>
      </c>
      <c r="AX20" s="38">
        <f t="shared" si="15"/>
        <v>7.0662666244458521</v>
      </c>
      <c r="AY20" s="49">
        <f t="shared" si="15"/>
        <v>0.98138537048765051</v>
      </c>
      <c r="AZ20" s="38">
        <f t="shared" si="15"/>
        <v>7.0306174794173533</v>
      </c>
      <c r="BA20" s="38">
        <f t="shared" si="15"/>
        <v>0.96096580113996199</v>
      </c>
      <c r="BB20" s="38"/>
      <c r="BC20" s="39">
        <f t="shared" si="15"/>
        <v>4.8791640278657384</v>
      </c>
      <c r="BD20" s="39">
        <f t="shared" si="15"/>
        <v>4.7633312222925905</v>
      </c>
      <c r="BE20" s="39">
        <f t="shared" si="15"/>
        <v>3.9967099430019006</v>
      </c>
      <c r="BF20" s="38">
        <f t="shared" si="15"/>
        <v>1.1204179860671313</v>
      </c>
      <c r="BG20" s="39">
        <f>SUM(BG17:BG19)</f>
        <v>63.16</v>
      </c>
      <c r="BI20" s="39"/>
      <c r="BM20" s="49">
        <f t="shared" si="10"/>
        <v>2.1837550320030312E-2</v>
      </c>
      <c r="BP20" s="116">
        <f t="shared" si="11"/>
        <v>10.401582983280109</v>
      </c>
      <c r="BQ20" s="116">
        <f t="shared" si="12"/>
        <v>10.816321243070593</v>
      </c>
      <c r="BR20" s="116">
        <f t="shared" si="13"/>
        <v>10.631652535259883</v>
      </c>
    </row>
    <row r="21" spans="1:70" x14ac:dyDescent="0.2">
      <c r="A21" s="50" t="s">
        <v>142</v>
      </c>
      <c r="B21" s="50" t="s">
        <v>470</v>
      </c>
      <c r="F21" s="38">
        <f>0.37*1.6683</f>
        <v>0.6172709999999999</v>
      </c>
      <c r="G21" s="38">
        <f>11.61*1.8895</f>
        <v>21.937094999999999</v>
      </c>
      <c r="H21" s="49">
        <f>V21*1.4616/10000</f>
        <v>0.12204359999999999</v>
      </c>
      <c r="I21" s="38">
        <f>5.82*1.2865</f>
        <v>7.4874299999999998</v>
      </c>
      <c r="J21" s="49">
        <f>0.0851*1.2912</f>
        <v>0.10988111999999998</v>
      </c>
      <c r="K21" s="38">
        <f>2.5*1.6583</f>
        <v>4.1457500000000005</v>
      </c>
      <c r="L21" s="38">
        <f>10.05*1.3992</f>
        <v>14.061960000000001</v>
      </c>
      <c r="M21" s="49">
        <f>0.345*1.348</f>
        <v>0.46505999999999997</v>
      </c>
      <c r="N21" s="49">
        <f>0.159*1.2046</f>
        <v>0.19153139999999999</v>
      </c>
      <c r="O21"/>
      <c r="P21" s="38"/>
      <c r="Q21" s="38">
        <f t="shared" si="0"/>
        <v>49.673312610270372</v>
      </c>
      <c r="R21" s="38"/>
      <c r="S21" s="38"/>
      <c r="T21" s="39">
        <v>15.66</v>
      </c>
      <c r="U21" s="76">
        <v>47</v>
      </c>
      <c r="V21" s="76">
        <v>835</v>
      </c>
      <c r="W21" s="38"/>
      <c r="X21" s="39">
        <v>19.55</v>
      </c>
      <c r="Y21" s="76">
        <v>129</v>
      </c>
      <c r="Z21" s="39"/>
      <c r="AA21" s="38"/>
      <c r="AB21" s="38"/>
      <c r="AC21" s="38"/>
      <c r="AD21" s="39">
        <v>6.1</v>
      </c>
      <c r="AE21" s="76">
        <v>160</v>
      </c>
      <c r="AF21" s="76"/>
      <c r="AG21" s="76">
        <v>212</v>
      </c>
      <c r="AH21" s="76"/>
      <c r="AI21" s="76"/>
      <c r="AJ21" s="38">
        <v>0.28000000000000003</v>
      </c>
      <c r="AK21" s="76">
        <v>153</v>
      </c>
      <c r="AL21" s="39">
        <v>18.7</v>
      </c>
      <c r="AM21" s="39">
        <v>41.7</v>
      </c>
      <c r="AN21" s="199">
        <f t="shared" si="8"/>
        <v>5.4536257269235433</v>
      </c>
      <c r="AO21" s="39">
        <v>24.27</v>
      </c>
      <c r="AP21" s="38">
        <v>7.41</v>
      </c>
      <c r="AQ21" s="38">
        <v>1.1459999999999999</v>
      </c>
      <c r="AR21" s="200">
        <f>AVERAGE(BP21:BR21)</f>
        <v>8.3801298758273663</v>
      </c>
      <c r="AS21" s="38">
        <v>1.4830000000000001</v>
      </c>
      <c r="AT21" s="38">
        <v>9.64</v>
      </c>
      <c r="AU21" s="38">
        <v>2.31</v>
      </c>
      <c r="AV21" s="38"/>
      <c r="AW21" s="38">
        <v>1.19</v>
      </c>
      <c r="AX21" s="38">
        <v>5.69</v>
      </c>
      <c r="AY21" s="49">
        <v>0.79600000000000004</v>
      </c>
      <c r="AZ21" s="38">
        <v>5.39</v>
      </c>
      <c r="BA21" s="38">
        <v>0.752</v>
      </c>
      <c r="BB21" s="38"/>
      <c r="BC21" s="39">
        <v>4</v>
      </c>
      <c r="BD21" s="39">
        <v>5.9</v>
      </c>
      <c r="BE21" s="39">
        <v>3.36</v>
      </c>
      <c r="BF21" s="38">
        <v>0.92</v>
      </c>
      <c r="BG21" s="39">
        <v>3</v>
      </c>
      <c r="BI21" s="39">
        <f t="shared" si="9"/>
        <v>53.320561941251597</v>
      </c>
      <c r="BJ21" s="49">
        <f>K21/I21</f>
        <v>0.55369465891500835</v>
      </c>
      <c r="BM21" s="49">
        <f t="shared" si="10"/>
        <v>4.5736434108527131E-2</v>
      </c>
      <c r="BP21" s="116">
        <f t="shared" si="11"/>
        <v>8.244035553680936</v>
      </c>
      <c r="BQ21" s="116">
        <f t="shared" si="12"/>
        <v>8.6128676562043118</v>
      </c>
      <c r="BR21" s="116">
        <f t="shared" si="13"/>
        <v>8.2834864175968512</v>
      </c>
    </row>
    <row r="22" spans="1:70" x14ac:dyDescent="0.2">
      <c r="A22" s="50" t="s">
        <v>142</v>
      </c>
      <c r="B22" s="71" t="s">
        <v>471</v>
      </c>
      <c r="F22" s="120">
        <v>0.83</v>
      </c>
      <c r="G22" s="38">
        <f>10.46*1.8895</f>
        <v>19.76417</v>
      </c>
      <c r="H22" s="49">
        <f>V22*1.4616/10000</f>
        <v>0.25607231999999996</v>
      </c>
      <c r="I22" s="38">
        <f>8.54*1.2865</f>
        <v>10.986709999999999</v>
      </c>
      <c r="J22" s="49">
        <f>0.1214*1.2912</f>
        <v>0.15675167999999998</v>
      </c>
      <c r="K22" s="38">
        <f>5.7*1.6583</f>
        <v>9.4523100000000007</v>
      </c>
      <c r="L22" s="38">
        <f>9.33*1.3992</f>
        <v>13.054536000000001</v>
      </c>
      <c r="M22" s="49">
        <f>0.376*1.348</f>
        <v>0.50684800000000008</v>
      </c>
      <c r="N22" s="49">
        <f>0.168*1.2046</f>
        <v>0.20237279999999999</v>
      </c>
      <c r="O22"/>
      <c r="P22" s="38"/>
      <c r="Q22" s="38">
        <f t="shared" si="0"/>
        <v>60.531165767937701</v>
      </c>
      <c r="R22" s="38"/>
      <c r="S22" s="38"/>
      <c r="T22" s="39">
        <v>24.88</v>
      </c>
      <c r="U22" s="76">
        <v>85</v>
      </c>
      <c r="V22" s="76">
        <v>1752</v>
      </c>
      <c r="W22" s="38"/>
      <c r="X22" s="39">
        <v>28.3</v>
      </c>
      <c r="Y22" s="76">
        <v>151</v>
      </c>
      <c r="Z22" s="39"/>
      <c r="AA22" s="38"/>
      <c r="AB22" s="38"/>
      <c r="AC22" s="38"/>
      <c r="AD22" s="39">
        <v>7.29</v>
      </c>
      <c r="AE22" s="76">
        <v>129</v>
      </c>
      <c r="AF22" s="76"/>
      <c r="AG22" s="76">
        <v>236</v>
      </c>
      <c r="AH22" s="76"/>
      <c r="AI22" s="76"/>
      <c r="AJ22" s="38">
        <v>0.33</v>
      </c>
      <c r="AK22" s="76">
        <v>215</v>
      </c>
      <c r="AL22" s="39">
        <v>19.3</v>
      </c>
      <c r="AM22" s="39">
        <v>48.3</v>
      </c>
      <c r="AN22" s="199">
        <f t="shared" si="8"/>
        <v>6.2486921135339051</v>
      </c>
      <c r="AO22" s="39">
        <v>29.3</v>
      </c>
      <c r="AP22" s="38">
        <v>8.7100000000000009</v>
      </c>
      <c r="AQ22" s="38">
        <v>1.1619999999999999</v>
      </c>
      <c r="AR22" s="200">
        <f>AVERAGE(BP22:BR22)</f>
        <v>10.012483904126634</v>
      </c>
      <c r="AS22" s="38">
        <v>1.7350000000000001</v>
      </c>
      <c r="AT22" s="38">
        <v>11.9</v>
      </c>
      <c r="AU22" s="38">
        <v>3.3</v>
      </c>
      <c r="AV22" s="38"/>
      <c r="AW22" s="38">
        <v>0.96</v>
      </c>
      <c r="AX22" s="38">
        <v>6.5</v>
      </c>
      <c r="AY22" s="49">
        <v>0.91</v>
      </c>
      <c r="AZ22" s="38">
        <v>5.5</v>
      </c>
      <c r="BA22" s="38">
        <v>0.82399999999999995</v>
      </c>
      <c r="BB22" s="38"/>
      <c r="BC22" s="39">
        <v>3</v>
      </c>
      <c r="BD22" s="39">
        <v>2</v>
      </c>
      <c r="BE22" s="39">
        <v>3.39</v>
      </c>
      <c r="BF22" s="38">
        <v>0.96599999999999997</v>
      </c>
      <c r="BG22" s="39">
        <v>0.3</v>
      </c>
      <c r="BI22" s="39">
        <f t="shared" si="9"/>
        <v>70.418006430868175</v>
      </c>
      <c r="BJ22" s="49">
        <f>K22/I22</f>
        <v>0.8603403566672827</v>
      </c>
      <c r="BM22" s="49">
        <f t="shared" si="10"/>
        <v>1.3245033112582781E-2</v>
      </c>
      <c r="BP22" s="116">
        <f t="shared" si="11"/>
        <v>10.207831696465979</v>
      </c>
      <c r="BQ22" s="116">
        <f t="shared" si="12"/>
        <v>10.092221596560883</v>
      </c>
      <c r="BR22" s="116">
        <f t="shared" si="13"/>
        <v>9.7373984193530418</v>
      </c>
    </row>
    <row r="23" spans="1:70" x14ac:dyDescent="0.2">
      <c r="A23" s="71"/>
      <c r="B23" s="71" t="s">
        <v>197</v>
      </c>
      <c r="D23" s="38">
        <f>SUM(E23:P23)</f>
        <v>99.738245148627712</v>
      </c>
      <c r="E23" s="48">
        <v>46</v>
      </c>
      <c r="F23" s="38">
        <f t="shared" ref="F23:N23" si="16">(F20*$BG20+F21*$BG21+F22*$BG22)/$BG23</f>
        <v>0.82084210021065307</v>
      </c>
      <c r="G23" s="38">
        <f t="shared" si="16"/>
        <v>21.327411405356607</v>
      </c>
      <c r="H23" s="49">
        <f t="shared" si="16"/>
        <v>0.16800051770087274</v>
      </c>
      <c r="I23" s="38">
        <f t="shared" si="16"/>
        <v>9.2251535179055093</v>
      </c>
      <c r="J23" s="49">
        <f t="shared" si="16"/>
        <v>0.13009743412578997</v>
      </c>
      <c r="K23" s="38">
        <f t="shared" si="16"/>
        <v>7.7511737154889797</v>
      </c>
      <c r="L23" s="38">
        <f t="shared" si="16"/>
        <v>13.589545783930186</v>
      </c>
      <c r="M23" s="49">
        <f t="shared" si="16"/>
        <v>0.48497778513391515</v>
      </c>
      <c r="N23" s="49">
        <f t="shared" si="16"/>
        <v>0.24104288877520316</v>
      </c>
      <c r="O23" s="45"/>
      <c r="P23" s="38"/>
      <c r="Q23" s="38">
        <f t="shared" si="0"/>
        <v>59.964464173181845</v>
      </c>
      <c r="R23" s="38"/>
      <c r="S23" s="38"/>
      <c r="T23" s="38">
        <f t="shared" ref="T23:BF23" si="17">(T20*$BG20+T21*$BG21+T22*$BG22)/$BG23</f>
        <v>19.296987661751434</v>
      </c>
      <c r="U23" s="76">
        <f t="shared" si="17"/>
        <v>51.341859765272353</v>
      </c>
      <c r="V23" s="76">
        <f t="shared" si="17"/>
        <v>1149.4288293710506</v>
      </c>
      <c r="W23" s="38"/>
      <c r="X23" s="39">
        <f t="shared" si="17"/>
        <v>25.81370749322901</v>
      </c>
      <c r="Y23" s="76">
        <f t="shared" si="17"/>
        <v>213.79957869395125</v>
      </c>
      <c r="Z23" s="39">
        <f t="shared" si="17"/>
        <v>4.7398134216069829</v>
      </c>
      <c r="AA23" s="38"/>
      <c r="AB23" s="38"/>
      <c r="AC23" s="38"/>
      <c r="AD23" s="39">
        <f t="shared" si="17"/>
        <v>8.4008275654529037</v>
      </c>
      <c r="AE23" s="76">
        <f t="shared" si="17"/>
        <v>149.69696057779117</v>
      </c>
      <c r="AF23" s="76"/>
      <c r="AG23" s="76">
        <f t="shared" si="17"/>
        <v>223.04574179957871</v>
      </c>
      <c r="AH23" s="76"/>
      <c r="AI23" s="76"/>
      <c r="AJ23" s="38">
        <f t="shared" si="17"/>
        <v>0.40668672885946439</v>
      </c>
      <c r="AK23" s="76">
        <f t="shared" si="17"/>
        <v>235.07914535058686</v>
      </c>
      <c r="AL23" s="39">
        <f t="shared" si="17"/>
        <v>20.614848028889558</v>
      </c>
      <c r="AM23" s="39">
        <f t="shared" si="17"/>
        <v>51.799368040926872</v>
      </c>
      <c r="AN23" s="199">
        <f t="shared" si="8"/>
        <v>6.4391973303844781</v>
      </c>
      <c r="AO23" s="38">
        <f t="shared" si="17"/>
        <v>29.656515197111045</v>
      </c>
      <c r="AP23" s="38">
        <f t="shared" si="17"/>
        <v>8.934210051158594</v>
      </c>
      <c r="AQ23" s="38">
        <f t="shared" si="17"/>
        <v>1.2596181161600966</v>
      </c>
      <c r="AR23" s="200">
        <f>AVERAGE(BP23:BR23)</f>
        <v>10.512556424404883</v>
      </c>
      <c r="AS23" s="38">
        <f t="shared" si="17"/>
        <v>1.873751128498345</v>
      </c>
      <c r="AT23" s="38">
        <f t="shared" si="17"/>
        <v>13.060261811616011</v>
      </c>
      <c r="AU23" s="38">
        <f t="shared" si="17"/>
        <v>2.6219741197712918</v>
      </c>
      <c r="AV23" s="38"/>
      <c r="AW23" s="38">
        <f t="shared" si="17"/>
        <v>1.2488654829972918</v>
      </c>
      <c r="AX23" s="38">
        <f t="shared" si="17"/>
        <v>7.0015859163406571</v>
      </c>
      <c r="AY23" s="49">
        <f t="shared" si="17"/>
        <v>0.97269485404754763</v>
      </c>
      <c r="AZ23" s="38">
        <f t="shared" si="17"/>
        <v>6.9496509178453216</v>
      </c>
      <c r="BA23" s="38">
        <f t="shared" si="17"/>
        <v>0.95091483599157389</v>
      </c>
      <c r="BB23" s="38"/>
      <c r="BC23" s="39">
        <f t="shared" si="17"/>
        <v>4.8309960878724043</v>
      </c>
      <c r="BD23" s="39">
        <f t="shared" si="17"/>
        <v>4.8021667168221489</v>
      </c>
      <c r="BE23" s="39">
        <f t="shared" si="17"/>
        <v>3.9652302136623536</v>
      </c>
      <c r="BF23" s="38">
        <f t="shared" si="17"/>
        <v>1.1106740896780021</v>
      </c>
      <c r="BG23" s="39">
        <f>SUM(BG20:BG22)</f>
        <v>66.459999999999994</v>
      </c>
      <c r="BH23" s="49" t="e">
        <f>BG23/#REF!</f>
        <v>#REF!</v>
      </c>
      <c r="BI23" s="39">
        <f>AVERAGE(BI17:BI22)</f>
        <v>59.360537965248923</v>
      </c>
      <c r="BJ23" s="49">
        <f>AVERAGE(BJ17:BJ22)</f>
        <v>0.74742247611050394</v>
      </c>
      <c r="BP23" s="116">
        <f t="shared" si="11"/>
        <v>10.302380244373024</v>
      </c>
      <c r="BQ23" s="116">
        <f t="shared" si="12"/>
        <v>10.713702262794248</v>
      </c>
      <c r="BR23" s="116">
        <f t="shared" si="13"/>
        <v>10.521586766047376</v>
      </c>
    </row>
    <row r="24" spans="1:70" x14ac:dyDescent="0.2">
      <c r="A24" s="71"/>
      <c r="B24" s="77"/>
      <c r="D24" s="34"/>
      <c r="E24" s="48"/>
      <c r="F24" s="34"/>
      <c r="G24" s="34"/>
      <c r="H24" s="37"/>
      <c r="I24" s="34"/>
      <c r="J24" s="37"/>
      <c r="K24" s="34"/>
      <c r="L24" s="34"/>
      <c r="M24" s="37"/>
      <c r="N24" s="37"/>
      <c r="O24"/>
      <c r="P24" s="38"/>
      <c r="Q24" s="38" t="e">
        <f t="shared" si="0"/>
        <v>#DIV/0!</v>
      </c>
      <c r="R24" s="38"/>
      <c r="S24" s="38"/>
      <c r="T24" s="34"/>
      <c r="U24" s="35"/>
      <c r="V24" s="35"/>
      <c r="W24" s="34"/>
      <c r="X24" s="72"/>
      <c r="Y24" s="35"/>
      <c r="Z24" s="72"/>
      <c r="AA24" s="34"/>
      <c r="AB24" s="34"/>
      <c r="AC24" s="34"/>
      <c r="AD24" s="72"/>
      <c r="AE24" s="35"/>
      <c r="AF24" s="35"/>
      <c r="AG24" s="35"/>
      <c r="AH24" s="35"/>
      <c r="AI24" s="35"/>
      <c r="AJ24" s="34"/>
      <c r="AK24" s="35"/>
      <c r="AL24" s="72"/>
      <c r="AM24" s="72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7"/>
      <c r="AZ24" s="34"/>
      <c r="BA24" s="34"/>
      <c r="BB24" s="34"/>
      <c r="BC24" s="72"/>
      <c r="BD24" s="72"/>
      <c r="BE24" s="72"/>
      <c r="BF24" s="34"/>
      <c r="BG24" s="39"/>
      <c r="BI24" s="72"/>
      <c r="BJ24" s="37"/>
      <c r="BK24" s="37"/>
      <c r="BL24" s="37"/>
    </row>
    <row r="25" spans="1:70" x14ac:dyDescent="0.2">
      <c r="A25" s="71"/>
      <c r="P25" s="38"/>
      <c r="Q25" s="38" t="e">
        <f t="shared" si="0"/>
        <v>#DIV/0!</v>
      </c>
      <c r="R25" s="38"/>
      <c r="S25" s="38"/>
      <c r="T25" s="39"/>
      <c r="V25" s="76"/>
      <c r="W25" s="38"/>
      <c r="Z25" s="38"/>
      <c r="AA25" s="38"/>
      <c r="AB25" s="38"/>
      <c r="AC25" s="38"/>
      <c r="AD25" s="38"/>
      <c r="AE25" s="76"/>
      <c r="AF25" s="76"/>
      <c r="AG25" s="76"/>
      <c r="AH25" s="76"/>
      <c r="AI25" s="76"/>
      <c r="AL25" s="39"/>
      <c r="AM25" s="39"/>
      <c r="AN25" s="39"/>
      <c r="AO25" s="39"/>
      <c r="AP25" s="38"/>
      <c r="AQ25" s="38"/>
      <c r="AR25" s="38"/>
      <c r="AS25" s="38"/>
      <c r="AT25" s="38"/>
      <c r="AU25" s="38"/>
      <c r="AV25" s="38"/>
      <c r="AW25" s="38"/>
      <c r="AX25" s="38"/>
      <c r="AZ25" s="38"/>
      <c r="BA25" s="38"/>
      <c r="BB25" s="38"/>
      <c r="BC25" s="38"/>
      <c r="BD25" s="38"/>
      <c r="BE25" s="38"/>
      <c r="BF25" s="38"/>
      <c r="BG25" s="39"/>
    </row>
    <row r="26" spans="1:70" ht="3.75" customHeight="1" x14ac:dyDescent="0.2">
      <c r="A26" s="71"/>
      <c r="P26" s="38"/>
      <c r="Q26" s="38" t="e">
        <f t="shared" si="0"/>
        <v>#DIV/0!</v>
      </c>
      <c r="R26" s="38"/>
      <c r="S26" s="38"/>
      <c r="T26" s="39"/>
      <c r="V26" s="76"/>
      <c r="W26" s="38"/>
      <c r="Z26" s="38"/>
      <c r="AA26" s="38"/>
      <c r="AB26" s="38"/>
      <c r="AC26" s="38"/>
      <c r="AD26" s="38"/>
      <c r="AE26" s="76"/>
      <c r="AF26" s="76"/>
      <c r="AG26" s="76"/>
      <c r="AH26" s="76"/>
      <c r="AI26" s="76"/>
      <c r="AL26" s="39"/>
      <c r="AM26" s="39"/>
      <c r="AN26" s="39"/>
      <c r="AO26" s="39"/>
      <c r="AP26" s="38"/>
      <c r="AQ26" s="38"/>
      <c r="AR26" s="38"/>
      <c r="AS26" s="38"/>
      <c r="AT26" s="38"/>
      <c r="AU26" s="38"/>
      <c r="AV26" s="38"/>
      <c r="AW26" s="38"/>
      <c r="AX26" s="38"/>
      <c r="AZ26" s="38"/>
      <c r="BA26" s="38"/>
      <c r="BB26" s="38"/>
      <c r="BC26" s="38"/>
      <c r="BD26" s="38"/>
      <c r="BE26" s="38"/>
      <c r="BF26" s="38"/>
      <c r="BG26" s="39"/>
    </row>
    <row r="27" spans="1:70" x14ac:dyDescent="0.2">
      <c r="A27" s="50" t="s">
        <v>900</v>
      </c>
      <c r="B27" s="50" t="s">
        <v>1224</v>
      </c>
      <c r="C27" s="50">
        <v>345</v>
      </c>
      <c r="D27" s="321">
        <v>0.68</v>
      </c>
      <c r="H27" s="49">
        <f>V27*1.4616/10000</f>
        <v>0.15149927847984879</v>
      </c>
      <c r="I27" s="38">
        <v>9.2196291566634301</v>
      </c>
      <c r="L27" s="38">
        <v>14.760519997956782</v>
      </c>
      <c r="M27" s="49">
        <v>0.38356980129744073</v>
      </c>
      <c r="N27" s="49" t="s">
        <v>1226</v>
      </c>
      <c r="P27" s="38"/>
      <c r="Q27" s="38">
        <f t="shared" si="0"/>
        <v>0</v>
      </c>
      <c r="R27" s="38"/>
      <c r="S27" s="38"/>
      <c r="T27" s="39">
        <v>26.797816825867088</v>
      </c>
      <c r="V27" s="76">
        <v>1036.5303672677121</v>
      </c>
      <c r="W27" s="38"/>
      <c r="X27" s="39">
        <v>18.613593502579555</v>
      </c>
      <c r="Y27" s="76">
        <v>128.46043826939771</v>
      </c>
      <c r="Z27" s="46">
        <v>40.681973744700407</v>
      </c>
      <c r="AA27" s="79"/>
      <c r="AB27" s="48">
        <v>0.35324258057925112</v>
      </c>
      <c r="AC27" s="79">
        <v>0.53375338407314687</v>
      </c>
      <c r="AD27" s="39">
        <v>0.96291566634315751</v>
      </c>
      <c r="AE27" s="76">
        <v>1581.0650252847724</v>
      </c>
      <c r="AF27" s="76"/>
      <c r="AG27" s="76">
        <v>74.74250395872707</v>
      </c>
      <c r="AH27" s="76"/>
      <c r="AI27" s="49">
        <v>1.2480359605659699E-2</v>
      </c>
      <c r="AJ27" s="38">
        <v>5.086070388721458E-2</v>
      </c>
      <c r="AK27" s="284">
        <v>536.76860601726503</v>
      </c>
      <c r="AL27" s="39">
        <v>5.2999341063492862</v>
      </c>
      <c r="AM27" s="39">
        <v>14.104800531235631</v>
      </c>
      <c r="AN27" s="199">
        <f>89.1*EXP((LN(AL27/234.7)+2*LN(AO27/452.4))/3)</f>
        <v>1.8378631459737758</v>
      </c>
      <c r="AO27" s="39">
        <v>8.9186085712826255</v>
      </c>
      <c r="AP27" s="38">
        <v>2.8432185728150374</v>
      </c>
      <c r="AQ27" s="49">
        <v>0.89945834397507263</v>
      </c>
      <c r="AR27" s="200">
        <f>AVERAGE(BP27:BR27)</f>
        <v>3.5875190188420079</v>
      </c>
      <c r="AS27" s="49">
        <v>0.64355289370179281</v>
      </c>
      <c r="AT27" s="200">
        <f>(242.7*10^((4*LOG10(AS27/36.3)+LOG10(AX27/162.5))/5)+242.7*10^((4*LOG10(AP27/147.1)+4*LOG10(AX27/162.5))/8))/2</f>
        <v>4.1457913498845205</v>
      </c>
      <c r="AU27" s="200">
        <f>(55.6*10^((3*LOG10(AS27/36.3)+2*LOG10(AX27/162.5))/5)+55.6*10^((3*LOG10(AP27/147.1)+5*LOG10(AX27/162.5))/8))/2</f>
        <v>0.919213495507746</v>
      </c>
      <c r="AV27" s="200">
        <f>(158.9*10^((2*LOG10(AS27/36.3)+3*LOG10(AX27/162.5))/5)+158.9*10^((2*LOG10(AP27/147.1)+6*LOG10(AX27/162.5))/8))/2</f>
        <v>2.5425516409552706</v>
      </c>
      <c r="AW27" s="201">
        <f>(24.2*10^((LOG10(AS27/36.3)+4*LOG10(AX27/162.5))/5)+24.2*10^((LOG10(AP27/147.1)+7*LOG10(AX27/162.5))/8))/2</f>
        <v>0.37477092079186825</v>
      </c>
      <c r="AX27" s="38">
        <v>2.4356162844153846</v>
      </c>
      <c r="AY27" s="49">
        <v>0.34524819941768398</v>
      </c>
      <c r="AZ27" s="38">
        <v>2.18105685242887</v>
      </c>
      <c r="BA27" s="38">
        <v>0.29886662920774376</v>
      </c>
      <c r="BB27" s="38">
        <v>7.7464371456300737E-2</v>
      </c>
      <c r="BC27" s="39">
        <v>5.3355110588956425</v>
      </c>
      <c r="BD27" s="39">
        <v>1.5075598917096593</v>
      </c>
      <c r="BE27" s="38">
        <v>0.904296572508556</v>
      </c>
      <c r="BF27" s="38">
        <v>0.32022015630586909</v>
      </c>
      <c r="BG27" s="39">
        <v>195.77</v>
      </c>
      <c r="BP27" s="116">
        <f>196.6*10^(LOG10(AP27/147.1)+(LOG10(AP27/147.1)-LOG10(AL27/234.7))*0.4)</f>
        <v>3.5707312622616594</v>
      </c>
      <c r="BQ27" s="116">
        <f>196.6*10^(LOG10(AP27/147.1)+0.6666*(LOG10(AS27/36.3)-LOG10(AP27/147.1)))</f>
        <v>3.5873213974237252</v>
      </c>
      <c r="BR27" s="116">
        <f>196.6*10^(LOG10(AS27/36.3)-(LOG10(AX27/162.5)-LOG10(AS27/36.3))/5)</f>
        <v>3.6045043968406385</v>
      </c>
    </row>
    <row r="28" spans="1:70" x14ac:dyDescent="0.2">
      <c r="D28" s="321"/>
      <c r="P28" s="38"/>
      <c r="Q28" s="38" t="e">
        <f t="shared" si="0"/>
        <v>#DIV/0!</v>
      </c>
      <c r="R28" s="38"/>
      <c r="S28" s="38"/>
      <c r="T28" s="39"/>
      <c r="V28" s="76"/>
      <c r="W28" s="38"/>
      <c r="Z28" s="46"/>
      <c r="AA28" s="79"/>
      <c r="AB28" s="48"/>
      <c r="AC28" s="79"/>
      <c r="AD28" s="39"/>
      <c r="AE28" s="76"/>
      <c r="AF28" s="76"/>
      <c r="AG28" s="76"/>
      <c r="AH28" s="76"/>
      <c r="AI28" s="49"/>
      <c r="AK28" s="284"/>
      <c r="AL28" s="39"/>
      <c r="AM28" s="39"/>
      <c r="AN28" s="39"/>
      <c r="AO28" s="39"/>
      <c r="AP28" s="38"/>
      <c r="AQ28" s="49"/>
      <c r="AR28" s="49"/>
      <c r="AS28" s="49"/>
      <c r="AT28" s="38"/>
      <c r="AU28" s="38"/>
      <c r="AV28" s="38"/>
      <c r="AW28" s="38"/>
      <c r="AX28" s="38"/>
      <c r="AZ28" s="38"/>
      <c r="BA28" s="38"/>
      <c r="BB28" s="38"/>
      <c r="BC28" s="39"/>
      <c r="BD28" s="39"/>
      <c r="BE28" s="38"/>
      <c r="BF28" s="38"/>
      <c r="BG28" s="39"/>
    </row>
    <row r="29" spans="1:70" x14ac:dyDescent="0.2">
      <c r="A29" s="50" t="s">
        <v>900</v>
      </c>
      <c r="B29" s="50" t="s">
        <v>700</v>
      </c>
      <c r="E29" s="116">
        <v>44.740408804244595</v>
      </c>
      <c r="F29" s="38">
        <v>0.72984474857329462</v>
      </c>
      <c r="G29" s="38">
        <v>23.070976373984905</v>
      </c>
      <c r="H29" s="49">
        <v>0.15149927847984879</v>
      </c>
      <c r="I29" s="38">
        <v>9.2196291566634301</v>
      </c>
      <c r="J29" s="49">
        <v>0.15997045646716118</v>
      </c>
      <c r="K29" s="38">
        <v>6.0749004379712037</v>
      </c>
      <c r="L29" s="38">
        <v>14.433990518720199</v>
      </c>
      <c r="M29" s="49">
        <v>0.38356980129744078</v>
      </c>
      <c r="N29" s="49">
        <v>6.3152500463597605E-2</v>
      </c>
      <c r="O29" s="49">
        <v>7.1087576794240701E-2</v>
      </c>
      <c r="P29" s="38"/>
      <c r="Q29" s="38">
        <f t="shared" si="0"/>
        <v>54.013968580971273</v>
      </c>
      <c r="R29" s="38"/>
      <c r="S29" s="38"/>
      <c r="T29" s="39"/>
      <c r="V29" s="76"/>
      <c r="W29" s="38"/>
      <c r="Z29" s="46"/>
      <c r="AA29" s="79"/>
      <c r="AB29" s="48"/>
      <c r="AC29" s="79"/>
      <c r="AD29" s="39"/>
      <c r="AE29" s="76"/>
      <c r="AF29" s="76"/>
      <c r="AG29" s="76"/>
      <c r="AH29" s="76"/>
      <c r="AI29" s="49"/>
      <c r="AK29" s="284"/>
      <c r="AL29" s="39"/>
      <c r="AM29" s="39"/>
      <c r="AN29" s="39"/>
      <c r="AO29" s="39"/>
      <c r="AP29" s="38"/>
      <c r="AQ29" s="49"/>
      <c r="AR29" s="49"/>
      <c r="AS29" s="49"/>
      <c r="AT29" s="38"/>
      <c r="AU29" s="38"/>
      <c r="AV29" s="38"/>
      <c r="AW29" s="38"/>
      <c r="AX29" s="38"/>
      <c r="AZ29" s="38"/>
      <c r="BA29" s="38"/>
      <c r="BB29" s="38"/>
      <c r="BC29" s="39"/>
      <c r="BD29" s="39"/>
      <c r="BE29" s="38"/>
      <c r="BF29" s="38"/>
    </row>
    <row r="30" spans="1:70" x14ac:dyDescent="0.2">
      <c r="A30" s="36" t="s">
        <v>900</v>
      </c>
      <c r="B30" s="71" t="s">
        <v>279</v>
      </c>
      <c r="D30" s="39"/>
      <c r="E30" s="34">
        <f t="shared" ref="E30:AJ30" si="18">AVERAGE(E27:E29)</f>
        <v>44.740408804244595</v>
      </c>
      <c r="F30" s="34">
        <f t="shared" si="18"/>
        <v>0.72984474857329462</v>
      </c>
      <c r="G30" s="34">
        <f t="shared" si="18"/>
        <v>23.070976373984905</v>
      </c>
      <c r="H30" s="37">
        <f t="shared" si="18"/>
        <v>0.15149927847984879</v>
      </c>
      <c r="I30" s="34">
        <f t="shared" si="18"/>
        <v>9.2196291566634301</v>
      </c>
      <c r="J30" s="37">
        <f t="shared" si="18"/>
        <v>0.15997045646716118</v>
      </c>
      <c r="K30" s="34">
        <f t="shared" si="18"/>
        <v>6.0749004379712037</v>
      </c>
      <c r="L30" s="34">
        <f t="shared" si="18"/>
        <v>14.597255258338491</v>
      </c>
      <c r="M30" s="37">
        <f t="shared" si="18"/>
        <v>0.38356980129744078</v>
      </c>
      <c r="N30" s="37">
        <f t="shared" si="18"/>
        <v>6.3152500463597605E-2</v>
      </c>
      <c r="O30" s="37">
        <f t="shared" si="18"/>
        <v>7.1087576794240701E-2</v>
      </c>
      <c r="P30" s="34" t="e">
        <f t="shared" si="18"/>
        <v>#DIV/0!</v>
      </c>
      <c r="Q30" s="38">
        <f t="shared" si="0"/>
        <v>54.013968580971273</v>
      </c>
      <c r="R30" s="34" t="e">
        <f t="shared" si="18"/>
        <v>#DIV/0!</v>
      </c>
      <c r="S30" s="34" t="e">
        <f t="shared" si="18"/>
        <v>#DIV/0!</v>
      </c>
      <c r="T30" s="34">
        <f t="shared" si="18"/>
        <v>26.797816825867088</v>
      </c>
      <c r="U30" s="35" t="e">
        <f t="shared" si="18"/>
        <v>#DIV/0!</v>
      </c>
      <c r="V30" s="35">
        <f t="shared" si="18"/>
        <v>1036.5303672677121</v>
      </c>
      <c r="W30" s="34" t="e">
        <f t="shared" si="18"/>
        <v>#DIV/0!</v>
      </c>
      <c r="X30" s="72">
        <f t="shared" si="18"/>
        <v>18.613593502579555</v>
      </c>
      <c r="Y30" s="35">
        <f t="shared" si="18"/>
        <v>128.46043826939771</v>
      </c>
      <c r="Z30" s="34">
        <f t="shared" si="18"/>
        <v>40.681973744700407</v>
      </c>
      <c r="AA30" s="34" t="e">
        <f t="shared" si="18"/>
        <v>#DIV/0!</v>
      </c>
      <c r="AB30" s="34">
        <f t="shared" si="18"/>
        <v>0.35324258057925112</v>
      </c>
      <c r="AC30" s="34">
        <f t="shared" si="18"/>
        <v>0.53375338407314687</v>
      </c>
      <c r="AD30" s="72">
        <f t="shared" si="18"/>
        <v>0.96291566634315751</v>
      </c>
      <c r="AE30" s="35">
        <f t="shared" si="18"/>
        <v>1581.0650252847724</v>
      </c>
      <c r="AF30" s="291">
        <f>1560*10^((LOG10(AU30/55.6)+LOG10(AV30/158.9))/2)</f>
        <v>25.372796784828413</v>
      </c>
      <c r="AG30" s="35">
        <f t="shared" si="18"/>
        <v>74.74250395872707</v>
      </c>
      <c r="AH30" s="34" t="e">
        <f t="shared" si="18"/>
        <v>#DIV/0!</v>
      </c>
      <c r="AI30" s="34">
        <f t="shared" si="18"/>
        <v>1.2480359605659699E-2</v>
      </c>
      <c r="AJ30" s="34">
        <f t="shared" si="18"/>
        <v>5.086070388721458E-2</v>
      </c>
      <c r="AK30" s="35">
        <f t="shared" ref="AK30:BF30" si="19">AVERAGE(AK27:AK29)</f>
        <v>536.76860601726503</v>
      </c>
      <c r="AL30" s="34">
        <f t="shared" si="19"/>
        <v>5.2999341063492862</v>
      </c>
      <c r="AM30" s="34">
        <f t="shared" si="19"/>
        <v>14.104800531235631</v>
      </c>
      <c r="AN30" s="34">
        <f t="shared" si="19"/>
        <v>1.8378631459737758</v>
      </c>
      <c r="AO30" s="34">
        <f t="shared" si="19"/>
        <v>8.9186085712826255</v>
      </c>
      <c r="AP30" s="34">
        <f t="shared" si="19"/>
        <v>2.8432185728150374</v>
      </c>
      <c r="AQ30" s="34">
        <f t="shared" si="19"/>
        <v>0.89945834397507263</v>
      </c>
      <c r="AR30" s="34">
        <f t="shared" si="19"/>
        <v>3.5875190188420079</v>
      </c>
      <c r="AS30" s="34">
        <f t="shared" si="19"/>
        <v>0.64355289370179281</v>
      </c>
      <c r="AT30" s="34">
        <f t="shared" si="19"/>
        <v>4.1457913498845205</v>
      </c>
      <c r="AU30" s="34">
        <f t="shared" si="19"/>
        <v>0.919213495507746</v>
      </c>
      <c r="AV30" s="34">
        <f t="shared" si="19"/>
        <v>2.5425516409552706</v>
      </c>
      <c r="AW30" s="34">
        <f t="shared" si="19"/>
        <v>0.37477092079186825</v>
      </c>
      <c r="AX30" s="34">
        <f t="shared" si="19"/>
        <v>2.4356162844153846</v>
      </c>
      <c r="AY30" s="37">
        <f t="shared" si="19"/>
        <v>0.34524819941768398</v>
      </c>
      <c r="AZ30" s="34">
        <f t="shared" si="19"/>
        <v>2.18105685242887</v>
      </c>
      <c r="BA30" s="34">
        <f t="shared" si="19"/>
        <v>0.29886662920774376</v>
      </c>
      <c r="BB30" s="34">
        <f t="shared" si="19"/>
        <v>7.7464371456300737E-2</v>
      </c>
      <c r="BC30" s="34">
        <f t="shared" si="19"/>
        <v>5.3355110588956425</v>
      </c>
      <c r="BD30" s="34">
        <f t="shared" si="19"/>
        <v>1.5075598917096593</v>
      </c>
      <c r="BE30" s="34">
        <f t="shared" si="19"/>
        <v>0.904296572508556</v>
      </c>
      <c r="BF30" s="34">
        <f t="shared" si="19"/>
        <v>0.32022015630586909</v>
      </c>
      <c r="BG30" s="39"/>
    </row>
    <row r="31" spans="1:70" x14ac:dyDescent="0.2">
      <c r="A31" s="36"/>
      <c r="B31" s="36"/>
      <c r="D31" s="39"/>
      <c r="E31" s="34"/>
      <c r="F31" s="34"/>
      <c r="G31" s="34"/>
      <c r="H31" s="37"/>
      <c r="I31" s="34"/>
      <c r="J31" s="37"/>
      <c r="K31" s="34"/>
      <c r="L31" s="34"/>
      <c r="M31" s="37"/>
      <c r="N31" s="37"/>
      <c r="O31" s="37"/>
      <c r="P31" s="34"/>
      <c r="Q31" s="38" t="e">
        <f t="shared" si="0"/>
        <v>#DIV/0!</v>
      </c>
      <c r="R31" s="34"/>
      <c r="S31" s="34"/>
      <c r="T31" s="34"/>
      <c r="U31" s="35"/>
      <c r="V31" s="34"/>
      <c r="W31" s="34"/>
      <c r="X31" s="72"/>
      <c r="Y31" s="35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5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7"/>
      <c r="AZ31" s="34"/>
      <c r="BA31" s="34"/>
      <c r="BB31" s="34"/>
      <c r="BC31" s="34"/>
      <c r="BD31" s="34"/>
      <c r="BE31" s="34"/>
      <c r="BF31" s="34"/>
      <c r="BG31" s="39"/>
    </row>
    <row r="32" spans="1:70" x14ac:dyDescent="0.2">
      <c r="A32" s="50" t="s">
        <v>900</v>
      </c>
      <c r="B32" s="50" t="s">
        <v>1227</v>
      </c>
      <c r="C32" s="50">
        <v>353</v>
      </c>
      <c r="D32" s="320">
        <f>1-D31</f>
        <v>1</v>
      </c>
      <c r="E32" s="50"/>
      <c r="F32" s="50"/>
      <c r="G32" s="50"/>
      <c r="H32" s="49">
        <f>V32*1.4616/10000</f>
        <v>0.12701303999999999</v>
      </c>
      <c r="I32" s="38">
        <v>6.31</v>
      </c>
      <c r="J32" s="45"/>
      <c r="K32" s="48"/>
      <c r="L32" s="38">
        <v>14.56</v>
      </c>
      <c r="M32" s="319">
        <v>0.48499999999999999</v>
      </c>
      <c r="N32" s="319" t="s">
        <v>1223</v>
      </c>
      <c r="P32" s="38"/>
      <c r="Q32" s="38">
        <f t="shared" si="0"/>
        <v>0</v>
      </c>
      <c r="R32" s="38"/>
      <c r="S32" s="38"/>
      <c r="T32" s="39">
        <v>15.53</v>
      </c>
      <c r="V32" s="76">
        <v>869</v>
      </c>
      <c r="W32" s="38"/>
      <c r="X32" s="39">
        <v>15.68</v>
      </c>
      <c r="Y32" s="76">
        <v>112</v>
      </c>
      <c r="Z32" s="46">
        <v>29.8</v>
      </c>
      <c r="AA32" s="79"/>
      <c r="AB32" s="48">
        <v>0.9</v>
      </c>
      <c r="AC32" s="79">
        <v>0.42</v>
      </c>
      <c r="AD32" s="39">
        <v>0.2</v>
      </c>
      <c r="AE32" s="76">
        <v>1973</v>
      </c>
      <c r="AF32" s="76"/>
      <c r="AG32" s="76">
        <v>47</v>
      </c>
      <c r="AH32" s="76"/>
      <c r="AI32" s="49">
        <v>7.0000000000000001E-3</v>
      </c>
      <c r="AJ32" s="38">
        <v>5.1999999999999998E-2</v>
      </c>
      <c r="AK32" s="284">
        <v>594</v>
      </c>
      <c r="AL32" s="39">
        <v>4.18</v>
      </c>
      <c r="AM32" s="39">
        <v>10.67</v>
      </c>
      <c r="AN32" s="199">
        <f>89.1*EXP((LN(AL32/234.7)+2*LN(AO32/452.4))/3)</f>
        <v>1.4032452228303132</v>
      </c>
      <c r="AO32" s="39">
        <v>6.7</v>
      </c>
      <c r="AP32" s="38">
        <v>2.14</v>
      </c>
      <c r="AQ32" s="49">
        <v>0.85599999999999998</v>
      </c>
      <c r="AR32" s="200">
        <f>AVERAGE(BP32:BR32)</f>
        <v>2.5860642775648519</v>
      </c>
      <c r="AS32" s="49">
        <v>0.45300000000000001</v>
      </c>
      <c r="AT32" s="200">
        <f>(242.7*10^((4*LOG10(AS32/36.3)+LOG10(AX32/162.5))/5)+242.7*10^((4*LOG10(AP32/147.1)+4*LOG10(AX32/162.5))/8))/2</f>
        <v>2.9656602367263623</v>
      </c>
      <c r="AU32" s="200">
        <f>(55.6*10^((3*LOG10(AS32/36.3)+2*LOG10(AX32/162.5))/5)+55.6*10^((3*LOG10(AP32/147.1)+5*LOG10(AX32/162.5))/8))/2</f>
        <v>0.65456975973360099</v>
      </c>
      <c r="AV32" s="200">
        <f>(158.9*10^((2*LOG10(AS32/36.3)+3*LOG10(AX32/162.5))/5)+158.9*10^((2*LOG10(AP32/147.1)+6*LOG10(AX32/162.5))/8))/2</f>
        <v>1.802349692742101</v>
      </c>
      <c r="AW32" s="201">
        <f>(24.2*10^((LOG10(AS32/36.3)+4*LOG10(AX32/162.5))/5)+24.2*10^((LOG10(AP32/147.1)+7*LOG10(AX32/162.5))/8))/2</f>
        <v>0.26446549963430177</v>
      </c>
      <c r="AX32" s="38">
        <v>1.7110000000000001</v>
      </c>
      <c r="AY32" s="49">
        <v>0.23899999999999999</v>
      </c>
      <c r="AZ32" s="38">
        <v>1.55</v>
      </c>
      <c r="BA32" s="38">
        <v>0.21299999999999999</v>
      </c>
      <c r="BB32" s="38">
        <v>0.3</v>
      </c>
      <c r="BC32" s="39">
        <v>3.6</v>
      </c>
      <c r="BD32" s="39">
        <v>10.1</v>
      </c>
      <c r="BE32" s="38">
        <v>0.69599999999999995</v>
      </c>
      <c r="BF32" s="38">
        <v>0.37</v>
      </c>
      <c r="BG32" s="39">
        <v>91.19</v>
      </c>
      <c r="BP32" s="116">
        <f>196.6*10^(LOG10(AP32/147.1)+(LOG10(AP32/147.1)-LOG10(AL32/234.7))*0.4)</f>
        <v>2.6377873275867514</v>
      </c>
      <c r="BQ32" s="116">
        <f>196.6*10^(LOG10(AP32/147.1)+0.6666*(LOG10(AS32/36.3)-LOG10(AP32/147.1)))</f>
        <v>2.5821573626951104</v>
      </c>
      <c r="BR32" s="116">
        <f>196.6*10^(LOG10(AS32/36.3)-(LOG10(AX32/162.5)-LOG10(AS32/36.3))/5)</f>
        <v>2.5382481424126939</v>
      </c>
    </row>
    <row r="33" spans="1:70" x14ac:dyDescent="0.2">
      <c r="A33" s="50" t="s">
        <v>900</v>
      </c>
      <c r="B33" s="50" t="s">
        <v>1228</v>
      </c>
      <c r="C33" s="50" t="s">
        <v>1225</v>
      </c>
      <c r="E33" s="38">
        <v>44.732413535680934</v>
      </c>
      <c r="F33" s="38">
        <v>0.78962146108665876</v>
      </c>
      <c r="G33" s="38">
        <v>24.395863300651964</v>
      </c>
      <c r="H33" s="49">
        <v>0.15996800150029428</v>
      </c>
      <c r="I33" s="38">
        <v>6.31</v>
      </c>
      <c r="J33" s="49">
        <v>8.4603309571735785E-2</v>
      </c>
      <c r="K33" s="38">
        <v>5.9289624059547226</v>
      </c>
      <c r="L33" s="38">
        <v>15.450446430568485</v>
      </c>
      <c r="M33" s="49">
        <v>0.37219616894125884</v>
      </c>
      <c r="N33" s="49">
        <v>6.4187455285543121E-2</v>
      </c>
      <c r="O33" s="49">
        <v>5.8069835338915118E-2</v>
      </c>
      <c r="P33" s="38"/>
      <c r="Q33" s="38">
        <f t="shared" si="0"/>
        <v>62.616227907518038</v>
      </c>
      <c r="R33" s="38"/>
      <c r="S33" s="38"/>
      <c r="T33" s="39"/>
      <c r="V33" s="76"/>
      <c r="W33" s="38"/>
      <c r="Z33" s="76"/>
      <c r="AA33" s="38"/>
      <c r="AB33" s="38"/>
      <c r="AC33" s="38"/>
      <c r="AD33" s="39"/>
      <c r="AE33" s="76"/>
      <c r="AF33" s="76"/>
      <c r="AG33" s="76"/>
      <c r="AH33" s="76"/>
      <c r="AI33" s="76"/>
      <c r="AL33" s="39"/>
      <c r="AM33" s="39"/>
      <c r="AN33" s="39"/>
      <c r="AO33" s="39"/>
      <c r="AP33" s="38"/>
      <c r="AQ33" s="49"/>
      <c r="AR33" s="49"/>
      <c r="AS33" s="49"/>
      <c r="AT33" s="38"/>
      <c r="AU33" s="38"/>
      <c r="AV33" s="38"/>
      <c r="AW33" s="38"/>
      <c r="AX33" s="38"/>
      <c r="AZ33" s="38"/>
      <c r="BA33" s="38"/>
      <c r="BB33" s="38"/>
      <c r="BC33" s="38"/>
      <c r="BD33" s="38"/>
      <c r="BE33" s="38"/>
      <c r="BF33" s="38"/>
      <c r="BG33" s="39"/>
    </row>
    <row r="34" spans="1:70" x14ac:dyDescent="0.2">
      <c r="A34" s="71"/>
      <c r="P34" s="38"/>
      <c r="Q34" s="38" t="e">
        <f t="shared" si="0"/>
        <v>#DIV/0!</v>
      </c>
      <c r="R34" s="38"/>
      <c r="S34" s="38"/>
      <c r="T34" s="39"/>
      <c r="V34" s="76"/>
      <c r="W34" s="38"/>
      <c r="Z34" s="38"/>
      <c r="AA34" s="38"/>
      <c r="AB34" s="38"/>
      <c r="AC34" s="38"/>
      <c r="AD34" s="38"/>
      <c r="AE34" s="76"/>
      <c r="AF34" s="76"/>
      <c r="AG34" s="76"/>
      <c r="AH34" s="76"/>
      <c r="AI34" s="76"/>
      <c r="AL34" s="39"/>
      <c r="AM34" s="39"/>
      <c r="AN34" s="39"/>
      <c r="AO34" s="39"/>
      <c r="AP34" s="38"/>
      <c r="AQ34" s="38"/>
      <c r="AR34" s="38"/>
      <c r="AS34" s="38"/>
      <c r="AT34" s="38"/>
      <c r="AU34" s="38"/>
      <c r="AV34" s="38"/>
      <c r="AW34" s="38"/>
      <c r="AX34" s="38"/>
      <c r="AZ34" s="38"/>
      <c r="BA34" s="38"/>
      <c r="BB34" s="38"/>
      <c r="BC34" s="38"/>
      <c r="BD34" s="38"/>
      <c r="BE34" s="38"/>
      <c r="BF34" s="38"/>
      <c r="BG34" s="39"/>
    </row>
    <row r="35" spans="1:70" x14ac:dyDescent="0.2">
      <c r="A35" s="71"/>
      <c r="Q35" s="38" t="e">
        <f t="shared" si="0"/>
        <v>#DIV/0!</v>
      </c>
      <c r="R35" s="49"/>
      <c r="S35" s="49"/>
      <c r="T35" s="49"/>
      <c r="V35" s="49"/>
      <c r="W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Z35" s="49"/>
      <c r="BA35" s="49"/>
      <c r="BB35" s="49"/>
      <c r="BC35" s="49"/>
      <c r="BD35" s="49"/>
      <c r="BE35" s="49"/>
      <c r="BF35" s="49"/>
      <c r="BG35" s="49"/>
    </row>
    <row r="36" spans="1:70" x14ac:dyDescent="0.2">
      <c r="A36" s="77" t="s">
        <v>267</v>
      </c>
      <c r="Q36" s="38" t="e">
        <f t="shared" si="0"/>
        <v>#DIV/0!</v>
      </c>
      <c r="R36" s="49"/>
      <c r="S36" s="49"/>
      <c r="T36" s="49"/>
      <c r="V36" s="49"/>
      <c r="W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Z36" s="49"/>
      <c r="BA36" s="49"/>
      <c r="BB36" s="49"/>
      <c r="BC36" s="49"/>
      <c r="BD36" s="49"/>
      <c r="BE36" s="49"/>
      <c r="BF36" s="49"/>
      <c r="BG36" s="49"/>
    </row>
    <row r="37" spans="1:70" x14ac:dyDescent="0.2">
      <c r="A37" s="71" t="s">
        <v>268</v>
      </c>
      <c r="C37" s="50" t="s">
        <v>204</v>
      </c>
      <c r="D37" s="39">
        <f>SUM(E37:R37)</f>
        <v>136.98012972750709</v>
      </c>
      <c r="E37" s="38">
        <f>22.6*2.1393</f>
        <v>48.348179999999999</v>
      </c>
      <c r="F37" s="38">
        <f>0.68*1.6683</f>
        <v>1.134444</v>
      </c>
      <c r="G37" s="38">
        <f>6.6*1.8895</f>
        <v>12.470699999999999</v>
      </c>
      <c r="H37" s="49">
        <f>0.147*1.4616</f>
        <v>0.2148552</v>
      </c>
      <c r="I37" s="38">
        <f>14.9*1.2865</f>
        <v>19.168849999999999</v>
      </c>
      <c r="J37" s="49">
        <f>0.188*1.2912</f>
        <v>0.24274559999999998</v>
      </c>
      <c r="K37" s="38">
        <f>3.8*1.6583</f>
        <v>6.3015400000000001</v>
      </c>
      <c r="L37" s="38">
        <f>8.34*1.3992</f>
        <v>11.669328</v>
      </c>
      <c r="M37" s="49">
        <f>0.306*1.348</f>
        <v>0.41248800000000002</v>
      </c>
      <c r="N37" s="49">
        <f>0.0567*1.2046</f>
        <v>6.8300819999999998E-2</v>
      </c>
      <c r="Q37" s="38">
        <f t="shared" si="0"/>
        <v>36.94869810750707</v>
      </c>
      <c r="R37" s="49"/>
      <c r="S37" s="49"/>
      <c r="T37" s="39">
        <v>44</v>
      </c>
      <c r="V37" s="76">
        <v>1470</v>
      </c>
      <c r="W37" s="39"/>
      <c r="X37" s="39">
        <v>46</v>
      </c>
      <c r="Y37" s="76">
        <v>27</v>
      </c>
      <c r="Z37" s="39">
        <v>2.2000000000000002</v>
      </c>
      <c r="AA37" s="39"/>
      <c r="AB37" s="39"/>
      <c r="AC37" s="39"/>
      <c r="AD37" s="49"/>
      <c r="AE37" s="76">
        <v>104</v>
      </c>
      <c r="AF37" s="76"/>
      <c r="AG37" s="76">
        <v>140</v>
      </c>
      <c r="AH37" s="76"/>
      <c r="AI37" s="76"/>
      <c r="AK37" s="76">
        <v>88</v>
      </c>
      <c r="AL37" s="39">
        <v>8.3000000000000007</v>
      </c>
      <c r="AM37" s="39">
        <v>20.9</v>
      </c>
      <c r="AN37" s="199">
        <f>89.1*EXP((LN(AL37/234.7)+2*LN(AO37/452.4))/3)</f>
        <v>2.7437626654453529</v>
      </c>
      <c r="AO37" s="39">
        <v>13</v>
      </c>
      <c r="AP37" s="38">
        <v>3.86</v>
      </c>
      <c r="AQ37" s="38">
        <v>0.98</v>
      </c>
      <c r="AR37" s="200">
        <f>AVERAGE(BP37:BR37)</f>
        <v>4.535017604909819</v>
      </c>
      <c r="AS37" s="38">
        <v>0.8</v>
      </c>
      <c r="AT37" s="200">
        <f>(242.7*10^((4*LOG10(AS37/36.3)+LOG10(AX37/162.5))/5)+242.7*10^((4*LOG10(AP37/147.1)+4*LOG10(AX37/162.5))/8))/2</f>
        <v>5.3674095131475035</v>
      </c>
      <c r="AU37" s="200">
        <f>(55.6*10^((3*LOG10(AS37/36.3)+2*LOG10(AX37/162.5))/5)+55.6*10^((3*LOG10(AP37/147.1)+5*LOG10(AX37/162.5))/8))/2</f>
        <v>1.1934445267278719</v>
      </c>
      <c r="AV37" s="200">
        <f>(158.9*10^((2*LOG10(AS37/36.3)+3*LOG10(AX37/162.5))/5)+158.9*10^((2*LOG10(AP37/147.1)+6*LOG10(AX37/162.5))/8))/2</f>
        <v>3.3105683908990757</v>
      </c>
      <c r="AW37" s="201">
        <f>(24.2*10^((LOG10(AS37/36.3)+4*LOG10(AX37/162.5))/5)+24.2*10^((LOG10(AP37/147.1)+7*LOG10(AX37/162.5))/8))/2</f>
        <v>0.48940002758738871</v>
      </c>
      <c r="AX37" s="38">
        <v>3.19</v>
      </c>
      <c r="AY37" s="49">
        <v>0.48</v>
      </c>
      <c r="AZ37" s="38">
        <v>2.88</v>
      </c>
      <c r="BA37" s="38">
        <v>0.37</v>
      </c>
      <c r="BB37" s="38"/>
      <c r="BC37" s="38">
        <v>9.5000000000000001E-2</v>
      </c>
      <c r="BD37" s="38">
        <v>5.8999999999999997E-2</v>
      </c>
      <c r="BE37" s="38">
        <v>0.95</v>
      </c>
      <c r="BF37" s="38">
        <v>0.23</v>
      </c>
      <c r="BG37" s="76">
        <v>278</v>
      </c>
      <c r="BL37" s="76">
        <f>I37/J37</f>
        <v>78.966827823037789</v>
      </c>
      <c r="BP37" s="116">
        <f>196.6*10^(LOG10(AP37/147.1)+(LOG10(AP37/147.1)-LOG10(AL37/234.7))*0.4)</f>
        <v>4.5784871233818585</v>
      </c>
      <c r="BQ37" s="116">
        <f>196.6*10^(LOG10(AP37/147.1)+0.6666*(LOG10(AS37/36.3)-LOG10(AP37/147.1)))</f>
        <v>4.5923574551252484</v>
      </c>
      <c r="BR37" s="116">
        <f>196.6*10^(LOG10(AS37/36.3)-(LOG10(AX37/162.5)-LOG10(AS37/36.3))/5)</f>
        <v>4.4342082362223501</v>
      </c>
    </row>
    <row r="38" spans="1:70" x14ac:dyDescent="0.2">
      <c r="A38" s="71" t="s">
        <v>269</v>
      </c>
      <c r="C38" s="50" t="s">
        <v>204</v>
      </c>
      <c r="D38" s="39">
        <f>SUM(E38:R38)</f>
        <v>141.83849403449705</v>
      </c>
      <c r="E38" s="38">
        <f>22.2*2.1393</f>
        <v>47.492460000000001</v>
      </c>
      <c r="F38" s="38">
        <f>0.49*1.6683</f>
        <v>0.81746699999999994</v>
      </c>
      <c r="G38" s="38">
        <f>7.4*1.8895</f>
        <v>13.9823</v>
      </c>
      <c r="H38" s="49">
        <f>0.187*1.4616</f>
        <v>0.27331919999999998</v>
      </c>
      <c r="I38" s="38">
        <f>14.3*1.2865</f>
        <v>18.39695</v>
      </c>
      <c r="J38" s="49">
        <f>0.188*1.2912</f>
        <v>0.24274559999999998</v>
      </c>
      <c r="K38" s="38">
        <f>4.38*1.6583</f>
        <v>7.2633540000000005</v>
      </c>
      <c r="L38" s="38">
        <f>8.28*1.3992</f>
        <v>11.585375999999998</v>
      </c>
      <c r="M38" s="49">
        <f>0.311*1.348</f>
        <v>0.41922800000000005</v>
      </c>
      <c r="N38" s="49">
        <f>0.048*1.2046</f>
        <v>5.7820799999999999E-2</v>
      </c>
      <c r="Q38" s="38">
        <f t="shared" si="0"/>
        <v>41.30747343449702</v>
      </c>
      <c r="R38" s="49"/>
      <c r="S38" s="39"/>
      <c r="T38" s="39">
        <v>40.6</v>
      </c>
      <c r="V38" s="76">
        <v>1870</v>
      </c>
      <c r="W38" s="39"/>
      <c r="X38" s="39">
        <v>50</v>
      </c>
      <c r="Y38" s="76">
        <v>46</v>
      </c>
      <c r="Z38" s="39">
        <v>3.3</v>
      </c>
      <c r="AA38" s="39"/>
      <c r="AB38" s="39"/>
      <c r="AC38" s="39"/>
      <c r="AD38" s="39"/>
      <c r="AE38" s="76">
        <v>126</v>
      </c>
      <c r="AF38" s="76"/>
      <c r="AG38" s="76">
        <v>105</v>
      </c>
      <c r="AH38" s="76"/>
      <c r="AI38" s="76"/>
      <c r="AK38" s="76">
        <v>68</v>
      </c>
      <c r="AL38" s="39">
        <v>8.1</v>
      </c>
      <c r="AM38" s="39">
        <v>20.100000000000001</v>
      </c>
      <c r="AN38" s="199">
        <f>89.1*EXP((LN(AL38/234.7)+2*LN(AO38/452.4))/3)</f>
        <v>2.6371474096742613</v>
      </c>
      <c r="AO38" s="39">
        <v>12.4</v>
      </c>
      <c r="AP38" s="38">
        <v>3.68</v>
      </c>
      <c r="AQ38" s="38">
        <v>0.97</v>
      </c>
      <c r="AR38" s="200">
        <f>AVERAGE(BP38:BR38)</f>
        <v>4.5655427604825611</v>
      </c>
      <c r="AS38" s="38">
        <v>0.83</v>
      </c>
      <c r="AT38" s="200">
        <f>(242.7*10^((4*LOG10(AS38/36.3)+LOG10(AX38/162.5))/5)+242.7*10^((4*LOG10(AP38/147.1)+4*LOG10(AX38/162.5))/8))/2</f>
        <v>5.1731982416487519</v>
      </c>
      <c r="AU38" s="200">
        <f>(55.6*10^((3*LOG10(AS38/36.3)+2*LOG10(AX38/162.5))/5)+55.6*10^((3*LOG10(AP38/147.1)+5*LOG10(AX38/162.5))/8))/2</f>
        <v>1.1286973280466304</v>
      </c>
      <c r="AV38" s="200">
        <f>(158.9*10^((2*LOG10(AS38/36.3)+3*LOG10(AX38/162.5))/5)+158.9*10^((2*LOG10(AP38/147.1)+6*LOG10(AX38/162.5))/8))/2</f>
        <v>3.0721900661488561</v>
      </c>
      <c r="AW38" s="201">
        <f>(24.2*10^((LOG10(AS38/36.3)+4*LOG10(AX38/162.5))/5)+24.2*10^((LOG10(AP38/147.1)+7*LOG10(AX38/162.5))/8))/2</f>
        <v>0.445624587932969</v>
      </c>
      <c r="AX38" s="38">
        <v>2.85</v>
      </c>
      <c r="AY38" s="49">
        <v>0.41</v>
      </c>
      <c r="AZ38" s="38">
        <v>2.62</v>
      </c>
      <c r="BA38" s="38">
        <v>0.28999999999999998</v>
      </c>
      <c r="BB38" s="38"/>
      <c r="BC38" s="38">
        <v>0.51</v>
      </c>
      <c r="BD38" s="38">
        <v>0.22</v>
      </c>
      <c r="BE38" s="38">
        <v>0.99</v>
      </c>
      <c r="BF38" s="38">
        <v>0.27</v>
      </c>
      <c r="BG38" s="76">
        <v>290</v>
      </c>
      <c r="BL38" s="76">
        <f>I38/J38</f>
        <v>75.786955561707416</v>
      </c>
      <c r="BP38" s="116">
        <f>196.6*10^(LOG10(AP38/147.1)+(LOG10(AP38/147.1)-LOG10(AL38/234.7))*0.4)</f>
        <v>4.3243809560366593</v>
      </c>
      <c r="BQ38" s="116">
        <f>196.6*10^(LOG10(AP38/147.1)+0.6666*(LOG10(AS38/36.3)-LOG10(AP38/147.1)))</f>
        <v>4.6321094360983626</v>
      </c>
      <c r="BR38" s="116">
        <f>196.6*10^(LOG10(AS38/36.3)-(LOG10(AX38/162.5)-LOG10(AS38/36.3))/5)</f>
        <v>4.7401378893126607</v>
      </c>
    </row>
    <row r="39" spans="1:70" x14ac:dyDescent="0.2">
      <c r="A39" s="50" t="s">
        <v>267</v>
      </c>
      <c r="C39" s="50" t="s">
        <v>1110</v>
      </c>
      <c r="D39" s="39"/>
      <c r="G39" s="38">
        <v>14.7</v>
      </c>
      <c r="H39" s="49">
        <v>0.28899999999999998</v>
      </c>
      <c r="I39" s="38">
        <v>16.100000000000001</v>
      </c>
      <c r="J39" s="49">
        <v>0.19800000000000001</v>
      </c>
      <c r="K39" s="38">
        <v>9.25</v>
      </c>
      <c r="L39" s="38">
        <v>10.9</v>
      </c>
      <c r="M39" s="49">
        <v>0.318</v>
      </c>
      <c r="N39" s="49">
        <v>3.9699999999999999E-2</v>
      </c>
      <c r="Q39" s="38">
        <f t="shared" si="0"/>
        <v>50.596934120835201</v>
      </c>
      <c r="R39" s="49"/>
      <c r="S39" s="49"/>
      <c r="T39" s="38">
        <v>31.4</v>
      </c>
      <c r="V39" s="76">
        <f>H39*10000/1.4616</f>
        <v>1977.2851669403394</v>
      </c>
      <c r="W39" s="38"/>
      <c r="X39" s="39">
        <v>47.2</v>
      </c>
      <c r="Y39" s="76" t="s">
        <v>953</v>
      </c>
      <c r="Z39" s="39"/>
      <c r="AA39" s="39">
        <v>4.33</v>
      </c>
      <c r="AB39" s="39">
        <v>0.08</v>
      </c>
      <c r="AC39" s="39" t="s">
        <v>1111</v>
      </c>
      <c r="AD39" s="49"/>
      <c r="AE39" s="76">
        <v>120</v>
      </c>
      <c r="AF39" s="76"/>
      <c r="AG39" s="76"/>
      <c r="AH39" s="76"/>
      <c r="AI39" s="76"/>
      <c r="AK39" s="76">
        <v>62</v>
      </c>
      <c r="AL39" s="39">
        <v>5.04</v>
      </c>
      <c r="AM39" s="39">
        <v>14.1</v>
      </c>
      <c r="AN39" s="199">
        <f>89.1*EXP((LN(AL39/234.7)+2*LN(AO39/452.4))/3)</f>
        <v>1.6949561537603124</v>
      </c>
      <c r="AO39" s="39">
        <v>8.1</v>
      </c>
      <c r="AP39" s="38">
        <v>2.4300000000000002</v>
      </c>
      <c r="AQ39" s="38">
        <v>0.66</v>
      </c>
      <c r="AR39" s="38">
        <v>3</v>
      </c>
      <c r="AS39" s="38">
        <v>0.55000000000000004</v>
      </c>
      <c r="AT39" s="38">
        <v>3.42</v>
      </c>
      <c r="AU39" s="38">
        <v>0.66</v>
      </c>
      <c r="AV39" s="38"/>
      <c r="AW39" s="38">
        <v>0.23</v>
      </c>
      <c r="AX39" s="38">
        <v>2</v>
      </c>
      <c r="AY39" s="49">
        <v>0.28899999999999998</v>
      </c>
      <c r="AZ39" s="38">
        <v>1.83</v>
      </c>
      <c r="BA39" s="38">
        <v>0.19</v>
      </c>
      <c r="BB39" s="38"/>
      <c r="BC39" s="38" t="s">
        <v>732</v>
      </c>
      <c r="BD39" s="38" t="s">
        <v>706</v>
      </c>
      <c r="BE39" s="38">
        <v>0.67</v>
      </c>
      <c r="BF39" s="38">
        <v>0.18</v>
      </c>
      <c r="BG39" s="76">
        <v>39</v>
      </c>
      <c r="BL39" s="76"/>
      <c r="BP39" s="116">
        <f>196.6*10^(LOG10(AP39/147.1)+(LOG10(AP39/147.1)-LOG10(AL39/234.7))*0.4)</f>
        <v>2.9242033881685097</v>
      </c>
      <c r="BQ39" s="116">
        <f>196.6*10^(LOG10(AP39/147.1)+0.6666*(LOG10(AS39/36.3)-LOG10(AP39/147.1)))</f>
        <v>3.0658760483739651</v>
      </c>
      <c r="BR39" s="116">
        <f>196.6*10^(LOG10(AS39/36.3)-(LOG10(AX39/162.5)-LOG10(AS39/36.3))/5)</f>
        <v>3.1052420942955807</v>
      </c>
    </row>
    <row r="40" spans="1:70" x14ac:dyDescent="0.2">
      <c r="A40" s="71"/>
      <c r="D40" s="39"/>
      <c r="Q40" s="38" t="e">
        <f t="shared" si="0"/>
        <v>#DIV/0!</v>
      </c>
      <c r="R40" s="49"/>
      <c r="S40" s="39"/>
      <c r="T40" s="39"/>
      <c r="V40" s="76"/>
      <c r="W40" s="39"/>
      <c r="Z40" s="39"/>
      <c r="AA40" s="39"/>
      <c r="AB40" s="39"/>
      <c r="AC40" s="39"/>
      <c r="AD40" s="39"/>
      <c r="AE40" s="76"/>
      <c r="AF40" s="76"/>
      <c r="AG40" s="76"/>
      <c r="AH40" s="76"/>
      <c r="AI40" s="76"/>
      <c r="AL40" s="39"/>
      <c r="AM40" s="39"/>
      <c r="AN40" s="39"/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Z40" s="38"/>
      <c r="BA40" s="38"/>
      <c r="BB40" s="38"/>
      <c r="BC40" s="38"/>
      <c r="BD40" s="38"/>
      <c r="BE40" s="38"/>
      <c r="BF40" s="38"/>
      <c r="BG40" s="76"/>
      <c r="BL40" s="76"/>
    </row>
    <row r="41" spans="1:70" x14ac:dyDescent="0.2">
      <c r="A41" s="71"/>
      <c r="D41" s="39"/>
      <c r="Q41" s="38" t="e">
        <f t="shared" si="0"/>
        <v>#DIV/0!</v>
      </c>
      <c r="R41" s="49"/>
      <c r="S41" s="39"/>
      <c r="T41" s="39"/>
      <c r="V41" s="76"/>
      <c r="W41" s="39"/>
      <c r="Z41" s="39"/>
      <c r="AA41" s="39"/>
      <c r="AB41" s="39"/>
      <c r="AC41" s="39"/>
      <c r="AD41" s="39"/>
      <c r="AE41" s="76"/>
      <c r="AF41" s="76"/>
      <c r="AG41" s="76"/>
      <c r="AH41" s="76"/>
      <c r="AI41" s="76"/>
      <c r="AL41" s="39"/>
      <c r="AM41" s="39"/>
      <c r="AN41" s="39"/>
      <c r="AO41" s="39"/>
      <c r="AP41" s="38"/>
      <c r="AQ41" s="38"/>
      <c r="AR41" s="38"/>
      <c r="AS41" s="38"/>
      <c r="AT41" s="38"/>
      <c r="AU41" s="38"/>
      <c r="AV41" s="38"/>
      <c r="AW41" s="38"/>
      <c r="AX41" s="38"/>
      <c r="AZ41" s="38"/>
      <c r="BA41" s="38"/>
      <c r="BB41" s="38"/>
      <c r="BC41" s="38"/>
      <c r="BD41" s="38"/>
      <c r="BE41" s="38"/>
      <c r="BF41" s="38"/>
      <c r="BG41" s="76"/>
      <c r="BL41" s="76"/>
    </row>
    <row r="42" spans="1:70" x14ac:dyDescent="0.2">
      <c r="A42" s="71" t="s">
        <v>270</v>
      </c>
      <c r="C42" s="50" t="s">
        <v>204</v>
      </c>
      <c r="D42" s="39">
        <f>SUM(E42:R42)</f>
        <v>139.49387787350156</v>
      </c>
      <c r="E42" s="38">
        <f>(E37*$BG37+E38*$BG38)/$BG42</f>
        <v>47.911280704225355</v>
      </c>
      <c r="F42" s="38">
        <f>(F37*$BG37+F38*$BG38)/$BG42</f>
        <v>0.97260715140845055</v>
      </c>
      <c r="G42" s="38">
        <f>(G37*$BG37+G38*$BG38)/$BG42</f>
        <v>13.242467605633802</v>
      </c>
      <c r="H42" s="49">
        <f>V42*1.4616/10000</f>
        <v>0.24470477746478872</v>
      </c>
      <c r="I42" s="38">
        <f t="shared" ref="I42:N42" si="20">(I37*$BG37+I38*$BG38)/$BG42</f>
        <v>18.774746126760562</v>
      </c>
      <c r="J42" s="49">
        <f t="shared" si="20"/>
        <v>0.24274559999999998</v>
      </c>
      <c r="K42" s="38">
        <f t="shared" si="20"/>
        <v>6.7926070070422542</v>
      </c>
      <c r="L42" s="38">
        <f t="shared" si="20"/>
        <v>11.626465183098592</v>
      </c>
      <c r="M42" s="49">
        <f t="shared" si="20"/>
        <v>0.41592919718309862</v>
      </c>
      <c r="N42" s="49">
        <f t="shared" si="20"/>
        <v>6.2950105563380293E-2</v>
      </c>
      <c r="Q42" s="38">
        <f t="shared" si="0"/>
        <v>39.207374415121286</v>
      </c>
      <c r="R42" s="49"/>
      <c r="S42" s="49"/>
      <c r="T42" s="38">
        <f>(T37*$BG37+T38*$BG38)/$BG42</f>
        <v>42.264084507042256</v>
      </c>
      <c r="V42" s="76">
        <f>(V37*$BG37+V38*$BG38)/$BG42</f>
        <v>1674.2253521126761</v>
      </c>
      <c r="W42" s="38"/>
      <c r="X42" s="39">
        <f>(X37*$BG37+X38*$BG38)/$BG42</f>
        <v>48.04225352112676</v>
      </c>
      <c r="Y42" s="76">
        <f>(Y37*$BG37+Y38*$BG38)/$BG42</f>
        <v>36.700704225352112</v>
      </c>
      <c r="Z42" s="39">
        <f>(Z37*$BG37+Z38*$BG38)/$BG42</f>
        <v>2.7616197183098592</v>
      </c>
      <c r="AA42" s="39"/>
      <c r="AB42" s="39"/>
      <c r="AC42" s="39"/>
      <c r="AD42" s="49"/>
      <c r="AE42" s="76">
        <f>(AE37*$BG37+AE38*$BG38)/$BG42</f>
        <v>115.23239436619718</v>
      </c>
      <c r="AF42" s="76"/>
      <c r="AG42" s="76">
        <f>(AG37*$BG37+AG38*$BG38)/$BG42</f>
        <v>122.13028169014085</v>
      </c>
      <c r="AH42" s="76"/>
      <c r="AI42" s="76"/>
      <c r="AK42" s="76">
        <f t="shared" ref="AK42:AS42" si="21">(AK37*$BG37+AK38*$BG38)/$BG42</f>
        <v>77.788732394366193</v>
      </c>
      <c r="AL42" s="39">
        <f t="shared" si="21"/>
        <v>8.1978873239436609</v>
      </c>
      <c r="AM42" s="39">
        <f t="shared" si="21"/>
        <v>20.49154929577465</v>
      </c>
      <c r="AN42" s="199">
        <f>89.1*EXP((LN(AL42/234.7)+2*LN(AO42/452.4))/3)</f>
        <v>2.689367863327826</v>
      </c>
      <c r="AO42" s="39">
        <f t="shared" si="21"/>
        <v>12.693661971830986</v>
      </c>
      <c r="AP42" s="38">
        <f t="shared" si="21"/>
        <v>3.7680985915492955</v>
      </c>
      <c r="AQ42" s="38">
        <f t="shared" si="21"/>
        <v>0.97489436619718306</v>
      </c>
      <c r="AR42" s="200">
        <f>AVERAGE(BP42:BR42)</f>
        <v>4.5498262791400812</v>
      </c>
      <c r="AS42" s="38">
        <f t="shared" si="21"/>
        <v>0.8153169014084507</v>
      </c>
      <c r="AT42" s="200">
        <f>(242.7*10^((4*LOG10(AS42/36.3)+LOG10(AX42/162.5))/5)+242.7*10^((4*LOG10(AP42/147.1)+4*LOG10(AX42/162.5))/8))/2</f>
        <v>5.2697733445880033</v>
      </c>
      <c r="AU42" s="200">
        <f>(55.6*10^((3*LOG10(AS42/36.3)+2*LOG10(AX42/162.5))/5)+55.6*10^((3*LOG10(AP42/147.1)+5*LOG10(AX42/162.5))/8))/2</f>
        <v>1.160846682898792</v>
      </c>
      <c r="AV42" s="200">
        <f>(158.9*10^((2*LOG10(AS42/36.3)+3*LOG10(AX42/162.5))/5)+158.9*10^((2*LOG10(AP42/147.1)+6*LOG10(AX42/162.5))/8))/2</f>
        <v>3.1900859079098209</v>
      </c>
      <c r="AW42" s="201">
        <f>(24.2*10^((LOG10(AS42/36.3)+4*LOG10(AX42/162.5))/5)+24.2*10^((LOG10(AP42/147.1)+7*LOG10(AX42/162.5))/8))/2</f>
        <v>0.46716763851845722</v>
      </c>
      <c r="AX42" s="38">
        <f t="shared" ref="AX42:BF42" si="22">(AX37*$BG37+AX38*$BG38)/$BG42</f>
        <v>3.0164084507042253</v>
      </c>
      <c r="AY42" s="49">
        <f t="shared" si="22"/>
        <v>0.44426056338028164</v>
      </c>
      <c r="AZ42" s="38">
        <f t="shared" si="22"/>
        <v>2.7472535211267606</v>
      </c>
      <c r="BA42" s="38">
        <f t="shared" si="22"/>
        <v>0.32915492957746473</v>
      </c>
      <c r="BB42" s="38"/>
      <c r="BC42" s="38">
        <f t="shared" si="22"/>
        <v>0.30688380281690142</v>
      </c>
      <c r="BD42" s="38">
        <f t="shared" si="22"/>
        <v>0.14120070422535211</v>
      </c>
      <c r="BE42" s="38">
        <f t="shared" si="22"/>
        <v>0.97042253521126765</v>
      </c>
      <c r="BF42" s="38">
        <f t="shared" si="22"/>
        <v>0.25042253521126762</v>
      </c>
      <c r="BG42" s="76">
        <f>SUM(BG37:BG38)</f>
        <v>568</v>
      </c>
      <c r="BL42" s="76">
        <f>I42/J42</f>
        <v>77.343301492428964</v>
      </c>
      <c r="BP42" s="116">
        <f>196.6*10^(LOG10(AP42/147.1)+(LOG10(AP42/147.1)-LOG10(AL42/234.7))*0.4)</f>
        <v>4.4485798470292703</v>
      </c>
      <c r="BQ42" s="116">
        <f>196.6*10^(LOG10(AP42/147.1)+0.6666*(LOG10(AS42/36.3)-LOG10(AP42/147.1)))</f>
        <v>4.6135694353542576</v>
      </c>
      <c r="BR42" s="116">
        <f>196.6*10^(LOG10(AS42/36.3)-(LOG10(AX42/162.5)-LOG10(AS42/36.3))/5)</f>
        <v>4.5873295550367157</v>
      </c>
    </row>
    <row r="43" spans="1:70" x14ac:dyDescent="0.2">
      <c r="A43" s="50" t="s">
        <v>267</v>
      </c>
      <c r="C43" s="50" t="s">
        <v>692</v>
      </c>
      <c r="D43" s="39">
        <f>SUM(E43:R43)</f>
        <v>104.16860476757654</v>
      </c>
      <c r="E43" s="48" t="s">
        <v>696</v>
      </c>
      <c r="F43" s="38">
        <v>0.69</v>
      </c>
      <c r="G43" s="38">
        <v>15.82</v>
      </c>
      <c r="H43" s="49">
        <v>0.23</v>
      </c>
      <c r="I43" s="38">
        <v>16.04</v>
      </c>
      <c r="J43" s="49">
        <v>0.21</v>
      </c>
      <c r="K43" s="38">
        <v>8.83</v>
      </c>
      <c r="L43" s="38">
        <v>12.32</v>
      </c>
      <c r="M43" s="49">
        <v>0.43</v>
      </c>
      <c r="N43" s="49">
        <v>7.0000000000000007E-2</v>
      </c>
      <c r="Q43" s="38">
        <f t="shared" si="0"/>
        <v>49.528604767576546</v>
      </c>
      <c r="R43" s="49"/>
      <c r="S43" s="49"/>
      <c r="T43" s="38"/>
      <c r="V43" s="76">
        <f>H43*10000/1.4616</f>
        <v>1573.6179529282977</v>
      </c>
      <c r="W43" s="38"/>
      <c r="Z43" s="39"/>
      <c r="AA43" s="39"/>
      <c r="AB43" s="39"/>
      <c r="AC43" s="39"/>
      <c r="AD43" s="49"/>
      <c r="AE43" s="76"/>
      <c r="AF43" s="76"/>
      <c r="AG43" s="76"/>
      <c r="AH43" s="76"/>
      <c r="AI43" s="76"/>
      <c r="AL43" s="39"/>
      <c r="AM43" s="39"/>
      <c r="AN43" s="39"/>
      <c r="AO43" s="39"/>
      <c r="AP43" s="38"/>
      <c r="AQ43" s="38"/>
      <c r="AR43" s="38"/>
      <c r="AS43" s="38"/>
      <c r="AT43" s="38"/>
      <c r="AU43" s="38"/>
      <c r="AV43" s="38"/>
      <c r="AW43" s="38"/>
      <c r="AX43" s="38"/>
      <c r="AZ43" s="38"/>
      <c r="BA43" s="38"/>
      <c r="BB43" s="38"/>
      <c r="BC43" s="38"/>
      <c r="BD43" s="38"/>
      <c r="BE43" s="38"/>
      <c r="BF43" s="38"/>
      <c r="BG43" s="76"/>
      <c r="BL43" s="76">
        <f>I43/J43</f>
        <v>76.38095238095238</v>
      </c>
      <c r="BP43" s="116" t="e">
        <f>196.6*10^(LOG10(AP43/147.1)+(LOG10(AP43/147.1)-LOG10(AL43/234.7))*0.4)</f>
        <v>#NUM!</v>
      </c>
      <c r="BQ43" s="116" t="e">
        <f>196.6*10^(LOG10(AP43/147.1)+0.6666*(LOG10(AS43/36.3)-LOG10(AP43/147.1)))</f>
        <v>#NUM!</v>
      </c>
      <c r="BR43" s="116" t="e">
        <f>196.6*10^(LOG10(AS43/36.3)-(LOG10(AX43/162.5)-LOG10(AS43/36.3))/5)</f>
        <v>#NUM!</v>
      </c>
    </row>
    <row r="44" spans="1:70" x14ac:dyDescent="0.2">
      <c r="A44" s="50" t="s">
        <v>267</v>
      </c>
      <c r="B44" s="50" t="s">
        <v>670</v>
      </c>
      <c r="C44" s="50" t="s">
        <v>233</v>
      </c>
      <c r="D44" s="39">
        <f>SUM(E44:R44)</f>
        <v>147.84821956491726</v>
      </c>
      <c r="E44" s="38">
        <v>46.633822705527017</v>
      </c>
      <c r="F44" s="38">
        <v>0.62036504913664903</v>
      </c>
      <c r="G44" s="38">
        <v>14.385262218583165</v>
      </c>
      <c r="H44" s="49">
        <v>0.28888442884181553</v>
      </c>
      <c r="I44" s="38">
        <v>16.6403154058472</v>
      </c>
      <c r="J44" s="49">
        <v>0.22244772485022984</v>
      </c>
      <c r="K44" s="38">
        <v>8.8055301071280834</v>
      </c>
      <c r="L44" s="38">
        <v>11.607420341001493</v>
      </c>
      <c r="N44" s="49">
        <v>4.5077460872365201E-2</v>
      </c>
      <c r="O44" s="49">
        <v>5.8035479253811889E-2</v>
      </c>
      <c r="Q44" s="38">
        <f t="shared" si="0"/>
        <v>48.541058643875417</v>
      </c>
      <c r="R44" s="49"/>
      <c r="S44" s="49"/>
      <c r="T44" s="38"/>
      <c r="V44" s="76"/>
      <c r="W44" s="38"/>
      <c r="Z44" s="39"/>
      <c r="AA44" s="39"/>
      <c r="AB44" s="39"/>
      <c r="AC44" s="39"/>
      <c r="AD44" s="49"/>
      <c r="AE44" s="76"/>
      <c r="AF44" s="76"/>
      <c r="AG44" s="76"/>
      <c r="AH44" s="76"/>
      <c r="AI44" s="76"/>
      <c r="AL44" s="39"/>
      <c r="AM44" s="39"/>
      <c r="AN44" s="39"/>
      <c r="AO44" s="39"/>
      <c r="AP44" s="38"/>
      <c r="AQ44" s="38"/>
      <c r="AR44" s="38"/>
      <c r="AS44" s="38"/>
      <c r="AT44" s="38"/>
      <c r="AU44" s="38"/>
      <c r="AV44" s="38"/>
      <c r="AW44" s="38"/>
      <c r="AX44" s="38"/>
      <c r="AZ44" s="38"/>
      <c r="BA44" s="38"/>
      <c r="BB44" s="38"/>
      <c r="BC44" s="38"/>
      <c r="BD44" s="38"/>
      <c r="BE44" s="38"/>
      <c r="BF44" s="38"/>
      <c r="BG44" s="76"/>
      <c r="BL44" s="76"/>
    </row>
    <row r="45" spans="1:70" x14ac:dyDescent="0.2">
      <c r="A45" s="50" t="s">
        <v>270</v>
      </c>
      <c r="B45" s="50" t="s">
        <v>671</v>
      </c>
      <c r="C45" s="50" t="s">
        <v>233</v>
      </c>
      <c r="D45" s="39">
        <f>SUM(E45:R45)</f>
        <v>17.309999999999999</v>
      </c>
      <c r="F45"/>
      <c r="G45"/>
      <c r="H45" s="49">
        <v>0.26700000000000002</v>
      </c>
      <c r="I45" s="38">
        <v>16.64</v>
      </c>
      <c r="J45"/>
      <c r="K45"/>
      <c r="L45" s="38" t="s">
        <v>1320</v>
      </c>
      <c r="M45" s="49">
        <v>0.40300000000000002</v>
      </c>
      <c r="Q45" s="38">
        <f t="shared" si="0"/>
        <v>0</v>
      </c>
      <c r="S45" s="39"/>
      <c r="T45" s="39" t="s">
        <v>672</v>
      </c>
      <c r="V45" s="50" t="s">
        <v>673</v>
      </c>
      <c r="X45" s="39">
        <v>45.655135729024302</v>
      </c>
      <c r="Y45" s="76">
        <v>82.16523300372485</v>
      </c>
      <c r="AD45" s="39">
        <v>6.5193879465123121</v>
      </c>
      <c r="AE45" s="76">
        <v>102.8464238818769</v>
      </c>
      <c r="AG45" s="76">
        <v>97.664603263927958</v>
      </c>
      <c r="AH45" s="76"/>
      <c r="AI45" s="76"/>
      <c r="AJ45" s="38">
        <v>6.3719216442908053E-2</v>
      </c>
      <c r="AK45" s="76">
        <v>70.396253718144536</v>
      </c>
      <c r="AL45" s="38">
        <v>6.9634295361363439</v>
      </c>
      <c r="AM45" s="39">
        <v>17.957595733847842</v>
      </c>
      <c r="AN45" s="199">
        <f>89.1*EXP((LN(AL45/234.7)+2*LN(AO45/452.4))/3)</f>
        <v>2.4490135156910235</v>
      </c>
      <c r="AO45" s="39">
        <v>11.968446016560815</v>
      </c>
      <c r="AP45" s="38">
        <v>3.412559155344749</v>
      </c>
      <c r="AQ45" s="38">
        <v>0.83923455797625734</v>
      </c>
      <c r="AR45" s="200">
        <f>AVERAGE(BP45:BR45)</f>
        <v>4.101396884901412</v>
      </c>
      <c r="AS45" s="38">
        <v>0.71782203821314672</v>
      </c>
      <c r="AT45" s="200">
        <f>(242.7*10^((4*LOG10(AS45/36.3)+LOG10(AX45/162.5))/5)+242.7*10^((4*LOG10(AP45/147.1)+4*LOG10(AX45/162.5))/8))/2</f>
        <v>4.6091698267095529</v>
      </c>
      <c r="AU45" s="200">
        <f>(55.6*10^((3*LOG10(AS45/36.3)+2*LOG10(AX45/162.5))/5)+55.6*10^((3*LOG10(AP45/147.1)+5*LOG10(AX45/162.5))/8))/2</f>
        <v>1.0071288297830518</v>
      </c>
      <c r="AV45" s="200">
        <f>(158.9*10^((2*LOG10(AS45/36.3)+3*LOG10(AX45/162.5))/5)+158.9*10^((2*LOG10(AP45/147.1)+6*LOG10(AX45/162.5))/8))/2</f>
        <v>2.7453154376200199</v>
      </c>
      <c r="AW45" s="201">
        <f>(24.2*10^((LOG10(AS45/36.3)+4*LOG10(AX45/162.5))/5)+24.2*10^((LOG10(AP45/147.1)+7*LOG10(AX45/162.5))/8))/2</f>
        <v>0.39878852691146305</v>
      </c>
      <c r="AX45" s="38">
        <v>2.5541147466302223</v>
      </c>
      <c r="AY45" s="49">
        <v>0.34972422756384486</v>
      </c>
      <c r="AZ45" s="50">
        <v>2.5742682959509073</v>
      </c>
      <c r="BA45" s="50">
        <v>0.29744861591231875</v>
      </c>
      <c r="BC45" s="38">
        <v>0.96493555216121329</v>
      </c>
      <c r="BD45" s="50">
        <v>1.1654875793874104</v>
      </c>
      <c r="BE45" s="38">
        <v>1.0036900072353083</v>
      </c>
      <c r="BF45" s="38">
        <v>0.28226465149931662</v>
      </c>
      <c r="BG45" s="76">
        <v>373.17</v>
      </c>
      <c r="BL45" s="76"/>
      <c r="BP45" s="116">
        <f>196.6*10^(LOG10(AP45/147.1)+(LOG10(AP45/147.1)-LOG10(AL45/234.7))*0.4)</f>
        <v>4.1334624551247314</v>
      </c>
      <c r="BQ45" s="116">
        <f>196.6*10^(LOG10(AP45/147.1)+0.6666*(LOG10(AS45/36.3)-LOG10(AP45/147.1)))</f>
        <v>4.1003168476227394</v>
      </c>
      <c r="BR45" s="116">
        <f>196.6*10^(LOG10(AS45/36.3)-(LOG10(AX45/162.5)-LOG10(AS45/36.3))/5)</f>
        <v>4.0704113519567633</v>
      </c>
    </row>
    <row r="46" spans="1:70" customFormat="1" x14ac:dyDescent="0.2">
      <c r="E46" s="30">
        <f>AVERAGE(E42:E45)</f>
        <v>47.272551704876186</v>
      </c>
      <c r="F46" s="30">
        <f t="shared" ref="F46:BF46" si="23">AVERAGE(F42:F45)</f>
        <v>0.76099073351503321</v>
      </c>
      <c r="G46" s="30">
        <f t="shared" si="23"/>
        <v>14.482576608072321</v>
      </c>
      <c r="H46" s="30">
        <f t="shared" si="23"/>
        <v>0.25764730157665106</v>
      </c>
      <c r="I46" s="30">
        <f t="shared" si="23"/>
        <v>17.02376538315194</v>
      </c>
      <c r="J46" s="30">
        <f t="shared" si="23"/>
        <v>0.22506444161674324</v>
      </c>
      <c r="K46" s="30">
        <f t="shared" si="23"/>
        <v>8.1427123713901128</v>
      </c>
      <c r="L46" s="30">
        <f t="shared" si="23"/>
        <v>11.851295174700027</v>
      </c>
      <c r="M46" s="30">
        <f t="shared" si="23"/>
        <v>0.41630973239436625</v>
      </c>
      <c r="N46" s="30">
        <f t="shared" si="23"/>
        <v>5.9342522145248496E-2</v>
      </c>
      <c r="O46" s="30">
        <f t="shared" si="23"/>
        <v>5.8035479253811889E-2</v>
      </c>
      <c r="P46" s="30" t="e">
        <f t="shared" si="23"/>
        <v>#DIV/0!</v>
      </c>
      <c r="Q46" s="38">
        <f t="shared" si="0"/>
        <v>46.023099028068117</v>
      </c>
      <c r="R46" s="30" t="e">
        <f t="shared" si="23"/>
        <v>#DIV/0!</v>
      </c>
      <c r="S46" s="30" t="e">
        <f t="shared" si="23"/>
        <v>#DIV/0!</v>
      </c>
      <c r="T46" s="30">
        <f t="shared" si="23"/>
        <v>42.264084507042256</v>
      </c>
      <c r="U46" s="30" t="e">
        <f t="shared" si="23"/>
        <v>#DIV/0!</v>
      </c>
      <c r="V46" s="30">
        <f t="shared" si="23"/>
        <v>1623.921652520487</v>
      </c>
      <c r="W46" s="30" t="e">
        <f t="shared" si="23"/>
        <v>#DIV/0!</v>
      </c>
      <c r="X46" s="30">
        <f t="shared" si="23"/>
        <v>46.848694625075531</v>
      </c>
      <c r="Y46" s="30">
        <f t="shared" si="23"/>
        <v>59.432968614538481</v>
      </c>
      <c r="Z46" s="30">
        <f t="shared" si="23"/>
        <v>2.7616197183098592</v>
      </c>
      <c r="AA46" s="30" t="e">
        <f t="shared" si="23"/>
        <v>#DIV/0!</v>
      </c>
      <c r="AB46" s="30" t="e">
        <f t="shared" si="23"/>
        <v>#DIV/0!</v>
      </c>
      <c r="AC46" s="30" t="e">
        <f t="shared" si="23"/>
        <v>#DIV/0!</v>
      </c>
      <c r="AD46" s="30">
        <f t="shared" si="23"/>
        <v>6.5193879465123121</v>
      </c>
      <c r="AE46" s="30">
        <f t="shared" si="23"/>
        <v>109.03940912403704</v>
      </c>
      <c r="AF46" s="30" t="e">
        <f t="shared" si="23"/>
        <v>#DIV/0!</v>
      </c>
      <c r="AG46" s="30">
        <f t="shared" si="23"/>
        <v>109.8974424770344</v>
      </c>
      <c r="AH46" s="30" t="e">
        <f t="shared" si="23"/>
        <v>#DIV/0!</v>
      </c>
      <c r="AI46" s="30" t="e">
        <f t="shared" si="23"/>
        <v>#DIV/0!</v>
      </c>
      <c r="AJ46" s="30">
        <f t="shared" si="23"/>
        <v>6.3719216442908053E-2</v>
      </c>
      <c r="AK46" s="30">
        <f t="shared" si="23"/>
        <v>74.092493056255364</v>
      </c>
      <c r="AL46" s="30">
        <f t="shared" si="23"/>
        <v>7.5806584300400024</v>
      </c>
      <c r="AM46" s="30">
        <f t="shared" si="23"/>
        <v>19.224572514811246</v>
      </c>
      <c r="AN46" s="30">
        <f t="shared" si="23"/>
        <v>2.5691906895094245</v>
      </c>
      <c r="AO46" s="30">
        <f t="shared" si="23"/>
        <v>12.331053994195901</v>
      </c>
      <c r="AP46" s="30">
        <f t="shared" si="23"/>
        <v>3.5903288734470222</v>
      </c>
      <c r="AQ46" s="30">
        <f t="shared" si="23"/>
        <v>0.9070644620867202</v>
      </c>
      <c r="AR46" s="30">
        <f t="shared" si="23"/>
        <v>4.3256115820207466</v>
      </c>
      <c r="AS46" s="30">
        <f t="shared" si="23"/>
        <v>0.76656946981079876</v>
      </c>
      <c r="AT46" s="30">
        <f t="shared" si="23"/>
        <v>4.9394715856487785</v>
      </c>
      <c r="AU46" s="30">
        <f t="shared" si="23"/>
        <v>1.0839877563409219</v>
      </c>
      <c r="AV46" s="30">
        <f t="shared" si="23"/>
        <v>2.9677006727649204</v>
      </c>
      <c r="AW46" s="30">
        <f t="shared" si="23"/>
        <v>0.43297808271496013</v>
      </c>
      <c r="AX46" s="30">
        <f t="shared" si="23"/>
        <v>2.7852615986672236</v>
      </c>
      <c r="AY46" s="30">
        <f t="shared" si="23"/>
        <v>0.39699239547206322</v>
      </c>
      <c r="AZ46" s="30">
        <f t="shared" si="23"/>
        <v>2.6607609085388342</v>
      </c>
      <c r="BA46" s="30">
        <f t="shared" si="23"/>
        <v>0.31330177274489174</v>
      </c>
      <c r="BB46" s="30" t="e">
        <f t="shared" si="23"/>
        <v>#DIV/0!</v>
      </c>
      <c r="BC46" s="30">
        <f t="shared" si="23"/>
        <v>0.63590967748905736</v>
      </c>
      <c r="BD46" s="30">
        <f t="shared" si="23"/>
        <v>0.65334414180638123</v>
      </c>
      <c r="BE46" s="30">
        <f t="shared" si="23"/>
        <v>0.98705627122328798</v>
      </c>
      <c r="BF46" s="30">
        <f t="shared" si="23"/>
        <v>0.26634359335529212</v>
      </c>
    </row>
    <row r="47" spans="1:70" s="36" customFormat="1" x14ac:dyDescent="0.2">
      <c r="A47" s="36" t="s">
        <v>553</v>
      </c>
      <c r="E47" s="34">
        <f>E46</f>
        <v>47.272551704876186</v>
      </c>
      <c r="F47" s="34">
        <f t="shared" ref="F47:BF47" si="24">F46</f>
        <v>0.76099073351503321</v>
      </c>
      <c r="G47" s="34">
        <f t="shared" si="24"/>
        <v>14.482576608072321</v>
      </c>
      <c r="H47" s="37">
        <f t="shared" si="24"/>
        <v>0.25764730157665106</v>
      </c>
      <c r="I47" s="34">
        <f t="shared" si="24"/>
        <v>17.02376538315194</v>
      </c>
      <c r="J47" s="37">
        <f t="shared" si="24"/>
        <v>0.22506444161674324</v>
      </c>
      <c r="K47" s="34">
        <f t="shared" si="24"/>
        <v>8.1427123713901128</v>
      </c>
      <c r="L47" s="34">
        <f t="shared" si="24"/>
        <v>11.851295174700027</v>
      </c>
      <c r="M47" s="37">
        <f t="shared" si="24"/>
        <v>0.41630973239436625</v>
      </c>
      <c r="N47" s="37">
        <f t="shared" si="24"/>
        <v>5.9342522145248496E-2</v>
      </c>
      <c r="O47" s="37">
        <f t="shared" si="24"/>
        <v>5.8035479253811889E-2</v>
      </c>
      <c r="P47" s="72" t="e">
        <f t="shared" si="24"/>
        <v>#DIV/0!</v>
      </c>
      <c r="Q47" s="38">
        <f t="shared" si="0"/>
        <v>46.023099028068117</v>
      </c>
      <c r="R47" s="72"/>
      <c r="S47" s="72"/>
      <c r="T47" s="72">
        <f t="shared" si="24"/>
        <v>42.264084507042256</v>
      </c>
      <c r="U47" s="35" t="e">
        <f t="shared" si="24"/>
        <v>#DIV/0!</v>
      </c>
      <c r="V47" s="35">
        <f t="shared" si="24"/>
        <v>1623.921652520487</v>
      </c>
      <c r="W47" s="72"/>
      <c r="X47" s="72">
        <f t="shared" si="24"/>
        <v>46.848694625075531</v>
      </c>
      <c r="Y47" s="35">
        <f t="shared" si="24"/>
        <v>59.432968614538481</v>
      </c>
      <c r="Z47" s="72">
        <f t="shared" si="24"/>
        <v>2.7616197183098592</v>
      </c>
      <c r="AA47" s="72"/>
      <c r="AB47" s="72"/>
      <c r="AC47" s="72"/>
      <c r="AD47" s="172">
        <f t="shared" si="24"/>
        <v>6.5193879465123121</v>
      </c>
      <c r="AE47" s="35">
        <f t="shared" si="24"/>
        <v>109.03940912403704</v>
      </c>
      <c r="AF47" s="291">
        <f>1560*10^((LOG10(AU47/55.6)+LOG10(AV47/158.9))/2)</f>
        <v>29.7678514638481</v>
      </c>
      <c r="AG47" s="35">
        <f t="shared" si="24"/>
        <v>109.8974424770344</v>
      </c>
      <c r="AH47" s="35"/>
      <c r="AI47" s="35"/>
      <c r="AJ47" s="34">
        <f t="shared" si="24"/>
        <v>6.3719216442908053E-2</v>
      </c>
      <c r="AK47" s="35">
        <f t="shared" si="24"/>
        <v>74.092493056255364</v>
      </c>
      <c r="AL47" s="34">
        <f t="shared" si="24"/>
        <v>7.5806584300400024</v>
      </c>
      <c r="AM47" s="72">
        <f t="shared" si="24"/>
        <v>19.224572514811246</v>
      </c>
      <c r="AN47" s="72">
        <f t="shared" ref="AN47:AY47" si="25">AN46</f>
        <v>2.5691906895094245</v>
      </c>
      <c r="AO47" s="72">
        <f t="shared" si="25"/>
        <v>12.331053994195901</v>
      </c>
      <c r="AP47" s="72">
        <f t="shared" si="25"/>
        <v>3.5903288734470222</v>
      </c>
      <c r="AQ47" s="34">
        <f t="shared" si="25"/>
        <v>0.9070644620867202</v>
      </c>
      <c r="AR47" s="72">
        <f t="shared" si="25"/>
        <v>4.3256115820207466</v>
      </c>
      <c r="AS47" s="72">
        <f t="shared" si="25"/>
        <v>0.76656946981079876</v>
      </c>
      <c r="AT47" s="72">
        <f t="shared" si="25"/>
        <v>4.9394715856487785</v>
      </c>
      <c r="AU47" s="72">
        <f t="shared" si="25"/>
        <v>1.0839877563409219</v>
      </c>
      <c r="AV47" s="72">
        <f t="shared" si="25"/>
        <v>2.9677006727649204</v>
      </c>
      <c r="AW47" s="72">
        <f t="shared" si="25"/>
        <v>0.43297808271496013</v>
      </c>
      <c r="AX47" s="72">
        <f t="shared" si="25"/>
        <v>2.7852615986672236</v>
      </c>
      <c r="AY47" s="72">
        <f t="shared" si="25"/>
        <v>0.39699239547206322</v>
      </c>
      <c r="AZ47" s="34">
        <f t="shared" si="24"/>
        <v>2.6607609085388342</v>
      </c>
      <c r="BA47" s="34">
        <f t="shared" si="24"/>
        <v>0.31330177274489174</v>
      </c>
      <c r="BB47" s="34"/>
      <c r="BC47" s="34">
        <f t="shared" si="24"/>
        <v>0.63590967748905736</v>
      </c>
      <c r="BD47" s="34">
        <f t="shared" si="24"/>
        <v>0.65334414180638123</v>
      </c>
      <c r="BE47" s="34">
        <f t="shared" si="24"/>
        <v>0.98705627122328798</v>
      </c>
      <c r="BF47" s="34">
        <f t="shared" si="24"/>
        <v>0.26634359335529212</v>
      </c>
      <c r="BG47" s="35"/>
      <c r="BJ47" s="37"/>
      <c r="BK47" s="37"/>
      <c r="BL47" s="37"/>
    </row>
    <row r="48" spans="1:70" x14ac:dyDescent="0.2">
      <c r="A48" s="71"/>
      <c r="Q48" s="38" t="e">
        <f t="shared" si="0"/>
        <v>#DIV/0!</v>
      </c>
      <c r="R48" s="49"/>
      <c r="S48" s="39"/>
      <c r="T48" s="39"/>
      <c r="V48" s="38"/>
      <c r="W48" s="39"/>
      <c r="AD48" s="39"/>
      <c r="AE48" s="76"/>
      <c r="AF48" s="76"/>
      <c r="AG48" s="76"/>
      <c r="AH48" s="76"/>
      <c r="AI48" s="76"/>
      <c r="AL48" s="38"/>
      <c r="AM48" s="39"/>
      <c r="AN48" s="39"/>
      <c r="AO48" s="39"/>
      <c r="AP48" s="38"/>
      <c r="AQ48" s="38"/>
      <c r="AR48" s="38"/>
      <c r="AS48" s="38"/>
      <c r="AT48" s="38"/>
      <c r="AU48" s="38"/>
      <c r="AV48" s="38"/>
      <c r="AW48" s="38"/>
      <c r="AX48" s="38"/>
      <c r="AZ48" s="38"/>
      <c r="BA48" s="38"/>
      <c r="BB48" s="38"/>
      <c r="BC48" s="38"/>
      <c r="BD48" s="39"/>
      <c r="BE48" s="38"/>
      <c r="BF48" s="38"/>
      <c r="BG48" s="76"/>
    </row>
    <row r="49" spans="1:70" x14ac:dyDescent="0.2">
      <c r="Q49" s="38" t="e">
        <f t="shared" si="0"/>
        <v>#DIV/0!</v>
      </c>
    </row>
    <row r="50" spans="1:70" x14ac:dyDescent="0.2">
      <c r="Q50" s="38" t="e">
        <f t="shared" si="0"/>
        <v>#DIV/0!</v>
      </c>
      <c r="S50" s="39"/>
      <c r="T50" s="39"/>
      <c r="AD50" s="79"/>
      <c r="AL50" s="38"/>
      <c r="AM50" s="39"/>
      <c r="AN50" s="39"/>
      <c r="AO50" s="39"/>
      <c r="AP50" s="38"/>
      <c r="AQ50" s="38"/>
      <c r="AR50" s="38"/>
      <c r="AS50" s="38"/>
      <c r="AT50" s="38"/>
      <c r="AU50" s="38"/>
      <c r="AV50" s="38"/>
      <c r="AW50" s="38"/>
      <c r="AX50" s="38"/>
      <c r="BC50" s="38"/>
      <c r="BE50" s="38"/>
      <c r="BF50" s="38"/>
      <c r="BG50" s="76"/>
    </row>
    <row r="51" spans="1:70" x14ac:dyDescent="0.2">
      <c r="A51" s="50" t="s">
        <v>375</v>
      </c>
      <c r="C51" s="50" t="s">
        <v>698</v>
      </c>
      <c r="Q51" s="38" t="e">
        <f t="shared" si="0"/>
        <v>#DIV/0!</v>
      </c>
      <c r="T51" s="50">
        <v>45.41</v>
      </c>
      <c r="V51" s="50">
        <v>1785</v>
      </c>
      <c r="AD51" s="50">
        <v>1.37</v>
      </c>
      <c r="AE51" s="50">
        <v>112.4</v>
      </c>
      <c r="AG51" s="50">
        <v>112</v>
      </c>
      <c r="AJ51" s="38">
        <v>0.06</v>
      </c>
      <c r="AK51" s="76">
        <v>80.17</v>
      </c>
      <c r="AL51" s="50">
        <v>7.3</v>
      </c>
      <c r="AM51" s="39">
        <v>19.66</v>
      </c>
      <c r="AN51" s="199">
        <f>89.1*EXP((LN(AL51/234.7)+2*LN(AO51/452.4))/3)</f>
        <v>2.5895815791675529</v>
      </c>
      <c r="AO51" s="50">
        <v>12.71</v>
      </c>
      <c r="AP51" s="50">
        <v>3.65</v>
      </c>
      <c r="AQ51" s="38">
        <v>0.9</v>
      </c>
      <c r="AR51" s="200">
        <f>AVERAGE(BP51:BR51)</f>
        <v>4.4635894204548707</v>
      </c>
      <c r="AS51" s="50">
        <v>0.79</v>
      </c>
      <c r="AT51" s="200">
        <f>(242.7*10^((4*LOG10(AS51/36.3)+LOG10(AX51/162.5))/5)+242.7*10^((4*LOG10(AP51/147.1)+4*LOG10(AX51/162.5))/8))/2</f>
        <v>5.0670785508998142</v>
      </c>
      <c r="AU51" s="200">
        <f>(55.6*10^((3*LOG10(AS51/36.3)+2*LOG10(AX51/162.5))/5)+55.6*10^((3*LOG10(AP51/147.1)+5*LOG10(AX51/162.5))/8))/2</f>
        <v>1.1122920108469234</v>
      </c>
      <c r="AV51" s="200">
        <f>(158.9*10^((2*LOG10(AS51/36.3)+3*LOG10(AX51/162.5))/5)+158.9*10^((2*LOG10(AP51/147.1)+6*LOG10(AX51/162.5))/8))/2</f>
        <v>3.0459594211862178</v>
      </c>
      <c r="AW51" s="201">
        <f>(24.2*10^((LOG10(AS51/36.3)+4*LOG10(AX51/162.5))/5)+24.2*10^((LOG10(AP51/147.1)+7*LOG10(AX51/162.5))/8))/2</f>
        <v>0.44450003131891758</v>
      </c>
      <c r="AX51" s="50">
        <v>2.86</v>
      </c>
      <c r="AY51" s="49">
        <v>0.42</v>
      </c>
      <c r="AZ51" s="38">
        <v>2.42</v>
      </c>
      <c r="BA51" s="50">
        <v>0.34</v>
      </c>
      <c r="BF51" s="38">
        <v>0.3</v>
      </c>
      <c r="BG51" s="285" t="s">
        <v>250</v>
      </c>
      <c r="BL51" s="76"/>
      <c r="BP51" s="116">
        <f t="shared" ref="BP51:BP63" si="26">196.6*10^(LOG10(AP51/147.1)+(LOG10(AP51/147.1)-LOG10(AL51/234.7))*0.4)</f>
        <v>4.456684329051873</v>
      </c>
      <c r="BQ51" s="116">
        <f t="shared" ref="BQ51:BQ63" si="27">196.6*10^(LOG10(AP51/147.1)+0.6666*(LOG10(AS51/36.3)-LOG10(AP51/147.1)))</f>
        <v>4.4698644397531657</v>
      </c>
      <c r="BR51" s="116">
        <f t="shared" ref="BR51:BR63" si="28">196.6*10^(LOG10(AS51/36.3)-(LOG10(AX51/162.5)-LOG10(AS51/36.3))/5)</f>
        <v>4.4642194925595744</v>
      </c>
    </row>
    <row r="52" spans="1:70" x14ac:dyDescent="0.2">
      <c r="A52" s="50" t="s">
        <v>375</v>
      </c>
      <c r="C52" s="50" t="s">
        <v>698</v>
      </c>
      <c r="Q52" s="38" t="e">
        <f t="shared" si="0"/>
        <v>#DIV/0!</v>
      </c>
      <c r="T52" s="50">
        <v>40.81</v>
      </c>
      <c r="V52" s="50">
        <v>2530</v>
      </c>
      <c r="AD52" s="50">
        <v>0.78</v>
      </c>
      <c r="AE52" s="50">
        <v>109.2</v>
      </c>
      <c r="AG52" s="50">
        <v>109.2</v>
      </c>
      <c r="AJ52" s="38">
        <v>0.02</v>
      </c>
      <c r="AK52" s="76">
        <v>48.47</v>
      </c>
      <c r="AL52" s="50">
        <v>4.6900000000000004</v>
      </c>
      <c r="AM52" s="39">
        <v>12.28</v>
      </c>
      <c r="AN52" s="199">
        <f>89.1*EXP((LN(AL52/234.7)+2*LN(AO52/452.4))/3)</f>
        <v>1.6574988804481374</v>
      </c>
      <c r="AO52" s="50">
        <v>8.1199999999999992</v>
      </c>
      <c r="AP52" s="50">
        <v>2.38</v>
      </c>
      <c r="AQ52" s="38">
        <v>0.7</v>
      </c>
      <c r="AR52" s="200">
        <f>AVERAGE(BP52:BR52)</f>
        <v>2.9277165979703246</v>
      </c>
      <c r="AS52" s="50">
        <v>0.52</v>
      </c>
      <c r="AT52" s="200">
        <f>(242.7*10^((4*LOG10(AS52/36.3)+LOG10(AX52/162.5))/5)+242.7*10^((4*LOG10(AP52/147.1)+4*LOG10(AX52/162.5))/8))/2</f>
        <v>3.350478251315713</v>
      </c>
      <c r="AU52" s="200">
        <f>(55.6*10^((3*LOG10(AS52/36.3)+2*LOG10(AX52/162.5))/5)+55.6*10^((3*LOG10(AP52/147.1)+5*LOG10(AX52/162.5))/8))/2</f>
        <v>0.73826865671569064</v>
      </c>
      <c r="AV52" s="200">
        <f>(158.9*10^((2*LOG10(AS52/36.3)+3*LOG10(AX52/162.5))/5)+158.9*10^((2*LOG10(AP52/147.1)+6*LOG10(AX52/162.5))/8))/2</f>
        <v>2.0293932582447836</v>
      </c>
      <c r="AW52" s="201">
        <f>(24.2*10^((LOG10(AS52/36.3)+4*LOG10(AX52/162.5))/5)+24.2*10^((LOG10(AP52/147.1)+7*LOG10(AX52/162.5))/8))/2</f>
        <v>0.29727639342421053</v>
      </c>
      <c r="AX52" s="50">
        <v>1.92</v>
      </c>
      <c r="AY52" s="49">
        <v>0.28000000000000003</v>
      </c>
      <c r="AZ52" s="38">
        <v>1.7</v>
      </c>
      <c r="BA52" s="50">
        <v>0.22</v>
      </c>
      <c r="BF52" s="38">
        <v>0.19</v>
      </c>
      <c r="BG52" s="285" t="s">
        <v>250</v>
      </c>
      <c r="BL52" s="76"/>
      <c r="BP52" s="116">
        <f t="shared" si="26"/>
        <v>2.923274581539193</v>
      </c>
      <c r="BQ52" s="116">
        <f t="shared" si="27"/>
        <v>2.932960934937118</v>
      </c>
      <c r="BR52" s="116">
        <f t="shared" si="28"/>
        <v>2.9269142774346637</v>
      </c>
    </row>
    <row r="53" spans="1:70" x14ac:dyDescent="0.2">
      <c r="A53" s="50" t="s">
        <v>375</v>
      </c>
      <c r="C53" s="50" t="s">
        <v>698</v>
      </c>
      <c r="Q53" s="38" t="e">
        <f t="shared" si="0"/>
        <v>#DIV/0!</v>
      </c>
      <c r="T53" s="50">
        <v>46.71</v>
      </c>
      <c r="V53" s="50">
        <v>1467</v>
      </c>
      <c r="AD53" s="50">
        <v>1.89</v>
      </c>
      <c r="AE53" s="50">
        <v>116.8</v>
      </c>
      <c r="AG53" s="50">
        <v>116.8</v>
      </c>
      <c r="AJ53" s="38">
        <v>7.0000000000000007E-2</v>
      </c>
      <c r="AK53" s="76">
        <v>91.66</v>
      </c>
      <c r="AL53" s="50">
        <v>9.08</v>
      </c>
      <c r="AM53" s="39">
        <v>31.35</v>
      </c>
      <c r="AN53" s="199">
        <f>89.1*EXP((LN(AL53/234.7)+2*LN(AO53/452.4))/3)</f>
        <v>3.1597134824603232</v>
      </c>
      <c r="AO53" s="50">
        <v>15.36</v>
      </c>
      <c r="AP53" s="50">
        <v>4.42</v>
      </c>
      <c r="AQ53" s="38">
        <v>1</v>
      </c>
      <c r="AR53" s="200">
        <f>AVERAGE(BP53:BR53)</f>
        <v>5.333986704183566</v>
      </c>
      <c r="AS53" s="50">
        <v>0.94</v>
      </c>
      <c r="AT53" s="200">
        <f>(242.7*10^((4*LOG10(AS53/36.3)+LOG10(AX53/162.5))/5)+242.7*10^((4*LOG10(AP53/147.1)+4*LOG10(AX53/162.5))/8))/2</f>
        <v>6.0539032855331509</v>
      </c>
      <c r="AU53" s="200">
        <f>(55.6*10^((3*LOG10(AS53/36.3)+2*LOG10(AX53/162.5))/5)+55.6*10^((3*LOG10(AP53/147.1)+5*LOG10(AX53/162.5))/8))/2</f>
        <v>1.3272549565182401</v>
      </c>
      <c r="AV53" s="200">
        <f>(158.9*10^((2*LOG10(AS53/36.3)+3*LOG10(AX53/162.5))/5)+158.9*10^((2*LOG10(AP53/147.1)+6*LOG10(AX53/162.5))/8))/2</f>
        <v>3.6300955544976992</v>
      </c>
      <c r="AW53" s="201">
        <f>(24.2*10^((LOG10(AS53/36.3)+4*LOG10(AX53/162.5))/5)+24.2*10^((LOG10(AP53/147.1)+7*LOG10(AX53/162.5))/8))/2</f>
        <v>0.52908427621495013</v>
      </c>
      <c r="AX53" s="50">
        <v>3.4</v>
      </c>
      <c r="AY53" s="49">
        <v>0.5</v>
      </c>
      <c r="AZ53" s="38">
        <v>3.02</v>
      </c>
      <c r="BA53" s="50">
        <v>0.55000000000000004</v>
      </c>
      <c r="BF53" s="38">
        <v>0.35</v>
      </c>
      <c r="BG53" s="285" t="s">
        <v>250</v>
      </c>
      <c r="BL53" s="76"/>
      <c r="BP53" s="116">
        <f t="shared" si="26"/>
        <v>5.3393432989535938</v>
      </c>
      <c r="BQ53" s="116">
        <f t="shared" si="27"/>
        <v>5.3498117955937028</v>
      </c>
      <c r="BR53" s="116">
        <f t="shared" si="28"/>
        <v>5.3128050180034023</v>
      </c>
    </row>
    <row r="54" spans="1:70" x14ac:dyDescent="0.2">
      <c r="A54" s="50" t="s">
        <v>375</v>
      </c>
      <c r="C54" s="50" t="s">
        <v>463</v>
      </c>
      <c r="E54" s="38">
        <v>46.5</v>
      </c>
      <c r="F54" s="38">
        <v>0.75</v>
      </c>
      <c r="G54" s="38">
        <v>13</v>
      </c>
      <c r="H54" s="49">
        <v>0.24</v>
      </c>
      <c r="I54" s="38">
        <v>18.100000000000001</v>
      </c>
      <c r="J54" s="49">
        <v>0.24</v>
      </c>
      <c r="K54" s="38">
        <v>7.72</v>
      </c>
      <c r="L54" s="38">
        <v>11.2</v>
      </c>
      <c r="M54" s="49">
        <v>0.36</v>
      </c>
      <c r="N54" s="49">
        <v>0.05</v>
      </c>
      <c r="O54" s="49">
        <v>7.0000000000000007E-2</v>
      </c>
      <c r="P54" s="50">
        <v>0.1</v>
      </c>
      <c r="Q54" s="38">
        <f t="shared" si="0"/>
        <v>43.191963527849836</v>
      </c>
      <c r="AM54" s="39"/>
      <c r="AN54" s="39"/>
      <c r="AQ54" s="38"/>
      <c r="AR54" s="38"/>
      <c r="AZ54" s="38"/>
      <c r="BC54" s="50">
        <v>0.93</v>
      </c>
      <c r="BF54" s="38"/>
      <c r="BG54" s="285"/>
      <c r="BL54" s="76"/>
      <c r="BP54" s="116"/>
      <c r="BQ54" s="116"/>
      <c r="BR54" s="116"/>
    </row>
    <row r="55" spans="1:70" x14ac:dyDescent="0.2">
      <c r="A55" s="50" t="s">
        <v>375</v>
      </c>
      <c r="C55" s="50" t="s">
        <v>463</v>
      </c>
      <c r="Q55" s="38" t="e">
        <f t="shared" si="0"/>
        <v>#DIV/0!</v>
      </c>
      <c r="T55" s="50">
        <v>45.4</v>
      </c>
      <c r="V55" s="50">
        <v>2530</v>
      </c>
      <c r="AD55" s="50">
        <v>1.37</v>
      </c>
      <c r="AE55" s="50">
        <v>112.4</v>
      </c>
      <c r="AG55" s="50">
        <v>112</v>
      </c>
      <c r="AJ55" s="38">
        <v>0.06</v>
      </c>
      <c r="AK55" s="76">
        <v>80.2</v>
      </c>
      <c r="AL55" s="38">
        <v>7.3</v>
      </c>
      <c r="AM55" s="39">
        <v>19.7</v>
      </c>
      <c r="AN55" s="199">
        <f>89.1*EXP((LN(AL55/234.7)+2*LN(AO55/452.4))/3)</f>
        <v>2.5882231101034638</v>
      </c>
      <c r="AO55" s="50">
        <v>12.7</v>
      </c>
      <c r="AP55" s="50">
        <v>3.65</v>
      </c>
      <c r="AQ55" s="38">
        <v>0.9</v>
      </c>
      <c r="AR55" s="200">
        <f>AVERAGE(BP55:BR55)</f>
        <v>4.4635894204548707</v>
      </c>
      <c r="AS55" s="50">
        <v>0.79</v>
      </c>
      <c r="AT55" s="200">
        <f>(242.7*10^((4*LOG10(AS55/36.3)+LOG10(AX55/162.5))/5)+242.7*10^((4*LOG10(AP55/147.1)+4*LOG10(AX55/162.5))/8))/2</f>
        <v>5.0670785508998142</v>
      </c>
      <c r="AU55" s="200">
        <f>(55.6*10^((3*LOG10(AS55/36.3)+2*LOG10(AX55/162.5))/5)+55.6*10^((3*LOG10(AP55/147.1)+5*LOG10(AX55/162.5))/8))/2</f>
        <v>1.1122920108469234</v>
      </c>
      <c r="AV55" s="200">
        <f>(158.9*10^((2*LOG10(AS55/36.3)+3*LOG10(AX55/162.5))/5)+158.9*10^((2*LOG10(AP55/147.1)+6*LOG10(AX55/162.5))/8))/2</f>
        <v>3.0459594211862178</v>
      </c>
      <c r="AW55" s="201">
        <f>(24.2*10^((LOG10(AS55/36.3)+4*LOG10(AX55/162.5))/5)+24.2*10^((LOG10(AP55/147.1)+7*LOG10(AX55/162.5))/8))/2</f>
        <v>0.44450003131891758</v>
      </c>
      <c r="AX55" s="38">
        <v>2.86</v>
      </c>
      <c r="AY55" s="49">
        <v>0.42</v>
      </c>
      <c r="AZ55" s="38">
        <v>2.42</v>
      </c>
      <c r="BA55" s="50">
        <v>0.34</v>
      </c>
      <c r="BE55" s="50">
        <v>0.82</v>
      </c>
      <c r="BF55" s="38">
        <v>0.3</v>
      </c>
      <c r="BG55" s="285"/>
      <c r="BL55" s="76"/>
      <c r="BP55" s="116">
        <f t="shared" si="26"/>
        <v>4.456684329051873</v>
      </c>
      <c r="BQ55" s="116">
        <f t="shared" si="27"/>
        <v>4.4698644397531657</v>
      </c>
      <c r="BR55" s="116">
        <f t="shared" si="28"/>
        <v>4.4642194925595744</v>
      </c>
    </row>
    <row r="56" spans="1:70" x14ac:dyDescent="0.2">
      <c r="A56" s="50" t="s">
        <v>375</v>
      </c>
      <c r="C56" s="50" t="s">
        <v>463</v>
      </c>
      <c r="Q56" s="38" t="e">
        <f t="shared" si="0"/>
        <v>#DIV/0!</v>
      </c>
      <c r="T56" s="50">
        <v>40.799999999999997</v>
      </c>
      <c r="V56" s="50">
        <v>1467</v>
      </c>
      <c r="AD56" s="50">
        <v>0.78</v>
      </c>
      <c r="AE56" s="50">
        <v>109.2</v>
      </c>
      <c r="AG56" s="50">
        <v>94.3</v>
      </c>
      <c r="AJ56" s="38">
        <v>0.02</v>
      </c>
      <c r="AK56" s="76">
        <v>48.5</v>
      </c>
      <c r="AL56" s="50">
        <v>4.6900000000000004</v>
      </c>
      <c r="AM56" s="39">
        <v>12.3</v>
      </c>
      <c r="AN56" s="199">
        <f>89.1*EXP((LN(AL56/234.7)+2*LN(AO56/452.4))/3)</f>
        <v>1.6574988804481374</v>
      </c>
      <c r="AO56" s="50">
        <v>8.1199999999999992</v>
      </c>
      <c r="AP56" s="50">
        <v>2.38</v>
      </c>
      <c r="AQ56" s="38">
        <v>0.7</v>
      </c>
      <c r="AR56" s="200">
        <f>AVERAGE(BP56:BR56)</f>
        <v>2.9277165979703246</v>
      </c>
      <c r="AS56" s="50">
        <v>0.52</v>
      </c>
      <c r="AT56" s="200">
        <f>(242.7*10^((4*LOG10(AS56/36.3)+LOG10(AX56/162.5))/5)+242.7*10^((4*LOG10(AP56/147.1)+4*LOG10(AX56/162.5))/8))/2</f>
        <v>3.350478251315713</v>
      </c>
      <c r="AU56" s="200">
        <f>(55.6*10^((3*LOG10(AS56/36.3)+2*LOG10(AX56/162.5))/5)+55.6*10^((3*LOG10(AP56/147.1)+5*LOG10(AX56/162.5))/8))/2</f>
        <v>0.73826865671569064</v>
      </c>
      <c r="AV56" s="200">
        <f>(158.9*10^((2*LOG10(AS56/36.3)+3*LOG10(AX56/162.5))/5)+158.9*10^((2*LOG10(AP56/147.1)+6*LOG10(AX56/162.5))/8))/2</f>
        <v>2.0293932582447836</v>
      </c>
      <c r="AW56" s="201">
        <f>(24.2*10^((LOG10(AS56/36.3)+4*LOG10(AX56/162.5))/5)+24.2*10^((LOG10(AP56/147.1)+7*LOG10(AX56/162.5))/8))/2</f>
        <v>0.29727639342421053</v>
      </c>
      <c r="AX56" s="38">
        <v>1.92</v>
      </c>
      <c r="AY56" s="49">
        <v>0.28000000000000003</v>
      </c>
      <c r="AZ56" s="38">
        <v>1.7</v>
      </c>
      <c r="BA56" s="50">
        <v>0.22</v>
      </c>
      <c r="BE56" s="50">
        <v>0.51</v>
      </c>
      <c r="BF56" s="38">
        <v>0.19</v>
      </c>
      <c r="BG56" s="285"/>
      <c r="BL56" s="76"/>
      <c r="BP56" s="116">
        <f t="shared" si="26"/>
        <v>2.923274581539193</v>
      </c>
      <c r="BQ56" s="116">
        <f t="shared" si="27"/>
        <v>2.932960934937118</v>
      </c>
      <c r="BR56" s="116">
        <f t="shared" si="28"/>
        <v>2.9269142774346637</v>
      </c>
    </row>
    <row r="57" spans="1:70" x14ac:dyDescent="0.2">
      <c r="A57" s="50" t="s">
        <v>375</v>
      </c>
      <c r="C57" s="50" t="s">
        <v>463</v>
      </c>
      <c r="Q57" s="38" t="e">
        <f t="shared" si="0"/>
        <v>#DIV/0!</v>
      </c>
      <c r="T57" s="50">
        <v>46.7</v>
      </c>
      <c r="V57" s="50">
        <v>1470</v>
      </c>
      <c r="AD57" s="50">
        <v>1.89</v>
      </c>
      <c r="AE57" s="50">
        <v>116.8</v>
      </c>
      <c r="AG57" s="50">
        <v>140.80000000000001</v>
      </c>
      <c r="AJ57" s="38">
        <v>7.0000000000000007E-2</v>
      </c>
      <c r="AK57" s="76">
        <v>91.7</v>
      </c>
      <c r="AL57" s="50">
        <v>9.08</v>
      </c>
      <c r="AM57" s="39">
        <v>31.4</v>
      </c>
      <c r="AN57" s="199">
        <f>89.1*EXP((LN(AL57/234.7)+2*LN(AO57/452.4))/3)</f>
        <v>3.1651967179879348</v>
      </c>
      <c r="AO57" s="50">
        <v>15.4</v>
      </c>
      <c r="AP57" s="50">
        <v>4.42</v>
      </c>
      <c r="AQ57" s="38">
        <v>1</v>
      </c>
      <c r="AR57" s="200">
        <f>AVERAGE(BP57:BR57)</f>
        <v>5.333986704183566</v>
      </c>
      <c r="AS57" s="50">
        <v>0.94</v>
      </c>
      <c r="AT57" s="200">
        <f>(242.7*10^((4*LOG10(AS57/36.3)+LOG10(AX57/162.5))/5)+242.7*10^((4*LOG10(AP57/147.1)+4*LOG10(AX57/162.5))/8))/2</f>
        <v>6.0539032855331509</v>
      </c>
      <c r="AU57" s="200">
        <f>(55.6*10^((3*LOG10(AS57/36.3)+2*LOG10(AX57/162.5))/5)+55.6*10^((3*LOG10(AP57/147.1)+5*LOG10(AX57/162.5))/8))/2</f>
        <v>1.3272549565182401</v>
      </c>
      <c r="AV57" s="200">
        <f>(158.9*10^((2*LOG10(AS57/36.3)+3*LOG10(AX57/162.5))/5)+158.9*10^((2*LOG10(AP57/147.1)+6*LOG10(AX57/162.5))/8))/2</f>
        <v>3.6300955544976992</v>
      </c>
      <c r="AW57" s="201">
        <f>(24.2*10^((LOG10(AS57/36.3)+4*LOG10(AX57/162.5))/5)+24.2*10^((LOG10(AP57/147.1)+7*LOG10(AX57/162.5))/8))/2</f>
        <v>0.52908427621495013</v>
      </c>
      <c r="AX57" s="38">
        <v>3.4</v>
      </c>
      <c r="AY57" s="49">
        <v>0.5</v>
      </c>
      <c r="AZ57" s="38">
        <v>3.02</v>
      </c>
      <c r="BA57" s="50">
        <v>0.55000000000000004</v>
      </c>
      <c r="BE57" s="50">
        <v>1.1000000000000001</v>
      </c>
      <c r="BF57" s="38">
        <v>0.35</v>
      </c>
      <c r="BG57" s="285"/>
      <c r="BL57" s="76"/>
      <c r="BP57" s="116">
        <f t="shared" si="26"/>
        <v>5.3393432989535938</v>
      </c>
      <c r="BQ57" s="116">
        <f t="shared" si="27"/>
        <v>5.3498117955937028</v>
      </c>
      <c r="BR57" s="116">
        <f t="shared" si="28"/>
        <v>5.3128050180034023</v>
      </c>
    </row>
    <row r="58" spans="1:70" x14ac:dyDescent="0.2">
      <c r="A58" s="50" t="s">
        <v>375</v>
      </c>
      <c r="C58" s="50" t="s">
        <v>692</v>
      </c>
      <c r="E58" s="48" t="s">
        <v>697</v>
      </c>
      <c r="F58" s="38">
        <v>0.56999999999999995</v>
      </c>
      <c r="G58" s="38">
        <v>14.8</v>
      </c>
      <c r="H58" s="49">
        <v>0.33</v>
      </c>
      <c r="I58" s="38">
        <v>16.02</v>
      </c>
      <c r="J58" s="49">
        <v>0.21</v>
      </c>
      <c r="K58" s="38">
        <v>11.04</v>
      </c>
      <c r="L58" s="38">
        <v>12.05</v>
      </c>
      <c r="M58" s="49">
        <v>0.35</v>
      </c>
      <c r="N58" s="49">
        <v>7.0000000000000007E-2</v>
      </c>
      <c r="Q58" s="38">
        <f t="shared" si="0"/>
        <v>55.125960600532956</v>
      </c>
      <c r="AM58" s="39"/>
      <c r="AN58" s="39"/>
      <c r="AQ58" s="38"/>
      <c r="AR58" s="38"/>
      <c r="AX58" s="38"/>
      <c r="AZ58" s="38"/>
      <c r="BF58" s="38"/>
      <c r="BG58" s="285"/>
      <c r="BL58" s="76">
        <f>I58/J58</f>
        <v>76.285714285714292</v>
      </c>
      <c r="BP58" s="116"/>
      <c r="BQ58" s="116"/>
      <c r="BR58" s="116"/>
    </row>
    <row r="59" spans="1:70" x14ac:dyDescent="0.2">
      <c r="A59" s="50" t="s">
        <v>375</v>
      </c>
      <c r="C59" s="50" t="s">
        <v>515</v>
      </c>
      <c r="E59" s="38">
        <f>AVERAGE(E54:E57)</f>
        <v>46.5</v>
      </c>
      <c r="F59" s="38">
        <f t="shared" ref="F59:BF59" si="29">AVERAGE(F54:F57)</f>
        <v>0.75</v>
      </c>
      <c r="G59" s="38">
        <f t="shared" si="29"/>
        <v>13</v>
      </c>
      <c r="H59" s="49">
        <f t="shared" si="29"/>
        <v>0.24</v>
      </c>
      <c r="I59" s="38">
        <f t="shared" si="29"/>
        <v>18.100000000000001</v>
      </c>
      <c r="J59" s="49">
        <f t="shared" si="29"/>
        <v>0.24</v>
      </c>
      <c r="K59" s="38">
        <f t="shared" si="29"/>
        <v>7.72</v>
      </c>
      <c r="L59" s="38">
        <f t="shared" si="29"/>
        <v>11.2</v>
      </c>
      <c r="M59" s="49">
        <f t="shared" si="29"/>
        <v>0.36</v>
      </c>
      <c r="N59" s="49">
        <f t="shared" si="29"/>
        <v>0.05</v>
      </c>
      <c r="O59" s="49">
        <f t="shared" si="29"/>
        <v>7.0000000000000007E-2</v>
      </c>
      <c r="P59" s="50">
        <f t="shared" si="29"/>
        <v>0.1</v>
      </c>
      <c r="Q59" s="38">
        <f t="shared" si="0"/>
        <v>43.191963527849836</v>
      </c>
      <c r="T59" s="50">
        <f t="shared" si="29"/>
        <v>44.29999999999999</v>
      </c>
      <c r="V59" s="50">
        <f t="shared" si="29"/>
        <v>1822.3333333333333</v>
      </c>
      <c r="AD59" s="50">
        <f t="shared" si="29"/>
        <v>1.3466666666666667</v>
      </c>
      <c r="AE59" s="50">
        <f t="shared" si="29"/>
        <v>112.80000000000001</v>
      </c>
      <c r="AG59" s="50">
        <f t="shared" si="29"/>
        <v>115.7</v>
      </c>
      <c r="AJ59" s="38">
        <f t="shared" si="29"/>
        <v>5.000000000000001E-2</v>
      </c>
      <c r="AK59" s="76">
        <f t="shared" si="29"/>
        <v>73.466666666666654</v>
      </c>
      <c r="AL59" s="38">
        <f t="shared" si="29"/>
        <v>7.0233333333333334</v>
      </c>
      <c r="AM59" s="39">
        <f t="shared" si="29"/>
        <v>21.133333333333333</v>
      </c>
      <c r="AN59" s="199">
        <f>89.1*EXP((LN(AL59/234.7)+2*LN(AO59/452.4))/3)</f>
        <v>2.4703443641442693</v>
      </c>
      <c r="AO59" s="39">
        <f t="shared" si="29"/>
        <v>12.073333333333332</v>
      </c>
      <c r="AP59" s="38">
        <f t="shared" si="29"/>
        <v>3.4833333333333329</v>
      </c>
      <c r="AQ59" s="38">
        <f t="shared" si="29"/>
        <v>0.8666666666666667</v>
      </c>
      <c r="AR59" s="200">
        <f>AVERAGE(BP59:BR59)</f>
        <v>4.241656420215862</v>
      </c>
      <c r="AS59" s="50">
        <f t="shared" si="29"/>
        <v>0.75</v>
      </c>
      <c r="AT59" s="200">
        <f>(242.7*10^((4*LOG10(AS59/36.3)+LOG10(AX59/162.5))/5)+242.7*10^((4*LOG10(AP59/147.1)+4*LOG10(AX59/162.5))/8))/2</f>
        <v>4.8239362757787987</v>
      </c>
      <c r="AU59" s="200">
        <f>(55.6*10^((3*LOG10(AS59/36.3)+2*LOG10(AX59/162.5))/5)+55.6*10^((3*LOG10(AP59/147.1)+5*LOG10(AX59/162.5))/8))/2</f>
        <v>1.0592975413147492</v>
      </c>
      <c r="AV59" s="200">
        <f>(158.9*10^((2*LOG10(AS59/36.3)+3*LOG10(AX59/162.5))/5)+158.9*10^((2*LOG10(AP59/147.1)+6*LOG10(AX59/162.5))/8))/2</f>
        <v>2.9018748717674225</v>
      </c>
      <c r="AW59" s="201">
        <f>(24.2*10^((LOG10(AS59/36.3)+4*LOG10(AX59/162.5))/5)+24.2*10^((LOG10(AP59/147.1)+7*LOG10(AX59/162.5))/8))/2</f>
        <v>0.42362539576395619</v>
      </c>
      <c r="AX59" s="38">
        <f t="shared" si="29"/>
        <v>2.7266666666666666</v>
      </c>
      <c r="AY59" s="49">
        <f t="shared" si="29"/>
        <v>0.39999999999999997</v>
      </c>
      <c r="AZ59" s="50">
        <f t="shared" si="29"/>
        <v>2.3800000000000003</v>
      </c>
      <c r="BA59" s="50">
        <f t="shared" si="29"/>
        <v>0.37000000000000005</v>
      </c>
      <c r="BC59" s="50">
        <f t="shared" si="29"/>
        <v>0.93</v>
      </c>
      <c r="BE59" s="50">
        <f t="shared" si="29"/>
        <v>0.81</v>
      </c>
      <c r="BF59" s="50">
        <f t="shared" si="29"/>
        <v>0.27999999999999997</v>
      </c>
      <c r="BG59" s="285"/>
      <c r="BL59" s="76">
        <f>I59/J59</f>
        <v>75.416666666666671</v>
      </c>
      <c r="BP59" s="116">
        <f t="shared" si="26"/>
        <v>4.2394229368677507</v>
      </c>
      <c r="BQ59" s="116">
        <f t="shared" si="27"/>
        <v>4.2509370645165241</v>
      </c>
      <c r="BR59" s="116">
        <f t="shared" si="28"/>
        <v>4.2346092592633102</v>
      </c>
    </row>
    <row r="60" spans="1:70" x14ac:dyDescent="0.2">
      <c r="Q60" s="38" t="e">
        <f t="shared" si="0"/>
        <v>#DIV/0!</v>
      </c>
      <c r="AL60" s="38"/>
      <c r="AM60" s="39"/>
      <c r="AN60" s="39"/>
      <c r="AO60" s="39"/>
      <c r="AP60" s="38"/>
      <c r="AQ60" s="38"/>
      <c r="AR60" s="38"/>
      <c r="AX60" s="38"/>
      <c r="BG60" s="285"/>
      <c r="BL60" s="76"/>
      <c r="BP60" s="116"/>
      <c r="BQ60" s="116"/>
      <c r="BR60" s="116"/>
    </row>
    <row r="61" spans="1:70" x14ac:dyDescent="0.2">
      <c r="A61" s="50" t="s">
        <v>375</v>
      </c>
      <c r="C61" s="50" t="s">
        <v>676</v>
      </c>
      <c r="E61" s="38">
        <v>46.584489646079135</v>
      </c>
      <c r="F61" s="38">
        <v>0.63138659518138296</v>
      </c>
      <c r="G61" s="38">
        <v>12.315858640469312</v>
      </c>
      <c r="H61" s="49">
        <v>0.31619599025539591</v>
      </c>
      <c r="I61" s="38">
        <v>18.661246425734713</v>
      </c>
      <c r="J61" s="49">
        <v>0.24980538914193873</v>
      </c>
      <c r="K61" s="38">
        <v>9.3767959051189642</v>
      </c>
      <c r="L61" s="38">
        <v>10.889143554923031</v>
      </c>
      <c r="N61" s="49">
        <v>4.6674103880353195E-2</v>
      </c>
      <c r="O61" s="49">
        <v>6.2031648477166586E-2</v>
      </c>
      <c r="Q61" s="38">
        <f t="shared" si="0"/>
        <v>47.249363559404266</v>
      </c>
      <c r="AQ61" s="38"/>
      <c r="AR61" s="38"/>
      <c r="AX61" s="38"/>
      <c r="BG61" s="285"/>
      <c r="BL61" s="76"/>
      <c r="BP61" s="116"/>
      <c r="BQ61" s="116"/>
      <c r="BR61" s="116"/>
    </row>
    <row r="62" spans="1:70" x14ac:dyDescent="0.2">
      <c r="A62" s="50" t="s">
        <v>375</v>
      </c>
      <c r="C62" s="50" t="s">
        <v>675</v>
      </c>
      <c r="F62"/>
      <c r="G62"/>
      <c r="H62" s="49">
        <f>V62*1.4616/10000</f>
        <v>0.28493049171088169</v>
      </c>
      <c r="I62" s="38">
        <v>18.66124642573471</v>
      </c>
      <c r="J62"/>
      <c r="K62"/>
      <c r="L62" s="38" t="s">
        <v>114</v>
      </c>
      <c r="M62" s="49">
        <v>0.38678923749007144</v>
      </c>
      <c r="Q62" s="38">
        <f t="shared" si="0"/>
        <v>0</v>
      </c>
      <c r="S62" s="39"/>
      <c r="T62" s="39">
        <v>37.219332803812556</v>
      </c>
      <c r="V62" s="50">
        <v>1949.4423351866562</v>
      </c>
      <c r="X62" s="39">
        <v>48.890347498014286</v>
      </c>
      <c r="Y62" s="76">
        <v>61.633280381254963</v>
      </c>
      <c r="AD62" s="79">
        <v>8.119459888800634</v>
      </c>
      <c r="AE62" s="50">
        <v>96.973113582208086</v>
      </c>
      <c r="AG62" s="50">
        <v>104.95760524225575</v>
      </c>
      <c r="AJ62" s="38">
        <v>5.9783955520254166E-2</v>
      </c>
      <c r="AK62" s="76">
        <v>69.182525814138202</v>
      </c>
      <c r="AL62" s="38">
        <v>7.0573214853057973</v>
      </c>
      <c r="AM62" s="39">
        <v>18.533099682287524</v>
      </c>
      <c r="AN62" s="199">
        <f>89.1*EXP((LN(AL62/234.7)+2*LN(AO62/452.4))/3)</f>
        <v>2.3223167397430804</v>
      </c>
      <c r="AO62" s="39">
        <v>10.978040111199364</v>
      </c>
      <c r="AP62" s="38">
        <v>3.4322938641779177</v>
      </c>
      <c r="AQ62" s="38">
        <v>0.7986381056393963</v>
      </c>
      <c r="AR62" s="200">
        <f>AVERAGE(BP62:BR62)</f>
        <v>4.1156329128761113</v>
      </c>
      <c r="AS62" s="38">
        <v>0.72154984114376475</v>
      </c>
      <c r="AT62" s="200">
        <f>(242.7*10^((4*LOG10(AS62/36.3)+LOG10(AX62/162.5))/5)+242.7*10^((4*LOG10(AP62/147.1)+4*LOG10(AX62/162.5))/8))/2</f>
        <v>4.6572761850625266</v>
      </c>
      <c r="AU62" s="200">
        <f>(55.6*10^((3*LOG10(AS62/36.3)+2*LOG10(AX62/162.5))/5)+55.6*10^((3*LOG10(AP62/147.1)+5*LOG10(AX62/162.5))/8))/2</f>
        <v>1.0199807864373742</v>
      </c>
      <c r="AV62" s="200">
        <f>(158.9*10^((2*LOG10(AS62/36.3)+3*LOG10(AX62/162.5))/5)+158.9*10^((2*LOG10(AP62/147.1)+6*LOG10(AX62/162.5))/8))/2</f>
        <v>2.7867481786945412</v>
      </c>
      <c r="AW62" s="201">
        <f>(24.2*10^((LOG10(AS62/36.3)+4*LOG10(AX62/162.5))/5)+24.2*10^((LOG10(AP62/147.1)+7*LOG10(AX62/162.5))/8))/2</f>
        <v>0.40573966938766481</v>
      </c>
      <c r="AX62" s="38">
        <v>2.6046261318506749</v>
      </c>
      <c r="AY62" s="49">
        <v>0.36257021445591742</v>
      </c>
      <c r="AZ62" s="50">
        <v>2.6155291898332007</v>
      </c>
      <c r="BA62" s="50">
        <v>0.29656501191421758</v>
      </c>
      <c r="BC62" s="38">
        <v>0.13627482128673549</v>
      </c>
      <c r="BD62" s="50">
        <v>0.23033756949960285</v>
      </c>
      <c r="BE62" s="38">
        <v>0.89805160841938036</v>
      </c>
      <c r="BF62" s="38">
        <v>0.21149444003177117</v>
      </c>
      <c r="BG62" s="76">
        <v>503.6</v>
      </c>
      <c r="BL62" s="76"/>
      <c r="BP62" s="116">
        <f t="shared" si="26"/>
        <v>4.1447018642986411</v>
      </c>
      <c r="BQ62" s="116">
        <f t="shared" si="27"/>
        <v>4.1224167268691545</v>
      </c>
      <c r="BR62" s="116">
        <f t="shared" si="28"/>
        <v>4.0797801474605393</v>
      </c>
    </row>
    <row r="63" spans="1:70" x14ac:dyDescent="0.2">
      <c r="A63" s="36" t="s">
        <v>674</v>
      </c>
      <c r="E63" s="38">
        <f t="shared" ref="E63:P63" si="30">AVERAGE(E59:E62)</f>
        <v>46.542244823039567</v>
      </c>
      <c r="F63" s="38">
        <f t="shared" si="30"/>
        <v>0.69069329759069142</v>
      </c>
      <c r="G63" s="38">
        <f t="shared" si="30"/>
        <v>12.657929320234656</v>
      </c>
      <c r="H63" s="49">
        <f t="shared" si="30"/>
        <v>0.28037549398875922</v>
      </c>
      <c r="I63" s="38">
        <f t="shared" si="30"/>
        <v>18.474164283823139</v>
      </c>
      <c r="J63" s="49">
        <f t="shared" si="30"/>
        <v>0.24490269457096936</v>
      </c>
      <c r="K63" s="38">
        <f t="shared" si="30"/>
        <v>8.5483979525594815</v>
      </c>
      <c r="L63" s="38">
        <f t="shared" si="30"/>
        <v>11.044571777461515</v>
      </c>
      <c r="M63" s="49">
        <f t="shared" si="30"/>
        <v>0.37339461874503571</v>
      </c>
      <c r="N63" s="49">
        <f t="shared" si="30"/>
        <v>4.8337051940176595E-2</v>
      </c>
      <c r="O63" s="49">
        <f t="shared" si="30"/>
        <v>6.6015824238583293E-2</v>
      </c>
      <c r="P63" s="49">
        <f t="shared" si="30"/>
        <v>0.1</v>
      </c>
      <c r="Q63" s="38">
        <f t="shared" si="0"/>
        <v>45.200940937635025</v>
      </c>
      <c r="R63" s="39"/>
      <c r="S63" s="39"/>
      <c r="T63" s="39">
        <f>AVERAGE(T59:T62)</f>
        <v>40.759666401906273</v>
      </c>
      <c r="V63" s="76">
        <f>AVERAGE(V59:V62)</f>
        <v>1885.8878342599946</v>
      </c>
      <c r="W63" s="39"/>
      <c r="X63" s="39">
        <f>AVERAGE(X59:X62)</f>
        <v>48.890347498014286</v>
      </c>
      <c r="Y63" s="76">
        <f>AVERAGE(Y59:Y62)</f>
        <v>61.633280381254963</v>
      </c>
      <c r="Z63" s="39"/>
      <c r="AA63" s="39"/>
      <c r="AB63" s="39"/>
      <c r="AC63" s="39"/>
      <c r="AD63" s="39">
        <f>AVERAGE(AD59:AD62)</f>
        <v>4.7330632777336508</v>
      </c>
      <c r="AE63" s="76">
        <f>AVERAGE(AE59:AE62)</f>
        <v>104.88655679110406</v>
      </c>
      <c r="AF63" s="291">
        <f>1560*10^((LOG10(AU63/55.6)+LOG10(AV63/158.9))/2)</f>
        <v>28.540462662369773</v>
      </c>
      <c r="AG63" s="76">
        <f t="shared" ref="AG63:AS63" si="31">AVERAGE(AG59:AG62)</f>
        <v>110.32880262112788</v>
      </c>
      <c r="AH63" s="76"/>
      <c r="AI63" s="76"/>
      <c r="AJ63" s="38">
        <f t="shared" si="31"/>
        <v>5.4891977760127088E-2</v>
      </c>
      <c r="AK63" s="76">
        <f t="shared" si="31"/>
        <v>71.324596240402428</v>
      </c>
      <c r="AL63" s="38">
        <f t="shared" si="31"/>
        <v>7.0403274093195654</v>
      </c>
      <c r="AM63" s="39">
        <f t="shared" si="31"/>
        <v>19.833216507810427</v>
      </c>
      <c r="AN63" s="199">
        <f>89.1*EXP((LN(AL63/234.7)+2*LN(AO63/452.4))/3)</f>
        <v>2.3969948599858903</v>
      </c>
      <c r="AO63" s="39">
        <f t="shared" si="31"/>
        <v>11.525686722266348</v>
      </c>
      <c r="AP63" s="38">
        <f t="shared" si="31"/>
        <v>3.4578135987556253</v>
      </c>
      <c r="AQ63" s="38">
        <f t="shared" si="31"/>
        <v>0.8326523861530315</v>
      </c>
      <c r="AR63" s="200">
        <f>AVERAGE(BP63:BR63)</f>
        <v>4.1786271911925654</v>
      </c>
      <c r="AS63" s="38">
        <f t="shared" si="31"/>
        <v>0.73577492057188243</v>
      </c>
      <c r="AT63" s="200">
        <f>(242.7*10^((4*LOG10(AS63/36.3)+LOG10(AX63/162.5))/5)+242.7*10^((4*LOG10(AP63/147.1)+4*LOG10(AX63/162.5))/8))/2</f>
        <v>4.7406803007242058</v>
      </c>
      <c r="AU63" s="200">
        <f>(55.6*10^((3*LOG10(AS63/36.3)+2*LOG10(AX63/162.5))/5)+55.6*10^((3*LOG10(AP63/147.1)+5*LOG10(AX63/162.5))/8))/2</f>
        <v>1.039654668600809</v>
      </c>
      <c r="AV63" s="200">
        <f>(158.9*10^((2*LOG10(AS63/36.3)+3*LOG10(AX63/162.5))/5)+158.9*10^((2*LOG10(AP63/147.1)+6*LOG10(AX63/162.5))/8))/2</f>
        <v>2.8443458504186969</v>
      </c>
      <c r="AW63" s="201">
        <f>(24.2*10^((LOG10(AS63/36.3)+4*LOG10(AX63/162.5))/5)+24.2*10^((LOG10(AP63/147.1)+7*LOG10(AX63/162.5))/8))/2</f>
        <v>0.41468547458778127</v>
      </c>
      <c r="AX63" s="38">
        <f t="shared" ref="AX63:BF63" si="32">AVERAGE(AX59:AX62)</f>
        <v>2.6656463992586708</v>
      </c>
      <c r="AY63" s="49">
        <f t="shared" si="32"/>
        <v>0.38128510722795872</v>
      </c>
      <c r="AZ63" s="38">
        <f t="shared" si="32"/>
        <v>2.4977645949166005</v>
      </c>
      <c r="BA63" s="38">
        <f t="shared" si="32"/>
        <v>0.33328250595710884</v>
      </c>
      <c r="BB63" s="38"/>
      <c r="BC63" s="38">
        <f t="shared" si="32"/>
        <v>0.53313741064336773</v>
      </c>
      <c r="BD63" s="39">
        <f t="shared" si="32"/>
        <v>0.23033756949960285</v>
      </c>
      <c r="BE63" s="38">
        <f t="shared" si="32"/>
        <v>0.85402580420969021</v>
      </c>
      <c r="BF63" s="38">
        <f t="shared" si="32"/>
        <v>0.24574722001588556</v>
      </c>
      <c r="BG63" s="285"/>
      <c r="BL63" s="37">
        <f>AVERAGE(BL37:BL62)</f>
        <v>76.696736368417916</v>
      </c>
      <c r="BP63" s="116">
        <f t="shared" si="26"/>
        <v>4.1919498086031339</v>
      </c>
      <c r="BQ63" s="116">
        <f t="shared" si="27"/>
        <v>4.1867433795601894</v>
      </c>
      <c r="BR63" s="116">
        <f t="shared" si="28"/>
        <v>4.1571883854143721</v>
      </c>
    </row>
    <row r="64" spans="1:70" x14ac:dyDescent="0.2">
      <c r="A64" s="36" t="s">
        <v>553</v>
      </c>
      <c r="E64" s="34">
        <f t="shared" ref="E64:P64" si="33">E63</f>
        <v>46.542244823039567</v>
      </c>
      <c r="F64" s="34">
        <f t="shared" si="33"/>
        <v>0.69069329759069142</v>
      </c>
      <c r="G64" s="34">
        <f t="shared" si="33"/>
        <v>12.657929320234656</v>
      </c>
      <c r="H64" s="37">
        <f t="shared" si="33"/>
        <v>0.28037549398875922</v>
      </c>
      <c r="I64" s="34">
        <f t="shared" si="33"/>
        <v>18.474164283823139</v>
      </c>
      <c r="J64" s="37">
        <f t="shared" si="33"/>
        <v>0.24490269457096936</v>
      </c>
      <c r="K64" s="34">
        <f t="shared" si="33"/>
        <v>8.5483979525594815</v>
      </c>
      <c r="L64" s="34">
        <f t="shared" si="33"/>
        <v>11.044571777461515</v>
      </c>
      <c r="M64" s="37">
        <f t="shared" si="33"/>
        <v>0.37339461874503571</v>
      </c>
      <c r="N64" s="37">
        <f t="shared" si="33"/>
        <v>4.8337051940176595E-2</v>
      </c>
      <c r="O64" s="37">
        <f t="shared" si="33"/>
        <v>6.6015824238583293E-2</v>
      </c>
      <c r="P64" s="34">
        <f t="shared" si="33"/>
        <v>0.1</v>
      </c>
      <c r="Q64" s="38">
        <f t="shared" si="0"/>
        <v>45.200940937635025</v>
      </c>
      <c r="R64" s="72"/>
      <c r="S64" s="72"/>
      <c r="T64" s="72">
        <f>T63</f>
        <v>40.759666401906273</v>
      </c>
      <c r="U64" s="35">
        <f>U63</f>
        <v>0</v>
      </c>
      <c r="V64" s="35">
        <f>V63</f>
        <v>1885.8878342599946</v>
      </c>
      <c r="W64" s="72"/>
      <c r="X64" s="72">
        <f>X63</f>
        <v>48.890347498014286</v>
      </c>
      <c r="Y64" s="35">
        <f>Y63</f>
        <v>61.633280381254963</v>
      </c>
      <c r="Z64" s="72"/>
      <c r="AA64" s="72"/>
      <c r="AB64" s="72"/>
      <c r="AC64" s="72"/>
      <c r="AD64" s="172">
        <f>AD63</f>
        <v>4.7330632777336508</v>
      </c>
      <c r="AE64" s="35">
        <f>AE63</f>
        <v>104.88655679110406</v>
      </c>
      <c r="AF64" s="35">
        <f>AF63</f>
        <v>28.540462662369773</v>
      </c>
      <c r="AG64" s="35">
        <f>AG63</f>
        <v>110.32880262112788</v>
      </c>
      <c r="AH64" s="35"/>
      <c r="AI64" s="35"/>
      <c r="AJ64" s="34">
        <f t="shared" ref="AJ64:AW64" si="34">AJ63</f>
        <v>5.4891977760127088E-2</v>
      </c>
      <c r="AK64" s="35">
        <f t="shared" si="34"/>
        <v>71.324596240402428</v>
      </c>
      <c r="AL64" s="34">
        <f t="shared" si="34"/>
        <v>7.0403274093195654</v>
      </c>
      <c r="AM64" s="34">
        <f t="shared" si="34"/>
        <v>19.833216507810427</v>
      </c>
      <c r="AN64" s="34">
        <f t="shared" si="34"/>
        <v>2.3969948599858903</v>
      </c>
      <c r="AO64" s="34">
        <f t="shared" si="34"/>
        <v>11.525686722266348</v>
      </c>
      <c r="AP64" s="34">
        <f t="shared" si="34"/>
        <v>3.4578135987556253</v>
      </c>
      <c r="AQ64" s="34">
        <f t="shared" si="34"/>
        <v>0.8326523861530315</v>
      </c>
      <c r="AR64" s="34">
        <f t="shared" si="34"/>
        <v>4.1786271911925654</v>
      </c>
      <c r="AS64" s="34">
        <f t="shared" si="34"/>
        <v>0.73577492057188243</v>
      </c>
      <c r="AT64" s="34">
        <f t="shared" si="34"/>
        <v>4.7406803007242058</v>
      </c>
      <c r="AU64" s="34">
        <f t="shared" si="34"/>
        <v>1.039654668600809</v>
      </c>
      <c r="AV64" s="34">
        <f t="shared" si="34"/>
        <v>2.8443458504186969</v>
      </c>
      <c r="AW64" s="34">
        <f t="shared" si="34"/>
        <v>0.41468547458778127</v>
      </c>
      <c r="AX64" s="34">
        <f t="shared" ref="AX64:BF64" si="35">AX63</f>
        <v>2.6656463992586708</v>
      </c>
      <c r="AY64" s="37">
        <f t="shared" si="35"/>
        <v>0.38128510722795872</v>
      </c>
      <c r="AZ64" s="34">
        <f t="shared" si="35"/>
        <v>2.4977645949166005</v>
      </c>
      <c r="BA64" s="34">
        <f t="shared" si="35"/>
        <v>0.33328250595710884</v>
      </c>
      <c r="BB64" s="34"/>
      <c r="BC64" s="34">
        <f t="shared" si="35"/>
        <v>0.53313741064336773</v>
      </c>
      <c r="BD64" s="34">
        <f t="shared" si="35"/>
        <v>0.23033756949960285</v>
      </c>
      <c r="BE64" s="34">
        <f t="shared" si="35"/>
        <v>0.85402580420969021</v>
      </c>
      <c r="BF64" s="34">
        <f t="shared" si="35"/>
        <v>0.24574722001588556</v>
      </c>
    </row>
    <row r="65" spans="1:70" x14ac:dyDescent="0.2">
      <c r="A65" s="36"/>
      <c r="E65" s="34"/>
      <c r="F65" s="34"/>
      <c r="G65" s="34"/>
      <c r="H65" s="37"/>
      <c r="I65" s="34"/>
      <c r="J65" s="37"/>
      <c r="K65" s="34"/>
      <c r="L65" s="34"/>
      <c r="M65" s="37"/>
      <c r="N65" s="37"/>
      <c r="O65" s="37"/>
      <c r="P65" s="34"/>
      <c r="Q65" s="38" t="e">
        <f t="shared" si="0"/>
        <v>#DIV/0!</v>
      </c>
      <c r="R65" s="72"/>
      <c r="S65" s="72"/>
      <c r="T65" s="72"/>
      <c r="U65" s="35"/>
      <c r="V65" s="35"/>
      <c r="W65" s="72"/>
      <c r="X65" s="72"/>
      <c r="Y65" s="35"/>
      <c r="Z65" s="72"/>
      <c r="AA65" s="72"/>
      <c r="AB65" s="72"/>
      <c r="AC65" s="72"/>
      <c r="AD65" s="172"/>
      <c r="AE65" s="35"/>
      <c r="AF65" s="35"/>
      <c r="AG65" s="35"/>
      <c r="AH65" s="35"/>
      <c r="AI65" s="35"/>
      <c r="AJ65" s="34"/>
      <c r="AK65" s="35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7"/>
      <c r="AZ65" s="34"/>
      <c r="BA65" s="34"/>
      <c r="BB65" s="34"/>
      <c r="BC65" s="34"/>
      <c r="BD65" s="34"/>
      <c r="BE65" s="34"/>
      <c r="BF65" s="34"/>
    </row>
    <row r="66" spans="1:70" x14ac:dyDescent="0.2">
      <c r="A66" s="5" t="s">
        <v>1526</v>
      </c>
      <c r="E66" s="34">
        <f>AVERAGE(E47,E64)</f>
        <v>46.907398263957873</v>
      </c>
      <c r="F66" s="34">
        <f t="shared" ref="F66:BF66" si="36">AVERAGE(F47,F64)</f>
        <v>0.72584201555286232</v>
      </c>
      <c r="G66" s="34">
        <f t="shared" si="36"/>
        <v>13.570252964153489</v>
      </c>
      <c r="H66" s="34">
        <f t="shared" si="36"/>
        <v>0.26901139778270511</v>
      </c>
      <c r="I66" s="72">
        <f t="shared" si="36"/>
        <v>17.748964833487541</v>
      </c>
      <c r="J66" s="34">
        <f t="shared" si="36"/>
        <v>0.23498356809385629</v>
      </c>
      <c r="K66" s="34">
        <f t="shared" si="36"/>
        <v>8.3455551619747972</v>
      </c>
      <c r="L66" s="72">
        <f t="shared" si="36"/>
        <v>11.44793347608077</v>
      </c>
      <c r="M66" s="34">
        <f t="shared" si="36"/>
        <v>0.39485217556970098</v>
      </c>
      <c r="N66" s="34">
        <f t="shared" si="36"/>
        <v>5.3839787042712542E-2</v>
      </c>
      <c r="O66" s="34">
        <f t="shared" si="36"/>
        <v>6.2025651746197591E-2</v>
      </c>
      <c r="P66" s="34" t="e">
        <f t="shared" si="36"/>
        <v>#DIV/0!</v>
      </c>
      <c r="Q66" s="38">
        <f t="shared" si="0"/>
        <v>45.598326649297547</v>
      </c>
      <c r="R66" s="34" t="e">
        <f t="shared" si="36"/>
        <v>#DIV/0!</v>
      </c>
      <c r="S66" s="34" t="e">
        <f t="shared" si="36"/>
        <v>#DIV/0!</v>
      </c>
      <c r="T66" s="34">
        <f t="shared" si="36"/>
        <v>41.511875454474264</v>
      </c>
      <c r="U66" s="34" t="e">
        <f t="shared" si="36"/>
        <v>#DIV/0!</v>
      </c>
      <c r="V66" s="34">
        <f t="shared" si="36"/>
        <v>1754.9047433902408</v>
      </c>
      <c r="W66" s="34" t="e">
        <f t="shared" si="36"/>
        <v>#DIV/0!</v>
      </c>
      <c r="X66" s="34">
        <f t="shared" si="36"/>
        <v>47.869521061544908</v>
      </c>
      <c r="Y66" s="34">
        <f t="shared" si="36"/>
        <v>60.533124497896722</v>
      </c>
      <c r="Z66" s="34">
        <f t="shared" si="36"/>
        <v>2.7616197183098592</v>
      </c>
      <c r="AA66" s="34" t="e">
        <f t="shared" si="36"/>
        <v>#DIV/0!</v>
      </c>
      <c r="AB66" s="34" t="e">
        <f t="shared" si="36"/>
        <v>#DIV/0!</v>
      </c>
      <c r="AC66" s="34" t="e">
        <f t="shared" si="36"/>
        <v>#DIV/0!</v>
      </c>
      <c r="AD66" s="34">
        <f t="shared" si="36"/>
        <v>5.6262256121229814</v>
      </c>
      <c r="AE66" s="34">
        <f t="shared" si="36"/>
        <v>106.96298295757055</v>
      </c>
      <c r="AF66" s="34">
        <f t="shared" si="36"/>
        <v>29.154157063108936</v>
      </c>
      <c r="AG66" s="34">
        <f t="shared" si="36"/>
        <v>110.11312254908114</v>
      </c>
      <c r="AH66" s="34" t="e">
        <f t="shared" si="36"/>
        <v>#DIV/0!</v>
      </c>
      <c r="AI66" s="34" t="e">
        <f t="shared" si="36"/>
        <v>#DIV/0!</v>
      </c>
      <c r="AJ66" s="34">
        <f t="shared" si="36"/>
        <v>5.9305597101517574E-2</v>
      </c>
      <c r="AK66" s="34">
        <f t="shared" si="36"/>
        <v>72.708544648328896</v>
      </c>
      <c r="AL66" s="34">
        <f t="shared" si="36"/>
        <v>7.3104929196797839</v>
      </c>
      <c r="AM66" s="34">
        <f t="shared" si="36"/>
        <v>19.528894511310838</v>
      </c>
      <c r="AN66" s="34">
        <f t="shared" si="36"/>
        <v>2.4830927747476572</v>
      </c>
      <c r="AO66" s="34">
        <f t="shared" si="36"/>
        <v>11.928370358231124</v>
      </c>
      <c r="AP66" s="34">
        <f t="shared" si="36"/>
        <v>3.5240712361013236</v>
      </c>
      <c r="AQ66" s="37">
        <f t="shared" si="36"/>
        <v>0.86985842411987591</v>
      </c>
      <c r="AR66" s="34">
        <f t="shared" si="36"/>
        <v>4.2521193866066564</v>
      </c>
      <c r="AS66" s="34">
        <f t="shared" si="36"/>
        <v>0.7511721951913406</v>
      </c>
      <c r="AT66" s="34">
        <f t="shared" si="36"/>
        <v>4.8400759431864921</v>
      </c>
      <c r="AU66" s="34">
        <f t="shared" si="36"/>
        <v>1.0618212124708655</v>
      </c>
      <c r="AV66" s="34">
        <f t="shared" si="36"/>
        <v>2.9060232615918089</v>
      </c>
      <c r="AW66" s="34">
        <f t="shared" si="36"/>
        <v>0.42383177865137067</v>
      </c>
      <c r="AX66" s="34">
        <f t="shared" si="36"/>
        <v>2.7254539989629469</v>
      </c>
      <c r="AY66" s="34">
        <f t="shared" si="36"/>
        <v>0.38913875135001097</v>
      </c>
      <c r="AZ66" s="34">
        <f t="shared" si="36"/>
        <v>2.5792627517277174</v>
      </c>
      <c r="BA66" s="34">
        <f t="shared" si="36"/>
        <v>0.32329213935100032</v>
      </c>
      <c r="BB66" s="34" t="e">
        <f t="shared" si="36"/>
        <v>#DIV/0!</v>
      </c>
      <c r="BC66" s="34">
        <f t="shared" si="36"/>
        <v>0.58452354406621254</v>
      </c>
      <c r="BD66" s="34">
        <f t="shared" si="36"/>
        <v>0.44184085565299203</v>
      </c>
      <c r="BE66" s="34">
        <f t="shared" si="36"/>
        <v>0.9205410377164891</v>
      </c>
      <c r="BF66" s="34">
        <f t="shared" si="36"/>
        <v>0.25604540668558884</v>
      </c>
    </row>
    <row r="67" spans="1:70" x14ac:dyDescent="0.2">
      <c r="A67" s="36"/>
      <c r="E67" s="34"/>
      <c r="F67" s="34"/>
      <c r="G67" s="34"/>
      <c r="H67" s="37"/>
      <c r="I67" s="34"/>
      <c r="J67" s="37"/>
      <c r="K67" s="34"/>
      <c r="L67" s="34"/>
      <c r="M67" s="37"/>
      <c r="N67" s="37"/>
      <c r="O67" s="37"/>
      <c r="P67" s="34"/>
      <c r="Q67" s="38" t="e">
        <f t="shared" ref="Q67:Q130" si="37">100*(K67/40.304)/(K67/40.304+I67/71.846)</f>
        <v>#DIV/0!</v>
      </c>
      <c r="R67" s="72"/>
      <c r="S67" s="72"/>
      <c r="T67" s="72"/>
      <c r="U67" s="35"/>
      <c r="V67" s="35"/>
      <c r="W67" s="72"/>
      <c r="X67" s="72"/>
      <c r="Y67" s="35"/>
      <c r="Z67" s="72"/>
      <c r="AA67" s="72"/>
      <c r="AB67" s="72"/>
      <c r="AC67" s="72"/>
      <c r="AD67" s="172"/>
      <c r="AE67" s="35"/>
      <c r="AF67" s="35"/>
      <c r="AG67" s="35"/>
      <c r="AH67" s="35"/>
      <c r="AI67" s="35"/>
      <c r="AJ67" s="34"/>
      <c r="AK67" s="35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7"/>
      <c r="AZ67" s="34"/>
      <c r="BA67" s="34"/>
      <c r="BB67" s="34"/>
      <c r="BC67" s="34"/>
      <c r="BD67" s="34"/>
      <c r="BE67" s="34"/>
      <c r="BF67" s="34"/>
    </row>
    <row r="68" spans="1:70" x14ac:dyDescent="0.2">
      <c r="Q68" s="38" t="e">
        <f t="shared" si="37"/>
        <v>#DIV/0!</v>
      </c>
    </row>
    <row r="69" spans="1:70" x14ac:dyDescent="0.2">
      <c r="Q69" s="38" t="e">
        <f t="shared" si="37"/>
        <v>#DIV/0!</v>
      </c>
    </row>
    <row r="70" spans="1:70" x14ac:dyDescent="0.2">
      <c r="A70" s="286" t="s">
        <v>271</v>
      </c>
      <c r="B70" s="287" t="s">
        <v>208</v>
      </c>
      <c r="C70" s="2" t="s">
        <v>272</v>
      </c>
      <c r="D70" s="50">
        <f>SUM(E70:R70)</f>
        <v>151.46506177532964</v>
      </c>
      <c r="E70" s="38">
        <v>48.3</v>
      </c>
      <c r="F70" s="38">
        <v>0.56999999999999995</v>
      </c>
      <c r="G70" s="38">
        <v>13.7</v>
      </c>
      <c r="H70" s="49">
        <f>V70*1.4616/10000</f>
        <v>0.321552</v>
      </c>
      <c r="I70" s="38">
        <v>15.1</v>
      </c>
      <c r="J70" s="49">
        <f>0.185*1.2912</f>
        <v>0.23887199999999997</v>
      </c>
      <c r="K70" s="38">
        <v>9</v>
      </c>
      <c r="L70" s="38">
        <v>12</v>
      </c>
      <c r="M70" s="49">
        <v>0.33</v>
      </c>
      <c r="N70" s="49">
        <v>0.06</v>
      </c>
      <c r="Q70" s="38">
        <f t="shared" si="37"/>
        <v>51.51463777532966</v>
      </c>
      <c r="R70" s="49">
        <v>0.33</v>
      </c>
      <c r="S70" s="39">
        <v>12</v>
      </c>
      <c r="T70" s="38">
        <v>37.799999999999997</v>
      </c>
      <c r="V70" s="76">
        <v>2200</v>
      </c>
      <c r="W70" s="38"/>
      <c r="X70" s="39">
        <v>41.1</v>
      </c>
      <c r="Y70" s="76">
        <v>70</v>
      </c>
      <c r="Z70" s="39"/>
      <c r="AA70" s="39"/>
      <c r="AB70" s="39"/>
      <c r="AC70" s="39"/>
      <c r="AD70" s="39"/>
      <c r="AE70" s="76">
        <v>90</v>
      </c>
      <c r="AF70" s="76"/>
      <c r="AG70" s="76">
        <v>100</v>
      </c>
      <c r="AH70" s="76"/>
      <c r="AI70" s="76"/>
      <c r="AK70" s="76">
        <v>58</v>
      </c>
      <c r="AL70" s="38">
        <v>4.68</v>
      </c>
      <c r="AM70" s="39">
        <v>12.6</v>
      </c>
      <c r="AN70" s="199" t="e">
        <f t="shared" ref="AN70:AN75" si="38">89.1*EXP((LN(AL70/234.7)+2*LN(AO70/452.4))/3)</f>
        <v>#NUM!</v>
      </c>
      <c r="AO70" s="39"/>
      <c r="AP70" s="38">
        <v>2.38</v>
      </c>
      <c r="AQ70" s="38">
        <v>0.64</v>
      </c>
      <c r="AR70" s="200">
        <f t="shared" ref="AR70:AR81" si="39">AVERAGE(BP70:BR70)</f>
        <v>2.7829628153890837</v>
      </c>
      <c r="AS70" s="38">
        <v>0.48</v>
      </c>
      <c r="AT70" s="200">
        <f t="shared" ref="AT70:AT81" si="40">(242.7*10^((4*LOG10(AS70/36.3)+LOG10(AX70/162.5))/5)+242.7*10^((4*LOG10(AP70/147.1)+4*LOG10(AX70/162.5))/8))/2</f>
        <v>3.2824279518063344</v>
      </c>
      <c r="AU70" s="200">
        <f t="shared" ref="AU70:AU81" si="41">(55.6*10^((3*LOG10(AS70/36.3)+2*LOG10(AX70/162.5))/5)+55.6*10^((3*LOG10(AP70/147.1)+5*LOG10(AX70/162.5))/8))/2</f>
        <v>0.7325082435826149</v>
      </c>
      <c r="AV70" s="200">
        <f t="shared" ref="AV70:AV81" si="42">(158.9*10^((2*LOG10(AS70/36.3)+3*LOG10(AX70/162.5))/5)+158.9*10^((2*LOG10(AP70/147.1)+6*LOG10(AX70/162.5))/8))/2</f>
        <v>2.0394517929869722</v>
      </c>
      <c r="AW70" s="201">
        <f t="shared" ref="AW70:AW81" si="43">(24.2*10^((LOG10(AS70/36.3)+4*LOG10(AX70/162.5))/5)+24.2*10^((LOG10(AP70/147.1)+7*LOG10(AX70/162.5))/8))/2</f>
        <v>0.30261905871303091</v>
      </c>
      <c r="AX70" s="38">
        <v>1.98</v>
      </c>
      <c r="AY70" s="49">
        <v>0.27</v>
      </c>
      <c r="AZ70" s="38">
        <v>2</v>
      </c>
      <c r="BA70" s="38">
        <v>0.2</v>
      </c>
      <c r="BB70" s="38"/>
      <c r="BC70" s="39">
        <v>2.5</v>
      </c>
      <c r="BD70" s="39">
        <v>3.5</v>
      </c>
      <c r="BE70" s="38">
        <v>0.53</v>
      </c>
      <c r="BF70" s="38">
        <v>0.19</v>
      </c>
      <c r="BG70" s="39">
        <v>62.3</v>
      </c>
      <c r="BI70" s="39">
        <f>V70/T70</f>
        <v>58.201058201058203</v>
      </c>
      <c r="BJ70" s="49">
        <f>K70/I70</f>
        <v>0.59602649006622521</v>
      </c>
      <c r="BL70" s="76">
        <f>I70/J70</f>
        <v>63.213771392210063</v>
      </c>
      <c r="BP70" s="116">
        <f t="shared" ref="BP70:BP75" si="44">196.6*10^(LOG10(AP70/147.1)+(LOG10(AP70/147.1)-LOG10(AL70/234.7))*0.4)</f>
        <v>2.9257715070264627</v>
      </c>
      <c r="BQ70" s="116">
        <f t="shared" ref="BQ70:BQ75" si="45">196.6*10^(LOG10(AP70/147.1)+0.6666*(LOG10(AS70/36.3)-LOG10(AP70/147.1)))</f>
        <v>2.7805701645153595</v>
      </c>
      <c r="BR70" s="116">
        <f t="shared" ref="BR70:BR75" si="46">196.6*10^(LOG10(AS70/36.3)-(LOG10(AX70/162.5)-LOG10(AS70/36.3))/5)</f>
        <v>2.642546774625429</v>
      </c>
    </row>
    <row r="71" spans="1:70" x14ac:dyDescent="0.2">
      <c r="A71" s="286" t="s">
        <v>273</v>
      </c>
      <c r="B71" s="287" t="s">
        <v>199</v>
      </c>
      <c r="C71" s="50" t="s">
        <v>272</v>
      </c>
      <c r="E71" s="38" t="s">
        <v>224</v>
      </c>
      <c r="F71" s="148">
        <v>0.65</v>
      </c>
      <c r="G71" s="38">
        <v>14</v>
      </c>
      <c r="H71" s="49">
        <f>V71*1.4616/10000</f>
        <v>0.31716719999999998</v>
      </c>
      <c r="I71" s="38">
        <v>14</v>
      </c>
      <c r="J71" s="127">
        <f>I71/BL$106</f>
        <v>0.19488683113467567</v>
      </c>
      <c r="K71" s="148">
        <f>I71*(($V71/$T71)*0.00642+0.246)</f>
        <v>9.6357333333333344</v>
      </c>
      <c r="L71" s="38">
        <v>12.5</v>
      </c>
      <c r="M71" s="49">
        <v>0.39</v>
      </c>
      <c r="Q71" s="38">
        <f t="shared" si="37"/>
        <v>55.094640763157464</v>
      </c>
      <c r="R71" s="50">
        <v>0.39</v>
      </c>
      <c r="S71" s="39"/>
      <c r="T71" s="38">
        <v>31.5</v>
      </c>
      <c r="V71" s="76">
        <v>2170</v>
      </c>
      <c r="W71" s="38"/>
      <c r="X71" s="39">
        <v>44.3</v>
      </c>
      <c r="Y71" s="76">
        <v>160</v>
      </c>
      <c r="Z71" s="39"/>
      <c r="AA71" s="39"/>
      <c r="AB71" s="39"/>
      <c r="AC71" s="39"/>
      <c r="AD71" s="39"/>
      <c r="AE71" s="76">
        <v>130</v>
      </c>
      <c r="AF71" s="76"/>
      <c r="AG71" s="76">
        <v>90</v>
      </c>
      <c r="AH71" s="76"/>
      <c r="AI71" s="76"/>
      <c r="AK71" s="76">
        <v>84</v>
      </c>
      <c r="AL71" s="38">
        <v>6.73</v>
      </c>
      <c r="AM71" s="39">
        <v>20.399999999999999</v>
      </c>
      <c r="AN71" s="199" t="e">
        <f t="shared" si="38"/>
        <v>#NUM!</v>
      </c>
      <c r="AO71" s="39"/>
      <c r="AP71" s="38">
        <v>3.31</v>
      </c>
      <c r="AQ71" s="38">
        <v>0.84</v>
      </c>
      <c r="AR71" s="200">
        <f t="shared" si="39"/>
        <v>4.0262503274058927</v>
      </c>
      <c r="AS71" s="38">
        <v>0.71</v>
      </c>
      <c r="AT71" s="200">
        <f t="shared" si="40"/>
        <v>4.5200665396432829</v>
      </c>
      <c r="AU71" s="200">
        <f t="shared" si="41"/>
        <v>0.98719444399063461</v>
      </c>
      <c r="AV71" s="200">
        <f t="shared" si="42"/>
        <v>2.6897052647661126</v>
      </c>
      <c r="AW71" s="201">
        <f t="shared" si="43"/>
        <v>0.39052520824613579</v>
      </c>
      <c r="AX71" s="38">
        <v>2.5</v>
      </c>
      <c r="AY71" s="49">
        <v>0.34</v>
      </c>
      <c r="AZ71" s="38">
        <v>2.21</v>
      </c>
      <c r="BA71" s="38">
        <v>0.22</v>
      </c>
      <c r="BB71" s="38"/>
      <c r="BC71" s="39">
        <v>5</v>
      </c>
      <c r="BD71" s="39">
        <v>5</v>
      </c>
      <c r="BE71" s="38">
        <v>0.92</v>
      </c>
      <c r="BF71" s="38">
        <v>0.25</v>
      </c>
      <c r="BG71" s="39">
        <v>12.9</v>
      </c>
      <c r="BI71" s="39">
        <f>V71/T71</f>
        <v>68.888888888888886</v>
      </c>
      <c r="BL71" s="76"/>
      <c r="BP71" s="116">
        <f t="shared" si="44"/>
        <v>4.0149872744322526</v>
      </c>
      <c r="BQ71" s="116">
        <f t="shared" si="45"/>
        <v>4.0292773317659334</v>
      </c>
      <c r="BR71" s="116">
        <f t="shared" si="46"/>
        <v>4.0344863760194913</v>
      </c>
    </row>
    <row r="72" spans="1:70" x14ac:dyDescent="0.2">
      <c r="A72" s="286" t="s">
        <v>274</v>
      </c>
      <c r="B72" s="287"/>
      <c r="C72" s="50" t="s">
        <v>272</v>
      </c>
      <c r="D72" s="50">
        <f>SUM(E72:R72)</f>
        <v>152.14960802689751</v>
      </c>
      <c r="E72" s="38">
        <f>E70</f>
        <v>48.3</v>
      </c>
      <c r="F72" s="38">
        <f>F70</f>
        <v>0.56999999999999995</v>
      </c>
      <c r="G72" s="38">
        <f t="shared" ref="G72:M72" si="47">(G70*$BG70+G71*$BG71)/$BG72</f>
        <v>13.751462765957445</v>
      </c>
      <c r="H72" s="49">
        <f t="shared" si="47"/>
        <v>0.32079982021276593</v>
      </c>
      <c r="I72" s="38">
        <f t="shared" si="47"/>
        <v>14.91130319148936</v>
      </c>
      <c r="J72" s="49">
        <f t="shared" si="47"/>
        <v>0.23132667183028344</v>
      </c>
      <c r="K72" s="38">
        <f t="shared" si="47"/>
        <v>9.1090553191489345</v>
      </c>
      <c r="L72" s="38">
        <f t="shared" si="47"/>
        <v>12.085771276595743</v>
      </c>
      <c r="M72" s="49">
        <f t="shared" si="47"/>
        <v>0.34029255319148938</v>
      </c>
      <c r="N72" s="49">
        <f>N70</f>
        <v>0.06</v>
      </c>
      <c r="Q72" s="38">
        <f t="shared" si="37"/>
        <v>52.129303875279994</v>
      </c>
      <c r="R72" s="49">
        <f>(R70*$BG70+R71*$BG71)/$BG72</f>
        <v>0.34029255319148938</v>
      </c>
      <c r="S72" s="49"/>
      <c r="T72" s="38">
        <f>(T70*$BG70+T71*$BG71)/$BG72</f>
        <v>36.719281914893607</v>
      </c>
      <c r="V72" s="76">
        <f>(V70*$BG70+V71*$BG71)/$BG72</f>
        <v>2194.8537234042551</v>
      </c>
      <c r="W72" s="38"/>
      <c r="X72" s="39">
        <f>(X70*$BG70+X71*$BG71)/$BG72</f>
        <v>41.648936170212764</v>
      </c>
      <c r="Y72" s="76">
        <f>(Y70*$BG70+Y71*$BG71)/$BG72</f>
        <v>85.438829787234042</v>
      </c>
      <c r="Z72" s="39"/>
      <c r="AA72" s="39"/>
      <c r="AB72" s="39"/>
      <c r="AC72" s="39"/>
      <c r="AD72" s="49"/>
      <c r="AE72" s="76">
        <f>(AE70*$BG70+AE71*$BG71)/$BG72</f>
        <v>96.861702127659569</v>
      </c>
      <c r="AF72" s="76"/>
      <c r="AG72" s="76">
        <f>(AG70*$BG70+AG71*$BG71)/$BG72</f>
        <v>98.284574468085097</v>
      </c>
      <c r="AH72" s="76"/>
      <c r="AI72" s="76"/>
      <c r="AK72" s="76">
        <f>(AK70*$BG70+AK71*$BG71)/$BG72</f>
        <v>62.460106382978722</v>
      </c>
      <c r="AL72" s="39">
        <f>(AL70*$BG70+AL71*$BG71)/$BG72</f>
        <v>5.0316622340425523</v>
      </c>
      <c r="AM72" s="39">
        <f>(AM70*$BG70+AM71*$BG71)/$BG72</f>
        <v>13.938031914893616</v>
      </c>
      <c r="AN72" s="199" t="e">
        <f t="shared" si="38"/>
        <v>#NUM!</v>
      </c>
      <c r="AO72" s="39"/>
      <c r="AP72" s="38">
        <f t="shared" ref="AP72:BF72" si="48">(AP70*$BG70+AP71*$BG71)/$BG72</f>
        <v>2.5395345744680848</v>
      </c>
      <c r="AQ72" s="38">
        <f t="shared" si="48"/>
        <v>0.67430851063829778</v>
      </c>
      <c r="AR72" s="200">
        <f t="shared" si="39"/>
        <v>2.995751003297991</v>
      </c>
      <c r="AS72" s="38">
        <f t="shared" si="48"/>
        <v>0.51945478723404248</v>
      </c>
      <c r="AT72" s="200">
        <f t="shared" si="40"/>
        <v>3.4956801771495378</v>
      </c>
      <c r="AU72" s="200">
        <f t="shared" si="41"/>
        <v>0.77646774244949224</v>
      </c>
      <c r="AV72" s="200">
        <f t="shared" si="42"/>
        <v>2.1517048373593877</v>
      </c>
      <c r="AW72" s="201">
        <f t="shared" si="43"/>
        <v>0.31776627661137757</v>
      </c>
      <c r="AX72" s="38">
        <f t="shared" si="48"/>
        <v>2.0692021276595742</v>
      </c>
      <c r="AY72" s="49">
        <f t="shared" si="48"/>
        <v>0.28200797872340427</v>
      </c>
      <c r="AZ72" s="38">
        <f t="shared" si="48"/>
        <v>2.0360239361702126</v>
      </c>
      <c r="BA72" s="38">
        <f t="shared" si="48"/>
        <v>0.2034308510638298</v>
      </c>
      <c r="BB72" s="38"/>
      <c r="BC72" s="38">
        <f t="shared" si="48"/>
        <v>2.9288563829787231</v>
      </c>
      <c r="BD72" s="38">
        <f t="shared" si="48"/>
        <v>3.7573138297872335</v>
      </c>
      <c r="BE72" s="38">
        <f t="shared" si="48"/>
        <v>0.59690159574468082</v>
      </c>
      <c r="BF72" s="38">
        <f t="shared" si="48"/>
        <v>0.20029255319148934</v>
      </c>
      <c r="BG72" s="76">
        <f>SUM(BG70:BG71)</f>
        <v>75.2</v>
      </c>
      <c r="BI72" s="39"/>
      <c r="BL72" s="76"/>
      <c r="BP72" s="116">
        <f t="shared" si="44"/>
        <v>3.1124486665065856</v>
      </c>
      <c r="BQ72" s="116">
        <f t="shared" si="45"/>
        <v>2.9950001690540073</v>
      </c>
      <c r="BR72" s="116">
        <f t="shared" si="46"/>
        <v>2.8798041743333793</v>
      </c>
    </row>
    <row r="73" spans="1:70" x14ac:dyDescent="0.2">
      <c r="A73" s="286" t="s">
        <v>275</v>
      </c>
      <c r="B73" s="287" t="s">
        <v>199</v>
      </c>
      <c r="C73" s="50" t="s">
        <v>276</v>
      </c>
      <c r="F73" s="38">
        <v>0.6</v>
      </c>
      <c r="G73" s="38">
        <v>18.8</v>
      </c>
      <c r="H73" s="49">
        <v>0.24</v>
      </c>
      <c r="I73" s="38">
        <v>13.82</v>
      </c>
      <c r="J73" s="49">
        <v>0.16200000000000001</v>
      </c>
      <c r="K73" s="38">
        <v>8.9</v>
      </c>
      <c r="L73" s="38">
        <v>13.3</v>
      </c>
      <c r="M73" s="49">
        <v>0.45</v>
      </c>
      <c r="N73" s="49">
        <v>7.0000000000000007E-2</v>
      </c>
      <c r="Q73" s="38">
        <f t="shared" si="37"/>
        <v>53.444751182742991</v>
      </c>
      <c r="R73" s="50">
        <v>0.45</v>
      </c>
      <c r="S73" s="50">
        <v>13.3</v>
      </c>
      <c r="T73" s="38">
        <v>29.4</v>
      </c>
      <c r="V73" s="76">
        <f>H73*10000/1.4616</f>
        <v>1642.0361247947455</v>
      </c>
      <c r="X73" s="39">
        <v>44.1</v>
      </c>
      <c r="Y73" s="76">
        <v>120</v>
      </c>
      <c r="Z73" s="39"/>
      <c r="AA73" s="39"/>
      <c r="AB73" s="39"/>
      <c r="AC73" s="39"/>
      <c r="AD73" s="39"/>
      <c r="AE73" s="76"/>
      <c r="AF73" s="76"/>
      <c r="AG73" s="76"/>
      <c r="AH73" s="76"/>
      <c r="AI73" s="76"/>
      <c r="AL73" s="38">
        <v>6.99</v>
      </c>
      <c r="AM73" s="39">
        <v>19.399999999999999</v>
      </c>
      <c r="AN73" s="199">
        <f t="shared" si="38"/>
        <v>2.4015372541112625</v>
      </c>
      <c r="AO73" s="39">
        <v>11.6</v>
      </c>
      <c r="AP73" s="38">
        <v>3.12</v>
      </c>
      <c r="AQ73" s="38">
        <v>1.1000000000000001</v>
      </c>
      <c r="AR73" s="200">
        <f t="shared" si="39"/>
        <v>3.5856309526065324</v>
      </c>
      <c r="AS73" s="38">
        <v>0.64</v>
      </c>
      <c r="AT73" s="200">
        <f t="shared" si="40"/>
        <v>4.5714481175776172</v>
      </c>
      <c r="AU73" s="200">
        <f t="shared" si="41"/>
        <v>1.043475196091002</v>
      </c>
      <c r="AV73" s="200">
        <f t="shared" si="42"/>
        <v>2.9718979464537476</v>
      </c>
      <c r="AW73" s="201">
        <f t="shared" si="43"/>
        <v>0.45113593899002785</v>
      </c>
      <c r="AX73" s="38">
        <v>3.02</v>
      </c>
      <c r="AY73" s="49">
        <v>0.42</v>
      </c>
      <c r="AZ73" s="38">
        <v>2.76</v>
      </c>
      <c r="BA73" s="38"/>
      <c r="BB73" s="38"/>
      <c r="BC73" s="39"/>
      <c r="BD73" s="39"/>
      <c r="BE73" s="38">
        <v>1.0900000000000001</v>
      </c>
      <c r="BF73" s="38">
        <v>0.22</v>
      </c>
      <c r="BG73" s="39">
        <v>5.72</v>
      </c>
      <c r="BI73" s="39">
        <f>V73/T73</f>
        <v>55.851568870569579</v>
      </c>
      <c r="BJ73" s="49">
        <f>K73/I73</f>
        <v>0.64399421128798839</v>
      </c>
      <c r="BL73" s="76" t="s">
        <v>689</v>
      </c>
      <c r="BP73" s="116">
        <f t="shared" si="44"/>
        <v>3.6404625591227568</v>
      </c>
      <c r="BQ73" s="116">
        <f t="shared" si="45"/>
        <v>3.6865353650782993</v>
      </c>
      <c r="BR73" s="116">
        <f t="shared" si="46"/>
        <v>3.429894933618542</v>
      </c>
    </row>
    <row r="74" spans="1:70" x14ac:dyDescent="0.2">
      <c r="A74" s="286" t="s">
        <v>275</v>
      </c>
      <c r="B74" s="287" t="s">
        <v>199</v>
      </c>
      <c r="C74" s="50" t="s">
        <v>276</v>
      </c>
      <c r="F74" s="38">
        <v>0.6</v>
      </c>
      <c r="G74" s="38">
        <v>15</v>
      </c>
      <c r="H74" s="49">
        <v>0.31900000000000001</v>
      </c>
      <c r="I74" s="38">
        <v>14.3</v>
      </c>
      <c r="J74" s="49">
        <v>0.192</v>
      </c>
      <c r="K74" s="38">
        <v>10.1</v>
      </c>
      <c r="L74" s="38">
        <v>11.5</v>
      </c>
      <c r="M74" s="49">
        <v>0.37</v>
      </c>
      <c r="N74" s="49">
        <v>0.10199999999999999</v>
      </c>
      <c r="Q74" s="38">
        <f t="shared" si="37"/>
        <v>55.733423205891157</v>
      </c>
      <c r="R74" s="50">
        <v>0.37</v>
      </c>
      <c r="S74" s="50">
        <v>11.5</v>
      </c>
      <c r="T74" s="38">
        <v>34.4</v>
      </c>
      <c r="V74" s="76">
        <f>H74*10000/1.4616</f>
        <v>2182.5396825396824</v>
      </c>
      <c r="X74" s="39">
        <v>46.9</v>
      </c>
      <c r="Y74" s="76">
        <v>100</v>
      </c>
      <c r="Z74" s="39"/>
      <c r="AA74" s="39"/>
      <c r="AB74" s="39"/>
      <c r="AC74" s="39"/>
      <c r="AD74" s="39"/>
      <c r="AE74" s="76"/>
      <c r="AF74" s="76"/>
      <c r="AG74" s="76"/>
      <c r="AH74" s="76"/>
      <c r="AI74" s="76"/>
      <c r="AL74" s="38">
        <v>5.13</v>
      </c>
      <c r="AM74" s="39">
        <v>16.100000000000001</v>
      </c>
      <c r="AN74" s="199">
        <f t="shared" si="38"/>
        <v>1.6052840041655609</v>
      </c>
      <c r="AO74" s="39">
        <v>7.4</v>
      </c>
      <c r="AP74" s="38">
        <v>2.08</v>
      </c>
      <c r="AQ74" s="38">
        <v>0.77</v>
      </c>
      <c r="AR74" s="200">
        <f t="shared" si="39"/>
        <v>2.4528379661227233</v>
      </c>
      <c r="AS74" s="38">
        <v>0.46</v>
      </c>
      <c r="AT74" s="200">
        <f t="shared" si="40"/>
        <v>3.2837818293149565</v>
      </c>
      <c r="AU74" s="200">
        <f t="shared" si="41"/>
        <v>0.75984027760150308</v>
      </c>
      <c r="AV74" s="200">
        <f t="shared" si="42"/>
        <v>2.1936398737949681</v>
      </c>
      <c r="AW74" s="201">
        <f t="shared" si="43"/>
        <v>0.33752166936967715</v>
      </c>
      <c r="AX74" s="38">
        <v>2.29</v>
      </c>
      <c r="AY74" s="49">
        <v>0.33</v>
      </c>
      <c r="AZ74" s="38">
        <v>1.93</v>
      </c>
      <c r="BA74" s="38"/>
      <c r="BB74" s="38"/>
      <c r="BC74" s="39"/>
      <c r="BD74" s="39"/>
      <c r="BE74" s="38">
        <v>0.7</v>
      </c>
      <c r="BF74" s="38">
        <v>0.14000000000000001</v>
      </c>
      <c r="BG74" s="39">
        <v>18.7</v>
      </c>
      <c r="BI74" s="39">
        <f>V74/T74</f>
        <v>63.445921004060537</v>
      </c>
      <c r="BJ74" s="49">
        <f>K74/I74</f>
        <v>0.70629370629370625</v>
      </c>
      <c r="BL74" s="76">
        <f>I74/J74</f>
        <v>74.479166666666671</v>
      </c>
      <c r="BP74" s="116">
        <f t="shared" si="44"/>
        <v>2.3354615971542367</v>
      </c>
      <c r="BQ74" s="116">
        <f t="shared" si="45"/>
        <v>2.5840706219466698</v>
      </c>
      <c r="BR74" s="116">
        <f t="shared" si="46"/>
        <v>2.4389816792672625</v>
      </c>
    </row>
    <row r="75" spans="1:70" x14ac:dyDescent="0.2">
      <c r="A75" s="286" t="s">
        <v>277</v>
      </c>
      <c r="B75" s="287"/>
      <c r="C75" s="50" t="s">
        <v>276</v>
      </c>
      <c r="F75" s="38">
        <f>F73</f>
        <v>0.6</v>
      </c>
      <c r="G75" s="38">
        <f>(G73*$BG73+G74*$BG74)/$BG75</f>
        <v>15.890090090090091</v>
      </c>
      <c r="H75" s="49">
        <f>(H73*$BG73+H74*$BG74)/$BG75</f>
        <v>0.30049549549549553</v>
      </c>
      <c r="I75" s="38">
        <f>(I73*$BG73+I74*$BG74)/$BG75</f>
        <v>14.187567567567571</v>
      </c>
      <c r="J75" s="49">
        <f>J73</f>
        <v>0.16200000000000001</v>
      </c>
      <c r="K75" s="38">
        <f>K73</f>
        <v>8.9</v>
      </c>
      <c r="L75" s="38">
        <f>(L73*$BG73+L74*$BG74)/$BG75</f>
        <v>11.921621621621622</v>
      </c>
      <c r="M75" s="49">
        <f>(M73*$BG73+M74*$BG74)/$BG75</f>
        <v>0.38873873873873871</v>
      </c>
      <c r="N75" s="49">
        <f>N73</f>
        <v>7.0000000000000007E-2</v>
      </c>
      <c r="Q75" s="38">
        <f t="shared" si="37"/>
        <v>52.791081485459912</v>
      </c>
      <c r="R75" s="38">
        <f t="shared" ref="R75:Y75" si="49">(R73*$BG73+R74*$BG74)/$BG75</f>
        <v>0.38873873873873871</v>
      </c>
      <c r="S75" s="38">
        <f t="shared" si="49"/>
        <v>11.921621621621622</v>
      </c>
      <c r="T75" s="38">
        <f t="shared" si="49"/>
        <v>33.228828828828831</v>
      </c>
      <c r="V75" s="76">
        <f t="shared" si="49"/>
        <v>2055.9352455904177</v>
      </c>
      <c r="W75" s="38"/>
      <c r="X75" s="39">
        <f t="shared" si="49"/>
        <v>46.244144144144144</v>
      </c>
      <c r="Y75" s="76">
        <f t="shared" si="49"/>
        <v>104.6846846846847</v>
      </c>
      <c r="Z75" s="39"/>
      <c r="AA75" s="39"/>
      <c r="AB75" s="39"/>
      <c r="AC75" s="39"/>
      <c r="AD75" s="49"/>
      <c r="AE75" s="76">
        <f>(AE73*$BG73+AE74*$BG74)/$BG75</f>
        <v>0</v>
      </c>
      <c r="AF75" s="76"/>
      <c r="AG75" s="76">
        <f>(AG73*$BG73+AG74*$BG74)/$BG75</f>
        <v>0</v>
      </c>
      <c r="AH75" s="76"/>
      <c r="AI75" s="76"/>
      <c r="AK75" s="76">
        <f>(AK73*$BG73+AK74*$BG74)/$BG75</f>
        <v>0</v>
      </c>
      <c r="AL75" s="39">
        <f>(AL73*$BG73+AL74*$BG74)/$BG75</f>
        <v>5.5656756756756751</v>
      </c>
      <c r="AM75" s="39">
        <f>(AM73*$BG73+AM74*$BG74)/$BG75</f>
        <v>16.872972972972974</v>
      </c>
      <c r="AN75" s="199" t="e">
        <f t="shared" si="38"/>
        <v>#NUM!</v>
      </c>
      <c r="AO75" s="39"/>
      <c r="AP75" s="38">
        <f t="shared" ref="AP75:AZ75" si="50">(AP73*$BG73+AP74*$BG74)/$BG75</f>
        <v>2.3236036036036039</v>
      </c>
      <c r="AQ75" s="38">
        <f t="shared" si="50"/>
        <v>0.8472972972972973</v>
      </c>
      <c r="AR75" s="200">
        <f t="shared" si="39"/>
        <v>2.7177525333048607</v>
      </c>
      <c r="AS75" s="38">
        <f t="shared" si="50"/>
        <v>0.50216216216216225</v>
      </c>
      <c r="AT75" s="200">
        <f t="shared" si="40"/>
        <v>3.5862965512637475</v>
      </c>
      <c r="AU75" s="200">
        <f t="shared" si="41"/>
        <v>0.82648006582932865</v>
      </c>
      <c r="AV75" s="200">
        <f t="shared" si="42"/>
        <v>2.3764128585536737</v>
      </c>
      <c r="AW75" s="201">
        <f t="shared" si="43"/>
        <v>0.36417744387972761</v>
      </c>
      <c r="AX75" s="38">
        <f t="shared" si="50"/>
        <v>2.4609909909909913</v>
      </c>
      <c r="AY75" s="49">
        <f t="shared" si="50"/>
        <v>0.3510810810810811</v>
      </c>
      <c r="AZ75" s="38">
        <f t="shared" si="50"/>
        <v>2.1244144144144141</v>
      </c>
      <c r="BA75" s="38"/>
      <c r="BB75" s="38"/>
      <c r="BC75" s="38"/>
      <c r="BD75" s="38"/>
      <c r="BE75" s="38">
        <f>(BE73*$BG73+BE74*$BG74)/$BG75</f>
        <v>0.79135135135135126</v>
      </c>
      <c r="BF75" s="38">
        <f>(BF73*$BG73+BF74*$BG74)/$BG75</f>
        <v>0.15873873873873875</v>
      </c>
      <c r="BG75" s="76">
        <f>SUM(BG73:BG74)</f>
        <v>24.419999999999998</v>
      </c>
      <c r="BI75" s="39"/>
      <c r="BL75" s="76"/>
      <c r="BP75" s="116">
        <f t="shared" si="44"/>
        <v>2.6396765068988968</v>
      </c>
      <c r="BQ75" s="116">
        <f t="shared" si="45"/>
        <v>2.8426848669201603</v>
      </c>
      <c r="BR75" s="116">
        <f t="shared" si="46"/>
        <v>2.6708962260955262</v>
      </c>
    </row>
    <row r="76" spans="1:70" x14ac:dyDescent="0.2">
      <c r="A76" s="288"/>
      <c r="B76" s="287"/>
      <c r="Q76" s="38" t="e">
        <f t="shared" si="37"/>
        <v>#DIV/0!</v>
      </c>
      <c r="R76" s="49"/>
      <c r="S76" s="49"/>
      <c r="T76" s="38"/>
      <c r="V76" s="76"/>
      <c r="W76" s="38"/>
      <c r="Z76" s="39"/>
      <c r="AA76" s="39"/>
      <c r="AB76" s="39"/>
      <c r="AC76" s="39"/>
      <c r="AD76" s="49"/>
      <c r="AE76" s="76"/>
      <c r="AF76" s="76"/>
      <c r="AG76" s="76"/>
      <c r="AH76" s="76"/>
      <c r="AI76" s="76"/>
      <c r="AL76" s="39"/>
      <c r="AM76" s="39"/>
      <c r="AN76" s="39"/>
      <c r="AO76" s="39"/>
      <c r="AP76" s="38"/>
      <c r="AQ76" s="38"/>
      <c r="AR76"/>
      <c r="AS76"/>
      <c r="AT76"/>
      <c r="AU76"/>
      <c r="AV76"/>
      <c r="AW76"/>
      <c r="AX76" s="38"/>
      <c r="AZ76" s="38"/>
      <c r="BA76" s="38"/>
      <c r="BB76" s="38"/>
      <c r="BC76" s="38"/>
      <c r="BD76" s="38"/>
      <c r="BE76" s="38"/>
      <c r="BF76" s="38"/>
      <c r="BG76" s="76"/>
      <c r="BI76" s="39"/>
      <c r="BL76" s="76"/>
    </row>
    <row r="77" spans="1:70" x14ac:dyDescent="0.2">
      <c r="A77" s="286" t="s">
        <v>275</v>
      </c>
      <c r="B77" s="287"/>
      <c r="C77" s="2" t="s">
        <v>204</v>
      </c>
      <c r="D77" s="34">
        <f>SUM(E77:P77)</f>
        <v>99.662233599999993</v>
      </c>
      <c r="E77" s="38">
        <f>22*2.1393</f>
        <v>47.064599999999999</v>
      </c>
      <c r="F77" s="38">
        <f>0.38*1.6683</f>
        <v>0.63395400000000002</v>
      </c>
      <c r="G77" s="38">
        <f>9.2*1.8895</f>
        <v>17.383399999999998</v>
      </c>
      <c r="H77" s="49">
        <f>0.196*1.4616</f>
        <v>0.28647359999999999</v>
      </c>
      <c r="I77" s="38">
        <f>9.7*1.2865</f>
        <v>12.479049999999999</v>
      </c>
      <c r="J77" s="49">
        <f>0.134*1.2912</f>
        <v>0.1730208</v>
      </c>
      <c r="K77" s="38">
        <f>5.4*1.6583</f>
        <v>8.9548200000000016</v>
      </c>
      <c r="L77" s="38">
        <f>8.7*1.3992</f>
        <v>12.173039999999999</v>
      </c>
      <c r="M77" s="49">
        <v>0.40305200000000002</v>
      </c>
      <c r="N77" s="49">
        <f>0.092*1.2046</f>
        <v>0.11082319999999998</v>
      </c>
      <c r="Q77" s="38">
        <f t="shared" si="37"/>
        <v>56.124464460890884</v>
      </c>
      <c r="R77" s="49"/>
      <c r="S77" s="49"/>
      <c r="T77" s="39">
        <v>28</v>
      </c>
      <c r="V77" s="76">
        <v>1960</v>
      </c>
      <c r="W77" s="39"/>
      <c r="X77" s="39">
        <v>43</v>
      </c>
      <c r="Y77" s="76">
        <v>122</v>
      </c>
      <c r="Z77" s="39">
        <v>9.8000000000000007</v>
      </c>
      <c r="AA77" s="39"/>
      <c r="AB77" s="39"/>
      <c r="AC77" s="39"/>
      <c r="AD77" s="39"/>
      <c r="AE77" s="76">
        <v>140</v>
      </c>
      <c r="AF77" s="76"/>
      <c r="AG77" s="76">
        <v>87</v>
      </c>
      <c r="AH77" s="76"/>
      <c r="AI77" s="76"/>
      <c r="AK77" s="76">
        <v>85</v>
      </c>
      <c r="AL77" s="38">
        <v>6.7</v>
      </c>
      <c r="AM77" s="39">
        <v>15</v>
      </c>
      <c r="AN77" s="199">
        <f>89.1*EXP((LN(AL77/234.7)+2*LN(AO77/452.4))/3)</f>
        <v>1.969571081304561</v>
      </c>
      <c r="AO77" s="39">
        <v>8.8000000000000007</v>
      </c>
      <c r="AP77" s="38">
        <v>2.79</v>
      </c>
      <c r="AQ77" s="38">
        <v>0.97</v>
      </c>
      <c r="AR77" s="200">
        <f t="shared" si="39"/>
        <v>3.3358777154698451</v>
      </c>
      <c r="AS77" s="38">
        <v>0.61</v>
      </c>
      <c r="AT77" s="200">
        <f t="shared" si="40"/>
        <v>3.9945944869958265</v>
      </c>
      <c r="AU77" s="200">
        <f t="shared" si="41"/>
        <v>0.88692885946353694</v>
      </c>
      <c r="AV77" s="200">
        <f t="shared" si="42"/>
        <v>2.4566928904632066</v>
      </c>
      <c r="AW77" s="201">
        <f t="shared" si="43"/>
        <v>0.36262456321046221</v>
      </c>
      <c r="AX77" s="38">
        <v>2.36</v>
      </c>
      <c r="AY77" s="49">
        <v>0.34</v>
      </c>
      <c r="AZ77" s="38">
        <v>2.36</v>
      </c>
      <c r="BA77" s="38">
        <v>0.32</v>
      </c>
      <c r="BB77" s="38"/>
      <c r="BC77" s="39">
        <v>5.0999999999999996</v>
      </c>
      <c r="BD77" s="39">
        <v>1.8</v>
      </c>
      <c r="BE77" s="38">
        <v>1.07</v>
      </c>
      <c r="BF77" s="38">
        <v>0.23</v>
      </c>
      <c r="BG77" s="39">
        <v>43</v>
      </c>
      <c r="BI77" s="39">
        <f>V77/T77</f>
        <v>70</v>
      </c>
      <c r="BJ77" s="49">
        <f>K77/I77</f>
        <v>0.71758827795385083</v>
      </c>
      <c r="BL77" s="76">
        <f>I77/J77</f>
        <v>72.124565370175134</v>
      </c>
      <c r="BM77" s="38"/>
      <c r="BN77" s="38">
        <f>AO77/AP77</f>
        <v>3.1541218637992832</v>
      </c>
      <c r="BO77" s="38">
        <f>AO77/AL77</f>
        <v>1.3134328358208955</v>
      </c>
      <c r="BP77" s="116">
        <f>196.6*10^(LOG10(AP77/147.1)+(LOG10(AP77/147.1)-LOG10(AL77/234.7))*0.4)</f>
        <v>3.1662628913484516</v>
      </c>
      <c r="BQ77" s="116">
        <f>196.6*10^(LOG10(AP77/147.1)+0.6666*(LOG10(AS77/36.3)-LOG10(AP77/147.1)))</f>
        <v>3.4397984902943635</v>
      </c>
      <c r="BR77" s="116">
        <f>196.6*10^(LOG10(AS77/36.3)-(LOG10(AX77/162.5)-LOG10(AS77/36.3))/5)</f>
        <v>3.4015717647667203</v>
      </c>
    </row>
    <row r="78" spans="1:70" x14ac:dyDescent="0.2">
      <c r="A78" s="286" t="s">
        <v>275</v>
      </c>
      <c r="B78" s="287"/>
      <c r="C78" s="2" t="s">
        <v>278</v>
      </c>
      <c r="D78" s="34" t="s">
        <v>1274</v>
      </c>
      <c r="F78" s="38">
        <v>0.6</v>
      </c>
      <c r="G78" s="148">
        <f>-1.554*I78+37.4</f>
        <v>13.779199999999999</v>
      </c>
      <c r="H78" s="49">
        <v>0.28999999999999998</v>
      </c>
      <c r="I78" s="38">
        <v>15.2</v>
      </c>
      <c r="J78" s="49">
        <f>0.168*1.2912</f>
        <v>0.21692159999999999</v>
      </c>
      <c r="K78" s="38">
        <v>9</v>
      </c>
      <c r="L78" s="38">
        <f>8.73*1.3993</f>
        <v>12.215889000000001</v>
      </c>
      <c r="M78" s="49">
        <f>0.34*1.348</f>
        <v>0.45832000000000006</v>
      </c>
      <c r="N78" s="49">
        <f>0.055*1.2046</f>
        <v>6.6252999999999992E-2</v>
      </c>
      <c r="Q78" s="38">
        <f t="shared" si="37"/>
        <v>51.349756217029572</v>
      </c>
      <c r="R78" s="49"/>
      <c r="S78" s="39"/>
      <c r="T78" s="38">
        <v>31.9</v>
      </c>
      <c r="V78" s="76">
        <v>2010</v>
      </c>
      <c r="W78" s="38"/>
      <c r="X78" s="39">
        <v>41.4</v>
      </c>
      <c r="Y78" s="76">
        <v>100</v>
      </c>
      <c r="Z78" s="39">
        <v>49</v>
      </c>
      <c r="AA78" s="39"/>
      <c r="AB78" s="39"/>
      <c r="AC78" s="39"/>
      <c r="AD78" s="39"/>
      <c r="AE78" s="76">
        <v>100</v>
      </c>
      <c r="AF78" s="76"/>
      <c r="AG78" s="76">
        <v>81</v>
      </c>
      <c r="AH78" s="76"/>
      <c r="AI78" s="76"/>
      <c r="AK78" s="76">
        <v>97</v>
      </c>
      <c r="AL78" s="38">
        <v>7</v>
      </c>
      <c r="AM78" s="39">
        <v>17.899999999999999</v>
      </c>
      <c r="AN78" s="199">
        <f>89.1*EXP((LN(AL78/234.7)+2*LN(AO78/452.4))/3)</f>
        <v>2.4576033331689944</v>
      </c>
      <c r="AO78" s="39">
        <v>12</v>
      </c>
      <c r="AP78" s="38">
        <v>3.56</v>
      </c>
      <c r="AQ78" s="38">
        <v>0.96</v>
      </c>
      <c r="AR78" s="200">
        <f t="shared" si="39"/>
        <v>4.3325759393322727</v>
      </c>
      <c r="AS78" s="38">
        <v>0.76</v>
      </c>
      <c r="AT78" s="200">
        <f t="shared" si="40"/>
        <v>4.8781188471780315</v>
      </c>
      <c r="AU78" s="200">
        <f t="shared" si="41"/>
        <v>1.0685347331523181</v>
      </c>
      <c r="AV78" s="200">
        <f t="shared" si="42"/>
        <v>2.9199087526775198</v>
      </c>
      <c r="AW78" s="201">
        <f t="shared" si="43"/>
        <v>0.42519931734243188</v>
      </c>
      <c r="AX78" s="38">
        <v>2.73</v>
      </c>
      <c r="AY78" s="49">
        <v>0.376</v>
      </c>
      <c r="AZ78" s="38">
        <v>2.96</v>
      </c>
      <c r="BA78" s="38">
        <v>0.34</v>
      </c>
      <c r="BB78" s="38"/>
      <c r="BC78" s="39">
        <v>6.2</v>
      </c>
      <c r="BD78" s="39">
        <v>3</v>
      </c>
      <c r="BE78" s="38">
        <v>1.05</v>
      </c>
      <c r="BF78" s="38">
        <v>0.26</v>
      </c>
      <c r="BG78" s="39">
        <v>28.88</v>
      </c>
      <c r="BI78" s="39">
        <f>V78/T78</f>
        <v>63.009404388714735</v>
      </c>
      <c r="BJ78" s="49">
        <f>K78/I78</f>
        <v>0.5921052631578948</v>
      </c>
      <c r="BL78" s="76">
        <f>I78/J78</f>
        <v>70.071399067681597</v>
      </c>
      <c r="BM78" s="38"/>
      <c r="BN78" s="38">
        <f>AO78/AP78</f>
        <v>3.3707865168539324</v>
      </c>
      <c r="BO78" s="38">
        <f>AO78/AL78</f>
        <v>1.7142857142857142</v>
      </c>
      <c r="BP78" s="116">
        <f>196.6*10^(LOG10(AP78/147.1)+(LOG10(AP78/147.1)-LOG10(AL78/234.7))*0.4)</f>
        <v>4.3764481615509343</v>
      </c>
      <c r="BQ78" s="116">
        <f>196.6*10^(LOG10(AP78/147.1)+0.6666*(LOG10(AS78/36.3)-LOG10(AP78/147.1)))</f>
        <v>4.3198778035923686</v>
      </c>
      <c r="BR78" s="116">
        <f>196.6*10^(LOG10(AS78/36.3)-(LOG10(AX78/162.5)-LOG10(AS78/36.3))/5)</f>
        <v>4.3014018528535169</v>
      </c>
    </row>
    <row r="79" spans="1:70" x14ac:dyDescent="0.2">
      <c r="A79" s="286" t="s">
        <v>275</v>
      </c>
      <c r="B79" s="287"/>
      <c r="C79" s="50" t="s">
        <v>272</v>
      </c>
      <c r="D79" s="34">
        <f>SUM(E79:P79)</f>
        <v>99.937569609423662</v>
      </c>
      <c r="E79" s="38">
        <f>E72</f>
        <v>48.3</v>
      </c>
      <c r="F79" s="38">
        <f t="shared" ref="F79:M79" si="51">F72</f>
        <v>0.56999999999999995</v>
      </c>
      <c r="G79" s="38">
        <f t="shared" si="51"/>
        <v>13.751462765957445</v>
      </c>
      <c r="H79" s="49">
        <f t="shared" si="51"/>
        <v>0.32079982021276593</v>
      </c>
      <c r="I79" s="38">
        <f t="shared" si="51"/>
        <v>14.91130319148936</v>
      </c>
      <c r="J79" s="127">
        <f>I79/BL$106</f>
        <v>0.20757261621983839</v>
      </c>
      <c r="K79" s="148">
        <f>I79*(($V79/$T79)*0.00642+0.246)</f>
        <v>9.3903673857570258</v>
      </c>
      <c r="L79" s="38">
        <f t="shared" si="51"/>
        <v>12.085771276595743</v>
      </c>
      <c r="M79" s="49">
        <f t="shared" si="51"/>
        <v>0.34029255319148938</v>
      </c>
      <c r="N79" s="49">
        <v>0.06</v>
      </c>
      <c r="Q79" s="38">
        <f t="shared" si="37"/>
        <v>52.887760409279636</v>
      </c>
      <c r="R79" s="49"/>
      <c r="S79" s="39"/>
      <c r="T79" s="38">
        <v>36.719281914893614</v>
      </c>
      <c r="V79" s="76">
        <v>2194.8537234042551</v>
      </c>
      <c r="W79" s="38"/>
      <c r="X79" s="39">
        <v>41.648936170212764</v>
      </c>
      <c r="Y79" s="76">
        <v>85.438829787234042</v>
      </c>
      <c r="Z79" s="39"/>
      <c r="AA79" s="39"/>
      <c r="AB79" s="39"/>
      <c r="AC79" s="39"/>
      <c r="AD79" s="39"/>
      <c r="AE79" s="76">
        <v>96.861702127659569</v>
      </c>
      <c r="AF79" s="76"/>
      <c r="AG79" s="76">
        <v>98.284574468085097</v>
      </c>
      <c r="AH79" s="76"/>
      <c r="AI79" s="76"/>
      <c r="AK79" s="76">
        <v>62.460106382978722</v>
      </c>
      <c r="AL79" s="38">
        <v>5.0316622340425523</v>
      </c>
      <c r="AM79" s="39">
        <v>13.938031914893616</v>
      </c>
      <c r="AN79" s="199">
        <f>89.1*EXP((LN(AL79/234.7)+2*LN(AO79/452.4))/3)</f>
        <v>1.6732064538485956</v>
      </c>
      <c r="AO79" s="289">
        <f>AVERAGE(AP79*BN$82,AL79*BO$82)</f>
        <v>7.9511718779467264</v>
      </c>
      <c r="AP79" s="38">
        <v>2.5395345744680848</v>
      </c>
      <c r="AQ79" s="49">
        <v>0.67430851063829789</v>
      </c>
      <c r="AR79" s="200">
        <f t="shared" si="39"/>
        <v>2.995751003297991</v>
      </c>
      <c r="AS79" s="49">
        <v>0.51945478723404248</v>
      </c>
      <c r="AT79" s="200">
        <f t="shared" si="40"/>
        <v>3.4956801771495378</v>
      </c>
      <c r="AU79" s="200">
        <f t="shared" si="41"/>
        <v>0.77646774244949224</v>
      </c>
      <c r="AV79" s="200">
        <f t="shared" si="42"/>
        <v>2.1517048373593877</v>
      </c>
      <c r="AW79" s="201">
        <f t="shared" si="43"/>
        <v>0.31776627661137757</v>
      </c>
      <c r="AX79" s="38">
        <v>2.0692021276595742</v>
      </c>
      <c r="AY79" s="49">
        <v>0.28200797872340427</v>
      </c>
      <c r="AZ79" s="38">
        <v>2.0360239361702126</v>
      </c>
      <c r="BA79" s="38">
        <v>0.20343085106382977</v>
      </c>
      <c r="BB79" s="38"/>
      <c r="BC79" s="39">
        <v>2.9288563829787231</v>
      </c>
      <c r="BD79" s="39">
        <v>3.7573138297872339</v>
      </c>
      <c r="BE79" s="38">
        <v>0.59690159574468082</v>
      </c>
      <c r="BF79" s="38">
        <v>0.20029255319148934</v>
      </c>
      <c r="BG79" s="39">
        <v>75.2</v>
      </c>
      <c r="BI79" s="39"/>
      <c r="BL79" s="76"/>
      <c r="BM79" s="38"/>
      <c r="BO79" s="49"/>
      <c r="BP79" s="116">
        <f>196.6*10^(LOG10(AP79/147.1)+(LOG10(AP79/147.1)-LOG10(AL79/234.7))*0.4)</f>
        <v>3.1124486665065856</v>
      </c>
      <c r="BQ79" s="116">
        <f>196.6*10^(LOG10(AP79/147.1)+0.6666*(LOG10(AS79/36.3)-LOG10(AP79/147.1)))</f>
        <v>2.9950001690540073</v>
      </c>
      <c r="BR79" s="116">
        <f>196.6*10^(LOG10(AS79/36.3)-(LOG10(AX79/162.5)-LOG10(AS79/36.3))/5)</f>
        <v>2.8798041743333793</v>
      </c>
    </row>
    <row r="80" spans="1:70" x14ac:dyDescent="0.2">
      <c r="A80" s="286" t="s">
        <v>275</v>
      </c>
      <c r="B80" s="71" t="s">
        <v>240</v>
      </c>
      <c r="C80" s="2" t="s">
        <v>1267</v>
      </c>
      <c r="D80" s="34">
        <f>SUM(E80:P80)</f>
        <v>53.221903999999995</v>
      </c>
      <c r="E80" s="38" t="s">
        <v>1275</v>
      </c>
      <c r="F80" s="38">
        <v>0.53</v>
      </c>
      <c r="G80" s="38">
        <v>16.73</v>
      </c>
      <c r="H80" s="45" t="s">
        <v>1273</v>
      </c>
      <c r="I80" s="38">
        <f>13.57+0.48*0.8998</f>
        <v>14.001904</v>
      </c>
      <c r="J80" s="38" t="s">
        <v>1276</v>
      </c>
      <c r="K80" s="38">
        <v>9.52</v>
      </c>
      <c r="L80" s="38">
        <v>12.28</v>
      </c>
      <c r="M80" s="344" t="s">
        <v>328</v>
      </c>
      <c r="N80" s="49">
        <v>0.08</v>
      </c>
      <c r="O80" s="49">
        <v>0.08</v>
      </c>
      <c r="Q80" s="38">
        <f t="shared" si="37"/>
        <v>54.792139028461079</v>
      </c>
      <c r="R80" s="49"/>
      <c r="S80" s="39"/>
      <c r="T80" s="38"/>
      <c r="V80" s="76"/>
      <c r="W80" s="38"/>
      <c r="Z80" s="39"/>
      <c r="AA80" s="39"/>
      <c r="AB80" s="39"/>
      <c r="AC80" s="39"/>
      <c r="AD80" s="39"/>
      <c r="AE80" s="76"/>
      <c r="AF80" s="76"/>
      <c r="AG80" s="76"/>
      <c r="AH80" s="76"/>
      <c r="AI80" s="76"/>
      <c r="AL80" s="38"/>
      <c r="AM80" s="39"/>
      <c r="AN80" s="39"/>
      <c r="AO80" s="289"/>
      <c r="AP80" s="38"/>
      <c r="AQ80" s="49"/>
      <c r="AR80"/>
      <c r="AS80"/>
      <c r="AT80"/>
      <c r="AU80"/>
      <c r="AV80"/>
      <c r="AW80"/>
      <c r="AX80" s="38"/>
      <c r="AZ80" s="38"/>
      <c r="BA80" s="38"/>
      <c r="BB80" s="38"/>
      <c r="BC80" s="39"/>
      <c r="BD80" s="39"/>
      <c r="BE80" s="38"/>
      <c r="BF80" s="38"/>
      <c r="BG80" s="39"/>
      <c r="BI80" s="39"/>
      <c r="BL80" s="76"/>
      <c r="BM80" s="38"/>
      <c r="BO80" s="49"/>
    </row>
    <row r="81" spans="1:70" x14ac:dyDescent="0.2">
      <c r="A81" s="286" t="s">
        <v>275</v>
      </c>
      <c r="B81" s="287"/>
      <c r="C81" s="50" t="s">
        <v>276</v>
      </c>
      <c r="D81" s="34" t="s">
        <v>1274</v>
      </c>
      <c r="F81" s="38">
        <v>0.6</v>
      </c>
      <c r="G81" s="38">
        <v>15.890090090090091</v>
      </c>
      <c r="H81" s="49">
        <v>0.30049549549549553</v>
      </c>
      <c r="I81" s="38">
        <v>14.187567567567569</v>
      </c>
      <c r="J81" s="49">
        <v>0.16200000000000001</v>
      </c>
      <c r="K81" s="38">
        <v>8.9</v>
      </c>
      <c r="L81" s="38">
        <v>11.921621621621622</v>
      </c>
      <c r="M81" s="49">
        <v>0.38873873873873876</v>
      </c>
      <c r="N81" s="49">
        <v>7.0000000000000007E-2</v>
      </c>
      <c r="Q81" s="38">
        <f t="shared" si="37"/>
        <v>52.79108148545992</v>
      </c>
      <c r="R81" s="49"/>
      <c r="S81" s="39"/>
      <c r="T81" s="38">
        <v>33.228828828828831</v>
      </c>
      <c r="V81" s="76">
        <v>2055.9352455904182</v>
      </c>
      <c r="W81" s="38"/>
      <c r="X81" s="39">
        <v>46.244144144144144</v>
      </c>
      <c r="Y81" s="76">
        <v>104.68468468468468</v>
      </c>
      <c r="Z81" s="39"/>
      <c r="AA81" s="39"/>
      <c r="AB81" s="39"/>
      <c r="AC81" s="39"/>
      <c r="AD81" s="39"/>
      <c r="AE81" s="76"/>
      <c r="AF81" s="76"/>
      <c r="AG81" s="76"/>
      <c r="AH81" s="76"/>
      <c r="AI81" s="76"/>
      <c r="AL81" s="38">
        <v>5.565675675675676</v>
      </c>
      <c r="AM81" s="39">
        <v>16.872972972972974</v>
      </c>
      <c r="AN81" s="199">
        <f>89.1*EXP((LN(AL81/234.7)+2*LN(AO81/452.4))/3)</f>
        <v>1.737953746405009</v>
      </c>
      <c r="AO81" s="289">
        <f>AVERAGE(AP81*BN$82,AL81*BO$82)</f>
        <v>8.0031500283973873</v>
      </c>
      <c r="AP81" s="38">
        <v>2.3236036036036039</v>
      </c>
      <c r="AQ81" s="49">
        <v>0.84729729729729741</v>
      </c>
      <c r="AR81" s="200">
        <f t="shared" si="39"/>
        <v>2.7177525333048607</v>
      </c>
      <c r="AS81" s="49">
        <v>0.50216216216216225</v>
      </c>
      <c r="AT81" s="200">
        <f t="shared" si="40"/>
        <v>3.5862965512637475</v>
      </c>
      <c r="AU81" s="200">
        <f t="shared" si="41"/>
        <v>0.82648006582932865</v>
      </c>
      <c r="AV81" s="200">
        <f t="shared" si="42"/>
        <v>2.3764128585536737</v>
      </c>
      <c r="AW81" s="201">
        <f t="shared" si="43"/>
        <v>0.36417744387972761</v>
      </c>
      <c r="AX81" s="38">
        <v>2.4609909909909913</v>
      </c>
      <c r="AY81" s="49">
        <v>0.3510810810810811</v>
      </c>
      <c r="AZ81" s="38">
        <v>2.1244144144144146</v>
      </c>
      <c r="BA81" s="38"/>
      <c r="BB81" s="38"/>
      <c r="BC81" s="39"/>
      <c r="BD81" s="39"/>
      <c r="BE81" s="38">
        <v>0.79135135135135137</v>
      </c>
      <c r="BF81" s="38">
        <v>0.15873873873873875</v>
      </c>
      <c r="BG81" s="39">
        <v>24.42</v>
      </c>
      <c r="BI81" s="39"/>
      <c r="BL81" s="76"/>
      <c r="BM81" s="38"/>
      <c r="BO81" s="49"/>
      <c r="BP81" s="116">
        <f>196.6*10^(LOG10(AP81/147.1)+(LOG10(AP81/147.1)-LOG10(AL81/234.7))*0.4)</f>
        <v>2.6396765068988968</v>
      </c>
      <c r="BQ81" s="116">
        <f>196.6*10^(LOG10(AP81/147.1)+0.6666*(LOG10(AS81/36.3)-LOG10(AP81/147.1)))</f>
        <v>2.8426848669201603</v>
      </c>
      <c r="BR81" s="116">
        <f>196.6*10^(LOG10(AS81/36.3)-(LOG10(AX81/162.5)-LOG10(AS81/36.3))/5)</f>
        <v>2.6708962260955262</v>
      </c>
    </row>
    <row r="82" spans="1:70" s="36" customFormat="1" x14ac:dyDescent="0.2">
      <c r="A82" s="176" t="s">
        <v>677</v>
      </c>
      <c r="B82" s="177" t="s">
        <v>279</v>
      </c>
      <c r="D82" s="34">
        <f>SUM(E82:P82)</f>
        <v>100.18452522578033</v>
      </c>
      <c r="E82" s="34">
        <f t="shared" ref="E82:BF82" si="52">AVERAGE(E77:E81)</f>
        <v>47.682299999999998</v>
      </c>
      <c r="F82" s="34">
        <f t="shared" si="52"/>
        <v>0.58679080000000006</v>
      </c>
      <c r="G82" s="34">
        <f t="shared" si="52"/>
        <v>15.506830571209509</v>
      </c>
      <c r="H82" s="37">
        <f t="shared" si="52"/>
        <v>0.29944222892706535</v>
      </c>
      <c r="I82" s="34">
        <f t="shared" si="52"/>
        <v>14.155964951811384</v>
      </c>
      <c r="J82" s="37">
        <f t="shared" si="52"/>
        <v>0.1898787540549596</v>
      </c>
      <c r="K82" s="34">
        <f t="shared" si="52"/>
        <v>9.153037477151404</v>
      </c>
      <c r="L82" s="34">
        <f t="shared" si="52"/>
        <v>12.135264379643473</v>
      </c>
      <c r="M82" s="37">
        <f t="shared" si="52"/>
        <v>0.39760082298255706</v>
      </c>
      <c r="N82" s="37">
        <f t="shared" si="52"/>
        <v>7.7415239999999996E-2</v>
      </c>
      <c r="O82" s="37"/>
      <c r="Q82" s="38">
        <f t="shared" si="37"/>
        <v>53.544641868090487</v>
      </c>
      <c r="R82" s="37"/>
      <c r="S82" s="72"/>
      <c r="T82" s="34">
        <f t="shared" si="52"/>
        <v>32.462027685930607</v>
      </c>
      <c r="U82" s="35"/>
      <c r="V82" s="35">
        <f t="shared" si="52"/>
        <v>2055.1972422486683</v>
      </c>
      <c r="W82" s="34"/>
      <c r="X82" s="72">
        <f t="shared" si="52"/>
        <v>43.073270078589232</v>
      </c>
      <c r="Y82" s="35">
        <f t="shared" si="52"/>
        <v>103.03087861797968</v>
      </c>
      <c r="Z82" s="72">
        <f t="shared" si="52"/>
        <v>29.4</v>
      </c>
      <c r="AA82" s="72"/>
      <c r="AB82" s="72"/>
      <c r="AC82" s="72"/>
      <c r="AD82" s="72"/>
      <c r="AE82" s="35">
        <f t="shared" si="52"/>
        <v>112.28723404255318</v>
      </c>
      <c r="AF82" s="35"/>
      <c r="AG82" s="35">
        <f t="shared" si="52"/>
        <v>88.761524822695037</v>
      </c>
      <c r="AH82" s="35"/>
      <c r="AI82" s="35"/>
      <c r="AJ82" s="34"/>
      <c r="AK82" s="35">
        <f t="shared" si="52"/>
        <v>81.486702127659569</v>
      </c>
      <c r="AL82" s="34">
        <f t="shared" si="52"/>
        <v>6.0743344774295576</v>
      </c>
      <c r="AM82" s="34">
        <f t="shared" ref="AM82:AW82" si="53">AVERAGE(AM77:AM81)</f>
        <v>15.927751221966647</v>
      </c>
      <c r="AN82" s="34">
        <f t="shared" si="53"/>
        <v>1.9595836536817899</v>
      </c>
      <c r="AO82" s="34">
        <f t="shared" si="53"/>
        <v>9.1885804765860293</v>
      </c>
      <c r="AP82" s="34">
        <f t="shared" si="53"/>
        <v>2.803284544517922</v>
      </c>
      <c r="AQ82" s="34">
        <f t="shared" si="53"/>
        <v>0.86290145198389889</v>
      </c>
      <c r="AR82" s="34">
        <f t="shared" si="53"/>
        <v>3.3454892978512425</v>
      </c>
      <c r="AS82" s="34">
        <f t="shared" si="53"/>
        <v>0.59790423734905118</v>
      </c>
      <c r="AT82" s="34">
        <f t="shared" si="53"/>
        <v>3.9886725156467859</v>
      </c>
      <c r="AU82" s="34">
        <f t="shared" si="53"/>
        <v>0.88960285022366903</v>
      </c>
      <c r="AV82" s="34">
        <f t="shared" si="53"/>
        <v>2.4761798347634469</v>
      </c>
      <c r="AW82" s="34">
        <f t="shared" si="53"/>
        <v>0.36744190026099982</v>
      </c>
      <c r="AX82" s="34">
        <f t="shared" si="52"/>
        <v>2.4050482796626413</v>
      </c>
      <c r="AY82" s="37">
        <f t="shared" si="52"/>
        <v>0.33727226495112134</v>
      </c>
      <c r="AZ82" s="34">
        <f t="shared" si="52"/>
        <v>2.3701095876461569</v>
      </c>
      <c r="BA82" s="34">
        <f t="shared" si="52"/>
        <v>0.28781028368794326</v>
      </c>
      <c r="BB82" s="34"/>
      <c r="BC82" s="72">
        <f t="shared" si="52"/>
        <v>4.7429521276595743</v>
      </c>
      <c r="BD82" s="72">
        <f t="shared" si="52"/>
        <v>2.852437943262411</v>
      </c>
      <c r="BE82" s="34">
        <f t="shared" si="52"/>
        <v>0.8770632367740081</v>
      </c>
      <c r="BF82" s="34">
        <f t="shared" si="52"/>
        <v>0.21225782298255702</v>
      </c>
      <c r="BI82" s="39"/>
      <c r="BN82" s="34">
        <f>AVERAGE(BN77:BN81)</f>
        <v>3.2624541903266078</v>
      </c>
      <c r="BO82" s="34">
        <f>AVERAGE(BO77:BO81)</f>
        <v>1.5138592750533049</v>
      </c>
    </row>
    <row r="83" spans="1:70" x14ac:dyDescent="0.2">
      <c r="A83" s="103" t="s">
        <v>553</v>
      </c>
      <c r="B83" s="287"/>
      <c r="E83" s="34">
        <f t="shared" ref="E83:P83" si="54">E82</f>
        <v>47.682299999999998</v>
      </c>
      <c r="F83" s="34">
        <f t="shared" si="54"/>
        <v>0.58679080000000006</v>
      </c>
      <c r="G83" s="34">
        <f t="shared" si="54"/>
        <v>15.506830571209509</v>
      </c>
      <c r="H83" s="37">
        <f t="shared" si="54"/>
        <v>0.29944222892706535</v>
      </c>
      <c r="I83" s="34">
        <f t="shared" si="54"/>
        <v>14.155964951811384</v>
      </c>
      <c r="J83" s="37">
        <f t="shared" si="54"/>
        <v>0.1898787540549596</v>
      </c>
      <c r="K83" s="34">
        <f t="shared" si="54"/>
        <v>9.153037477151404</v>
      </c>
      <c r="L83" s="34">
        <f t="shared" si="54"/>
        <v>12.135264379643473</v>
      </c>
      <c r="M83" s="37">
        <f t="shared" si="54"/>
        <v>0.39760082298255706</v>
      </c>
      <c r="N83" s="37">
        <f t="shared" si="54"/>
        <v>7.7415239999999996E-2</v>
      </c>
      <c r="O83" s="37">
        <f t="shared" si="54"/>
        <v>0</v>
      </c>
      <c r="P83" s="34">
        <f t="shared" si="54"/>
        <v>0</v>
      </c>
      <c r="Q83" s="38">
        <f t="shared" si="37"/>
        <v>53.544641868090487</v>
      </c>
      <c r="R83" s="72"/>
      <c r="S83" s="72"/>
      <c r="T83" s="72">
        <f>T82</f>
        <v>32.462027685930607</v>
      </c>
      <c r="U83" s="35">
        <f>U82</f>
        <v>0</v>
      </c>
      <c r="V83" s="35">
        <f>V82</f>
        <v>2055.1972422486683</v>
      </c>
      <c r="W83" s="72"/>
      <c r="X83" s="72">
        <f>X82</f>
        <v>43.073270078589232</v>
      </c>
      <c r="Y83" s="35">
        <f>Y82</f>
        <v>103.03087861797968</v>
      </c>
      <c r="Z83" s="72"/>
      <c r="AA83" s="72"/>
      <c r="AB83" s="72"/>
      <c r="AC83" s="72"/>
      <c r="AD83" s="172">
        <f>AD82</f>
        <v>0</v>
      </c>
      <c r="AE83" s="35">
        <f>AE82</f>
        <v>112.28723404255318</v>
      </c>
      <c r="AF83" s="291">
        <f>1560*10^((LOG10(AU83/55.6)+LOG10(AV83/158.9))/2)</f>
        <v>24.632836716948475</v>
      </c>
      <c r="AG83" s="35">
        <f>AG82</f>
        <v>88.761524822695037</v>
      </c>
      <c r="AH83" s="35"/>
      <c r="AI83" s="35"/>
      <c r="AJ83" s="34">
        <f t="shared" ref="AJ83:AW83" si="55">AJ82</f>
        <v>0</v>
      </c>
      <c r="AK83" s="35">
        <f t="shared" si="55"/>
        <v>81.486702127659569</v>
      </c>
      <c r="AL83" s="34">
        <f t="shared" si="55"/>
        <v>6.0743344774295576</v>
      </c>
      <c r="AM83" s="34">
        <f t="shared" si="55"/>
        <v>15.927751221966647</v>
      </c>
      <c r="AN83" s="34">
        <f t="shared" si="55"/>
        <v>1.9595836536817899</v>
      </c>
      <c r="AO83" s="34">
        <f t="shared" si="55"/>
        <v>9.1885804765860293</v>
      </c>
      <c r="AP83" s="34">
        <f t="shared" si="55"/>
        <v>2.803284544517922</v>
      </c>
      <c r="AQ83" s="34">
        <f t="shared" si="55"/>
        <v>0.86290145198389889</v>
      </c>
      <c r="AR83" s="34">
        <f t="shared" si="55"/>
        <v>3.3454892978512425</v>
      </c>
      <c r="AS83" s="34">
        <f t="shared" si="55"/>
        <v>0.59790423734905118</v>
      </c>
      <c r="AT83" s="34">
        <f t="shared" si="55"/>
        <v>3.9886725156467859</v>
      </c>
      <c r="AU83" s="34">
        <f t="shared" si="55"/>
        <v>0.88960285022366903</v>
      </c>
      <c r="AV83" s="34">
        <f t="shared" si="55"/>
        <v>2.4761798347634469</v>
      </c>
      <c r="AW83" s="34">
        <f t="shared" si="55"/>
        <v>0.36744190026099982</v>
      </c>
      <c r="AX83" s="34">
        <f t="shared" ref="AX83:BF83" si="56">AX82</f>
        <v>2.4050482796626413</v>
      </c>
      <c r="AY83" s="37">
        <f t="shared" si="56"/>
        <v>0.33727226495112134</v>
      </c>
      <c r="AZ83" s="34">
        <f t="shared" si="56"/>
        <v>2.3701095876461569</v>
      </c>
      <c r="BA83" s="34">
        <f t="shared" si="56"/>
        <v>0.28781028368794326</v>
      </c>
      <c r="BB83" s="34"/>
      <c r="BC83" s="34">
        <f t="shared" si="56"/>
        <v>4.7429521276595743</v>
      </c>
      <c r="BD83" s="34">
        <f t="shared" si="56"/>
        <v>2.852437943262411</v>
      </c>
      <c r="BE83" s="34">
        <f t="shared" si="56"/>
        <v>0.8770632367740081</v>
      </c>
      <c r="BF83" s="34">
        <f t="shared" si="56"/>
        <v>0.21225782298255702</v>
      </c>
      <c r="BG83" s="39"/>
      <c r="BI83" s="39"/>
    </row>
    <row r="84" spans="1:70" x14ac:dyDescent="0.2">
      <c r="A84" s="103"/>
      <c r="B84" s="287"/>
      <c r="E84" s="34"/>
      <c r="F84" s="34"/>
      <c r="G84" s="34"/>
      <c r="H84" s="37"/>
      <c r="I84" s="34"/>
      <c r="J84" s="37"/>
      <c r="K84" s="34"/>
      <c r="L84" s="34"/>
      <c r="M84" s="37"/>
      <c r="N84" s="37"/>
      <c r="O84" s="37"/>
      <c r="P84" s="34"/>
      <c r="Q84" s="38" t="e">
        <f t="shared" si="37"/>
        <v>#DIV/0!</v>
      </c>
      <c r="R84" s="72"/>
      <c r="S84" s="72"/>
      <c r="T84" s="72"/>
      <c r="U84" s="35"/>
      <c r="V84" s="35"/>
      <c r="W84" s="72"/>
      <c r="X84" s="72"/>
      <c r="Y84" s="35"/>
      <c r="Z84" s="72"/>
      <c r="AA84" s="72"/>
      <c r="AB84" s="72"/>
      <c r="AC84" s="72"/>
      <c r="AD84" s="172"/>
      <c r="AE84" s="35"/>
      <c r="AF84" s="291"/>
      <c r="AG84" s="35"/>
      <c r="AH84" s="35"/>
      <c r="AI84" s="35"/>
      <c r="AJ84" s="34"/>
      <c r="AK84" s="35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7"/>
      <c r="AZ84" s="34"/>
      <c r="BA84" s="34"/>
      <c r="BB84" s="34"/>
      <c r="BC84" s="34"/>
      <c r="BD84" s="34"/>
      <c r="BE84" s="34"/>
      <c r="BF84" s="34"/>
      <c r="BG84" s="39"/>
      <c r="BI84" s="39"/>
    </row>
    <row r="85" spans="1:70" x14ac:dyDescent="0.2">
      <c r="A85" s="286" t="s">
        <v>275</v>
      </c>
      <c r="B85" s="735" t="s">
        <v>2191</v>
      </c>
      <c r="E85" s="34">
        <f>AVERAGE(E77,E79)</f>
        <v>47.682299999999998</v>
      </c>
      <c r="F85" s="34">
        <f t="shared" ref="F85:N85" si="57">AVERAGE(F77,F79)</f>
        <v>0.60197699999999998</v>
      </c>
      <c r="G85" s="34">
        <f t="shared" si="57"/>
        <v>15.567431382978722</v>
      </c>
      <c r="H85" s="34">
        <f t="shared" si="57"/>
        <v>0.30363671010638293</v>
      </c>
      <c r="I85" s="34">
        <f t="shared" si="57"/>
        <v>13.69517659574468</v>
      </c>
      <c r="J85" s="34">
        <f t="shared" si="57"/>
        <v>0.19029670810991919</v>
      </c>
      <c r="K85" s="34">
        <f t="shared" si="57"/>
        <v>9.1725936928785146</v>
      </c>
      <c r="L85" s="34">
        <f t="shared" si="57"/>
        <v>12.129405638297872</v>
      </c>
      <c r="M85" s="34">
        <f t="shared" si="57"/>
        <v>0.3716722765957447</v>
      </c>
      <c r="N85" s="34">
        <f t="shared" si="57"/>
        <v>8.541159999999999E-2</v>
      </c>
      <c r="O85" s="34"/>
      <c r="P85" s="34"/>
      <c r="Q85" s="38">
        <f t="shared" si="37"/>
        <v>54.419699975052843</v>
      </c>
      <c r="R85" s="72"/>
      <c r="S85" s="72"/>
      <c r="T85" s="34">
        <f t="shared" ref="T85:BF85" si="58">AVERAGE(T77,T79)</f>
        <v>32.359640957446807</v>
      </c>
      <c r="U85" s="34" t="e">
        <f t="shared" si="58"/>
        <v>#DIV/0!</v>
      </c>
      <c r="V85" s="34">
        <f t="shared" si="58"/>
        <v>2077.4268617021276</v>
      </c>
      <c r="W85" s="34" t="e">
        <f t="shared" si="58"/>
        <v>#DIV/0!</v>
      </c>
      <c r="X85" s="34">
        <f t="shared" si="58"/>
        <v>42.324468085106382</v>
      </c>
      <c r="Y85" s="34">
        <f t="shared" si="58"/>
        <v>103.71941489361703</v>
      </c>
      <c r="Z85" s="34">
        <f t="shared" si="58"/>
        <v>9.8000000000000007</v>
      </c>
      <c r="AA85" s="34" t="e">
        <f t="shared" si="58"/>
        <v>#DIV/0!</v>
      </c>
      <c r="AB85" s="34" t="e">
        <f t="shared" si="58"/>
        <v>#DIV/0!</v>
      </c>
      <c r="AC85" s="34" t="e">
        <f t="shared" si="58"/>
        <v>#DIV/0!</v>
      </c>
      <c r="AD85" s="34" t="e">
        <f t="shared" si="58"/>
        <v>#DIV/0!</v>
      </c>
      <c r="AE85" s="34">
        <f t="shared" si="58"/>
        <v>118.43085106382978</v>
      </c>
      <c r="AF85" s="34" t="e">
        <f t="shared" si="58"/>
        <v>#DIV/0!</v>
      </c>
      <c r="AG85" s="34">
        <f t="shared" si="58"/>
        <v>92.642287234042556</v>
      </c>
      <c r="AH85" s="34" t="e">
        <f t="shared" si="58"/>
        <v>#DIV/0!</v>
      </c>
      <c r="AI85" s="34" t="e">
        <f t="shared" si="58"/>
        <v>#DIV/0!</v>
      </c>
      <c r="AJ85" s="34" t="e">
        <f t="shared" si="58"/>
        <v>#DIV/0!</v>
      </c>
      <c r="AK85" s="34">
        <f t="shared" si="58"/>
        <v>73.730053191489361</v>
      </c>
      <c r="AL85" s="34">
        <f t="shared" si="58"/>
        <v>5.8658311170212762</v>
      </c>
      <c r="AM85" s="34">
        <f t="shared" si="58"/>
        <v>14.469015957446807</v>
      </c>
      <c r="AN85" s="34">
        <f t="shared" si="58"/>
        <v>1.8213887675765783</v>
      </c>
      <c r="AO85" s="34">
        <f t="shared" si="58"/>
        <v>8.375585938973364</v>
      </c>
      <c r="AP85" s="34">
        <f t="shared" si="58"/>
        <v>2.6647672872340422</v>
      </c>
      <c r="AQ85" s="34">
        <f t="shared" si="58"/>
        <v>0.82215425531914899</v>
      </c>
      <c r="AR85" s="34">
        <f t="shared" si="58"/>
        <v>3.1658143593839183</v>
      </c>
      <c r="AS85" s="34">
        <f t="shared" si="58"/>
        <v>0.56472739361702118</v>
      </c>
      <c r="AT85" s="34">
        <f t="shared" si="58"/>
        <v>3.745137332072682</v>
      </c>
      <c r="AU85" s="34">
        <f t="shared" si="58"/>
        <v>0.83169830095651465</v>
      </c>
      <c r="AV85" s="34">
        <f t="shared" si="58"/>
        <v>2.3041988639112971</v>
      </c>
      <c r="AW85" s="34">
        <f t="shared" si="58"/>
        <v>0.34019541991091989</v>
      </c>
      <c r="AX85" s="34">
        <f t="shared" si="58"/>
        <v>2.2146010638297868</v>
      </c>
      <c r="AY85" s="34">
        <f t="shared" si="58"/>
        <v>0.31100398936170215</v>
      </c>
      <c r="AZ85" s="34">
        <f t="shared" si="58"/>
        <v>2.1980119680851065</v>
      </c>
      <c r="BA85" s="34">
        <f t="shared" si="58"/>
        <v>0.2617154255319149</v>
      </c>
      <c r="BB85" s="34" t="e">
        <f t="shared" si="58"/>
        <v>#DIV/0!</v>
      </c>
      <c r="BC85" s="34">
        <f t="shared" si="58"/>
        <v>4.0144281914893618</v>
      </c>
      <c r="BD85" s="34">
        <f t="shared" si="58"/>
        <v>2.7786569148936171</v>
      </c>
      <c r="BE85" s="34">
        <f t="shared" si="58"/>
        <v>0.83345079787234044</v>
      </c>
      <c r="BF85" s="34">
        <f t="shared" si="58"/>
        <v>0.21514627659574467</v>
      </c>
      <c r="BG85" s="39"/>
      <c r="BI85" s="39"/>
    </row>
    <row r="86" spans="1:70" x14ac:dyDescent="0.2">
      <c r="A86" s="103"/>
      <c r="B86" s="287"/>
      <c r="E86" s="34"/>
      <c r="F86" s="34"/>
      <c r="G86" s="34"/>
      <c r="H86" s="37"/>
      <c r="I86" s="34"/>
      <c r="J86" s="37"/>
      <c r="K86" s="34"/>
      <c r="L86" s="34"/>
      <c r="M86" s="37"/>
      <c r="N86" s="37"/>
      <c r="O86" s="37"/>
      <c r="P86" s="34"/>
      <c r="Q86" s="38" t="e">
        <f t="shared" si="37"/>
        <v>#DIV/0!</v>
      </c>
      <c r="R86" s="72"/>
      <c r="S86" s="72"/>
      <c r="T86" s="72"/>
      <c r="U86" s="35"/>
      <c r="V86" s="35"/>
      <c r="W86" s="72"/>
      <c r="X86" s="72"/>
      <c r="Y86" s="35"/>
      <c r="Z86" s="72"/>
      <c r="AA86" s="72"/>
      <c r="AB86" s="72"/>
      <c r="AC86" s="72"/>
      <c r="AD86" s="172"/>
      <c r="AE86" s="35"/>
      <c r="AF86" s="291"/>
      <c r="AG86" s="35"/>
      <c r="AH86" s="35"/>
      <c r="AI86" s="35"/>
      <c r="AJ86" s="34"/>
      <c r="AK86" s="35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7"/>
      <c r="AZ86" s="34"/>
      <c r="BA86" s="34"/>
      <c r="BB86" s="34"/>
      <c r="BC86" s="34"/>
      <c r="BD86" s="34"/>
      <c r="BE86" s="34"/>
      <c r="BF86" s="34"/>
      <c r="BG86" s="39"/>
      <c r="BI86" s="39"/>
    </row>
    <row r="87" spans="1:70" x14ac:dyDescent="0.2">
      <c r="A87" s="286"/>
      <c r="B87" s="287"/>
      <c r="Q87" s="38" t="e">
        <f t="shared" si="37"/>
        <v>#DIV/0!</v>
      </c>
      <c r="S87" s="39"/>
      <c r="W87" s="38"/>
      <c r="Z87" s="39"/>
      <c r="AA87" s="39"/>
      <c r="AB87" s="39"/>
      <c r="AC87" s="39"/>
      <c r="AD87" s="39"/>
      <c r="AT87" s="49"/>
      <c r="AU87" s="49"/>
      <c r="AV87" s="49"/>
      <c r="AW87" s="49"/>
      <c r="BG87" s="39"/>
      <c r="BI87" s="39"/>
    </row>
    <row r="88" spans="1:70" x14ac:dyDescent="0.2">
      <c r="A88" s="290" t="s">
        <v>453</v>
      </c>
      <c r="B88" s="287"/>
      <c r="C88" s="50" t="s">
        <v>480</v>
      </c>
      <c r="F88" s="148">
        <v>0.63</v>
      </c>
      <c r="G88" s="148">
        <f>-1.554*I88+37.4</f>
        <v>18.539207694572575</v>
      </c>
      <c r="H88" s="49">
        <f>V88*1.4616/10000</f>
        <v>0.27995748050642849</v>
      </c>
      <c r="I88" s="38">
        <v>12.136931985474533</v>
      </c>
      <c r="J88" s="127">
        <f>I88/BL$106</f>
        <v>0.16895201531044424</v>
      </c>
      <c r="K88" s="148">
        <f>I88*(($V88/$T88)*0.00642+0.246)</f>
        <v>8.9984244017405501</v>
      </c>
      <c r="L88" s="38">
        <v>13.041230739032288</v>
      </c>
      <c r="M88" s="49">
        <v>0.41606850525076061</v>
      </c>
      <c r="Q88" s="38">
        <f t="shared" si="37"/>
        <v>56.92693346613207</v>
      </c>
      <c r="T88" s="38">
        <v>24.82190597703406</v>
      </c>
      <c r="V88" s="76">
        <v>1915.4179016586513</v>
      </c>
      <c r="X88" s="39">
        <v>39.600245362645985</v>
      </c>
      <c r="Y88" s="76">
        <v>151.95652173913041</v>
      </c>
      <c r="Z88" s="46"/>
      <c r="AA88" s="46"/>
      <c r="AB88" s="46"/>
      <c r="AC88" s="46"/>
      <c r="AD88" s="39">
        <v>1.1189027382471293</v>
      </c>
      <c r="AE88" s="76">
        <v>123.52929629993127</v>
      </c>
      <c r="AF88" s="76"/>
      <c r="AG88" s="76">
        <v>107.30150161939345</v>
      </c>
      <c r="AH88" s="76"/>
      <c r="AI88" s="76"/>
      <c r="AJ88" s="38">
        <v>4.256403965060359E-2</v>
      </c>
      <c r="AK88" s="76">
        <v>84.61968789871429</v>
      </c>
      <c r="AL88" s="38">
        <v>7.0381430954951414</v>
      </c>
      <c r="AM88" s="39">
        <v>19.434758072431052</v>
      </c>
      <c r="AN88" s="199">
        <f>89.1*EXP((LN(AL88/234.7)+2*LN(AO88/452.4))/3)</f>
        <v>2.4474773880499727</v>
      </c>
      <c r="AO88" s="76">
        <v>11.893551869663362</v>
      </c>
      <c r="AP88" s="38">
        <v>3.3647168515065267</v>
      </c>
      <c r="AQ88" s="38">
        <v>0.90736137010501516</v>
      </c>
      <c r="AR88" s="200">
        <f>AVERAGE(BP88:BR88)</f>
        <v>3.9741747237022373</v>
      </c>
      <c r="AS88" s="38">
        <v>0.69212876631661613</v>
      </c>
      <c r="AT88" s="200">
        <f>(242.7*10^((4*LOG10(AS88/36.3)+LOG10(AX88/162.5))/5)+242.7*10^((4*LOG10(AP88/147.1)+4*LOG10(AX88/162.5))/8))/2</f>
        <v>4.5108398551590341</v>
      </c>
      <c r="AU88" s="200">
        <f>(55.6*10^((3*LOG10(AS88/36.3)+2*LOG10(AX88/162.5))/5)+55.6*10^((3*LOG10(AP88/147.1)+5*LOG10(AX88/162.5))/8))/2</f>
        <v>0.98844176253234384</v>
      </c>
      <c r="AV88" s="200">
        <f>(158.9*10^((2*LOG10(AS88/36.3)+3*LOG10(AX88/162.5))/5)+158.9*10^((2*LOG10(AP88/147.1)+6*LOG10(AX88/162.5))/8))/2</f>
        <v>2.7020598779767275</v>
      </c>
      <c r="AW88" s="201">
        <f>(24.2*10^((LOG10(AS88/36.3)+4*LOG10(AX88/162.5))/5)+24.2*10^((LOG10(AP88/147.1)+7*LOG10(AX88/162.5))/8))/2</f>
        <v>0.39362921966910969</v>
      </c>
      <c r="AX88" s="49">
        <v>2.5283217195014234</v>
      </c>
      <c r="AY88" s="49">
        <v>0.35259206006477578</v>
      </c>
      <c r="AZ88" s="38">
        <v>2.6267607223476293</v>
      </c>
      <c r="BA88" s="38">
        <v>0.37266705329276667</v>
      </c>
      <c r="BB88" s="38"/>
      <c r="BC88" s="39">
        <v>3.6462553118607341</v>
      </c>
      <c r="BD88" s="39">
        <v>1.6906222396702326</v>
      </c>
      <c r="BE88" s="38">
        <v>1.1129894984787516</v>
      </c>
      <c r="BF88" s="38">
        <v>0.29976788693689277</v>
      </c>
      <c r="BI88" s="39">
        <f>V88/T88</f>
        <v>77.166431273684253</v>
      </c>
      <c r="BL88" s="76"/>
      <c r="BO88" s="49"/>
      <c r="BP88" s="116">
        <f>196.6*10^(LOG10(AP88/147.1)+(LOG10(AP88/147.1)-LOG10(AL88/234.7))*0.4)</f>
        <v>4.0352988448306242</v>
      </c>
      <c r="BQ88" s="116">
        <f>196.6*10^(LOG10(AP88/147.1)+0.6666*(LOG10(AS88/36.3)-LOG10(AP88/147.1)))</f>
        <v>3.9830973149755367</v>
      </c>
      <c r="BR88" s="116">
        <f>196.6*10^(LOG10(AS88/36.3)-(LOG10(AX88/162.5)-LOG10(AS88/36.3))/5)</f>
        <v>3.9041280113005508</v>
      </c>
    </row>
    <row r="89" spans="1:70" x14ac:dyDescent="0.2">
      <c r="A89" s="290" t="s">
        <v>453</v>
      </c>
      <c r="B89" s="287"/>
      <c r="C89" s="50" t="s">
        <v>480</v>
      </c>
      <c r="D89" s="38">
        <f>SUM(E89:O89)</f>
        <v>99.826430027392604</v>
      </c>
      <c r="E89" s="38">
        <v>45.90140644385356</v>
      </c>
      <c r="F89" s="38">
        <v>0.55745472547522301</v>
      </c>
      <c r="G89" s="38">
        <v>19.647945832626036</v>
      </c>
      <c r="H89" s="49">
        <v>0.27077273687659409</v>
      </c>
      <c r="I89" s="38">
        <v>11.361347339365473</v>
      </c>
      <c r="J89" s="49">
        <v>0.15236186478802219</v>
      </c>
      <c r="K89" s="38">
        <v>8.1207287435483959</v>
      </c>
      <c r="L89" s="38">
        <v>13.322827020653527</v>
      </c>
      <c r="M89" s="49">
        <v>0.36705894430172975</v>
      </c>
      <c r="N89" s="49">
        <v>7.1792034366955831E-2</v>
      </c>
      <c r="O89" s="49">
        <v>5.2734341537074472E-2</v>
      </c>
      <c r="Q89" s="38">
        <f t="shared" si="37"/>
        <v>56.027472986736171</v>
      </c>
      <c r="T89" s="38"/>
      <c r="V89" s="76">
        <f>H89*6842</f>
        <v>1852.6270657096568</v>
      </c>
      <c r="Z89" s="46"/>
      <c r="AA89" s="46"/>
      <c r="AB89" s="46"/>
      <c r="AC89" s="46"/>
      <c r="AD89" s="76"/>
      <c r="AE89" s="76"/>
      <c r="AF89" s="76"/>
      <c r="AG89" s="76"/>
      <c r="AH89" s="76"/>
      <c r="AI89" s="76"/>
      <c r="AL89" s="38"/>
      <c r="AM89" s="39"/>
      <c r="AN89" s="39"/>
      <c r="AO89" s="76"/>
      <c r="AP89" s="38"/>
      <c r="AQ89" s="38"/>
      <c r="AR89" s="38"/>
      <c r="AS89" s="38"/>
      <c r="AX89" s="49"/>
      <c r="AZ89" s="38"/>
      <c r="BA89" s="38"/>
      <c r="BB89" s="38"/>
      <c r="BC89" s="39"/>
      <c r="BD89" s="39"/>
      <c r="BE89" s="38"/>
      <c r="BF89" s="38"/>
      <c r="BI89" s="39"/>
      <c r="BJ89" s="49">
        <f>K89/I89</f>
        <v>0.71476810812844449</v>
      </c>
      <c r="BL89" s="76">
        <f>I89/J89</f>
        <v>74.568182498765509</v>
      </c>
      <c r="BO89" s="49"/>
    </row>
    <row r="90" spans="1:70" x14ac:dyDescent="0.2">
      <c r="A90" s="290" t="s">
        <v>453</v>
      </c>
      <c r="B90" s="287">
        <v>241</v>
      </c>
      <c r="C90" s="50" t="s">
        <v>946</v>
      </c>
      <c r="D90" s="38">
        <f>SUM(E90:O90)</f>
        <v>98.589900199999988</v>
      </c>
      <c r="E90" s="38">
        <f>21.7*2.1393</f>
        <v>46.422809999999998</v>
      </c>
      <c r="F90" s="38">
        <f>0.35*1.6683</f>
        <v>0.5839049999999999</v>
      </c>
      <c r="G90" s="38">
        <f>9.51*1.8895</f>
        <v>17.969144999999997</v>
      </c>
      <c r="H90" s="49">
        <f>V90*1.4616/10000</f>
        <v>0.2645496</v>
      </c>
      <c r="I90" s="38">
        <f>9.15*1.2865</f>
        <v>11.771475000000001</v>
      </c>
      <c r="J90" s="49">
        <f>0.118*1.2912</f>
        <v>0.15236159999999999</v>
      </c>
      <c r="K90" s="38">
        <f>5.1*1.6583</f>
        <v>8.4573300000000007</v>
      </c>
      <c r="L90" s="38">
        <f>8.92*1.3992</f>
        <v>12.480864</v>
      </c>
      <c r="M90" s="49">
        <f>0.308*1.348</f>
        <v>0.415184</v>
      </c>
      <c r="N90" s="49">
        <f>0.06*1.2046</f>
        <v>7.2275999999999993E-2</v>
      </c>
      <c r="Q90" s="38">
        <f t="shared" si="37"/>
        <v>56.154346838579073</v>
      </c>
      <c r="T90" s="38">
        <v>26.4</v>
      </c>
      <c r="U90" s="76">
        <v>72</v>
      </c>
      <c r="V90" s="76">
        <v>1810</v>
      </c>
      <c r="X90" s="39">
        <v>39.700000000000003</v>
      </c>
      <c r="Y90" s="76">
        <v>159</v>
      </c>
      <c r="Z90" s="46"/>
      <c r="AA90" s="46"/>
      <c r="AB90" s="46"/>
      <c r="AC90" s="46"/>
      <c r="AD90" s="76"/>
      <c r="AE90" s="76">
        <v>95</v>
      </c>
      <c r="AF90" s="76"/>
      <c r="AG90" s="76">
        <v>80</v>
      </c>
      <c r="AH90" s="76"/>
      <c r="AI90" s="76" t="s">
        <v>879</v>
      </c>
      <c r="AJ90" s="38">
        <v>0.1</v>
      </c>
      <c r="AK90" s="76">
        <v>101</v>
      </c>
      <c r="AL90" s="38">
        <v>7.7</v>
      </c>
      <c r="AM90" s="39">
        <v>19.100000000000001</v>
      </c>
      <c r="AN90" s="199">
        <f>89.1*EXP((LN(AL90/234.7)+2*LN(AO90/452.4))/3)</f>
        <v>2.5930027369141735</v>
      </c>
      <c r="AO90" s="76">
        <v>12.4</v>
      </c>
      <c r="AP90" s="38">
        <v>3.6</v>
      </c>
      <c r="AQ90" s="38">
        <v>0.99</v>
      </c>
      <c r="AR90" s="200">
        <f>AVERAGE(BP90:BR90)</f>
        <v>4.331420127889527</v>
      </c>
      <c r="AS90" s="38">
        <v>0.77</v>
      </c>
      <c r="AT90" s="50">
        <v>5.3</v>
      </c>
      <c r="AU90" s="50">
        <v>0.99</v>
      </c>
      <c r="AX90" s="49">
        <v>2.82</v>
      </c>
      <c r="AY90" s="49">
        <v>0.39500000000000002</v>
      </c>
      <c r="AZ90" s="38">
        <v>2.93</v>
      </c>
      <c r="BA90" s="38">
        <v>0.35199999999999998</v>
      </c>
      <c r="BB90" s="38"/>
      <c r="BC90" s="39">
        <v>4.5</v>
      </c>
      <c r="BD90" s="39">
        <v>2.2999999999999998</v>
      </c>
      <c r="BE90" s="38">
        <v>1.03</v>
      </c>
      <c r="BF90" s="38">
        <v>0.19</v>
      </c>
      <c r="BG90" s="76">
        <v>241</v>
      </c>
      <c r="BI90" s="39">
        <f>V90/T90</f>
        <v>68.560606060606062</v>
      </c>
      <c r="BJ90" s="49">
        <f>K90/I90</f>
        <v>0.71845966626952018</v>
      </c>
      <c r="BL90" s="76">
        <f>I90/J90</f>
        <v>77.260116722323744</v>
      </c>
      <c r="BO90" s="49"/>
      <c r="BP90" s="116">
        <f>196.6*10^(LOG10(AP90/147.1)+(LOG10(AP90/147.1)-LOG10(AL90/234.7))*0.4)</f>
        <v>4.2791569774545941</v>
      </c>
      <c r="BQ90" s="116">
        <f>196.6*10^(LOG10(AP90/147.1)+0.6666*(LOG10(AS90/36.3)-LOG10(AP90/147.1)))</f>
        <v>4.3739484806550637</v>
      </c>
      <c r="BR90" s="116">
        <f>196.6*10^(LOG10(AS90/36.3)-(LOG10(AX90/162.5)-LOG10(AS90/36.3))/5)</f>
        <v>4.3411549255589259</v>
      </c>
    </row>
    <row r="91" spans="1:70" x14ac:dyDescent="0.2">
      <c r="A91" s="290" t="s">
        <v>453</v>
      </c>
      <c r="B91" s="287"/>
      <c r="C91" s="2" t="s">
        <v>692</v>
      </c>
      <c r="D91" s="38">
        <f>SUM(E91:O91)</f>
        <v>98.91</v>
      </c>
      <c r="E91" s="38">
        <v>45.46</v>
      </c>
      <c r="F91" s="38">
        <v>0.78</v>
      </c>
      <c r="G91" s="38">
        <v>17.309999999999999</v>
      </c>
      <c r="H91" s="49">
        <v>0.26</v>
      </c>
      <c r="I91" s="38">
        <v>13.07</v>
      </c>
      <c r="J91" s="49">
        <v>0.15</v>
      </c>
      <c r="K91" s="38">
        <v>9.3000000000000007</v>
      </c>
      <c r="L91" s="38">
        <v>12.09</v>
      </c>
      <c r="M91" s="49">
        <v>0.42</v>
      </c>
      <c r="N91" s="49">
        <v>7.0000000000000007E-2</v>
      </c>
      <c r="Q91" s="38">
        <f t="shared" si="37"/>
        <v>55.916380412664367</v>
      </c>
      <c r="T91" s="38"/>
      <c r="V91" s="76"/>
      <c r="Z91" s="46"/>
      <c r="AA91" s="46"/>
      <c r="AB91" s="46"/>
      <c r="AC91" s="46"/>
      <c r="AD91" s="76"/>
      <c r="AE91" s="76"/>
      <c r="AF91" s="76"/>
      <c r="AG91" s="76"/>
      <c r="AH91" s="76"/>
      <c r="AI91" s="76"/>
      <c r="AL91" s="38"/>
      <c r="AM91" s="39"/>
      <c r="AN91" s="39"/>
      <c r="AO91" s="76"/>
      <c r="AP91" s="38"/>
      <c r="AQ91" s="38"/>
      <c r="AR91" s="38"/>
      <c r="AS91" s="38"/>
      <c r="AX91" s="49"/>
      <c r="AZ91" s="38"/>
      <c r="BA91" s="38"/>
      <c r="BB91" s="38"/>
      <c r="BC91" s="39"/>
      <c r="BD91" s="39"/>
      <c r="BE91" s="38"/>
      <c r="BF91" s="38"/>
      <c r="BG91" s="50">
        <v>254</v>
      </c>
      <c r="BI91" s="39"/>
      <c r="BJ91" s="49">
        <f>K91/I91</f>
        <v>0.71155317521040551</v>
      </c>
      <c r="BL91" s="76">
        <f>I91/J91</f>
        <v>87.13333333333334</v>
      </c>
      <c r="BO91" s="49"/>
    </row>
    <row r="92" spans="1:70" x14ac:dyDescent="0.2">
      <c r="A92" s="290" t="s">
        <v>453</v>
      </c>
      <c r="B92" s="287"/>
      <c r="C92" s="50" t="s">
        <v>699</v>
      </c>
      <c r="D92" s="38">
        <f>SUM(E92:O92)</f>
        <v>99.7</v>
      </c>
      <c r="E92" s="38">
        <v>44.88</v>
      </c>
      <c r="F92" s="38">
        <v>0.71</v>
      </c>
      <c r="G92" s="38">
        <v>18.440000000000001</v>
      </c>
      <c r="H92" s="49">
        <v>0.26</v>
      </c>
      <c r="I92" s="38">
        <v>12.43</v>
      </c>
      <c r="J92" s="49">
        <v>0.2</v>
      </c>
      <c r="K92" s="38">
        <v>9.42</v>
      </c>
      <c r="L92" s="38">
        <v>12.85</v>
      </c>
      <c r="M92" s="49">
        <v>0.34</v>
      </c>
      <c r="N92" s="49">
        <v>0.04</v>
      </c>
      <c r="O92" s="49">
        <v>0.13</v>
      </c>
      <c r="Q92" s="38">
        <f t="shared" si="37"/>
        <v>57.463719256637326</v>
      </c>
      <c r="R92" s="49"/>
      <c r="S92" s="39"/>
      <c r="T92" s="38"/>
      <c r="V92" s="76">
        <f>H92*6842</f>
        <v>1778.92</v>
      </c>
      <c r="W92" s="38"/>
      <c r="Z92" s="39"/>
      <c r="AA92" s="39"/>
      <c r="AB92" s="39"/>
      <c r="AC92" s="39"/>
      <c r="AD92" s="39"/>
      <c r="AE92" s="76"/>
      <c r="AF92" s="76"/>
      <c r="AG92" s="76"/>
      <c r="AH92" s="76"/>
      <c r="AI92" s="76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Z92" s="38"/>
      <c r="BA92" s="38"/>
      <c r="BB92" s="38"/>
      <c r="BC92" s="39"/>
      <c r="BD92" s="39"/>
      <c r="BE92" s="38"/>
      <c r="BF92" s="38"/>
      <c r="BG92" s="39"/>
      <c r="BI92" s="39"/>
      <c r="BJ92" s="49">
        <f>K92/I92</f>
        <v>0.75784392598551886</v>
      </c>
      <c r="BL92" s="76">
        <f>I92/J92</f>
        <v>62.15</v>
      </c>
    </row>
    <row r="93" spans="1:70" s="36" customFormat="1" x14ac:dyDescent="0.2">
      <c r="A93" s="103" t="s">
        <v>678</v>
      </c>
      <c r="B93" s="177" t="s">
        <v>279</v>
      </c>
      <c r="D93" s="38">
        <f>SUM(E93:O93)</f>
        <v>99.448155136228195</v>
      </c>
      <c r="E93" s="34">
        <f>AVERAGE(E88:E92)</f>
        <v>45.666054110963387</v>
      </c>
      <c r="F93" s="34">
        <f t="shared" ref="F93:BF93" si="59">AVERAGE(F88:F92)</f>
        <v>0.65227194509504449</v>
      </c>
      <c r="G93" s="34">
        <f t="shared" si="59"/>
        <v>18.381259705439721</v>
      </c>
      <c r="H93" s="37">
        <f t="shared" si="59"/>
        <v>0.26705596347660454</v>
      </c>
      <c r="I93" s="34">
        <f t="shared" si="59"/>
        <v>12.153950864968001</v>
      </c>
      <c r="J93" s="37">
        <f t="shared" si="59"/>
        <v>0.1647350960196933</v>
      </c>
      <c r="K93" s="34">
        <f t="shared" si="59"/>
        <v>8.8592966290577895</v>
      </c>
      <c r="L93" s="34">
        <f t="shared" si="59"/>
        <v>12.756984351937165</v>
      </c>
      <c r="M93" s="37">
        <f t="shared" si="59"/>
        <v>0.39166228991049806</v>
      </c>
      <c r="N93" s="37">
        <f t="shared" si="59"/>
        <v>6.3517008591738949E-2</v>
      </c>
      <c r="O93" s="37">
        <f t="shared" si="59"/>
        <v>9.1367170768537231E-2</v>
      </c>
      <c r="P93" s="36" t="e">
        <f t="shared" si="59"/>
        <v>#DIV/0!</v>
      </c>
      <c r="Q93" s="38">
        <f t="shared" si="37"/>
        <v>56.510017597066188</v>
      </c>
      <c r="T93" s="36">
        <f t="shared" si="59"/>
        <v>25.610952988517028</v>
      </c>
      <c r="U93" s="35">
        <f t="shared" si="59"/>
        <v>72</v>
      </c>
      <c r="V93" s="36">
        <f t="shared" si="59"/>
        <v>1839.241241842077</v>
      </c>
      <c r="X93" s="72">
        <f t="shared" si="59"/>
        <v>39.650122681322998</v>
      </c>
      <c r="Y93" s="35">
        <f t="shared" si="59"/>
        <v>155.47826086956519</v>
      </c>
      <c r="Z93" s="36" t="e">
        <f t="shared" si="59"/>
        <v>#DIV/0!</v>
      </c>
      <c r="AD93" s="36">
        <f t="shared" si="59"/>
        <v>1.1189027382471293</v>
      </c>
      <c r="AE93" s="36">
        <f t="shared" si="59"/>
        <v>109.26464814996564</v>
      </c>
      <c r="AG93" s="35">
        <f t="shared" si="59"/>
        <v>93.650750809696717</v>
      </c>
      <c r="AH93" s="35"/>
      <c r="AI93" s="35"/>
      <c r="AJ93" s="34">
        <f t="shared" si="59"/>
        <v>7.1282019825301801E-2</v>
      </c>
      <c r="AK93" s="35">
        <f t="shared" si="59"/>
        <v>92.809843949357145</v>
      </c>
      <c r="AL93" s="34">
        <f t="shared" si="59"/>
        <v>7.3690715477475708</v>
      </c>
      <c r="AM93" s="34">
        <f t="shared" ref="AM93:AW93" si="60">AVERAGE(AM88:AM92)</f>
        <v>19.267379036215527</v>
      </c>
      <c r="AN93" s="34">
        <f t="shared" si="60"/>
        <v>2.5202400624820731</v>
      </c>
      <c r="AO93" s="34">
        <f t="shared" si="60"/>
        <v>12.14677593483168</v>
      </c>
      <c r="AP93" s="34">
        <f t="shared" si="60"/>
        <v>3.4823584257532634</v>
      </c>
      <c r="AQ93" s="34">
        <f t="shared" si="60"/>
        <v>0.94868068505250758</v>
      </c>
      <c r="AR93" s="34">
        <f t="shared" si="60"/>
        <v>4.1527974257958817</v>
      </c>
      <c r="AS93" s="34">
        <f t="shared" si="60"/>
        <v>0.73106438315830813</v>
      </c>
      <c r="AT93" s="34">
        <f t="shared" si="60"/>
        <v>4.9054199275795174</v>
      </c>
      <c r="AU93" s="34">
        <f t="shared" si="60"/>
        <v>0.98922088126617191</v>
      </c>
      <c r="AV93" s="34">
        <f t="shared" si="60"/>
        <v>2.7020598779767275</v>
      </c>
      <c r="AW93" s="34">
        <f t="shared" si="60"/>
        <v>0.39362921966910969</v>
      </c>
      <c r="AX93" s="36">
        <f t="shared" si="59"/>
        <v>2.6741608597507116</v>
      </c>
      <c r="AY93" s="37">
        <f t="shared" si="59"/>
        <v>0.37379603003238793</v>
      </c>
      <c r="AZ93" s="36">
        <f t="shared" si="59"/>
        <v>2.7783803611738147</v>
      </c>
      <c r="BA93" s="36">
        <f t="shared" si="59"/>
        <v>0.3623335266463833</v>
      </c>
      <c r="BC93" s="36">
        <f t="shared" si="59"/>
        <v>4.0731276559303673</v>
      </c>
      <c r="BD93" s="36">
        <f t="shared" si="59"/>
        <v>1.9953111198351161</v>
      </c>
      <c r="BE93" s="36">
        <f t="shared" si="59"/>
        <v>1.0714947492393758</v>
      </c>
      <c r="BF93" s="36">
        <f t="shared" si="59"/>
        <v>0.24488394346844639</v>
      </c>
      <c r="BG93" s="72"/>
      <c r="BI93" s="72"/>
      <c r="BJ93" s="37"/>
      <c r="BK93" s="37"/>
      <c r="BL93" s="72"/>
    </row>
    <row r="94" spans="1:70" x14ac:dyDescent="0.2">
      <c r="A94" s="103" t="s">
        <v>553</v>
      </c>
      <c r="B94" s="287"/>
      <c r="E94" s="34">
        <f t="shared" ref="E94:P94" si="61">E93</f>
        <v>45.666054110963387</v>
      </c>
      <c r="F94" s="34">
        <f t="shared" si="61"/>
        <v>0.65227194509504449</v>
      </c>
      <c r="G94" s="34">
        <f t="shared" si="61"/>
        <v>18.381259705439721</v>
      </c>
      <c r="H94" s="37">
        <f t="shared" si="61"/>
        <v>0.26705596347660454</v>
      </c>
      <c r="I94" s="34">
        <f t="shared" si="61"/>
        <v>12.153950864968001</v>
      </c>
      <c r="J94" s="37">
        <f t="shared" si="61"/>
        <v>0.1647350960196933</v>
      </c>
      <c r="K94" s="34">
        <f t="shared" si="61"/>
        <v>8.8592966290577895</v>
      </c>
      <c r="L94" s="34">
        <f t="shared" si="61"/>
        <v>12.756984351937165</v>
      </c>
      <c r="M94" s="37">
        <f t="shared" si="61"/>
        <v>0.39166228991049806</v>
      </c>
      <c r="N94" s="37">
        <f t="shared" si="61"/>
        <v>6.3517008591738949E-2</v>
      </c>
      <c r="O94" s="37">
        <f t="shared" si="61"/>
        <v>9.1367170768537231E-2</v>
      </c>
      <c r="P94" s="34" t="e">
        <f t="shared" si="61"/>
        <v>#DIV/0!</v>
      </c>
      <c r="Q94" s="38">
        <f t="shared" si="37"/>
        <v>56.510017597066188</v>
      </c>
      <c r="R94" s="72"/>
      <c r="S94" s="72"/>
      <c r="T94" s="72">
        <f>T93</f>
        <v>25.610952988517028</v>
      </c>
      <c r="U94" s="35">
        <f>U93</f>
        <v>72</v>
      </c>
      <c r="V94" s="35">
        <f>V93</f>
        <v>1839.241241842077</v>
      </c>
      <c r="W94" s="72"/>
      <c r="X94" s="72">
        <f>X93</f>
        <v>39.650122681322998</v>
      </c>
      <c r="Y94" s="35">
        <f>Y93</f>
        <v>155.47826086956519</v>
      </c>
      <c r="Z94" s="72"/>
      <c r="AA94" s="72"/>
      <c r="AB94" s="72"/>
      <c r="AC94" s="72"/>
      <c r="AD94" s="172">
        <f>AD93</f>
        <v>1.1189027382471293</v>
      </c>
      <c r="AE94" s="35">
        <f>AE93</f>
        <v>109.26464814996564</v>
      </c>
      <c r="AF94" s="291">
        <f>1560*10^((LOG10(AU94/55.6)+LOG10(AV94/158.9))/2)</f>
        <v>27.13434708889319</v>
      </c>
      <c r="AG94" s="35">
        <f>AG93</f>
        <v>93.650750809696717</v>
      </c>
      <c r="AH94" s="35"/>
      <c r="AI94" s="35"/>
      <c r="AJ94" s="34">
        <f t="shared" ref="AJ94:AW94" si="62">AJ93</f>
        <v>7.1282019825301801E-2</v>
      </c>
      <c r="AK94" s="35">
        <f t="shared" si="62"/>
        <v>92.809843949357145</v>
      </c>
      <c r="AL94" s="34">
        <f t="shared" si="62"/>
        <v>7.3690715477475708</v>
      </c>
      <c r="AM94" s="34">
        <f t="shared" si="62"/>
        <v>19.267379036215527</v>
      </c>
      <c r="AN94" s="34">
        <f t="shared" si="62"/>
        <v>2.5202400624820731</v>
      </c>
      <c r="AO94" s="34">
        <f t="shared" si="62"/>
        <v>12.14677593483168</v>
      </c>
      <c r="AP94" s="34">
        <f t="shared" si="62"/>
        <v>3.4823584257532634</v>
      </c>
      <c r="AQ94" s="34">
        <f t="shared" si="62"/>
        <v>0.94868068505250758</v>
      </c>
      <c r="AR94" s="34">
        <f t="shared" si="62"/>
        <v>4.1527974257958817</v>
      </c>
      <c r="AS94" s="34">
        <f t="shared" si="62"/>
        <v>0.73106438315830813</v>
      </c>
      <c r="AT94" s="34">
        <f t="shared" si="62"/>
        <v>4.9054199275795174</v>
      </c>
      <c r="AU94" s="34">
        <f t="shared" si="62"/>
        <v>0.98922088126617191</v>
      </c>
      <c r="AV94" s="34">
        <f t="shared" si="62"/>
        <v>2.7020598779767275</v>
      </c>
      <c r="AW94" s="34">
        <f t="shared" si="62"/>
        <v>0.39362921966910969</v>
      </c>
      <c r="AX94" s="34">
        <f t="shared" ref="AX94:BF94" si="63">AX93</f>
        <v>2.6741608597507116</v>
      </c>
      <c r="AY94" s="37">
        <f t="shared" si="63"/>
        <v>0.37379603003238793</v>
      </c>
      <c r="AZ94" s="34">
        <f t="shared" si="63"/>
        <v>2.7783803611738147</v>
      </c>
      <c r="BA94" s="34">
        <f t="shared" si="63"/>
        <v>0.3623335266463833</v>
      </c>
      <c r="BB94" s="34"/>
      <c r="BC94" s="34">
        <f t="shared" si="63"/>
        <v>4.0731276559303673</v>
      </c>
      <c r="BD94" s="34">
        <f t="shared" si="63"/>
        <v>1.9953111198351161</v>
      </c>
      <c r="BE94" s="34">
        <f t="shared" si="63"/>
        <v>1.0714947492393758</v>
      </c>
      <c r="BF94" s="34">
        <f t="shared" si="63"/>
        <v>0.24488394346844639</v>
      </c>
      <c r="BG94" s="39"/>
    </row>
    <row r="95" spans="1:70" x14ac:dyDescent="0.2">
      <c r="A95" s="286"/>
      <c r="B95" s="287"/>
      <c r="Q95" s="38" t="e">
        <f t="shared" si="37"/>
        <v>#DIV/0!</v>
      </c>
      <c r="R95" s="49"/>
      <c r="S95" s="39"/>
      <c r="T95" s="38"/>
      <c r="V95" s="76"/>
      <c r="W95" s="38"/>
      <c r="Z95" s="39"/>
      <c r="AA95" s="39"/>
      <c r="AB95" s="39"/>
      <c r="AC95" s="39"/>
      <c r="AD95" s="39"/>
      <c r="AE95" s="76"/>
      <c r="AF95" s="76"/>
      <c r="AG95" s="76"/>
      <c r="AH95" s="76"/>
      <c r="AI95" s="76"/>
      <c r="AL95" s="38"/>
      <c r="AM95" s="39"/>
      <c r="AN95" s="39"/>
      <c r="AO95" s="39"/>
      <c r="AP95" s="38"/>
      <c r="AQ95" s="49"/>
      <c r="AR95" s="49"/>
      <c r="AS95" s="49"/>
      <c r="AT95" s="49"/>
      <c r="AU95" s="49"/>
      <c r="AV95" s="49"/>
      <c r="AW95" s="49"/>
      <c r="AX95" s="38"/>
      <c r="BE95" s="38"/>
      <c r="BF95" s="38"/>
      <c r="BG95" s="39"/>
    </row>
    <row r="96" spans="1:70" x14ac:dyDescent="0.2">
      <c r="A96" s="286"/>
      <c r="B96" s="287"/>
      <c r="Q96" s="38" t="e">
        <f t="shared" si="37"/>
        <v>#DIV/0!</v>
      </c>
      <c r="R96" s="49"/>
      <c r="S96" s="39"/>
      <c r="T96" s="38"/>
      <c r="V96" s="76"/>
      <c r="W96" s="38"/>
      <c r="Z96" s="39"/>
      <c r="AA96" s="39"/>
      <c r="AB96" s="39"/>
      <c r="AC96" s="39"/>
      <c r="AD96" s="39"/>
      <c r="AE96" s="76"/>
      <c r="AF96" s="76"/>
      <c r="AG96" s="76"/>
      <c r="AH96" s="76"/>
      <c r="AI96" s="76"/>
      <c r="AL96" s="38"/>
      <c r="AM96" s="39"/>
      <c r="AN96" s="39"/>
      <c r="AO96" s="39"/>
      <c r="AP96" s="38"/>
      <c r="AQ96" s="49"/>
      <c r="AR96" s="49"/>
      <c r="AS96" s="49"/>
      <c r="AT96" s="49"/>
      <c r="AU96" s="49"/>
      <c r="AV96" s="49"/>
      <c r="AW96" s="49"/>
      <c r="AX96" s="38"/>
      <c r="AZ96" s="38"/>
      <c r="BA96" s="38"/>
      <c r="BB96" s="38"/>
      <c r="BC96" s="39"/>
      <c r="BD96" s="39"/>
      <c r="BE96" s="38"/>
      <c r="BF96" s="38"/>
      <c r="BG96" s="39"/>
    </row>
    <row r="97" spans="1:70" x14ac:dyDescent="0.2">
      <c r="A97" s="286" t="s">
        <v>143</v>
      </c>
      <c r="B97" s="287" t="s">
        <v>279</v>
      </c>
      <c r="C97" s="50" t="s">
        <v>291</v>
      </c>
      <c r="F97" s="148">
        <v>0.64</v>
      </c>
      <c r="G97" s="148">
        <f>-1.554*I97+37.4</f>
        <v>16.8872</v>
      </c>
      <c r="H97" s="49">
        <f>V97*1.4616/10000</f>
        <v>0.25782623999999998</v>
      </c>
      <c r="I97" s="38">
        <v>13.2</v>
      </c>
      <c r="J97" s="127">
        <f>I97/BL$106</f>
        <v>0.18375044078412275</v>
      </c>
      <c r="K97" s="148">
        <f>I97*(($V97/$T97)*0.00642+0.246)</f>
        <v>8.5108766197183083</v>
      </c>
      <c r="L97" s="38">
        <v>12.7</v>
      </c>
      <c r="M97" s="49">
        <v>0.4</v>
      </c>
      <c r="N97" s="45" t="s">
        <v>446</v>
      </c>
      <c r="Q97" s="38">
        <f t="shared" si="37"/>
        <v>53.474449810462346</v>
      </c>
      <c r="R97" s="49"/>
      <c r="S97" s="39"/>
      <c r="T97" s="38">
        <v>28.4</v>
      </c>
      <c r="V97" s="76">
        <v>1764</v>
      </c>
      <c r="W97" s="38"/>
      <c r="X97" s="39">
        <v>45.3</v>
      </c>
      <c r="Y97" s="76">
        <v>295</v>
      </c>
      <c r="Z97" s="39"/>
      <c r="AA97" s="39"/>
      <c r="AB97" s="39"/>
      <c r="AC97" s="39"/>
      <c r="AD97" s="39">
        <v>5.0999999999999996</v>
      </c>
      <c r="AE97" s="76">
        <v>119</v>
      </c>
      <c r="AF97" s="76"/>
      <c r="AG97" s="76">
        <v>100</v>
      </c>
      <c r="AH97" s="76"/>
      <c r="AI97" s="76"/>
      <c r="AJ97" s="38">
        <v>0.09</v>
      </c>
      <c r="AK97" s="76">
        <v>78</v>
      </c>
      <c r="AL97" s="38">
        <v>6.77</v>
      </c>
      <c r="AM97" s="39">
        <v>18.100000000000001</v>
      </c>
      <c r="AN97" s="199">
        <f>89.1*EXP((LN(AL97/234.7)+2*LN(AO97/452.4))/3)</f>
        <v>2.1522257983243507</v>
      </c>
      <c r="AO97" s="39">
        <v>10</v>
      </c>
      <c r="AP97" s="38">
        <v>3.21</v>
      </c>
      <c r="AQ97" s="49">
        <v>0.85</v>
      </c>
      <c r="AR97" s="200">
        <f>AVERAGE(BP97:BR97)</f>
        <v>3.8528453067717598</v>
      </c>
      <c r="AS97" s="49">
        <v>0.68</v>
      </c>
      <c r="AT97" s="200">
        <f>(242.7*10^((4*LOG10(AS97/36.3)+LOG10(AX97/162.5))/5)+242.7*10^((4*LOG10(AP97/147.1)+4*LOG10(AX97/162.5))/8))/2</f>
        <v>4.3777406192812069</v>
      </c>
      <c r="AU97" s="200">
        <f>(55.6*10^((3*LOG10(AS97/36.3)+2*LOG10(AX97/162.5))/5)+55.6*10^((3*LOG10(AP97/147.1)+5*LOG10(AX97/162.5))/8))/2</f>
        <v>0.95892995424261729</v>
      </c>
      <c r="AV97" s="200">
        <f>(158.9*10^((2*LOG10(AS97/36.3)+3*LOG10(AX97/162.5))/5)+158.9*10^((2*LOG10(AP97/147.1)+6*LOG10(AX97/162.5))/8))/2</f>
        <v>2.6204065923102173</v>
      </c>
      <c r="AW97" s="201">
        <f>(24.2*10^((LOG10(AS97/36.3)+4*LOG10(AX97/162.5))/5)+24.2*10^((LOG10(AP97/147.1)+7*LOG10(AX97/162.5))/8))/2</f>
        <v>0.38158710839705989</v>
      </c>
      <c r="AX97" s="38">
        <v>2.4500000000000002</v>
      </c>
      <c r="AY97" s="49">
        <v>0.34200000000000003</v>
      </c>
      <c r="AZ97" s="38">
        <v>2.54</v>
      </c>
      <c r="BA97" s="38">
        <v>0.33</v>
      </c>
      <c r="BB97" s="38"/>
      <c r="BC97" s="39">
        <v>10.5</v>
      </c>
      <c r="BD97" s="39">
        <v>2.8</v>
      </c>
      <c r="BE97" s="38">
        <v>1.04</v>
      </c>
      <c r="BF97" s="38">
        <v>0.27</v>
      </c>
      <c r="BG97" s="39">
        <v>392</v>
      </c>
      <c r="BI97" s="39">
        <f>V97/T97</f>
        <v>62.112676056338032</v>
      </c>
      <c r="BL97" s="76"/>
      <c r="BP97" s="116">
        <f t="shared" ref="BP97:BP103" si="64">196.6*10^(LOG10(AP97/147.1)+(LOG10(AP97/147.1)-LOG10(AL97/234.7))*0.4)</f>
        <v>3.8370952975666008</v>
      </c>
      <c r="BQ97" s="116">
        <f t="shared" ref="BQ97:BQ103" si="65">196.6*10^(LOG10(AP97/147.1)+0.6666*(LOG10(AS97/36.3)-LOG10(AP97/147.1)))</f>
        <v>3.875135663281176</v>
      </c>
      <c r="BR97" s="116">
        <f t="shared" ref="BR97:BR103" si="66">196.6*10^(LOG10(AS97/36.3)-(LOG10(AX97/162.5)-LOG10(AS97/36.3))/5)</f>
        <v>3.8463049594675036</v>
      </c>
    </row>
    <row r="98" spans="1:70" x14ac:dyDescent="0.2">
      <c r="A98" s="286" t="s">
        <v>143</v>
      </c>
      <c r="B98" s="287" t="s">
        <v>292</v>
      </c>
      <c r="C98" s="50" t="s">
        <v>291</v>
      </c>
      <c r="E98" s="38">
        <v>45.6</v>
      </c>
      <c r="F98" s="38">
        <v>0.59</v>
      </c>
      <c r="G98" s="38">
        <v>17.2</v>
      </c>
      <c r="H98" s="49">
        <v>0.26</v>
      </c>
      <c r="I98" s="38">
        <v>12.9</v>
      </c>
      <c r="J98" s="49">
        <v>0.18</v>
      </c>
      <c r="K98" s="38">
        <v>9.61</v>
      </c>
      <c r="L98" s="38">
        <v>12.3</v>
      </c>
      <c r="M98" s="49" t="s">
        <v>680</v>
      </c>
      <c r="N98" s="49">
        <v>0.11</v>
      </c>
      <c r="O98" s="49">
        <v>0.06</v>
      </c>
      <c r="Q98" s="38">
        <f t="shared" si="37"/>
        <v>57.044111922712425</v>
      </c>
      <c r="R98" s="49"/>
      <c r="S98" s="39"/>
      <c r="T98" s="38"/>
      <c r="V98" s="76"/>
      <c r="W98" s="38"/>
      <c r="Z98" s="39"/>
      <c r="AA98" s="39"/>
      <c r="AB98" s="39"/>
      <c r="AC98" s="39"/>
      <c r="AD98" s="39"/>
      <c r="AE98" s="76"/>
      <c r="AF98" s="76"/>
      <c r="AG98" s="76"/>
      <c r="AH98" s="76"/>
      <c r="AI98" s="76"/>
      <c r="AL98" s="38"/>
      <c r="AM98" s="39"/>
      <c r="AN98" s="39"/>
      <c r="AO98" s="39"/>
      <c r="AP98" s="38"/>
      <c r="AQ98" s="49"/>
      <c r="AR98" s="49"/>
      <c r="AS98" s="49"/>
      <c r="AT98" s="49"/>
      <c r="AU98" s="49"/>
      <c r="AV98" s="49"/>
      <c r="AW98" s="49"/>
      <c r="AX98" s="38"/>
      <c r="AZ98" s="38"/>
      <c r="BA98" s="38"/>
      <c r="BB98" s="38"/>
      <c r="BC98" s="39"/>
      <c r="BD98" s="39"/>
      <c r="BE98" s="38"/>
      <c r="BF98" s="38"/>
      <c r="BG98" s="39"/>
      <c r="BI98" s="39"/>
      <c r="BJ98" s="49">
        <f>K98/I98</f>
        <v>0.74496124031007749</v>
      </c>
      <c r="BL98" s="76">
        <f>I98/J98</f>
        <v>71.666666666666671</v>
      </c>
      <c r="BP98" s="116" t="e">
        <f t="shared" si="64"/>
        <v>#NUM!</v>
      </c>
      <c r="BQ98" s="116" t="e">
        <f t="shared" si="65"/>
        <v>#NUM!</v>
      </c>
      <c r="BR98" s="116" t="e">
        <f t="shared" si="66"/>
        <v>#NUM!</v>
      </c>
    </row>
    <row r="99" spans="1:70" x14ac:dyDescent="0.2">
      <c r="A99" s="286" t="s">
        <v>143</v>
      </c>
      <c r="B99" s="287" t="s">
        <v>208</v>
      </c>
      <c r="C99" s="50" t="s">
        <v>1110</v>
      </c>
      <c r="F99" s="38">
        <v>0.7</v>
      </c>
      <c r="G99" s="38">
        <v>16.399999999999999</v>
      </c>
      <c r="H99" s="49">
        <v>0.27</v>
      </c>
      <c r="I99" s="38">
        <v>14.3</v>
      </c>
      <c r="J99" s="49">
        <v>0.191</v>
      </c>
      <c r="K99" s="38">
        <v>9.68</v>
      </c>
      <c r="L99" s="38">
        <v>12.2</v>
      </c>
      <c r="M99" s="49">
        <v>0.379</v>
      </c>
      <c r="N99" s="49">
        <v>5.91E-2</v>
      </c>
      <c r="Q99" s="38">
        <f t="shared" si="37"/>
        <v>54.683147367299398</v>
      </c>
      <c r="R99" s="49"/>
      <c r="S99" s="39"/>
      <c r="T99" s="38">
        <v>32.4</v>
      </c>
      <c r="U99" s="76">
        <v>99.2</v>
      </c>
      <c r="V99" s="76">
        <f>H99*6842</f>
        <v>1847.3400000000001</v>
      </c>
      <c r="W99" s="38"/>
      <c r="X99" s="39">
        <v>40.4</v>
      </c>
      <c r="Y99" s="76">
        <v>110</v>
      </c>
      <c r="Z99" s="39"/>
      <c r="AA99" s="39">
        <v>4.5199999999999996</v>
      </c>
      <c r="AB99" s="39">
        <v>1.94</v>
      </c>
      <c r="AC99" s="39">
        <v>9.7000000000000003E-2</v>
      </c>
      <c r="AD99" s="39"/>
      <c r="AE99" s="76">
        <v>120</v>
      </c>
      <c r="AF99" s="76">
        <v>30</v>
      </c>
      <c r="AG99" s="76">
        <v>86.8</v>
      </c>
      <c r="AH99" s="38">
        <v>5.18</v>
      </c>
      <c r="AI99" s="76"/>
      <c r="AK99" s="76">
        <v>72</v>
      </c>
      <c r="AL99" s="38">
        <v>6.26</v>
      </c>
      <c r="AM99" s="39">
        <v>18</v>
      </c>
      <c r="AN99" s="199">
        <f>89.1*EXP((LN(AL99/234.7)+2*LN(AO99/452.4))/3)</f>
        <v>2.1246293123810247</v>
      </c>
      <c r="AO99" s="39">
        <v>10.199999999999999</v>
      </c>
      <c r="AP99" s="38">
        <v>3.09</v>
      </c>
      <c r="AQ99" s="49">
        <v>0.81399999999999995</v>
      </c>
      <c r="AR99" s="49">
        <v>5.08</v>
      </c>
      <c r="AS99" s="49">
        <v>0.63400000000000001</v>
      </c>
      <c r="AT99" s="49">
        <v>4.0999999999999996</v>
      </c>
      <c r="AU99" s="49">
        <v>0.93</v>
      </c>
      <c r="AV99" s="49"/>
      <c r="AW99" s="49">
        <v>0.41</v>
      </c>
      <c r="AX99" s="38">
        <v>2.44</v>
      </c>
      <c r="AY99" s="49">
        <v>0.35399999999999998</v>
      </c>
      <c r="AZ99" s="38">
        <v>2.29</v>
      </c>
      <c r="BA99" s="38">
        <v>0.28999999999999998</v>
      </c>
      <c r="BB99" s="38"/>
      <c r="BC99" s="39">
        <v>3</v>
      </c>
      <c r="BD99" s="38" t="s">
        <v>720</v>
      </c>
      <c r="BE99" s="38">
        <v>1.06</v>
      </c>
      <c r="BF99" s="38">
        <v>0.28199999999999997</v>
      </c>
      <c r="BG99" s="39">
        <v>179.6</v>
      </c>
      <c r="BI99" s="39"/>
      <c r="BL99" s="76"/>
      <c r="BP99" s="116">
        <f t="shared" si="64"/>
        <v>3.7535581249113346</v>
      </c>
      <c r="BQ99" s="116">
        <f t="shared" si="65"/>
        <v>3.6516786175905338</v>
      </c>
      <c r="BR99" s="116">
        <f t="shared" si="66"/>
        <v>3.5391207522580608</v>
      </c>
    </row>
    <row r="100" spans="1:70" x14ac:dyDescent="0.2">
      <c r="A100" s="286" t="s">
        <v>693</v>
      </c>
      <c r="B100" s="287"/>
      <c r="C100" s="50" t="s">
        <v>692</v>
      </c>
      <c r="E100" s="48" t="s">
        <v>694</v>
      </c>
      <c r="F100" s="38">
        <v>0.68</v>
      </c>
      <c r="G100" s="38">
        <v>16.96</v>
      </c>
      <c r="H100" s="49">
        <v>0.25</v>
      </c>
      <c r="I100" s="38">
        <v>13.88</v>
      </c>
      <c r="J100" s="49">
        <v>0.19</v>
      </c>
      <c r="K100" s="38">
        <v>7.94</v>
      </c>
      <c r="L100" s="38">
        <v>11.74</v>
      </c>
      <c r="M100" s="49" t="s">
        <v>695</v>
      </c>
      <c r="N100" s="49">
        <v>0.08</v>
      </c>
      <c r="Q100" s="38">
        <f t="shared" si="37"/>
        <v>50.488447961351113</v>
      </c>
      <c r="R100" s="49"/>
      <c r="S100" s="39"/>
      <c r="T100" s="38"/>
      <c r="V100" s="76"/>
      <c r="W100" s="38"/>
      <c r="Z100" s="39"/>
      <c r="AA100" s="39"/>
      <c r="AB100" s="39"/>
      <c r="AC100" s="39"/>
      <c r="AD100" s="39"/>
      <c r="AE100" s="76"/>
      <c r="AF100" s="76"/>
      <c r="AG100" s="76"/>
      <c r="AH100" s="76"/>
      <c r="AI100" s="76"/>
      <c r="AL100" s="38"/>
      <c r="AM100" s="39"/>
      <c r="AN100" s="39"/>
      <c r="AO100" s="39"/>
      <c r="AP100" s="38"/>
      <c r="AQ100" s="49"/>
      <c r="AR100" s="49"/>
      <c r="AS100" s="49"/>
      <c r="AT100" s="49"/>
      <c r="AU100" s="49"/>
      <c r="AV100" s="49"/>
      <c r="AW100" s="49"/>
      <c r="AX100" s="38"/>
      <c r="AZ100" s="38"/>
      <c r="BA100" s="38"/>
      <c r="BB100" s="38"/>
      <c r="BC100" s="39"/>
      <c r="BD100" s="39"/>
      <c r="BE100" s="38"/>
      <c r="BF100" s="38"/>
      <c r="BG100" s="39"/>
      <c r="BI100" s="39"/>
      <c r="BJ100" s="49">
        <f>K100/I100</f>
        <v>0.5720461095100865</v>
      </c>
      <c r="BL100" s="76">
        <f>I100/J100</f>
        <v>73.05263157894737</v>
      </c>
      <c r="BP100" s="116" t="e">
        <f t="shared" si="64"/>
        <v>#NUM!</v>
      </c>
      <c r="BQ100" s="116" t="e">
        <f t="shared" si="65"/>
        <v>#NUM!</v>
      </c>
      <c r="BR100" s="116" t="e">
        <f t="shared" si="66"/>
        <v>#NUM!</v>
      </c>
    </row>
    <row r="101" spans="1:70" x14ac:dyDescent="0.2">
      <c r="A101" s="286" t="s">
        <v>143</v>
      </c>
      <c r="B101" s="287" t="s">
        <v>208</v>
      </c>
      <c r="C101" s="50" t="s">
        <v>293</v>
      </c>
      <c r="E101" s="38">
        <f>22.1*2.1393</f>
        <v>47.278530000000003</v>
      </c>
      <c r="F101" s="38">
        <f>0.4*1.6683</f>
        <v>0.66732000000000002</v>
      </c>
      <c r="G101" s="38">
        <f>8.5*1.8895</f>
        <v>16.060749999999999</v>
      </c>
      <c r="H101" s="49">
        <f>V101*1.4616/10000</f>
        <v>0.26162640000000004</v>
      </c>
      <c r="I101" s="38">
        <f>11.3*1.2865</f>
        <v>14.537450000000002</v>
      </c>
      <c r="J101" s="49">
        <f>0.152*1.2912</f>
        <v>0.19626239999999998</v>
      </c>
      <c r="K101" s="38">
        <f>4.6*1.6583</f>
        <v>7.6281799999999995</v>
      </c>
      <c r="L101" s="38">
        <f>9*1.3992</f>
        <v>12.5928</v>
      </c>
      <c r="M101" s="49">
        <f>0.26*1.348</f>
        <v>0.35048000000000001</v>
      </c>
      <c r="N101" s="49">
        <f>0.045*1.2046</f>
        <v>5.4206999999999991E-2</v>
      </c>
      <c r="Q101" s="38">
        <f t="shared" si="37"/>
        <v>48.330506498117785</v>
      </c>
      <c r="R101" s="49"/>
      <c r="S101" s="39"/>
      <c r="T101" s="38">
        <v>32.9</v>
      </c>
      <c r="V101" s="76">
        <v>1790</v>
      </c>
      <c r="W101" s="38"/>
      <c r="X101" s="39">
        <v>42.8</v>
      </c>
      <c r="Y101" s="76">
        <v>114</v>
      </c>
      <c r="Z101" s="39"/>
      <c r="AA101" s="39"/>
      <c r="AB101" s="39"/>
      <c r="AC101" s="39"/>
      <c r="AD101" s="39"/>
      <c r="AE101" s="76">
        <v>110</v>
      </c>
      <c r="AF101" s="76"/>
      <c r="AG101" s="76">
        <v>137</v>
      </c>
      <c r="AH101" s="76"/>
      <c r="AI101" s="76"/>
      <c r="AK101" s="76">
        <v>84</v>
      </c>
      <c r="AL101" s="38">
        <v>6.5</v>
      </c>
      <c r="AM101" s="39">
        <v>14.7</v>
      </c>
      <c r="AN101" s="199">
        <f>89.1*EXP((LN(AL101/234.7)+2*LN(AO101/452.4))/3)</f>
        <v>1.9792063174153656</v>
      </c>
      <c r="AO101" s="39">
        <v>9</v>
      </c>
      <c r="AP101" s="38">
        <v>3.09</v>
      </c>
      <c r="AQ101" s="49">
        <v>0.85</v>
      </c>
      <c r="AR101" s="200">
        <f>AVERAGE(BP101:BR101)</f>
        <v>3.654458871412523</v>
      </c>
      <c r="AS101" s="49">
        <v>0.64</v>
      </c>
      <c r="AT101" s="200">
        <f>(242.7*10^((4*LOG10(AS101/36.3)+LOG10(AX101/162.5))/5)+242.7*10^((4*LOG10(AP101/147.1)+4*LOG10(AX101/162.5))/8))/2</f>
        <v>4.2024760792247529</v>
      </c>
      <c r="AU101" s="200">
        <f>(55.6*10^((3*LOG10(AS101/36.3)+2*LOG10(AX101/162.5))/5)+55.6*10^((3*LOG10(AP101/147.1)+5*LOG10(AX101/162.5))/8))/2</f>
        <v>0.92518543458339586</v>
      </c>
      <c r="AV101" s="200">
        <f>(158.9*10^((2*LOG10(AS101/36.3)+3*LOG10(AX101/162.5))/5)+158.9*10^((2*LOG10(AP101/147.1)+6*LOG10(AX101/162.5))/8))/2</f>
        <v>2.5409988379539796</v>
      </c>
      <c r="AW101" s="201">
        <f>(24.2*10^((LOG10(AS101/36.3)+4*LOG10(AX101/162.5))/5)+24.2*10^((LOG10(AP101/147.1)+7*LOG10(AX101/162.5))/8))/2</f>
        <v>0.37190375393070307</v>
      </c>
      <c r="AX101" s="38">
        <v>2.4</v>
      </c>
      <c r="AY101" s="49">
        <v>0.37</v>
      </c>
      <c r="AZ101" s="38">
        <v>2.2400000000000002</v>
      </c>
      <c r="BA101" s="38">
        <v>0.28000000000000003</v>
      </c>
      <c r="BB101" s="38"/>
      <c r="BC101" s="39">
        <v>4</v>
      </c>
      <c r="BD101" s="39">
        <v>0.6</v>
      </c>
      <c r="BE101" s="38">
        <v>0.95</v>
      </c>
      <c r="BF101" s="38">
        <v>0.23</v>
      </c>
      <c r="BG101" s="39">
        <v>224</v>
      </c>
      <c r="BI101" s="39">
        <f>V101/T101</f>
        <v>54.40729483282675</v>
      </c>
      <c r="BJ101" s="49">
        <f>K101/I101</f>
        <v>0.52472613835301229</v>
      </c>
      <c r="BL101" s="76"/>
      <c r="BP101" s="116">
        <f t="shared" si="64"/>
        <v>3.697494494853919</v>
      </c>
      <c r="BQ101" s="116">
        <f t="shared" si="65"/>
        <v>3.6746791048156586</v>
      </c>
      <c r="BR101" s="116">
        <f t="shared" si="66"/>
        <v>3.591203014567991</v>
      </c>
    </row>
    <row r="102" spans="1:70" x14ac:dyDescent="0.2">
      <c r="A102" s="286" t="s">
        <v>143</v>
      </c>
      <c r="B102" s="287" t="s">
        <v>208</v>
      </c>
      <c r="C102" s="50" t="s">
        <v>293</v>
      </c>
      <c r="E102" s="38">
        <f>22.3*2.1393</f>
        <v>47.706389999999999</v>
      </c>
      <c r="F102" s="38">
        <f>0.48*1.6683</f>
        <v>0.80078399999999994</v>
      </c>
      <c r="G102" s="38">
        <f>8*1.8895</f>
        <v>15.116</v>
      </c>
      <c r="H102" s="49">
        <f>V102*1.4616/10000</f>
        <v>0.25870320000000002</v>
      </c>
      <c r="I102" s="38">
        <f>10.9*1.2865</f>
        <v>14.02285</v>
      </c>
      <c r="J102" s="49">
        <f>0.159*1.2912</f>
        <v>0.20530079999999998</v>
      </c>
      <c r="K102" s="38">
        <f>4.7*1.6583</f>
        <v>7.794010000000001</v>
      </c>
      <c r="L102" s="38">
        <f>9.2*1.3992</f>
        <v>12.872639999999999</v>
      </c>
      <c r="M102" s="49">
        <f>0.261*1.348</f>
        <v>0.35182800000000003</v>
      </c>
      <c r="N102" s="49">
        <f>0.046*1.2046</f>
        <v>5.5411599999999991E-2</v>
      </c>
      <c r="Q102" s="38">
        <f t="shared" si="37"/>
        <v>49.768540848517489</v>
      </c>
      <c r="R102" s="49"/>
      <c r="S102" s="39"/>
      <c r="T102" s="38">
        <v>37.299999999999997</v>
      </c>
      <c r="V102" s="76">
        <v>1770</v>
      </c>
      <c r="W102" s="38"/>
      <c r="X102" s="39">
        <v>46.8</v>
      </c>
      <c r="Y102" s="76">
        <v>273</v>
      </c>
      <c r="Z102" s="39"/>
      <c r="AA102" s="39"/>
      <c r="AB102" s="39"/>
      <c r="AC102" s="39"/>
      <c r="AD102" s="39"/>
      <c r="AE102" s="76">
        <v>110</v>
      </c>
      <c r="AF102" s="76"/>
      <c r="AG102" s="76">
        <v>130</v>
      </c>
      <c r="AH102" s="76"/>
      <c r="AI102" s="76"/>
      <c r="AK102" s="76">
        <v>68</v>
      </c>
      <c r="AL102" s="38">
        <v>6</v>
      </c>
      <c r="AM102" s="39">
        <v>13.5</v>
      </c>
      <c r="AN102" s="199">
        <f>89.1*EXP((LN(AL102/234.7)+2*LN(AO102/452.4))/3)</f>
        <v>2.0257686675478386</v>
      </c>
      <c r="AO102" s="39">
        <v>9.6999999999999993</v>
      </c>
      <c r="AP102" s="38">
        <v>3.04</v>
      </c>
      <c r="AQ102" s="49">
        <v>0.8</v>
      </c>
      <c r="AR102" s="200">
        <f>AVERAGE(BP102:BR102)</f>
        <v>3.5918211744685133</v>
      </c>
      <c r="AS102" s="49">
        <v>0.62</v>
      </c>
      <c r="AT102" s="200">
        <f>(242.7*10^((4*LOG10(AS102/36.3)+LOG10(AX102/162.5))/5)+242.7*10^((4*LOG10(AP102/147.1)+4*LOG10(AX102/162.5))/8))/2</f>
        <v>4.1149722941379725</v>
      </c>
      <c r="AU102" s="200">
        <f>(55.6*10^((3*LOG10(AS102/36.3)+2*LOG10(AX102/162.5))/5)+55.6*10^((3*LOG10(AP102/147.1)+5*LOG10(AX102/162.5))/8))/2</f>
        <v>0.90781639885342802</v>
      </c>
      <c r="AV102" s="200">
        <f>(158.9*10^((2*LOG10(AS102/36.3)+3*LOG10(AX102/162.5))/5)+158.9*10^((2*LOG10(AP102/147.1)+6*LOG10(AX102/162.5))/8))/2</f>
        <v>2.4985543376797388</v>
      </c>
      <c r="AW102" s="201">
        <f>(24.2*10^((LOG10(AS102/36.3)+4*LOG10(AX102/162.5))/5)+24.2*10^((LOG10(AP102/147.1)+7*LOG10(AX102/162.5))/8))/2</f>
        <v>0.36646923073240989</v>
      </c>
      <c r="AX102" s="38">
        <v>2.37</v>
      </c>
      <c r="AY102" s="49">
        <v>0.36</v>
      </c>
      <c r="AZ102" s="38">
        <v>2.1800000000000002</v>
      </c>
      <c r="BA102" s="38">
        <v>0.28000000000000003</v>
      </c>
      <c r="BB102" s="38"/>
      <c r="BC102" s="39">
        <v>9.6999999999999993</v>
      </c>
      <c r="BD102" s="39">
        <v>2</v>
      </c>
      <c r="BE102" s="38">
        <v>0.76</v>
      </c>
      <c r="BF102" s="38">
        <v>0.18</v>
      </c>
      <c r="BG102" s="39">
        <v>258</v>
      </c>
      <c r="BI102" s="39">
        <f>V102/T102</f>
        <v>47.453083109919575</v>
      </c>
      <c r="BJ102" s="49">
        <f>K102/I102</f>
        <v>0.55580784220040869</v>
      </c>
      <c r="BL102" s="76">
        <f>I102/J102</f>
        <v>68.303922829331412</v>
      </c>
      <c r="BP102" s="116">
        <f t="shared" si="64"/>
        <v>3.7315865960982153</v>
      </c>
      <c r="BQ102" s="116">
        <f t="shared" si="65"/>
        <v>3.5782118130741614</v>
      </c>
      <c r="BR102" s="116">
        <f t="shared" si="66"/>
        <v>3.4656651142331629</v>
      </c>
    </row>
    <row r="103" spans="1:70" x14ac:dyDescent="0.2">
      <c r="A103" s="286" t="s">
        <v>143</v>
      </c>
      <c r="B103" s="287" t="s">
        <v>208</v>
      </c>
      <c r="C103" s="50" t="s">
        <v>293</v>
      </c>
      <c r="E103" s="38">
        <f>22.8*2.1393</f>
        <v>48.776040000000002</v>
      </c>
      <c r="F103" s="38">
        <f>0.47*1.6683</f>
        <v>0.78410099999999994</v>
      </c>
      <c r="G103" s="38">
        <f>7.2*1.8895</f>
        <v>13.6044</v>
      </c>
      <c r="H103" s="49">
        <f>V103*1.4616/10000</f>
        <v>0.27039600000000003</v>
      </c>
      <c r="I103" s="38">
        <f>11.4*1.2865</f>
        <v>14.6661</v>
      </c>
      <c r="J103" s="49">
        <f>0.167*1.2912</f>
        <v>0.2156304</v>
      </c>
      <c r="K103" s="38">
        <f>5.1*1.6583</f>
        <v>8.4573300000000007</v>
      </c>
      <c r="L103" s="38">
        <f>8.7*1.3992</f>
        <v>12.173039999999999</v>
      </c>
      <c r="M103" s="49">
        <f>0.231*1.348</f>
        <v>0.31138800000000005</v>
      </c>
      <c r="N103" s="49">
        <f>0.053*1.2046</f>
        <v>6.3843799999999992E-2</v>
      </c>
      <c r="Q103" s="38">
        <f t="shared" si="37"/>
        <v>50.689182165768344</v>
      </c>
      <c r="R103" s="49"/>
      <c r="S103" s="39"/>
      <c r="T103" s="38">
        <v>39.799999999999997</v>
      </c>
      <c r="V103" s="76">
        <v>1850</v>
      </c>
      <c r="W103" s="38"/>
      <c r="X103" s="39">
        <v>45.7</v>
      </c>
      <c r="Y103" s="76">
        <v>166</v>
      </c>
      <c r="Z103" s="39"/>
      <c r="AA103" s="39"/>
      <c r="AB103" s="39"/>
      <c r="AC103" s="39"/>
      <c r="AD103" s="39"/>
      <c r="AE103" s="76">
        <v>70</v>
      </c>
      <c r="AF103" s="76"/>
      <c r="AG103" s="76"/>
      <c r="AH103" s="76"/>
      <c r="AI103" s="76"/>
      <c r="AK103" s="76">
        <v>59</v>
      </c>
      <c r="AL103" s="38">
        <v>5.5</v>
      </c>
      <c r="AM103" s="39">
        <v>13.9</v>
      </c>
      <c r="AN103" s="199">
        <f>89.1*EXP((LN(AL103/234.7)+2*LN(AO103/452.4))/3)</f>
        <v>1.9813592357631256</v>
      </c>
      <c r="AO103" s="39">
        <v>9.8000000000000007</v>
      </c>
      <c r="AP103" s="38">
        <v>3.02</v>
      </c>
      <c r="AQ103" s="49">
        <v>0.75</v>
      </c>
      <c r="AR103" s="200">
        <f>AVERAGE(BP103:BR103)</f>
        <v>3.8324135424258188</v>
      </c>
      <c r="AS103" s="49">
        <v>0.68</v>
      </c>
      <c r="AT103" s="200">
        <f>(242.7*10^((4*LOG10(AS103/36.3)+LOG10(AX103/162.5))/5)+242.7*10^((4*LOG10(AP103/147.1)+4*LOG10(AX103/162.5))/8))/2</f>
        <v>4.262054923921001</v>
      </c>
      <c r="AU103" s="200">
        <f>(55.6*10^((3*LOG10(AS103/36.3)+2*LOG10(AX103/162.5))/5)+55.6*10^((3*LOG10(AP103/147.1)+5*LOG10(AX103/162.5))/8))/2</f>
        <v>0.9320769330507318</v>
      </c>
      <c r="AV103" s="200">
        <f>(158.9*10^((2*LOG10(AS103/36.3)+3*LOG10(AX103/162.5))/5)+158.9*10^((2*LOG10(AP103/147.1)+6*LOG10(AX103/162.5))/8))/2</f>
        <v>2.5429298851034612</v>
      </c>
      <c r="AW103" s="201">
        <f>(24.2*10^((LOG10(AS103/36.3)+4*LOG10(AX103/162.5))/5)+24.2*10^((LOG10(AP103/147.1)+7*LOG10(AX103/162.5))/8))/2</f>
        <v>0.36971340021533189</v>
      </c>
      <c r="AX103" s="38">
        <v>2.37</v>
      </c>
      <c r="AY103" s="49">
        <v>0.34</v>
      </c>
      <c r="AZ103" s="38">
        <v>2.08</v>
      </c>
      <c r="BA103" s="38">
        <v>0.26</v>
      </c>
      <c r="BB103" s="38"/>
      <c r="BC103" s="39">
        <v>6</v>
      </c>
      <c r="BD103" s="39">
        <v>1.2</v>
      </c>
      <c r="BE103" s="38">
        <v>0.72</v>
      </c>
      <c r="BF103" s="38">
        <v>0.17</v>
      </c>
      <c r="BG103" s="39">
        <v>286</v>
      </c>
      <c r="BI103" s="39">
        <f>V103/T103</f>
        <v>46.482412060301513</v>
      </c>
      <c r="BJ103" s="49">
        <f>K103/I103</f>
        <v>0.57665841634790438</v>
      </c>
      <c r="BL103" s="76">
        <f>I103/J103</f>
        <v>68.014992320192334</v>
      </c>
      <c r="BP103" s="116">
        <f t="shared" si="64"/>
        <v>3.8282091050849933</v>
      </c>
      <c r="BQ103" s="116">
        <f t="shared" si="65"/>
        <v>3.7971036138094383</v>
      </c>
      <c r="BR103" s="116">
        <f t="shared" si="66"/>
        <v>3.8719279083830247</v>
      </c>
    </row>
    <row r="104" spans="1:70" s="36" customFormat="1" x14ac:dyDescent="0.2">
      <c r="A104" s="176" t="s">
        <v>679</v>
      </c>
      <c r="B104" s="177" t="s">
        <v>279</v>
      </c>
      <c r="E104" s="34">
        <f>AVERAGE(E97:E103)</f>
        <v>47.340240000000001</v>
      </c>
      <c r="F104" s="34">
        <f t="shared" ref="F104:BF104" si="67">AVERAGE(F97:F103)</f>
        <v>0.69460071428571424</v>
      </c>
      <c r="G104" s="34">
        <f t="shared" si="67"/>
        <v>16.032621428571428</v>
      </c>
      <c r="H104" s="37">
        <f t="shared" si="67"/>
        <v>0.26122169142857149</v>
      </c>
      <c r="I104" s="34">
        <f t="shared" si="67"/>
        <v>13.929485714285716</v>
      </c>
      <c r="J104" s="37">
        <f t="shared" si="67"/>
        <v>0.19456343439773183</v>
      </c>
      <c r="K104" s="34">
        <f t="shared" si="67"/>
        <v>8.5171995171026147</v>
      </c>
      <c r="L104" s="34">
        <f t="shared" si="67"/>
        <v>12.368354285714288</v>
      </c>
      <c r="M104" s="37">
        <f t="shared" si="67"/>
        <v>0.3585392</v>
      </c>
      <c r="N104" s="37">
        <f t="shared" si="67"/>
        <v>7.0427066666666663E-2</v>
      </c>
      <c r="O104" s="37">
        <f t="shared" si="67"/>
        <v>0.06</v>
      </c>
      <c r="P104" s="34"/>
      <c r="Q104" s="38">
        <f t="shared" si="37"/>
        <v>52.152517333676698</v>
      </c>
      <c r="R104" s="72"/>
      <c r="S104" s="72"/>
      <c r="T104" s="72">
        <f t="shared" si="67"/>
        <v>34.160000000000004</v>
      </c>
      <c r="U104" s="35">
        <f t="shared" si="67"/>
        <v>99.2</v>
      </c>
      <c r="V104" s="35">
        <f t="shared" si="67"/>
        <v>1804.268</v>
      </c>
      <c r="W104" s="72"/>
      <c r="X104" s="72">
        <f t="shared" si="67"/>
        <v>44.2</v>
      </c>
      <c r="Y104" s="35">
        <v>213.25</v>
      </c>
      <c r="Z104" s="72"/>
      <c r="AA104" s="72"/>
      <c r="AB104" s="72"/>
      <c r="AC104" s="72"/>
      <c r="AD104" s="72">
        <f t="shared" si="67"/>
        <v>5.0999999999999996</v>
      </c>
      <c r="AE104" s="35">
        <f t="shared" si="67"/>
        <v>105.8</v>
      </c>
      <c r="AF104" s="35"/>
      <c r="AG104" s="35">
        <f t="shared" si="67"/>
        <v>113.45</v>
      </c>
      <c r="AH104" s="35"/>
      <c r="AI104" s="35"/>
      <c r="AJ104" s="34">
        <f t="shared" si="67"/>
        <v>0.09</v>
      </c>
      <c r="AK104" s="35">
        <f t="shared" si="67"/>
        <v>72.2</v>
      </c>
      <c r="AL104" s="34">
        <f t="shared" si="67"/>
        <v>6.2060000000000004</v>
      </c>
      <c r="AM104" s="34">
        <f t="shared" ref="AM104:AW104" si="68">AVERAGE(AM97:AM103)</f>
        <v>15.64</v>
      </c>
      <c r="AN104" s="34">
        <f t="shared" si="68"/>
        <v>2.0526378662863407</v>
      </c>
      <c r="AO104" s="34">
        <f t="shared" si="68"/>
        <v>9.74</v>
      </c>
      <c r="AP104" s="34">
        <f t="shared" si="68"/>
        <v>3.09</v>
      </c>
      <c r="AQ104" s="34">
        <f t="shared" si="68"/>
        <v>0.81279999999999997</v>
      </c>
      <c r="AR104" s="34">
        <f t="shared" si="68"/>
        <v>4.0023077790157231</v>
      </c>
      <c r="AS104" s="34">
        <f t="shared" si="68"/>
        <v>0.65080000000000005</v>
      </c>
      <c r="AT104" s="34">
        <f t="shared" si="68"/>
        <v>4.2114487833129859</v>
      </c>
      <c r="AU104" s="34">
        <f t="shared" si="68"/>
        <v>0.93080174414603467</v>
      </c>
      <c r="AV104" s="34">
        <f t="shared" si="68"/>
        <v>2.5507224132618491</v>
      </c>
      <c r="AW104" s="34">
        <f t="shared" si="68"/>
        <v>0.37993469865510099</v>
      </c>
      <c r="AX104" s="34">
        <f t="shared" si="67"/>
        <v>2.4060000000000001</v>
      </c>
      <c r="AY104" s="37">
        <f t="shared" si="67"/>
        <v>0.35319999999999996</v>
      </c>
      <c r="AZ104" s="34">
        <f t="shared" si="67"/>
        <v>2.266</v>
      </c>
      <c r="BA104" s="34">
        <f t="shared" si="67"/>
        <v>0.28800000000000003</v>
      </c>
      <c r="BB104" s="34"/>
      <c r="BC104" s="72">
        <f t="shared" si="67"/>
        <v>6.6400000000000006</v>
      </c>
      <c r="BD104" s="72">
        <f t="shared" si="67"/>
        <v>1.6500000000000001</v>
      </c>
      <c r="BE104" s="34">
        <f t="shared" si="67"/>
        <v>0.90599999999999992</v>
      </c>
      <c r="BF104" s="34">
        <f t="shared" si="67"/>
        <v>0.22639999999999999</v>
      </c>
      <c r="BG104" s="72"/>
      <c r="BJ104" s="37"/>
      <c r="BK104" s="37"/>
      <c r="BL104" s="37"/>
    </row>
    <row r="105" spans="1:70" x14ac:dyDescent="0.2">
      <c r="A105" s="103" t="s">
        <v>553</v>
      </c>
      <c r="B105" s="287"/>
      <c r="E105" s="34">
        <f t="shared" ref="E105:P105" si="69">E104</f>
        <v>47.340240000000001</v>
      </c>
      <c r="F105" s="34">
        <f t="shared" si="69"/>
        <v>0.69460071428571424</v>
      </c>
      <c r="G105" s="34">
        <f t="shared" si="69"/>
        <v>16.032621428571428</v>
      </c>
      <c r="H105" s="37">
        <f t="shared" si="69"/>
        <v>0.26122169142857149</v>
      </c>
      <c r="I105" s="34">
        <f t="shared" si="69"/>
        <v>13.929485714285716</v>
      </c>
      <c r="J105" s="37">
        <f t="shared" si="69"/>
        <v>0.19456343439773183</v>
      </c>
      <c r="K105" s="34">
        <f t="shared" si="69"/>
        <v>8.5171995171026147</v>
      </c>
      <c r="L105" s="34">
        <f t="shared" si="69"/>
        <v>12.368354285714288</v>
      </c>
      <c r="M105" s="37">
        <f t="shared" si="69"/>
        <v>0.3585392</v>
      </c>
      <c r="N105" s="37">
        <f t="shared" si="69"/>
        <v>7.0427066666666663E-2</v>
      </c>
      <c r="O105" s="37">
        <f t="shared" si="69"/>
        <v>0.06</v>
      </c>
      <c r="P105" s="34">
        <f t="shared" si="69"/>
        <v>0</v>
      </c>
      <c r="Q105" s="38">
        <f t="shared" si="37"/>
        <v>52.152517333676698</v>
      </c>
      <c r="R105" s="72"/>
      <c r="S105" s="72"/>
      <c r="T105" s="72">
        <f>T104</f>
        <v>34.160000000000004</v>
      </c>
      <c r="U105" s="35">
        <f>U104</f>
        <v>99.2</v>
      </c>
      <c r="V105" s="35">
        <f>V104</f>
        <v>1804.268</v>
      </c>
      <c r="W105" s="72"/>
      <c r="X105" s="72">
        <f>X104</f>
        <v>44.2</v>
      </c>
      <c r="Y105" s="35">
        <f>Y104</f>
        <v>213.25</v>
      </c>
      <c r="Z105" s="72"/>
      <c r="AA105" s="72"/>
      <c r="AB105" s="72"/>
      <c r="AC105" s="72"/>
      <c r="AD105" s="172">
        <f>AD104</f>
        <v>5.0999999999999996</v>
      </c>
      <c r="AE105" s="35">
        <f>AE104</f>
        <v>105.8</v>
      </c>
      <c r="AF105" s="291">
        <f>1560*10^((LOG10(AU105/55.6)+LOG10(AV105/158.9))/2)</f>
        <v>25.573221916943879</v>
      </c>
      <c r="AG105" s="35">
        <f>AG104</f>
        <v>113.45</v>
      </c>
      <c r="AH105" s="35"/>
      <c r="AI105" s="35"/>
      <c r="AJ105" s="34">
        <f t="shared" ref="AJ105:AW105" si="70">AJ104</f>
        <v>0.09</v>
      </c>
      <c r="AK105" s="35">
        <f t="shared" si="70"/>
        <v>72.2</v>
      </c>
      <c r="AL105" s="34">
        <f t="shared" si="70"/>
        <v>6.2060000000000004</v>
      </c>
      <c r="AM105" s="34">
        <f t="shared" si="70"/>
        <v>15.64</v>
      </c>
      <c r="AN105" s="34">
        <f t="shared" si="70"/>
        <v>2.0526378662863407</v>
      </c>
      <c r="AO105" s="34">
        <f t="shared" si="70"/>
        <v>9.74</v>
      </c>
      <c r="AP105" s="34">
        <f t="shared" si="70"/>
        <v>3.09</v>
      </c>
      <c r="AQ105" s="34">
        <f t="shared" si="70"/>
        <v>0.81279999999999997</v>
      </c>
      <c r="AR105" s="34">
        <f t="shared" si="70"/>
        <v>4.0023077790157231</v>
      </c>
      <c r="AS105" s="34">
        <f t="shared" si="70"/>
        <v>0.65080000000000005</v>
      </c>
      <c r="AT105" s="34">
        <f t="shared" si="70"/>
        <v>4.2114487833129859</v>
      </c>
      <c r="AU105" s="34">
        <f t="shared" si="70"/>
        <v>0.93080174414603467</v>
      </c>
      <c r="AV105" s="34">
        <f t="shared" si="70"/>
        <v>2.5507224132618491</v>
      </c>
      <c r="AW105" s="34">
        <f t="shared" si="70"/>
        <v>0.37993469865510099</v>
      </c>
      <c r="AX105" s="34">
        <f t="shared" ref="AX105:BF105" si="71">AX104</f>
        <v>2.4060000000000001</v>
      </c>
      <c r="AY105" s="37">
        <f t="shared" si="71"/>
        <v>0.35319999999999996</v>
      </c>
      <c r="AZ105" s="34">
        <f t="shared" si="71"/>
        <v>2.266</v>
      </c>
      <c r="BA105" s="34">
        <f t="shared" si="71"/>
        <v>0.28800000000000003</v>
      </c>
      <c r="BB105" s="34"/>
      <c r="BC105" s="34">
        <f t="shared" si="71"/>
        <v>6.6400000000000006</v>
      </c>
      <c r="BD105" s="34">
        <f t="shared" si="71"/>
        <v>1.6500000000000001</v>
      </c>
      <c r="BE105" s="34">
        <f t="shared" si="71"/>
        <v>0.90599999999999992</v>
      </c>
      <c r="BF105" s="34">
        <f t="shared" si="71"/>
        <v>0.22639999999999999</v>
      </c>
      <c r="BG105" s="39"/>
    </row>
    <row r="106" spans="1:70" x14ac:dyDescent="0.2">
      <c r="A106" s="71"/>
      <c r="Q106" s="38" t="e">
        <f t="shared" si="37"/>
        <v>#DIV/0!</v>
      </c>
      <c r="T106" s="38"/>
      <c r="V106" s="76"/>
      <c r="Z106" s="46"/>
      <c r="AA106" s="46"/>
      <c r="AB106" s="46"/>
      <c r="AC106" s="46"/>
      <c r="AD106" s="76"/>
      <c r="AE106" s="76"/>
      <c r="AF106" s="76"/>
      <c r="AG106" s="76"/>
      <c r="AH106" s="76"/>
      <c r="AI106" s="76"/>
      <c r="AL106" s="38"/>
      <c r="AM106" s="39"/>
      <c r="AN106" s="39"/>
      <c r="AO106" s="76"/>
      <c r="AP106" s="38"/>
      <c r="AQ106" s="38"/>
      <c r="AR106" s="38"/>
      <c r="AS106" s="38"/>
      <c r="AX106" s="49"/>
      <c r="AZ106" s="38"/>
      <c r="BA106" s="38"/>
      <c r="BB106" s="38"/>
      <c r="BC106" s="39"/>
      <c r="BD106" s="39"/>
      <c r="BE106" s="38"/>
      <c r="BF106" s="38"/>
      <c r="BI106" s="34">
        <f>AVERAGE(BI70:BI105)</f>
        <v>61.298278728914006</v>
      </c>
      <c r="BJ106" s="34">
        <f>AVERAGE(BJ70:BJ105)</f>
        <v>0.65234518364821736</v>
      </c>
      <c r="BK106" s="34"/>
      <c r="BL106" s="34">
        <f>AVERAGE(BL70:BL105)</f>
        <v>71.836562370524476</v>
      </c>
      <c r="BO106" s="49"/>
    </row>
    <row r="107" spans="1:70" x14ac:dyDescent="0.2">
      <c r="A107" s="71"/>
      <c r="Q107" s="38" t="e">
        <f t="shared" si="37"/>
        <v>#DIV/0!</v>
      </c>
      <c r="T107" s="38"/>
      <c r="V107" s="76"/>
      <c r="Z107" s="46"/>
      <c r="AA107" s="46"/>
      <c r="AB107" s="46"/>
      <c r="AC107" s="46"/>
      <c r="AD107" s="76"/>
      <c r="AE107" s="76"/>
      <c r="AF107" s="76"/>
      <c r="AG107" s="76"/>
      <c r="AH107" s="76"/>
      <c r="AI107" s="76"/>
      <c r="AL107" s="38"/>
      <c r="AM107" s="39"/>
      <c r="AN107" s="39"/>
      <c r="AO107" s="76"/>
      <c r="AP107" s="38"/>
      <c r="AQ107" s="38"/>
      <c r="AR107" s="38"/>
      <c r="AS107" s="38"/>
      <c r="AX107" s="49"/>
      <c r="AZ107" s="38"/>
      <c r="BA107" s="38"/>
      <c r="BB107" s="38"/>
      <c r="BC107" s="39"/>
      <c r="BD107" s="39"/>
      <c r="BE107" s="38"/>
      <c r="BF107" s="38"/>
      <c r="BI107" s="34"/>
      <c r="BJ107" s="34"/>
      <c r="BK107" s="34"/>
      <c r="BL107" s="34"/>
      <c r="BO107" s="49"/>
    </row>
    <row r="108" spans="1:70" x14ac:dyDescent="0.2">
      <c r="A108" s="71"/>
      <c r="Q108" s="38" t="e">
        <f t="shared" si="37"/>
        <v>#DIV/0!</v>
      </c>
      <c r="T108" s="38"/>
      <c r="V108" s="76"/>
      <c r="Z108" s="46"/>
      <c r="AA108" s="46"/>
      <c r="AB108" s="46"/>
      <c r="AC108" s="46"/>
      <c r="AD108" s="76"/>
      <c r="AE108" s="76"/>
      <c r="AF108" s="76"/>
      <c r="AG108" s="76"/>
      <c r="AH108" s="76"/>
      <c r="AI108" s="76"/>
      <c r="AL108" s="38"/>
      <c r="AM108" s="39"/>
      <c r="AN108" s="39"/>
      <c r="AO108" s="76"/>
      <c r="AP108" s="38"/>
      <c r="AQ108" s="38"/>
      <c r="AR108" s="38"/>
      <c r="AS108" s="38"/>
      <c r="AX108" s="49"/>
      <c r="AZ108" s="38"/>
      <c r="BA108" s="38"/>
      <c r="BB108" s="38"/>
      <c r="BC108" s="39"/>
      <c r="BD108" s="39"/>
      <c r="BE108" s="38"/>
      <c r="BF108" s="38"/>
      <c r="BI108" s="34"/>
      <c r="BJ108" s="34"/>
      <c r="BK108" s="34"/>
      <c r="BL108" s="34"/>
      <c r="BO108" s="49"/>
    </row>
    <row r="109" spans="1:70" x14ac:dyDescent="0.2">
      <c r="A109" s="71"/>
      <c r="Q109" s="38" t="e">
        <f t="shared" si="37"/>
        <v>#DIV/0!</v>
      </c>
      <c r="T109" s="38"/>
      <c r="V109" s="76"/>
      <c r="Z109" s="46"/>
      <c r="AA109" s="46"/>
      <c r="AB109" s="46"/>
      <c r="AC109" s="46"/>
      <c r="AD109" s="76"/>
      <c r="AE109" s="76"/>
      <c r="AF109" s="76"/>
      <c r="AG109" s="76"/>
      <c r="AH109" s="76"/>
      <c r="AI109" s="76"/>
      <c r="AL109" s="38"/>
      <c r="AM109" s="39"/>
      <c r="AN109" s="39"/>
      <c r="AO109" s="76"/>
      <c r="AP109" s="38"/>
      <c r="AQ109" s="38"/>
      <c r="AR109" s="38"/>
      <c r="AS109" s="38"/>
      <c r="AX109" s="49"/>
      <c r="AZ109" s="38"/>
      <c r="BA109" s="38"/>
      <c r="BB109" s="38"/>
      <c r="BC109" s="39"/>
      <c r="BD109" s="39"/>
      <c r="BE109" s="38"/>
      <c r="BF109" s="38"/>
      <c r="BI109" s="34"/>
      <c r="BJ109" s="34"/>
      <c r="BK109" s="34"/>
      <c r="BL109" s="34"/>
      <c r="BO109" s="49"/>
    </row>
    <row r="110" spans="1:70" x14ac:dyDescent="0.2">
      <c r="A110" s="71"/>
      <c r="Q110" s="38" t="e">
        <f t="shared" si="37"/>
        <v>#DIV/0!</v>
      </c>
      <c r="T110" s="38"/>
      <c r="V110" s="76"/>
      <c r="Z110" s="46"/>
      <c r="AA110" s="46"/>
      <c r="AB110" s="46"/>
      <c r="AC110" s="46"/>
      <c r="AD110" s="76"/>
      <c r="AE110" s="76"/>
      <c r="AF110" s="76"/>
      <c r="AG110" s="76"/>
      <c r="AH110" s="76"/>
      <c r="AI110" s="76"/>
      <c r="AL110" s="38"/>
      <c r="AM110" s="39"/>
      <c r="AN110" s="39"/>
      <c r="AO110" s="76"/>
      <c r="AP110" s="38"/>
      <c r="AQ110" s="38"/>
      <c r="AR110" s="38"/>
      <c r="AS110" s="38"/>
      <c r="AX110" s="49"/>
      <c r="AZ110" s="38"/>
      <c r="BA110" s="38"/>
      <c r="BB110" s="38"/>
      <c r="BC110" s="39"/>
      <c r="BD110" s="39"/>
      <c r="BE110" s="38"/>
      <c r="BF110" s="38"/>
      <c r="BI110" s="34"/>
      <c r="BJ110" s="34"/>
      <c r="BK110" s="34"/>
      <c r="BL110" s="34"/>
      <c r="BO110" s="49"/>
    </row>
    <row r="111" spans="1:70" x14ac:dyDescent="0.2">
      <c r="A111" s="71"/>
      <c r="Q111" s="38" t="e">
        <f t="shared" si="37"/>
        <v>#DIV/0!</v>
      </c>
      <c r="T111" s="38"/>
      <c r="V111" s="76"/>
      <c r="Z111" s="46"/>
      <c r="AA111" s="46"/>
      <c r="AB111" s="46"/>
      <c r="AC111" s="46"/>
      <c r="AD111" s="76"/>
      <c r="AE111" s="76"/>
      <c r="AF111" s="76"/>
      <c r="AG111" s="76"/>
      <c r="AH111" s="76"/>
      <c r="AI111" s="76"/>
      <c r="AL111" s="38"/>
      <c r="AM111" s="39"/>
      <c r="AN111" s="39"/>
      <c r="AO111" s="76"/>
      <c r="AP111" s="38"/>
      <c r="AQ111" s="38"/>
      <c r="AR111" s="38"/>
      <c r="AS111" s="38"/>
      <c r="AX111" s="49"/>
      <c r="AZ111" s="38"/>
      <c r="BA111" s="38"/>
      <c r="BB111" s="38"/>
      <c r="BC111" s="39"/>
      <c r="BD111" s="39"/>
      <c r="BE111" s="38"/>
      <c r="BF111" s="38"/>
      <c r="BI111" s="34"/>
      <c r="BJ111" s="34"/>
      <c r="BK111" s="34"/>
      <c r="BL111" s="34"/>
      <c r="BO111" s="49"/>
    </row>
    <row r="112" spans="1:70" x14ac:dyDescent="0.2">
      <c r="A112" s="71"/>
      <c r="Q112" s="38" t="e">
        <f t="shared" si="37"/>
        <v>#DIV/0!</v>
      </c>
      <c r="T112" s="38"/>
      <c r="V112" s="76"/>
      <c r="Z112" s="46"/>
      <c r="AA112" s="46"/>
      <c r="AB112" s="46"/>
      <c r="AC112" s="46"/>
      <c r="AD112" s="76"/>
      <c r="AE112" s="76"/>
      <c r="AF112" s="76"/>
      <c r="AG112" s="76"/>
      <c r="AH112" s="76"/>
      <c r="AI112" s="76"/>
      <c r="AL112" s="38"/>
      <c r="AM112" s="39"/>
      <c r="AN112" s="39"/>
      <c r="AO112" s="76"/>
      <c r="AP112" s="38"/>
      <c r="AQ112" s="38"/>
      <c r="AR112" s="38"/>
      <c r="AS112" s="38"/>
      <c r="AX112" s="49"/>
      <c r="AZ112" s="38"/>
      <c r="BA112" s="38"/>
      <c r="BB112" s="38"/>
      <c r="BC112" s="39"/>
      <c r="BD112" s="39"/>
      <c r="BE112" s="38"/>
      <c r="BF112" s="38"/>
      <c r="BI112" s="34"/>
      <c r="BJ112" s="34"/>
      <c r="BK112" s="34"/>
      <c r="BL112" s="34"/>
      <c r="BO112" s="49"/>
    </row>
    <row r="113" spans="1:70" x14ac:dyDescent="0.2">
      <c r="A113" s="71" t="s">
        <v>454</v>
      </c>
      <c r="B113" s="50" t="s">
        <v>683</v>
      </c>
      <c r="C113" s="50" t="s">
        <v>684</v>
      </c>
      <c r="D113" s="253">
        <f>SUM(E113:O113)+0.34</f>
        <v>100.04942290627666</v>
      </c>
      <c r="E113" s="38">
        <v>44.7</v>
      </c>
      <c r="F113" s="38">
        <v>3.08</v>
      </c>
      <c r="G113" s="38">
        <v>8.74</v>
      </c>
      <c r="H113" s="127">
        <f>H116</f>
        <v>0.39942290627665022</v>
      </c>
      <c r="I113" s="38">
        <v>23</v>
      </c>
      <c r="J113" s="49">
        <v>0.33</v>
      </c>
      <c r="K113" s="38">
        <v>8.4499999999999993</v>
      </c>
      <c r="L113" s="38">
        <v>10.9</v>
      </c>
      <c r="M113" s="49" t="s">
        <v>851</v>
      </c>
      <c r="N113" s="49">
        <v>0.11</v>
      </c>
      <c r="Q113" s="38">
        <f t="shared" si="37"/>
        <v>39.573846578953898</v>
      </c>
      <c r="T113" s="38"/>
      <c r="V113" s="76"/>
      <c r="Z113" s="46"/>
      <c r="AA113" s="46"/>
      <c r="AB113" s="46"/>
      <c r="AC113" s="46"/>
      <c r="AD113" s="76"/>
      <c r="AE113" s="76"/>
      <c r="AF113" s="76"/>
      <c r="AG113" s="76"/>
      <c r="AH113" s="76"/>
      <c r="AI113" s="76"/>
      <c r="AL113" s="38"/>
      <c r="AM113" s="39"/>
      <c r="AN113" s="39"/>
      <c r="AO113" s="76"/>
      <c r="AP113" s="38"/>
      <c r="AQ113" s="38"/>
      <c r="AR113" s="38"/>
      <c r="AS113" s="38"/>
      <c r="AX113" s="49"/>
      <c r="AZ113" s="38"/>
      <c r="BA113" s="38"/>
      <c r="BB113" s="38"/>
      <c r="BC113" s="39"/>
      <c r="BD113" s="39"/>
      <c r="BE113" s="38"/>
      <c r="BF113" s="38"/>
      <c r="BI113" s="38"/>
      <c r="BJ113" s="39"/>
      <c r="BK113" s="38">
        <f>(K113/40.304)/(K113/40.304+I113/71.846)</f>
        <v>0.39573846578953897</v>
      </c>
      <c r="BL113" s="39"/>
      <c r="BO113" s="49"/>
    </row>
    <row r="114" spans="1:70" x14ac:dyDescent="0.2">
      <c r="A114" s="71" t="s">
        <v>454</v>
      </c>
      <c r="B114" s="50" t="s">
        <v>51</v>
      </c>
      <c r="D114"/>
      <c r="F114" s="38">
        <v>3.19</v>
      </c>
      <c r="H114"/>
      <c r="Q114" s="38" t="e">
        <f t="shared" si="37"/>
        <v>#DIV/0!</v>
      </c>
      <c r="T114" s="38"/>
      <c r="V114" s="76"/>
      <c r="Z114" s="46"/>
      <c r="AA114" s="46"/>
      <c r="AB114" s="46"/>
      <c r="AC114" s="46"/>
      <c r="AD114" s="76"/>
      <c r="AE114" s="76"/>
      <c r="AF114" s="76">
        <v>52.8</v>
      </c>
      <c r="AG114" s="76"/>
      <c r="AH114" s="76"/>
      <c r="AI114" s="76"/>
      <c r="AL114" s="38">
        <v>11.29</v>
      </c>
      <c r="AM114" s="39">
        <v>30.58</v>
      </c>
      <c r="AN114" s="38">
        <v>4.22</v>
      </c>
      <c r="AO114" s="76">
        <v>20.68</v>
      </c>
      <c r="AP114" s="38">
        <v>6.68</v>
      </c>
      <c r="AQ114" s="38">
        <v>1.1399999999999999</v>
      </c>
      <c r="AR114" s="38">
        <v>8.5500000000000007</v>
      </c>
      <c r="AS114" s="38">
        <v>1.62</v>
      </c>
      <c r="AT114" s="38">
        <v>10.56</v>
      </c>
      <c r="AU114" s="38">
        <v>2.2599999999999998</v>
      </c>
      <c r="AV114" s="38">
        <v>6.58</v>
      </c>
      <c r="AW114" s="38">
        <v>0.9</v>
      </c>
      <c r="AX114" s="49">
        <v>5.81</v>
      </c>
      <c r="AY114" s="49">
        <v>0.83</v>
      </c>
      <c r="AZ114" s="38"/>
      <c r="BA114" s="38"/>
      <c r="BB114" s="38"/>
      <c r="BC114" s="39"/>
      <c r="BD114" s="39"/>
      <c r="BE114" s="38">
        <v>2.13</v>
      </c>
      <c r="BF114" s="38">
        <v>0.4</v>
      </c>
      <c r="BI114" s="38"/>
      <c r="BJ114" s="39"/>
      <c r="BK114" s="38"/>
      <c r="BL114" s="39"/>
      <c r="BO114" s="49"/>
    </row>
    <row r="115" spans="1:70" x14ac:dyDescent="0.2">
      <c r="A115" s="71" t="s">
        <v>510</v>
      </c>
      <c r="B115" s="50" t="s">
        <v>774</v>
      </c>
      <c r="C115" s="50" t="s">
        <v>1088</v>
      </c>
      <c r="D115" s="38">
        <f>SUM(E115:P115)</f>
        <v>99.61999999999999</v>
      </c>
      <c r="E115" s="283">
        <f>99.62-SUM(F115:M115)</f>
        <v>45.878</v>
      </c>
      <c r="F115" s="38">
        <v>3.15</v>
      </c>
      <c r="G115" s="38">
        <v>9.48</v>
      </c>
      <c r="H115" s="49">
        <v>0.38200000000000001</v>
      </c>
      <c r="I115" s="283">
        <v>21.9</v>
      </c>
      <c r="J115" s="49">
        <v>0.28999999999999998</v>
      </c>
      <c r="K115" s="38">
        <v>7.21</v>
      </c>
      <c r="L115" s="38">
        <v>10.99</v>
      </c>
      <c r="M115" s="49">
        <v>0.34</v>
      </c>
      <c r="N115" s="49" t="s">
        <v>1089</v>
      </c>
      <c r="Q115" s="38">
        <f t="shared" si="37"/>
        <v>36.983063343680932</v>
      </c>
      <c r="T115" s="38">
        <v>61</v>
      </c>
      <c r="V115" s="76">
        <f>H115*6842</f>
        <v>2613.6440000000002</v>
      </c>
      <c r="X115" s="39">
        <v>40.6</v>
      </c>
      <c r="Y115" s="76">
        <v>49.2</v>
      </c>
      <c r="Z115" s="76">
        <v>30.5</v>
      </c>
      <c r="AA115" s="38">
        <v>4.3099999999999996</v>
      </c>
      <c r="AB115" s="46"/>
      <c r="AC115" s="46"/>
      <c r="AD115" s="76">
        <v>1.78</v>
      </c>
      <c r="AE115" s="76">
        <v>132</v>
      </c>
      <c r="AF115" s="76">
        <v>65.709999999999994</v>
      </c>
      <c r="AG115" s="76">
        <v>206</v>
      </c>
      <c r="AH115" s="38">
        <v>15.26</v>
      </c>
      <c r="AI115" s="76"/>
      <c r="AJ115" s="38">
        <v>5.0999999999999997E-2</v>
      </c>
      <c r="AK115" s="76">
        <v>371</v>
      </c>
      <c r="AL115" s="38">
        <v>11.75</v>
      </c>
      <c r="AM115" s="39">
        <v>31.77</v>
      </c>
      <c r="AN115" s="39">
        <v>4.5199999999999996</v>
      </c>
      <c r="AO115" s="39">
        <v>21.21</v>
      </c>
      <c r="AP115" s="38">
        <v>6.73</v>
      </c>
      <c r="AQ115" s="49">
        <v>1.1299999999999999</v>
      </c>
      <c r="AR115" s="38">
        <v>8.9</v>
      </c>
      <c r="AS115" s="38">
        <v>1.66</v>
      </c>
      <c r="AT115" s="50">
        <v>10.73</v>
      </c>
      <c r="AU115" s="50">
        <v>2.35</v>
      </c>
      <c r="AV115" s="50">
        <v>6.46</v>
      </c>
      <c r="AX115" s="38">
        <v>5.86</v>
      </c>
      <c r="AY115" s="49">
        <v>0.89300000000000002</v>
      </c>
      <c r="AZ115" s="38">
        <v>5.05</v>
      </c>
      <c r="BA115" s="38">
        <v>0.8</v>
      </c>
      <c r="BB115" s="38">
        <v>0.31</v>
      </c>
      <c r="BC115" s="39"/>
      <c r="BD115" s="39"/>
      <c r="BE115" s="38">
        <v>2.0099999999999998</v>
      </c>
      <c r="BF115" s="38">
        <v>0.46</v>
      </c>
      <c r="BG115" s="50">
        <v>132</v>
      </c>
      <c r="BI115" s="38"/>
      <c r="BJ115" s="39"/>
      <c r="BK115" s="38"/>
      <c r="BL115" s="39"/>
      <c r="BO115" s="49"/>
      <c r="BP115" s="116">
        <f>196.6*10^(LOG10(AP115/147.1)+(LOG10(AP115/147.1)-LOG10(AL115/234.7))*0.4)</f>
        <v>8.6763477594781477</v>
      </c>
      <c r="BQ115" s="116">
        <f>196.6*10^(LOG10(AP115/147.1)+0.6666*(LOG10(AS115/36.3)-LOG10(AP115/147.1)))</f>
        <v>8.9919103036309682</v>
      </c>
      <c r="BR115" s="116">
        <f>196.6*10^(LOG10(AS115/36.3)-(LOG10(AX115/162.5)-LOG10(AS115/36.3))/5)</f>
        <v>9.427931511415153</v>
      </c>
    </row>
    <row r="116" spans="1:70" x14ac:dyDescent="0.2">
      <c r="A116" s="71" t="s">
        <v>880</v>
      </c>
      <c r="B116" s="50" t="s">
        <v>675</v>
      </c>
      <c r="C116" s="50" t="s">
        <v>1321</v>
      </c>
      <c r="D116" s="38"/>
      <c r="H116" s="49">
        <f>V116*1.4616/10000</f>
        <v>0.39942290627665022</v>
      </c>
      <c r="I116" s="38">
        <v>22.271076356360027</v>
      </c>
      <c r="M116" s="49">
        <v>0.34120053706156961</v>
      </c>
      <c r="Q116" s="38">
        <f t="shared" si="37"/>
        <v>0</v>
      </c>
      <c r="T116" s="38">
        <v>56.414829279009439</v>
      </c>
      <c r="V116" s="76">
        <v>2732.77850490319</v>
      </c>
      <c r="X116" s="39">
        <v>42.447275012073248</v>
      </c>
      <c r="Y116" s="76">
        <v>62.578094280843516</v>
      </c>
      <c r="Z116" s="46"/>
      <c r="AA116" s="46"/>
      <c r="AB116" s="46"/>
      <c r="AC116" s="46"/>
      <c r="AD116" s="76"/>
      <c r="AE116" s="76">
        <v>134.32966858607105</v>
      </c>
      <c r="AF116" s="291">
        <f>1560*10^((LOG10(AU116/55.6)+LOG10(AV116/158.9))/2)</f>
        <v>61.08841713452707</v>
      </c>
      <c r="AG116" s="76">
        <v>191.07861910423105</v>
      </c>
      <c r="AH116" s="76"/>
      <c r="AI116" s="76"/>
      <c r="AK116" s="76">
        <v>268.89163617567033</v>
      </c>
      <c r="AL116" s="38">
        <v>11.385579896361401</v>
      </c>
      <c r="AM116" s="39">
        <v>30.027245226449253</v>
      </c>
      <c r="AN116" s="199">
        <f>89.1*EXP((LN(AL116/234.7)+2*LN(AO116/452.4))/3)</f>
        <v>4.0864744435150664</v>
      </c>
      <c r="AO116" s="72">
        <v>20.174751228436385</v>
      </c>
      <c r="AP116" s="34">
        <v>6.6166702707178242</v>
      </c>
      <c r="AQ116" s="37">
        <v>1.1131024773577138</v>
      </c>
      <c r="AR116" s="200">
        <f>AVERAGE(BP116:BR116)</f>
        <v>8.7540917427565095</v>
      </c>
      <c r="AS116" s="38">
        <v>1.5935743571820646</v>
      </c>
      <c r="AT116" s="200">
        <f>(242.7*10^((4*LOG10(AS116/36.3)+LOG10(AX116/162.5))/5)+242.7*10^((4*LOG10(AP116/147.1)+4*LOG10(AX116/162.5))/8))/2</f>
        <v>10.000920725347175</v>
      </c>
      <c r="AU116" s="200">
        <f>(55.6*10^((3*LOG10(AS116/36.3)+2*LOG10(AX116/162.5))/5)+55.6*10^((3*LOG10(AP116/147.1)+5*LOG10(AX116/162.5))/8))/2</f>
        <v>2.2145352388361781</v>
      </c>
      <c r="AV116" s="200">
        <f>(158.9*10^((2*LOG10(AS116/36.3)+3*LOG10(AX116/162.5))/5)+158.9*10^((2*LOG10(AP116/147.1)+6*LOG10(AX116/162.5))/8))/2</f>
        <v>6.1176502037810128</v>
      </c>
      <c r="AW116" s="201">
        <f>(24.2*10^((LOG10(AS116/36.3)+4*LOG10(AX116/162.5))/5)+24.2*10^((LOG10(AP116/147.1)+7*LOG10(AX116/162.5))/8))/2</f>
        <v>0.90062582834586125</v>
      </c>
      <c r="AX116" s="38">
        <v>5.8460972244396823</v>
      </c>
      <c r="AY116" s="49">
        <v>0.82357680631938823</v>
      </c>
      <c r="AZ116" s="38">
        <v>5.0231444044458584</v>
      </c>
      <c r="BA116" s="38">
        <v>0.62929074341513225</v>
      </c>
      <c r="BB116" s="38"/>
      <c r="BC116" s="39"/>
      <c r="BD116" s="39">
        <v>3.1792497466597349</v>
      </c>
      <c r="BE116" s="38">
        <v>1.8876905351351279</v>
      </c>
      <c r="BF116" s="38">
        <v>0.47596422228497082</v>
      </c>
      <c r="BG116" s="50">
        <v>398.19</v>
      </c>
      <c r="BI116" s="38"/>
      <c r="BJ116" s="39"/>
      <c r="BK116" s="38"/>
      <c r="BL116" s="39"/>
      <c r="BO116" s="49"/>
      <c r="BP116" s="116">
        <f>196.6*10^(LOG10(AP116/147.1)+(LOG10(AP116/147.1)-LOG10(AL116/234.7))*0.4)</f>
        <v>8.5799396981739058</v>
      </c>
      <c r="BQ116" s="116">
        <f>196.6*10^(LOG10(AP116/147.1)+0.6666*(LOG10(AS116/36.3)-LOG10(AP116/147.1)))</f>
        <v>8.7010225882732239</v>
      </c>
      <c r="BR116" s="116">
        <f>196.6*10^(LOG10(AS116/36.3)-(LOG10(AX116/162.5)-LOG10(AS116/36.3))/5)</f>
        <v>8.981312941822404</v>
      </c>
    </row>
    <row r="117" spans="1:70" x14ac:dyDescent="0.2">
      <c r="A117" s="71" t="s">
        <v>880</v>
      </c>
      <c r="B117" s="50" t="s">
        <v>1322</v>
      </c>
      <c r="C117" s="50" t="s">
        <v>1321</v>
      </c>
      <c r="D117" s="38">
        <f>SUM(E117:P117)</f>
        <v>98.450628282103878</v>
      </c>
      <c r="E117" s="38">
        <v>44.759975694864416</v>
      </c>
      <c r="F117" s="38">
        <v>2.9763750680434935</v>
      </c>
      <c r="G117" s="38">
        <v>9.3436420402771354</v>
      </c>
      <c r="H117" s="49" t="s">
        <v>1323</v>
      </c>
      <c r="I117" s="38">
        <v>22.271076356360027</v>
      </c>
      <c r="J117" s="49">
        <v>0.28196982317710045</v>
      </c>
      <c r="K117" s="38">
        <v>8.0247570326171918</v>
      </c>
      <c r="L117" s="38">
        <v>10.608224679621525</v>
      </c>
      <c r="M117" s="49" t="s">
        <v>1324</v>
      </c>
      <c r="N117" s="49">
        <v>9.465347980318195E-2</v>
      </c>
      <c r="O117" s="49">
        <v>8.9954107339791256E-2</v>
      </c>
      <c r="Q117" s="38">
        <f t="shared" si="37"/>
        <v>39.110180241889708</v>
      </c>
      <c r="T117" s="38"/>
      <c r="V117" s="76"/>
      <c r="Z117" s="46"/>
      <c r="AA117" s="46"/>
      <c r="AB117" s="46"/>
      <c r="AC117" s="46"/>
      <c r="AD117" s="76"/>
      <c r="AE117" s="76"/>
      <c r="AF117" s="76"/>
      <c r="AG117" s="76"/>
      <c r="AH117" s="76"/>
      <c r="AI117" s="76"/>
      <c r="AL117" s="38"/>
      <c r="AM117" s="39"/>
      <c r="AN117" s="39"/>
      <c r="AO117" s="39"/>
      <c r="AP117" s="38"/>
      <c r="AQ117" s="49"/>
      <c r="AR117" s="38"/>
      <c r="AS117" s="38"/>
      <c r="AX117" s="38"/>
      <c r="AZ117" s="38"/>
      <c r="BA117" s="38"/>
      <c r="BB117" s="38"/>
      <c r="BC117" s="39"/>
      <c r="BD117" s="39"/>
      <c r="BE117" s="38"/>
      <c r="BF117" s="38"/>
      <c r="BI117" s="38"/>
      <c r="BJ117" s="39"/>
      <c r="BK117" s="49">
        <f>(K117/40.304)/(K117/40.304+I116/71.846)</f>
        <v>0.39110180241889708</v>
      </c>
      <c r="BL117" s="39"/>
      <c r="BO117" s="49"/>
    </row>
    <row r="118" spans="1:70" s="36" customFormat="1" x14ac:dyDescent="0.2">
      <c r="A118" s="77" t="s">
        <v>1325</v>
      </c>
      <c r="B118" s="36" t="s">
        <v>279</v>
      </c>
      <c r="D118" s="34"/>
      <c r="E118" s="34">
        <f>AVERAGE(E113:E117)</f>
        <v>45.112658564954806</v>
      </c>
      <c r="F118" s="34">
        <f t="shared" ref="F118:BF118" si="72">AVERAGE(F113:F117)</f>
        <v>3.0990937670108734</v>
      </c>
      <c r="G118" s="34">
        <f t="shared" si="72"/>
        <v>9.1878806800923787</v>
      </c>
      <c r="H118" s="37">
        <f t="shared" si="72"/>
        <v>0.3936152708511001</v>
      </c>
      <c r="I118" s="34">
        <f t="shared" si="72"/>
        <v>22.360538178180015</v>
      </c>
      <c r="J118" s="37">
        <f t="shared" si="72"/>
        <v>0.30065660772570019</v>
      </c>
      <c r="K118" s="34">
        <f t="shared" si="72"/>
        <v>7.894919010872397</v>
      </c>
      <c r="L118" s="34">
        <f t="shared" si="72"/>
        <v>10.832741559873844</v>
      </c>
      <c r="M118" s="37">
        <f t="shared" si="72"/>
        <v>0.34060026853078484</v>
      </c>
      <c r="N118" s="37">
        <f t="shared" si="72"/>
        <v>0.10232673990159097</v>
      </c>
      <c r="O118" s="37">
        <f t="shared" si="72"/>
        <v>8.9954107339791256E-2</v>
      </c>
      <c r="Q118" s="38">
        <f t="shared" si="37"/>
        <v>38.627340844434961</v>
      </c>
      <c r="T118" s="36">
        <f t="shared" si="72"/>
        <v>58.707414639504719</v>
      </c>
      <c r="U118" s="35"/>
      <c r="V118" s="35">
        <f t="shared" si="72"/>
        <v>2673.2112524515951</v>
      </c>
      <c r="X118" s="72">
        <f t="shared" si="72"/>
        <v>41.523637506036621</v>
      </c>
      <c r="Y118" s="35">
        <f t="shared" si="72"/>
        <v>55.889047140421759</v>
      </c>
      <c r="Z118" s="35">
        <f t="shared" si="72"/>
        <v>30.5</v>
      </c>
      <c r="AD118" s="35">
        <f t="shared" si="72"/>
        <v>1.78</v>
      </c>
      <c r="AE118" s="35">
        <f t="shared" si="72"/>
        <v>133.16483429303554</v>
      </c>
      <c r="AF118" s="35">
        <f t="shared" si="72"/>
        <v>59.866139044842356</v>
      </c>
      <c r="AG118" s="35">
        <f t="shared" si="72"/>
        <v>198.53930955211553</v>
      </c>
      <c r="AJ118" s="34">
        <f t="shared" si="72"/>
        <v>5.0999999999999997E-2</v>
      </c>
      <c r="AK118" s="35">
        <f t="shared" si="72"/>
        <v>319.94581808783516</v>
      </c>
      <c r="AL118" s="36">
        <f t="shared" si="72"/>
        <v>11.475193298787133</v>
      </c>
      <c r="AM118" s="36">
        <f t="shared" ref="AM118:AY118" si="73">AVERAGE(AM113:AM117)</f>
        <v>30.792415075483081</v>
      </c>
      <c r="AN118" s="36">
        <f t="shared" si="73"/>
        <v>4.275491481171688</v>
      </c>
      <c r="AO118" s="36">
        <f t="shared" si="73"/>
        <v>20.688250409478794</v>
      </c>
      <c r="AP118" s="36">
        <f t="shared" si="73"/>
        <v>6.6755567569059409</v>
      </c>
      <c r="AQ118" s="36">
        <f t="shared" si="73"/>
        <v>1.1277008257859045</v>
      </c>
      <c r="AR118" s="36">
        <f t="shared" si="73"/>
        <v>8.7346972475855029</v>
      </c>
      <c r="AS118" s="36">
        <f t="shared" si="73"/>
        <v>1.624524785727355</v>
      </c>
      <c r="AT118" s="36">
        <f t="shared" si="73"/>
        <v>10.430306908449058</v>
      </c>
      <c r="AU118" s="36">
        <f t="shared" si="73"/>
        <v>2.2748450796120592</v>
      </c>
      <c r="AV118" s="36">
        <f t="shared" si="73"/>
        <v>6.3858834012603367</v>
      </c>
      <c r="AW118" s="34">
        <f t="shared" si="73"/>
        <v>0.90031291417293069</v>
      </c>
      <c r="AX118" s="36">
        <f t="shared" si="73"/>
        <v>5.8386990748132277</v>
      </c>
      <c r="AY118" s="36">
        <f t="shared" si="73"/>
        <v>0.84885893543979607</v>
      </c>
      <c r="AZ118" s="36">
        <f t="shared" si="72"/>
        <v>5.0365722022229296</v>
      </c>
      <c r="BA118" s="36">
        <f t="shared" si="72"/>
        <v>0.71464537170756615</v>
      </c>
      <c r="BC118" s="36" t="e">
        <f t="shared" si="72"/>
        <v>#DIV/0!</v>
      </c>
      <c r="BD118" s="72">
        <f t="shared" si="72"/>
        <v>3.1792497466597349</v>
      </c>
      <c r="BE118" s="34">
        <f t="shared" si="72"/>
        <v>2.0092301783783757</v>
      </c>
      <c r="BF118" s="34">
        <f t="shared" si="72"/>
        <v>0.44532140742832366</v>
      </c>
      <c r="BI118" s="34"/>
      <c r="BJ118" s="72"/>
      <c r="BK118" s="72"/>
      <c r="BL118" s="72"/>
      <c r="BO118" s="37"/>
    </row>
    <row r="119" spans="1:70" s="36" customFormat="1" x14ac:dyDescent="0.2">
      <c r="A119" s="77" t="s">
        <v>685</v>
      </c>
      <c r="B119" s="36" t="s">
        <v>685</v>
      </c>
      <c r="D119" s="38">
        <f>SUM(E119:P119)</f>
        <v>99.714984755333262</v>
      </c>
      <c r="E119" s="34">
        <f>AVERAGE(E113:E117)</f>
        <v>45.112658564954806</v>
      </c>
      <c r="F119" s="34">
        <f t="shared" ref="F119:O119" si="74">AVERAGE(F113:F117)</f>
        <v>3.0990937670108734</v>
      </c>
      <c r="G119" s="34">
        <f t="shared" si="74"/>
        <v>9.1878806800923787</v>
      </c>
      <c r="H119" s="37">
        <f t="shared" si="74"/>
        <v>0.3936152708511001</v>
      </c>
      <c r="I119" s="34">
        <f t="shared" si="74"/>
        <v>22.360538178180015</v>
      </c>
      <c r="J119" s="37">
        <f t="shared" si="74"/>
        <v>0.30065660772570019</v>
      </c>
      <c r="K119" s="34">
        <f t="shared" si="74"/>
        <v>7.894919010872397</v>
      </c>
      <c r="L119" s="34">
        <f t="shared" si="74"/>
        <v>10.832741559873844</v>
      </c>
      <c r="M119" s="37">
        <f t="shared" si="74"/>
        <v>0.34060026853078484</v>
      </c>
      <c r="N119" s="37">
        <f t="shared" si="74"/>
        <v>0.10232673990159097</v>
      </c>
      <c r="O119" s="37">
        <f t="shared" si="74"/>
        <v>8.9954107339791256E-2</v>
      </c>
      <c r="P119" s="34"/>
      <c r="Q119" s="38">
        <f t="shared" si="37"/>
        <v>38.627340844434961</v>
      </c>
      <c r="T119" s="36">
        <f t="shared" ref="T119:BF119" si="75">T118</f>
        <v>58.707414639504719</v>
      </c>
      <c r="U119" s="35">
        <f t="shared" si="75"/>
        <v>0</v>
      </c>
      <c r="V119" s="35">
        <f t="shared" si="75"/>
        <v>2673.2112524515951</v>
      </c>
      <c r="X119" s="72">
        <f t="shared" si="75"/>
        <v>41.523637506036621</v>
      </c>
      <c r="Y119" s="35">
        <f t="shared" si="75"/>
        <v>55.889047140421759</v>
      </c>
      <c r="Z119" s="35">
        <f t="shared" si="75"/>
        <v>30.5</v>
      </c>
      <c r="AD119" s="35">
        <f t="shared" si="75"/>
        <v>1.78</v>
      </c>
      <c r="AE119" s="35">
        <f t="shared" si="75"/>
        <v>133.16483429303554</v>
      </c>
      <c r="AF119" s="35">
        <f t="shared" si="75"/>
        <v>59.866139044842356</v>
      </c>
      <c r="AG119" s="35">
        <f t="shared" si="75"/>
        <v>198.53930955211553</v>
      </c>
      <c r="AJ119" s="34">
        <f t="shared" si="75"/>
        <v>5.0999999999999997E-2</v>
      </c>
      <c r="AK119" s="35">
        <f t="shared" si="75"/>
        <v>319.94581808783516</v>
      </c>
      <c r="AL119" s="36">
        <f t="shared" si="75"/>
        <v>11.475193298787133</v>
      </c>
      <c r="AM119" s="36">
        <f t="shared" ref="AM119:AY119" si="76">AM118</f>
        <v>30.792415075483081</v>
      </c>
      <c r="AN119" s="36">
        <f t="shared" si="76"/>
        <v>4.275491481171688</v>
      </c>
      <c r="AO119" s="36">
        <f t="shared" si="76"/>
        <v>20.688250409478794</v>
      </c>
      <c r="AP119" s="36">
        <f t="shared" si="76"/>
        <v>6.6755567569059409</v>
      </c>
      <c r="AQ119" s="36">
        <f t="shared" si="76"/>
        <v>1.1277008257859045</v>
      </c>
      <c r="AR119" s="36">
        <f t="shared" si="76"/>
        <v>8.7346972475855029</v>
      </c>
      <c r="AS119" s="36">
        <f t="shared" si="76"/>
        <v>1.624524785727355</v>
      </c>
      <c r="AT119" s="36">
        <f t="shared" si="76"/>
        <v>10.430306908449058</v>
      </c>
      <c r="AU119" s="36">
        <f t="shared" si="76"/>
        <v>2.2748450796120592</v>
      </c>
      <c r="AV119" s="36">
        <f t="shared" si="76"/>
        <v>6.3858834012603367</v>
      </c>
      <c r="AW119" s="34">
        <f t="shared" si="76"/>
        <v>0.90031291417293069</v>
      </c>
      <c r="AX119" s="36">
        <f t="shared" si="76"/>
        <v>5.8386990748132277</v>
      </c>
      <c r="AY119" s="36">
        <f t="shared" si="76"/>
        <v>0.84885893543979607</v>
      </c>
      <c r="AZ119" s="36">
        <f t="shared" si="75"/>
        <v>5.0365722022229296</v>
      </c>
      <c r="BA119" s="36">
        <f t="shared" si="75"/>
        <v>0.71464537170756615</v>
      </c>
      <c r="BC119" s="36" t="e">
        <f t="shared" si="75"/>
        <v>#DIV/0!</v>
      </c>
      <c r="BD119" s="72">
        <f t="shared" si="75"/>
        <v>3.1792497466597349</v>
      </c>
      <c r="BE119" s="34">
        <f t="shared" si="75"/>
        <v>2.0092301783783757</v>
      </c>
      <c r="BF119" s="34">
        <f t="shared" si="75"/>
        <v>0.44532140742832366</v>
      </c>
      <c r="BI119" s="34"/>
      <c r="BJ119" s="72"/>
      <c r="BK119" s="38">
        <f>(K119/40.304)/(K119/40.304+I118/71.846)</f>
        <v>0.3862734084443496</v>
      </c>
      <c r="BL119" s="72"/>
      <c r="BO119" s="37"/>
    </row>
    <row r="120" spans="1:70" s="36" customFormat="1" x14ac:dyDescent="0.2">
      <c r="A120" s="77"/>
      <c r="D120" s="38"/>
      <c r="E120" s="34"/>
      <c r="F120" s="34"/>
      <c r="G120" s="34"/>
      <c r="H120" s="37"/>
      <c r="I120" s="34"/>
      <c r="J120" s="37"/>
      <c r="K120" s="34"/>
      <c r="L120" s="34"/>
      <c r="M120" s="37"/>
      <c r="N120" s="37"/>
      <c r="O120" s="37"/>
      <c r="P120" s="34"/>
      <c r="Q120" s="38" t="e">
        <f t="shared" si="37"/>
        <v>#DIV/0!</v>
      </c>
      <c r="U120" s="35"/>
      <c r="X120" s="72"/>
      <c r="Y120" s="35"/>
      <c r="AJ120" s="34"/>
      <c r="AK120" s="35"/>
      <c r="AY120" s="37"/>
      <c r="BE120" s="34"/>
      <c r="BF120" s="34"/>
      <c r="BI120" s="34"/>
      <c r="BJ120" s="72"/>
      <c r="BK120" s="38"/>
      <c r="BL120" s="72"/>
      <c r="BO120" s="37"/>
    </row>
    <row r="121" spans="1:70" x14ac:dyDescent="0.2">
      <c r="A121" s="71"/>
      <c r="D121" s="38"/>
      <c r="E121" s="38">
        <v>45.112658564954806</v>
      </c>
      <c r="F121" s="38">
        <v>3.0990937670108734</v>
      </c>
      <c r="G121" s="38">
        <v>9.1878806800923787</v>
      </c>
      <c r="H121" s="49">
        <v>0.3936152708511001</v>
      </c>
      <c r="I121" s="38">
        <v>22.360538178180015</v>
      </c>
      <c r="J121" s="49">
        <v>0.30065660772570019</v>
      </c>
      <c r="K121" s="38">
        <v>7.894919010872397</v>
      </c>
      <c r="L121" s="38">
        <v>10.832741559873844</v>
      </c>
      <c r="M121" s="49">
        <v>0.34060026853078484</v>
      </c>
      <c r="N121" s="49">
        <v>0.10232673990159097</v>
      </c>
      <c r="O121" s="49">
        <v>8.9954107339791256E-2</v>
      </c>
      <c r="P121" s="38"/>
      <c r="Q121" s="38">
        <f t="shared" si="37"/>
        <v>38.627340844434961</v>
      </c>
      <c r="BE121" s="38"/>
      <c r="BF121" s="38"/>
      <c r="BI121" s="38"/>
      <c r="BJ121" s="39"/>
      <c r="BK121" s="38"/>
      <c r="BL121" s="39"/>
      <c r="BO121" s="49"/>
    </row>
    <row r="122" spans="1:70" s="36" customFormat="1" x14ac:dyDescent="0.2">
      <c r="A122" s="71"/>
      <c r="D122" s="38"/>
      <c r="E122" s="34"/>
      <c r="F122" s="34"/>
      <c r="G122" s="34"/>
      <c r="H122" s="37"/>
      <c r="I122" s="34"/>
      <c r="J122" s="37"/>
      <c r="K122" s="34"/>
      <c r="L122" s="34"/>
      <c r="M122" s="37"/>
      <c r="N122" s="37"/>
      <c r="O122" s="37"/>
      <c r="P122" s="34"/>
      <c r="Q122" s="38" t="e">
        <f t="shared" si="37"/>
        <v>#DIV/0!</v>
      </c>
      <c r="U122" s="35"/>
      <c r="X122" s="72"/>
      <c r="Y122" s="35"/>
      <c r="AJ122" s="34"/>
      <c r="AK122" s="35"/>
      <c r="AY122" s="37"/>
      <c r="BE122" s="34"/>
      <c r="BF122" s="34"/>
      <c r="BI122" s="34"/>
      <c r="BJ122" s="72"/>
      <c r="BK122" s="38"/>
      <c r="BL122" s="72"/>
      <c r="BO122" s="37"/>
    </row>
    <row r="123" spans="1:70" s="36" customFormat="1" x14ac:dyDescent="0.2">
      <c r="A123" s="71"/>
      <c r="D123" s="38"/>
      <c r="E123" s="34"/>
      <c r="F123" s="34"/>
      <c r="G123" s="34"/>
      <c r="H123" s="37"/>
      <c r="I123" s="34"/>
      <c r="J123" s="37"/>
      <c r="K123" s="34"/>
      <c r="L123" s="34"/>
      <c r="M123" s="37"/>
      <c r="N123" s="37"/>
      <c r="O123" s="37"/>
      <c r="P123" s="34"/>
      <c r="Q123" s="38" t="e">
        <f t="shared" si="37"/>
        <v>#DIV/0!</v>
      </c>
      <c r="U123" s="35"/>
      <c r="X123" s="72"/>
      <c r="Y123" s="35"/>
      <c r="AJ123" s="34"/>
      <c r="AK123" s="35"/>
      <c r="AY123" s="37"/>
      <c r="BE123" s="34"/>
      <c r="BF123" s="34"/>
      <c r="BI123" s="34"/>
      <c r="BJ123" s="72"/>
      <c r="BK123" s="38"/>
      <c r="BL123" s="72"/>
      <c r="BO123" s="37"/>
    </row>
    <row r="124" spans="1:70" s="36" customFormat="1" x14ac:dyDescent="0.2">
      <c r="A124" s="71"/>
      <c r="E124" s="34" t="e">
        <f>AVERAGE(E122:E123)</f>
        <v>#DIV/0!</v>
      </c>
      <c r="F124" s="34" t="e">
        <f t="shared" ref="F124:O124" si="77">AVERAGE(F122:F123)</f>
        <v>#DIV/0!</v>
      </c>
      <c r="G124" s="34" t="e">
        <f t="shared" si="77"/>
        <v>#DIV/0!</v>
      </c>
      <c r="H124" s="34" t="e">
        <f t="shared" si="77"/>
        <v>#DIV/0!</v>
      </c>
      <c r="I124" s="34" t="e">
        <f t="shared" si="77"/>
        <v>#DIV/0!</v>
      </c>
      <c r="J124" s="34" t="e">
        <f t="shared" si="77"/>
        <v>#DIV/0!</v>
      </c>
      <c r="K124" s="34" t="e">
        <f t="shared" si="77"/>
        <v>#DIV/0!</v>
      </c>
      <c r="L124" s="34" t="e">
        <f t="shared" si="77"/>
        <v>#DIV/0!</v>
      </c>
      <c r="M124" s="34" t="e">
        <f t="shared" si="77"/>
        <v>#DIV/0!</v>
      </c>
      <c r="N124" s="34" t="e">
        <f t="shared" si="77"/>
        <v>#DIV/0!</v>
      </c>
      <c r="O124" s="34" t="e">
        <f t="shared" si="77"/>
        <v>#DIV/0!</v>
      </c>
      <c r="P124" s="37"/>
      <c r="Q124" s="38" t="e">
        <f t="shared" si="37"/>
        <v>#DIV/0!</v>
      </c>
      <c r="S124" s="37"/>
      <c r="T124" s="72"/>
      <c r="U124" s="35"/>
      <c r="V124" s="35"/>
      <c r="W124" s="35"/>
      <c r="X124" s="72"/>
      <c r="Y124" s="35"/>
      <c r="Z124" s="35"/>
      <c r="AA124" s="35"/>
      <c r="AB124" s="35"/>
      <c r="AC124" s="34"/>
      <c r="AD124" s="34"/>
      <c r="AE124" s="72"/>
      <c r="AF124" s="35"/>
      <c r="AG124" s="35"/>
      <c r="AH124" s="35"/>
      <c r="AI124" s="35"/>
      <c r="AJ124" s="34"/>
      <c r="AK124" s="34"/>
      <c r="AL124" s="35"/>
      <c r="AM124" s="34"/>
      <c r="AN124" s="72"/>
      <c r="AO124" s="34"/>
      <c r="AP124" s="72"/>
      <c r="AQ124" s="34"/>
      <c r="AR124" s="37"/>
      <c r="AS124" s="34"/>
      <c r="AT124" s="37"/>
      <c r="AU124" s="37"/>
      <c r="AV124" s="37"/>
      <c r="AW124" s="37"/>
      <c r="AX124" s="37"/>
      <c r="AY124" s="34"/>
      <c r="AZ124" s="37"/>
      <c r="BA124" s="34"/>
      <c r="BB124" s="34"/>
      <c r="BC124" s="72"/>
      <c r="BD124" s="72"/>
      <c r="BE124" s="72"/>
      <c r="BF124" s="34"/>
      <c r="BG124" s="34"/>
      <c r="BH124" s="34"/>
      <c r="BI124" s="34"/>
      <c r="BJ124" s="72"/>
      <c r="BK124" s="38"/>
      <c r="BL124" s="72"/>
      <c r="BO124" s="37"/>
    </row>
    <row r="125" spans="1:70" s="36" customFormat="1" x14ac:dyDescent="0.2">
      <c r="A125" s="77"/>
      <c r="D125" s="38"/>
      <c r="E125" s="34"/>
      <c r="F125" s="34"/>
      <c r="G125" s="34"/>
      <c r="H125" s="37"/>
      <c r="I125" s="34"/>
      <c r="J125" s="37"/>
      <c r="K125" s="34"/>
      <c r="L125" s="34"/>
      <c r="M125" s="37"/>
      <c r="N125" s="37"/>
      <c r="O125" s="37"/>
      <c r="P125" s="34"/>
      <c r="Q125" s="38" t="e">
        <f t="shared" si="37"/>
        <v>#DIV/0!</v>
      </c>
      <c r="U125" s="35"/>
      <c r="X125" s="72"/>
      <c r="Y125" s="35"/>
      <c r="AJ125" s="34"/>
      <c r="AK125" s="35"/>
      <c r="AY125" s="37"/>
      <c r="BE125" s="34"/>
      <c r="BF125" s="34"/>
      <c r="BI125" s="34"/>
      <c r="BJ125" s="72"/>
      <c r="BK125" s="38"/>
      <c r="BL125" s="72"/>
      <c r="BO125" s="37"/>
    </row>
    <row r="126" spans="1:70" s="36" customFormat="1" x14ac:dyDescent="0.2">
      <c r="A126" s="77"/>
      <c r="D126" s="38"/>
      <c r="E126" s="34"/>
      <c r="F126" s="34"/>
      <c r="G126" s="34"/>
      <c r="H126" s="37"/>
      <c r="I126" s="34"/>
      <c r="J126" s="37"/>
      <c r="K126" s="34"/>
      <c r="L126" s="34"/>
      <c r="M126" s="37"/>
      <c r="N126" s="37"/>
      <c r="O126" s="37"/>
      <c r="P126" s="34"/>
      <c r="Q126" s="38" t="e">
        <f t="shared" si="37"/>
        <v>#DIV/0!</v>
      </c>
      <c r="U126" s="35"/>
      <c r="X126" s="72"/>
      <c r="Y126" s="35"/>
      <c r="AJ126" s="34"/>
      <c r="AK126" s="35"/>
      <c r="AY126" s="37"/>
      <c r="BE126" s="34"/>
      <c r="BF126" s="34"/>
      <c r="BI126" s="34"/>
      <c r="BJ126" s="72"/>
      <c r="BK126" s="38"/>
      <c r="BL126" s="72"/>
      <c r="BO126" s="37"/>
    </row>
    <row r="127" spans="1:70" x14ac:dyDescent="0.2">
      <c r="A127" s="71"/>
      <c r="D127" s="38"/>
      <c r="P127" s="78" t="s">
        <v>1077</v>
      </c>
      <c r="Q127" s="38" t="e">
        <f t="shared" si="37"/>
        <v>#DIV/0!</v>
      </c>
      <c r="R127" s="49"/>
      <c r="S127" s="39"/>
      <c r="T127" s="38"/>
      <c r="V127" s="76"/>
      <c r="W127" s="38"/>
      <c r="Z127" s="39"/>
      <c r="AA127" s="39"/>
      <c r="AB127" s="39"/>
      <c r="AC127" s="39"/>
      <c r="AD127" s="39"/>
      <c r="AE127" s="76"/>
      <c r="AF127" s="76"/>
      <c r="AG127" s="76"/>
      <c r="AH127" s="76"/>
      <c r="AI127" s="76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Z127" s="38"/>
      <c r="BA127" s="38"/>
      <c r="BB127" s="38"/>
      <c r="BC127" s="39"/>
      <c r="BD127" s="39"/>
      <c r="BE127" s="38"/>
      <c r="BF127" s="38"/>
      <c r="BG127" s="39"/>
    </row>
    <row r="128" spans="1:70" x14ac:dyDescent="0.2">
      <c r="A128" s="71" t="s">
        <v>1070</v>
      </c>
      <c r="B128" s="55" t="s">
        <v>1076</v>
      </c>
      <c r="D128" s="38">
        <f t="shared" ref="D128:D134" si="78">SUM(E128:P128)</f>
        <v>100.00999999999999</v>
      </c>
      <c r="E128" s="38">
        <v>46</v>
      </c>
      <c r="F128" s="38">
        <v>3.11</v>
      </c>
      <c r="G128" s="38">
        <v>9.9499999999999993</v>
      </c>
      <c r="H128" s="49">
        <v>0.28999999999999998</v>
      </c>
      <c r="I128" s="38">
        <v>21.8</v>
      </c>
      <c r="J128" s="49">
        <v>0.32</v>
      </c>
      <c r="K128" s="38">
        <v>6.32</v>
      </c>
      <c r="L128" s="38">
        <v>11.4</v>
      </c>
      <c r="M128" s="49">
        <v>0.39</v>
      </c>
      <c r="N128" s="49">
        <v>0.1</v>
      </c>
      <c r="O128" s="49">
        <v>0.17</v>
      </c>
      <c r="P128" s="50">
        <v>0.16</v>
      </c>
      <c r="Q128" s="38">
        <f t="shared" si="37"/>
        <v>34.071343253370586</v>
      </c>
      <c r="R128" s="49"/>
      <c r="S128" s="39"/>
      <c r="T128" s="38">
        <v>52.8</v>
      </c>
      <c r="U128" s="76">
        <v>92</v>
      </c>
      <c r="V128" s="76">
        <v>1625</v>
      </c>
      <c r="W128" s="38"/>
      <c r="X128" s="39">
        <v>35.4</v>
      </c>
      <c r="Y128" s="76">
        <v>42.4</v>
      </c>
      <c r="Z128" s="39">
        <v>27.5</v>
      </c>
      <c r="AA128" s="39">
        <v>3.74</v>
      </c>
      <c r="AB128" s="39"/>
      <c r="AC128" s="39"/>
      <c r="AD128" s="39">
        <v>1.67</v>
      </c>
      <c r="AE128" s="76">
        <v>109</v>
      </c>
      <c r="AF128" s="76">
        <v>57</v>
      </c>
      <c r="AG128" s="76">
        <v>172</v>
      </c>
      <c r="AH128" s="76">
        <v>11.9</v>
      </c>
      <c r="AI128" s="76"/>
      <c r="AJ128" s="38">
        <v>0.03</v>
      </c>
      <c r="AK128" s="76">
        <v>122</v>
      </c>
      <c r="AL128" s="38">
        <v>9.9700000000000006</v>
      </c>
      <c r="AM128" s="38">
        <v>26.3</v>
      </c>
      <c r="AN128" s="38">
        <v>4.04</v>
      </c>
      <c r="AO128" s="39">
        <v>19.100000000000001</v>
      </c>
      <c r="AP128" s="38">
        <v>6.05</v>
      </c>
      <c r="AQ128" s="38">
        <v>0.98</v>
      </c>
      <c r="AR128" s="38">
        <v>7.81</v>
      </c>
      <c r="AS128" s="38">
        <v>1.44</v>
      </c>
      <c r="AT128" s="38">
        <v>9.35</v>
      </c>
      <c r="AU128" s="38">
        <v>2</v>
      </c>
      <c r="AV128" s="38">
        <v>5.4</v>
      </c>
      <c r="AW128" s="38">
        <v>0.84</v>
      </c>
      <c r="AX128" s="38">
        <v>5.3</v>
      </c>
      <c r="AY128" s="49">
        <v>0.82</v>
      </c>
      <c r="AZ128" s="38">
        <v>4.5</v>
      </c>
      <c r="BA128" s="38">
        <v>0.6</v>
      </c>
      <c r="BB128" s="38"/>
      <c r="BC128" s="39"/>
      <c r="BD128" s="39"/>
      <c r="BE128" s="38">
        <v>1.79</v>
      </c>
      <c r="BF128" s="38">
        <v>0.45</v>
      </c>
      <c r="BG128" s="39"/>
      <c r="BP128" s="116">
        <f t="shared" ref="BP128:BP133" si="79">196.6*10^(LOG10(AP128/147.1)+(LOG10(AP128/147.1)-LOG10(AL128/234.7))*0.4)</f>
        <v>7.9819769388325668</v>
      </c>
      <c r="BQ128" s="116">
        <f t="shared" ref="BQ128:BQ133" si="80">196.6*10^(LOG10(AP128/147.1)+0.6666*(LOG10(AS128/36.3)-LOG10(AP128/147.1)))</f>
        <v>7.8934956014647923</v>
      </c>
      <c r="BR128" s="116">
        <f t="shared" ref="BR128:BR133" si="81">196.6*10^(LOG10(AS128/36.3)-(LOG10(AX128/162.5)-LOG10(AS128/36.3))/5)</f>
        <v>8.1104705770077672</v>
      </c>
    </row>
    <row r="129" spans="1:70" x14ac:dyDescent="0.2">
      <c r="A129" s="71" t="s">
        <v>1071</v>
      </c>
      <c r="B129" s="55" t="s">
        <v>1076</v>
      </c>
      <c r="D129" s="38">
        <f t="shared" si="78"/>
        <v>100.08999999999997</v>
      </c>
      <c r="E129" s="38">
        <v>45.9</v>
      </c>
      <c r="F129" s="38">
        <v>2.94</v>
      </c>
      <c r="G129" s="38">
        <v>9.4499999999999993</v>
      </c>
      <c r="H129" s="49">
        <v>0.32</v>
      </c>
      <c r="I129" s="38">
        <v>22.1</v>
      </c>
      <c r="J129" s="49">
        <v>0.31</v>
      </c>
      <c r="K129" s="38">
        <v>7.19</v>
      </c>
      <c r="L129" s="38">
        <v>11.1</v>
      </c>
      <c r="M129" s="49">
        <v>0.35</v>
      </c>
      <c r="N129" s="49">
        <v>0.1</v>
      </c>
      <c r="O129" s="49">
        <v>0.17</v>
      </c>
      <c r="P129" s="50">
        <v>0.16</v>
      </c>
      <c r="Q129" s="38">
        <f t="shared" si="37"/>
        <v>36.706884973353837</v>
      </c>
      <c r="R129" s="49"/>
      <c r="S129" s="39"/>
      <c r="T129" s="38">
        <v>59.2</v>
      </c>
      <c r="U129" s="76">
        <v>114</v>
      </c>
      <c r="V129" s="76">
        <v>2368</v>
      </c>
      <c r="W129" s="38"/>
      <c r="X129" s="39">
        <v>37.6</v>
      </c>
      <c r="Y129" s="76">
        <v>20.6</v>
      </c>
      <c r="Z129" s="39">
        <v>30.8</v>
      </c>
      <c r="AA129" s="39">
        <v>4.29</v>
      </c>
      <c r="AB129" s="39"/>
      <c r="AC129" s="39"/>
      <c r="AD129" s="39">
        <v>1.86</v>
      </c>
      <c r="AE129" s="76">
        <v>124</v>
      </c>
      <c r="AF129" s="76">
        <v>64.900000000000006</v>
      </c>
      <c r="AG129" s="76">
        <v>194</v>
      </c>
      <c r="AH129" s="76">
        <v>13.3</v>
      </c>
      <c r="AI129" s="76"/>
      <c r="AJ129" s="38">
        <v>0.04</v>
      </c>
      <c r="AK129" s="76">
        <v>137</v>
      </c>
      <c r="AL129" s="38">
        <v>11.4</v>
      </c>
      <c r="AM129" s="38">
        <v>29.6</v>
      </c>
      <c r="AN129" s="38">
        <v>4.57</v>
      </c>
      <c r="AO129" s="39">
        <v>21.5</v>
      </c>
      <c r="AP129" s="38">
        <v>6.75</v>
      </c>
      <c r="AQ129" s="38">
        <v>1.1000000000000001</v>
      </c>
      <c r="AR129" s="38">
        <v>9.08</v>
      </c>
      <c r="AS129" s="38">
        <v>1.64</v>
      </c>
      <c r="AT129" s="38">
        <v>10.6</v>
      </c>
      <c r="AU129" s="38">
        <v>2.2999999999999998</v>
      </c>
      <c r="AV129" s="38">
        <v>6.09</v>
      </c>
      <c r="AW129" s="38">
        <v>0.95</v>
      </c>
      <c r="AX129" s="38">
        <v>5.95</v>
      </c>
      <c r="AY129" s="49">
        <v>0.93</v>
      </c>
      <c r="AZ129" s="38">
        <v>5.0199999999999996</v>
      </c>
      <c r="BA129" s="38">
        <v>0.68</v>
      </c>
      <c r="BB129" s="38"/>
      <c r="BC129" s="39"/>
      <c r="BD129" s="39"/>
      <c r="BE129" s="38">
        <v>2.04</v>
      </c>
      <c r="BF129" s="38">
        <v>0.49</v>
      </c>
      <c r="BG129" s="39"/>
      <c r="BP129" s="116">
        <f t="shared" si="79"/>
        <v>8.818492480955566</v>
      </c>
      <c r="BQ129" s="116">
        <f t="shared" si="80"/>
        <v>8.9283761591622941</v>
      </c>
      <c r="BR129" s="116">
        <f t="shared" si="81"/>
        <v>9.2635075759337724</v>
      </c>
    </row>
    <row r="130" spans="1:70" x14ac:dyDescent="0.2">
      <c r="A130" s="71" t="s">
        <v>1072</v>
      </c>
      <c r="B130" s="55" t="s">
        <v>1076</v>
      </c>
      <c r="D130" s="38">
        <f t="shared" si="78"/>
        <v>100.03999999999999</v>
      </c>
      <c r="E130" s="38">
        <v>45.3</v>
      </c>
      <c r="F130" s="38">
        <v>3.27</v>
      </c>
      <c r="G130" s="38">
        <v>9.9499999999999993</v>
      </c>
      <c r="H130" s="49">
        <v>0.3</v>
      </c>
      <c r="I130" s="38">
        <v>22</v>
      </c>
      <c r="J130" s="49">
        <v>0.28999999999999998</v>
      </c>
      <c r="K130" s="38">
        <v>6.84</v>
      </c>
      <c r="L130" s="38">
        <v>11.3</v>
      </c>
      <c r="M130" s="49">
        <v>0.38</v>
      </c>
      <c r="N130" s="49">
        <v>0.11</v>
      </c>
      <c r="O130" s="49">
        <v>0.16</v>
      </c>
      <c r="P130" s="50">
        <v>0.14000000000000001</v>
      </c>
      <c r="Q130" s="38">
        <f t="shared" si="37"/>
        <v>35.659343986070702</v>
      </c>
      <c r="R130" s="49"/>
      <c r="S130" s="39"/>
      <c r="T130" s="38">
        <v>57.3</v>
      </c>
      <c r="U130" s="76">
        <v>109</v>
      </c>
      <c r="V130" s="76">
        <v>2172</v>
      </c>
      <c r="W130" s="38"/>
      <c r="X130" s="39">
        <v>36.9</v>
      </c>
      <c r="Y130" s="76">
        <v>18.5</v>
      </c>
      <c r="Z130" s="39">
        <v>29.6</v>
      </c>
      <c r="AA130" s="39">
        <v>4.07</v>
      </c>
      <c r="AB130" s="39"/>
      <c r="AC130" s="39"/>
      <c r="AD130" s="39">
        <v>1.74</v>
      </c>
      <c r="AE130" s="76">
        <v>122</v>
      </c>
      <c r="AF130" s="76">
        <v>64.900000000000006</v>
      </c>
      <c r="AG130" s="76">
        <v>190</v>
      </c>
      <c r="AH130" s="76">
        <v>12.9</v>
      </c>
      <c r="AI130" s="76"/>
      <c r="AJ130" s="38">
        <v>0.04</v>
      </c>
      <c r="AK130" s="76">
        <v>131</v>
      </c>
      <c r="AL130" s="38">
        <v>11.5</v>
      </c>
      <c r="AM130" s="38">
        <v>29.3</v>
      </c>
      <c r="AN130" s="38">
        <v>4.5</v>
      </c>
      <c r="AO130" s="39">
        <v>21.5</v>
      </c>
      <c r="AP130" s="38">
        <v>6.73</v>
      </c>
      <c r="AQ130" s="38">
        <v>1.07</v>
      </c>
      <c r="AR130" s="38">
        <v>8.73</v>
      </c>
      <c r="AS130" s="38">
        <v>1.62</v>
      </c>
      <c r="AT130" s="38">
        <v>10.4</v>
      </c>
      <c r="AU130" s="38">
        <v>2.21</v>
      </c>
      <c r="AV130" s="38">
        <v>6.04</v>
      </c>
      <c r="AW130" s="38">
        <v>0.94</v>
      </c>
      <c r="AX130" s="38">
        <v>5.91</v>
      </c>
      <c r="AY130" s="49">
        <v>0.9</v>
      </c>
      <c r="AZ130" s="38">
        <v>4.92</v>
      </c>
      <c r="BA130" s="38">
        <v>0.65</v>
      </c>
      <c r="BB130" s="38"/>
      <c r="BC130" s="39"/>
      <c r="BD130" s="39"/>
      <c r="BE130" s="38">
        <v>2.04</v>
      </c>
      <c r="BF130" s="38">
        <v>0.5</v>
      </c>
      <c r="BG130" s="39"/>
      <c r="BP130" s="116">
        <f t="shared" si="79"/>
        <v>8.7513078447971733</v>
      </c>
      <c r="BQ130" s="116">
        <f t="shared" si="80"/>
        <v>8.8468899158516425</v>
      </c>
      <c r="BR130" s="116">
        <f t="shared" si="81"/>
        <v>9.1404327516383486</v>
      </c>
    </row>
    <row r="131" spans="1:70" x14ac:dyDescent="0.2">
      <c r="A131" s="71" t="s">
        <v>1073</v>
      </c>
      <c r="B131" s="55" t="s">
        <v>1076</v>
      </c>
      <c r="D131" s="38">
        <f t="shared" si="78"/>
        <v>99.97999999999999</v>
      </c>
      <c r="E131" s="38">
        <v>45.3</v>
      </c>
      <c r="F131" s="38">
        <v>3.2</v>
      </c>
      <c r="G131" s="38">
        <v>10.07</v>
      </c>
      <c r="H131" s="49">
        <v>0.31</v>
      </c>
      <c r="I131" s="38">
        <v>22</v>
      </c>
      <c r="J131" s="49">
        <v>0.3</v>
      </c>
      <c r="K131" s="38">
        <v>6.84</v>
      </c>
      <c r="L131" s="38">
        <v>11.2</v>
      </c>
      <c r="M131" s="49">
        <v>0.35</v>
      </c>
      <c r="N131" s="49">
        <v>0.1</v>
      </c>
      <c r="O131" s="49">
        <v>0.16</v>
      </c>
      <c r="P131" s="50">
        <v>0.15</v>
      </c>
      <c r="Q131" s="38">
        <f t="shared" ref="Q131:Q194" si="82">100*(K131/40.304)/(K131/40.304+I131/71.846)</f>
        <v>35.659343986070702</v>
      </c>
      <c r="R131" s="49"/>
      <c r="S131" s="39"/>
      <c r="T131" s="38">
        <v>58.8</v>
      </c>
      <c r="U131" s="76">
        <v>110</v>
      </c>
      <c r="V131" s="76">
        <v>2192</v>
      </c>
      <c r="W131" s="38"/>
      <c r="X131" s="39">
        <v>36.9</v>
      </c>
      <c r="Y131" s="76">
        <v>21.9</v>
      </c>
      <c r="Z131" s="39">
        <v>27.1</v>
      </c>
      <c r="AA131" s="39">
        <v>4.18</v>
      </c>
      <c r="AB131" s="39"/>
      <c r="AC131" s="39"/>
      <c r="AD131" s="39">
        <v>1.82</v>
      </c>
      <c r="AE131" s="76">
        <v>122</v>
      </c>
      <c r="AF131" s="76">
        <v>64</v>
      </c>
      <c r="AG131" s="76">
        <v>185</v>
      </c>
      <c r="AH131" s="76">
        <v>12.8</v>
      </c>
      <c r="AI131" s="76"/>
      <c r="AJ131" s="38">
        <v>0.04</v>
      </c>
      <c r="AK131" s="76">
        <v>134</v>
      </c>
      <c r="AL131" s="38">
        <v>11.5</v>
      </c>
      <c r="AM131" s="38">
        <v>30.6</v>
      </c>
      <c r="AN131" s="38">
        <v>4.67</v>
      </c>
      <c r="AO131" s="39">
        <v>21.9</v>
      </c>
      <c r="AP131" s="38">
        <v>6.79</v>
      </c>
      <c r="AQ131" s="38">
        <v>1.1100000000000001</v>
      </c>
      <c r="AR131" s="38">
        <v>8.92</v>
      </c>
      <c r="AS131" s="38">
        <v>1.65</v>
      </c>
      <c r="AT131" s="38">
        <v>10.6</v>
      </c>
      <c r="AU131" s="38">
        <v>2.2799999999999998</v>
      </c>
      <c r="AV131" s="38">
        <v>6.08</v>
      </c>
      <c r="AW131" s="38">
        <v>0.95</v>
      </c>
      <c r="AX131" s="38">
        <v>5.92</v>
      </c>
      <c r="AY131" s="49">
        <v>0.91</v>
      </c>
      <c r="AZ131" s="38">
        <v>4.9000000000000004</v>
      </c>
      <c r="BA131" s="38">
        <v>0.65</v>
      </c>
      <c r="BB131" s="38"/>
      <c r="BC131" s="39"/>
      <c r="BD131" s="39"/>
      <c r="BE131" s="38">
        <v>2.06</v>
      </c>
      <c r="BF131" s="38">
        <v>0.5</v>
      </c>
      <c r="BG131" s="39"/>
      <c r="BP131" s="116">
        <f t="shared" si="79"/>
        <v>8.8607310655671636</v>
      </c>
      <c r="BQ131" s="116">
        <f t="shared" si="80"/>
        <v>8.982306538563229</v>
      </c>
      <c r="BR131" s="116">
        <f t="shared" si="81"/>
        <v>9.3407689192888803</v>
      </c>
    </row>
    <row r="132" spans="1:70" x14ac:dyDescent="0.2">
      <c r="A132" s="71" t="s">
        <v>1074</v>
      </c>
      <c r="B132" s="55" t="s">
        <v>1076</v>
      </c>
      <c r="D132" s="38">
        <f t="shared" si="78"/>
        <v>100.00999999999998</v>
      </c>
      <c r="E132" s="38">
        <v>45.3</v>
      </c>
      <c r="F132" s="38">
        <v>3.23</v>
      </c>
      <c r="G132" s="38">
        <v>9.52</v>
      </c>
      <c r="H132" s="49">
        <v>0.36</v>
      </c>
      <c r="I132" s="38">
        <v>22.1</v>
      </c>
      <c r="J132" s="49">
        <v>0.3</v>
      </c>
      <c r="K132" s="38">
        <v>7.71</v>
      </c>
      <c r="L132" s="38">
        <v>10.8</v>
      </c>
      <c r="M132" s="49">
        <v>0.33</v>
      </c>
      <c r="N132" s="49">
        <v>0.08</v>
      </c>
      <c r="O132" s="49">
        <v>0.13</v>
      </c>
      <c r="P132" s="50">
        <v>0.15</v>
      </c>
      <c r="Q132" s="38">
        <f t="shared" si="82"/>
        <v>38.343699412091937</v>
      </c>
      <c r="R132" s="49"/>
      <c r="S132" s="39"/>
      <c r="T132" s="38">
        <v>54</v>
      </c>
      <c r="U132" s="76">
        <v>110</v>
      </c>
      <c r="V132" s="76">
        <v>2298</v>
      </c>
      <c r="W132" s="38"/>
      <c r="X132" s="39">
        <v>37.5</v>
      </c>
      <c r="Y132" s="76">
        <v>26</v>
      </c>
      <c r="Z132" s="39">
        <v>26.3</v>
      </c>
      <c r="AA132" s="39">
        <v>3.58</v>
      </c>
      <c r="AB132" s="39"/>
      <c r="AC132" s="39"/>
      <c r="AD132" s="39">
        <v>1.5</v>
      </c>
      <c r="AE132" s="76">
        <v>104</v>
      </c>
      <c r="AF132" s="76">
        <v>55.1</v>
      </c>
      <c r="AG132" s="76">
        <v>161</v>
      </c>
      <c r="AH132" s="76">
        <v>11.1</v>
      </c>
      <c r="AI132" s="76"/>
      <c r="AJ132" s="38">
        <v>0.02</v>
      </c>
      <c r="AK132" s="76">
        <v>112</v>
      </c>
      <c r="AL132" s="38">
        <v>10.199999999999999</v>
      </c>
      <c r="AM132" s="38">
        <v>25.3</v>
      </c>
      <c r="AN132" s="38">
        <v>3.93</v>
      </c>
      <c r="AO132" s="39">
        <v>18.600000000000001</v>
      </c>
      <c r="AP132" s="38">
        <v>5.84</v>
      </c>
      <c r="AQ132" s="38">
        <v>0.93</v>
      </c>
      <c r="AR132" s="38">
        <v>7.57</v>
      </c>
      <c r="AS132" s="38">
        <v>1.41</v>
      </c>
      <c r="AT132" s="38">
        <v>9.1</v>
      </c>
      <c r="AU132" s="38">
        <v>1.94</v>
      </c>
      <c r="AV132" s="38">
        <v>5.26</v>
      </c>
      <c r="AW132" s="38">
        <v>0.82</v>
      </c>
      <c r="AX132" s="38">
        <v>5.12</v>
      </c>
      <c r="AY132" s="49">
        <v>0.79</v>
      </c>
      <c r="AZ132" s="38">
        <v>4.25</v>
      </c>
      <c r="BA132" s="38">
        <v>0.56999999999999995</v>
      </c>
      <c r="BB132" s="38"/>
      <c r="BC132" s="39"/>
      <c r="BD132" s="39"/>
      <c r="BE132" s="38">
        <v>1.72</v>
      </c>
      <c r="BF132" s="38">
        <v>0.43</v>
      </c>
      <c r="BG132" s="39"/>
      <c r="BP132" s="116">
        <f t="shared" si="79"/>
        <v>7.527814778718346</v>
      </c>
      <c r="BQ132" s="116">
        <f t="shared" si="80"/>
        <v>7.6923528264709828</v>
      </c>
      <c r="BR132" s="116">
        <f t="shared" si="81"/>
        <v>7.9629718327254873</v>
      </c>
    </row>
    <row r="133" spans="1:70" x14ac:dyDescent="0.2">
      <c r="A133" s="71" t="s">
        <v>1075</v>
      </c>
      <c r="B133" s="55" t="s">
        <v>1076</v>
      </c>
      <c r="D133" s="38">
        <f t="shared" si="78"/>
        <v>100.10000000000001</v>
      </c>
      <c r="E133" s="38">
        <v>45.7</v>
      </c>
      <c r="F133" s="38">
        <v>3.26</v>
      </c>
      <c r="G133" s="38">
        <v>9.65</v>
      </c>
      <c r="H133" s="49">
        <v>0.33</v>
      </c>
      <c r="I133" s="38">
        <v>21.7</v>
      </c>
      <c r="J133" s="49">
        <v>0.31</v>
      </c>
      <c r="K133" s="38">
        <v>7.25</v>
      </c>
      <c r="L133" s="38">
        <v>11.2</v>
      </c>
      <c r="M133" s="49">
        <v>0.33</v>
      </c>
      <c r="N133" s="49">
        <v>0.08</v>
      </c>
      <c r="O133" s="49">
        <v>0.12</v>
      </c>
      <c r="P133" s="50">
        <v>0.17</v>
      </c>
      <c r="Q133" s="38">
        <f t="shared" si="82"/>
        <v>37.326467453535535</v>
      </c>
      <c r="R133" s="49"/>
      <c r="S133" s="39"/>
      <c r="T133" s="38">
        <v>58.4</v>
      </c>
      <c r="U133" s="76">
        <v>113</v>
      </c>
      <c r="V133" s="76">
        <v>2300</v>
      </c>
      <c r="W133" s="38"/>
      <c r="X133" s="39">
        <v>37.9</v>
      </c>
      <c r="Y133" s="76">
        <v>21.8</v>
      </c>
      <c r="Z133" s="39">
        <v>30.2</v>
      </c>
      <c r="AA133" s="39">
        <v>4.28</v>
      </c>
      <c r="AB133" s="39"/>
      <c r="AC133" s="39"/>
      <c r="AD133" s="39">
        <v>1.79</v>
      </c>
      <c r="AE133" s="76">
        <v>124</v>
      </c>
      <c r="AF133" s="76">
        <v>64.5</v>
      </c>
      <c r="AG133" s="76">
        <v>189</v>
      </c>
      <c r="AH133" s="76">
        <v>13.2</v>
      </c>
      <c r="AI133" s="76"/>
      <c r="AJ133" s="38">
        <v>0.02</v>
      </c>
      <c r="AK133" s="76">
        <v>134</v>
      </c>
      <c r="AL133" s="38">
        <v>11.5</v>
      </c>
      <c r="AM133" s="38">
        <v>29.8</v>
      </c>
      <c r="AN133" s="38">
        <v>4.6100000000000003</v>
      </c>
      <c r="AO133" s="39">
        <v>21.6</v>
      </c>
      <c r="AP133" s="38">
        <v>6.87</v>
      </c>
      <c r="AQ133" s="38">
        <v>1.1299999999999999</v>
      </c>
      <c r="AR133" s="38">
        <v>9.0399999999999991</v>
      </c>
      <c r="AS133" s="38">
        <v>1.64</v>
      </c>
      <c r="AT133" s="38">
        <v>10.6</v>
      </c>
      <c r="AU133" s="38">
        <v>2.2799999999999998</v>
      </c>
      <c r="AV133" s="38">
        <v>6.1</v>
      </c>
      <c r="AW133" s="38">
        <v>0.96</v>
      </c>
      <c r="AX133" s="38">
        <v>5.97</v>
      </c>
      <c r="AY133" s="49">
        <v>0.92</v>
      </c>
      <c r="AZ133" s="38">
        <v>5</v>
      </c>
      <c r="BA133" s="38">
        <v>0.67</v>
      </c>
      <c r="BB133" s="38"/>
      <c r="BC133" s="39"/>
      <c r="BD133" s="39"/>
      <c r="BE133" s="38">
        <v>2.0299999999999998</v>
      </c>
      <c r="BF133" s="38">
        <v>0.49</v>
      </c>
      <c r="BG133" s="39"/>
      <c r="BP133" s="116">
        <f t="shared" si="79"/>
        <v>9.0072310503849664</v>
      </c>
      <c r="BQ133" s="116">
        <f t="shared" si="80"/>
        <v>8.9809851317448022</v>
      </c>
      <c r="BR133" s="116">
        <f t="shared" si="81"/>
        <v>9.2572925367400298</v>
      </c>
    </row>
    <row r="134" spans="1:70" x14ac:dyDescent="0.2">
      <c r="A134" s="77" t="s">
        <v>1078</v>
      </c>
      <c r="B134" s="55" t="s">
        <v>1076</v>
      </c>
      <c r="D134" s="38">
        <f t="shared" si="78"/>
        <v>100.03833333333336</v>
      </c>
      <c r="E134" s="38">
        <f>AVERAGE(E128:E133)</f>
        <v>45.583333333333336</v>
      </c>
      <c r="F134" s="38">
        <f t="shared" ref="F134:BF134" si="83">AVERAGE(F128:F133)</f>
        <v>3.168333333333333</v>
      </c>
      <c r="G134" s="38">
        <f t="shared" si="83"/>
        <v>9.7649999999999988</v>
      </c>
      <c r="H134" s="49">
        <f t="shared" si="83"/>
        <v>0.31833333333333336</v>
      </c>
      <c r="I134" s="38">
        <f t="shared" si="83"/>
        <v>21.95</v>
      </c>
      <c r="J134" s="49">
        <f t="shared" si="83"/>
        <v>0.30499999999999999</v>
      </c>
      <c r="K134" s="38">
        <f t="shared" si="83"/>
        <v>7.0249999999999995</v>
      </c>
      <c r="L134" s="38">
        <f t="shared" si="83"/>
        <v>11.166666666666666</v>
      </c>
      <c r="M134" s="49">
        <f t="shared" si="83"/>
        <v>0.35500000000000004</v>
      </c>
      <c r="N134" s="49">
        <f t="shared" si="83"/>
        <v>9.5000000000000015E-2</v>
      </c>
      <c r="O134" s="49">
        <f t="shared" si="83"/>
        <v>0.15166666666666667</v>
      </c>
      <c r="P134" s="50">
        <f t="shared" si="83"/>
        <v>0.155</v>
      </c>
      <c r="Q134" s="38">
        <f t="shared" si="82"/>
        <v>36.326575324245489</v>
      </c>
      <c r="R134" s="49" t="e">
        <f t="shared" si="83"/>
        <v>#DIV/0!</v>
      </c>
      <c r="S134" s="39" t="e">
        <f t="shared" si="83"/>
        <v>#DIV/0!</v>
      </c>
      <c r="T134" s="38">
        <f t="shared" si="83"/>
        <v>56.75</v>
      </c>
      <c r="U134" s="76">
        <f t="shared" si="83"/>
        <v>108</v>
      </c>
      <c r="V134" s="76">
        <f t="shared" si="83"/>
        <v>2159.1666666666665</v>
      </c>
      <c r="W134" s="38" t="e">
        <f t="shared" si="83"/>
        <v>#DIV/0!</v>
      </c>
      <c r="X134" s="39">
        <f t="shared" si="83"/>
        <v>37.033333333333339</v>
      </c>
      <c r="Y134" s="76">
        <f t="shared" si="83"/>
        <v>25.200000000000003</v>
      </c>
      <c r="Z134" s="39">
        <f t="shared" si="83"/>
        <v>28.583333333333332</v>
      </c>
      <c r="AA134" s="39">
        <f t="shared" si="83"/>
        <v>4.0233333333333334</v>
      </c>
      <c r="AB134" s="39" t="e">
        <f t="shared" si="83"/>
        <v>#DIV/0!</v>
      </c>
      <c r="AC134" s="39" t="e">
        <f t="shared" si="83"/>
        <v>#DIV/0!</v>
      </c>
      <c r="AD134" s="39">
        <f t="shared" si="83"/>
        <v>1.7299999999999998</v>
      </c>
      <c r="AE134" s="76">
        <f t="shared" si="83"/>
        <v>117.5</v>
      </c>
      <c r="AF134" s="76">
        <f t="shared" si="83"/>
        <v>61.733333333333341</v>
      </c>
      <c r="AG134" s="76">
        <f t="shared" si="83"/>
        <v>181.83333333333334</v>
      </c>
      <c r="AH134" s="76">
        <f t="shared" si="83"/>
        <v>12.533333333333333</v>
      </c>
      <c r="AI134" s="76" t="e">
        <f t="shared" si="83"/>
        <v>#DIV/0!</v>
      </c>
      <c r="AJ134" s="38">
        <f t="shared" si="83"/>
        <v>3.1666666666666669E-2</v>
      </c>
      <c r="AK134" s="76">
        <f t="shared" si="83"/>
        <v>128.33333333333334</v>
      </c>
      <c r="AL134" s="38">
        <f t="shared" si="83"/>
        <v>11.011666666666668</v>
      </c>
      <c r="AM134" s="38">
        <f t="shared" si="83"/>
        <v>28.483333333333338</v>
      </c>
      <c r="AN134" s="38">
        <f t="shared" si="83"/>
        <v>4.3866666666666667</v>
      </c>
      <c r="AO134" s="39">
        <f t="shared" si="83"/>
        <v>20.7</v>
      </c>
      <c r="AP134" s="38">
        <f t="shared" si="83"/>
        <v>6.504999999999999</v>
      </c>
      <c r="AQ134" s="38">
        <f t="shared" si="83"/>
        <v>1.0533333333333335</v>
      </c>
      <c r="AR134" s="38">
        <f t="shared" si="83"/>
        <v>8.5250000000000004</v>
      </c>
      <c r="AS134" s="38">
        <f t="shared" si="83"/>
        <v>1.5666666666666667</v>
      </c>
      <c r="AT134" s="38">
        <f t="shared" si="83"/>
        <v>10.108333333333334</v>
      </c>
      <c r="AU134" s="38">
        <f t="shared" si="83"/>
        <v>2.168333333333333</v>
      </c>
      <c r="AV134" s="38">
        <f t="shared" si="83"/>
        <v>5.8283333333333331</v>
      </c>
      <c r="AW134" s="38">
        <f t="shared" si="83"/>
        <v>0.91</v>
      </c>
      <c r="AX134" s="38">
        <f t="shared" si="83"/>
        <v>5.6950000000000003</v>
      </c>
      <c r="AY134" s="49">
        <f t="shared" si="83"/>
        <v>0.8783333333333333</v>
      </c>
      <c r="AZ134" s="38">
        <f t="shared" si="83"/>
        <v>4.7649999999999997</v>
      </c>
      <c r="BA134" s="38">
        <f t="shared" si="83"/>
        <v>0.6366666666666666</v>
      </c>
      <c r="BB134" s="38" t="e">
        <f t="shared" si="83"/>
        <v>#DIV/0!</v>
      </c>
      <c r="BC134" s="39" t="e">
        <f t="shared" si="83"/>
        <v>#DIV/0!</v>
      </c>
      <c r="BD134" s="39" t="e">
        <f t="shared" si="83"/>
        <v>#DIV/0!</v>
      </c>
      <c r="BE134" s="38">
        <f t="shared" si="83"/>
        <v>1.9466666666666665</v>
      </c>
      <c r="BF134" s="38">
        <f t="shared" si="83"/>
        <v>0.47666666666666674</v>
      </c>
      <c r="BG134" s="39"/>
    </row>
    <row r="135" spans="1:70" x14ac:dyDescent="0.2">
      <c r="A135" s="71"/>
      <c r="C135" s="55"/>
      <c r="H135" s="37"/>
      <c r="I135" s="34"/>
      <c r="M135" s="37"/>
      <c r="Q135" s="38" t="e">
        <f t="shared" si="82"/>
        <v>#DIV/0!</v>
      </c>
      <c r="R135" s="49"/>
      <c r="S135" s="39"/>
      <c r="T135" s="38"/>
      <c r="V135" s="76"/>
      <c r="W135" s="38"/>
      <c r="Z135" s="39"/>
      <c r="AA135" s="39"/>
      <c r="AB135" s="39"/>
      <c r="AC135" s="39"/>
      <c r="AD135" s="39"/>
      <c r="AE135" s="76"/>
      <c r="AF135" s="76"/>
      <c r="AG135" s="76"/>
      <c r="AH135" s="76"/>
      <c r="AI135" s="76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Z135" s="38"/>
      <c r="BA135" s="38"/>
      <c r="BB135" s="38"/>
      <c r="BC135" s="39"/>
      <c r="BD135" s="39"/>
      <c r="BE135" s="38"/>
      <c r="BF135" s="38"/>
      <c r="BG135" s="39"/>
    </row>
    <row r="136" spans="1:70" x14ac:dyDescent="0.2">
      <c r="A136" s="71" t="s">
        <v>852</v>
      </c>
      <c r="B136" s="50" t="s">
        <v>1058</v>
      </c>
      <c r="D136" s="38">
        <f>SUM(E136:P136)</f>
        <v>97.705291039999992</v>
      </c>
      <c r="E136" s="38">
        <v>44.57</v>
      </c>
      <c r="F136" s="38">
        <v>3.21</v>
      </c>
      <c r="G136" s="38">
        <v>9.93</v>
      </c>
      <c r="H136" s="49">
        <f>V136*1.4616/10000</f>
        <v>0.33529104000000004</v>
      </c>
      <c r="I136" s="38">
        <v>21.29</v>
      </c>
      <c r="J136" s="49">
        <v>0.28000000000000003</v>
      </c>
      <c r="K136" s="38">
        <v>6.47</v>
      </c>
      <c r="L136" s="38">
        <v>10.99</v>
      </c>
      <c r="M136" s="49">
        <v>0.41</v>
      </c>
      <c r="N136" s="49">
        <v>0.11</v>
      </c>
      <c r="O136" s="49">
        <v>0.11</v>
      </c>
      <c r="Q136" s="38">
        <f t="shared" si="82"/>
        <v>35.137808999451195</v>
      </c>
      <c r="R136" s="49"/>
      <c r="S136" s="39"/>
      <c r="T136" s="39"/>
      <c r="U136" s="76">
        <v>118</v>
      </c>
      <c r="V136" s="76">
        <v>2294</v>
      </c>
      <c r="W136" s="76"/>
      <c r="X136" s="39">
        <v>38</v>
      </c>
      <c r="Y136" s="76">
        <v>35</v>
      </c>
      <c r="Z136" s="76">
        <v>16</v>
      </c>
      <c r="AA136" s="76"/>
      <c r="AB136" s="76"/>
      <c r="AC136" s="76"/>
      <c r="AD136" s="38">
        <v>2.15</v>
      </c>
      <c r="AE136" s="76">
        <v>143</v>
      </c>
      <c r="AF136" s="76">
        <v>68</v>
      </c>
      <c r="AG136" s="76">
        <f>AVERAGE(190, 198)</f>
        <v>194</v>
      </c>
      <c r="AH136" s="76"/>
      <c r="AI136" s="76"/>
      <c r="AJ136" s="38">
        <v>0.221</v>
      </c>
      <c r="AK136" s="76">
        <v>145</v>
      </c>
      <c r="AL136" s="39">
        <v>13</v>
      </c>
      <c r="AM136" s="39">
        <v>33</v>
      </c>
      <c r="AN136" s="38">
        <v>4.92</v>
      </c>
      <c r="AO136" s="39">
        <v>24.1</v>
      </c>
      <c r="AP136" s="38">
        <v>7.91</v>
      </c>
      <c r="AQ136" s="249">
        <v>1.45</v>
      </c>
      <c r="AR136" s="38">
        <v>9.5399999999999991</v>
      </c>
      <c r="AS136" s="49">
        <v>1.89</v>
      </c>
      <c r="AT136" s="39">
        <v>12.1</v>
      </c>
      <c r="AU136" s="38">
        <v>2.64</v>
      </c>
      <c r="AV136" s="200">
        <f>(158.9*10^((2*LOG10(AS136/36.3)+3*LOG10(AX136/162.5))/5)+158.9*10^((2*LOG10(AP136/147.1)+6*LOG10(AX136/162.5))/8))/2</f>
        <v>7.1111810408051808</v>
      </c>
      <c r="AW136" s="38">
        <v>1.06</v>
      </c>
      <c r="AX136" s="38">
        <v>6.72</v>
      </c>
      <c r="AY136" s="49">
        <v>0.95399999999999996</v>
      </c>
      <c r="AZ136" s="38">
        <v>4.8</v>
      </c>
      <c r="BA136" s="38">
        <v>0.747</v>
      </c>
      <c r="BB136" s="38"/>
      <c r="BC136" s="38"/>
      <c r="BD136" s="39"/>
      <c r="BE136" s="38">
        <v>2.17</v>
      </c>
      <c r="BF136" s="49">
        <v>0.58199999999999996</v>
      </c>
      <c r="BG136" s="39"/>
      <c r="BP136" s="116">
        <f>196.6*10^(LOG10(AP136/147.1)+(LOG10(AP136/147.1)-LOG10(AL136/234.7))*0.4)</f>
        <v>10.447220077325193</v>
      </c>
      <c r="BQ136" s="116">
        <f>196.6*10^(LOG10(AP136/147.1)+0.6666*(LOG10(AS136/36.3)-LOG10(AP136/147.1)))</f>
        <v>10.346874237317079</v>
      </c>
      <c r="BR136" s="116">
        <f>196.6*10^(LOG10(AS136/36.3)-(LOG10(AX136/162.5)-LOG10(AS136/36.3))/5)</f>
        <v>10.718809362260012</v>
      </c>
    </row>
    <row r="137" spans="1:70" x14ac:dyDescent="0.2">
      <c r="A137" s="71" t="s">
        <v>768</v>
      </c>
      <c r="B137" s="50" t="s">
        <v>1058</v>
      </c>
      <c r="D137" s="38">
        <f>SUM(E137:P137)</f>
        <v>97.816181280000023</v>
      </c>
      <c r="E137" s="38">
        <v>44.53</v>
      </c>
      <c r="F137" s="38">
        <v>3.43</v>
      </c>
      <c r="G137" s="38">
        <v>10.130000000000001</v>
      </c>
      <c r="H137" s="49">
        <f>V137*1.4616/10000</f>
        <v>0.28618128000000004</v>
      </c>
      <c r="I137" s="38">
        <v>21.69</v>
      </c>
      <c r="J137" s="49">
        <v>0.28000000000000003</v>
      </c>
      <c r="K137" s="38">
        <v>5.58</v>
      </c>
      <c r="L137" s="38">
        <v>11.23</v>
      </c>
      <c r="M137" s="49">
        <v>0.42</v>
      </c>
      <c r="N137" s="49">
        <v>0.12</v>
      </c>
      <c r="O137" s="49">
        <v>0.12</v>
      </c>
      <c r="Q137" s="38">
        <f t="shared" si="82"/>
        <v>31.44086174511121</v>
      </c>
      <c r="R137" s="49"/>
      <c r="S137" s="39"/>
      <c r="T137" s="39"/>
      <c r="U137" s="76">
        <v>107</v>
      </c>
      <c r="V137" s="76">
        <v>1958</v>
      </c>
      <c r="W137" s="76"/>
      <c r="X137" s="39">
        <v>35</v>
      </c>
      <c r="Y137" s="76">
        <v>17</v>
      </c>
      <c r="Z137" s="76">
        <v>13</v>
      </c>
      <c r="AA137" s="76"/>
      <c r="AB137" s="76"/>
      <c r="AC137" s="76"/>
      <c r="AD137" s="38">
        <v>2.1800000000000002</v>
      </c>
      <c r="AE137" s="76">
        <v>125</v>
      </c>
      <c r="AF137" s="76">
        <v>80</v>
      </c>
      <c r="AG137" s="76">
        <f>AVERAGE(227,185)</f>
        <v>206</v>
      </c>
      <c r="AH137" s="76"/>
      <c r="AI137" s="76"/>
      <c r="AJ137" s="38">
        <v>6.9000000000000006E-2</v>
      </c>
      <c r="AK137" s="76">
        <v>174</v>
      </c>
      <c r="AL137" s="39">
        <v>14.3</v>
      </c>
      <c r="AM137" s="39">
        <v>36.200000000000003</v>
      </c>
      <c r="AN137" s="38">
        <v>5.35</v>
      </c>
      <c r="AO137" s="39">
        <v>26.5</v>
      </c>
      <c r="AP137" s="38">
        <v>8.4</v>
      </c>
      <c r="AQ137" s="249">
        <v>1.49</v>
      </c>
      <c r="AR137" s="39">
        <v>10.8</v>
      </c>
      <c r="AS137" s="49">
        <v>2.1</v>
      </c>
      <c r="AT137" s="39">
        <v>13.6</v>
      </c>
      <c r="AU137" s="38">
        <v>2.91</v>
      </c>
      <c r="AV137" s="200">
        <f>(158.9*10^((2*LOG10(AS137/36.3)+3*LOG10(AX137/162.5))/5)+158.9*10^((2*LOG10(AP137/147.1)+6*LOG10(AX137/162.5))/8))/2</f>
        <v>7.9587468094672058</v>
      </c>
      <c r="AW137" s="38">
        <v>1.17</v>
      </c>
      <c r="AX137" s="38">
        <v>7.61</v>
      </c>
      <c r="AY137" s="49">
        <v>1.07</v>
      </c>
      <c r="AZ137" s="38">
        <v>5.74</v>
      </c>
      <c r="BA137" s="38">
        <v>0.86</v>
      </c>
      <c r="BB137" s="38"/>
      <c r="BC137" s="38"/>
      <c r="BD137" s="39"/>
      <c r="BE137" s="38">
        <v>2.5</v>
      </c>
      <c r="BF137" s="49">
        <v>0.66600000000000004</v>
      </c>
      <c r="BG137" s="39"/>
      <c r="BP137" s="116">
        <f>196.6*10^(LOG10(AP137/147.1)+(LOG10(AP137/147.1)-LOG10(AL137/234.7))*0.4)</f>
        <v>10.939251144278872</v>
      </c>
      <c r="BQ137" s="116">
        <f>196.6*10^(LOG10(AP137/147.1)+0.6666*(LOG10(AS137/36.3)-LOG10(AP137/147.1)))</f>
        <v>11.324363153081013</v>
      </c>
      <c r="BR137" s="116">
        <f>196.6*10^(LOG10(AS137/36.3)-(LOG10(AX137/162.5)-LOG10(AS137/36.3))/5)</f>
        <v>11.864582453731677</v>
      </c>
    </row>
    <row r="138" spans="1:70" x14ac:dyDescent="0.2">
      <c r="A138" s="77" t="s">
        <v>1078</v>
      </c>
      <c r="B138" s="50" t="s">
        <v>1058</v>
      </c>
      <c r="D138" s="38">
        <f>AVERAGE(D136:D137)</f>
        <v>97.760736160000008</v>
      </c>
      <c r="E138" s="38">
        <f t="shared" ref="E138:BF138" si="84">AVERAGE(E136:E137)</f>
        <v>44.55</v>
      </c>
      <c r="F138" s="38">
        <f t="shared" si="84"/>
        <v>3.3200000000000003</v>
      </c>
      <c r="G138" s="38">
        <f t="shared" si="84"/>
        <v>10.030000000000001</v>
      </c>
      <c r="H138" s="49">
        <f t="shared" si="84"/>
        <v>0.31073616000000004</v>
      </c>
      <c r="I138" s="38">
        <f t="shared" si="84"/>
        <v>21.490000000000002</v>
      </c>
      <c r="J138" s="49">
        <f t="shared" si="84"/>
        <v>0.28000000000000003</v>
      </c>
      <c r="K138" s="38">
        <f t="shared" si="84"/>
        <v>6.0250000000000004</v>
      </c>
      <c r="L138" s="38">
        <f t="shared" si="84"/>
        <v>11.11</v>
      </c>
      <c r="M138" s="49">
        <f t="shared" si="84"/>
        <v>0.41499999999999998</v>
      </c>
      <c r="N138" s="49">
        <f t="shared" si="84"/>
        <v>0.11499999999999999</v>
      </c>
      <c r="O138" s="49">
        <f t="shared" si="84"/>
        <v>0.11499999999999999</v>
      </c>
      <c r="P138" s="50" t="e">
        <f t="shared" si="84"/>
        <v>#DIV/0!</v>
      </c>
      <c r="Q138" s="38">
        <f t="shared" si="82"/>
        <v>33.323360059761427</v>
      </c>
      <c r="R138" s="49" t="e">
        <f t="shared" si="84"/>
        <v>#DIV/0!</v>
      </c>
      <c r="S138" s="39" t="e">
        <f t="shared" si="84"/>
        <v>#DIV/0!</v>
      </c>
      <c r="T138" s="39" t="e">
        <f t="shared" si="84"/>
        <v>#DIV/0!</v>
      </c>
      <c r="U138" s="76">
        <f t="shared" si="84"/>
        <v>112.5</v>
      </c>
      <c r="V138" s="76">
        <f t="shared" si="84"/>
        <v>2126</v>
      </c>
      <c r="W138" s="76" t="e">
        <f t="shared" si="84"/>
        <v>#DIV/0!</v>
      </c>
      <c r="X138" s="39">
        <f t="shared" si="84"/>
        <v>36.5</v>
      </c>
      <c r="Y138" s="76">
        <f t="shared" si="84"/>
        <v>26</v>
      </c>
      <c r="Z138" s="76">
        <f t="shared" si="84"/>
        <v>14.5</v>
      </c>
      <c r="AA138" s="76" t="e">
        <f t="shared" si="84"/>
        <v>#DIV/0!</v>
      </c>
      <c r="AB138" s="76" t="e">
        <f t="shared" si="84"/>
        <v>#DIV/0!</v>
      </c>
      <c r="AC138" s="76" t="e">
        <f t="shared" si="84"/>
        <v>#DIV/0!</v>
      </c>
      <c r="AD138" s="38">
        <f t="shared" si="84"/>
        <v>2.165</v>
      </c>
      <c r="AE138" s="76">
        <f t="shared" si="84"/>
        <v>134</v>
      </c>
      <c r="AF138" s="76">
        <f t="shared" si="84"/>
        <v>74</v>
      </c>
      <c r="AG138" s="76">
        <f t="shared" si="84"/>
        <v>200</v>
      </c>
      <c r="AH138" s="76" t="e">
        <f t="shared" si="84"/>
        <v>#DIV/0!</v>
      </c>
      <c r="AI138" s="76" t="e">
        <f t="shared" si="84"/>
        <v>#DIV/0!</v>
      </c>
      <c r="AJ138" s="38">
        <f t="shared" si="84"/>
        <v>0.14500000000000002</v>
      </c>
      <c r="AK138" s="76">
        <f t="shared" si="84"/>
        <v>159.5</v>
      </c>
      <c r="AL138" s="39">
        <f t="shared" si="84"/>
        <v>13.65</v>
      </c>
      <c r="AM138" s="39">
        <f t="shared" si="84"/>
        <v>34.6</v>
      </c>
      <c r="AN138" s="38">
        <f t="shared" si="84"/>
        <v>5.1349999999999998</v>
      </c>
      <c r="AO138" s="39">
        <f t="shared" si="84"/>
        <v>25.3</v>
      </c>
      <c r="AP138" s="38">
        <f t="shared" si="84"/>
        <v>8.1550000000000011</v>
      </c>
      <c r="AQ138" s="249">
        <f t="shared" si="84"/>
        <v>1.47</v>
      </c>
      <c r="AR138" s="39">
        <f t="shared" si="84"/>
        <v>10.17</v>
      </c>
      <c r="AS138" s="49">
        <f t="shared" si="84"/>
        <v>1.9950000000000001</v>
      </c>
      <c r="AT138" s="39">
        <f t="shared" si="84"/>
        <v>12.85</v>
      </c>
      <c r="AU138" s="38">
        <f t="shared" si="84"/>
        <v>2.7750000000000004</v>
      </c>
      <c r="AV138" s="200">
        <f>(158.9*10^((2*LOG10(AS138/36.3)+3*LOG10(AX138/162.5))/5)+158.9*10^((2*LOG10(AP138/147.1)+6*LOG10(AX138/162.5))/8))/2</f>
        <v>7.5353635341225562</v>
      </c>
      <c r="AW138" s="38">
        <f t="shared" si="84"/>
        <v>1.115</v>
      </c>
      <c r="AX138" s="38">
        <f t="shared" si="84"/>
        <v>7.165</v>
      </c>
      <c r="AY138" s="49">
        <f t="shared" si="84"/>
        <v>1.012</v>
      </c>
      <c r="AZ138" s="38">
        <f t="shared" si="84"/>
        <v>5.27</v>
      </c>
      <c r="BA138" s="38">
        <f t="shared" si="84"/>
        <v>0.80349999999999999</v>
      </c>
      <c r="BB138" s="38" t="e">
        <f t="shared" si="84"/>
        <v>#DIV/0!</v>
      </c>
      <c r="BC138" s="38" t="e">
        <f t="shared" si="84"/>
        <v>#DIV/0!</v>
      </c>
      <c r="BD138" s="39" t="e">
        <f t="shared" si="84"/>
        <v>#DIV/0!</v>
      </c>
      <c r="BE138" s="38">
        <f t="shared" si="84"/>
        <v>2.335</v>
      </c>
      <c r="BF138" s="49">
        <f t="shared" si="84"/>
        <v>0.624</v>
      </c>
      <c r="BG138" s="39"/>
    </row>
    <row r="139" spans="1:70" x14ac:dyDescent="0.2">
      <c r="A139" s="77"/>
      <c r="D139" s="38"/>
      <c r="Q139" s="38" t="e">
        <f t="shared" si="82"/>
        <v>#DIV/0!</v>
      </c>
      <c r="R139" s="49"/>
      <c r="S139" s="39"/>
      <c r="T139" s="39"/>
      <c r="V139" s="76"/>
      <c r="W139" s="76"/>
      <c r="Z139" s="76"/>
      <c r="AA139" s="76"/>
      <c r="AB139" s="76"/>
      <c r="AC139" s="76"/>
      <c r="AD139" s="38"/>
      <c r="AE139" s="76"/>
      <c r="AF139" s="76"/>
      <c r="AG139" s="76"/>
      <c r="AH139" s="76"/>
      <c r="AI139" s="76"/>
      <c r="AL139" s="39"/>
      <c r="AM139" s="39"/>
      <c r="AN139" s="38"/>
      <c r="AO139" s="39"/>
      <c r="AP139" s="38"/>
      <c r="AQ139" s="249"/>
      <c r="AR139" s="39"/>
      <c r="AS139" s="49"/>
      <c r="AT139" s="39"/>
      <c r="AU139" s="38"/>
      <c r="AV139" s="38"/>
      <c r="AW139" s="38"/>
      <c r="AX139" s="38"/>
      <c r="AZ139" s="38"/>
      <c r="BA139" s="38"/>
      <c r="BB139" s="38"/>
      <c r="BC139" s="38"/>
      <c r="BD139" s="39"/>
      <c r="BE139" s="38"/>
      <c r="BF139" s="49"/>
      <c r="BG139" s="39"/>
    </row>
    <row r="140" spans="1:70" x14ac:dyDescent="0.2">
      <c r="A140" s="77" t="s">
        <v>1085</v>
      </c>
      <c r="B140" s="55" t="s">
        <v>1087</v>
      </c>
      <c r="D140" s="38">
        <f>SUM(E140:P140)</f>
        <v>99.95</v>
      </c>
      <c r="E140" s="38">
        <v>45.2</v>
      </c>
      <c r="F140" s="38">
        <v>3.38</v>
      </c>
      <c r="G140" s="38">
        <v>10</v>
      </c>
      <c r="H140" s="49">
        <v>0.19</v>
      </c>
      <c r="I140" s="38">
        <v>23.2</v>
      </c>
      <c r="J140" s="49">
        <v>0.23</v>
      </c>
      <c r="K140" s="38">
        <v>5.99</v>
      </c>
      <c r="L140" s="38">
        <v>11.2</v>
      </c>
      <c r="M140" s="49">
        <v>0.33</v>
      </c>
      <c r="N140" s="49">
        <v>0.11</v>
      </c>
      <c r="O140" s="49">
        <v>0.12</v>
      </c>
      <c r="Q140" s="38">
        <f t="shared" si="82"/>
        <v>31.518549947409952</v>
      </c>
      <c r="R140" s="49"/>
      <c r="S140" s="39"/>
      <c r="T140" s="39">
        <v>58.6</v>
      </c>
      <c r="U140" s="76">
        <v>129</v>
      </c>
      <c r="V140" s="76"/>
      <c r="W140" s="76"/>
      <c r="X140" s="39">
        <v>37.299999999999997</v>
      </c>
      <c r="Y140" s="76">
        <v>27.6</v>
      </c>
      <c r="Z140" s="39"/>
      <c r="AA140" s="39"/>
      <c r="AB140" s="39"/>
      <c r="AC140" s="39"/>
      <c r="AD140" s="39">
        <v>2.1</v>
      </c>
      <c r="AE140" s="76">
        <v>135.30000000000001</v>
      </c>
      <c r="AF140" s="76">
        <v>73.2</v>
      </c>
      <c r="AG140" s="76">
        <v>200.3</v>
      </c>
      <c r="AH140" s="76">
        <v>14.7</v>
      </c>
      <c r="AI140" s="76"/>
      <c r="AJ140" s="38">
        <v>0.1</v>
      </c>
      <c r="AK140" s="76">
        <v>164.7</v>
      </c>
      <c r="AL140" s="38">
        <v>13.4</v>
      </c>
      <c r="AM140" s="38">
        <v>37.31</v>
      </c>
      <c r="AN140" s="38">
        <v>5.15</v>
      </c>
      <c r="AO140" s="39">
        <v>25.12</v>
      </c>
      <c r="AP140" s="38">
        <v>7.56</v>
      </c>
      <c r="AQ140" s="38">
        <v>1.24</v>
      </c>
      <c r="AR140" s="38">
        <v>9.9499999999999993</v>
      </c>
      <c r="AS140" s="38">
        <v>1.93</v>
      </c>
      <c r="AT140" s="38">
        <v>12.08</v>
      </c>
      <c r="AU140" s="38">
        <v>2.4500000000000002</v>
      </c>
      <c r="AV140" s="38">
        <v>6.71</v>
      </c>
      <c r="AW140" s="38">
        <v>0.94</v>
      </c>
      <c r="AX140" s="38">
        <v>6.37</v>
      </c>
      <c r="AY140" s="49">
        <v>0.88</v>
      </c>
      <c r="AZ140" s="38">
        <v>5.39</v>
      </c>
      <c r="BA140" s="38">
        <v>0.77</v>
      </c>
      <c r="BB140" s="38">
        <v>0.2</v>
      </c>
      <c r="BC140" s="39"/>
      <c r="BD140" s="39"/>
      <c r="BE140" s="38">
        <v>2.33</v>
      </c>
      <c r="BF140" s="38">
        <v>0.55000000000000004</v>
      </c>
      <c r="BG140" s="39"/>
    </row>
    <row r="141" spans="1:70" x14ac:dyDescent="0.2">
      <c r="A141" s="71"/>
      <c r="C141" s="55"/>
      <c r="H141" s="37"/>
      <c r="I141" s="34"/>
      <c r="M141" s="37"/>
      <c r="Q141" s="38" t="e">
        <f t="shared" si="82"/>
        <v>#DIV/0!</v>
      </c>
      <c r="R141" s="49"/>
      <c r="S141" s="39"/>
      <c r="T141" s="38"/>
      <c r="V141" s="76"/>
      <c r="W141" s="38"/>
      <c r="Z141" s="39"/>
      <c r="AA141" s="39"/>
      <c r="AB141" s="39"/>
      <c r="AC141" s="39"/>
      <c r="AD141" s="39"/>
      <c r="AE141" s="76"/>
      <c r="AF141" s="76"/>
      <c r="AG141" s="76"/>
      <c r="AH141" s="76"/>
      <c r="AI141" s="76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Z141" s="38"/>
      <c r="BA141" s="38"/>
      <c r="BB141" s="38"/>
      <c r="BC141" s="39"/>
      <c r="BD141" s="39"/>
      <c r="BE141" s="38"/>
      <c r="BF141" s="38"/>
      <c r="BG141" s="39"/>
    </row>
    <row r="142" spans="1:70" x14ac:dyDescent="0.2">
      <c r="A142" s="305" t="s">
        <v>768</v>
      </c>
      <c r="B142" s="50" t="s">
        <v>717</v>
      </c>
      <c r="H142" s="49">
        <f>V142*1.4616/10000</f>
        <v>0.28679032254491016</v>
      </c>
      <c r="I142" s="309">
        <v>22.348049733865601</v>
      </c>
      <c r="M142" s="306">
        <v>0.39305251996007984</v>
      </c>
      <c r="N142" s="305">
        <v>0.16764803725881569</v>
      </c>
      <c r="P142" s="38"/>
      <c r="Q142" s="38">
        <f t="shared" si="82"/>
        <v>0</v>
      </c>
      <c r="R142" s="38"/>
      <c r="S142" s="38"/>
      <c r="T142" s="307">
        <v>58.971760645375902</v>
      </c>
      <c r="V142" s="308">
        <v>1962.1669577511643</v>
      </c>
      <c r="W142" s="38"/>
      <c r="X142" s="307">
        <v>36.327640552228871</v>
      </c>
      <c r="Y142" s="308">
        <v>66.531104457751155</v>
      </c>
      <c r="Z142" s="38"/>
      <c r="AA142" s="38"/>
      <c r="AB142" s="38"/>
      <c r="AC142" s="38"/>
      <c r="AD142" s="38"/>
      <c r="AE142" s="305">
        <v>143.90676979374584</v>
      </c>
      <c r="AF142" s="291">
        <f t="shared" ref="AF142:AF147" si="85">1560*10^((LOG10(AU142/55.6)+LOG10(AV142/158.9))/2)</f>
        <v>72.977162019041188</v>
      </c>
      <c r="AG142" s="305">
        <v>199.01862940785094</v>
      </c>
      <c r="AH142" s="38"/>
      <c r="AI142" s="38"/>
      <c r="AK142" s="305">
        <v>146.93870592149034</v>
      </c>
      <c r="AL142" s="309">
        <v>14.362650532268797</v>
      </c>
      <c r="AM142" s="307">
        <v>36.665822521623419</v>
      </c>
      <c r="AN142" s="199">
        <f>89.1*EXP((LN(AL142/234.7)+2*LN(AO142/452.4))/3)</f>
        <v>4.9263507779831919</v>
      </c>
      <c r="AO142" s="307">
        <v>23.77569860279441</v>
      </c>
      <c r="AP142" s="309">
        <v>8.283801563539587</v>
      </c>
      <c r="AQ142" s="305">
        <v>1.3139500166333997</v>
      </c>
      <c r="AR142" s="200">
        <f>AVERAGE(BP142:BR142)</f>
        <v>10.594864544224661</v>
      </c>
      <c r="AS142" s="305">
        <v>1.8819556719893544</v>
      </c>
      <c r="AT142" s="200">
        <f>(242.7*10^((4*LOG10(AS142/36.3)+LOG10(AX142/162.5))/5)+242.7*10^((4*LOG10(AP142/147.1)+4*LOG10(AX142/162.5))/8))/2</f>
        <v>11.998887480742651</v>
      </c>
      <c r="AU142" s="200">
        <f>(55.6*10^((3*LOG10(AS142/36.3)+2*LOG10(AX142/162.5))/5)+55.6*10^((3*LOG10(AP142/147.1)+5*LOG10(AX142/162.5))/8))/2</f>
        <v>2.6493506627433288</v>
      </c>
      <c r="AV142" s="200">
        <f>(158.9*10^((2*LOG10(AS142/36.3)+3*LOG10(AX142/162.5))/5)+158.9*10^((2*LOG10(AP142/147.1)+6*LOG10(AX142/162.5))/8))/2</f>
        <v>7.2976660916303526</v>
      </c>
      <c r="AW142" s="201">
        <f>(24.2*10^((LOG10(AS142/36.3)+4*LOG10(AX142/162.5))/5)+24.2*10^((LOG10(AP142/147.1)+7*LOG10(AX142/162.5))/8))/2</f>
        <v>1.0712057238401207</v>
      </c>
      <c r="AX142" s="309">
        <v>6.9328260146373912</v>
      </c>
      <c r="AY142" s="306">
        <v>0.95128734198270104</v>
      </c>
      <c r="AZ142" s="305">
        <v>5.8390173819028606</v>
      </c>
      <c r="BA142" s="309">
        <v>0.73780023286759822</v>
      </c>
      <c r="BB142" s="38"/>
      <c r="BC142" s="307">
        <v>0</v>
      </c>
      <c r="BD142" s="307">
        <v>0.47800232867598136</v>
      </c>
      <c r="BE142" s="309">
        <v>2.0827948270126413</v>
      </c>
      <c r="BF142" s="309">
        <v>0.54394419494344648</v>
      </c>
      <c r="BG142" s="309">
        <v>240.48</v>
      </c>
      <c r="BP142" s="116">
        <f>196.6*10^(LOG10(AP142/147.1)+(LOG10(AP142/147.1)-LOG10(AL142/234.7))*0.4)</f>
        <v>10.709241981762521</v>
      </c>
      <c r="BQ142" s="116">
        <f>196.6*10^(LOG10(AP142/147.1)+0.6666*(LOG10(AS142/36.3)-LOG10(AP142/147.1)))</f>
        <v>10.477558370846291</v>
      </c>
      <c r="BR142" s="116">
        <f>196.6*10^(LOG10(AS142/36.3)-(LOG10(AX142/162.5)-LOG10(AS142/36.3))/5)</f>
        <v>10.59779328006517</v>
      </c>
    </row>
    <row r="143" spans="1:70" x14ac:dyDescent="0.2">
      <c r="A143" s="305" t="s">
        <v>852</v>
      </c>
      <c r="B143" s="50" t="s">
        <v>717</v>
      </c>
      <c r="H143" s="49">
        <f>V143*1.4616/10000</f>
        <v>0.30880494733375563</v>
      </c>
      <c r="I143" s="309">
        <v>22.063146506227568</v>
      </c>
      <c r="M143" s="306">
        <v>0.36957979734008867</v>
      </c>
      <c r="N143" s="305">
        <v>0.10962792906903103</v>
      </c>
      <c r="P143" s="38"/>
      <c r="Q143" s="38">
        <f t="shared" si="82"/>
        <v>0</v>
      </c>
      <c r="R143" s="38"/>
      <c r="S143" s="38"/>
      <c r="T143" s="307">
        <v>58.568592991344723</v>
      </c>
      <c r="V143" s="308">
        <v>2112.7869959890231</v>
      </c>
      <c r="W143" s="38"/>
      <c r="X143" s="307">
        <v>37.101198015621705</v>
      </c>
      <c r="Y143" s="308">
        <v>23.336499894447964</v>
      </c>
      <c r="Z143" s="38"/>
      <c r="AA143" s="38"/>
      <c r="AB143" s="38"/>
      <c r="AC143" s="38"/>
      <c r="AD143" s="38"/>
      <c r="AE143" s="305">
        <v>135.21690943635213</v>
      </c>
      <c r="AF143" s="291">
        <f t="shared" si="85"/>
        <v>69.89317458376992</v>
      </c>
      <c r="AG143" s="305">
        <v>199.88811484061645</v>
      </c>
      <c r="AH143" s="38"/>
      <c r="AI143" s="38"/>
      <c r="AK143" s="305">
        <v>151.8491661389065</v>
      </c>
      <c r="AL143" s="309">
        <v>13.064642706354231</v>
      </c>
      <c r="AM143" s="307">
        <v>35.34726092463584</v>
      </c>
      <c r="AN143" s="199">
        <f>89.1*EXP((LN(AL143/234.7)+2*LN(AO143/452.4))/3)</f>
        <v>4.6240551571593267</v>
      </c>
      <c r="AO143" s="307">
        <v>22.669833227781297</v>
      </c>
      <c r="AP143" s="309">
        <v>7.7516576947435079</v>
      </c>
      <c r="AQ143" s="305">
        <v>1.2350221659278025</v>
      </c>
      <c r="AR143" s="200">
        <f>AVERAGE(BP143:BR143)</f>
        <v>10.153260009480514</v>
      </c>
      <c r="AS143" s="305">
        <v>1.823428330166772</v>
      </c>
      <c r="AT143" s="200">
        <f>(242.7*10^((4*LOG10(AS143/36.3)+LOG10(AX143/162.5))/5)+242.7*10^((4*LOG10(AP143/147.1)+4*LOG10(AX143/162.5))/8))/2</f>
        <v>11.48455850706595</v>
      </c>
      <c r="AU143" s="200">
        <f>(55.6*10^((3*LOG10(AS143/36.3)+2*LOG10(AX143/162.5))/5)+55.6*10^((3*LOG10(AP143/147.1)+5*LOG10(AX143/162.5))/8))/2</f>
        <v>2.5368407539092273</v>
      </c>
      <c r="AV143" s="200">
        <f>(158.9*10^((2*LOG10(AS143/36.3)+3*LOG10(AX143/162.5))/5)+158.9*10^((2*LOG10(AP143/147.1)+6*LOG10(AX143/162.5))/8))/2</f>
        <v>6.9907829723082857</v>
      </c>
      <c r="AW143" s="201">
        <f>(24.2*10^((LOG10(AS143/36.3)+4*LOG10(AX143/162.5))/5)+24.2*10^((LOG10(AP143/147.1)+7*LOG10(AX143/162.5))/8))/2</f>
        <v>1.0266216526535972</v>
      </c>
      <c r="AX143" s="309">
        <v>6.6473902258813604</v>
      </c>
      <c r="AY143" s="306">
        <v>0.92089735064386757</v>
      </c>
      <c r="AZ143" s="305">
        <v>5.7012402364365631</v>
      </c>
      <c r="BA143" s="309">
        <v>0.71883892759130252</v>
      </c>
      <c r="BB143" s="38"/>
      <c r="BC143" s="307">
        <v>0.32979734008866368</v>
      </c>
      <c r="BD143" s="307">
        <v>0.61849271690943641</v>
      </c>
      <c r="BE143" s="309">
        <v>2.176848743930758</v>
      </c>
      <c r="BF143" s="309">
        <v>0.56732953345999582</v>
      </c>
      <c r="BG143" s="309">
        <v>189.48</v>
      </c>
      <c r="BP143" s="116">
        <f>196.6*10^(LOG10(AP143/147.1)+(LOG10(AP143/147.1)-LOG10(AL143/234.7))*0.4)</f>
        <v>10.135482164250705</v>
      </c>
      <c r="BQ143" s="116">
        <f>196.6*10^(LOG10(AP143/147.1)+0.6666*(LOG10(AS143/36.3)-LOG10(AP143/147.1)))</f>
        <v>10.034604346520849</v>
      </c>
      <c r="BR143" s="116">
        <f>196.6*10^(LOG10(AS143/36.3)-(LOG10(AX143/162.5)-LOG10(AS143/36.3))/5)</f>
        <v>10.289693517669987</v>
      </c>
    </row>
    <row r="144" spans="1:70" x14ac:dyDescent="0.2">
      <c r="A144" s="305" t="s">
        <v>853</v>
      </c>
      <c r="B144" s="50" t="s">
        <v>717</v>
      </c>
      <c r="H144" s="49">
        <f>V144*1.4616/10000</f>
        <v>0.30160546424420748</v>
      </c>
      <c r="I144" s="309">
        <v>21.835554037723952</v>
      </c>
      <c r="M144" s="306">
        <v>0.36942720538012924</v>
      </c>
      <c r="N144" s="305">
        <v>0.14496506068407503</v>
      </c>
      <c r="P144" s="38"/>
      <c r="Q144" s="38">
        <f t="shared" si="82"/>
        <v>0</v>
      </c>
      <c r="R144" s="38"/>
      <c r="S144" s="38"/>
      <c r="T144" s="307">
        <v>59.46386276467188</v>
      </c>
      <c r="V144" s="308">
        <v>2063.5294488519939</v>
      </c>
      <c r="W144" s="38"/>
      <c r="X144" s="307">
        <v>35.685299217149158</v>
      </c>
      <c r="Y144" s="308">
        <v>22.231912993222299</v>
      </c>
      <c r="Z144" s="38"/>
      <c r="AA144" s="38"/>
      <c r="AB144" s="38"/>
      <c r="AC144" s="38"/>
      <c r="AD144" s="38"/>
      <c r="AE144" s="305">
        <v>126.44302001786372</v>
      </c>
      <c r="AF144" s="291">
        <f t="shared" si="85"/>
        <v>67.359271934134938</v>
      </c>
      <c r="AG144" s="305">
        <v>186.06578048652341</v>
      </c>
      <c r="AH144" s="38"/>
      <c r="AI144" s="38"/>
      <c r="AK144" s="305">
        <v>148.21299847633057</v>
      </c>
      <c r="AL144" s="309">
        <v>12.244998161088636</v>
      </c>
      <c r="AM144" s="307">
        <v>33.824688698576153</v>
      </c>
      <c r="AN144" s="199">
        <f>89.1*EXP((LN(AL144/234.7)+2*LN(AO144/452.4))/3)</f>
        <v>4.4822261737281437</v>
      </c>
      <c r="AO144" s="307">
        <v>22.347239005937055</v>
      </c>
      <c r="AP144" s="309">
        <v>7.4183239636420941</v>
      </c>
      <c r="AQ144" s="305">
        <v>1.2131177428676509</v>
      </c>
      <c r="AR144" s="200">
        <f>AVERAGE(BP144:BR144)</f>
        <v>9.7310564135202196</v>
      </c>
      <c r="AS144" s="305">
        <v>1.7436736195029685</v>
      </c>
      <c r="AT144" s="200">
        <f>(242.7*10^((4*LOG10(AS144/36.3)+LOG10(AX144/162.5))/5)+242.7*10^((4*LOG10(AP144/147.1)+4*LOG10(AX144/162.5))/8))/2</f>
        <v>11.033851927839791</v>
      </c>
      <c r="AU144" s="200">
        <f>(55.6*10^((3*LOG10(AS144/36.3)+2*LOG10(AX144/162.5))/5)+55.6*10^((3*LOG10(AP144/147.1)+5*LOG10(AX144/162.5))/8))/2</f>
        <v>2.4423426089804208</v>
      </c>
      <c r="AV144" s="200">
        <f>(158.9*10^((2*LOG10(AS144/36.3)+3*LOG10(AX144/162.5))/5)+158.9*10^((2*LOG10(AP144/147.1)+6*LOG10(AX144/162.5))/8))/2</f>
        <v>6.7443123342874536</v>
      </c>
      <c r="AW144" s="201">
        <f>(24.2*10^((LOG10(AS144/36.3)+4*LOG10(AX144/162.5))/5)+24.2*10^((LOG10(AP144/147.1)+7*LOG10(AX144/162.5))/8))/2</f>
        <v>0.99247297575215687</v>
      </c>
      <c r="AX144" s="309">
        <v>6.4395245100614718</v>
      </c>
      <c r="AY144" s="306">
        <v>0.89270414543161869</v>
      </c>
      <c r="AZ144" s="305">
        <v>5.5281873587978776</v>
      </c>
      <c r="BA144" s="309">
        <v>0.71262018599274946</v>
      </c>
      <c r="BB144" s="38"/>
      <c r="BC144" s="307">
        <v>0.50539589134660856</v>
      </c>
      <c r="BD144" s="307">
        <v>0</v>
      </c>
      <c r="BE144" s="309">
        <v>2.0535848263542267</v>
      </c>
      <c r="BF144" s="309">
        <v>0.52668628172122101</v>
      </c>
      <c r="BG144" s="309">
        <v>190.33</v>
      </c>
      <c r="BP144" s="116">
        <f>196.6*10^(LOG10(AP144/147.1)+(LOG10(AP144/147.1)-LOG10(AL144/234.7))*0.4)</f>
        <v>9.7808282164472207</v>
      </c>
      <c r="BQ144" s="116">
        <f>196.6*10^(LOG10(AP144/147.1)+0.6666*(LOG10(AS144/36.3)-LOG10(AP144/147.1)))</f>
        <v>9.5981679429256701</v>
      </c>
      <c r="BR144" s="116">
        <f>196.6*10^(LOG10(AS144/36.3)-(LOG10(AX144/162.5)-LOG10(AS144/36.3))/5)</f>
        <v>9.8141730811877714</v>
      </c>
    </row>
    <row r="145" spans="1:70" x14ac:dyDescent="0.2">
      <c r="A145" s="305" t="s">
        <v>854</v>
      </c>
      <c r="B145" s="50" t="s">
        <v>717</v>
      </c>
      <c r="H145" s="49">
        <f>V145*1.4616/10000</f>
        <v>0.35482833236481881</v>
      </c>
      <c r="I145" s="309">
        <v>21.92327581685635</v>
      </c>
      <c r="M145" s="306">
        <v>0.35446850579535327</v>
      </c>
      <c r="N145" s="305">
        <v>6.4410762049614531E-2</v>
      </c>
      <c r="P145" s="38"/>
      <c r="Q145" s="38">
        <f t="shared" si="82"/>
        <v>0</v>
      </c>
      <c r="R145" s="38"/>
      <c r="S145" s="38"/>
      <c r="T145" s="307">
        <v>60.655131903288407</v>
      </c>
      <c r="V145" s="308">
        <v>2427.6705826821212</v>
      </c>
      <c r="W145" s="38"/>
      <c r="X145" s="307">
        <v>39.837174175276658</v>
      </c>
      <c r="Y145" s="308">
        <v>40.496669638642686</v>
      </c>
      <c r="Z145" s="38"/>
      <c r="AA145" s="38"/>
      <c r="AB145" s="38"/>
      <c r="AC145" s="38"/>
      <c r="AD145" s="38"/>
      <c r="AE145" s="305">
        <v>120.79876225940106</v>
      </c>
      <c r="AF145" s="291">
        <f t="shared" si="85"/>
        <v>61.977126148140314</v>
      </c>
      <c r="AG145" s="305">
        <v>170.13793465149212</v>
      </c>
      <c r="AH145" s="38"/>
      <c r="AI145" s="38"/>
      <c r="AK145" s="305">
        <v>131.87874337861226</v>
      </c>
      <c r="AL145" s="309">
        <v>11.348827817695497</v>
      </c>
      <c r="AM145" s="307">
        <v>30.583835946924008</v>
      </c>
      <c r="AN145" s="199">
        <f>89.1*EXP((LN(AL145/234.7)+2*LN(AO145/452.4))/3)</f>
        <v>4.1425280001305893</v>
      </c>
      <c r="AO145" s="307">
        <v>20.624586982745061</v>
      </c>
      <c r="AP145" s="309">
        <v>6.7980217129071168</v>
      </c>
      <c r="AQ145" s="305">
        <v>1.1267907903707977</v>
      </c>
      <c r="AR145" s="200">
        <f>AVERAGE(BP145:BR145)</f>
        <v>9.0004578183893695</v>
      </c>
      <c r="AS145" s="305">
        <v>1.625575601825143</v>
      </c>
      <c r="AT145" s="200">
        <f>(242.7*10^((4*LOG10(AS145/36.3)+LOG10(AX145/162.5))/5)+242.7*10^((4*LOG10(AP145/147.1)+4*LOG10(AX145/162.5))/8))/2</f>
        <v>10.180569053325495</v>
      </c>
      <c r="AU145" s="200">
        <f>(55.6*10^((3*LOG10(AS145/36.3)+2*LOG10(AX145/162.5))/5)+55.6*10^((3*LOG10(AP145/147.1)+5*LOG10(AX145/162.5))/8))/2</f>
        <v>2.2492706527907558</v>
      </c>
      <c r="AV145" s="200">
        <f>(158.9*10^((2*LOG10(AS145/36.3)+3*LOG10(AX145/162.5))/5)+158.9*10^((2*LOG10(AP145/147.1)+6*LOG10(AX145/162.5))/8))/2</f>
        <v>6.1996995594044897</v>
      </c>
      <c r="AW145" s="201">
        <f>(24.2*10^((LOG10(AS145/36.3)+4*LOG10(AX145/162.5))/5)+24.2*10^((LOG10(AP145/147.1)+7*LOG10(AX145/162.5))/8))/2</f>
        <v>0.91066178135251896</v>
      </c>
      <c r="AX145" s="309">
        <v>5.8980070278491628</v>
      </c>
      <c r="AY145" s="306">
        <v>0.82129370115907063</v>
      </c>
      <c r="AZ145" s="305">
        <v>4.8979152462369537</v>
      </c>
      <c r="BA145" s="309">
        <v>0.61080295799024498</v>
      </c>
      <c r="BB145" s="38"/>
      <c r="BC145" s="307">
        <v>0.46116326637646199</v>
      </c>
      <c r="BD145" s="307">
        <v>0.35134001153825983</v>
      </c>
      <c r="BE145" s="309">
        <v>1.8259254208842504</v>
      </c>
      <c r="BF145" s="309">
        <v>0.45265379975874548</v>
      </c>
      <c r="BG145" s="309">
        <v>190.67</v>
      </c>
      <c r="BP145" s="116">
        <f>196.6*10^(LOG10(AP145/147.1)+(LOG10(AP145/147.1)-LOG10(AL145/234.7))*0.4)</f>
        <v>8.9224920783512705</v>
      </c>
      <c r="BQ145" s="116">
        <f>196.6*10^(LOG10(AP145/147.1)+0.6666*(LOG10(AS145/36.3)-LOG10(AP145/147.1)))</f>
        <v>8.8969554219370863</v>
      </c>
      <c r="BR145" s="116">
        <f>196.6*10^(LOG10(AS145/36.3)-(LOG10(AX145/162.5)-LOG10(AS145/36.3))/5)</f>
        <v>9.1819259548797518</v>
      </c>
    </row>
    <row r="146" spans="1:70" x14ac:dyDescent="0.2">
      <c r="A146" s="305" t="s">
        <v>874</v>
      </c>
      <c r="B146" s="50" t="s">
        <v>717</v>
      </c>
      <c r="H146" s="49">
        <f>V146*1.4616/10000</f>
        <v>0.29745237450441048</v>
      </c>
      <c r="I146" s="309">
        <v>22.233306459262071</v>
      </c>
      <c r="M146" s="306">
        <v>0.3793910177368871</v>
      </c>
      <c r="N146" s="305">
        <v>0.13314379208953808</v>
      </c>
      <c r="P146" s="38"/>
      <c r="Q146" s="38">
        <f t="shared" si="82"/>
        <v>0</v>
      </c>
      <c r="R146" s="38"/>
      <c r="S146" s="38"/>
      <c r="T146" s="307">
        <v>59.251479654747222</v>
      </c>
      <c r="V146" s="308">
        <v>2035.1147680925731</v>
      </c>
      <c r="W146" s="38"/>
      <c r="X146" s="307">
        <v>36.337802333301717</v>
      </c>
      <c r="Y146" s="308">
        <v>27.882481267191501</v>
      </c>
      <c r="Z146" s="38"/>
      <c r="AA146" s="38"/>
      <c r="AB146" s="38"/>
      <c r="AC146" s="38"/>
      <c r="AD146" s="38"/>
      <c r="AE146" s="305">
        <v>121.62524898036612</v>
      </c>
      <c r="AF146" s="291">
        <f t="shared" si="85"/>
        <v>68.903678932297936</v>
      </c>
      <c r="AG146" s="305">
        <v>188.27705586645169</v>
      </c>
      <c r="AH146" s="38"/>
      <c r="AI146" s="38"/>
      <c r="AK146" s="305">
        <v>148.29370198235796</v>
      </c>
      <c r="AL146" s="309">
        <v>12.763708621834391</v>
      </c>
      <c r="AM146" s="307">
        <v>34.661770843213503</v>
      </c>
      <c r="AN146" s="199">
        <f>89.1*EXP((LN(AL146/234.7)+2*LN(AO146/452.4))/3)</f>
        <v>4.6821499786611742</v>
      </c>
      <c r="AO146" s="307">
        <v>23.369107464668499</v>
      </c>
      <c r="AP146" s="309">
        <v>7.6317898131461641</v>
      </c>
      <c r="AQ146" s="305">
        <v>1.2447344209428055</v>
      </c>
      <c r="AR146" s="200">
        <f>AVERAGE(BP146:BR146)</f>
        <v>9.9153441985513098</v>
      </c>
      <c r="AS146" s="305">
        <v>1.7705738404628664</v>
      </c>
      <c r="AT146" s="200">
        <f>(242.7*10^((4*LOG10(AS146/36.3)+LOG10(AX146/162.5))/5)+242.7*10^((4*LOG10(AP146/147.1)+4*LOG10(AX146/162.5))/8))/2</f>
        <v>11.275444547197811</v>
      </c>
      <c r="AU146" s="200">
        <f>(55.6*10^((3*LOG10(AS146/36.3)+2*LOG10(AX146/162.5))/5)+55.6*10^((3*LOG10(AP146/147.1)+5*LOG10(AX146/162.5))/8))/2</f>
        <v>2.4975066055442361</v>
      </c>
      <c r="AV146" s="200">
        <f>(158.9*10^((2*LOG10(AS146/36.3)+3*LOG10(AX146/162.5))/5)+158.9*10^((2*LOG10(AP146/147.1)+6*LOG10(AX146/162.5))/8))/2</f>
        <v>6.9012485298418653</v>
      </c>
      <c r="AW146" s="201">
        <f>(24.2*10^((LOG10(AS146/36.3)+4*LOG10(AX146/162.5))/5)+24.2*10^((LOG10(AP146/147.1)+7*LOG10(AX146/162.5))/8))/2</f>
        <v>1.016237022544261</v>
      </c>
      <c r="AX146" s="309">
        <v>6.5980081570710416</v>
      </c>
      <c r="AY146" s="306">
        <v>0.92637973062695622</v>
      </c>
      <c r="AZ146" s="305">
        <v>5.6160376553163234</v>
      </c>
      <c r="BA146" s="309">
        <v>0.70687375509816941</v>
      </c>
      <c r="BB146" s="38"/>
      <c r="BC146" s="307">
        <v>0.95874039647159259</v>
      </c>
      <c r="BD146" s="307">
        <v>0.6838186474438015</v>
      </c>
      <c r="BE146" s="309">
        <v>2.1041615289765718</v>
      </c>
      <c r="BF146" s="309">
        <v>0.54754244522431927</v>
      </c>
      <c r="BG146" s="309">
        <v>210.86</v>
      </c>
      <c r="BP146" s="116">
        <f>196.6*10^(LOG10(AP146/147.1)+(LOG10(AP146/147.1)-LOG10(AL146/234.7))*0.4)</f>
        <v>10.009611377805168</v>
      </c>
      <c r="BQ146" s="116">
        <f>196.6*10^(LOG10(AP146/147.1)+0.6666*(LOG10(AS146/36.3)-LOG10(AP146/147.1)))</f>
        <v>9.7887707047044774</v>
      </c>
      <c r="BR146" s="116">
        <f>196.6*10^(LOG10(AS146/36.3)-(LOG10(AX146/162.5)-LOG10(AS146/36.3))/5)</f>
        <v>9.9476505131442803</v>
      </c>
    </row>
    <row r="147" spans="1:70" s="36" customFormat="1" x14ac:dyDescent="0.2">
      <c r="A147" s="310" t="s">
        <v>1211</v>
      </c>
      <c r="B147" s="36" t="s">
        <v>717</v>
      </c>
      <c r="E147" s="34"/>
      <c r="F147" s="34"/>
      <c r="G147" s="34"/>
      <c r="H147" s="37">
        <f>AVERAGE(H142:H146)</f>
        <v>0.30989628819842052</v>
      </c>
      <c r="I147" s="311">
        <f>AVERAGE(I142:I146)</f>
        <v>22.080666510787104</v>
      </c>
      <c r="J147" s="37"/>
      <c r="K147" s="34"/>
      <c r="L147" s="34"/>
      <c r="M147" s="312">
        <f>AVERAGE(M142:M146)</f>
        <v>0.3731838092425076</v>
      </c>
      <c r="N147" s="310">
        <f>AVERAGE(N142:N146)</f>
        <v>0.1239591162302149</v>
      </c>
      <c r="O147" s="37"/>
      <c r="P147" s="34"/>
      <c r="Q147" s="38">
        <f t="shared" si="82"/>
        <v>0</v>
      </c>
      <c r="R147" s="34"/>
      <c r="S147" s="34"/>
      <c r="T147" s="313">
        <f>AVERAGE(T142:T146)</f>
        <v>59.382165591885631</v>
      </c>
      <c r="U147" s="35"/>
      <c r="V147" s="314">
        <f>AVERAGE(V142:V146)</f>
        <v>2120.2537506733752</v>
      </c>
      <c r="W147" s="34"/>
      <c r="X147" s="313">
        <f>AVERAGE(X142:X146)</f>
        <v>37.057822858715625</v>
      </c>
      <c r="Y147" s="314">
        <f>AVERAGE(Y142:Y146)</f>
        <v>36.09573365025112</v>
      </c>
      <c r="Z147" s="34"/>
      <c r="AA147" s="34"/>
      <c r="AB147" s="34"/>
      <c r="AC147" s="34"/>
      <c r="AD147" s="34"/>
      <c r="AE147" s="310">
        <f>AVERAGE(AE142:AE146)</f>
        <v>129.59814209754578</v>
      </c>
      <c r="AF147" s="291">
        <f t="shared" si="85"/>
        <v>68.222096202717424</v>
      </c>
      <c r="AG147" s="310">
        <f>AVERAGE(AG142:AG146)</f>
        <v>188.67750305058695</v>
      </c>
      <c r="AH147" s="34"/>
      <c r="AI147" s="34"/>
      <c r="AJ147" s="34"/>
      <c r="AK147" s="310">
        <f>AVERAGE(AK142:AK146)</f>
        <v>145.43466317953954</v>
      </c>
      <c r="AL147" s="311">
        <f>AVERAGE(AL142:AL146)</f>
        <v>12.75696556784831</v>
      </c>
      <c r="AM147" s="311">
        <f t="shared" ref="AM147:AY147" si="86">AVERAGE(AM142:AM146)</f>
        <v>34.216675786994585</v>
      </c>
      <c r="AN147" s="311">
        <f t="shared" si="86"/>
        <v>4.5714620175324852</v>
      </c>
      <c r="AO147" s="311">
        <f t="shared" si="86"/>
        <v>22.557293056785262</v>
      </c>
      <c r="AP147" s="311">
        <f t="shared" si="86"/>
        <v>7.5767189495956941</v>
      </c>
      <c r="AQ147" s="311">
        <f t="shared" si="86"/>
        <v>1.2267230273484913</v>
      </c>
      <c r="AR147" s="311">
        <f t="shared" si="86"/>
        <v>9.8789965968332147</v>
      </c>
      <c r="AS147" s="311">
        <f t="shared" si="86"/>
        <v>1.7690414127894207</v>
      </c>
      <c r="AT147" s="311">
        <f t="shared" si="86"/>
        <v>11.194662303234338</v>
      </c>
      <c r="AU147" s="311">
        <f t="shared" si="86"/>
        <v>2.4750622567935938</v>
      </c>
      <c r="AV147" s="311">
        <f t="shared" si="86"/>
        <v>6.8267418974944887</v>
      </c>
      <c r="AW147" s="311">
        <f t="shared" si="86"/>
        <v>1.0034398312285309</v>
      </c>
      <c r="AX147" s="311">
        <f t="shared" si="86"/>
        <v>6.5031511871000856</v>
      </c>
      <c r="AY147" s="311">
        <f t="shared" si="86"/>
        <v>0.90251245396884294</v>
      </c>
      <c r="AZ147" s="310">
        <f>AVERAGE(AZ142:AZ146)</f>
        <v>5.5164795757381162</v>
      </c>
      <c r="BA147" s="311">
        <f>AVERAGE(BA142:BA146)</f>
        <v>0.69738721190801289</v>
      </c>
      <c r="BB147" s="34"/>
      <c r="BC147" s="313">
        <f>AVERAGE(BC142:BC146)</f>
        <v>0.45101937885666538</v>
      </c>
      <c r="BD147" s="313">
        <f>AVERAGE(BD142:BD146)</f>
        <v>0.42633074091349582</v>
      </c>
      <c r="BE147" s="311">
        <f>AVERAGE(BE142:BE146)</f>
        <v>2.0486630694316896</v>
      </c>
      <c r="BF147" s="311">
        <f>AVERAGE(BF142:BF146)</f>
        <v>0.52763125102154551</v>
      </c>
      <c r="BG147" s="311"/>
      <c r="BJ147" s="37"/>
      <c r="BK147" s="37"/>
      <c r="BL147" s="37"/>
    </row>
    <row r="148" spans="1:70" x14ac:dyDescent="0.2">
      <c r="A148" s="71"/>
      <c r="C148" s="55"/>
      <c r="H148" s="37"/>
      <c r="I148" s="34"/>
      <c r="M148" s="37"/>
      <c r="Q148" s="38" t="e">
        <f t="shared" si="82"/>
        <v>#DIV/0!</v>
      </c>
      <c r="R148" s="49"/>
      <c r="S148" s="39"/>
      <c r="T148" s="38"/>
      <c r="V148" s="76"/>
      <c r="W148" s="38"/>
      <c r="Z148" s="39"/>
      <c r="AA148" s="39"/>
      <c r="AB148" s="39"/>
      <c r="AC148" s="39"/>
      <c r="AD148" s="39"/>
      <c r="AE148" s="76"/>
      <c r="AF148" s="76"/>
      <c r="AG148" s="76"/>
      <c r="AH148" s="76"/>
      <c r="AI148" s="76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Z148" s="38"/>
      <c r="BA148" s="38"/>
      <c r="BB148" s="38"/>
      <c r="BC148" s="39"/>
      <c r="BD148" s="39"/>
      <c r="BE148" s="38"/>
      <c r="BF148" s="38"/>
      <c r="BG148" s="39"/>
    </row>
    <row r="149" spans="1:70" x14ac:dyDescent="0.2">
      <c r="A149" s="71" t="s">
        <v>781</v>
      </c>
      <c r="B149" s="50" t="s">
        <v>850</v>
      </c>
      <c r="D149" s="38">
        <f>SUM(E149:P149)</f>
        <v>98.492258650136236</v>
      </c>
      <c r="E149" s="38">
        <v>45.094118838340307</v>
      </c>
      <c r="F149" s="38">
        <v>3.234461164720523</v>
      </c>
      <c r="G149" s="38">
        <v>9.8973459420563277</v>
      </c>
      <c r="H149" s="49" t="s">
        <v>1212</v>
      </c>
      <c r="I149" s="38">
        <v>22.348049733865601</v>
      </c>
      <c r="J149" s="49">
        <v>0.30447904026407629</v>
      </c>
      <c r="K149" s="38">
        <v>6.3348949231740912</v>
      </c>
      <c r="L149" s="38">
        <v>11.112379088312096</v>
      </c>
      <c r="M149" s="49" t="s">
        <v>1213</v>
      </c>
      <c r="N149" s="49">
        <v>7.1668165768055681E-2</v>
      </c>
      <c r="O149" s="49">
        <v>9.4861753635171214E-2</v>
      </c>
      <c r="Q149" s="38">
        <f t="shared" si="82"/>
        <v>33.568312770486571</v>
      </c>
      <c r="R149" s="49"/>
      <c r="S149" s="39"/>
      <c r="T149" s="39"/>
      <c r="V149" s="76"/>
      <c r="W149" s="76"/>
      <c r="Z149" s="76"/>
      <c r="AA149" s="76"/>
      <c r="AB149" s="76"/>
      <c r="AC149" s="76"/>
      <c r="AD149" s="39"/>
      <c r="AE149" s="39"/>
      <c r="AF149" s="76"/>
      <c r="AG149" s="76"/>
      <c r="AH149" s="76"/>
      <c r="AI149" s="76"/>
      <c r="AL149" s="76"/>
      <c r="AM149" s="38"/>
      <c r="AN149" s="38"/>
      <c r="AO149" s="39"/>
      <c r="AP149" s="39"/>
      <c r="AQ149" s="38"/>
      <c r="AR149" s="38"/>
      <c r="AS149" s="49"/>
      <c r="AT149" s="49"/>
      <c r="AU149" s="49"/>
      <c r="AV149" s="49"/>
      <c r="AW149" s="49"/>
      <c r="AX149" s="49"/>
      <c r="AZ149" s="49"/>
      <c r="BA149" s="38"/>
      <c r="BB149" s="38"/>
      <c r="BC149" s="38"/>
      <c r="BD149" s="39"/>
      <c r="BE149" s="39"/>
      <c r="BF149" s="38"/>
      <c r="BG149" s="39"/>
    </row>
    <row r="150" spans="1:70" x14ac:dyDescent="0.2">
      <c r="A150" s="305" t="s">
        <v>937</v>
      </c>
      <c r="B150" s="50" t="s">
        <v>1210</v>
      </c>
      <c r="H150" s="49">
        <f>H147</f>
        <v>0.30989628819842052</v>
      </c>
      <c r="I150" s="309">
        <f>I147</f>
        <v>22.080666510787104</v>
      </c>
      <c r="M150" s="306">
        <f>M147</f>
        <v>0.3731838092425076</v>
      </c>
      <c r="N150" s="305"/>
      <c r="P150" s="38"/>
      <c r="Q150" s="38">
        <f t="shared" si="82"/>
        <v>0</v>
      </c>
      <c r="R150" s="38"/>
      <c r="S150" s="38"/>
      <c r="T150" s="307">
        <f>T147</f>
        <v>59.382165591885631</v>
      </c>
      <c r="V150" s="308">
        <f>V147</f>
        <v>2120.2537506733752</v>
      </c>
      <c r="W150" s="38"/>
      <c r="X150" s="307">
        <f>X147</f>
        <v>37.057822858715625</v>
      </c>
      <c r="Y150" s="308">
        <f>Y147</f>
        <v>36.09573365025112</v>
      </c>
      <c r="Z150" s="38"/>
      <c r="AA150" s="38"/>
      <c r="AB150" s="38"/>
      <c r="AC150" s="38"/>
      <c r="AD150" s="38"/>
      <c r="AE150" s="305">
        <f>AE147</f>
        <v>129.59814209754578</v>
      </c>
      <c r="AF150" s="291">
        <f>1560*10^((LOG10(AU150/55.6)+LOG10(AV150/158.9))/2)</f>
        <v>68.223152177520205</v>
      </c>
      <c r="AG150" s="305">
        <f>AG147</f>
        <v>188.67750305058695</v>
      </c>
      <c r="AH150" s="38"/>
      <c r="AI150" s="38"/>
      <c r="AJ150" s="38">
        <v>7.3599068329059894E-2</v>
      </c>
      <c r="AK150" s="305">
        <f>AK147</f>
        <v>145.43466317953954</v>
      </c>
      <c r="AL150" s="309">
        <f>AL147</f>
        <v>12.75696556784831</v>
      </c>
      <c r="AM150" s="307">
        <f>AM147</f>
        <v>34.216675786994585</v>
      </c>
      <c r="AN150" s="199">
        <f>89.1*EXP((LN(AL150/234.7)+2*LN(AO150/452.4))/3)</f>
        <v>4.5722720076351235</v>
      </c>
      <c r="AO150" s="307">
        <f>AO147</f>
        <v>22.557293056785262</v>
      </c>
      <c r="AP150" s="309">
        <f>AP147</f>
        <v>7.5767189495956941</v>
      </c>
      <c r="AQ150" s="305">
        <f>AQ147</f>
        <v>1.2267230273484913</v>
      </c>
      <c r="AR150" s="200" t="e">
        <f>AVERAGE(BP150:BR150)</f>
        <v>#DIV/0!</v>
      </c>
      <c r="AS150" s="305">
        <f>AS147</f>
        <v>1.7690414127894207</v>
      </c>
      <c r="AT150" s="200">
        <f>(242.7*10^((4*LOG10(AS150/36.3)+LOG10(AX150/162.5))/5)+242.7*10^((4*LOG10(AP150/147.1)+4*LOG10(AX150/162.5))/8))/2</f>
        <v>11.194836259056537</v>
      </c>
      <c r="AU150" s="200">
        <f>(55.6*10^((3*LOG10(AS150/36.3)+2*LOG10(AX150/162.5))/5)+55.6*10^((3*LOG10(AP150/147.1)+5*LOG10(AX150/162.5))/8))/2</f>
        <v>2.4751033397141859</v>
      </c>
      <c r="AV150" s="200">
        <f>(158.9*10^((2*LOG10(AS150/36.3)+3*LOG10(AX150/162.5))/5)+158.9*10^((2*LOG10(AP150/147.1)+6*LOG10(AX150/162.5))/8))/2</f>
        <v>6.8268399174396563</v>
      </c>
      <c r="AW150" s="201">
        <f>(24.2*10^((LOG10(AS150/36.3)+4*LOG10(AX150/162.5))/5)+24.2*10^((LOG10(AP150/147.1)+7*LOG10(AX150/162.5))/8))/2</f>
        <v>1.0034486849572162</v>
      </c>
      <c r="AX150" s="309">
        <f>AX147</f>
        <v>6.5031511871000856</v>
      </c>
      <c r="AY150" s="306">
        <f>AY147</f>
        <v>0.90251245396884294</v>
      </c>
      <c r="AZ150" s="305">
        <f>AZ147</f>
        <v>5.5164795757381162</v>
      </c>
      <c r="BA150" s="309">
        <f>BA147</f>
        <v>0.69738721190801289</v>
      </c>
      <c r="BB150" s="38"/>
      <c r="BC150" s="307">
        <f>BC147</f>
        <v>0.45101937885666538</v>
      </c>
      <c r="BD150" s="307">
        <f>BD147</f>
        <v>0.42633074091349582</v>
      </c>
      <c r="BE150" s="309">
        <f>BE147</f>
        <v>2.0486630694316896</v>
      </c>
      <c r="BF150" s="309">
        <f>BF147</f>
        <v>0.52763125102154551</v>
      </c>
      <c r="BG150" s="309">
        <v>1021.82</v>
      </c>
    </row>
    <row r="151" spans="1:70" s="36" customFormat="1" x14ac:dyDescent="0.2">
      <c r="A151" s="77" t="s">
        <v>1078</v>
      </c>
      <c r="B151" s="36" t="s">
        <v>233</v>
      </c>
      <c r="E151" s="34">
        <f>AVERAGE(E149:E150)</f>
        <v>45.094118838340307</v>
      </c>
      <c r="F151" s="34">
        <f t="shared" ref="F151:BF151" si="87">AVERAGE(F149:F150)</f>
        <v>3.234461164720523</v>
      </c>
      <c r="G151" s="34">
        <f t="shared" si="87"/>
        <v>9.8973459420563277</v>
      </c>
      <c r="H151" s="37">
        <f t="shared" si="87"/>
        <v>0.30989628819842052</v>
      </c>
      <c r="I151" s="34">
        <f t="shared" si="87"/>
        <v>22.214358122326352</v>
      </c>
      <c r="J151" s="37">
        <f t="shared" si="87"/>
        <v>0.30447904026407629</v>
      </c>
      <c r="K151" s="34">
        <f t="shared" si="87"/>
        <v>6.3348949231740912</v>
      </c>
      <c r="L151" s="34">
        <f t="shared" si="87"/>
        <v>11.112379088312096</v>
      </c>
      <c r="M151" s="37">
        <f t="shared" si="87"/>
        <v>0.3731838092425076</v>
      </c>
      <c r="N151" s="37">
        <f t="shared" si="87"/>
        <v>7.1668165768055681E-2</v>
      </c>
      <c r="O151" s="37">
        <f t="shared" si="87"/>
        <v>9.4861753635171214E-2</v>
      </c>
      <c r="P151" s="34"/>
      <c r="Q151" s="38">
        <f t="shared" si="82"/>
        <v>33.702249193864901</v>
      </c>
      <c r="R151" s="34"/>
      <c r="S151" s="34"/>
      <c r="T151" s="34">
        <f t="shared" si="87"/>
        <v>59.382165591885631</v>
      </c>
      <c r="U151" s="35"/>
      <c r="V151" s="35">
        <f t="shared" si="87"/>
        <v>2120.2537506733752</v>
      </c>
      <c r="W151" s="34"/>
      <c r="X151" s="72">
        <f t="shared" si="87"/>
        <v>37.057822858715625</v>
      </c>
      <c r="Y151" s="35">
        <f t="shared" si="87"/>
        <v>36.09573365025112</v>
      </c>
      <c r="Z151" s="34"/>
      <c r="AA151" s="34"/>
      <c r="AB151" s="34"/>
      <c r="AC151" s="34"/>
      <c r="AD151" s="34"/>
      <c r="AE151" s="34">
        <f t="shared" si="87"/>
        <v>129.59814209754578</v>
      </c>
      <c r="AF151" s="34">
        <f t="shared" si="87"/>
        <v>68.223152177520205</v>
      </c>
      <c r="AG151" s="34">
        <f t="shared" si="87"/>
        <v>188.67750305058695</v>
      </c>
      <c r="AH151" s="34"/>
      <c r="AI151" s="34"/>
      <c r="AJ151" s="34">
        <f t="shared" si="87"/>
        <v>7.3599068329059894E-2</v>
      </c>
      <c r="AK151" s="35">
        <f t="shared" si="87"/>
        <v>145.43466317953954</v>
      </c>
      <c r="AL151" s="34">
        <f t="shared" si="87"/>
        <v>12.75696556784831</v>
      </c>
      <c r="AM151" s="34">
        <f t="shared" ref="AM151:AY151" si="88">AVERAGE(AM149:AM150)</f>
        <v>34.216675786994585</v>
      </c>
      <c r="AN151" s="34">
        <f t="shared" si="88"/>
        <v>4.5722720076351235</v>
      </c>
      <c r="AO151" s="34">
        <f t="shared" si="88"/>
        <v>22.557293056785262</v>
      </c>
      <c r="AP151" s="34">
        <f t="shared" si="88"/>
        <v>7.5767189495956941</v>
      </c>
      <c r="AQ151" s="34">
        <f t="shared" si="88"/>
        <v>1.2267230273484913</v>
      </c>
      <c r="AR151" s="34" t="e">
        <f t="shared" si="88"/>
        <v>#DIV/0!</v>
      </c>
      <c r="AS151" s="34">
        <f t="shared" si="88"/>
        <v>1.7690414127894207</v>
      </c>
      <c r="AT151" s="34">
        <f t="shared" si="88"/>
        <v>11.194836259056537</v>
      </c>
      <c r="AU151" s="34">
        <f t="shared" si="88"/>
        <v>2.4751033397141859</v>
      </c>
      <c r="AV151" s="34">
        <f t="shared" si="88"/>
        <v>6.8268399174396563</v>
      </c>
      <c r="AW151" s="34">
        <f t="shared" si="88"/>
        <v>1.0034486849572162</v>
      </c>
      <c r="AX151" s="34">
        <f t="shared" si="88"/>
        <v>6.5031511871000856</v>
      </c>
      <c r="AY151" s="34">
        <f t="shared" si="88"/>
        <v>0.90251245396884294</v>
      </c>
      <c r="AZ151" s="34">
        <f t="shared" si="87"/>
        <v>5.5164795757381162</v>
      </c>
      <c r="BA151" s="34">
        <f t="shared" si="87"/>
        <v>0.69738721190801289</v>
      </c>
      <c r="BB151" s="34"/>
      <c r="BC151" s="34">
        <f t="shared" si="87"/>
        <v>0.45101937885666538</v>
      </c>
      <c r="BD151" s="34">
        <f t="shared" si="87"/>
        <v>0.42633074091349582</v>
      </c>
      <c r="BE151" s="34">
        <f t="shared" si="87"/>
        <v>2.0486630694316896</v>
      </c>
      <c r="BF151" s="34">
        <f t="shared" si="87"/>
        <v>0.52763125102154551</v>
      </c>
      <c r="BG151" s="72"/>
      <c r="BJ151" s="37"/>
      <c r="BK151" s="37"/>
      <c r="BL151" s="37"/>
    </row>
    <row r="152" spans="1:70" x14ac:dyDescent="0.2">
      <c r="A152" s="77"/>
      <c r="P152" s="38"/>
      <c r="Q152" s="38" t="e">
        <f t="shared" si="82"/>
        <v>#DIV/0!</v>
      </c>
      <c r="R152" s="38"/>
      <c r="S152" s="38"/>
      <c r="T152" s="38"/>
      <c r="V152" s="76"/>
      <c r="W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Z152" s="38"/>
      <c r="BA152" s="38"/>
      <c r="BB152" s="38"/>
      <c r="BC152" s="38"/>
      <c r="BD152" s="38"/>
      <c r="BE152" s="38"/>
      <c r="BF152" s="38"/>
      <c r="BG152" s="39"/>
    </row>
    <row r="153" spans="1:70" x14ac:dyDescent="0.2">
      <c r="A153" s="71"/>
      <c r="C153" s="50" t="s">
        <v>1084</v>
      </c>
      <c r="Q153" s="38" t="e">
        <f t="shared" si="82"/>
        <v>#DIV/0!</v>
      </c>
      <c r="R153" s="49"/>
      <c r="S153" s="39"/>
      <c r="T153" s="39"/>
      <c r="V153" s="76"/>
      <c r="W153" s="76"/>
      <c r="Z153" s="76"/>
      <c r="AA153" s="76"/>
      <c r="AB153" s="76"/>
      <c r="AC153" s="76"/>
      <c r="AD153" s="39"/>
      <c r="AE153" s="39"/>
      <c r="AF153" s="76"/>
      <c r="AG153" s="76"/>
      <c r="AH153" s="76"/>
      <c r="AI153" s="76"/>
      <c r="AL153" s="76"/>
      <c r="AM153" s="38"/>
      <c r="AN153" s="38"/>
      <c r="AO153" s="39"/>
      <c r="AP153" s="39"/>
      <c r="AQ153" s="38"/>
      <c r="AR153" s="38"/>
      <c r="AS153" s="49"/>
      <c r="AT153" s="49"/>
      <c r="AU153" s="49"/>
      <c r="AV153" s="49"/>
      <c r="AW153" s="49"/>
      <c r="AX153" s="49"/>
      <c r="AZ153" s="49"/>
      <c r="BA153" s="38"/>
      <c r="BB153" s="38"/>
      <c r="BC153" s="38"/>
      <c r="BD153" s="39"/>
      <c r="BE153" s="39"/>
      <c r="BF153" s="38"/>
      <c r="BG153" s="39"/>
    </row>
    <row r="154" spans="1:70" x14ac:dyDescent="0.2">
      <c r="A154" s="77" t="s">
        <v>1078</v>
      </c>
      <c r="B154" s="50" t="s">
        <v>233</v>
      </c>
      <c r="C154" s="38">
        <v>0.35</v>
      </c>
      <c r="D154" s="38">
        <f>D133</f>
        <v>100.10000000000001</v>
      </c>
      <c r="E154" s="38">
        <f>E151</f>
        <v>45.094118838340307</v>
      </c>
      <c r="F154" s="38">
        <f t="shared" ref="F154:BF154" si="89">F151</f>
        <v>3.234461164720523</v>
      </c>
      <c r="G154" s="38">
        <f t="shared" si="89"/>
        <v>9.8973459420563277</v>
      </c>
      <c r="H154" s="49">
        <f t="shared" si="89"/>
        <v>0.30989628819842052</v>
      </c>
      <c r="I154" s="38">
        <f t="shared" si="89"/>
        <v>22.214358122326352</v>
      </c>
      <c r="J154" s="49">
        <f t="shared" si="89"/>
        <v>0.30447904026407629</v>
      </c>
      <c r="K154" s="38">
        <f t="shared" si="89"/>
        <v>6.3348949231740912</v>
      </c>
      <c r="L154" s="38">
        <f t="shared" si="89"/>
        <v>11.112379088312096</v>
      </c>
      <c r="M154" s="49">
        <f t="shared" si="89"/>
        <v>0.3731838092425076</v>
      </c>
      <c r="N154" s="49">
        <f t="shared" si="89"/>
        <v>7.1668165768055681E-2</v>
      </c>
      <c r="O154" s="49">
        <f t="shared" si="89"/>
        <v>9.4861753635171214E-2</v>
      </c>
      <c r="P154" s="38"/>
      <c r="Q154" s="38">
        <f t="shared" si="82"/>
        <v>33.702249193864901</v>
      </c>
      <c r="R154" s="38"/>
      <c r="S154" s="38"/>
      <c r="T154" s="39">
        <f t="shared" si="89"/>
        <v>59.382165591885631</v>
      </c>
      <c r="V154" s="76">
        <f t="shared" si="89"/>
        <v>2120.2537506733752</v>
      </c>
      <c r="W154" s="38"/>
      <c r="X154" s="39">
        <f t="shared" si="89"/>
        <v>37.057822858715625</v>
      </c>
      <c r="Y154" s="76">
        <f t="shared" si="89"/>
        <v>36.09573365025112</v>
      </c>
      <c r="Z154" s="38"/>
      <c r="AA154" s="38"/>
      <c r="AB154" s="38"/>
      <c r="AC154" s="38"/>
      <c r="AD154" s="38"/>
      <c r="AE154" s="76">
        <f t="shared" si="89"/>
        <v>129.59814209754578</v>
      </c>
      <c r="AF154" s="291">
        <f>1560*10^((LOG10(AU154/55.6)+LOG10(AV154/158.9))/2)</f>
        <v>68.223152177520205</v>
      </c>
      <c r="AG154" s="76">
        <f t="shared" si="89"/>
        <v>188.67750305058695</v>
      </c>
      <c r="AH154" s="38"/>
      <c r="AI154" s="38"/>
      <c r="AJ154" s="38">
        <f t="shared" si="89"/>
        <v>7.3599068329059894E-2</v>
      </c>
      <c r="AK154" s="76">
        <f t="shared" si="89"/>
        <v>145.43466317953954</v>
      </c>
      <c r="AL154" s="38">
        <f t="shared" si="89"/>
        <v>12.75696556784831</v>
      </c>
      <c r="AM154" s="38">
        <f t="shared" si="89"/>
        <v>34.216675786994585</v>
      </c>
      <c r="AN154" s="199">
        <f>89.1*EXP((LN(AL154/234.7)+2*LN(AO154/452.4))/3)</f>
        <v>4.5722720076351235</v>
      </c>
      <c r="AO154" s="38">
        <f t="shared" si="89"/>
        <v>22.557293056785262</v>
      </c>
      <c r="AP154" s="38">
        <f t="shared" si="89"/>
        <v>7.5767189495956941</v>
      </c>
      <c r="AQ154" s="38">
        <f t="shared" si="89"/>
        <v>1.2267230273484913</v>
      </c>
      <c r="AR154" s="200">
        <f>AVERAGE(BP154:BR154)</f>
        <v>9.8788008060406849</v>
      </c>
      <c r="AS154" s="38">
        <f t="shared" si="89"/>
        <v>1.7690414127894207</v>
      </c>
      <c r="AT154" s="200">
        <f>(242.7*10^((4*LOG10(AS154/36.3)+LOG10(AX154/162.5))/5)+242.7*10^((4*LOG10(AP154/147.1)+4*LOG10(AX154/162.5))/8))/2</f>
        <v>11.194836259056537</v>
      </c>
      <c r="AU154" s="200">
        <f>(55.6*10^((3*LOG10(AS154/36.3)+2*LOG10(AX154/162.5))/5)+55.6*10^((3*LOG10(AP154/147.1)+5*LOG10(AX154/162.5))/8))/2</f>
        <v>2.4751033397141859</v>
      </c>
      <c r="AV154" s="200">
        <f>(158.9*10^((2*LOG10(AS154/36.3)+3*LOG10(AX154/162.5))/5)+158.9*10^((2*LOG10(AP154/147.1)+6*LOG10(AX154/162.5))/8))/2</f>
        <v>6.8268399174396563</v>
      </c>
      <c r="AW154" s="201">
        <f>(24.2*10^((LOG10(AS154/36.3)+4*LOG10(AX154/162.5))/5)+24.2*10^((LOG10(AP154/147.1)+7*LOG10(AX154/162.5))/8))/2</f>
        <v>1.0034486849572162</v>
      </c>
      <c r="AX154" s="38">
        <f t="shared" si="89"/>
        <v>6.5031511871000856</v>
      </c>
      <c r="AY154" s="49">
        <f t="shared" si="89"/>
        <v>0.90251245396884294</v>
      </c>
      <c r="AZ154" s="38">
        <f t="shared" si="89"/>
        <v>5.5164795757381162</v>
      </c>
      <c r="BA154" s="38">
        <f t="shared" si="89"/>
        <v>0.69738721190801289</v>
      </c>
      <c r="BB154" s="38"/>
      <c r="BC154" s="38">
        <f t="shared" si="89"/>
        <v>0.45101937885666538</v>
      </c>
      <c r="BD154" s="38">
        <f t="shared" si="89"/>
        <v>0.42633074091349582</v>
      </c>
      <c r="BE154" s="38">
        <f t="shared" si="89"/>
        <v>2.0486630694316896</v>
      </c>
      <c r="BF154" s="38">
        <f t="shared" si="89"/>
        <v>0.52763125102154551</v>
      </c>
      <c r="BG154" s="39"/>
      <c r="BP154" s="116">
        <f>196.6*10^(LOG10(AP154/147.1)+(LOG10(AP154/147.1)-LOG10(AL154/234.7))*0.4)</f>
        <v>9.9107313338660425</v>
      </c>
      <c r="BQ154" s="116">
        <f>196.6*10^(LOG10(AP154/147.1)+0.6666*(LOG10(AS154/36.3)-LOG10(AP154/147.1)))</f>
        <v>9.7595291931390857</v>
      </c>
      <c r="BR154" s="116">
        <f>196.6*10^(LOG10(AS154/36.3)-(LOG10(AX154/162.5)-LOG10(AS154/36.3))/5)</f>
        <v>9.9661418911169264</v>
      </c>
    </row>
    <row r="155" spans="1:70" x14ac:dyDescent="0.2">
      <c r="A155" s="77" t="s">
        <v>1078</v>
      </c>
      <c r="B155" s="55" t="s">
        <v>1076</v>
      </c>
      <c r="C155" s="38">
        <v>0.45</v>
      </c>
      <c r="D155" s="38">
        <f>D134</f>
        <v>100.03833333333336</v>
      </c>
      <c r="E155" s="38">
        <f t="shared" ref="E155:BF155" si="90">E134</f>
        <v>45.583333333333336</v>
      </c>
      <c r="F155" s="38">
        <f t="shared" si="90"/>
        <v>3.168333333333333</v>
      </c>
      <c r="G155" s="38">
        <f t="shared" si="90"/>
        <v>9.7649999999999988</v>
      </c>
      <c r="H155" s="49">
        <f t="shared" si="90"/>
        <v>0.31833333333333336</v>
      </c>
      <c r="I155" s="38">
        <f t="shared" si="90"/>
        <v>21.95</v>
      </c>
      <c r="J155" s="49">
        <f t="shared" si="90"/>
        <v>0.30499999999999999</v>
      </c>
      <c r="K155" s="38">
        <f t="shared" si="90"/>
        <v>7.0249999999999995</v>
      </c>
      <c r="L155" s="38">
        <f t="shared" si="90"/>
        <v>11.166666666666666</v>
      </c>
      <c r="M155" s="49">
        <f t="shared" si="90"/>
        <v>0.35500000000000004</v>
      </c>
      <c r="N155" s="49">
        <f t="shared" si="90"/>
        <v>9.5000000000000015E-2</v>
      </c>
      <c r="O155" s="49">
        <f t="shared" si="90"/>
        <v>0.15166666666666667</v>
      </c>
      <c r="P155" s="50">
        <f t="shared" si="90"/>
        <v>0.155</v>
      </c>
      <c r="Q155" s="38">
        <f t="shared" si="82"/>
        <v>36.326575324245489</v>
      </c>
      <c r="R155" s="49"/>
      <c r="S155" s="39"/>
      <c r="T155" s="39">
        <f t="shared" si="90"/>
        <v>56.75</v>
      </c>
      <c r="U155" s="76">
        <f t="shared" si="90"/>
        <v>108</v>
      </c>
      <c r="V155" s="76">
        <f t="shared" si="90"/>
        <v>2159.1666666666665</v>
      </c>
      <c r="W155" s="38"/>
      <c r="X155" s="39">
        <f t="shared" si="90"/>
        <v>37.033333333333339</v>
      </c>
      <c r="Y155" s="76">
        <f t="shared" si="90"/>
        <v>25.200000000000003</v>
      </c>
      <c r="Z155" s="39">
        <f t="shared" si="90"/>
        <v>28.583333333333332</v>
      </c>
      <c r="AA155" s="39">
        <f t="shared" si="90"/>
        <v>4.0233333333333334</v>
      </c>
      <c r="AB155" s="39"/>
      <c r="AC155" s="39"/>
      <c r="AD155" s="39">
        <f t="shared" si="90"/>
        <v>1.7299999999999998</v>
      </c>
      <c r="AE155" s="76">
        <f t="shared" si="90"/>
        <v>117.5</v>
      </c>
      <c r="AF155" s="76">
        <f t="shared" si="90"/>
        <v>61.733333333333341</v>
      </c>
      <c r="AG155" s="76">
        <f t="shared" si="90"/>
        <v>181.83333333333334</v>
      </c>
      <c r="AH155" s="76">
        <f t="shared" si="90"/>
        <v>12.533333333333333</v>
      </c>
      <c r="AI155" s="76"/>
      <c r="AJ155" s="38">
        <f t="shared" si="90"/>
        <v>3.1666666666666669E-2</v>
      </c>
      <c r="AK155" s="76">
        <f t="shared" si="90"/>
        <v>128.33333333333334</v>
      </c>
      <c r="AL155" s="38">
        <f t="shared" si="90"/>
        <v>11.011666666666668</v>
      </c>
      <c r="AM155" s="38">
        <f t="shared" si="90"/>
        <v>28.483333333333338</v>
      </c>
      <c r="AN155" s="38">
        <f t="shared" si="90"/>
        <v>4.3866666666666667</v>
      </c>
      <c r="AO155" s="39">
        <f t="shared" si="90"/>
        <v>20.7</v>
      </c>
      <c r="AP155" s="38">
        <f t="shared" si="90"/>
        <v>6.504999999999999</v>
      </c>
      <c r="AQ155" s="38">
        <f t="shared" si="90"/>
        <v>1.0533333333333335</v>
      </c>
      <c r="AR155" s="38">
        <f t="shared" si="90"/>
        <v>8.5250000000000004</v>
      </c>
      <c r="AS155" s="38">
        <f t="shared" si="90"/>
        <v>1.5666666666666667</v>
      </c>
      <c r="AT155" s="38">
        <f t="shared" si="90"/>
        <v>10.108333333333334</v>
      </c>
      <c r="AU155" s="38">
        <f t="shared" si="90"/>
        <v>2.168333333333333</v>
      </c>
      <c r="AV155" s="38">
        <f t="shared" si="90"/>
        <v>5.8283333333333331</v>
      </c>
      <c r="AW155" s="38">
        <f t="shared" si="90"/>
        <v>0.91</v>
      </c>
      <c r="AX155" s="38">
        <f t="shared" si="90"/>
        <v>5.6950000000000003</v>
      </c>
      <c r="AY155" s="49">
        <f t="shared" si="90"/>
        <v>0.8783333333333333</v>
      </c>
      <c r="AZ155" s="38">
        <f t="shared" si="90"/>
        <v>4.7649999999999997</v>
      </c>
      <c r="BA155" s="38">
        <f t="shared" si="90"/>
        <v>0.6366666666666666</v>
      </c>
      <c r="BB155" s="38"/>
      <c r="BC155" s="39"/>
      <c r="BD155" s="39"/>
      <c r="BE155" s="38">
        <f t="shared" si="90"/>
        <v>1.9466666666666665</v>
      </c>
      <c r="BF155" s="38">
        <f t="shared" si="90"/>
        <v>0.47666666666666674</v>
      </c>
      <c r="BG155" s="39"/>
    </row>
    <row r="156" spans="1:70" x14ac:dyDescent="0.2">
      <c r="A156" s="77" t="s">
        <v>1078</v>
      </c>
      <c r="B156" s="50" t="s">
        <v>1086</v>
      </c>
      <c r="C156" s="38">
        <v>0.1</v>
      </c>
      <c r="D156" s="38">
        <f t="shared" ref="D156:O156" si="91">D140</f>
        <v>99.95</v>
      </c>
      <c r="E156" s="38">
        <f t="shared" si="91"/>
        <v>45.2</v>
      </c>
      <c r="F156" s="38">
        <f t="shared" si="91"/>
        <v>3.38</v>
      </c>
      <c r="G156" s="38">
        <f t="shared" si="91"/>
        <v>10</v>
      </c>
      <c r="H156" s="49">
        <f t="shared" si="91"/>
        <v>0.19</v>
      </c>
      <c r="I156" s="38">
        <f t="shared" si="91"/>
        <v>23.2</v>
      </c>
      <c r="J156" s="49">
        <f t="shared" si="91"/>
        <v>0.23</v>
      </c>
      <c r="K156" s="38">
        <f t="shared" si="91"/>
        <v>5.99</v>
      </c>
      <c r="L156" s="38">
        <f t="shared" si="91"/>
        <v>11.2</v>
      </c>
      <c r="M156" s="49">
        <f t="shared" si="91"/>
        <v>0.33</v>
      </c>
      <c r="N156" s="49">
        <f t="shared" si="91"/>
        <v>0.11</v>
      </c>
      <c r="O156" s="49">
        <f t="shared" si="91"/>
        <v>0.12</v>
      </c>
      <c r="Q156" s="38">
        <f t="shared" si="82"/>
        <v>31.518549947409952</v>
      </c>
      <c r="R156" s="49"/>
      <c r="S156" s="39"/>
      <c r="T156" s="39">
        <f>T140</f>
        <v>58.6</v>
      </c>
      <c r="U156" s="76">
        <f>U140</f>
        <v>129</v>
      </c>
      <c r="V156" s="38"/>
      <c r="W156" s="38"/>
      <c r="X156" s="39">
        <f>X140</f>
        <v>37.299999999999997</v>
      </c>
      <c r="Y156" s="76">
        <f>Y140</f>
        <v>27.6</v>
      </c>
      <c r="Z156" s="38"/>
      <c r="AA156" s="38"/>
      <c r="AB156" s="38"/>
      <c r="AC156" s="38"/>
      <c r="AD156" s="38">
        <f>AD140</f>
        <v>2.1</v>
      </c>
      <c r="AE156" s="76">
        <f>AE140</f>
        <v>135.30000000000001</v>
      </c>
      <c r="AF156" s="76">
        <f>AF140</f>
        <v>73.2</v>
      </c>
      <c r="AG156" s="76">
        <f>AG140</f>
        <v>200.3</v>
      </c>
      <c r="AH156" s="38">
        <f>AH140</f>
        <v>14.7</v>
      </c>
      <c r="AI156" s="38"/>
      <c r="AJ156" s="38">
        <f t="shared" ref="AJ156:BB156" si="92">AJ140</f>
        <v>0.1</v>
      </c>
      <c r="AK156" s="76">
        <f t="shared" si="92"/>
        <v>164.7</v>
      </c>
      <c r="AL156" s="38">
        <f t="shared" si="92"/>
        <v>13.4</v>
      </c>
      <c r="AM156" s="38">
        <f t="shared" si="92"/>
        <v>37.31</v>
      </c>
      <c r="AN156" s="38">
        <f t="shared" si="92"/>
        <v>5.15</v>
      </c>
      <c r="AO156" s="38">
        <f t="shared" si="92"/>
        <v>25.12</v>
      </c>
      <c r="AP156" s="38">
        <f t="shared" si="92"/>
        <v>7.56</v>
      </c>
      <c r="AQ156" s="38">
        <f t="shared" si="92"/>
        <v>1.24</v>
      </c>
      <c r="AR156" s="38">
        <f t="shared" si="92"/>
        <v>9.9499999999999993</v>
      </c>
      <c r="AS156" s="38">
        <f t="shared" si="92"/>
        <v>1.93</v>
      </c>
      <c r="AT156" s="38">
        <f t="shared" si="92"/>
        <v>12.08</v>
      </c>
      <c r="AU156" s="38">
        <f t="shared" si="92"/>
        <v>2.4500000000000002</v>
      </c>
      <c r="AV156" s="38">
        <f t="shared" si="92"/>
        <v>6.71</v>
      </c>
      <c r="AW156" s="38">
        <f t="shared" si="92"/>
        <v>0.94</v>
      </c>
      <c r="AX156" s="38">
        <f t="shared" si="92"/>
        <v>6.37</v>
      </c>
      <c r="AY156" s="49">
        <f t="shared" si="92"/>
        <v>0.88</v>
      </c>
      <c r="AZ156" s="38">
        <f t="shared" si="92"/>
        <v>5.39</v>
      </c>
      <c r="BA156" s="38">
        <f t="shared" si="92"/>
        <v>0.77</v>
      </c>
      <c r="BB156" s="38">
        <f t="shared" si="92"/>
        <v>0.2</v>
      </c>
      <c r="BC156" s="38"/>
      <c r="BD156" s="38"/>
      <c r="BE156" s="38">
        <f>BE140</f>
        <v>2.33</v>
      </c>
      <c r="BF156" s="38">
        <f>BF140</f>
        <v>0.55000000000000004</v>
      </c>
      <c r="BG156" s="39"/>
    </row>
    <row r="157" spans="1:70" x14ac:dyDescent="0.2">
      <c r="A157" s="77" t="s">
        <v>1078</v>
      </c>
      <c r="B157" s="50" t="s">
        <v>1058</v>
      </c>
      <c r="C157" s="38">
        <v>0.1</v>
      </c>
      <c r="D157" s="38">
        <f>D138</f>
        <v>97.760736160000008</v>
      </c>
      <c r="E157" s="38" t="s">
        <v>1079</v>
      </c>
      <c r="F157" s="38">
        <f t="shared" ref="F157:BF157" si="93">F138</f>
        <v>3.3200000000000003</v>
      </c>
      <c r="G157" s="38">
        <f t="shared" si="93"/>
        <v>10.030000000000001</v>
      </c>
      <c r="H157" s="49">
        <f t="shared" si="93"/>
        <v>0.31073616000000004</v>
      </c>
      <c r="I157" s="38" t="s">
        <v>1080</v>
      </c>
      <c r="J157" s="49">
        <f t="shared" si="93"/>
        <v>0.28000000000000003</v>
      </c>
      <c r="K157" s="38" t="s">
        <v>1081</v>
      </c>
      <c r="L157" s="38">
        <f t="shared" si="93"/>
        <v>11.11</v>
      </c>
      <c r="M157" s="49" t="s">
        <v>1082</v>
      </c>
      <c r="N157" s="49">
        <f t="shared" si="93"/>
        <v>0.11499999999999999</v>
      </c>
      <c r="O157" s="49">
        <f t="shared" si="93"/>
        <v>0.11499999999999999</v>
      </c>
      <c r="Q157" s="38" t="e">
        <f t="shared" si="82"/>
        <v>#VALUE!</v>
      </c>
      <c r="R157" s="49"/>
      <c r="S157" s="39"/>
      <c r="T157" s="39"/>
      <c r="U157" s="76">
        <f t="shared" si="93"/>
        <v>112.5</v>
      </c>
      <c r="V157" s="76">
        <f t="shared" si="93"/>
        <v>2126</v>
      </c>
      <c r="W157" s="76"/>
      <c r="X157" s="39">
        <f t="shared" si="93"/>
        <v>36.5</v>
      </c>
      <c r="Y157" s="76">
        <f t="shared" si="93"/>
        <v>26</v>
      </c>
      <c r="Z157" s="76">
        <f t="shared" si="93"/>
        <v>14.5</v>
      </c>
      <c r="AA157" s="76"/>
      <c r="AB157" s="76"/>
      <c r="AC157" s="76"/>
      <c r="AD157" s="38">
        <f t="shared" si="93"/>
        <v>2.165</v>
      </c>
      <c r="AE157" s="76">
        <f t="shared" si="93"/>
        <v>134</v>
      </c>
      <c r="AF157" s="76">
        <f t="shared" si="93"/>
        <v>74</v>
      </c>
      <c r="AG157" s="76">
        <f t="shared" si="93"/>
        <v>200</v>
      </c>
      <c r="AH157" s="76"/>
      <c r="AI157" s="76"/>
      <c r="AJ157" s="38">
        <f t="shared" si="93"/>
        <v>0.14500000000000002</v>
      </c>
      <c r="AK157" s="76">
        <f t="shared" si="93"/>
        <v>159.5</v>
      </c>
      <c r="AL157" s="39">
        <f t="shared" si="93"/>
        <v>13.65</v>
      </c>
      <c r="AM157" s="39">
        <f t="shared" si="93"/>
        <v>34.6</v>
      </c>
      <c r="AN157" s="38">
        <f t="shared" si="93"/>
        <v>5.1349999999999998</v>
      </c>
      <c r="AO157" s="39">
        <f t="shared" si="93"/>
        <v>25.3</v>
      </c>
      <c r="AP157" s="38">
        <f t="shared" si="93"/>
        <v>8.1550000000000011</v>
      </c>
      <c r="AQ157" s="249">
        <f t="shared" si="93"/>
        <v>1.47</v>
      </c>
      <c r="AR157" s="39">
        <f t="shared" si="93"/>
        <v>10.17</v>
      </c>
      <c r="AS157" s="49">
        <f t="shared" si="93"/>
        <v>1.9950000000000001</v>
      </c>
      <c r="AT157" s="39">
        <f t="shared" si="93"/>
        <v>12.85</v>
      </c>
      <c r="AU157" s="38">
        <f t="shared" si="93"/>
        <v>2.7750000000000004</v>
      </c>
      <c r="AV157" s="38"/>
      <c r="AW157" s="38">
        <f t="shared" si="93"/>
        <v>1.115</v>
      </c>
      <c r="AX157" s="38">
        <f t="shared" si="93"/>
        <v>7.165</v>
      </c>
      <c r="AY157" s="49">
        <f t="shared" si="93"/>
        <v>1.012</v>
      </c>
      <c r="AZ157" s="38">
        <f t="shared" si="93"/>
        <v>5.27</v>
      </c>
      <c r="BA157" s="38">
        <f t="shared" si="93"/>
        <v>0.80349999999999999</v>
      </c>
      <c r="BB157" s="38"/>
      <c r="BC157" s="38"/>
      <c r="BD157" s="39"/>
      <c r="BE157" s="38">
        <f t="shared" si="93"/>
        <v>2.335</v>
      </c>
      <c r="BF157" s="49">
        <f t="shared" si="93"/>
        <v>0.624</v>
      </c>
      <c r="BG157" s="39"/>
    </row>
    <row r="158" spans="1:70" x14ac:dyDescent="0.2">
      <c r="A158" s="71"/>
      <c r="C158" s="38">
        <v>0</v>
      </c>
      <c r="D158" s="38"/>
      <c r="Q158" s="38" t="e">
        <f t="shared" si="82"/>
        <v>#DIV/0!</v>
      </c>
      <c r="R158" s="49"/>
      <c r="S158" s="39"/>
      <c r="T158" s="39"/>
      <c r="V158" s="76"/>
      <c r="W158" s="76"/>
      <c r="Z158" s="76"/>
      <c r="AA158" s="76"/>
      <c r="AB158" s="76"/>
      <c r="AC158" s="76"/>
      <c r="AD158" s="38"/>
      <c r="AE158" s="76"/>
      <c r="AF158" s="76"/>
      <c r="AG158" s="76"/>
      <c r="AH158" s="76"/>
      <c r="AI158" s="76"/>
      <c r="AL158" s="76"/>
      <c r="AM158" s="38"/>
      <c r="AN158" s="38"/>
      <c r="AO158" s="39"/>
      <c r="AP158" s="39"/>
      <c r="AQ158" s="38"/>
      <c r="AR158" s="38"/>
      <c r="AS158" s="49"/>
      <c r="AT158" s="49"/>
      <c r="AU158" s="49"/>
      <c r="AV158" s="49"/>
      <c r="AW158" s="49"/>
      <c r="AX158" s="49"/>
      <c r="AZ158" s="38"/>
      <c r="BA158" s="38"/>
      <c r="BB158" s="38"/>
      <c r="BC158" s="38"/>
      <c r="BD158" s="39"/>
      <c r="BE158" s="39"/>
      <c r="BF158" s="38"/>
      <c r="BG158" s="39"/>
    </row>
    <row r="159" spans="1:70" x14ac:dyDescent="0.2">
      <c r="A159" s="77" t="s">
        <v>781</v>
      </c>
      <c r="B159" s="36" t="s">
        <v>279</v>
      </c>
      <c r="C159" s="38">
        <f>SUM(C154:C158)</f>
        <v>1</v>
      </c>
      <c r="D159" s="38">
        <f>SUM(E159:P159)</f>
        <v>99.751318629839673</v>
      </c>
      <c r="E159" s="34">
        <f>AVERAGE(E154:E158)</f>
        <v>45.292484057224556</v>
      </c>
      <c r="F159" s="34">
        <f>($C154*F154+$C155*F155+$C157*F157+$C156*F156+$C158*F158)</f>
        <v>3.2278114076521831</v>
      </c>
      <c r="G159" s="34">
        <f>($C154*G154+$C155*G155+$C157*G157+$C156*G156+$C158*G158)</f>
        <v>9.8613210797197137</v>
      </c>
      <c r="H159" s="37">
        <f>($C154*H154+$C155*H155+$C157*H157+$C156*H156+$C158*H158)</f>
        <v>0.30178731686944726</v>
      </c>
      <c r="I159" s="34">
        <f>AVERAGE(I154:I158)</f>
        <v>22.454786040775449</v>
      </c>
      <c r="J159" s="37">
        <f>($C154*J154+$C155*J155+$C157*J157+$C156*J156+$C158*J158)</f>
        <v>0.29481766409242677</v>
      </c>
      <c r="K159" s="34">
        <f>AVERAGE(K154:K158)</f>
        <v>6.4499649743913636</v>
      </c>
      <c r="L159" s="34">
        <f>($C154*L154+$C155*L155+$C157*L157+$C156*L156+$C158*L158)</f>
        <v>11.145332680909233</v>
      </c>
      <c r="M159" s="37">
        <f>AVERAGE(M154:M158)</f>
        <v>0.35272793641416927</v>
      </c>
      <c r="N159" s="37">
        <f>($C154*N154+$C155*N155+$C157*N157+$C156*N156+$C158*N158)</f>
        <v>9.0333858018819491E-2</v>
      </c>
      <c r="O159" s="37">
        <f>($C154*O154+$C155*O155+$C157*O157+$C156*O156+$C158*O158)</f>
        <v>0.12495161377230993</v>
      </c>
      <c r="P159" s="34">
        <f>AVERAGE(P154:P158)</f>
        <v>0.155</v>
      </c>
      <c r="Q159" s="38">
        <f t="shared" si="82"/>
        <v>33.864131396638193</v>
      </c>
      <c r="R159" s="34"/>
      <c r="S159" s="34"/>
      <c r="T159" s="72">
        <f>AVERAGE(T154:T158)</f>
        <v>58.244055197295211</v>
      </c>
      <c r="U159" s="35">
        <f>AVERAGE(U154:U158)</f>
        <v>116.5</v>
      </c>
      <c r="V159" s="35">
        <f>($C154*V154+$C155*V155+$C157*V157+$C156*V156+$C158*V158)</f>
        <v>1926.313812735681</v>
      </c>
      <c r="W159" s="34"/>
      <c r="X159" s="72">
        <f>($C154*X154+$C155*X155+$C157*X157+$C156*X156+$C158*X158)</f>
        <v>37.015238000550468</v>
      </c>
      <c r="Y159" s="35">
        <f>AVERAGE(Y154:Y158)</f>
        <v>28.723933412562779</v>
      </c>
      <c r="Z159" s="34">
        <f>AVERAGE(Z154:Z158)</f>
        <v>21.541666666666664</v>
      </c>
      <c r="AA159" s="34"/>
      <c r="AB159" s="34"/>
      <c r="AC159" s="34"/>
      <c r="AD159" s="34">
        <f>AVERAGE(AD154:AD158)</f>
        <v>1.9983333333333333</v>
      </c>
      <c r="AE159" s="35">
        <f>AVERAGE(AE154:AE158)</f>
        <v>129.09953552438645</v>
      </c>
      <c r="AF159" s="34">
        <f>AVERAGE(AF154:AF158)</f>
        <v>69.289121377713386</v>
      </c>
      <c r="AG159" s="35">
        <f>AVERAGE(AG154:AG158)</f>
        <v>192.70270909598008</v>
      </c>
      <c r="AH159" s="35"/>
      <c r="AI159" s="35"/>
      <c r="AJ159" s="34">
        <f t="shared" ref="AJ159:BF159" si="94">AVERAGE(AJ154:AJ158)</f>
        <v>8.7566433748931638E-2</v>
      </c>
      <c r="AK159" s="35">
        <f t="shared" si="94"/>
        <v>149.4919991282182</v>
      </c>
      <c r="AL159" s="34">
        <f t="shared" si="94"/>
        <v>12.704658058628745</v>
      </c>
      <c r="AM159" s="34">
        <f t="shared" si="94"/>
        <v>33.652502280081983</v>
      </c>
      <c r="AN159" s="34">
        <f t="shared" si="94"/>
        <v>4.8109846685754478</v>
      </c>
      <c r="AO159" s="34">
        <f t="shared" si="94"/>
        <v>23.419323264196315</v>
      </c>
      <c r="AP159" s="34">
        <f t="shared" si="94"/>
        <v>7.4491797373989233</v>
      </c>
      <c r="AQ159" s="37">
        <f t="shared" si="94"/>
        <v>1.2475140901704562</v>
      </c>
      <c r="AR159" s="34">
        <f t="shared" si="94"/>
        <v>9.6309502015101707</v>
      </c>
      <c r="AS159" s="34">
        <f t="shared" si="94"/>
        <v>1.8151770198640218</v>
      </c>
      <c r="AT159" s="34">
        <f t="shared" si="94"/>
        <v>11.558292398097468</v>
      </c>
      <c r="AU159" s="34">
        <f t="shared" si="94"/>
        <v>2.4671091682618798</v>
      </c>
      <c r="AV159" s="34">
        <f t="shared" si="94"/>
        <v>6.4550577502576632</v>
      </c>
      <c r="AW159" s="34">
        <f t="shared" si="94"/>
        <v>0.99211217123930395</v>
      </c>
      <c r="AX159" s="34">
        <f t="shared" si="94"/>
        <v>6.4332877967750211</v>
      </c>
      <c r="AY159" s="37">
        <f t="shared" si="94"/>
        <v>0.91821144682554401</v>
      </c>
      <c r="AZ159" s="34">
        <f t="shared" si="94"/>
        <v>5.2353698939345286</v>
      </c>
      <c r="BA159" s="34">
        <f t="shared" si="94"/>
        <v>0.72688846964366993</v>
      </c>
      <c r="BB159" s="34">
        <f t="shared" si="94"/>
        <v>0.2</v>
      </c>
      <c r="BC159" s="34">
        <f t="shared" si="94"/>
        <v>0.45101937885666538</v>
      </c>
      <c r="BD159" s="34">
        <f t="shared" si="94"/>
        <v>0.42633074091349582</v>
      </c>
      <c r="BE159" s="34">
        <f t="shared" si="94"/>
        <v>2.1650824340245891</v>
      </c>
      <c r="BF159" s="34">
        <f t="shared" si="94"/>
        <v>0.54457447942205306</v>
      </c>
      <c r="BG159" s="39"/>
    </row>
    <row r="160" spans="1:70" x14ac:dyDescent="0.2">
      <c r="A160" s="71"/>
      <c r="D160" s="38"/>
      <c r="Q160" s="38" t="e">
        <f t="shared" si="82"/>
        <v>#DIV/0!</v>
      </c>
      <c r="R160" s="49"/>
      <c r="S160" s="39"/>
      <c r="T160" s="39"/>
      <c r="V160" s="76"/>
      <c r="W160" s="38"/>
      <c r="Z160" s="39"/>
      <c r="AA160" s="39"/>
      <c r="AB160" s="39"/>
      <c r="AC160" s="39"/>
      <c r="AD160" s="39"/>
      <c r="AE160" s="76"/>
      <c r="AF160" s="76"/>
      <c r="AG160" s="76"/>
      <c r="AH160" s="76"/>
      <c r="AI160" s="76"/>
      <c r="AL160" s="38"/>
      <c r="AM160" s="39"/>
      <c r="AN160" s="39"/>
      <c r="AO160" s="39"/>
      <c r="AP160" s="38"/>
      <c r="AQ160" s="49"/>
      <c r="AR160" s="49"/>
      <c r="AS160" s="49"/>
      <c r="AT160" s="49"/>
      <c r="AU160" s="49"/>
      <c r="AV160" s="49"/>
      <c r="AW160" s="49"/>
      <c r="AX160" s="38"/>
      <c r="AZ160" s="38"/>
      <c r="BA160" s="38"/>
      <c r="BB160" s="38"/>
      <c r="BC160" s="39"/>
      <c r="BD160" s="39"/>
      <c r="BE160" s="38"/>
      <c r="BF160" s="38"/>
      <c r="BG160" s="39"/>
    </row>
    <row r="161" spans="1:73" x14ac:dyDescent="0.2">
      <c r="A161" s="71"/>
      <c r="Q161" s="38" t="e">
        <f t="shared" si="82"/>
        <v>#DIV/0!</v>
      </c>
      <c r="T161" s="38"/>
      <c r="V161" s="49"/>
      <c r="Z161" s="38"/>
      <c r="AB161" s="38"/>
      <c r="AG161" s="49"/>
      <c r="AH161" s="39"/>
      <c r="AI161" s="38"/>
      <c r="AL161" s="38"/>
      <c r="AM161" s="39"/>
      <c r="AO161" s="76"/>
      <c r="AP161" s="39"/>
      <c r="AQ161" s="39"/>
      <c r="AS161" s="39"/>
      <c r="AX161" s="39"/>
      <c r="AZ161" s="76"/>
      <c r="BA161" s="76"/>
      <c r="BB161" s="76"/>
      <c r="BC161" s="76"/>
      <c r="BD161" s="76"/>
      <c r="BE161" s="38"/>
      <c r="BF161" s="76"/>
      <c r="BG161" s="38"/>
      <c r="BH161" s="49"/>
      <c r="BI161" s="49"/>
      <c r="BM161" s="38"/>
      <c r="BN161" s="38"/>
      <c r="BO161" s="38"/>
      <c r="BP161" s="39"/>
      <c r="BS161" s="49"/>
      <c r="BT161" s="49"/>
      <c r="BU161" s="49"/>
    </row>
    <row r="162" spans="1:73" x14ac:dyDescent="0.2">
      <c r="A162" s="71" t="s">
        <v>905</v>
      </c>
      <c r="B162" s="50" t="s">
        <v>717</v>
      </c>
      <c r="H162" s="49">
        <v>0.28706643877327492</v>
      </c>
      <c r="I162" s="38">
        <v>11.037496088249098</v>
      </c>
      <c r="L162" s="38">
        <v>13.569159755906744</v>
      </c>
      <c r="M162" s="49">
        <v>0.377065208887498</v>
      </c>
      <c r="N162" s="49">
        <v>0.14328117665467058</v>
      </c>
      <c r="Q162" s="38">
        <f t="shared" si="82"/>
        <v>0</v>
      </c>
      <c r="R162" s="50">
        <v>0.377065208887498</v>
      </c>
      <c r="S162" s="50">
        <v>0.14328117665467058</v>
      </c>
      <c r="T162" s="38">
        <v>27.441225942731965</v>
      </c>
      <c r="V162" s="76">
        <v>1964.0560945079017</v>
      </c>
      <c r="W162" s="50">
        <v>11.037496088249098</v>
      </c>
      <c r="X162" s="39">
        <v>53.605589892035674</v>
      </c>
      <c r="Y162" s="76">
        <v>631.76627288374277</v>
      </c>
      <c r="Z162" s="38"/>
      <c r="AB162" s="38">
        <v>0.70250078235017999</v>
      </c>
      <c r="AC162" s="50">
        <v>0.55272218745110313</v>
      </c>
      <c r="AD162" s="50">
        <v>3.8785010170552341</v>
      </c>
      <c r="AE162" s="76">
        <v>1223.590909090909</v>
      </c>
      <c r="AF162" s="291"/>
      <c r="AG162" s="49">
        <v>235.5931779064309</v>
      </c>
      <c r="AH162" s="39"/>
      <c r="AI162" s="38">
        <v>2.3523822562979187E-2</v>
      </c>
      <c r="AJ162" s="38">
        <v>0.23415639180097009</v>
      </c>
      <c r="AK162" s="76">
        <v>338.41699264590829</v>
      </c>
      <c r="AL162" s="38">
        <v>16.733329682365824</v>
      </c>
      <c r="AM162" s="39">
        <v>43.475418557346259</v>
      </c>
      <c r="AN162" s="199"/>
      <c r="AO162" s="76">
        <v>25.102882960413073</v>
      </c>
      <c r="AP162" s="39">
        <v>7.4694773900797999</v>
      </c>
      <c r="AQ162" s="39">
        <v>0.84387267250821474</v>
      </c>
      <c r="AR162" s="200"/>
      <c r="AS162" s="39">
        <v>1.551682052886872</v>
      </c>
      <c r="AT162" s="200"/>
      <c r="AU162" s="200"/>
      <c r="AV162" s="200"/>
      <c r="AW162" s="201"/>
      <c r="AX162" s="39">
        <v>5.8725344234079158</v>
      </c>
      <c r="AY162" s="49">
        <v>0.81461340165858231</v>
      </c>
      <c r="AZ162" s="76">
        <v>5.854236035049289</v>
      </c>
      <c r="BA162" s="76">
        <v>0.66611477077139725</v>
      </c>
      <c r="BB162" s="76">
        <v>0.51482162415897359</v>
      </c>
      <c r="BC162" s="76">
        <v>17.76957048975121</v>
      </c>
      <c r="BD162" s="76">
        <v>12.028986074166797</v>
      </c>
      <c r="BE162" s="38">
        <v>3.0807530120481927</v>
      </c>
      <c r="BF162" s="76">
        <v>1.0393033171647628</v>
      </c>
      <c r="BG162" s="38">
        <v>232.25</v>
      </c>
      <c r="BH162" s="49"/>
      <c r="BI162" s="49"/>
      <c r="BM162" s="38"/>
      <c r="BN162" s="38"/>
      <c r="BO162" s="38"/>
      <c r="BP162" s="116">
        <f>196.6*10^(LOG10(AP162/147.1)+(LOG10(AP162/147.1)-LOG10(AL162/234.7))*0.4)</f>
        <v>8.7157419660067283</v>
      </c>
      <c r="BQ162" s="116">
        <f>196.6*10^(LOG10(AP162/147.1)+0.6666*(LOG10(AS162/36.3)-LOG10(AP162/147.1)))</f>
        <v>8.900445700359132</v>
      </c>
      <c r="BR162" s="116">
        <f>196.6*10^(LOG10(AS162/36.3)-(LOG10(AX162/162.5)-LOG10(AS162/36.3))/5)</f>
        <v>8.6908930731310594</v>
      </c>
      <c r="BS162" s="49"/>
      <c r="BT162" s="49"/>
      <c r="BU162" s="49"/>
    </row>
    <row r="163" spans="1:73" x14ac:dyDescent="0.2">
      <c r="A163" s="71" t="s">
        <v>905</v>
      </c>
      <c r="B163" s="50" t="s">
        <v>700</v>
      </c>
      <c r="E163" s="38">
        <v>45.681363333269708</v>
      </c>
      <c r="F163" s="38">
        <v>0.62313084242166139</v>
      </c>
      <c r="G163" s="38">
        <v>17.851371253952543</v>
      </c>
      <c r="H163" s="49">
        <v>0.28706643877327492</v>
      </c>
      <c r="I163" s="38">
        <v>11.037496088249098</v>
      </c>
      <c r="J163" s="49">
        <v>0.1524293015461898</v>
      </c>
      <c r="K163" s="38">
        <v>10.278858906498519</v>
      </c>
      <c r="L163" s="38">
        <v>12.680253119542122</v>
      </c>
      <c r="M163" s="49">
        <v>0.377065208887498</v>
      </c>
      <c r="N163" s="49">
        <v>0.10461331290034785</v>
      </c>
      <c r="O163" s="49">
        <v>0.23496426418784622</v>
      </c>
      <c r="Q163" s="38">
        <f t="shared" si="82"/>
        <v>62.407133142351199</v>
      </c>
      <c r="T163" s="38"/>
      <c r="V163" s="76"/>
      <c r="Z163" s="38"/>
      <c r="AB163" s="38"/>
      <c r="AE163" s="76"/>
      <c r="AG163" s="49"/>
      <c r="AH163" s="39"/>
      <c r="AI163" s="38"/>
      <c r="AL163" s="38"/>
      <c r="AM163" s="39"/>
      <c r="AO163" s="76"/>
      <c r="AP163" s="39"/>
      <c r="AQ163" s="39"/>
      <c r="AS163" s="39"/>
      <c r="AX163" s="39"/>
      <c r="AZ163" s="76"/>
      <c r="BA163" s="76"/>
      <c r="BB163" s="76"/>
      <c r="BC163" s="76"/>
      <c r="BD163" s="76"/>
      <c r="BE163" s="38"/>
      <c r="BF163" s="76"/>
      <c r="BG163" s="38"/>
      <c r="BH163" s="49"/>
      <c r="BI163" s="49"/>
      <c r="BM163" s="38"/>
      <c r="BN163" s="38"/>
      <c r="BO163" s="38"/>
      <c r="BP163" s="39"/>
      <c r="BS163" s="49"/>
      <c r="BT163" s="49"/>
      <c r="BU163" s="49"/>
    </row>
    <row r="164" spans="1:73" x14ac:dyDescent="0.2">
      <c r="A164" s="77" t="s">
        <v>905</v>
      </c>
      <c r="E164" s="34">
        <f t="shared" ref="E164:AJ164" si="95">AVERAGE(E162:E163)</f>
        <v>45.681363333269708</v>
      </c>
      <c r="F164" s="34">
        <f t="shared" si="95"/>
        <v>0.62313084242166139</v>
      </c>
      <c r="G164" s="34">
        <f t="shared" si="95"/>
        <v>17.851371253952543</v>
      </c>
      <c r="H164" s="37">
        <f t="shared" si="95"/>
        <v>0.28706643877327492</v>
      </c>
      <c r="I164" s="34">
        <f t="shared" si="95"/>
        <v>11.037496088249098</v>
      </c>
      <c r="J164" s="37">
        <f t="shared" si="95"/>
        <v>0.1524293015461898</v>
      </c>
      <c r="K164" s="34">
        <f t="shared" si="95"/>
        <v>10.278858906498519</v>
      </c>
      <c r="L164" s="34">
        <f t="shared" si="95"/>
        <v>13.124706437724434</v>
      </c>
      <c r="M164" s="37">
        <f t="shared" si="95"/>
        <v>0.377065208887498</v>
      </c>
      <c r="N164" s="37">
        <f t="shared" si="95"/>
        <v>0.12394724477750921</v>
      </c>
      <c r="O164" s="37">
        <f t="shared" si="95"/>
        <v>0.23496426418784622</v>
      </c>
      <c r="P164" s="34" t="e">
        <f t="shared" si="95"/>
        <v>#DIV/0!</v>
      </c>
      <c r="Q164" s="38">
        <f t="shared" si="82"/>
        <v>62.407133142351199</v>
      </c>
      <c r="R164" s="34">
        <f t="shared" si="95"/>
        <v>0.377065208887498</v>
      </c>
      <c r="S164" s="34">
        <f t="shared" si="95"/>
        <v>0.14328117665467058</v>
      </c>
      <c r="T164" s="34">
        <f t="shared" si="95"/>
        <v>27.441225942731965</v>
      </c>
      <c r="U164" s="35" t="e">
        <f t="shared" si="95"/>
        <v>#DIV/0!</v>
      </c>
      <c r="V164" s="35">
        <f t="shared" si="95"/>
        <v>1964.0560945079017</v>
      </c>
      <c r="W164" s="34">
        <f t="shared" si="95"/>
        <v>11.037496088249098</v>
      </c>
      <c r="X164" s="72">
        <f t="shared" si="95"/>
        <v>53.605589892035674</v>
      </c>
      <c r="Y164" s="35">
        <f t="shared" si="95"/>
        <v>631.76627288374277</v>
      </c>
      <c r="Z164" s="34" t="e">
        <f t="shared" si="95"/>
        <v>#DIV/0!</v>
      </c>
      <c r="AA164" s="34" t="e">
        <f t="shared" si="95"/>
        <v>#DIV/0!</v>
      </c>
      <c r="AB164" s="34">
        <f t="shared" si="95"/>
        <v>0.70250078235017999</v>
      </c>
      <c r="AC164" s="34">
        <f t="shared" si="95"/>
        <v>0.55272218745110313</v>
      </c>
      <c r="AD164" s="72">
        <f t="shared" si="95"/>
        <v>3.8785010170552341</v>
      </c>
      <c r="AE164" s="35">
        <f t="shared" si="95"/>
        <v>1223.590909090909</v>
      </c>
      <c r="AF164" s="35" t="e">
        <f t="shared" si="95"/>
        <v>#DIV/0!</v>
      </c>
      <c r="AG164" s="35">
        <f t="shared" si="95"/>
        <v>235.5931779064309</v>
      </c>
      <c r="AH164" s="34" t="e">
        <f t="shared" si="95"/>
        <v>#DIV/0!</v>
      </c>
      <c r="AI164" s="34">
        <f t="shared" si="95"/>
        <v>2.3523822562979187E-2</v>
      </c>
      <c r="AJ164" s="34">
        <f t="shared" si="95"/>
        <v>0.23415639180097009</v>
      </c>
      <c r="AK164" s="35">
        <f t="shared" ref="AK164:BF164" si="96">AVERAGE(AK162:AK163)</f>
        <v>338.41699264590829</v>
      </c>
      <c r="AL164" s="34">
        <f t="shared" si="96"/>
        <v>16.733329682365824</v>
      </c>
      <c r="AM164" s="34">
        <f t="shared" si="96"/>
        <v>43.475418557346259</v>
      </c>
      <c r="AN164" s="34" t="e">
        <f t="shared" si="96"/>
        <v>#DIV/0!</v>
      </c>
      <c r="AO164" s="34">
        <f t="shared" si="96"/>
        <v>25.102882960413073</v>
      </c>
      <c r="AP164" s="34">
        <f t="shared" si="96"/>
        <v>7.4694773900797999</v>
      </c>
      <c r="AQ164" s="34">
        <f t="shared" si="96"/>
        <v>0.84387267250821474</v>
      </c>
      <c r="AR164" s="34" t="e">
        <f t="shared" si="96"/>
        <v>#DIV/0!</v>
      </c>
      <c r="AS164" s="34">
        <f t="shared" si="96"/>
        <v>1.551682052886872</v>
      </c>
      <c r="AT164" s="34" t="e">
        <f t="shared" si="96"/>
        <v>#DIV/0!</v>
      </c>
      <c r="AU164" s="34" t="e">
        <f t="shared" si="96"/>
        <v>#DIV/0!</v>
      </c>
      <c r="AV164" s="34" t="e">
        <f t="shared" si="96"/>
        <v>#DIV/0!</v>
      </c>
      <c r="AW164" s="34" t="e">
        <f t="shared" si="96"/>
        <v>#DIV/0!</v>
      </c>
      <c r="AX164" s="34">
        <f t="shared" si="96"/>
        <v>5.8725344234079158</v>
      </c>
      <c r="AY164" s="37">
        <f t="shared" si="96"/>
        <v>0.81461340165858231</v>
      </c>
      <c r="AZ164" s="34">
        <f t="shared" si="96"/>
        <v>5.854236035049289</v>
      </c>
      <c r="BA164" s="34">
        <f t="shared" si="96"/>
        <v>0.66611477077139725</v>
      </c>
      <c r="BB164" s="34">
        <f t="shared" si="96"/>
        <v>0.51482162415897359</v>
      </c>
      <c r="BC164" s="34">
        <f t="shared" si="96"/>
        <v>17.76957048975121</v>
      </c>
      <c r="BD164" s="34">
        <f t="shared" si="96"/>
        <v>12.028986074166797</v>
      </c>
      <c r="BE164" s="34">
        <f t="shared" si="96"/>
        <v>3.0807530120481927</v>
      </c>
      <c r="BF164" s="34">
        <f t="shared" si="96"/>
        <v>1.0393033171647628</v>
      </c>
      <c r="BG164" s="38"/>
      <c r="BH164" s="49"/>
      <c r="BI164" s="49"/>
      <c r="BM164" s="38"/>
      <c r="BN164" s="38"/>
      <c r="BO164" s="38"/>
      <c r="BP164" s="39"/>
      <c r="BS164" s="49"/>
      <c r="BT164" s="49"/>
      <c r="BU164" s="49"/>
    </row>
    <row r="165" spans="1:73" x14ac:dyDescent="0.2">
      <c r="A165" s="77"/>
      <c r="E165" s="34"/>
      <c r="F165" s="34"/>
      <c r="G165" s="34"/>
      <c r="H165" s="37"/>
      <c r="I165" s="34"/>
      <c r="J165" s="37"/>
      <c r="K165" s="34"/>
      <c r="L165" s="34"/>
      <c r="M165" s="37"/>
      <c r="N165" s="37"/>
      <c r="O165" s="37"/>
      <c r="P165" s="34"/>
      <c r="Q165" s="38" t="e">
        <f t="shared" si="82"/>
        <v>#DIV/0!</v>
      </c>
      <c r="R165" s="34"/>
      <c r="S165" s="34"/>
      <c r="T165" s="34"/>
      <c r="U165" s="35"/>
      <c r="V165" s="35"/>
      <c r="W165" s="34"/>
      <c r="X165" s="72"/>
      <c r="Y165" s="35"/>
      <c r="Z165" s="34"/>
      <c r="AA165" s="34"/>
      <c r="AB165" s="34"/>
      <c r="AC165" s="34"/>
      <c r="AD165" s="72"/>
      <c r="AE165" s="35"/>
      <c r="AF165" s="35"/>
      <c r="AG165" s="35"/>
      <c r="AH165" s="34"/>
      <c r="AI165" s="34"/>
      <c r="AJ165" s="34"/>
      <c r="AK165" s="35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7"/>
      <c r="AZ165" s="34"/>
      <c r="BA165" s="34"/>
      <c r="BB165" s="34"/>
      <c r="BC165" s="34"/>
      <c r="BD165" s="34"/>
      <c r="BE165" s="34"/>
      <c r="BF165" s="34"/>
      <c r="BG165" s="38"/>
      <c r="BH165" s="49"/>
      <c r="BI165" s="49"/>
      <c r="BM165" s="38"/>
      <c r="BN165" s="38"/>
      <c r="BO165" s="38"/>
      <c r="BP165" s="39"/>
      <c r="BS165" s="49"/>
      <c r="BT165" s="49"/>
      <c r="BU165" s="49"/>
    </row>
    <row r="166" spans="1:73" x14ac:dyDescent="0.2">
      <c r="A166" s="1" t="s">
        <v>904</v>
      </c>
      <c r="B166" s="50" t="s">
        <v>717</v>
      </c>
      <c r="E166" s="34"/>
      <c r="F166" s="34"/>
      <c r="G166" s="34"/>
      <c r="H166" s="37">
        <v>0.20548587402192056</v>
      </c>
      <c r="I166" s="34">
        <v>7.862555708790012</v>
      </c>
      <c r="J166" s="37"/>
      <c r="K166" s="34"/>
      <c r="L166" s="34">
        <v>14.291776148653552</v>
      </c>
      <c r="M166" s="37">
        <v>0.33407389126805548</v>
      </c>
      <c r="N166" s="37">
        <v>8.3316396893373015E-2</v>
      </c>
      <c r="O166" s="37"/>
      <c r="P166" s="34"/>
      <c r="Q166" s="38">
        <f t="shared" si="82"/>
        <v>0</v>
      </c>
      <c r="R166" s="34">
        <v>0.33407389126805548</v>
      </c>
      <c r="S166" s="34">
        <v>8.3316396893373015E-2</v>
      </c>
      <c r="T166" s="34">
        <v>16.829581911882119</v>
      </c>
      <c r="U166" s="35"/>
      <c r="V166" s="35">
        <v>1405.8967844958988</v>
      </c>
      <c r="W166" s="34">
        <v>7.862555708790012</v>
      </c>
      <c r="X166" s="72">
        <v>39.102852580387598</v>
      </c>
      <c r="Y166" s="35">
        <v>434.23851346446975</v>
      </c>
      <c r="Z166" s="34"/>
      <c r="AA166" s="34"/>
      <c r="AB166" s="34">
        <v>0.75432532481672343</v>
      </c>
      <c r="AC166" s="34">
        <v>0.26702329970240257</v>
      </c>
      <c r="AD166" s="72">
        <v>0.92152137620672125</v>
      </c>
      <c r="AE166" s="35">
        <v>457.50388328373373</v>
      </c>
      <c r="AF166" s="35"/>
      <c r="AG166" s="35">
        <v>60.954199027364446</v>
      </c>
      <c r="AH166" s="34"/>
      <c r="AI166" s="34">
        <v>2.7177397111127242E-2</v>
      </c>
      <c r="AJ166" s="34">
        <v>8.0223488422733538E-2</v>
      </c>
      <c r="AK166" s="35">
        <v>180.49343108078685</v>
      </c>
      <c r="AL166" s="34">
        <v>5.1613137838426351</v>
      </c>
      <c r="AM166" s="34">
        <v>14.040710604630906</v>
      </c>
      <c r="AN166" s="34"/>
      <c r="AO166" s="34">
        <v>7.2989330042824996</v>
      </c>
      <c r="AP166" s="34">
        <v>2.2851954707120563</v>
      </c>
      <c r="AQ166" s="34">
        <v>0.723108078681861</v>
      </c>
      <c r="AR166" s="34"/>
      <c r="AS166" s="34">
        <v>0.4791347898671699</v>
      </c>
      <c r="AT166" s="34"/>
      <c r="AU166" s="34"/>
      <c r="AV166" s="34"/>
      <c r="AW166" s="34"/>
      <c r="AX166" s="34">
        <v>2.0006841111998255</v>
      </c>
      <c r="AY166" s="37">
        <v>0.27889206648762427</v>
      </c>
      <c r="AZ166" s="34">
        <v>1.7630151702112218</v>
      </c>
      <c r="BA166" s="34">
        <v>0.23674377585831458</v>
      </c>
      <c r="BB166" s="34">
        <v>0</v>
      </c>
      <c r="BC166" s="34">
        <v>17.364876243013718</v>
      </c>
      <c r="BD166" s="34">
        <v>13.113914495173114</v>
      </c>
      <c r="BE166" s="34">
        <v>1.023295347317994</v>
      </c>
      <c r="BF166" s="34">
        <v>0.49891776148653549</v>
      </c>
      <c r="BG166" s="38">
        <v>137.77000000000001</v>
      </c>
      <c r="BH166" s="49"/>
      <c r="BI166" s="49"/>
      <c r="BM166" s="38"/>
      <c r="BN166" s="38"/>
      <c r="BO166" s="38"/>
      <c r="BP166" s="39"/>
      <c r="BS166" s="49"/>
      <c r="BT166" s="49"/>
      <c r="BU166" s="49"/>
    </row>
    <row r="167" spans="1:73" x14ac:dyDescent="0.2">
      <c r="A167" s="1" t="s">
        <v>904</v>
      </c>
      <c r="B167" s="50" t="s">
        <v>700</v>
      </c>
      <c r="E167" s="34">
        <v>44.737970347433773</v>
      </c>
      <c r="F167" s="34">
        <v>0.32682537014612184</v>
      </c>
      <c r="G167" s="34">
        <v>22.513182207946461</v>
      </c>
      <c r="H167" s="37">
        <v>0.20548587402192056</v>
      </c>
      <c r="I167" s="34">
        <v>7.862555708790012</v>
      </c>
      <c r="J167" s="37">
        <v>0.10856022629078155</v>
      </c>
      <c r="K167" s="34">
        <v>9.5499564326355717</v>
      </c>
      <c r="L167" s="34">
        <v>14.096169407539339</v>
      </c>
      <c r="M167" s="37">
        <v>0.33407389126805548</v>
      </c>
      <c r="N167" s="37">
        <v>7.7080790259560814E-2</v>
      </c>
      <c r="O167" s="37">
        <v>8.1277937182346938E-2</v>
      </c>
      <c r="P167" s="34"/>
      <c r="Q167" s="38">
        <f t="shared" si="82"/>
        <v>68.406125220230336</v>
      </c>
      <c r="R167" s="34">
        <v>0.33407389126805548</v>
      </c>
      <c r="S167" s="34">
        <v>8.3316396893373015E-2</v>
      </c>
      <c r="T167" s="34">
        <v>16.829581911882119</v>
      </c>
      <c r="U167" s="35"/>
      <c r="V167" s="35">
        <v>1405.8967844958988</v>
      </c>
      <c r="W167" s="34">
        <v>7.862555708790012</v>
      </c>
      <c r="X167" s="72">
        <v>39.102852580387598</v>
      </c>
      <c r="Y167" s="35">
        <v>434.23851346446975</v>
      </c>
      <c r="Z167" s="34"/>
      <c r="AA167" s="34"/>
      <c r="AB167" s="34">
        <v>0.75432532481672343</v>
      </c>
      <c r="AC167" s="34">
        <v>0.26702329970240257</v>
      </c>
      <c r="AD167" s="72">
        <v>0.92152137620672125</v>
      </c>
      <c r="AE167" s="35">
        <v>457.50388328373373</v>
      </c>
      <c r="AF167" s="35"/>
      <c r="AG167" s="35">
        <v>60.954199027364446</v>
      </c>
      <c r="AH167" s="34"/>
      <c r="AI167" s="34">
        <v>2.7177397111127242E-2</v>
      </c>
      <c r="AJ167" s="34">
        <v>8.0223488422733538E-2</v>
      </c>
      <c r="AK167" s="35">
        <v>180.49343108078685</v>
      </c>
      <c r="AL167" s="34">
        <v>5.1613137838426351</v>
      </c>
      <c r="AM167" s="34">
        <v>14.040710604630906</v>
      </c>
      <c r="AN167" s="34"/>
      <c r="AO167" s="34">
        <v>7.2989330042824996</v>
      </c>
      <c r="AP167" s="34">
        <v>2.2851954707120563</v>
      </c>
      <c r="AQ167" s="34">
        <v>0.723108078681861</v>
      </c>
      <c r="AR167" s="34"/>
      <c r="AS167" s="34">
        <v>0.4791347898671699</v>
      </c>
      <c r="AT167" s="34"/>
      <c r="AU167" s="34"/>
      <c r="AV167" s="34"/>
      <c r="AW167" s="34"/>
      <c r="AX167" s="34">
        <v>2.0006841111998255</v>
      </c>
      <c r="AY167" s="37">
        <v>0.27889206648762427</v>
      </c>
      <c r="AZ167" s="34">
        <v>1.7630151702112218</v>
      </c>
      <c r="BA167" s="34">
        <v>0.23674377585831458</v>
      </c>
      <c r="BB167" s="34">
        <v>0</v>
      </c>
      <c r="BC167" s="34">
        <v>17.364876243013718</v>
      </c>
      <c r="BD167" s="34">
        <v>13.113914495173114</v>
      </c>
      <c r="BE167" s="34">
        <v>1.023295347317994</v>
      </c>
      <c r="BF167" s="34">
        <v>0.49891776148653549</v>
      </c>
      <c r="BG167" s="38"/>
      <c r="BH167" s="49"/>
      <c r="BI167" s="49"/>
      <c r="BM167" s="38"/>
      <c r="BN167" s="38"/>
      <c r="BO167" s="38"/>
      <c r="BP167" s="39"/>
      <c r="BS167" s="49"/>
      <c r="BT167" s="49"/>
      <c r="BU167" s="49"/>
    </row>
    <row r="168" spans="1:73" x14ac:dyDescent="0.2">
      <c r="A168" s="15" t="s">
        <v>904</v>
      </c>
      <c r="E168" s="34">
        <f t="shared" ref="E168:BF168" si="97">AVERAGE(E166:E167)</f>
        <v>44.737970347433773</v>
      </c>
      <c r="F168" s="34">
        <f t="shared" si="97"/>
        <v>0.32682537014612184</v>
      </c>
      <c r="G168" s="34">
        <f t="shared" si="97"/>
        <v>22.513182207946461</v>
      </c>
      <c r="H168" s="37">
        <f t="shared" si="97"/>
        <v>0.20548587402192056</v>
      </c>
      <c r="I168" s="34">
        <f t="shared" si="97"/>
        <v>7.862555708790012</v>
      </c>
      <c r="J168" s="37">
        <f t="shared" si="97"/>
        <v>0.10856022629078155</v>
      </c>
      <c r="K168" s="34">
        <f t="shared" si="97"/>
        <v>9.5499564326355717</v>
      </c>
      <c r="L168" s="34">
        <f t="shared" si="97"/>
        <v>14.193972778096445</v>
      </c>
      <c r="M168" s="37">
        <f t="shared" si="97"/>
        <v>0.33407389126805548</v>
      </c>
      <c r="N168" s="37">
        <f t="shared" si="97"/>
        <v>8.0198593576466914E-2</v>
      </c>
      <c r="O168" s="37">
        <f t="shared" si="97"/>
        <v>8.1277937182346938E-2</v>
      </c>
      <c r="P168" s="34" t="e">
        <f t="shared" si="97"/>
        <v>#DIV/0!</v>
      </c>
      <c r="Q168" s="38">
        <f t="shared" si="82"/>
        <v>68.406125220230336</v>
      </c>
      <c r="R168" s="34">
        <f t="shared" si="97"/>
        <v>0.33407389126805548</v>
      </c>
      <c r="S168" s="34">
        <f t="shared" si="97"/>
        <v>8.3316396893373015E-2</v>
      </c>
      <c r="T168" s="34">
        <f t="shared" si="97"/>
        <v>16.829581911882119</v>
      </c>
      <c r="U168" s="35" t="e">
        <f t="shared" si="97"/>
        <v>#DIV/0!</v>
      </c>
      <c r="V168" s="35">
        <f t="shared" si="97"/>
        <v>1405.8967844958988</v>
      </c>
      <c r="W168" s="34">
        <f t="shared" si="97"/>
        <v>7.862555708790012</v>
      </c>
      <c r="X168" s="72">
        <f t="shared" si="97"/>
        <v>39.102852580387598</v>
      </c>
      <c r="Y168" s="35">
        <f t="shared" si="97"/>
        <v>434.23851346446975</v>
      </c>
      <c r="Z168" s="34" t="e">
        <f t="shared" si="97"/>
        <v>#DIV/0!</v>
      </c>
      <c r="AA168" s="34" t="e">
        <f t="shared" si="97"/>
        <v>#DIV/0!</v>
      </c>
      <c r="AB168" s="34">
        <f t="shared" si="97"/>
        <v>0.75432532481672343</v>
      </c>
      <c r="AC168" s="34">
        <f t="shared" si="97"/>
        <v>0.26702329970240257</v>
      </c>
      <c r="AD168" s="72">
        <f t="shared" si="97"/>
        <v>0.92152137620672125</v>
      </c>
      <c r="AE168" s="35">
        <f t="shared" si="97"/>
        <v>457.50388328373373</v>
      </c>
      <c r="AF168" s="35" t="e">
        <f t="shared" si="97"/>
        <v>#DIV/0!</v>
      </c>
      <c r="AG168" s="35">
        <f t="shared" si="97"/>
        <v>60.954199027364446</v>
      </c>
      <c r="AH168" s="34" t="e">
        <f t="shared" si="97"/>
        <v>#DIV/0!</v>
      </c>
      <c r="AI168" s="34">
        <f t="shared" si="97"/>
        <v>2.7177397111127242E-2</v>
      </c>
      <c r="AJ168" s="34">
        <f t="shared" si="97"/>
        <v>8.0223488422733538E-2</v>
      </c>
      <c r="AK168" s="35">
        <f t="shared" si="97"/>
        <v>180.49343108078685</v>
      </c>
      <c r="AL168" s="34">
        <f t="shared" si="97"/>
        <v>5.1613137838426351</v>
      </c>
      <c r="AM168" s="34">
        <f t="shared" si="97"/>
        <v>14.040710604630906</v>
      </c>
      <c r="AN168" s="34" t="e">
        <f t="shared" si="97"/>
        <v>#DIV/0!</v>
      </c>
      <c r="AO168" s="34">
        <f t="shared" si="97"/>
        <v>7.2989330042824996</v>
      </c>
      <c r="AP168" s="34">
        <f t="shared" si="97"/>
        <v>2.2851954707120563</v>
      </c>
      <c r="AQ168" s="34">
        <f t="shared" si="97"/>
        <v>0.723108078681861</v>
      </c>
      <c r="AR168" s="34" t="e">
        <f t="shared" si="97"/>
        <v>#DIV/0!</v>
      </c>
      <c r="AS168" s="34">
        <f t="shared" si="97"/>
        <v>0.4791347898671699</v>
      </c>
      <c r="AT168" s="34" t="e">
        <f t="shared" si="97"/>
        <v>#DIV/0!</v>
      </c>
      <c r="AU168" s="34" t="e">
        <f t="shared" si="97"/>
        <v>#DIV/0!</v>
      </c>
      <c r="AV168" s="34" t="e">
        <f t="shared" si="97"/>
        <v>#DIV/0!</v>
      </c>
      <c r="AW168" s="34" t="e">
        <f t="shared" si="97"/>
        <v>#DIV/0!</v>
      </c>
      <c r="AX168" s="34">
        <f t="shared" si="97"/>
        <v>2.0006841111998255</v>
      </c>
      <c r="AY168" s="37">
        <f t="shared" si="97"/>
        <v>0.27889206648762427</v>
      </c>
      <c r="AZ168" s="34">
        <f t="shared" si="97"/>
        <v>1.7630151702112218</v>
      </c>
      <c r="BA168" s="34">
        <f t="shared" si="97"/>
        <v>0.23674377585831458</v>
      </c>
      <c r="BB168" s="34">
        <f t="shared" si="97"/>
        <v>0</v>
      </c>
      <c r="BC168" s="34">
        <f t="shared" si="97"/>
        <v>17.364876243013718</v>
      </c>
      <c r="BD168" s="34">
        <f t="shared" si="97"/>
        <v>13.113914495173114</v>
      </c>
      <c r="BE168" s="34">
        <f t="shared" si="97"/>
        <v>1.023295347317994</v>
      </c>
      <c r="BF168" s="34">
        <f t="shared" si="97"/>
        <v>0.49891776148653549</v>
      </c>
      <c r="BG168" s="38"/>
      <c r="BH168" s="49"/>
      <c r="BI168" s="49"/>
      <c r="BM168" s="38"/>
      <c r="BN168" s="38"/>
      <c r="BO168" s="38"/>
      <c r="BP168" s="39"/>
      <c r="BS168" s="49"/>
      <c r="BT168" s="49"/>
      <c r="BU168" s="49"/>
    </row>
    <row r="169" spans="1:73" x14ac:dyDescent="0.2">
      <c r="A169" s="77"/>
      <c r="E169" s="34"/>
      <c r="F169" s="34"/>
      <c r="G169" s="34"/>
      <c r="H169" s="37"/>
      <c r="I169" s="34"/>
      <c r="J169" s="37"/>
      <c r="K169" s="34"/>
      <c r="L169" s="34"/>
      <c r="M169" s="37"/>
      <c r="N169" s="37"/>
      <c r="O169" s="37"/>
      <c r="P169" s="34"/>
      <c r="Q169" s="38" t="e">
        <f t="shared" si="82"/>
        <v>#DIV/0!</v>
      </c>
      <c r="R169" s="34"/>
      <c r="S169" s="34"/>
      <c r="T169" s="34"/>
      <c r="U169" s="35"/>
      <c r="V169" s="35"/>
      <c r="W169" s="34"/>
      <c r="X169" s="72"/>
      <c r="Y169" s="35"/>
      <c r="Z169" s="34"/>
      <c r="AA169" s="34"/>
      <c r="AB169" s="34"/>
      <c r="AC169" s="34"/>
      <c r="AD169" s="72"/>
      <c r="AE169" s="35"/>
      <c r="AF169" s="35"/>
      <c r="AG169" s="35"/>
      <c r="AH169" s="34"/>
      <c r="AI169" s="34"/>
      <c r="AJ169" s="34"/>
      <c r="AK169" s="35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7"/>
      <c r="AZ169" s="34"/>
      <c r="BA169" s="34"/>
      <c r="BB169" s="34"/>
      <c r="BC169" s="34"/>
      <c r="BD169" s="34"/>
      <c r="BE169" s="34"/>
      <c r="BF169" s="34"/>
      <c r="BG169" s="38"/>
      <c r="BH169" s="49"/>
      <c r="BI169" s="49"/>
      <c r="BM169" s="38"/>
      <c r="BN169" s="38"/>
      <c r="BO169" s="38"/>
      <c r="BP169" s="39"/>
      <c r="BS169" s="49"/>
      <c r="BT169" s="49"/>
      <c r="BU169" s="49"/>
    </row>
    <row r="170" spans="1:73" x14ac:dyDescent="0.2">
      <c r="A170" s="50" t="s">
        <v>867</v>
      </c>
      <c r="B170" s="50" t="s">
        <v>1282</v>
      </c>
      <c r="E170" s="38">
        <v>45.4</v>
      </c>
      <c r="F170" s="38">
        <v>0.27</v>
      </c>
      <c r="G170" s="38">
        <v>22</v>
      </c>
      <c r="H170" s="49">
        <v>0.2</v>
      </c>
      <c r="I170" s="38">
        <v>8.77</v>
      </c>
      <c r="J170" s="49">
        <v>0.11</v>
      </c>
      <c r="K170" s="38">
        <v>8.02</v>
      </c>
      <c r="L170" s="38">
        <v>13.7</v>
      </c>
      <c r="M170" s="49">
        <v>0.35</v>
      </c>
      <c r="N170" s="49">
        <v>0.06</v>
      </c>
      <c r="Q170" s="38">
        <f t="shared" si="82"/>
        <v>61.979444341062589</v>
      </c>
      <c r="T170" s="38">
        <v>24.8</v>
      </c>
      <c r="V170" s="76">
        <v>1302</v>
      </c>
      <c r="X170" s="39">
        <v>36.6</v>
      </c>
      <c r="Y170" s="76">
        <v>170</v>
      </c>
      <c r="Z170" s="38"/>
      <c r="AB170" s="38"/>
      <c r="AD170" s="39"/>
      <c r="AE170" s="76">
        <v>630</v>
      </c>
      <c r="AF170" s="291">
        <f>1560*10^((LOG10(AU170/55.6)+LOG10(AV170/158.9))/2)</f>
        <v>15.363313197125203</v>
      </c>
      <c r="AG170" s="76">
        <v>90</v>
      </c>
      <c r="AH170" s="39"/>
      <c r="AI170" s="38"/>
      <c r="AK170" s="76">
        <v>105</v>
      </c>
      <c r="AL170" s="38">
        <v>3</v>
      </c>
      <c r="AM170" s="39">
        <v>6.5</v>
      </c>
      <c r="AN170" s="199">
        <f>89.1*EXP((LN(AL170/234.7)+2*LN(AO170/452.4))/3)</f>
        <v>0.84566789689007871</v>
      </c>
      <c r="AO170" s="39">
        <v>3.7</v>
      </c>
      <c r="AP170" s="38">
        <v>1.4</v>
      </c>
      <c r="AQ170" s="38">
        <v>0.49</v>
      </c>
      <c r="AR170" s="200">
        <f>AVERAGE(BP170:BR170)</f>
        <v>1.8453956767743438</v>
      </c>
      <c r="AS170" s="38">
        <v>0.36</v>
      </c>
      <c r="AT170" s="200">
        <f>(242.7*10^((4*LOG10(AS170/36.3)+LOG10(AX170/162.5))/5)+242.7*10^((4*LOG10(AP170/147.1)+4*LOG10(AX170/162.5))/8))/2</f>
        <v>2.3816119959953341</v>
      </c>
      <c r="AU170" s="200">
        <f>(55.6*10^((3*LOG10(AS170/36.3)+2*LOG10(AX170/162.5))/5)+55.6*10^((3*LOG10(AP170/147.1)+5*LOG10(AX170/162.5))/8))/2</f>
        <v>0.54690816498954309</v>
      </c>
      <c r="AV170" s="200">
        <f>(158.9*10^((2*LOG10(AS170/36.3)+3*LOG10(AX170/162.5))/5)+158.9*10^((2*LOG10(AP170/147.1)+6*LOG10(AX170/162.5))/8))/2</f>
        <v>1.5667685788507077</v>
      </c>
      <c r="AW170" s="201">
        <f>(24.2*10^((LOG10(AS170/36.3)+4*LOG10(AX170/162.5))/5)+24.2*10^((LOG10(AP170/147.1)+7*LOG10(AX170/162.5))/8))/2</f>
        <v>0.23918867908060981</v>
      </c>
      <c r="AX170" s="39">
        <v>1.61</v>
      </c>
      <c r="AY170" s="49">
        <v>0.3</v>
      </c>
      <c r="AZ170" s="38">
        <v>0.72</v>
      </c>
      <c r="BA170" s="38" t="s">
        <v>338</v>
      </c>
      <c r="BB170" s="76"/>
      <c r="BC170" s="76">
        <v>22.6</v>
      </c>
      <c r="BD170" s="76">
        <v>8</v>
      </c>
      <c r="BE170" s="38">
        <v>0.93</v>
      </c>
      <c r="BF170" s="38" t="s">
        <v>1339</v>
      </c>
      <c r="BG170" s="38"/>
      <c r="BH170" s="49"/>
      <c r="BI170" s="49"/>
      <c r="BM170" s="38"/>
      <c r="BN170" s="38"/>
      <c r="BO170" s="38"/>
      <c r="BP170" s="116">
        <f>196.6*10^(LOG10(AP170/147.1)+(LOG10(AP170/147.1)-LOG10(AL170/234.7))*0.4)</f>
        <v>1.6628832378799243</v>
      </c>
      <c r="BQ170" s="116">
        <f>196.6*10^(LOG10(AP170/147.1)+0.6666*(LOG10(AS170/36.3)-LOG10(AP170/147.1)))</f>
        <v>1.9231715523582857</v>
      </c>
      <c r="BR170" s="116">
        <f>196.6*10^(LOG10(AS170/36.3)-(LOG10(AX170/162.5)-LOG10(AS170/36.3))/5)</f>
        <v>1.9501322400848216</v>
      </c>
      <c r="BS170" s="49"/>
      <c r="BT170" s="49"/>
      <c r="BU170" s="49"/>
    </row>
    <row r="171" spans="1:73" x14ac:dyDescent="0.2">
      <c r="A171" s="71"/>
      <c r="Q171" s="38" t="e">
        <f t="shared" si="82"/>
        <v>#DIV/0!</v>
      </c>
      <c r="T171" s="38"/>
      <c r="V171" s="76"/>
      <c r="Z171" s="38"/>
      <c r="AB171" s="38"/>
      <c r="AD171" s="39"/>
      <c r="AE171" s="76"/>
      <c r="AF171" s="76"/>
      <c r="AG171" s="76"/>
      <c r="AH171" s="39"/>
      <c r="AI171" s="38"/>
      <c r="AL171" s="38"/>
      <c r="AM171" s="39"/>
      <c r="AO171" s="39"/>
      <c r="AP171" s="39"/>
      <c r="AQ171" s="39"/>
      <c r="AS171" s="38"/>
      <c r="AX171" s="39"/>
      <c r="AZ171" s="38"/>
      <c r="BA171" s="38"/>
      <c r="BB171" s="76"/>
      <c r="BC171" s="76"/>
      <c r="BD171" s="76"/>
      <c r="BE171" s="38"/>
      <c r="BF171" s="38"/>
      <c r="BG171" s="38"/>
      <c r="BH171" s="49"/>
      <c r="BI171" s="49"/>
      <c r="BM171" s="38"/>
      <c r="BN171" s="38"/>
      <c r="BO171" s="38"/>
      <c r="BP171" s="39"/>
      <c r="BS171" s="49"/>
      <c r="BT171" s="49"/>
      <c r="BU171" s="49"/>
    </row>
    <row r="172" spans="1:73" x14ac:dyDescent="0.2">
      <c r="A172" s="50" t="s">
        <v>867</v>
      </c>
      <c r="B172" s="50" t="s">
        <v>717</v>
      </c>
      <c r="H172" s="49">
        <f>V172*1.4616/10000</f>
        <v>0.19743267659108679</v>
      </c>
      <c r="I172" s="38">
        <v>7.4071618451915562</v>
      </c>
      <c r="L172" s="38">
        <v>14.900547302580142</v>
      </c>
      <c r="M172" s="49">
        <v>0.31497263487099297</v>
      </c>
      <c r="N172" s="49">
        <v>2.9890539483971863E-2</v>
      </c>
      <c r="Q172" s="38">
        <f t="shared" si="82"/>
        <v>0</v>
      </c>
      <c r="T172" s="38">
        <v>16.579022673964037</v>
      </c>
      <c r="V172" s="76">
        <v>1350.7982799061767</v>
      </c>
      <c r="X172" s="39">
        <v>31.38475371383894</v>
      </c>
      <c r="Y172" s="76">
        <v>344.49257232212665</v>
      </c>
      <c r="Z172" s="38">
        <v>13.354104769351055</v>
      </c>
      <c r="AB172" s="38">
        <v>0.38502736512900709</v>
      </c>
      <c r="AC172" s="50">
        <v>0.40491790461297894</v>
      </c>
      <c r="AD172" s="39">
        <v>0</v>
      </c>
      <c r="AE172" s="76">
        <v>372.75449569976553</v>
      </c>
      <c r="AF172" s="291">
        <f>1560*10^((LOG10(AU172/55.6)+LOG10(AV172/158.9))/2)</f>
        <v>18.135889803587681</v>
      </c>
      <c r="AG172" s="76">
        <v>61.502736512900711</v>
      </c>
      <c r="AH172" s="39"/>
      <c r="AI172" s="38">
        <v>7.4027365129007053E-2</v>
      </c>
      <c r="AJ172" s="38">
        <v>9.2901485535574674E-2</v>
      </c>
      <c r="AK172" s="76">
        <v>93.005473025801408</v>
      </c>
      <c r="AL172" s="38">
        <v>4.041587177482409</v>
      </c>
      <c r="AM172" s="39">
        <v>10.354104769351054</v>
      </c>
      <c r="AN172" s="199">
        <f>89.1*EXP((LN(AL172/234.7)+2*LN(AO172/452.4))/3)</f>
        <v>1.4015806810102871</v>
      </c>
      <c r="AO172" s="39">
        <v>6.8016419077404224</v>
      </c>
      <c r="AP172" s="38">
        <v>1.9101047693510556</v>
      </c>
      <c r="AQ172" s="38">
        <v>0.70397263487099293</v>
      </c>
      <c r="AR172" s="200">
        <f>AVERAGE(BP172:BR172)</f>
        <v>2.3385998314197831</v>
      </c>
      <c r="AS172" s="38">
        <v>0.42806567630961689</v>
      </c>
      <c r="AT172" s="200">
        <f>(242.7*10^((4*LOG10(AS172/36.3)+LOG10(AX172/162.5))/5)+242.7*10^((4*LOG10(AP172/147.1)+4*LOG10(AX172/162.5))/8))/2</f>
        <v>2.8818894214220272</v>
      </c>
      <c r="AU172" s="200">
        <f>(55.6*10^((3*LOG10(AS172/36.3)+2*LOG10(AX172/162.5))/5)+55.6*10^((3*LOG10(AP172/147.1)+5*LOG10(AX172/162.5))/8))/2</f>
        <v>0.65095500498287917</v>
      </c>
      <c r="AV172" s="200">
        <f>(158.9*10^((2*LOG10(AS172/36.3)+3*LOG10(AX172/162.5))/5)+158.9*10^((2*LOG10(AP172/147.1)+6*LOG10(AX172/162.5))/8))/2</f>
        <v>1.8343248862094572</v>
      </c>
      <c r="AW172" s="201">
        <f>(24.2*10^((LOG10(AS172/36.3)+4*LOG10(AX172/162.5))/5)+24.2*10^((LOG10(AP172/147.1)+7*LOG10(AX172/162.5))/8))/2</f>
        <v>0.27545550058504559</v>
      </c>
      <c r="AX172" s="39">
        <v>1.8238146989835813</v>
      </c>
      <c r="AY172" s="49">
        <v>0.25204378420641127</v>
      </c>
      <c r="AZ172" s="38">
        <v>1.6075129007036748</v>
      </c>
      <c r="BA172" s="38">
        <v>0.22988506645817045</v>
      </c>
      <c r="BB172" s="76">
        <v>0.2</v>
      </c>
      <c r="BC172" s="76">
        <v>18.288037529319784</v>
      </c>
      <c r="BD172" s="76">
        <v>18.588506645817048</v>
      </c>
      <c r="BE172" s="38">
        <v>0.93779202501954662</v>
      </c>
      <c r="BF172" s="38">
        <v>0.4450820953870212</v>
      </c>
      <c r="BG172" s="38">
        <v>51.16</v>
      </c>
      <c r="BH172" s="49"/>
      <c r="BI172" s="49"/>
      <c r="BM172" s="38"/>
      <c r="BN172" s="38"/>
      <c r="BO172" s="38"/>
      <c r="BP172" s="116">
        <f>196.6*10^(LOG10(AP172/147.1)+(LOG10(AP172/147.1)-LOG10(AL172/234.7))*0.4)</f>
        <v>2.2802910972657942</v>
      </c>
      <c r="BQ172" s="116">
        <f>196.6*10^(LOG10(AP172/147.1)+0.6666*(LOG10(AS172/36.3)-LOG10(AP172/147.1)))</f>
        <v>2.3940708330194349</v>
      </c>
      <c r="BR172" s="116">
        <f>196.6*10^(LOG10(AS172/36.3)-(LOG10(AX172/162.5)-LOG10(AS172/36.3))/5)</f>
        <v>2.3414375639741198</v>
      </c>
      <c r="BS172" s="49"/>
      <c r="BT172" s="49"/>
      <c r="BU172" s="49"/>
    </row>
    <row r="173" spans="1:73" x14ac:dyDescent="0.2">
      <c r="A173" s="50" t="s">
        <v>867</v>
      </c>
      <c r="B173" s="50" t="s">
        <v>700</v>
      </c>
      <c r="E173" s="38">
        <v>44.731621331483872</v>
      </c>
      <c r="F173" s="38">
        <v>0.30717694090536435</v>
      </c>
      <c r="G173" s="38">
        <v>23.468971241141546</v>
      </c>
      <c r="H173" s="49">
        <v>0.19743267659108679</v>
      </c>
      <c r="I173" s="38">
        <v>7.4071618451915562</v>
      </c>
      <c r="J173" s="49">
        <v>0.1421897649723195</v>
      </c>
      <c r="K173" s="38">
        <v>8.4288855867320152</v>
      </c>
      <c r="L173" s="38">
        <v>14.583184130793713</v>
      </c>
      <c r="M173" s="49">
        <v>0.31497263487099297</v>
      </c>
      <c r="N173" s="49">
        <v>6.8036802138374736E-2</v>
      </c>
      <c r="O173" s="49">
        <v>8.1190658068231281E-2</v>
      </c>
      <c r="Q173" s="38">
        <f t="shared" si="82"/>
        <v>66.980239060360489</v>
      </c>
      <c r="R173" s="49"/>
      <c r="S173" s="39"/>
      <c r="T173" s="38"/>
      <c r="V173" s="76"/>
      <c r="W173" s="38"/>
      <c r="Z173" s="39"/>
      <c r="AA173" s="39"/>
      <c r="AB173" s="39"/>
      <c r="AC173" s="39"/>
      <c r="AD173" s="39"/>
      <c r="AE173" s="76"/>
      <c r="AF173" s="76"/>
      <c r="AG173" s="76"/>
      <c r="AH173" s="76"/>
      <c r="AI173" s="76"/>
      <c r="AL173" s="38"/>
      <c r="AM173" s="39"/>
      <c r="AN173" s="39"/>
      <c r="AO173" s="39"/>
      <c r="AP173" s="38"/>
      <c r="AQ173" s="49"/>
      <c r="AR173" s="49"/>
      <c r="AS173" s="49"/>
      <c r="AT173" s="49"/>
      <c r="AU173" s="49"/>
      <c r="AV173" s="49"/>
      <c r="AW173" s="49"/>
      <c r="AX173" s="38"/>
      <c r="AZ173" s="38"/>
      <c r="BA173" s="38"/>
      <c r="BB173" s="38"/>
      <c r="BC173" s="39"/>
      <c r="BD173" s="39"/>
      <c r="BE173" s="38"/>
      <c r="BF173" s="38"/>
      <c r="BG173" s="39"/>
    </row>
    <row r="174" spans="1:73" x14ac:dyDescent="0.2">
      <c r="A174" s="36" t="s">
        <v>867</v>
      </c>
      <c r="E174" s="34">
        <f>AVERAGE(E170:E173)</f>
        <v>45.065810665741935</v>
      </c>
      <c r="F174" s="34">
        <f t="shared" ref="F174:O174" si="98">AVERAGE(F170:F173)</f>
        <v>0.28858847045268221</v>
      </c>
      <c r="G174" s="34">
        <f t="shared" si="98"/>
        <v>22.734485620570773</v>
      </c>
      <c r="H174" s="34">
        <f t="shared" si="98"/>
        <v>0.19828845106072454</v>
      </c>
      <c r="I174" s="34">
        <f t="shared" si="98"/>
        <v>7.8614412301277037</v>
      </c>
      <c r="J174" s="34">
        <f t="shared" si="98"/>
        <v>0.12609488248615974</v>
      </c>
      <c r="K174" s="34">
        <f t="shared" si="98"/>
        <v>8.2244427933660074</v>
      </c>
      <c r="L174" s="34">
        <f t="shared" si="98"/>
        <v>14.39457714445795</v>
      </c>
      <c r="M174" s="34">
        <f t="shared" si="98"/>
        <v>0.32664842324732862</v>
      </c>
      <c r="N174" s="34">
        <f t="shared" si="98"/>
        <v>5.2642447207448866E-2</v>
      </c>
      <c r="O174" s="34">
        <f t="shared" si="98"/>
        <v>8.1190658068231281E-2</v>
      </c>
      <c r="P174" s="34" t="e">
        <f t="shared" ref="P174:AJ174" si="99">AVERAGE(P172:P173)</f>
        <v>#DIV/0!</v>
      </c>
      <c r="Q174" s="38">
        <f t="shared" si="82"/>
        <v>65.09493548310688</v>
      </c>
      <c r="R174" s="34" t="e">
        <f t="shared" si="99"/>
        <v>#DIV/0!</v>
      </c>
      <c r="S174" s="34" t="e">
        <f t="shared" si="99"/>
        <v>#DIV/0!</v>
      </c>
      <c r="T174" s="34">
        <f t="shared" si="99"/>
        <v>16.579022673964037</v>
      </c>
      <c r="U174" s="35" t="e">
        <f t="shared" si="99"/>
        <v>#DIV/0!</v>
      </c>
      <c r="V174" s="35">
        <f t="shared" si="99"/>
        <v>1350.7982799061767</v>
      </c>
      <c r="W174" s="34" t="e">
        <f t="shared" si="99"/>
        <v>#DIV/0!</v>
      </c>
      <c r="X174" s="72">
        <f t="shared" si="99"/>
        <v>31.38475371383894</v>
      </c>
      <c r="Y174" s="35">
        <f t="shared" si="99"/>
        <v>344.49257232212665</v>
      </c>
      <c r="Z174" s="34">
        <f t="shared" si="99"/>
        <v>13.354104769351055</v>
      </c>
      <c r="AA174" s="34" t="e">
        <f t="shared" si="99"/>
        <v>#DIV/0!</v>
      </c>
      <c r="AB174" s="34">
        <f t="shared" si="99"/>
        <v>0.38502736512900709</v>
      </c>
      <c r="AC174" s="34">
        <f t="shared" si="99"/>
        <v>0.40491790461297894</v>
      </c>
      <c r="AD174" s="72">
        <f t="shared" si="99"/>
        <v>0</v>
      </c>
      <c r="AE174" s="35">
        <f t="shared" si="99"/>
        <v>372.75449569976553</v>
      </c>
      <c r="AF174" s="35">
        <f t="shared" si="99"/>
        <v>18.135889803587681</v>
      </c>
      <c r="AG174" s="35">
        <f t="shared" si="99"/>
        <v>61.502736512900711</v>
      </c>
      <c r="AH174" s="34" t="e">
        <f t="shared" si="99"/>
        <v>#DIV/0!</v>
      </c>
      <c r="AI174" s="34">
        <f t="shared" si="99"/>
        <v>7.4027365129007053E-2</v>
      </c>
      <c r="AJ174" s="34">
        <f t="shared" si="99"/>
        <v>9.2901485535574674E-2</v>
      </c>
      <c r="AK174" s="35">
        <f t="shared" ref="AK174:BF174" si="100">AVERAGE(AK172:AK173)</f>
        <v>93.005473025801408</v>
      </c>
      <c r="AL174" s="34">
        <f t="shared" si="100"/>
        <v>4.041587177482409</v>
      </c>
      <c r="AM174" s="34">
        <f t="shared" si="100"/>
        <v>10.354104769351054</v>
      </c>
      <c r="AN174" s="34">
        <f t="shared" si="100"/>
        <v>1.4015806810102871</v>
      </c>
      <c r="AO174" s="34">
        <f t="shared" si="100"/>
        <v>6.8016419077404224</v>
      </c>
      <c r="AP174" s="34">
        <f t="shared" si="100"/>
        <v>1.9101047693510556</v>
      </c>
      <c r="AQ174" s="34">
        <f t="shared" si="100"/>
        <v>0.70397263487099293</v>
      </c>
      <c r="AR174" s="34">
        <f t="shared" si="100"/>
        <v>2.3385998314197831</v>
      </c>
      <c r="AS174" s="34">
        <f t="shared" si="100"/>
        <v>0.42806567630961689</v>
      </c>
      <c r="AT174" s="34">
        <f t="shared" si="100"/>
        <v>2.8818894214220272</v>
      </c>
      <c r="AU174" s="34">
        <f t="shared" si="100"/>
        <v>0.65095500498287917</v>
      </c>
      <c r="AV174" s="34">
        <f t="shared" si="100"/>
        <v>1.8343248862094572</v>
      </c>
      <c r="AW174" s="34">
        <f t="shared" si="100"/>
        <v>0.27545550058504559</v>
      </c>
      <c r="AX174" s="34">
        <f t="shared" si="100"/>
        <v>1.8238146989835813</v>
      </c>
      <c r="AY174" s="37">
        <f t="shared" si="100"/>
        <v>0.25204378420641127</v>
      </c>
      <c r="AZ174" s="34">
        <f t="shared" si="100"/>
        <v>1.6075129007036748</v>
      </c>
      <c r="BA174" s="34">
        <f t="shared" si="100"/>
        <v>0.22988506645817045</v>
      </c>
      <c r="BB174" s="34">
        <f t="shared" si="100"/>
        <v>0.2</v>
      </c>
      <c r="BC174" s="34">
        <f t="shared" si="100"/>
        <v>18.288037529319784</v>
      </c>
      <c r="BD174" s="34">
        <f t="shared" si="100"/>
        <v>18.588506645817048</v>
      </c>
      <c r="BE174" s="34">
        <f t="shared" si="100"/>
        <v>0.93779202501954662</v>
      </c>
      <c r="BF174" s="34">
        <f t="shared" si="100"/>
        <v>0.4450820953870212</v>
      </c>
      <c r="BG174" s="39"/>
    </row>
    <row r="175" spans="1:73" x14ac:dyDescent="0.2">
      <c r="A175" s="71"/>
      <c r="Q175" s="38" t="e">
        <f t="shared" si="82"/>
        <v>#DIV/0!</v>
      </c>
      <c r="R175" s="49"/>
      <c r="S175" s="39"/>
      <c r="T175" s="38"/>
      <c r="V175" s="76"/>
      <c r="W175" s="38"/>
      <c r="Z175" s="39"/>
      <c r="AA175" s="39"/>
      <c r="AB175" s="39"/>
      <c r="AC175" s="39"/>
      <c r="AD175" s="39"/>
      <c r="AE175" s="76"/>
      <c r="AF175" s="76"/>
      <c r="AG175" s="76"/>
      <c r="AH175" s="76"/>
      <c r="AI175" s="76"/>
      <c r="AL175" s="38"/>
      <c r="AM175" s="39"/>
      <c r="AN175" s="39"/>
      <c r="AO175" s="39"/>
      <c r="AP175" s="38"/>
      <c r="AQ175" s="49"/>
      <c r="AR175" s="49"/>
      <c r="AS175" s="49"/>
      <c r="AT175" s="49"/>
      <c r="AU175" s="49"/>
      <c r="AV175" s="49"/>
      <c r="AW175" s="49"/>
      <c r="AX175" s="38"/>
      <c r="AZ175" s="38"/>
      <c r="BA175" s="38"/>
      <c r="BB175" s="38"/>
      <c r="BC175" s="39"/>
      <c r="BD175" s="39"/>
      <c r="BE175" s="38"/>
      <c r="BF175" s="38"/>
      <c r="BG175" s="39"/>
    </row>
    <row r="176" spans="1:73" s="36" customFormat="1" x14ac:dyDescent="0.2">
      <c r="A176" s="15" t="s">
        <v>1504</v>
      </c>
      <c r="B176" s="5" t="s">
        <v>1503</v>
      </c>
      <c r="E176" s="34">
        <f>(E168*$BG166+E174*$BG172)/$BG176</f>
        <v>44.826745611736136</v>
      </c>
      <c r="F176" s="34">
        <f t="shared" ref="F176:BF176" si="101">(F168*$BG166+F174*$BG172)/$BG176</f>
        <v>0.31647127186466112</v>
      </c>
      <c r="G176" s="34">
        <f t="shared" si="101"/>
        <v>22.573108543572669</v>
      </c>
      <c r="H176" s="34">
        <f t="shared" si="101"/>
        <v>0.20353689737080752</v>
      </c>
      <c r="I176" s="34">
        <f t="shared" si="101"/>
        <v>7.8622539212053857</v>
      </c>
      <c r="J176" s="34">
        <f t="shared" si="101"/>
        <v>0.11330840292210292</v>
      </c>
      <c r="K176" s="34">
        <f t="shared" si="101"/>
        <v>9.1910230827968427</v>
      </c>
      <c r="L176" s="34">
        <f t="shared" si="101"/>
        <v>14.248294057845847</v>
      </c>
      <c r="M176" s="34">
        <f t="shared" si="101"/>
        <v>0.33206316272340725</v>
      </c>
      <c r="N176" s="34">
        <f t="shared" si="101"/>
        <v>7.2736716435520724E-2</v>
      </c>
      <c r="O176" s="34">
        <f t="shared" si="101"/>
        <v>8.125430303489467E-2</v>
      </c>
      <c r="P176" s="34" t="e">
        <f t="shared" si="101"/>
        <v>#DIV/0!</v>
      </c>
      <c r="Q176" s="38">
        <f t="shared" si="82"/>
        <v>67.573242477051437</v>
      </c>
      <c r="R176" s="34" t="e">
        <f t="shared" si="101"/>
        <v>#DIV/0!</v>
      </c>
      <c r="S176" s="34" t="e">
        <f t="shared" si="101"/>
        <v>#DIV/0!</v>
      </c>
      <c r="T176" s="34">
        <f t="shared" si="101"/>
        <v>16.761733446249931</v>
      </c>
      <c r="U176" s="34" t="e">
        <f t="shared" si="101"/>
        <v>#DIV/0!</v>
      </c>
      <c r="V176" s="34">
        <f t="shared" si="101"/>
        <v>1390.9767638808023</v>
      </c>
      <c r="W176" s="34" t="e">
        <f t="shared" si="101"/>
        <v>#DIV/0!</v>
      </c>
      <c r="X176" s="34">
        <f t="shared" si="101"/>
        <v>37.012883078388818</v>
      </c>
      <c r="Y176" s="34">
        <f t="shared" si="101"/>
        <v>409.93637855290319</v>
      </c>
      <c r="Z176" s="34" t="e">
        <f t="shared" si="101"/>
        <v>#DIV/0!</v>
      </c>
      <c r="AA176" s="34" t="e">
        <f t="shared" si="101"/>
        <v>#DIV/0!</v>
      </c>
      <c r="AB176" s="34">
        <f t="shared" si="101"/>
        <v>0.65432382363838448</v>
      </c>
      <c r="AC176" s="34">
        <f t="shared" si="101"/>
        <v>0.30436352088074953</v>
      </c>
      <c r="AD176" s="34">
        <f t="shared" si="101"/>
        <v>0.67198433282167991</v>
      </c>
      <c r="AE176" s="34">
        <f t="shared" si="101"/>
        <v>434.55475572963525</v>
      </c>
      <c r="AF176" s="34" t="e">
        <f t="shared" si="101"/>
        <v>#DIV/0!</v>
      </c>
      <c r="AG176" s="34">
        <f t="shared" si="101"/>
        <v>61.102736463240348</v>
      </c>
      <c r="AH176" s="34" t="e">
        <f t="shared" si="101"/>
        <v>#DIV/0!</v>
      </c>
      <c r="AI176" s="34">
        <f t="shared" si="101"/>
        <v>3.986381199386016E-2</v>
      </c>
      <c r="AJ176" s="34">
        <f t="shared" si="101"/>
        <v>8.3656539459058918E-2</v>
      </c>
      <c r="AK176" s="34">
        <f t="shared" si="101"/>
        <v>156.80273117027474</v>
      </c>
      <c r="AL176" s="34">
        <f t="shared" si="101"/>
        <v>4.8581051182977815</v>
      </c>
      <c r="AM176" s="34">
        <f t="shared" si="101"/>
        <v>13.042421531784257</v>
      </c>
      <c r="AN176" s="34" t="e">
        <f t="shared" si="101"/>
        <v>#DIV/0!</v>
      </c>
      <c r="AO176" s="34">
        <f t="shared" si="101"/>
        <v>7.1642724818715928</v>
      </c>
      <c r="AP176" s="34">
        <f t="shared" si="101"/>
        <v>2.1836253638913883</v>
      </c>
      <c r="AQ176" s="34">
        <f t="shared" si="101"/>
        <v>0.71792642777748361</v>
      </c>
      <c r="AR176" s="34" t="e">
        <f t="shared" si="101"/>
        <v>#DIV/0!</v>
      </c>
      <c r="AS176" s="34">
        <f t="shared" si="101"/>
        <v>0.46530588048483562</v>
      </c>
      <c r="AT176" s="34" t="e">
        <f t="shared" si="101"/>
        <v>#DIV/0!</v>
      </c>
      <c r="AU176" s="34" t="e">
        <f t="shared" si="101"/>
        <v>#DIV/0!</v>
      </c>
      <c r="AV176" s="34" t="e">
        <f t="shared" si="101"/>
        <v>#DIV/0!</v>
      </c>
      <c r="AW176" s="34" t="e">
        <f t="shared" si="101"/>
        <v>#DIV/0!</v>
      </c>
      <c r="AX176" s="34">
        <f t="shared" si="101"/>
        <v>1.9527899751230613</v>
      </c>
      <c r="AY176" s="34">
        <f t="shared" si="101"/>
        <v>0.27162187053406017</v>
      </c>
      <c r="AZ176" s="34">
        <f t="shared" si="101"/>
        <v>1.7209070025935531</v>
      </c>
      <c r="BA176" s="34">
        <f t="shared" si="101"/>
        <v>0.23488651881649289</v>
      </c>
      <c r="BB176" s="34">
        <f t="shared" si="101"/>
        <v>5.4157624517016882E-2</v>
      </c>
      <c r="BC176" s="34">
        <f t="shared" si="101"/>
        <v>17.614857354575769</v>
      </c>
      <c r="BD176" s="34">
        <f t="shared" si="101"/>
        <v>14.596369025565027</v>
      </c>
      <c r="BE176" s="34">
        <f t="shared" si="101"/>
        <v>1.00014206319801</v>
      </c>
      <c r="BF176" s="34">
        <f t="shared" si="101"/>
        <v>0.4843397025353306</v>
      </c>
      <c r="BG176" s="72">
        <f>SUM(BG166,BG172)</f>
        <v>188.93</v>
      </c>
      <c r="BJ176" s="37"/>
      <c r="BK176" s="37"/>
      <c r="BL176" s="37"/>
    </row>
    <row r="177" spans="1:70" x14ac:dyDescent="0.2">
      <c r="A177" s="71"/>
      <c r="Q177" s="38" t="e">
        <f t="shared" si="82"/>
        <v>#DIV/0!</v>
      </c>
      <c r="R177" s="49"/>
      <c r="S177" s="39"/>
      <c r="T177" s="38"/>
      <c r="V177" s="76"/>
      <c r="W177" s="38"/>
      <c r="Z177" s="39"/>
      <c r="AA177" s="39"/>
      <c r="AB177" s="39"/>
      <c r="AC177" s="39"/>
      <c r="AD177" s="39"/>
      <c r="AE177" s="76"/>
      <c r="AF177" s="76"/>
      <c r="AG177" s="76"/>
      <c r="AH177" s="76"/>
      <c r="AI177" s="76"/>
      <c r="AL177" s="38"/>
      <c r="AM177" s="39"/>
      <c r="AN177" s="39"/>
      <c r="AO177" s="39"/>
      <c r="AP177" s="38"/>
      <c r="AQ177" s="49"/>
      <c r="AR177" s="49"/>
      <c r="AS177" s="49"/>
      <c r="AT177" s="49"/>
      <c r="AU177" s="49"/>
      <c r="AV177" s="49"/>
      <c r="AW177" s="49"/>
      <c r="AX177" s="38"/>
      <c r="AZ177" s="38"/>
      <c r="BA177" s="38"/>
      <c r="BB177" s="38"/>
      <c r="BC177" s="39"/>
      <c r="BD177" s="39"/>
      <c r="BE177" s="38"/>
      <c r="BF177" s="38"/>
      <c r="BG177" s="39"/>
    </row>
    <row r="178" spans="1:70" x14ac:dyDescent="0.2">
      <c r="A178" s="71"/>
      <c r="Q178" s="38" t="e">
        <f t="shared" si="82"/>
        <v>#DIV/0!</v>
      </c>
      <c r="R178" s="49"/>
      <c r="S178" s="39"/>
      <c r="T178" s="38"/>
      <c r="V178" s="76"/>
      <c r="W178" s="38"/>
      <c r="Z178" s="39"/>
      <c r="AA178" s="39"/>
      <c r="AB178" s="39"/>
      <c r="AC178" s="39"/>
      <c r="AD178" s="39"/>
      <c r="AE178" s="76"/>
      <c r="AF178" s="76"/>
      <c r="AG178" s="76"/>
      <c r="AH178" s="76"/>
      <c r="AI178" s="76"/>
      <c r="AL178" s="38"/>
      <c r="AM178" s="39"/>
      <c r="AN178" s="39"/>
      <c r="AO178" s="39"/>
      <c r="AP178" s="38"/>
      <c r="AQ178" s="49"/>
      <c r="AR178" s="49"/>
      <c r="AS178" s="49"/>
      <c r="AT178" s="49"/>
      <c r="AU178" s="49"/>
      <c r="AV178" s="49"/>
      <c r="AW178" s="49"/>
      <c r="AX178" s="38"/>
      <c r="AZ178" s="38"/>
      <c r="BA178" s="38"/>
      <c r="BB178" s="38"/>
      <c r="BC178" s="39"/>
      <c r="BD178" s="39"/>
      <c r="BE178" s="38"/>
      <c r="BF178" s="38"/>
      <c r="BG178" s="39"/>
      <c r="BH178" s="50" t="s">
        <v>458</v>
      </c>
    </row>
    <row r="179" spans="1:70" x14ac:dyDescent="0.2">
      <c r="A179" s="292" t="s">
        <v>255</v>
      </c>
      <c r="B179" s="71"/>
      <c r="E179" s="38" t="s">
        <v>148</v>
      </c>
      <c r="F179" s="38" t="s">
        <v>149</v>
      </c>
      <c r="G179" s="38" t="s">
        <v>150</v>
      </c>
      <c r="H179" s="49" t="s">
        <v>151</v>
      </c>
      <c r="I179" s="38" t="s">
        <v>152</v>
      </c>
      <c r="J179" s="49" t="s">
        <v>153</v>
      </c>
      <c r="K179" s="38" t="s">
        <v>154</v>
      </c>
      <c r="L179" s="38" t="s">
        <v>156</v>
      </c>
      <c r="M179" s="49" t="s">
        <v>157</v>
      </c>
      <c r="N179" s="49" t="s">
        <v>158</v>
      </c>
      <c r="O179" s="49" t="s">
        <v>261</v>
      </c>
      <c r="Q179" s="38" t="e">
        <f t="shared" si="82"/>
        <v>#VALUE!</v>
      </c>
      <c r="T179" s="50" t="s">
        <v>162</v>
      </c>
      <c r="V179" s="50" t="s">
        <v>163</v>
      </c>
      <c r="X179" s="39" t="s">
        <v>165</v>
      </c>
      <c r="Y179" s="76" t="s">
        <v>166</v>
      </c>
      <c r="AD179" s="50" t="s">
        <v>263</v>
      </c>
      <c r="AE179" s="50" t="s">
        <v>167</v>
      </c>
      <c r="AG179" s="50" t="s">
        <v>168</v>
      </c>
      <c r="AJ179" s="38" t="s">
        <v>264</v>
      </c>
      <c r="AK179" s="76" t="s">
        <v>169</v>
      </c>
      <c r="AL179" s="50" t="s">
        <v>170</v>
      </c>
      <c r="AM179" s="50" t="s">
        <v>171</v>
      </c>
      <c r="AO179" s="50" t="s">
        <v>172</v>
      </c>
      <c r="AP179" s="50" t="s">
        <v>173</v>
      </c>
      <c r="AQ179" s="50" t="s">
        <v>174</v>
      </c>
      <c r="AS179" s="50" t="s">
        <v>175</v>
      </c>
      <c r="AX179" s="50" t="s">
        <v>176</v>
      </c>
      <c r="AY179" s="49" t="s">
        <v>177</v>
      </c>
      <c r="AZ179" s="50" t="s">
        <v>178</v>
      </c>
      <c r="BA179" s="50" t="s">
        <v>179</v>
      </c>
      <c r="BC179" s="50" t="s">
        <v>180</v>
      </c>
      <c r="BD179" s="50" t="s">
        <v>265</v>
      </c>
      <c r="BE179" s="50" t="s">
        <v>182</v>
      </c>
      <c r="BF179" s="50" t="s">
        <v>183</v>
      </c>
      <c r="BG179" s="50" t="s">
        <v>186</v>
      </c>
    </row>
    <row r="180" spans="1:70" x14ac:dyDescent="0.2">
      <c r="A180" s="71" t="s">
        <v>280</v>
      </c>
      <c r="B180" s="71" t="s">
        <v>235</v>
      </c>
      <c r="C180" s="50" t="s">
        <v>281</v>
      </c>
      <c r="E180" s="38">
        <f>22*2.1393</f>
        <v>47.064599999999999</v>
      </c>
      <c r="F180" s="38">
        <f>1.47*1.6683</f>
        <v>2.4524009999999996</v>
      </c>
      <c r="G180" s="38">
        <f>5.27*1.8895</f>
        <v>9.9576649999999987</v>
      </c>
      <c r="H180" s="49">
        <f>V180*1.4616/10000</f>
        <v>0.2981664</v>
      </c>
      <c r="I180" s="38">
        <f>17.1*1.2865</f>
        <v>21.99915</v>
      </c>
      <c r="J180" s="49">
        <f>0.265*1.2912</f>
        <v>0.34216799999999997</v>
      </c>
      <c r="K180" s="38">
        <f>3.74*1.6583</f>
        <v>6.2020420000000005</v>
      </c>
      <c r="L180" s="38">
        <f>8.2*1.3992</f>
        <v>11.473439999999998</v>
      </c>
      <c r="M180" s="49">
        <f>0.185*1.348</f>
        <v>0.24938000000000002</v>
      </c>
      <c r="N180" s="49">
        <f>0.033*1.2046</f>
        <v>3.9751799999999997E-2</v>
      </c>
      <c r="O180" s="117"/>
      <c r="P180" s="117"/>
      <c r="Q180" s="38">
        <f t="shared" si="82"/>
        <v>33.446677731947084</v>
      </c>
      <c r="T180" s="248">
        <v>97</v>
      </c>
      <c r="U180" s="89"/>
      <c r="V180" s="89">
        <v>2040</v>
      </c>
      <c r="X180" s="248">
        <v>24.9</v>
      </c>
      <c r="Y180" s="89">
        <v>13.2</v>
      </c>
      <c r="AD180" s="89"/>
      <c r="AE180" s="89">
        <v>128</v>
      </c>
      <c r="AF180" s="291">
        <f>1560*10^((LOG10(AU180/55.6)+LOG10(AV180/158.9))/2)</f>
        <v>35.657180856197463</v>
      </c>
      <c r="AG180" s="89">
        <v>97</v>
      </c>
      <c r="AH180" s="89"/>
      <c r="AI180" s="89"/>
      <c r="AJ180" s="116"/>
      <c r="AK180" s="89">
        <v>65</v>
      </c>
      <c r="AL180" s="116">
        <v>3.7</v>
      </c>
      <c r="AM180" s="248">
        <v>10</v>
      </c>
      <c r="AN180" s="199">
        <f>89.1*EXP((LN(AL180/234.7)+2*LN(AO180/452.4))/3)</f>
        <v>1.4782662718290782</v>
      </c>
      <c r="AO180" s="116">
        <v>7.7</v>
      </c>
      <c r="AP180" s="116">
        <v>3.08</v>
      </c>
      <c r="AQ180" s="116">
        <v>1.08</v>
      </c>
      <c r="AR180" s="200" t="e">
        <f>AVERAGE(BP180:BR180)</f>
        <v>#DIV/0!</v>
      </c>
      <c r="AS180" s="116">
        <v>0.83</v>
      </c>
      <c r="AT180" s="200">
        <f>(242.7*10^((4*LOG10(AS180/36.3)+LOG10(AX180/162.5))/5)+242.7*10^((4*LOG10(AP180/147.1)+4*LOG10(AX180/162.5))/8))/2</f>
        <v>5.4723502414992184</v>
      </c>
      <c r="AU180" s="200">
        <f>(55.6*10^((3*LOG10(AS180/36.3)+2*LOG10(AX180/162.5))/5)+55.6*10^((3*LOG10(AP180/147.1)+5*LOG10(AX180/162.5))/8))/2</f>
        <v>1.2650896103592926</v>
      </c>
      <c r="AV180" s="200">
        <f>(158.9*10^((2*LOG10(AS180/36.3)+3*LOG10(AX180/162.5))/5)+158.9*10^((2*LOG10(AP180/147.1)+6*LOG10(AX180/162.5))/8))/2</f>
        <v>3.6485660327020732</v>
      </c>
      <c r="AW180" s="201">
        <f>(24.2*10^((LOG10(AS180/36.3)+4*LOG10(AX180/162.5))/5)+24.2*10^((LOG10(AP180/147.1)+7*LOG10(AX180/162.5))/8))/2</f>
        <v>0.56075728427532123</v>
      </c>
      <c r="AX180" s="116">
        <v>3.8</v>
      </c>
      <c r="AY180" s="117">
        <v>0.56000000000000005</v>
      </c>
      <c r="AZ180" s="116">
        <v>2.2599999999999998</v>
      </c>
      <c r="BA180" s="116">
        <v>0.31</v>
      </c>
      <c r="BB180" s="116"/>
      <c r="BC180" s="89">
        <v>310</v>
      </c>
      <c r="BD180" s="89">
        <v>140</v>
      </c>
      <c r="BE180" s="116">
        <v>0.48</v>
      </c>
      <c r="BF180" s="116"/>
    </row>
    <row r="181" spans="1:70" x14ac:dyDescent="0.2">
      <c r="A181" s="71" t="s">
        <v>282</v>
      </c>
      <c r="B181" s="71" t="s">
        <v>235</v>
      </c>
      <c r="C181" s="50" t="s">
        <v>281</v>
      </c>
      <c r="E181" s="38">
        <f>22*2.1393</f>
        <v>47.064599999999999</v>
      </c>
      <c r="F181" s="38">
        <f>1.47*1.6683</f>
        <v>2.4524009999999996</v>
      </c>
      <c r="G181" s="38">
        <f>5.3*1.8895</f>
        <v>10.01435</v>
      </c>
      <c r="H181" s="49">
        <f>V181*1.4616/10000</f>
        <v>0.28939680000000001</v>
      </c>
      <c r="I181" s="38">
        <f>17.5*1.2865</f>
        <v>22.513749999999998</v>
      </c>
      <c r="J181" s="49">
        <f>0.264*1.2912</f>
        <v>0.34087679999999998</v>
      </c>
      <c r="K181" s="38">
        <f>3.8*1.6583</f>
        <v>6.3015400000000001</v>
      </c>
      <c r="L181" s="38">
        <f>8.4*1.3992</f>
        <v>11.75328</v>
      </c>
      <c r="M181" s="49">
        <f>0.189*1.348</f>
        <v>0.254772</v>
      </c>
      <c r="N181" s="49">
        <f>0.031*1.2046</f>
        <v>3.7342599999999997E-2</v>
      </c>
      <c r="O181" s="117"/>
      <c r="P181" s="117"/>
      <c r="Q181" s="38">
        <f t="shared" si="82"/>
        <v>33.286443506207128</v>
      </c>
      <c r="T181" s="248">
        <v>96</v>
      </c>
      <c r="U181" s="89"/>
      <c r="V181" s="89">
        <v>1980</v>
      </c>
      <c r="X181" s="248">
        <v>24.3</v>
      </c>
      <c r="Y181" s="89"/>
      <c r="AD181" s="89"/>
      <c r="AE181" s="89">
        <v>112</v>
      </c>
      <c r="AF181" s="291">
        <f>1560*10^((LOG10(AU181/55.6)+LOG10(AV181/158.9))/2)</f>
        <v>33.746388591037707</v>
      </c>
      <c r="AG181" s="89"/>
      <c r="AH181" s="89"/>
      <c r="AI181" s="89"/>
      <c r="AJ181" s="116"/>
      <c r="AK181" s="89">
        <v>50</v>
      </c>
      <c r="AL181" s="116">
        <v>3.3</v>
      </c>
      <c r="AM181" s="248">
        <v>8.6999999999999993</v>
      </c>
      <c r="AN181" s="199">
        <f>89.1*EXP((LN(AL181/234.7)+2*LN(AO181/452.4))/3)</f>
        <v>1.4352448320357767</v>
      </c>
      <c r="AO181" s="116">
        <v>7.8</v>
      </c>
      <c r="AP181" s="116">
        <v>2.96</v>
      </c>
      <c r="AQ181" s="116">
        <v>1.03</v>
      </c>
      <c r="AR181" s="200" t="e">
        <f>AVERAGE(BP181:BR181)</f>
        <v>#DIV/0!</v>
      </c>
      <c r="AS181" s="116">
        <v>0.84</v>
      </c>
      <c r="AT181" s="200">
        <f>(242.7*10^((4*LOG10(AS181/36.3)+LOG10(AX181/162.5))/5)+242.7*10^((4*LOG10(AP181/147.1)+4*LOG10(AX181/162.5))/8))/2</f>
        <v>5.284004900129025</v>
      </c>
      <c r="AU181" s="200">
        <f>(55.6*10^((3*LOG10(AS181/36.3)+2*LOG10(AX181/162.5))/5)+55.6*10^((3*LOG10(AP181/147.1)+5*LOG10(AX181/162.5))/8))/2</f>
        <v>1.2052805568212861</v>
      </c>
      <c r="AV181" s="200">
        <f>(158.9*10^((2*LOG10(AS181/36.3)+3*LOG10(AX181/162.5))/5)+158.9*10^((2*LOG10(AP181/147.1)+6*LOG10(AX181/162.5))/8))/2</f>
        <v>3.4301723955159202</v>
      </c>
      <c r="AW181" s="201">
        <f>(24.2*10^((LOG10(AS181/36.3)+4*LOG10(AX181/162.5))/5)+24.2*10^((LOG10(AP181/147.1)+7*LOG10(AX181/162.5))/8))/2</f>
        <v>0.52028932443215725</v>
      </c>
      <c r="AX181" s="116">
        <v>3.48</v>
      </c>
      <c r="AY181" s="117">
        <v>0.54</v>
      </c>
      <c r="AZ181" s="116">
        <v>2.1800000000000002</v>
      </c>
      <c r="BA181" s="116">
        <v>0.28000000000000003</v>
      </c>
      <c r="BB181" s="116"/>
      <c r="BC181" s="116"/>
      <c r="BD181" s="116"/>
      <c r="BE181" s="116">
        <v>0.44</v>
      </c>
      <c r="BF181" s="116"/>
    </row>
    <row r="182" spans="1:70" x14ac:dyDescent="0.2">
      <c r="A182" s="71" t="s">
        <v>483</v>
      </c>
      <c r="B182" s="71" t="s">
        <v>230</v>
      </c>
      <c r="C182" s="50" t="s">
        <v>486</v>
      </c>
      <c r="H182" s="49">
        <f>V182*1.4616/10000</f>
        <v>0.28208879999999997</v>
      </c>
      <c r="I182" s="38">
        <f>18.1*1.2865</f>
        <v>23.28565</v>
      </c>
      <c r="M182" s="49">
        <f>0.22*1.348</f>
        <v>0.29656000000000005</v>
      </c>
      <c r="N182" s="49">
        <f>0.031*1.2046</f>
        <v>3.7342599999999997E-2</v>
      </c>
      <c r="O182" s="117"/>
      <c r="P182" s="117"/>
      <c r="Q182" s="38">
        <f t="shared" si="82"/>
        <v>0</v>
      </c>
      <c r="T182" s="248">
        <v>101</v>
      </c>
      <c r="U182" s="89"/>
      <c r="V182" s="89">
        <v>1930</v>
      </c>
      <c r="X182" s="248">
        <v>27.9</v>
      </c>
      <c r="Y182" s="89">
        <v>60</v>
      </c>
      <c r="Z182" s="89">
        <v>3</v>
      </c>
      <c r="AA182" s="89"/>
      <c r="AB182" s="89"/>
      <c r="AC182" s="89"/>
      <c r="AD182" s="248">
        <v>2.2999999999999998</v>
      </c>
      <c r="AE182" s="89">
        <v>110</v>
      </c>
      <c r="AF182" s="291"/>
      <c r="AG182" s="89">
        <v>40</v>
      </c>
      <c r="AH182" s="89"/>
      <c r="AI182" s="89"/>
      <c r="AJ182" s="116"/>
      <c r="AK182" s="89">
        <v>30</v>
      </c>
      <c r="AL182" s="116">
        <v>3.75</v>
      </c>
      <c r="AM182" s="248">
        <v>11.5</v>
      </c>
      <c r="AN182" s="199">
        <f>89.1*EXP((LN(AL182/234.7)+2*LN(AO182/452.4))/3)</f>
        <v>1.6354177372688106</v>
      </c>
      <c r="AO182" s="116">
        <v>8.9</v>
      </c>
      <c r="AP182" s="116">
        <v>2.96</v>
      </c>
      <c r="AQ182" s="116">
        <v>1.07</v>
      </c>
      <c r="AR182" s="200" t="e">
        <f>AVERAGE(BP182:BR182)</f>
        <v>#DIV/0!</v>
      </c>
      <c r="AS182" s="116">
        <v>0.81</v>
      </c>
      <c r="AT182" s="248">
        <v>5.3</v>
      </c>
      <c r="AU182" s="116"/>
      <c r="AV182" s="116"/>
      <c r="AW182" s="116">
        <v>0.49</v>
      </c>
      <c r="AX182" s="116">
        <v>3.64</v>
      </c>
      <c r="AY182" s="117">
        <v>0.56000000000000005</v>
      </c>
      <c r="AZ182" s="116">
        <v>2.37</v>
      </c>
      <c r="BA182" s="116">
        <v>0.23</v>
      </c>
      <c r="BB182" s="116"/>
      <c r="BC182" s="116"/>
      <c r="BD182" s="116"/>
      <c r="BE182" s="116">
        <v>0.43</v>
      </c>
      <c r="BF182" s="116">
        <v>0.21</v>
      </c>
      <c r="BG182" s="50">
        <v>108.3</v>
      </c>
    </row>
    <row r="183" spans="1:70" x14ac:dyDescent="0.2">
      <c r="A183" s="71" t="s">
        <v>484</v>
      </c>
      <c r="B183" s="71" t="s">
        <v>230</v>
      </c>
      <c r="C183" s="50" t="s">
        <v>486</v>
      </c>
      <c r="H183" s="49">
        <f>V183*1.4616/10000</f>
        <v>0.27039600000000003</v>
      </c>
      <c r="I183" s="38">
        <f>17.6*1.2865</f>
        <v>22.642400000000002</v>
      </c>
      <c r="M183" s="49">
        <f>0.21*1.348</f>
        <v>0.28308</v>
      </c>
      <c r="N183" s="49">
        <f>0.032*1.2046</f>
        <v>3.8547199999999997E-2</v>
      </c>
      <c r="O183" s="117"/>
      <c r="P183" s="117"/>
      <c r="Q183" s="38">
        <f t="shared" si="82"/>
        <v>0</v>
      </c>
      <c r="T183" s="248">
        <v>98</v>
      </c>
      <c r="U183" s="89"/>
      <c r="V183" s="89">
        <v>1850</v>
      </c>
      <c r="X183" s="248">
        <v>27.9</v>
      </c>
      <c r="Y183" s="89">
        <v>45</v>
      </c>
      <c r="Z183" s="89">
        <v>2</v>
      </c>
      <c r="AA183" s="89"/>
      <c r="AB183" s="89"/>
      <c r="AC183" s="89"/>
      <c r="AD183" s="248">
        <v>2.8</v>
      </c>
      <c r="AE183" s="89">
        <v>120</v>
      </c>
      <c r="AF183" s="291"/>
      <c r="AG183" s="89">
        <v>50</v>
      </c>
      <c r="AH183" s="89"/>
      <c r="AI183" s="89"/>
      <c r="AJ183" s="116"/>
      <c r="AK183" s="89">
        <v>25</v>
      </c>
      <c r="AL183" s="116">
        <v>3.64</v>
      </c>
      <c r="AM183" s="248">
        <v>10.3</v>
      </c>
      <c r="AN183" s="199">
        <f>89.1*EXP((LN(AL183/234.7)+2*LN(AO183/452.4))/3)</f>
        <v>1.4829339445292782</v>
      </c>
      <c r="AO183" s="116">
        <v>7.8</v>
      </c>
      <c r="AP183" s="116">
        <v>2.81</v>
      </c>
      <c r="AQ183" s="116">
        <v>1.1200000000000001</v>
      </c>
      <c r="AR183" s="200" t="e">
        <f>AVERAGE(BP183:BR183)</f>
        <v>#DIV/0!</v>
      </c>
      <c r="AS183" s="116">
        <v>0.72</v>
      </c>
      <c r="AT183" s="248">
        <v>4.5</v>
      </c>
      <c r="AU183" s="116"/>
      <c r="AV183" s="116"/>
      <c r="AW183" s="116">
        <v>0.36</v>
      </c>
      <c r="AX183" s="116">
        <v>2.94</v>
      </c>
      <c r="AY183" s="117">
        <v>0.49</v>
      </c>
      <c r="AZ183" s="116">
        <v>2.0499999999999998</v>
      </c>
      <c r="BA183" s="116">
        <v>0.22</v>
      </c>
      <c r="BB183" s="116"/>
      <c r="BC183" s="116"/>
      <c r="BD183" s="116"/>
      <c r="BE183" s="116">
        <v>0.42</v>
      </c>
      <c r="BF183" s="116">
        <v>0.11</v>
      </c>
      <c r="BG183" s="50">
        <v>126.25</v>
      </c>
    </row>
    <row r="184" spans="1:70" x14ac:dyDescent="0.2">
      <c r="Q184" s="38" t="e">
        <f t="shared" si="82"/>
        <v>#DIV/0!</v>
      </c>
    </row>
    <row r="185" spans="1:70" x14ac:dyDescent="0.2">
      <c r="A185" s="71"/>
      <c r="B185" s="71"/>
      <c r="O185" s="117"/>
      <c r="P185" s="117"/>
      <c r="Q185" s="38" t="e">
        <f t="shared" si="82"/>
        <v>#DIV/0!</v>
      </c>
      <c r="T185" s="248"/>
      <c r="U185" s="89"/>
      <c r="V185" s="89"/>
      <c r="X185" s="248"/>
      <c r="Y185" s="89"/>
      <c r="AD185" s="89"/>
      <c r="AE185" s="89"/>
      <c r="AF185" s="89"/>
      <c r="AG185" s="89"/>
      <c r="AH185" s="89"/>
      <c r="AI185" s="89"/>
      <c r="AJ185" s="116"/>
      <c r="AK185" s="89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7"/>
      <c r="AZ185" s="116"/>
      <c r="BA185" s="116"/>
      <c r="BB185" s="116"/>
      <c r="BC185" s="116"/>
      <c r="BD185" s="116"/>
      <c r="BE185" s="116"/>
      <c r="BF185" s="116"/>
    </row>
    <row r="186" spans="1:70" x14ac:dyDescent="0.2">
      <c r="A186" s="71" t="s">
        <v>491</v>
      </c>
      <c r="B186" s="71" t="s">
        <v>240</v>
      </c>
      <c r="C186" s="50" t="s">
        <v>490</v>
      </c>
      <c r="D186" s="34">
        <f>SUM(E186:P186)</f>
        <v>99.589879999999994</v>
      </c>
      <c r="E186" s="116">
        <v>45.36</v>
      </c>
      <c r="F186" s="116">
        <v>1.66</v>
      </c>
      <c r="G186" s="116">
        <v>11.49</v>
      </c>
      <c r="H186" s="117">
        <v>0.17</v>
      </c>
      <c r="I186" s="116">
        <f>21.18+0.6*0.8998</f>
        <v>21.71988</v>
      </c>
      <c r="J186" s="117">
        <v>0.25</v>
      </c>
      <c r="K186" s="116">
        <v>6.41</v>
      </c>
      <c r="L186" s="116">
        <v>11.99</v>
      </c>
      <c r="M186" s="293">
        <v>0.5</v>
      </c>
      <c r="N186" s="117">
        <v>0.04</v>
      </c>
      <c r="O186" s="117"/>
      <c r="P186" s="117"/>
      <c r="Q186" s="38">
        <f t="shared" si="82"/>
        <v>34.472805351426274</v>
      </c>
      <c r="T186" s="248"/>
      <c r="U186" s="89"/>
      <c r="V186" s="89"/>
      <c r="X186" s="248"/>
      <c r="Y186" s="294"/>
      <c r="AD186" s="89"/>
      <c r="AE186" s="89"/>
      <c r="AF186" s="89"/>
      <c r="AG186" s="89"/>
      <c r="AH186" s="89"/>
      <c r="AI186" s="89"/>
      <c r="AJ186" s="116"/>
      <c r="AK186" s="89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7"/>
      <c r="AZ186" s="116"/>
      <c r="BA186" s="116"/>
      <c r="BB186" s="116"/>
      <c r="BC186" s="89"/>
      <c r="BD186" s="89"/>
      <c r="BE186" s="116"/>
      <c r="BF186" s="116"/>
      <c r="BJ186" s="38">
        <f>K186/I186</f>
        <v>0.29512133584531774</v>
      </c>
      <c r="BK186" s="38"/>
    </row>
    <row r="187" spans="1:70" x14ac:dyDescent="0.2">
      <c r="A187" s="71"/>
      <c r="B187" s="71"/>
      <c r="O187" s="117"/>
      <c r="P187" s="117"/>
      <c r="Q187" s="38" t="e">
        <f t="shared" si="82"/>
        <v>#DIV/0!</v>
      </c>
      <c r="T187" s="248"/>
      <c r="U187" s="89"/>
      <c r="V187" s="89"/>
      <c r="X187" s="248"/>
      <c r="Y187" s="89"/>
      <c r="AD187" s="89"/>
      <c r="AE187" s="89"/>
      <c r="AF187" s="89"/>
      <c r="AG187" s="89"/>
      <c r="AH187" s="89"/>
      <c r="AI187" s="89"/>
      <c r="AJ187" s="116"/>
      <c r="AK187" s="89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7"/>
      <c r="AZ187" s="116"/>
      <c r="BA187" s="116"/>
      <c r="BB187" s="116"/>
      <c r="BC187" s="116"/>
      <c r="BD187" s="116"/>
      <c r="BE187" s="116"/>
      <c r="BF187" s="116"/>
    </row>
    <row r="188" spans="1:70" x14ac:dyDescent="0.2">
      <c r="A188" s="71" t="s">
        <v>283</v>
      </c>
      <c r="B188" s="71" t="s">
        <v>235</v>
      </c>
      <c r="C188" s="50" t="s">
        <v>279</v>
      </c>
      <c r="E188" s="116">
        <v>47.064599999999999</v>
      </c>
      <c r="F188" s="116">
        <v>2.4524009999999996</v>
      </c>
      <c r="G188" s="116">
        <v>9.9860074999999995</v>
      </c>
      <c r="H188" s="117">
        <v>0.29378159999999998</v>
      </c>
      <c r="I188" s="116">
        <v>22.256450000000001</v>
      </c>
      <c r="J188" s="117">
        <v>0.3415224</v>
      </c>
      <c r="K188" s="116">
        <v>6.2517910000000008</v>
      </c>
      <c r="L188" s="116">
        <v>11.61336</v>
      </c>
      <c r="M188" s="117">
        <v>0.25207600000000002</v>
      </c>
      <c r="N188" s="117">
        <v>3.8547199999999997E-2</v>
      </c>
      <c r="O188" s="117"/>
      <c r="P188" s="117"/>
      <c r="Q188" s="38">
        <f t="shared" si="82"/>
        <v>33.365730727432243</v>
      </c>
      <c r="T188" s="248">
        <v>96.5</v>
      </c>
      <c r="U188" s="89"/>
      <c r="V188" s="89">
        <v>2010</v>
      </c>
      <c r="X188" s="248">
        <v>24.6</v>
      </c>
      <c r="Y188" s="89">
        <v>13</v>
      </c>
      <c r="AD188" s="89"/>
      <c r="AE188" s="89">
        <v>120</v>
      </c>
      <c r="AF188" s="291">
        <f>1560*10^((LOG10(AU188/55.6)+LOG10(AV188/158.9))/2)</f>
        <v>34.708319844184906</v>
      </c>
      <c r="AG188" s="89">
        <v>48.5</v>
      </c>
      <c r="AH188" s="89"/>
      <c r="AI188" s="89"/>
      <c r="AJ188" s="116"/>
      <c r="AK188" s="89">
        <v>57.5</v>
      </c>
      <c r="AL188" s="116">
        <v>3.5</v>
      </c>
      <c r="AM188" s="116">
        <v>9.35</v>
      </c>
      <c r="AN188" s="199">
        <f>89.1*EXP((LN(AL188/234.7)+2*LN(AO188/452.4))/3)</f>
        <v>1.4574111678818975</v>
      </c>
      <c r="AO188" s="116">
        <v>7.75</v>
      </c>
      <c r="AP188" s="116">
        <v>3.02</v>
      </c>
      <c r="AQ188" s="116">
        <v>1.0549999999999999</v>
      </c>
      <c r="AR188" s="200">
        <f>AVERAGE(BP188:BR188)</f>
        <v>4.495786370436436</v>
      </c>
      <c r="AS188" s="116">
        <v>0.83499999999999996</v>
      </c>
      <c r="AT188" s="200">
        <f>(242.7*10^((4*LOG10(AS188/36.3)+LOG10(AX188/162.5))/5)+242.7*10^((4*LOG10(AP188/147.1)+4*LOG10(AX188/162.5))/8))/2</f>
        <v>5.3789210017259119</v>
      </c>
      <c r="AU188" s="200">
        <f>(55.6*10^((3*LOG10(AS188/36.3)+2*LOG10(AX188/162.5))/5)+55.6*10^((3*LOG10(AP188/147.1)+5*LOG10(AX188/162.5))/8))/2</f>
        <v>1.2354156087261461</v>
      </c>
      <c r="AV188" s="200">
        <f>(158.9*10^((2*LOG10(AS188/36.3)+3*LOG10(AX188/162.5))/5)+158.9*10^((2*LOG10(AP188/147.1)+6*LOG10(AX188/162.5))/8))/2</f>
        <v>3.5400026718719468</v>
      </c>
      <c r="AW188" s="201">
        <f>(24.2*10^((LOG10(AS188/36.3)+4*LOG10(AX188/162.5))/5)+24.2*10^((LOG10(AP188/147.1)+7*LOG10(AX188/162.5))/8))/2</f>
        <v>0.54058621297788934</v>
      </c>
      <c r="AX188" s="116">
        <v>3.64</v>
      </c>
      <c r="AY188" s="117">
        <v>0.55000000000000004</v>
      </c>
      <c r="AZ188" s="116">
        <v>2.2200000000000002</v>
      </c>
      <c r="BA188" s="116">
        <v>0.29499999999999998</v>
      </c>
      <c r="BB188" s="116"/>
      <c r="BC188" s="89">
        <v>155</v>
      </c>
      <c r="BD188" s="89">
        <v>70</v>
      </c>
      <c r="BE188" s="116">
        <v>0.46</v>
      </c>
      <c r="BF188" s="116"/>
      <c r="BG188" s="50" t="s">
        <v>250</v>
      </c>
      <c r="BJ188" s="38">
        <f>K188/I188</f>
        <v>0.28089794194491935</v>
      </c>
      <c r="BK188" s="38"/>
      <c r="BL188" s="38"/>
      <c r="BP188" s="116">
        <f>196.6*10^(LOG10(AP188/147.1)+(LOG10(AP188/147.1)-LOG10(AL188/234.7))*0.4)</f>
        <v>4.5868391419313843</v>
      </c>
      <c r="BQ188" s="116">
        <f>196.6*10^(LOG10(AP188/147.1)+0.6666*(LOG10(AS188/36.3)-LOG10(AP188/147.1)))</f>
        <v>4.3540981181721534</v>
      </c>
      <c r="BR188" s="116">
        <f>196.6*10^(LOG10(AS188/36.3)-(LOG10(AX188/162.5)-LOG10(AS188/36.3))/5)</f>
        <v>4.5464218512057695</v>
      </c>
    </row>
    <row r="189" spans="1:70" x14ac:dyDescent="0.2">
      <c r="A189" s="71" t="s">
        <v>485</v>
      </c>
      <c r="B189" s="71" t="s">
        <v>230</v>
      </c>
      <c r="C189" s="50" t="s">
        <v>279</v>
      </c>
      <c r="E189" s="116"/>
      <c r="F189" s="116"/>
      <c r="G189" s="148">
        <f>$B$399*(I189+K189)+$B$400</f>
        <v>9.4610656428321747</v>
      </c>
      <c r="H189" s="117">
        <f>AVERAGE(H182:H183)</f>
        <v>0.2762424</v>
      </c>
      <c r="I189" s="116">
        <f>AVERAGE(I182:I183)</f>
        <v>22.964024999999999</v>
      </c>
      <c r="J189" s="117"/>
      <c r="K189" s="148">
        <f>I189*BJ$195</f>
        <v>6.453340246625122</v>
      </c>
      <c r="L189" s="116"/>
      <c r="M189" s="293">
        <f>AVERAGE(M182:M183)</f>
        <v>0.28982000000000002</v>
      </c>
      <c r="N189" s="117">
        <f>AVERAGE(N182:N183)</f>
        <v>3.7944899999999997E-2</v>
      </c>
      <c r="O189" s="117"/>
      <c r="P189" s="117"/>
      <c r="Q189" s="38">
        <f t="shared" si="82"/>
        <v>33.375355535665229</v>
      </c>
      <c r="T189" s="248">
        <f>AVERAGE(T182:T183)</f>
        <v>99.5</v>
      </c>
      <c r="U189" s="89"/>
      <c r="V189" s="89">
        <f>AVERAGE(V182:V183)</f>
        <v>1890</v>
      </c>
      <c r="X189" s="248">
        <f>AVERAGE(X182:X183)</f>
        <v>27.9</v>
      </c>
      <c r="Y189" s="294">
        <f>AVERAGE(Y182:Y183)</f>
        <v>52.5</v>
      </c>
      <c r="AD189" s="89">
        <f>AVERAGE(AD182:AD183)</f>
        <v>2.5499999999999998</v>
      </c>
      <c r="AE189" s="89">
        <f>AVERAGE(AE182:AE183)</f>
        <v>115</v>
      </c>
      <c r="AF189" s="291">
        <f>1560*10^((LOG10(AU189/55.6)+LOG10(AV189/158.9))/2)</f>
        <v>31.747770855914741</v>
      </c>
      <c r="AG189" s="89">
        <f>AVERAGE(AG182:AG183)</f>
        <v>45</v>
      </c>
      <c r="AH189" s="89"/>
      <c r="AI189" s="89"/>
      <c r="AJ189" s="116"/>
      <c r="AK189" s="89">
        <f t="shared" ref="AK189:AS189" si="102">AVERAGE(AK182:AK183)</f>
        <v>27.5</v>
      </c>
      <c r="AL189" s="116">
        <f t="shared" si="102"/>
        <v>3.6950000000000003</v>
      </c>
      <c r="AM189" s="116">
        <f t="shared" si="102"/>
        <v>10.9</v>
      </c>
      <c r="AN189" s="199">
        <f>89.1*EXP((LN(AL189/234.7)+2*LN(AO189/452.4))/3)</f>
        <v>1.559626986426967</v>
      </c>
      <c r="AO189" s="116">
        <f t="shared" si="102"/>
        <v>8.35</v>
      </c>
      <c r="AP189" s="116">
        <f t="shared" si="102"/>
        <v>2.8849999999999998</v>
      </c>
      <c r="AQ189" s="116">
        <f t="shared" si="102"/>
        <v>1.0950000000000002</v>
      </c>
      <c r="AR189" s="200">
        <f>AVERAGE(BP189:BR189)</f>
        <v>4.1439160216698161</v>
      </c>
      <c r="AS189" s="116">
        <f t="shared" si="102"/>
        <v>0.76500000000000001</v>
      </c>
      <c r="AT189" s="200">
        <f>(242.7*10^((4*LOG10(AS189/36.3)+LOG10(AX189/162.5))/5)+242.7*10^((4*LOG10(AP189/147.1)+4*LOG10(AX189/162.5))/8))/2</f>
        <v>4.9550700492186008</v>
      </c>
      <c r="AU189" s="200">
        <f>(55.6*10^((3*LOG10(AS189/36.3)+2*LOG10(AX189/162.5))/5)+55.6*10^((3*LOG10(AP189/147.1)+5*LOG10(AX189/162.5))/8))/2</f>
        <v>1.1327185707043199</v>
      </c>
      <c r="AV189" s="200">
        <f>(158.9*10^((2*LOG10(AS189/36.3)+3*LOG10(AX189/162.5))/5)+158.9*10^((2*LOG10(AP189/147.1)+6*LOG10(AX189/162.5))/8))/2</f>
        <v>3.2303824744514698</v>
      </c>
      <c r="AW189" s="201">
        <f>(24.2*10^((LOG10(AS189/36.3)+4*LOG10(AX189/162.5))/5)+24.2*10^((LOG10(AP189/147.1)+7*LOG10(AX189/162.5))/8))/2</f>
        <v>0.49095744274049852</v>
      </c>
      <c r="AX189" s="116">
        <f>AVERAGE(AX182:AX183)</f>
        <v>3.29</v>
      </c>
      <c r="AY189" s="117">
        <f>AVERAGE(AY182:AY183)</f>
        <v>0.52500000000000002</v>
      </c>
      <c r="AZ189" s="116">
        <f>AVERAGE(AZ182:AZ183)</f>
        <v>2.21</v>
      </c>
      <c r="BA189" s="116">
        <f>AVERAGE(BA182:BA183)</f>
        <v>0.22500000000000001</v>
      </c>
      <c r="BB189" s="116"/>
      <c r="BC189" s="89"/>
      <c r="BD189" s="89"/>
      <c r="BE189" s="116">
        <f>AVERAGE(BE182:BE183)</f>
        <v>0.42499999999999999</v>
      </c>
      <c r="BF189" s="116">
        <f>AVERAGE(BF182:BF183)</f>
        <v>0.16</v>
      </c>
      <c r="BG189" s="50">
        <f>SUM(BG182:BG183)</f>
        <v>234.55</v>
      </c>
      <c r="BJ189" s="38"/>
      <c r="BK189" s="38"/>
      <c r="BL189" s="38"/>
      <c r="BP189" s="116">
        <f>196.6*10^(LOG10(AP189/147.1)+(LOG10(AP189/147.1)-LOG10(AL189/234.7))*0.4)</f>
        <v>4.2100705631183022</v>
      </c>
      <c r="BQ189" s="116">
        <f>196.6*10^(LOG10(AP189/147.1)+0.6666*(LOG10(AS189/36.3)-LOG10(AP189/147.1)))</f>
        <v>4.0450977459085644</v>
      </c>
      <c r="BR189" s="116">
        <f>196.6*10^(LOG10(AS189/36.3)-(LOG10(AX189/162.5)-LOG10(AS189/36.3))/5)</f>
        <v>4.1765797559825808</v>
      </c>
    </row>
    <row r="190" spans="1:70" x14ac:dyDescent="0.2">
      <c r="A190" s="71" t="s">
        <v>550</v>
      </c>
      <c r="B190" s="50" t="s">
        <v>294</v>
      </c>
      <c r="E190" s="116"/>
      <c r="F190" s="116"/>
      <c r="G190" s="116"/>
      <c r="H190" s="117"/>
      <c r="I190" s="116"/>
      <c r="J190" s="117"/>
      <c r="K190" s="116"/>
      <c r="L190" s="116"/>
      <c r="N190" s="117"/>
      <c r="O190" s="117"/>
      <c r="P190" s="117"/>
      <c r="Q190" s="38" t="e">
        <f t="shared" si="82"/>
        <v>#DIV/0!</v>
      </c>
      <c r="T190" s="248"/>
      <c r="U190" s="89"/>
      <c r="V190" s="89"/>
      <c r="X190" s="248"/>
      <c r="Y190" s="294"/>
      <c r="AD190" s="89"/>
      <c r="AE190" s="89"/>
      <c r="AF190" s="89"/>
      <c r="AG190" s="89"/>
      <c r="AH190" s="89"/>
      <c r="AI190" s="89"/>
      <c r="AJ190" s="116"/>
      <c r="AK190" s="89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7"/>
      <c r="AZ190" s="116"/>
      <c r="BA190" s="116"/>
      <c r="BB190" s="116"/>
      <c r="BC190" s="89"/>
      <c r="BD190" s="89"/>
      <c r="BE190" s="116"/>
      <c r="BF190" s="116"/>
      <c r="BG190" s="50">
        <v>20.100000000000001</v>
      </c>
      <c r="BJ190" s="38"/>
      <c r="BK190" s="38"/>
      <c r="BL190" s="38"/>
      <c r="BP190" s="116"/>
      <c r="BQ190" s="116"/>
      <c r="BR190" s="116"/>
    </row>
    <row r="191" spans="1:70" x14ac:dyDescent="0.2">
      <c r="A191" s="71" t="s">
        <v>1270</v>
      </c>
      <c r="B191" s="71" t="s">
        <v>240</v>
      </c>
      <c r="C191" s="50" t="s">
        <v>1267</v>
      </c>
      <c r="E191" s="116">
        <v>45.36</v>
      </c>
      <c r="F191" s="195" t="s">
        <v>1277</v>
      </c>
      <c r="G191" s="116">
        <v>11.49</v>
      </c>
      <c r="H191" s="330" t="s">
        <v>1269</v>
      </c>
      <c r="I191" s="30">
        <f>21.18+0.6*0.8998</f>
        <v>21.71988</v>
      </c>
      <c r="J191" s="330" t="s">
        <v>1280</v>
      </c>
      <c r="K191" s="116">
        <v>6.41</v>
      </c>
      <c r="L191" s="116">
        <v>11.99</v>
      </c>
      <c r="M191" s="45" t="s">
        <v>1268</v>
      </c>
      <c r="N191" s="117">
        <v>0.04</v>
      </c>
      <c r="O191" s="117">
        <v>0.05</v>
      </c>
      <c r="P191" s="117">
        <v>0.19</v>
      </c>
      <c r="Q191" s="38">
        <f t="shared" si="82"/>
        <v>34.472805351426274</v>
      </c>
      <c r="T191" s="248"/>
      <c r="U191" s="89"/>
      <c r="V191" s="89"/>
      <c r="X191" s="248"/>
      <c r="Y191" s="294"/>
      <c r="AD191" s="89"/>
      <c r="AE191" s="89"/>
      <c r="AF191" s="89"/>
      <c r="AG191" s="89"/>
      <c r="AH191" s="89"/>
      <c r="AI191" s="89"/>
      <c r="AJ191" s="116"/>
      <c r="AK191" s="89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7"/>
      <c r="AZ191" s="116"/>
      <c r="BA191" s="116"/>
      <c r="BB191" s="116"/>
      <c r="BC191" s="89"/>
      <c r="BD191" s="89"/>
      <c r="BE191" s="116"/>
      <c r="BF191" s="116"/>
      <c r="BJ191" s="38"/>
      <c r="BK191" s="38"/>
      <c r="BL191" s="38"/>
      <c r="BP191" s="116"/>
      <c r="BQ191" s="116"/>
      <c r="BR191" s="116"/>
    </row>
    <row r="192" spans="1:70" ht="15" x14ac:dyDescent="0.25">
      <c r="A192" s="71" t="s">
        <v>285</v>
      </c>
      <c r="B192" s="71"/>
      <c r="C192" s="50" t="s">
        <v>631</v>
      </c>
      <c r="E192" s="116"/>
      <c r="F192" s="195"/>
      <c r="G192" s="116"/>
      <c r="H192" s="330"/>
      <c r="I192" s="30"/>
      <c r="J192" s="330"/>
      <c r="K192" s="116"/>
      <c r="L192" s="116"/>
      <c r="M192" s="45"/>
      <c r="N192" s="117"/>
      <c r="O192" s="117"/>
      <c r="P192" s="117"/>
      <c r="Q192" s="38" t="e">
        <f t="shared" si="82"/>
        <v>#DIV/0!</v>
      </c>
      <c r="T192" s="248"/>
      <c r="U192" s="89"/>
      <c r="V192" s="89"/>
      <c r="X192" s="248"/>
      <c r="Y192" s="294"/>
      <c r="AD192" s="89"/>
      <c r="AE192" s="89"/>
      <c r="AF192" s="89"/>
      <c r="AG192" s="89"/>
      <c r="AH192" s="89"/>
      <c r="AI192" s="89"/>
      <c r="AJ192" s="116"/>
      <c r="AK192" s="89"/>
      <c r="AL192" s="116" t="s">
        <v>632</v>
      </c>
      <c r="AM192" s="116"/>
      <c r="AN192" s="116"/>
      <c r="AO192" s="116"/>
      <c r="AP192" s="116" t="s">
        <v>633</v>
      </c>
      <c r="AQ192" s="116" t="s">
        <v>634</v>
      </c>
      <c r="AR192" s="116"/>
      <c r="AS192" s="116"/>
      <c r="AT192" s="116"/>
      <c r="AU192" s="116"/>
      <c r="AV192" s="116"/>
      <c r="AW192" s="116"/>
      <c r="AX192" s="116"/>
      <c r="AY192" s="117"/>
      <c r="AZ192" s="116"/>
      <c r="BA192" s="116"/>
      <c r="BB192" s="116"/>
      <c r="BC192" s="89"/>
      <c r="BD192" s="89"/>
      <c r="BE192" s="116"/>
      <c r="BF192" s="116"/>
      <c r="BJ192" s="38"/>
      <c r="BK192" s="38"/>
      <c r="BL192" s="38"/>
      <c r="BP192" s="116"/>
      <c r="BQ192" s="116"/>
      <c r="BR192" s="116"/>
    </row>
    <row r="193" spans="1:70" x14ac:dyDescent="0.2">
      <c r="A193" s="71" t="s">
        <v>284</v>
      </c>
      <c r="B193" s="71" t="s">
        <v>233</v>
      </c>
      <c r="E193" s="116">
        <v>46.1342614</v>
      </c>
      <c r="F193" s="116">
        <v>2.3831393400000005</v>
      </c>
      <c r="G193" s="116">
        <v>9.9472538999999998</v>
      </c>
      <c r="H193" s="117">
        <v>0.3044634</v>
      </c>
      <c r="I193" s="116">
        <v>22.64</v>
      </c>
      <c r="J193" s="117">
        <v>0.33987500000000004</v>
      </c>
      <c r="K193" s="116">
        <v>6.0457722</v>
      </c>
      <c r="L193" s="116">
        <v>11.499255</v>
      </c>
      <c r="M193" s="117">
        <v>0.23499999999999999</v>
      </c>
      <c r="N193" s="117">
        <v>3.4725599999999995E-2</v>
      </c>
      <c r="O193" s="117">
        <v>3.8558099999999998E-2</v>
      </c>
      <c r="P193" s="117"/>
      <c r="Q193" s="38">
        <f t="shared" si="82"/>
        <v>32.250471966971475</v>
      </c>
      <c r="T193" s="248"/>
      <c r="U193" s="89"/>
      <c r="V193" s="89"/>
      <c r="X193" s="248"/>
      <c r="Y193" s="294"/>
      <c r="AD193" s="89"/>
      <c r="AE193" s="89"/>
      <c r="AF193" s="89"/>
      <c r="AG193" s="89"/>
      <c r="AH193" s="89"/>
      <c r="AI193" s="89"/>
      <c r="AJ193" s="116"/>
      <c r="AK193" s="89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7"/>
      <c r="AZ193" s="116"/>
      <c r="BA193" s="116"/>
      <c r="BB193" s="116"/>
      <c r="BC193" s="89"/>
      <c r="BD193" s="89"/>
      <c r="BE193" s="116"/>
      <c r="BF193" s="116"/>
      <c r="BJ193" s="38">
        <f>K193/I193</f>
        <v>0.2670394081272085</v>
      </c>
      <c r="BK193" s="38"/>
      <c r="BL193" s="38"/>
      <c r="BP193" s="116" t="e">
        <f>196.6*10^(LOG10(AP193/147.1)+(LOG10(AP193/147.1)-LOG10(AL193/234.7))*0.4)</f>
        <v>#NUM!</v>
      </c>
      <c r="BQ193" s="116" t="e">
        <f>196.6*10^(LOG10(AP193/147.1)+0.6666*(LOG10(AS193/36.3)-LOG10(AP193/147.1)))</f>
        <v>#NUM!</v>
      </c>
      <c r="BR193" s="116" t="e">
        <f>196.6*10^(LOG10(AS193/36.3)-(LOG10(AX193/162.5)-LOG10(AS193/36.3))/5)</f>
        <v>#NUM!</v>
      </c>
    </row>
    <row r="194" spans="1:70" x14ac:dyDescent="0.2">
      <c r="A194" s="71" t="s">
        <v>284</v>
      </c>
      <c r="B194" s="71" t="s">
        <v>233</v>
      </c>
      <c r="C194" s="50" t="s">
        <v>279</v>
      </c>
      <c r="E194" s="116"/>
      <c r="F194" s="116"/>
      <c r="G194" s="116"/>
      <c r="H194" s="117"/>
      <c r="I194" s="116">
        <v>23.02353227771011</v>
      </c>
      <c r="J194" s="117"/>
      <c r="K194" s="148">
        <f>I194*BJ$195</f>
        <v>6.4700629557413922</v>
      </c>
      <c r="L194" s="116">
        <v>11.924413317092975</v>
      </c>
      <c r="M194" s="117">
        <v>0.25395939910678039</v>
      </c>
      <c r="N194" s="117"/>
      <c r="O194" s="117"/>
      <c r="P194" s="117"/>
      <c r="Q194" s="38">
        <f t="shared" si="82"/>
        <v>33.375355535665221</v>
      </c>
      <c r="T194" s="248">
        <v>93.917787251319538</v>
      </c>
      <c r="U194" s="89"/>
      <c r="V194" s="89">
        <v>2066.8400324807149</v>
      </c>
      <c r="X194" s="248">
        <v>24.145160373528221</v>
      </c>
      <c r="Y194" s="174">
        <v>5</v>
      </c>
      <c r="AD194" s="89"/>
      <c r="AE194" s="89">
        <v>144.27121396670728</v>
      </c>
      <c r="AF194" s="291">
        <f>1560*10^((LOG10(AU194/55.6)+LOG10(AV194/158.9))/2)</f>
        <v>34.453883311177272</v>
      </c>
      <c r="AG194" s="89"/>
      <c r="AH194" s="89"/>
      <c r="AI194" s="89"/>
      <c r="AJ194" s="116"/>
      <c r="AK194" s="89">
        <v>57.726362322371095</v>
      </c>
      <c r="AL194" s="116">
        <v>3.3128201380430373</v>
      </c>
      <c r="AM194" s="116">
        <v>9.1155907429963445</v>
      </c>
      <c r="AN194" s="199">
        <f>89.1*EXP((LN(AL194/234.7)+2*LN(AO194/452.4))/3)</f>
        <v>1.778832763993081</v>
      </c>
      <c r="AO194" s="116">
        <v>10.741534713763704</v>
      </c>
      <c r="AP194" s="116">
        <v>3.0008936256597645</v>
      </c>
      <c r="AQ194" s="116">
        <v>1.0235083231831101</v>
      </c>
      <c r="AR194" s="200">
        <f>AVERAGE(BP194:BR194)</f>
        <v>4.5741547670728142</v>
      </c>
      <c r="AS194" s="116">
        <v>0.85157369062119381</v>
      </c>
      <c r="AT194" s="200">
        <f>(242.7*10^((4*LOG10(AS194/36.3)+LOG10(AX194/162.5))/5)+242.7*10^((4*LOG10(AP194/147.1)+4*LOG10(AX194/162.5))/8))/2</f>
        <v>5.378857072601317</v>
      </c>
      <c r="AU194" s="200">
        <f>(55.6*10^((3*LOG10(AS194/36.3)+2*LOG10(AX194/162.5))/5)+55.6*10^((3*LOG10(AP194/147.1)+5*LOG10(AX194/162.5))/8))/2</f>
        <v>1.2293413304293921</v>
      </c>
      <c r="AV194" s="200">
        <f>(158.9*10^((2*LOG10(AS194/36.3)+3*LOG10(AX194/162.5))/5)+158.9*10^((2*LOG10(AP194/147.1)+6*LOG10(AX194/162.5))/8))/2</f>
        <v>3.505527402068036</v>
      </c>
      <c r="AW194" s="201">
        <f>(24.2*10^((LOG10(AS194/36.3)+4*LOG10(AX194/162.5))/5)+24.2*10^((LOG10(AP194/147.1)+7*LOG10(AX194/162.5))/8))/2</f>
        <v>0.5327592040123319</v>
      </c>
      <c r="AX194" s="116">
        <v>3.5703390174583838</v>
      </c>
      <c r="AY194" s="117">
        <v>0.53384120990661799</v>
      </c>
      <c r="AZ194" s="116">
        <v>2.5282444173771825</v>
      </c>
      <c r="BA194" s="116">
        <v>0.32016727568006503</v>
      </c>
      <c r="BB194" s="116"/>
      <c r="BC194" s="89"/>
      <c r="BD194" s="89"/>
      <c r="BE194" s="116">
        <v>0.44892529435647582</v>
      </c>
      <c r="BF194" s="116">
        <v>0.15047340641494114</v>
      </c>
      <c r="BG194" s="295">
        <v>246.3</v>
      </c>
      <c r="BJ194" s="38"/>
      <c r="BK194" s="38"/>
      <c r="BL194" s="38"/>
      <c r="BP194" s="116">
        <f>196.6*10^(LOG10(AP194/147.1)+(LOG10(AP194/147.1)-LOG10(AL194/234.7))*0.4)</f>
        <v>4.6473213725927334</v>
      </c>
      <c r="BQ194" s="116">
        <f>196.6*10^(LOG10(AP194/147.1)+0.6666*(LOG10(AS194/36.3)-LOG10(AP194/147.1)))</f>
        <v>4.4021940724792259</v>
      </c>
      <c r="BR194" s="116">
        <f>196.6*10^(LOG10(AS194/36.3)-(LOG10(AX194/162.5)-LOG10(AS194/36.3))/5)</f>
        <v>4.6729488561464834</v>
      </c>
    </row>
    <row r="195" spans="1:70" s="36" customFormat="1" x14ac:dyDescent="0.2">
      <c r="A195" s="77" t="s">
        <v>285</v>
      </c>
      <c r="B195" s="77" t="s">
        <v>279</v>
      </c>
      <c r="C195" s="36" t="s">
        <v>286</v>
      </c>
      <c r="D195" s="34">
        <f>SUM(E195:P195)</f>
        <v>100.59085870410665</v>
      </c>
      <c r="E195" s="124">
        <f t="shared" ref="E195:P195" si="103">AVERAGE(E188:E194)</f>
        <v>46.186287133333337</v>
      </c>
      <c r="F195" s="124">
        <f t="shared" si="103"/>
        <v>2.4177701699999998</v>
      </c>
      <c r="G195" s="124">
        <f t="shared" si="103"/>
        <v>10.221081760708044</v>
      </c>
      <c r="H195" s="119">
        <f t="shared" si="103"/>
        <v>0.29149580000000003</v>
      </c>
      <c r="I195" s="124">
        <f t="shared" si="103"/>
        <v>22.520777455542021</v>
      </c>
      <c r="J195" s="119">
        <f t="shared" si="103"/>
        <v>0.34069870000000002</v>
      </c>
      <c r="K195" s="124">
        <f t="shared" si="103"/>
        <v>6.3261932804733023</v>
      </c>
      <c r="L195" s="124">
        <f t="shared" si="103"/>
        <v>11.756757079273244</v>
      </c>
      <c r="M195" s="119">
        <f t="shared" si="103"/>
        <v>0.25771384977669509</v>
      </c>
      <c r="N195" s="119">
        <f t="shared" si="103"/>
        <v>3.7804424999999996E-2</v>
      </c>
      <c r="O195" s="119">
        <f t="shared" si="103"/>
        <v>4.427905E-2</v>
      </c>
      <c r="P195" s="119">
        <f t="shared" si="103"/>
        <v>0.19</v>
      </c>
      <c r="Q195" s="38">
        <f t="shared" ref="Q195:Q258" si="104">100*(K195/40.304)/(K195/40.304+I195/71.846)</f>
        <v>33.366269296300871</v>
      </c>
      <c r="T195" s="123">
        <f>AVERAGE(T188:T194)</f>
        <v>96.639262417106508</v>
      </c>
      <c r="U195" s="125"/>
      <c r="V195" s="125">
        <f>AVERAGE(V188:V194)</f>
        <v>1988.9466774935718</v>
      </c>
      <c r="X195" s="123">
        <f>AVERAGE(X188:X194)</f>
        <v>25.548386791176075</v>
      </c>
      <c r="Y195" s="125">
        <f>AVERAGE(Y188:Y194)</f>
        <v>23.5</v>
      </c>
      <c r="AD195" s="125">
        <f t="shared" ref="AD195:BA195" si="105">AVERAGE(AD188:AD194)</f>
        <v>2.5499999999999998</v>
      </c>
      <c r="AE195" s="125">
        <f t="shared" si="105"/>
        <v>126.42373798890242</v>
      </c>
      <c r="AF195" s="125">
        <f t="shared" si="105"/>
        <v>33.636658003758974</v>
      </c>
      <c r="AG195" s="125">
        <f t="shared" si="105"/>
        <v>46.75</v>
      </c>
      <c r="AH195" s="125"/>
      <c r="AI195" s="125"/>
      <c r="AJ195" s="124" t="e">
        <f t="shared" si="105"/>
        <v>#DIV/0!</v>
      </c>
      <c r="AK195" s="125">
        <f t="shared" si="105"/>
        <v>47.575454107457034</v>
      </c>
      <c r="AL195" s="124">
        <f t="shared" si="105"/>
        <v>3.5026067126810125</v>
      </c>
      <c r="AM195" s="124">
        <f t="shared" si="105"/>
        <v>9.7885302476654488</v>
      </c>
      <c r="AN195" s="124"/>
      <c r="AO195" s="124">
        <f t="shared" si="105"/>
        <v>8.9471782379212357</v>
      </c>
      <c r="AP195" s="124">
        <f t="shared" si="105"/>
        <v>2.9686312085532549</v>
      </c>
      <c r="AQ195" s="124">
        <f t="shared" si="105"/>
        <v>1.0578361077277034</v>
      </c>
      <c r="AR195" s="124"/>
      <c r="AS195" s="124">
        <f t="shared" si="105"/>
        <v>0.81719123020706463</v>
      </c>
      <c r="AT195" s="124"/>
      <c r="AU195" s="124"/>
      <c r="AV195" s="124"/>
      <c r="AW195" s="124"/>
      <c r="AX195" s="124">
        <f t="shared" si="105"/>
        <v>3.5001130058194612</v>
      </c>
      <c r="AY195" s="119">
        <f t="shared" si="105"/>
        <v>0.53628040330220605</v>
      </c>
      <c r="AZ195" s="124">
        <f t="shared" si="105"/>
        <v>2.3194148057923942</v>
      </c>
      <c r="BA195" s="124">
        <f t="shared" si="105"/>
        <v>0.28005575856002168</v>
      </c>
      <c r="BB195" s="124"/>
      <c r="BC195" s="125">
        <f>BC194</f>
        <v>0</v>
      </c>
      <c r="BD195" s="125">
        <f>BD194</f>
        <v>0</v>
      </c>
      <c r="BE195" s="124">
        <f>AVERAGE(BE188:BE194)</f>
        <v>0.44464176478549194</v>
      </c>
      <c r="BF195" s="124">
        <f>AVERAGE(BF188:BF194)</f>
        <v>0.15523670320747057</v>
      </c>
      <c r="BH195" s="37">
        <f>BE195/AP195</f>
        <v>0.149780061431809</v>
      </c>
      <c r="BJ195" s="124">
        <f>AVERAGE(BJ186:BJ194)</f>
        <v>0.28101956197248185</v>
      </c>
      <c r="BK195" s="124"/>
      <c r="BL195" s="124"/>
    </row>
    <row r="196" spans="1:70" s="36" customFormat="1" x14ac:dyDescent="0.2">
      <c r="A196" s="77" t="s">
        <v>685</v>
      </c>
      <c r="B196" s="77"/>
      <c r="D196" s="34">
        <f>SUM(E196:P196)</f>
        <v>100.59085870410665</v>
      </c>
      <c r="E196" s="124">
        <f>E195</f>
        <v>46.186287133333337</v>
      </c>
      <c r="F196" s="124">
        <f t="shared" ref="F196:BF196" si="106">F195</f>
        <v>2.4177701699999998</v>
      </c>
      <c r="G196" s="124">
        <f t="shared" si="106"/>
        <v>10.221081760708044</v>
      </c>
      <c r="H196" s="119">
        <f t="shared" si="106"/>
        <v>0.29149580000000003</v>
      </c>
      <c r="I196" s="124">
        <f t="shared" si="106"/>
        <v>22.520777455542021</v>
      </c>
      <c r="J196" s="119">
        <f t="shared" si="106"/>
        <v>0.34069870000000002</v>
      </c>
      <c r="K196" s="124">
        <f t="shared" si="106"/>
        <v>6.3261932804733023</v>
      </c>
      <c r="L196" s="124">
        <f t="shared" si="106"/>
        <v>11.756757079273244</v>
      </c>
      <c r="M196" s="119">
        <f t="shared" si="106"/>
        <v>0.25771384977669509</v>
      </c>
      <c r="N196" s="119">
        <f t="shared" si="106"/>
        <v>3.7804424999999996E-2</v>
      </c>
      <c r="O196" s="119">
        <f t="shared" si="106"/>
        <v>4.427905E-2</v>
      </c>
      <c r="P196" s="119">
        <f t="shared" si="106"/>
        <v>0.19</v>
      </c>
      <c r="Q196" s="38">
        <f t="shared" si="104"/>
        <v>33.366269296300871</v>
      </c>
      <c r="R196" s="36">
        <f t="shared" si="106"/>
        <v>0</v>
      </c>
      <c r="S196" s="36">
        <f t="shared" si="106"/>
        <v>0</v>
      </c>
      <c r="T196" s="123">
        <f t="shared" si="106"/>
        <v>96.639262417106508</v>
      </c>
      <c r="U196" s="125">
        <f t="shared" si="106"/>
        <v>0</v>
      </c>
      <c r="V196" s="125">
        <f t="shared" si="106"/>
        <v>1988.9466774935718</v>
      </c>
      <c r="W196" s="36">
        <f t="shared" si="106"/>
        <v>0</v>
      </c>
      <c r="X196" s="123">
        <f t="shared" si="106"/>
        <v>25.548386791176075</v>
      </c>
      <c r="Y196" s="125">
        <f>AVERAGE(Y188,Y194)</f>
        <v>9</v>
      </c>
      <c r="Z196" s="36">
        <f t="shared" si="106"/>
        <v>0</v>
      </c>
      <c r="AD196" s="125"/>
      <c r="AE196" s="125">
        <f t="shared" si="106"/>
        <v>126.42373798890242</v>
      </c>
      <c r="AF196" s="125">
        <f t="shared" si="106"/>
        <v>33.636658003758974</v>
      </c>
      <c r="AG196" s="125">
        <f t="shared" si="106"/>
        <v>46.75</v>
      </c>
      <c r="AH196" s="125"/>
      <c r="AI196" s="125"/>
      <c r="AJ196" s="124" t="e">
        <f t="shared" si="106"/>
        <v>#DIV/0!</v>
      </c>
      <c r="AK196" s="125">
        <f t="shared" si="106"/>
        <v>47.575454107457034</v>
      </c>
      <c r="AL196" s="124">
        <f t="shared" si="106"/>
        <v>3.5026067126810125</v>
      </c>
      <c r="AM196" s="124">
        <f t="shared" ref="AM196:AY196" si="107">AM195</f>
        <v>9.7885302476654488</v>
      </c>
      <c r="AN196" s="124">
        <f t="shared" si="107"/>
        <v>0</v>
      </c>
      <c r="AO196" s="124">
        <f t="shared" si="107"/>
        <v>8.9471782379212357</v>
      </c>
      <c r="AP196" s="124">
        <f t="shared" si="107"/>
        <v>2.9686312085532549</v>
      </c>
      <c r="AQ196" s="124">
        <f t="shared" si="107"/>
        <v>1.0578361077277034</v>
      </c>
      <c r="AR196" s="124">
        <f t="shared" si="107"/>
        <v>0</v>
      </c>
      <c r="AS196" s="124">
        <f t="shared" si="107"/>
        <v>0.81719123020706463</v>
      </c>
      <c r="AT196" s="124">
        <f t="shared" si="107"/>
        <v>0</v>
      </c>
      <c r="AU196" s="124">
        <f t="shared" si="107"/>
        <v>0</v>
      </c>
      <c r="AV196" s="124">
        <f t="shared" si="107"/>
        <v>0</v>
      </c>
      <c r="AW196" s="124">
        <f t="shared" si="107"/>
        <v>0</v>
      </c>
      <c r="AX196" s="124">
        <f t="shared" si="107"/>
        <v>3.5001130058194612</v>
      </c>
      <c r="AY196" s="124">
        <f t="shared" si="107"/>
        <v>0.53628040330220605</v>
      </c>
      <c r="AZ196" s="124">
        <f t="shared" si="106"/>
        <v>2.3194148057923942</v>
      </c>
      <c r="BA196" s="124">
        <f t="shared" si="106"/>
        <v>0.28005575856002168</v>
      </c>
      <c r="BB196" s="124"/>
      <c r="BC196" s="125">
        <f t="shared" si="106"/>
        <v>0</v>
      </c>
      <c r="BD196" s="125">
        <f t="shared" si="106"/>
        <v>0</v>
      </c>
      <c r="BE196" s="124">
        <f t="shared" si="106"/>
        <v>0.44464176478549194</v>
      </c>
      <c r="BF196" s="124">
        <f t="shared" si="106"/>
        <v>0.15523670320747057</v>
      </c>
      <c r="BH196" s="37"/>
      <c r="BJ196" s="37"/>
      <c r="BK196" s="37"/>
      <c r="BL196" s="37"/>
    </row>
    <row r="197" spans="1:70" s="36" customFormat="1" x14ac:dyDescent="0.2">
      <c r="A197" s="77"/>
      <c r="B197" s="77"/>
      <c r="E197" s="124"/>
      <c r="F197" s="124"/>
      <c r="G197" s="124"/>
      <c r="H197" s="119"/>
      <c r="I197" s="124"/>
      <c r="J197" s="119"/>
      <c r="K197" s="124"/>
      <c r="L197" s="124"/>
      <c r="M197" s="119"/>
      <c r="N197" s="119"/>
      <c r="O197" s="119"/>
      <c r="P197" s="119"/>
      <c r="Q197" s="38" t="e">
        <f t="shared" si="104"/>
        <v>#DIV/0!</v>
      </c>
      <c r="T197" s="123"/>
      <c r="U197" s="125"/>
      <c r="V197" s="125"/>
      <c r="X197" s="123"/>
      <c r="Y197" s="125"/>
      <c r="AD197" s="125"/>
      <c r="AE197" s="125"/>
      <c r="AF197" s="125"/>
      <c r="AG197" s="125"/>
      <c r="AH197" s="125"/>
      <c r="AI197" s="125"/>
      <c r="AJ197" s="124"/>
      <c r="AK197" s="125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19"/>
      <c r="AZ197" s="124"/>
      <c r="BA197" s="124"/>
      <c r="BB197" s="124"/>
      <c r="BC197" s="125"/>
      <c r="BD197" s="125"/>
      <c r="BE197" s="124"/>
      <c r="BF197" s="124"/>
      <c r="BH197" s="37"/>
      <c r="BJ197" s="37"/>
      <c r="BK197" s="37"/>
      <c r="BL197" s="37"/>
    </row>
    <row r="198" spans="1:70" s="36" customFormat="1" x14ac:dyDescent="0.2">
      <c r="A198" s="77"/>
      <c r="B198" s="77"/>
      <c r="E198" s="124"/>
      <c r="F198" s="124"/>
      <c r="G198" s="124"/>
      <c r="H198" s="119"/>
      <c r="I198" s="124"/>
      <c r="J198" s="119"/>
      <c r="K198" s="124"/>
      <c r="L198" s="124"/>
      <c r="M198" s="119"/>
      <c r="N198" s="119"/>
      <c r="O198" s="119"/>
      <c r="P198" s="119"/>
      <c r="Q198" s="38" t="e">
        <f t="shared" si="104"/>
        <v>#DIV/0!</v>
      </c>
      <c r="T198" s="123"/>
      <c r="U198" s="125"/>
      <c r="V198" s="125"/>
      <c r="X198" s="123"/>
      <c r="Y198" s="125"/>
      <c r="AD198" s="125"/>
      <c r="AE198" s="125"/>
      <c r="AF198" s="125"/>
      <c r="AG198" s="125"/>
      <c r="AH198" s="125"/>
      <c r="AI198" s="125"/>
      <c r="AJ198" s="124"/>
      <c r="AK198" s="125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19"/>
      <c r="AZ198" s="124"/>
      <c r="BA198" s="124"/>
      <c r="BB198" s="124"/>
      <c r="BC198" s="125"/>
      <c r="BD198" s="125"/>
      <c r="BE198" s="124"/>
      <c r="BF198" s="124"/>
      <c r="BH198" s="37"/>
      <c r="BJ198" s="37"/>
      <c r="BK198" s="37"/>
      <c r="BL198" s="37"/>
    </row>
    <row r="199" spans="1:70" x14ac:dyDescent="0.2">
      <c r="Q199" s="38" t="e">
        <f t="shared" si="104"/>
        <v>#DIV/0!</v>
      </c>
    </row>
    <row r="200" spans="1:70" x14ac:dyDescent="0.2">
      <c r="A200" s="71"/>
      <c r="B200" s="71"/>
      <c r="E200" s="116"/>
      <c r="F200" s="116"/>
      <c r="G200" s="116"/>
      <c r="H200" s="117"/>
      <c r="I200" s="116"/>
      <c r="J200" s="117"/>
      <c r="K200" s="116"/>
      <c r="L200" s="116"/>
      <c r="M200" s="117"/>
      <c r="N200" s="117"/>
      <c r="O200" s="117"/>
      <c r="P200" s="117"/>
      <c r="Q200" s="38" t="e">
        <f t="shared" si="104"/>
        <v>#DIV/0!</v>
      </c>
      <c r="T200" s="248"/>
      <c r="U200" s="89"/>
      <c r="V200" s="89"/>
      <c r="X200" s="248"/>
      <c r="Y200" s="89"/>
      <c r="AD200" s="89"/>
      <c r="AE200" s="89"/>
      <c r="AF200" s="89"/>
      <c r="AG200" s="89"/>
      <c r="AH200" s="89"/>
      <c r="AI200" s="89"/>
      <c r="AJ200" s="116"/>
      <c r="AK200" s="89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7"/>
      <c r="AZ200" s="116"/>
      <c r="BA200" s="116"/>
      <c r="BB200" s="116"/>
      <c r="BC200" s="116"/>
      <c r="BD200" s="116"/>
      <c r="BE200" s="116"/>
      <c r="BF200" s="116"/>
    </row>
    <row r="201" spans="1:70" x14ac:dyDescent="0.2">
      <c r="A201" s="71" t="s">
        <v>487</v>
      </c>
      <c r="B201" s="71" t="s">
        <v>230</v>
      </c>
      <c r="C201" s="50" t="s">
        <v>486</v>
      </c>
      <c r="H201" s="49">
        <f>V201*1.4616/10000</f>
        <v>0.25870320000000002</v>
      </c>
      <c r="I201" s="38">
        <f>18.3*1.2865</f>
        <v>23.542950000000001</v>
      </c>
      <c r="M201" s="49">
        <f>0.22*1.348</f>
        <v>0.29656000000000005</v>
      </c>
      <c r="N201" s="49">
        <f>0.0542*1.2046</f>
        <v>6.5289319999999998E-2</v>
      </c>
      <c r="O201" s="117"/>
      <c r="P201" s="117"/>
      <c r="Q201" s="38">
        <f t="shared" si="104"/>
        <v>0</v>
      </c>
      <c r="T201" s="248">
        <v>92.6</v>
      </c>
      <c r="U201" s="89"/>
      <c r="V201" s="89">
        <v>1770</v>
      </c>
      <c r="X201" s="248">
        <v>30.5</v>
      </c>
      <c r="Y201" s="89">
        <v>50</v>
      </c>
      <c r="Z201" s="89"/>
      <c r="AA201" s="89"/>
      <c r="AB201" s="89"/>
      <c r="AC201" s="89"/>
      <c r="AD201" s="248"/>
      <c r="AE201" s="89">
        <v>70</v>
      </c>
      <c r="AF201" s="89"/>
      <c r="AG201" s="89">
        <v>65</v>
      </c>
      <c r="AH201" s="89"/>
      <c r="AI201" s="89"/>
      <c r="AJ201" s="116"/>
      <c r="AK201" s="89">
        <v>38</v>
      </c>
      <c r="AL201" s="116">
        <v>4.95</v>
      </c>
      <c r="AM201" s="248">
        <v>14.2</v>
      </c>
      <c r="AN201" s="199">
        <f>89.1*EXP((LN(AL201/234.7)+2*LN(AO201/452.4))/3)</f>
        <v>2.2016600220150147</v>
      </c>
      <c r="AO201" s="248">
        <v>12.1</v>
      </c>
      <c r="AP201" s="116">
        <v>4.53</v>
      </c>
      <c r="AQ201" s="116">
        <v>1.37</v>
      </c>
      <c r="AR201" s="200" t="e">
        <f>AVERAGE(BP201:BR201)</f>
        <v>#DIV/0!</v>
      </c>
      <c r="AS201" s="116">
        <v>1.05</v>
      </c>
      <c r="AT201" s="248">
        <v>7.1</v>
      </c>
      <c r="AU201" s="116"/>
      <c r="AV201" s="116"/>
      <c r="AW201" s="116"/>
      <c r="AX201" s="116">
        <v>4.71</v>
      </c>
      <c r="AY201" s="117">
        <v>0.68</v>
      </c>
      <c r="AZ201" s="116">
        <v>2.89</v>
      </c>
      <c r="BA201" s="116">
        <v>0.28999999999999998</v>
      </c>
      <c r="BB201" s="116"/>
      <c r="BC201" s="116"/>
      <c r="BD201" s="116"/>
      <c r="BE201" s="116">
        <v>0.69</v>
      </c>
      <c r="BF201" s="116">
        <v>0.12</v>
      </c>
      <c r="BG201" s="116">
        <v>8.39</v>
      </c>
    </row>
    <row r="202" spans="1:70" x14ac:dyDescent="0.2">
      <c r="A202" s="71" t="s">
        <v>488</v>
      </c>
      <c r="B202" s="71" t="s">
        <v>230</v>
      </c>
      <c r="C202" s="50" t="s">
        <v>486</v>
      </c>
      <c r="H202" s="49">
        <f>V202*1.4616/10000</f>
        <v>0.25461072000000001</v>
      </c>
      <c r="I202" s="38">
        <f>19.1*1.2865</f>
        <v>24.572150000000001</v>
      </c>
      <c r="M202" s="49">
        <f>0.234*1.348</f>
        <v>0.31543200000000005</v>
      </c>
      <c r="N202" s="49">
        <f>0.0531*1.2046</f>
        <v>6.3964259999999995E-2</v>
      </c>
      <c r="O202" s="117"/>
      <c r="P202" s="117"/>
      <c r="Q202" s="38">
        <f t="shared" si="104"/>
        <v>0</v>
      </c>
      <c r="T202" s="248">
        <v>94.5</v>
      </c>
      <c r="U202" s="89"/>
      <c r="V202" s="89">
        <v>1742</v>
      </c>
      <c r="X202" s="248">
        <v>29.3</v>
      </c>
      <c r="Y202" s="89">
        <v>55</v>
      </c>
      <c r="Z202" s="89"/>
      <c r="AA202" s="89"/>
      <c r="AB202" s="89"/>
      <c r="AC202" s="89"/>
      <c r="AD202" s="248"/>
      <c r="AE202" s="89">
        <v>85</v>
      </c>
      <c r="AF202" s="89"/>
      <c r="AG202" s="89">
        <v>55</v>
      </c>
      <c r="AH202" s="89"/>
      <c r="AI202" s="89"/>
      <c r="AJ202" s="116"/>
      <c r="AK202" s="89">
        <v>30</v>
      </c>
      <c r="AL202" s="116">
        <v>4.53</v>
      </c>
      <c r="AM202" s="248">
        <v>15.2</v>
      </c>
      <c r="AN202" s="199">
        <f>89.1*EXP((LN(AL202/234.7)+2*LN(AO202/452.4))/3)</f>
        <v>2.0901698801959983</v>
      </c>
      <c r="AO202" s="248">
        <v>11.7</v>
      </c>
      <c r="AP202" s="116">
        <v>4.1100000000000003</v>
      </c>
      <c r="AQ202" s="116">
        <v>1.26</v>
      </c>
      <c r="AR202" s="200" t="e">
        <f>AVERAGE(BP202:BR202)</f>
        <v>#DIV/0!</v>
      </c>
      <c r="AS202" s="116">
        <v>0.99</v>
      </c>
      <c r="AT202" s="248">
        <v>6.9</v>
      </c>
      <c r="AU202" s="116"/>
      <c r="AV202" s="116"/>
      <c r="AW202" s="116"/>
      <c r="AX202" s="116">
        <v>4.49</v>
      </c>
      <c r="AY202" s="117">
        <v>0.64</v>
      </c>
      <c r="AZ202" s="116">
        <v>3.1</v>
      </c>
      <c r="BA202" s="116">
        <v>0.32</v>
      </c>
      <c r="BB202" s="116"/>
      <c r="BC202" s="116"/>
      <c r="BD202" s="116"/>
      <c r="BE202" s="116">
        <v>0.67</v>
      </c>
      <c r="BF202" s="116">
        <v>7.0000000000000007E-2</v>
      </c>
      <c r="BG202" s="116">
        <v>10.42</v>
      </c>
    </row>
    <row r="203" spans="1:70" x14ac:dyDescent="0.2">
      <c r="A203" s="71"/>
      <c r="B203" s="71"/>
      <c r="E203" s="116"/>
      <c r="F203" s="116"/>
      <c r="G203" s="116"/>
      <c r="H203" s="117"/>
      <c r="I203" s="116"/>
      <c r="J203" s="117"/>
      <c r="K203" s="116"/>
      <c r="L203" s="116"/>
      <c r="M203" s="117"/>
      <c r="N203" s="117"/>
      <c r="O203" s="117"/>
      <c r="P203" s="117"/>
      <c r="Q203" s="38" t="e">
        <f t="shared" si="104"/>
        <v>#DIV/0!</v>
      </c>
      <c r="T203" s="248"/>
      <c r="U203" s="89"/>
      <c r="V203" s="89"/>
      <c r="X203" s="248"/>
      <c r="Y203" s="89"/>
      <c r="AD203" s="89"/>
      <c r="AE203" s="89"/>
      <c r="AF203" s="89"/>
      <c r="AG203" s="89"/>
      <c r="AH203" s="89"/>
      <c r="AI203" s="89"/>
      <c r="AJ203" s="116"/>
      <c r="AK203" s="89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7"/>
      <c r="AZ203" s="116"/>
      <c r="BA203" s="116"/>
      <c r="BB203" s="116"/>
      <c r="BC203" s="116"/>
      <c r="BD203" s="116"/>
      <c r="BE203" s="116"/>
      <c r="BF203" s="116"/>
    </row>
    <row r="204" spans="1:70" x14ac:dyDescent="0.2">
      <c r="A204" s="71" t="s">
        <v>287</v>
      </c>
      <c r="B204" s="71" t="s">
        <v>233</v>
      </c>
      <c r="C204" s="50" t="s">
        <v>279</v>
      </c>
      <c r="E204" s="116"/>
      <c r="F204" s="116"/>
      <c r="G204" s="148">
        <f>$B$402*(I204+K204)+$B$403</f>
        <v>11.051445196008569</v>
      </c>
      <c r="H204" s="49">
        <f>V204*1.4616/10000</f>
        <v>0.23137128000000001</v>
      </c>
      <c r="I204" s="116">
        <v>21</v>
      </c>
      <c r="J204" s="127">
        <f>I204/BL$209</f>
        <v>0.3207886615991894</v>
      </c>
      <c r="K204" s="148">
        <f>I204*BJ$209</f>
        <v>5.676530776758919</v>
      </c>
      <c r="L204" s="116">
        <v>12.2</v>
      </c>
      <c r="M204" s="117">
        <v>0.28000000000000003</v>
      </c>
      <c r="N204" s="117"/>
      <c r="O204" s="117"/>
      <c r="P204" s="117"/>
      <c r="Q204" s="38">
        <f t="shared" si="104"/>
        <v>32.51710388696371</v>
      </c>
      <c r="T204" s="248">
        <v>80.7</v>
      </c>
      <c r="U204" s="89"/>
      <c r="V204" s="89">
        <v>1583</v>
      </c>
      <c r="X204" s="248">
        <v>19.68</v>
      </c>
      <c r="Y204" s="89">
        <v>20</v>
      </c>
      <c r="AD204" s="89">
        <v>1</v>
      </c>
      <c r="AE204" s="89">
        <v>170</v>
      </c>
      <c r="AF204" s="89"/>
      <c r="AG204" s="89">
        <v>70</v>
      </c>
      <c r="AH204" s="89"/>
      <c r="AI204" s="89"/>
      <c r="AJ204" s="116"/>
      <c r="AK204" s="89">
        <v>100.5284</v>
      </c>
      <c r="AL204" s="116">
        <v>4.75</v>
      </c>
      <c r="AM204" s="248">
        <v>13.2</v>
      </c>
      <c r="AN204" s="199">
        <f>89.1*EXP((LN(AL204/234.7)+2*LN(AO204/452.4))/3)</f>
        <v>2.1596181922777578</v>
      </c>
      <c r="AO204" s="248">
        <v>12</v>
      </c>
      <c r="AP204" s="116">
        <v>4.1900000000000004</v>
      </c>
      <c r="AQ204" s="116">
        <v>1.22</v>
      </c>
      <c r="AR204" s="200">
        <f>AVERAGE(BP204:BR204)</f>
        <v>6.1019983468938248</v>
      </c>
      <c r="AS204" s="116">
        <v>1.1000000000000001</v>
      </c>
      <c r="AT204" s="200">
        <f>(242.7*10^((4*LOG10(AS204/36.3)+LOG10(AX204/162.5))/5)+242.7*10^((4*LOG10(AP204/147.1)+4*LOG10(AX204/162.5))/8))/2</f>
        <v>7.0519930284873684</v>
      </c>
      <c r="AU204" s="200">
        <f>(55.6*10^((3*LOG10(AS204/36.3)+2*LOG10(AX204/162.5))/5)+55.6*10^((3*LOG10(AP204/147.1)+5*LOG10(AX204/162.5))/8))/2</f>
        <v>1.6014174416241689</v>
      </c>
      <c r="AV204" s="200">
        <f>(158.9*10^((2*LOG10(AS204/36.3)+3*LOG10(AX204/162.5))/5)+158.9*10^((2*LOG10(AP204/147.1)+6*LOG10(AX204/162.5))/8))/2</f>
        <v>4.5369198670853423</v>
      </c>
      <c r="AW204" s="201">
        <f>(24.2*10^((LOG10(AS204/36.3)+4*LOG10(AX204/162.5))/5)+24.2*10^((LOG10(AP204/147.1)+7*LOG10(AX204/162.5))/8))/2</f>
        <v>0.68498303390640247</v>
      </c>
      <c r="AX204" s="116">
        <v>4.5599999999999996</v>
      </c>
      <c r="AY204" s="117">
        <v>0.66300000000000003</v>
      </c>
      <c r="AZ204" s="116">
        <v>3.19</v>
      </c>
      <c r="BA204" s="116">
        <v>0.4</v>
      </c>
      <c r="BB204" s="116"/>
      <c r="BC204" s="116"/>
      <c r="BD204" s="116"/>
      <c r="BE204" s="116">
        <v>0.74</v>
      </c>
      <c r="BF204" s="116">
        <v>0.13</v>
      </c>
      <c r="BG204" s="50">
        <v>19.03</v>
      </c>
      <c r="BJ204" s="38"/>
      <c r="BK204" s="38"/>
      <c r="BL204" s="38"/>
      <c r="BP204" s="116">
        <f>196.6*10^(LOG10(AP204/147.1)+(LOG10(AP204/147.1)-LOG10(AL204/234.7))*0.4)</f>
        <v>6.4202685721465507</v>
      </c>
      <c r="BQ204" s="116">
        <f>196.6*10^(LOG10(AP204/147.1)+0.6666*(LOG10(AS204/36.3)-LOG10(AP204/147.1)))</f>
        <v>5.8358780944014628</v>
      </c>
      <c r="BR204" s="116">
        <f>196.6*10^(LOG10(AS204/36.3)-(LOG10(AX204/162.5)-LOG10(AS204/36.3))/5)</f>
        <v>6.0498483741334601</v>
      </c>
    </row>
    <row r="205" spans="1:70" x14ac:dyDescent="0.2">
      <c r="A205" s="71" t="s">
        <v>287</v>
      </c>
      <c r="B205" s="71" t="s">
        <v>233</v>
      </c>
      <c r="C205" s="50" t="s">
        <v>279</v>
      </c>
      <c r="E205" s="116">
        <v>46.420822000000001</v>
      </c>
      <c r="F205" s="116">
        <v>2.109549125</v>
      </c>
      <c r="G205" s="116">
        <v>11.749831499999999</v>
      </c>
      <c r="H205" s="117">
        <v>0.22743563999999999</v>
      </c>
      <c r="I205" s="116">
        <v>20.71</v>
      </c>
      <c r="J205" s="117">
        <v>0.30062499999999998</v>
      </c>
      <c r="K205" s="116">
        <v>5.5821967499999996</v>
      </c>
      <c r="L205" s="116">
        <v>12.007325</v>
      </c>
      <c r="M205" s="117">
        <v>0.26100000000000001</v>
      </c>
      <c r="N205" s="117">
        <v>5.4377999999999996E-2</v>
      </c>
      <c r="O205" s="117">
        <v>4.8357750000000005E-2</v>
      </c>
      <c r="P205" s="117"/>
      <c r="Q205" s="38">
        <f t="shared" si="104"/>
        <v>32.454549599343295</v>
      </c>
      <c r="T205" s="248"/>
      <c r="U205" s="89"/>
      <c r="V205" s="89"/>
      <c r="X205" s="248"/>
      <c r="Y205" s="89"/>
      <c r="AD205" s="89"/>
      <c r="AE205" s="89"/>
      <c r="AF205" s="89"/>
      <c r="AG205" s="89"/>
      <c r="AH205" s="89"/>
      <c r="AI205" s="89"/>
      <c r="AJ205" s="116"/>
      <c r="AK205" s="89"/>
      <c r="AL205" s="116"/>
      <c r="AM205" s="248"/>
      <c r="AN205" s="248"/>
      <c r="AO205" s="248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7"/>
      <c r="AZ205" s="116"/>
      <c r="BA205" s="116"/>
      <c r="BB205" s="116"/>
      <c r="BC205" s="116"/>
      <c r="BD205" s="116"/>
      <c r="BE205" s="116"/>
      <c r="BF205" s="116"/>
      <c r="BJ205" s="38">
        <f>K205/I205</f>
        <v>0.26954112747464992</v>
      </c>
      <c r="BK205" s="38"/>
      <c r="BL205" s="38">
        <f>I205/J205</f>
        <v>68.889812889812902</v>
      </c>
      <c r="BP205" s="116" t="e">
        <f>196.6*10^(LOG10(AP205/147.1)+(LOG10(AP205/147.1)-LOG10(AL205/234.7))*0.4)</f>
        <v>#NUM!</v>
      </c>
      <c r="BQ205" s="116" t="e">
        <f>196.6*10^(LOG10(AP205/147.1)+0.6666*(LOG10(AS205/36.3)-LOG10(AP205/147.1)))</f>
        <v>#NUM!</v>
      </c>
      <c r="BR205" s="116" t="e">
        <f>196.6*10^(LOG10(AS205/36.3)-(LOG10(AX205/162.5)-LOG10(AS205/36.3))/5)</f>
        <v>#NUM!</v>
      </c>
    </row>
    <row r="206" spans="1:70" x14ac:dyDescent="0.2">
      <c r="A206" s="71" t="s">
        <v>289</v>
      </c>
      <c r="B206" s="71" t="s">
        <v>230</v>
      </c>
      <c r="C206" s="50" t="s">
        <v>489</v>
      </c>
      <c r="E206" s="116"/>
      <c r="F206" s="116"/>
      <c r="G206" s="148">
        <f>$B$402*(I206+K206)+$B$403</f>
        <v>9.4021886494471332</v>
      </c>
      <c r="H206" s="117">
        <f>(H201*$BG201+H202*$BG202)/($BG201+$BG202)</f>
        <v>0.25643612708133973</v>
      </c>
      <c r="I206" s="296">
        <f>(I201*$BG201+I202*$BG202)/($BG201+$BG202)</f>
        <v>24.11308631047315</v>
      </c>
      <c r="J206" s="127">
        <f>I206/BL$209</f>
        <v>0.36834308021725798</v>
      </c>
      <c r="K206" s="148">
        <f>I206*BJ$209</f>
        <v>6.5180322173354766</v>
      </c>
      <c r="L206" s="116"/>
      <c r="M206" s="117">
        <f>(M201*$BG201+M202*$BG202)/($BG201+$BG202)</f>
        <v>0.30701434556087187</v>
      </c>
      <c r="N206" s="117">
        <f>(N201*$BG201+N202*$BG202)/($BG201+$BG202)</f>
        <v>6.4555288888888868E-2</v>
      </c>
      <c r="O206" s="117"/>
      <c r="P206" s="117"/>
      <c r="Q206" s="38">
        <f t="shared" si="104"/>
        <v>32.517103886963703</v>
      </c>
      <c r="T206" s="248">
        <f>(T201*$BG201+T202*$BG202)/($BG201+$BG202)</f>
        <v>93.652525252525237</v>
      </c>
      <c r="U206" s="89"/>
      <c r="V206" s="89">
        <f>(V201*$BG201+V202*$BG202)/($BG201+$BG202)</f>
        <v>1754.4891015417331</v>
      </c>
      <c r="X206" s="248">
        <f>(X201*$BG201+X202*$BG202)/($BG201+$BG202)</f>
        <v>29.835247208931417</v>
      </c>
      <c r="Y206" s="89">
        <f>(Y201*$BG201+Y202*$BG202)/($BG201+$BG202)</f>
        <v>52.769803296119079</v>
      </c>
      <c r="AD206" s="89"/>
      <c r="AE206" s="89">
        <f>(AE201*$BG201+AE202*$BG202)/($BG201+$BG202)</f>
        <v>78.309409888357251</v>
      </c>
      <c r="AF206" s="89"/>
      <c r="AG206" s="89">
        <f>(AG201*$BG201+AG202*$BG202)/($BG201+$BG202)</f>
        <v>59.460393407761821</v>
      </c>
      <c r="AH206" s="89"/>
      <c r="AI206" s="89"/>
      <c r="AJ206" s="116"/>
      <c r="AK206" s="89">
        <f t="shared" ref="AK206:AT206" si="108">(AK201*$BG201+AK202*$BG202)/($BG201+$BG202)</f>
        <v>33.568314726209465</v>
      </c>
      <c r="AL206" s="116">
        <f t="shared" si="108"/>
        <v>4.7173365231259963</v>
      </c>
      <c r="AM206" s="248">
        <f t="shared" si="108"/>
        <v>14.753960659223814</v>
      </c>
      <c r="AN206" s="199">
        <f>89.1*EXP((LN(AL206/234.7)+2*LN(AO206/452.4))/3)</f>
        <v>2.140077874866781</v>
      </c>
      <c r="AO206" s="248">
        <f t="shared" si="108"/>
        <v>11.878415736310471</v>
      </c>
      <c r="AP206" s="116">
        <f t="shared" si="108"/>
        <v>4.2973365231259963</v>
      </c>
      <c r="AQ206" s="116">
        <f t="shared" si="108"/>
        <v>1.3090643274853799</v>
      </c>
      <c r="AR206" s="116"/>
      <c r="AS206" s="116">
        <f t="shared" si="108"/>
        <v>1.016762360446571</v>
      </c>
      <c r="AT206" s="116">
        <f t="shared" si="108"/>
        <v>6.9892078681552352</v>
      </c>
      <c r="AU206" s="116"/>
      <c r="AV206" s="116"/>
      <c r="AW206" s="116"/>
      <c r="AX206" s="116">
        <f>(AX201*$BG201+AX202*$BG202)/($BG201+$BG202)</f>
        <v>4.5881286549707596</v>
      </c>
      <c r="AY206" s="117">
        <f>(AY201*$BG201+AY202*$BG202)/($BG201+$BG202)</f>
        <v>0.65784157363104723</v>
      </c>
      <c r="AZ206" s="116">
        <f>(AZ201*$BG201+AZ202*$BG202)/($BG201+$BG202)</f>
        <v>3.0063317384370012</v>
      </c>
      <c r="BA206" s="116">
        <f>(BA201*$BG201+BA202*$BG202)/($BG201+$BG202)</f>
        <v>0.30661881977671446</v>
      </c>
      <c r="BB206" s="116"/>
      <c r="BC206" s="116"/>
      <c r="BD206" s="116"/>
      <c r="BE206" s="116">
        <f>(BE201*$BG201+BE202*$BG202)/($BG201+$BG202)</f>
        <v>0.6789207868155237</v>
      </c>
      <c r="BF206" s="117">
        <f>(BF201*$BG201+BF202*$BG202)/($BG201+$BG202)</f>
        <v>9.2301967038809149E-2</v>
      </c>
      <c r="BG206" s="38">
        <f>SUM(BG201:BG202)</f>
        <v>18.810000000000002</v>
      </c>
      <c r="BJ206" s="38"/>
      <c r="BK206" s="38"/>
      <c r="BL206" s="38"/>
      <c r="BP206" s="116">
        <f>196.6*10^(LOG10(AP206/147.1)+(LOG10(AP206/147.1)-LOG10(AL206/234.7))*0.4)</f>
        <v>6.6700850904559426</v>
      </c>
      <c r="BQ206" s="116">
        <f>196.6*10^(LOG10(AP206/147.1)+0.6666*(LOG10(AS206/36.3)-LOG10(AP206/147.1)))</f>
        <v>5.5845586041907769</v>
      </c>
      <c r="BR206" s="116">
        <f>196.6*10^(LOG10(AS206/36.3)-(LOG10(AX206/162.5)-LOG10(AS206/36.3))/5)</f>
        <v>5.4979713431834982</v>
      </c>
    </row>
    <row r="207" spans="1:70" x14ac:dyDescent="0.2">
      <c r="A207" s="71" t="s">
        <v>289</v>
      </c>
      <c r="B207" s="71" t="s">
        <v>240</v>
      </c>
      <c r="C207" s="50" t="s">
        <v>1267</v>
      </c>
      <c r="D207" s="34">
        <f>SUM(E207:P207)</f>
        <v>97.381944000000018</v>
      </c>
      <c r="E207" s="116">
        <v>43.59</v>
      </c>
      <c r="F207" s="298" t="s">
        <v>1278</v>
      </c>
      <c r="G207">
        <v>12.89</v>
      </c>
      <c r="H207" s="40" t="s">
        <v>1107</v>
      </c>
      <c r="I207" s="30">
        <f>21.17+0.28*0.8998</f>
        <v>21.421944000000003</v>
      </c>
      <c r="J207" s="40" t="s">
        <v>1279</v>
      </c>
      <c r="K207">
        <v>5.75</v>
      </c>
      <c r="L207">
        <v>13.25</v>
      </c>
      <c r="M207" s="330" t="s">
        <v>1271</v>
      </c>
      <c r="N207" s="175" t="s">
        <v>2632</v>
      </c>
      <c r="O207" s="330" t="s">
        <v>1272</v>
      </c>
      <c r="P207" s="117">
        <v>0.48</v>
      </c>
      <c r="Q207" s="38">
        <f t="shared" si="104"/>
        <v>32.36294818978336</v>
      </c>
      <c r="T207" s="248"/>
      <c r="U207" s="89"/>
      <c r="V207" s="89"/>
      <c r="X207" s="248"/>
      <c r="Y207" s="89"/>
      <c r="AD207" s="89"/>
      <c r="AE207" s="89"/>
      <c r="AF207" s="89"/>
      <c r="AG207" s="89"/>
      <c r="AH207" s="89"/>
      <c r="AI207" s="89"/>
      <c r="AJ207" s="116"/>
      <c r="AK207" s="89"/>
      <c r="AL207" s="116"/>
      <c r="AM207" s="248"/>
      <c r="AN207" s="248"/>
      <c r="AO207" s="248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7"/>
      <c r="AZ207" s="116"/>
      <c r="BA207" s="116"/>
      <c r="BB207" s="116"/>
      <c r="BC207" s="116"/>
      <c r="BD207" s="116"/>
      <c r="BE207" s="116"/>
      <c r="BF207" s="117"/>
      <c r="BG207" s="38"/>
      <c r="BJ207" s="38"/>
      <c r="BK207" s="38"/>
      <c r="BL207" s="38"/>
      <c r="BP207" s="116" t="e">
        <f>196.6*10^(LOG10(AP207/147.1)+(LOG10(AP207/147.1)-LOG10(AL207/234.7))*0.4)</f>
        <v>#NUM!</v>
      </c>
      <c r="BQ207" s="116" t="e">
        <f>196.6*10^(LOG10(AP207/147.1)+0.6666*(LOG10(AS207/36.3)-LOG10(AP207/147.1)))</f>
        <v>#NUM!</v>
      </c>
      <c r="BR207" s="116" t="e">
        <f>196.6*10^(LOG10(AS207/36.3)-(LOG10(AX207/162.5)-LOG10(AS207/36.3))/5)</f>
        <v>#NUM!</v>
      </c>
    </row>
    <row r="208" spans="1:70" x14ac:dyDescent="0.2">
      <c r="A208" s="71" t="s">
        <v>288</v>
      </c>
      <c r="B208" s="71" t="s">
        <v>235</v>
      </c>
      <c r="C208" s="50" t="s">
        <v>281</v>
      </c>
      <c r="E208" s="116">
        <f>21.5*2.1393</f>
        <v>45.994950000000003</v>
      </c>
      <c r="F208" s="116">
        <f>1.31*1.6683</f>
        <v>2.185473</v>
      </c>
      <c r="G208" s="116">
        <f>5.88*1.8895</f>
        <v>11.11026</v>
      </c>
      <c r="H208" s="117">
        <f>0.162*1.4616</f>
        <v>0.23677920000000002</v>
      </c>
      <c r="I208" s="116">
        <f>16.5*1.2865</f>
        <v>21.227249999999998</v>
      </c>
      <c r="J208" s="117">
        <f>0.265*1.2912</f>
        <v>0.34216799999999997</v>
      </c>
      <c r="K208" s="116">
        <f>3.47*1.6583</f>
        <v>5.7543010000000008</v>
      </c>
      <c r="L208" s="116">
        <f>8.6*1.3992</f>
        <v>12.03312</v>
      </c>
      <c r="M208" s="117">
        <f>0.203*1.348</f>
        <v>0.27364400000000005</v>
      </c>
      <c r="N208" s="117">
        <f>0.0517*1.2046</f>
        <v>6.2277819999999998E-2</v>
      </c>
      <c r="O208" s="117"/>
      <c r="P208" s="117"/>
      <c r="Q208" s="38">
        <f t="shared" si="104"/>
        <v>32.579542417909515</v>
      </c>
      <c r="T208" s="248">
        <v>87</v>
      </c>
      <c r="U208" s="89"/>
      <c r="V208" s="89">
        <v>1620</v>
      </c>
      <c r="X208" s="248">
        <v>21.4</v>
      </c>
      <c r="Y208" s="89">
        <v>7.3</v>
      </c>
      <c r="AD208" s="89"/>
      <c r="AE208" s="89">
        <v>220</v>
      </c>
      <c r="AF208" s="89"/>
      <c r="AG208" s="89">
        <v>190</v>
      </c>
      <c r="AH208" s="89"/>
      <c r="AI208" s="89"/>
      <c r="AJ208" s="116"/>
      <c r="AK208" s="89"/>
      <c r="AL208" s="116">
        <v>5.3</v>
      </c>
      <c r="AM208" s="248">
        <v>15.6</v>
      </c>
      <c r="AN208" s="199">
        <f>89.1*EXP((LN(AL208/234.7)+2*LN(AO208/452.4))/3)</f>
        <v>2.0099427205161895</v>
      </c>
      <c r="AO208" s="248">
        <v>10.199999999999999</v>
      </c>
      <c r="AP208" s="116">
        <v>4.4000000000000004</v>
      </c>
      <c r="AQ208" s="116">
        <v>1.37</v>
      </c>
      <c r="AR208" s="200">
        <f>AVERAGE(BP208:BR208)</f>
        <v>6.1667811962092971</v>
      </c>
      <c r="AS208" s="116">
        <v>1.1000000000000001</v>
      </c>
      <c r="AT208" s="200">
        <f>(242.7*10^((4*LOG10(AS208/36.3)+LOG10(AX208/162.5))/5)+242.7*10^((4*LOG10(AP208/147.1)+4*LOG10(AX208/162.5))/8))/2</f>
        <v>7.2655894081590002</v>
      </c>
      <c r="AU208" s="200">
        <f>(55.6*10^((3*LOG10(AS208/36.3)+2*LOG10(AX208/162.5))/5)+55.6*10^((3*LOG10(AP208/147.1)+5*LOG10(AX208/162.5))/8))/2</f>
        <v>1.6589012070802265</v>
      </c>
      <c r="AV208" s="200">
        <f>(158.9*10^((2*LOG10(AS208/36.3)+3*LOG10(AX208/162.5))/5)+158.9*10^((2*LOG10(AP208/147.1)+6*LOG10(AX208/162.5))/8))/2</f>
        <v>4.7251505149658488</v>
      </c>
      <c r="AW208" s="201">
        <f>(24.2*10^((LOG10(AS208/36.3)+4*LOG10(AX208/162.5))/5)+24.2*10^((LOG10(AP208/147.1)+7*LOG10(AX208/162.5))/8))/2</f>
        <v>0.71722347544048082</v>
      </c>
      <c r="AX208" s="116">
        <v>4.8</v>
      </c>
      <c r="AY208" s="117">
        <v>0.72</v>
      </c>
      <c r="AZ208" s="116">
        <v>3.08</v>
      </c>
      <c r="BA208" s="116">
        <v>0.33</v>
      </c>
      <c r="BB208" s="116"/>
      <c r="BC208" s="116">
        <v>50</v>
      </c>
      <c r="BD208" s="116"/>
      <c r="BE208" s="116">
        <v>0.75</v>
      </c>
      <c r="BF208" s="116"/>
      <c r="BG208" s="50">
        <v>20</v>
      </c>
      <c r="BJ208" s="38">
        <f>K208/I208</f>
        <v>0.27108085126429476</v>
      </c>
      <c r="BK208" s="38"/>
      <c r="BL208" s="38">
        <f>I208/J208</f>
        <v>62.037507890860631</v>
      </c>
      <c r="BP208" s="116">
        <f>196.6*10^(LOG10(AP208/147.1)+(LOG10(AP208/147.1)-LOG10(AL208/234.7))*0.4)</f>
        <v>6.5804320170999757</v>
      </c>
      <c r="BQ208" s="116">
        <f>196.6*10^(LOG10(AP208/147.1)+0.6666*(LOG10(AS208/36.3)-LOG10(AP208/147.1)))</f>
        <v>5.9318092706614829</v>
      </c>
      <c r="BR208" s="116">
        <f>196.6*10^(LOG10(AS208/36.3)-(LOG10(AX208/162.5)-LOG10(AS208/36.3))/5)</f>
        <v>5.9881023008664354</v>
      </c>
    </row>
    <row r="209" spans="1:70" s="36" customFormat="1" x14ac:dyDescent="0.2">
      <c r="A209" s="77" t="s">
        <v>289</v>
      </c>
      <c r="C209" s="36" t="s">
        <v>286</v>
      </c>
      <c r="E209" s="124">
        <f t="shared" ref="E209:P209" si="109">AVERAGE(E204:E208)</f>
        <v>45.335257333333338</v>
      </c>
      <c r="F209" s="124">
        <f t="shared" si="109"/>
        <v>2.1475110625</v>
      </c>
      <c r="G209" s="124">
        <f t="shared" si="109"/>
        <v>11.240745069091139</v>
      </c>
      <c r="H209" s="119">
        <f t="shared" si="109"/>
        <v>0.23800556177033494</v>
      </c>
      <c r="I209" s="124">
        <f t="shared" si="109"/>
        <v>21.694456062094627</v>
      </c>
      <c r="J209" s="119">
        <f t="shared" si="109"/>
        <v>0.33298118545411187</v>
      </c>
      <c r="K209" s="124">
        <f t="shared" si="109"/>
        <v>5.8562121488188792</v>
      </c>
      <c r="L209" s="124">
        <f t="shared" si="109"/>
        <v>12.372611249999999</v>
      </c>
      <c r="M209" s="119">
        <f t="shared" si="109"/>
        <v>0.28041458639021799</v>
      </c>
      <c r="N209" s="119">
        <f t="shared" si="109"/>
        <v>6.0403702962962956E-2</v>
      </c>
      <c r="O209" s="119">
        <f t="shared" si="109"/>
        <v>4.8357750000000005E-2</v>
      </c>
      <c r="P209" s="119">
        <f t="shared" si="109"/>
        <v>0.48</v>
      </c>
      <c r="Q209" s="38">
        <f t="shared" si="104"/>
        <v>32.487014018354017</v>
      </c>
      <c r="T209" s="123">
        <f>AVERAGE(T204:T208)</f>
        <v>87.117508417508418</v>
      </c>
      <c r="U209" s="125"/>
      <c r="V209" s="125">
        <f>AVERAGE(V204:V208)</f>
        <v>1652.4963671805779</v>
      </c>
      <c r="X209" s="123">
        <f>AVERAGE(X204:X208)</f>
        <v>23.638415736310474</v>
      </c>
      <c r="Y209" s="125">
        <f>AVERAGE(Y204:Y208)</f>
        <v>26.689934432039692</v>
      </c>
      <c r="AD209" s="125"/>
      <c r="AE209" s="125">
        <f>AVERAGE(AE204:AE208)</f>
        <v>156.10313662945242</v>
      </c>
      <c r="AF209" s="291">
        <f>1560*10^((LOG10(AU209/55.6)+LOG10(AV209/158.9))/2)</f>
        <v>45.601520196472968</v>
      </c>
      <c r="AG209" s="125">
        <f>AVERAGE(AG204:AG208)</f>
        <v>106.48679780258726</v>
      </c>
      <c r="AH209" s="125"/>
      <c r="AI209" s="125"/>
      <c r="AJ209" s="124"/>
      <c r="AK209" s="125">
        <f t="shared" ref="AK209:BA209" si="110">AVERAGE(AK204:AK208)</f>
        <v>67.048357363104742</v>
      </c>
      <c r="AL209" s="124">
        <f t="shared" si="110"/>
        <v>4.922445507708666</v>
      </c>
      <c r="AM209" s="124">
        <f t="shared" si="110"/>
        <v>14.517986886407938</v>
      </c>
      <c r="AN209" s="124">
        <f t="shared" si="110"/>
        <v>2.1032129292202426</v>
      </c>
      <c r="AO209" s="124">
        <f t="shared" si="110"/>
        <v>11.359471912103492</v>
      </c>
      <c r="AP209" s="124">
        <f t="shared" si="110"/>
        <v>4.295778841041999</v>
      </c>
      <c r="AQ209" s="124">
        <f t="shared" si="110"/>
        <v>1.2996881091617933</v>
      </c>
      <c r="AR209" s="124">
        <f t="shared" si="110"/>
        <v>6.134389771551561</v>
      </c>
      <c r="AS209" s="124">
        <f t="shared" si="110"/>
        <v>1.0722541201488569</v>
      </c>
      <c r="AT209" s="124">
        <f t="shared" si="110"/>
        <v>7.1022634349338674</v>
      </c>
      <c r="AU209" s="124">
        <f t="shared" si="110"/>
        <v>1.6301593243521977</v>
      </c>
      <c r="AV209" s="124">
        <f t="shared" si="110"/>
        <v>4.631035191025596</v>
      </c>
      <c r="AW209" s="124">
        <f t="shared" si="110"/>
        <v>0.7011032546734417</v>
      </c>
      <c r="AX209" s="124">
        <f t="shared" si="110"/>
        <v>4.6493762183235861</v>
      </c>
      <c r="AY209" s="124">
        <f t="shared" si="110"/>
        <v>0.68028052454368237</v>
      </c>
      <c r="AZ209" s="124">
        <f t="shared" si="110"/>
        <v>3.0921105794790003</v>
      </c>
      <c r="BA209" s="124">
        <f t="shared" si="110"/>
        <v>0.3455396065922382</v>
      </c>
      <c r="BB209" s="124"/>
      <c r="BC209" s="125"/>
      <c r="BD209" s="125"/>
      <c r="BE209" s="124">
        <f>AVERAGE(BE204:BE208)</f>
        <v>0.7229735956051746</v>
      </c>
      <c r="BF209" s="124">
        <f>AVERAGE(BF204:BF208)</f>
        <v>0.11115098351940458</v>
      </c>
      <c r="BG209" s="72"/>
      <c r="BH209" s="37">
        <f>BE209/AP209</f>
        <v>0.1682986071577669</v>
      </c>
      <c r="BJ209" s="124">
        <f>AVERAGE(BJ204:BJ208)</f>
        <v>0.27031098936947234</v>
      </c>
      <c r="BK209" s="124"/>
      <c r="BL209" s="124">
        <f>AVERAGE(BL204:BL208)</f>
        <v>65.46366039033677</v>
      </c>
    </row>
    <row r="210" spans="1:70" x14ac:dyDescent="0.2">
      <c r="A210" s="77" t="s">
        <v>685</v>
      </c>
      <c r="D210" s="34">
        <f>SUM(E210:P210)</f>
        <v>100.08695571241562</v>
      </c>
      <c r="E210" s="124">
        <f>E209</f>
        <v>45.335257333333338</v>
      </c>
      <c r="F210" s="124">
        <f t="shared" ref="F210:BF210" si="111">F209</f>
        <v>2.1475110625</v>
      </c>
      <c r="G210" s="124">
        <f t="shared" si="111"/>
        <v>11.240745069091139</v>
      </c>
      <c r="H210" s="119">
        <f t="shared" si="111"/>
        <v>0.23800556177033494</v>
      </c>
      <c r="I210" s="124">
        <f t="shared" si="111"/>
        <v>21.694456062094627</v>
      </c>
      <c r="J210" s="119">
        <f t="shared" si="111"/>
        <v>0.33298118545411187</v>
      </c>
      <c r="K210" s="124">
        <f t="shared" si="111"/>
        <v>5.8562121488188792</v>
      </c>
      <c r="L210" s="124">
        <f t="shared" si="111"/>
        <v>12.372611249999999</v>
      </c>
      <c r="M210" s="119">
        <f t="shared" si="111"/>
        <v>0.28041458639021799</v>
      </c>
      <c r="N210" s="119">
        <f t="shared" si="111"/>
        <v>6.0403702962962956E-2</v>
      </c>
      <c r="O210" s="119">
        <f t="shared" si="111"/>
        <v>4.8357750000000005E-2</v>
      </c>
      <c r="P210" s="119">
        <f t="shared" si="111"/>
        <v>0.48</v>
      </c>
      <c r="Q210" s="38">
        <f t="shared" si="104"/>
        <v>32.487014018354017</v>
      </c>
      <c r="R210" s="36">
        <f t="shared" si="111"/>
        <v>0</v>
      </c>
      <c r="S210" s="36">
        <f t="shared" si="111"/>
        <v>0</v>
      </c>
      <c r="T210" s="123">
        <f t="shared" si="111"/>
        <v>87.117508417508418</v>
      </c>
      <c r="U210" s="125">
        <f t="shared" si="111"/>
        <v>0</v>
      </c>
      <c r="V210" s="125">
        <f t="shared" si="111"/>
        <v>1652.4963671805779</v>
      </c>
      <c r="W210" s="36">
        <f t="shared" si="111"/>
        <v>0</v>
      </c>
      <c r="X210" s="123">
        <f t="shared" si="111"/>
        <v>23.638415736310474</v>
      </c>
      <c r="Y210" s="125">
        <f>AVERAGE(Y204,Y208)</f>
        <v>13.65</v>
      </c>
      <c r="Z210" s="36">
        <f t="shared" si="111"/>
        <v>0</v>
      </c>
      <c r="AA210" s="36"/>
      <c r="AB210" s="36"/>
      <c r="AC210" s="36"/>
      <c r="AD210" s="125">
        <f t="shared" si="111"/>
        <v>0</v>
      </c>
      <c r="AE210" s="125">
        <f t="shared" si="111"/>
        <v>156.10313662945242</v>
      </c>
      <c r="AF210" s="125">
        <f t="shared" si="111"/>
        <v>45.601520196472968</v>
      </c>
      <c r="AG210" s="125">
        <f t="shared" si="111"/>
        <v>106.48679780258726</v>
      </c>
      <c r="AH210" s="125"/>
      <c r="AI210" s="125"/>
      <c r="AJ210" s="124">
        <f t="shared" si="111"/>
        <v>0</v>
      </c>
      <c r="AK210" s="125">
        <f t="shared" si="111"/>
        <v>67.048357363104742</v>
      </c>
      <c r="AL210" s="124">
        <f t="shared" si="111"/>
        <v>4.922445507708666</v>
      </c>
      <c r="AM210" s="124">
        <f t="shared" ref="AM210:AY210" si="112">AM209</f>
        <v>14.517986886407938</v>
      </c>
      <c r="AN210" s="124">
        <f t="shared" si="112"/>
        <v>2.1032129292202426</v>
      </c>
      <c r="AO210" s="124">
        <f t="shared" si="112"/>
        <v>11.359471912103492</v>
      </c>
      <c r="AP210" s="124">
        <f t="shared" si="112"/>
        <v>4.295778841041999</v>
      </c>
      <c r="AQ210" s="124">
        <f t="shared" si="112"/>
        <v>1.2996881091617933</v>
      </c>
      <c r="AR210" s="124">
        <f t="shared" si="112"/>
        <v>6.134389771551561</v>
      </c>
      <c r="AS210" s="124">
        <f t="shared" si="112"/>
        <v>1.0722541201488569</v>
      </c>
      <c r="AT210" s="124">
        <f t="shared" si="112"/>
        <v>7.1022634349338674</v>
      </c>
      <c r="AU210" s="124">
        <f t="shared" si="112"/>
        <v>1.6301593243521977</v>
      </c>
      <c r="AV210" s="124">
        <f t="shared" si="112"/>
        <v>4.631035191025596</v>
      </c>
      <c r="AW210" s="124">
        <f t="shared" si="112"/>
        <v>0.7011032546734417</v>
      </c>
      <c r="AX210" s="124">
        <f t="shared" si="112"/>
        <v>4.6493762183235861</v>
      </c>
      <c r="AY210" s="124">
        <f t="shared" si="112"/>
        <v>0.68028052454368237</v>
      </c>
      <c r="AZ210" s="124">
        <f t="shared" si="111"/>
        <v>3.0921105794790003</v>
      </c>
      <c r="BA210" s="124">
        <f t="shared" si="111"/>
        <v>0.3455396065922382</v>
      </c>
      <c r="BB210" s="124"/>
      <c r="BC210" s="125">
        <f t="shared" si="111"/>
        <v>0</v>
      </c>
      <c r="BD210" s="125">
        <f t="shared" si="111"/>
        <v>0</v>
      </c>
      <c r="BE210" s="124">
        <f t="shared" si="111"/>
        <v>0.7229735956051746</v>
      </c>
      <c r="BF210" s="124">
        <f t="shared" si="111"/>
        <v>0.11115098351940458</v>
      </c>
      <c r="BG210" s="39"/>
    </row>
    <row r="211" spans="1:70" x14ac:dyDescent="0.2">
      <c r="A211" s="71"/>
      <c r="Q211" s="38" t="e">
        <f t="shared" si="104"/>
        <v>#DIV/0!</v>
      </c>
      <c r="R211" s="49"/>
      <c r="S211" s="39"/>
      <c r="T211" s="38"/>
      <c r="V211" s="76"/>
      <c r="W211" s="38"/>
      <c r="Z211" s="39"/>
      <c r="AA211" s="39"/>
      <c r="AB211" s="39"/>
      <c r="AC211" s="39"/>
      <c r="AD211" s="39"/>
      <c r="AE211" s="76"/>
      <c r="AF211" s="76"/>
      <c r="AG211" s="76"/>
      <c r="AH211" s="76"/>
      <c r="AI211" s="76"/>
      <c r="AL211" s="38"/>
      <c r="AM211" s="39"/>
      <c r="AN211" s="39"/>
      <c r="AO211" s="39"/>
      <c r="AP211" s="38"/>
      <c r="AQ211" s="49"/>
      <c r="AR211" s="49"/>
      <c r="AS211" s="49"/>
      <c r="AT211" s="49"/>
      <c r="AU211" s="49"/>
      <c r="AV211" s="49"/>
      <c r="AW211" s="49"/>
      <c r="AX211" s="38"/>
      <c r="AZ211" s="38"/>
      <c r="BA211" s="38"/>
      <c r="BB211" s="38"/>
      <c r="BC211" s="39"/>
      <c r="BD211" s="39"/>
      <c r="BE211" s="38"/>
      <c r="BF211" s="38"/>
      <c r="BG211" s="39"/>
    </row>
    <row r="212" spans="1:70" x14ac:dyDescent="0.2">
      <c r="A212" s="71"/>
      <c r="Q212" s="38" t="e">
        <f t="shared" si="104"/>
        <v>#DIV/0!</v>
      </c>
      <c r="R212" s="49"/>
      <c r="S212" s="39"/>
      <c r="T212" s="38"/>
      <c r="V212" s="76"/>
      <c r="W212" s="38"/>
      <c r="Z212" s="39"/>
      <c r="AA212" s="39"/>
      <c r="AB212" s="39"/>
      <c r="AC212" s="39"/>
      <c r="AD212" s="39"/>
      <c r="AE212" s="76"/>
      <c r="AF212" s="76"/>
      <c r="AG212" s="76"/>
      <c r="AH212" s="76"/>
      <c r="AI212" s="76"/>
      <c r="AL212" s="38"/>
      <c r="AM212" s="39"/>
      <c r="AN212" s="39"/>
      <c r="AO212" s="39"/>
      <c r="AP212" s="38"/>
      <c r="AQ212" s="49"/>
      <c r="AR212" s="49"/>
      <c r="AS212" s="49"/>
      <c r="AT212" s="49"/>
      <c r="AU212" s="49"/>
      <c r="AV212" s="49"/>
      <c r="AW212" s="49"/>
      <c r="AX212" s="38"/>
      <c r="AZ212" s="38"/>
      <c r="BA212" s="38"/>
      <c r="BB212" s="38"/>
      <c r="BC212" s="39"/>
      <c r="BD212" s="39"/>
      <c r="BE212" s="38"/>
      <c r="BF212" s="38"/>
      <c r="BG212" s="39"/>
    </row>
    <row r="213" spans="1:70" x14ac:dyDescent="0.2">
      <c r="Q213" s="38" t="e">
        <f t="shared" si="104"/>
        <v>#DIV/0!</v>
      </c>
      <c r="BJ213" s="50"/>
      <c r="BK213" s="50"/>
      <c r="BL213" s="50"/>
    </row>
    <row r="214" spans="1:70" x14ac:dyDescent="0.2">
      <c r="A214" s="71" t="s">
        <v>716</v>
      </c>
      <c r="B214" s="50" t="s">
        <v>717</v>
      </c>
      <c r="C214" s="50" t="s">
        <v>717</v>
      </c>
      <c r="H214" s="49">
        <v>0.44895544222267281</v>
      </c>
      <c r="I214" s="38">
        <v>18.704595416751165</v>
      </c>
      <c r="L214" s="38">
        <v>10.957432569458527</v>
      </c>
      <c r="M214" s="49">
        <v>0.23001977286554454</v>
      </c>
      <c r="N214" s="49">
        <v>0.12761103224498074</v>
      </c>
      <c r="Q214" s="38">
        <f t="shared" si="104"/>
        <v>0</v>
      </c>
      <c r="R214" s="49"/>
      <c r="S214" s="39"/>
      <c r="T214" s="39">
        <v>37.293703102818903</v>
      </c>
      <c r="V214" s="76">
        <v>3071.6710606367874</v>
      </c>
      <c r="X214" s="39">
        <v>59.952859460555679</v>
      </c>
      <c r="Y214" s="76">
        <v>117.38288379639017</v>
      </c>
      <c r="Z214" s="39"/>
      <c r="AA214" s="39"/>
      <c r="AB214" s="39"/>
      <c r="AC214" s="39"/>
      <c r="AD214" s="39">
        <v>1.5750354897586694</v>
      </c>
      <c r="AE214" s="76">
        <v>96.077874670452246</v>
      </c>
      <c r="AF214" s="291">
        <f>1560*10^((LOG10(AU214/55.6)+LOG10(AV214/158.9))/2)</f>
        <v>51.176533284770279</v>
      </c>
      <c r="AG214" s="76">
        <v>187.44372338268101</v>
      </c>
      <c r="AH214" s="76"/>
      <c r="AI214" s="76"/>
      <c r="AK214" s="76">
        <v>208.48337051308053</v>
      </c>
      <c r="AL214" s="38">
        <v>14.570847698235651</v>
      </c>
      <c r="AM214" s="39">
        <v>37.999989860068951</v>
      </c>
      <c r="AN214" s="199">
        <f>89.1*EXP((LN(AL214/234.7)+2*LN(AO214/452.4))/3)</f>
        <v>4.7505588162253343</v>
      </c>
      <c r="AO214" s="39">
        <v>22.353072399107685</v>
      </c>
      <c r="AP214" s="38">
        <v>6.6896511863719317</v>
      </c>
      <c r="AQ214" s="49">
        <v>0.60370006083958627</v>
      </c>
      <c r="AR214" s="200">
        <f>AVERAGE(BP214:BR214)</f>
        <v>7.8040292005920024</v>
      </c>
      <c r="AS214" s="38">
        <v>1.3491827215574934</v>
      </c>
      <c r="AT214" s="200">
        <f>(242.7*10^((4*LOG10(AS214/36.3)+LOG10(AX214/162.5))/5)+242.7*10^((4*LOG10(AP214/147.1)+4*LOG10(AX214/162.5))/8))/2</f>
        <v>8.6522574457941275</v>
      </c>
      <c r="AU214" s="200">
        <f>(55.6*10^((3*LOG10(AS214/36.3)+2*LOG10(AX214/162.5))/5)+55.6*10^((3*LOG10(AP214/147.1)+5*LOG10(AX214/162.5))/8))/2</f>
        <v>1.8752439480965464</v>
      </c>
      <c r="AV214" s="200">
        <f>(158.9*10^((2*LOG10(AS214/36.3)+3*LOG10(AX214/162.5))/5)+158.9*10^((2*LOG10(AP214/147.1)+6*LOG10(AX214/162.5))/8))/2</f>
        <v>5.070297544169188</v>
      </c>
      <c r="AW214" s="201">
        <f>(24.2*10^((LOG10(AS214/36.3)+4*LOG10(AX214/162.5))/5)+24.2*10^((LOG10(AP214/147.1)+7*LOG10(AX214/162.5))/8))/2</f>
        <v>0.73055804372973698</v>
      </c>
      <c r="AX214" s="38">
        <v>4.6411518961671057</v>
      </c>
      <c r="AY214" s="49">
        <v>0.63064581220847693</v>
      </c>
      <c r="AZ214" s="38">
        <v>4.7007047252078689</v>
      </c>
      <c r="BA214" s="38">
        <v>0.5556580815250457</v>
      </c>
      <c r="BB214" s="38"/>
      <c r="BC214" s="38">
        <v>0.2328128168728453</v>
      </c>
      <c r="BD214" s="39">
        <v>2.2477185155140949</v>
      </c>
      <c r="BE214" s="39">
        <v>2.2493581423646321</v>
      </c>
      <c r="BF214" s="38">
        <v>0.60147434597444738</v>
      </c>
      <c r="BG214" s="50">
        <v>98.6</v>
      </c>
      <c r="BH214" s="39"/>
      <c r="BJ214" s="50"/>
      <c r="BK214" s="50"/>
      <c r="BP214" s="116">
        <f>196.6*10^(LOG10(AP214/147.1)+(LOG10(AP214/147.1)-LOG10(AL214/234.7))*0.4)</f>
        <v>7.8940876210824449</v>
      </c>
      <c r="BQ214" s="116">
        <f>196.6*10^(LOG10(AP214/147.1)+0.6666*(LOG10(AS214/36.3)-LOG10(AP214/147.1)))</f>
        <v>7.8156011100303289</v>
      </c>
      <c r="BR214" s="116">
        <f>196.6*10^(LOG10(AS214/36.3)-(LOG10(AX214/162.5)-LOG10(AS214/36.3))/5)</f>
        <v>7.7023988706632363</v>
      </c>
    </row>
    <row r="215" spans="1:70" x14ac:dyDescent="0.2">
      <c r="A215" s="71" t="s">
        <v>716</v>
      </c>
      <c r="B215" s="50" t="s">
        <v>1186</v>
      </c>
      <c r="C215" s="50" t="s">
        <v>700</v>
      </c>
      <c r="E215" s="38">
        <v>46.002146216439364</v>
      </c>
      <c r="F215" s="38">
        <v>0.82974872093444751</v>
      </c>
      <c r="G215" s="38">
        <v>8.9394364055273279</v>
      </c>
      <c r="H215" s="49" t="s">
        <v>1220</v>
      </c>
      <c r="I215" s="38">
        <v>18.704595416751165</v>
      </c>
      <c r="J215" s="49">
        <v>0.29617379752563039</v>
      </c>
      <c r="K215" s="38">
        <v>14.044447176521713</v>
      </c>
      <c r="L215" s="38">
        <v>10.388885486662089</v>
      </c>
      <c r="M215" s="49" t="s">
        <v>1193</v>
      </c>
      <c r="N215" s="49">
        <v>0.10432895893278311</v>
      </c>
      <c r="O215" s="49">
        <v>0.10100771348549567</v>
      </c>
      <c r="Q215" s="38">
        <f t="shared" si="104"/>
        <v>57.237117024926953</v>
      </c>
      <c r="R215" s="49"/>
      <c r="S215" s="39"/>
      <c r="T215" s="39"/>
      <c r="V215" s="76"/>
      <c r="Z215" s="39"/>
      <c r="AA215" s="39"/>
      <c r="AB215" s="39"/>
      <c r="AC215" s="39"/>
      <c r="AD215" s="39"/>
      <c r="AE215" s="76"/>
      <c r="AF215" s="76"/>
      <c r="AG215" s="76"/>
      <c r="AH215" s="76"/>
      <c r="AI215" s="76"/>
      <c r="AL215" s="38"/>
      <c r="AM215" s="39"/>
      <c r="AN215" s="39"/>
      <c r="AO215" s="39"/>
      <c r="AP215" s="38"/>
      <c r="AQ215" s="49"/>
      <c r="AR215" s="49"/>
      <c r="AS215" s="38"/>
      <c r="AX215" s="38"/>
      <c r="AZ215" s="38"/>
      <c r="BA215" s="38"/>
      <c r="BB215" s="38"/>
      <c r="BC215" s="38"/>
      <c r="BD215" s="39"/>
      <c r="BE215" s="39"/>
      <c r="BF215" s="38"/>
      <c r="BH215" s="39"/>
      <c r="BJ215" s="50"/>
      <c r="BK215" s="50"/>
    </row>
    <row r="216" spans="1:70" x14ac:dyDescent="0.2">
      <c r="A216" s="71" t="s">
        <v>716</v>
      </c>
      <c r="B216" s="50" t="s">
        <v>774</v>
      </c>
      <c r="C216" s="50" t="s">
        <v>775</v>
      </c>
      <c r="E216" s="38">
        <v>46.6</v>
      </c>
      <c r="F216" s="38">
        <v>0.94</v>
      </c>
      <c r="G216" s="38">
        <v>8.3000000000000007</v>
      </c>
      <c r="H216" s="49">
        <f>V216*1.4616/10000</f>
        <v>0.42196391999999994</v>
      </c>
      <c r="I216" s="38">
        <f>21.4*0.8998</f>
        <v>19.25572</v>
      </c>
      <c r="J216" s="49">
        <v>0.27</v>
      </c>
      <c r="K216" s="38">
        <v>13.5</v>
      </c>
      <c r="L216" s="38">
        <v>9.3000000000000007</v>
      </c>
      <c r="M216" s="49">
        <v>0.14000000000000001</v>
      </c>
      <c r="N216" s="49">
        <v>0.11</v>
      </c>
      <c r="O216" s="49">
        <v>0.1</v>
      </c>
      <c r="P216" s="297">
        <v>2.3800000000000002E-2</v>
      </c>
      <c r="Q216" s="38">
        <f t="shared" si="104"/>
        <v>55.550918334459418</v>
      </c>
      <c r="R216" s="49"/>
      <c r="S216" s="39"/>
      <c r="T216" s="39"/>
      <c r="V216" s="76">
        <v>2887</v>
      </c>
      <c r="Y216" s="76">
        <v>125</v>
      </c>
      <c r="Z216" s="39"/>
      <c r="AA216" s="39"/>
      <c r="AB216" s="39"/>
      <c r="AC216" s="39"/>
      <c r="AD216" s="39"/>
      <c r="AE216" s="76">
        <v>60</v>
      </c>
      <c r="AF216" s="291"/>
      <c r="AG216" s="76">
        <v>165</v>
      </c>
      <c r="AH216" s="76"/>
      <c r="AI216" s="76"/>
      <c r="AK216" s="76">
        <v>136</v>
      </c>
      <c r="AL216" s="38"/>
      <c r="AM216" s="39"/>
      <c r="AN216" s="39"/>
      <c r="AO216" s="39"/>
      <c r="AP216" s="38"/>
      <c r="AQ216" s="49"/>
      <c r="AR216" s="49"/>
      <c r="AS216" s="38"/>
      <c r="AX216" s="38"/>
      <c r="AZ216" s="38"/>
      <c r="BA216" s="38"/>
      <c r="BB216" s="38"/>
      <c r="BC216" s="38"/>
      <c r="BD216" s="39"/>
      <c r="BE216" s="39"/>
      <c r="BF216" s="38"/>
      <c r="BH216" s="39"/>
      <c r="BJ216" s="50"/>
      <c r="BK216" s="50"/>
    </row>
    <row r="217" spans="1:70" x14ac:dyDescent="0.2">
      <c r="A217" s="71" t="s">
        <v>716</v>
      </c>
      <c r="B217" s="50" t="s">
        <v>776</v>
      </c>
      <c r="C217" s="50" t="s">
        <v>718</v>
      </c>
      <c r="H217" s="49">
        <v>0.40200000000000002</v>
      </c>
      <c r="I217" s="38">
        <v>20</v>
      </c>
      <c r="L217" s="38">
        <v>8.6</v>
      </c>
      <c r="M217" s="49">
        <v>0.224</v>
      </c>
      <c r="N217" s="49">
        <v>0.11700000000000001</v>
      </c>
      <c r="Q217" s="38">
        <f t="shared" si="104"/>
        <v>0</v>
      </c>
      <c r="R217" s="49"/>
      <c r="S217" s="39"/>
      <c r="T217" s="39">
        <v>38.5</v>
      </c>
      <c r="V217" s="76">
        <f>H217*6842</f>
        <v>2750.4840000000004</v>
      </c>
      <c r="X217" s="39">
        <v>61.7</v>
      </c>
      <c r="Y217" s="76">
        <v>115</v>
      </c>
      <c r="Z217" s="39"/>
      <c r="AA217" s="39"/>
      <c r="AB217" s="39"/>
      <c r="AC217" s="39"/>
      <c r="AD217" s="39"/>
      <c r="AE217" s="76">
        <v>71</v>
      </c>
      <c r="AF217" s="291">
        <f>1560*10^((LOG10(AU217/55.6)+LOG10(AV217/158.9))/2)</f>
        <v>55.164603982312279</v>
      </c>
      <c r="AG217" s="76">
        <v>183</v>
      </c>
      <c r="AH217" s="76"/>
      <c r="AI217" s="76"/>
      <c r="AK217" s="76">
        <v>156</v>
      </c>
      <c r="AL217" s="38">
        <v>12.6</v>
      </c>
      <c r="AM217" s="39">
        <v>34.1</v>
      </c>
      <c r="AN217" s="199">
        <f>89.1*EXP((LN(AL217/234.7)+2*LN(AO217/452.4))/3)</f>
        <v>4.6128253923024438</v>
      </c>
      <c r="AO217" s="39">
        <v>23</v>
      </c>
      <c r="AP217" s="38">
        <v>6.29</v>
      </c>
      <c r="AQ217" s="49">
        <v>0.56100000000000005</v>
      </c>
      <c r="AR217" s="200">
        <f>AVERAGE(BP217:BR217)</f>
        <v>7.7909448250517821</v>
      </c>
      <c r="AS217" s="38">
        <v>1.4</v>
      </c>
      <c r="AT217" s="200">
        <f>(242.7*10^((4*LOG10(AS217/36.3)+LOG10(AX217/162.5))/5)+242.7*10^((4*LOG10(AP217/147.1)+4*LOG10(AX217/162.5))/8))/2</f>
        <v>9.0396763095276569</v>
      </c>
      <c r="AU217" s="200">
        <f>(55.6*10^((3*LOG10(AS217/36.3)+2*LOG10(AX217/162.5))/5)+55.6*10^((3*LOG10(AP217/147.1)+5*LOG10(AX217/162.5))/8))/2</f>
        <v>2.0004441456730171</v>
      </c>
      <c r="AV217" s="200">
        <f>(158.9*10^((2*LOG10(AS217/36.3)+3*LOG10(AX217/162.5))/5)+158.9*10^((2*LOG10(AP217/147.1)+6*LOG10(AX217/162.5))/8))/2</f>
        <v>5.522606143804154</v>
      </c>
      <c r="AW217" s="201">
        <f>(24.2*10^((LOG10(AS217/36.3)+4*LOG10(AX217/162.5))/5)+24.2*10^((LOG10(AP217/147.1)+7*LOG10(AX217/162.5))/8))/2</f>
        <v>0.81246390836284077</v>
      </c>
      <c r="AX217" s="38">
        <v>5.27</v>
      </c>
      <c r="AY217" s="49">
        <v>0.752</v>
      </c>
      <c r="AZ217" s="38">
        <v>4.7</v>
      </c>
      <c r="BA217" s="38">
        <v>0.55300000000000005</v>
      </c>
      <c r="BB217" s="38"/>
      <c r="BC217" s="38" t="s">
        <v>732</v>
      </c>
      <c r="BD217" s="39" t="s">
        <v>733</v>
      </c>
      <c r="BE217" s="39">
        <v>1.98</v>
      </c>
      <c r="BF217" s="38">
        <v>0.52</v>
      </c>
      <c r="BG217" s="38">
        <v>23.47</v>
      </c>
      <c r="BH217" s="39"/>
      <c r="BJ217" s="50"/>
      <c r="BK217" s="50"/>
      <c r="BP217" s="116">
        <f>196.6*10^(LOG10(AP217/147.1)+(LOG10(AP217/147.1)-LOG10(AL217/234.7))*0.4)</f>
        <v>7.6752705496433071</v>
      </c>
      <c r="BQ217" s="116">
        <f>196.6*10^(LOG10(AP217/147.1)+0.6666*(LOG10(AS217/36.3)-LOG10(AP217/147.1)))</f>
        <v>7.8477790268319847</v>
      </c>
      <c r="BR217" s="116">
        <f>196.6*10^(LOG10(AS217/36.3)-(LOG10(AX217/162.5)-LOG10(AS217/36.3))/5)</f>
        <v>7.8497848986800571</v>
      </c>
    </row>
    <row r="218" spans="1:70" x14ac:dyDescent="0.2">
      <c r="A218" s="71" t="s">
        <v>716</v>
      </c>
      <c r="C218" s="50" t="s">
        <v>718</v>
      </c>
      <c r="E218" s="38">
        <v>45.7</v>
      </c>
      <c r="F218" s="38">
        <v>0.84</v>
      </c>
      <c r="G218" s="38">
        <v>8.16</v>
      </c>
      <c r="H218" s="49">
        <v>0.43</v>
      </c>
      <c r="I218" s="38">
        <v>19.8</v>
      </c>
      <c r="J218" s="49">
        <v>0.27200000000000002</v>
      </c>
      <c r="K218" s="38">
        <v>14.16</v>
      </c>
      <c r="L218" s="38">
        <v>8.92</v>
      </c>
      <c r="M218" s="49">
        <v>0.216</v>
      </c>
      <c r="N218" s="49">
        <v>0.111</v>
      </c>
      <c r="O218" s="49">
        <v>0.12</v>
      </c>
      <c r="Q218" s="38">
        <f t="shared" si="104"/>
        <v>56.0406843262964</v>
      </c>
      <c r="R218" s="49"/>
      <c r="S218" s="39"/>
      <c r="T218" s="39"/>
      <c r="V218" s="76"/>
      <c r="Z218" s="39"/>
      <c r="AA218" s="39"/>
      <c r="AB218" s="39"/>
      <c r="AC218" s="39"/>
      <c r="AD218" s="39"/>
      <c r="AE218" s="76"/>
      <c r="AF218" s="76"/>
      <c r="AG218" s="76"/>
      <c r="AH218" s="76"/>
      <c r="AI218" s="76"/>
      <c r="AL218" s="38"/>
      <c r="AM218" s="39"/>
      <c r="AN218" s="39"/>
      <c r="AO218" s="39"/>
      <c r="AP218" s="38"/>
      <c r="AQ218" s="49"/>
      <c r="AR218" s="49"/>
      <c r="AS218" s="38"/>
      <c r="AX218" s="38"/>
      <c r="AZ218" s="38"/>
      <c r="BA218" s="38"/>
      <c r="BB218" s="38"/>
      <c r="BC218" s="38"/>
      <c r="BD218" s="39"/>
      <c r="BE218" s="39"/>
      <c r="BF218" s="38"/>
      <c r="BH218" s="39"/>
      <c r="BJ218" s="50"/>
      <c r="BK218" s="50"/>
    </row>
    <row r="219" spans="1:70" x14ac:dyDescent="0.2">
      <c r="A219" s="71"/>
      <c r="E219" s="34">
        <f>AVERAGE(E214:E218)</f>
        <v>46.100715405479797</v>
      </c>
      <c r="F219" s="34">
        <f>AVERAGE(F214:F218)</f>
        <v>0.86991624031148251</v>
      </c>
      <c r="G219" s="34">
        <f>AVERAGE(G214:G218)</f>
        <v>8.4664788018424435</v>
      </c>
      <c r="H219" s="37">
        <f>AVERAGE(H214:H218)</f>
        <v>0.42572984055566815</v>
      </c>
      <c r="I219" s="34">
        <f>AVERAGE(I214:I218)</f>
        <v>19.292982166700465</v>
      </c>
      <c r="J219" s="37">
        <f t="shared" ref="J219:P219" si="113">AVERAGE(J214:J218)</f>
        <v>0.27939126584187685</v>
      </c>
      <c r="K219" s="34">
        <f t="shared" si="113"/>
        <v>13.901482392173904</v>
      </c>
      <c r="L219" s="34">
        <f t="shared" si="113"/>
        <v>9.6332636112241232</v>
      </c>
      <c r="M219" s="37">
        <f t="shared" si="113"/>
        <v>0.20250494321638612</v>
      </c>
      <c r="N219" s="37">
        <f t="shared" si="113"/>
        <v>0.11398799823555276</v>
      </c>
      <c r="O219" s="37">
        <f t="shared" si="113"/>
        <v>0.10700257116183189</v>
      </c>
      <c r="P219" s="34">
        <f t="shared" si="113"/>
        <v>2.3800000000000002E-2</v>
      </c>
      <c r="Q219" s="38">
        <f t="shared" si="104"/>
        <v>56.225730252397305</v>
      </c>
      <c r="R219" s="49"/>
      <c r="S219" s="39"/>
      <c r="T219" s="34">
        <f t="shared" ref="T219:BG219" si="114">AVERAGE(T214:T218)</f>
        <v>37.896851551409455</v>
      </c>
      <c r="U219" s="35" t="e">
        <f t="shared" si="114"/>
        <v>#DIV/0!</v>
      </c>
      <c r="V219" s="35">
        <f t="shared" si="114"/>
        <v>2903.0516868789291</v>
      </c>
      <c r="W219" s="34"/>
      <c r="X219" s="72">
        <f t="shared" si="114"/>
        <v>60.826429730277837</v>
      </c>
      <c r="Y219" s="35">
        <f t="shared" si="114"/>
        <v>119.12762793213005</v>
      </c>
      <c r="Z219" s="34"/>
      <c r="AA219" s="34"/>
      <c r="AB219" s="34"/>
      <c r="AC219" s="34"/>
      <c r="AD219" s="34">
        <f t="shared" si="114"/>
        <v>1.5750354897586694</v>
      </c>
      <c r="AE219" s="35">
        <f t="shared" si="114"/>
        <v>75.692624890150753</v>
      </c>
      <c r="AF219" s="34">
        <f t="shared" si="114"/>
        <v>53.170568633541279</v>
      </c>
      <c r="AG219" s="35">
        <f t="shared" si="114"/>
        <v>178.48124112756034</v>
      </c>
      <c r="AH219" s="35"/>
      <c r="AI219" s="35"/>
      <c r="AJ219" s="34" t="e">
        <f t="shared" si="114"/>
        <v>#DIV/0!</v>
      </c>
      <c r="AK219" s="35">
        <f t="shared" si="114"/>
        <v>166.82779017102686</v>
      </c>
      <c r="AL219" s="34">
        <f t="shared" si="114"/>
        <v>13.585423849117825</v>
      </c>
      <c r="AM219" s="34">
        <f t="shared" ref="AM219:AY219" si="115">AVERAGE(AM214:AM218)</f>
        <v>36.049994930034472</v>
      </c>
      <c r="AN219" s="34">
        <f t="shared" si="115"/>
        <v>4.681692104263889</v>
      </c>
      <c r="AO219" s="34">
        <f t="shared" si="115"/>
        <v>22.676536199553844</v>
      </c>
      <c r="AP219" s="34">
        <f t="shared" si="115"/>
        <v>6.4898255931859659</v>
      </c>
      <c r="AQ219" s="34">
        <f t="shared" si="115"/>
        <v>0.58235003041979316</v>
      </c>
      <c r="AR219" s="34">
        <f t="shared" si="115"/>
        <v>7.7974870128218923</v>
      </c>
      <c r="AS219" s="34">
        <f t="shared" si="115"/>
        <v>1.3745913607787466</v>
      </c>
      <c r="AT219" s="34">
        <f t="shared" si="115"/>
        <v>8.8459668776608922</v>
      </c>
      <c r="AU219" s="34">
        <f t="shared" si="115"/>
        <v>1.9378440468847817</v>
      </c>
      <c r="AV219" s="34">
        <f t="shared" si="115"/>
        <v>5.296451843986671</v>
      </c>
      <c r="AW219" s="34">
        <f t="shared" si="115"/>
        <v>0.77151097604628882</v>
      </c>
      <c r="AX219" s="34">
        <f t="shared" si="115"/>
        <v>4.9555759480835526</v>
      </c>
      <c r="AY219" s="34">
        <f t="shared" si="115"/>
        <v>0.69132290610423852</v>
      </c>
      <c r="AZ219" s="34">
        <f t="shared" si="114"/>
        <v>4.700352362603935</v>
      </c>
      <c r="BA219" s="34">
        <f t="shared" si="114"/>
        <v>0.55432904076252287</v>
      </c>
      <c r="BB219" s="34" t="e">
        <f t="shared" si="114"/>
        <v>#DIV/0!</v>
      </c>
      <c r="BC219" s="34">
        <f t="shared" si="114"/>
        <v>0.2328128168728453</v>
      </c>
      <c r="BD219" s="34">
        <f t="shared" si="114"/>
        <v>2.2477185155140949</v>
      </c>
      <c r="BE219" s="34">
        <f t="shared" si="114"/>
        <v>2.1146790711823158</v>
      </c>
      <c r="BF219" s="34">
        <f t="shared" si="114"/>
        <v>0.5607371729872237</v>
      </c>
      <c r="BG219" s="34">
        <f t="shared" si="114"/>
        <v>61.034999999999997</v>
      </c>
      <c r="BH219" s="39"/>
      <c r="BJ219" s="50"/>
      <c r="BK219" s="50"/>
    </row>
    <row r="220" spans="1:70" x14ac:dyDescent="0.2">
      <c r="A220" s="71"/>
      <c r="Q220" s="38" t="e">
        <f t="shared" si="104"/>
        <v>#DIV/0!</v>
      </c>
      <c r="BJ220" s="50"/>
      <c r="BK220" s="50"/>
      <c r="BL220" s="50"/>
    </row>
    <row r="221" spans="1:70" x14ac:dyDescent="0.2">
      <c r="A221" s="71" t="s">
        <v>1108</v>
      </c>
      <c r="B221" s="50" t="s">
        <v>717</v>
      </c>
      <c r="C221" s="50" t="s">
        <v>717</v>
      </c>
      <c r="H221" s="49">
        <v>0.49982689951786241</v>
      </c>
      <c r="I221" s="38">
        <v>19.842687578662019</v>
      </c>
      <c r="L221" s="38" t="s">
        <v>1183</v>
      </c>
      <c r="M221" s="49">
        <v>0.13488943750605095</v>
      </c>
      <c r="N221" s="49" t="s">
        <v>1185</v>
      </c>
      <c r="Q221" s="38">
        <f t="shared" si="104"/>
        <v>0</v>
      </c>
      <c r="R221" s="49"/>
      <c r="S221" s="39"/>
      <c r="T221" s="39">
        <v>22.208209894471878</v>
      </c>
      <c r="V221" s="76">
        <v>3419.7242714686809</v>
      </c>
      <c r="X221" s="39">
        <v>87.483696388808212</v>
      </c>
      <c r="Y221" s="76">
        <v>213.34979184819443</v>
      </c>
      <c r="Z221" s="39"/>
      <c r="AA221" s="39"/>
      <c r="AB221" s="39"/>
      <c r="AC221" s="39"/>
      <c r="AD221" s="39">
        <v>0</v>
      </c>
      <c r="AE221" s="76">
        <v>54.042017620292384</v>
      </c>
      <c r="AF221" s="291">
        <f>1560*10^((LOG10(AU221/55.6)+LOG10(AV221/158.9))/2)</f>
        <v>30.29976336417517</v>
      </c>
      <c r="AG221" s="76">
        <v>142.32936392680804</v>
      </c>
      <c r="AH221" s="76"/>
      <c r="AI221" s="76"/>
      <c r="AK221" s="76">
        <v>121.74566753799982</v>
      </c>
      <c r="AL221" s="38">
        <v>9.2028986349114152</v>
      </c>
      <c r="AM221" s="39">
        <v>23.893087423758352</v>
      </c>
      <c r="AN221" s="199">
        <f>89.1*EXP((LN(AL221/234.7)+2*LN(AO221/452.4))/3)</f>
        <v>2.8959016008164085</v>
      </c>
      <c r="AO221" s="39">
        <v>13.386775099235164</v>
      </c>
      <c r="AP221" s="38">
        <v>4.044085584277278</v>
      </c>
      <c r="AQ221" s="49">
        <v>0.32017862329363928</v>
      </c>
      <c r="AR221" s="200">
        <f>AVERAGE(BP221:BR221)</f>
        <v>4.6606276865166159</v>
      </c>
      <c r="AS221" s="38">
        <v>0.80482621744602578</v>
      </c>
      <c r="AT221" s="200">
        <f>(242.7*10^((4*LOG10(AS221/36.3)+LOG10(AX221/162.5))/5)+242.7*10^((4*LOG10(AP221/147.1)+4*LOG10(AX221/162.5))/8))/2</f>
        <v>5.1493717958892793</v>
      </c>
      <c r="AU221" s="200">
        <f>(55.6*10^((3*LOG10(AS221/36.3)+2*LOG10(AX221/162.5))/5)+55.6*10^((3*LOG10(AP221/147.1)+5*LOG10(AX221/162.5))/8))/2</f>
        <v>1.1121877498501693</v>
      </c>
      <c r="AV221" s="200">
        <f>(158.9*10^((2*LOG10(AS221/36.3)+3*LOG10(AX221/162.5))/5)+158.9*10^((2*LOG10(AP221/147.1)+6*LOG10(AX221/162.5))/8))/2</f>
        <v>2.9967454757510792</v>
      </c>
      <c r="AW221" s="201">
        <f>(24.2*10^((LOG10(AS221/36.3)+4*LOG10(AX221/162.5))/5)+24.2*10^((LOG10(AP221/147.1)+7*LOG10(AX221/162.5))/8))/2</f>
        <v>0.43029646294597423</v>
      </c>
      <c r="AX221" s="38">
        <v>2.7241814309226453</v>
      </c>
      <c r="AY221" s="49">
        <v>0.37957701616807055</v>
      </c>
      <c r="AZ221" s="38">
        <v>3.3834640333042891</v>
      </c>
      <c r="BA221" s="38">
        <v>0.42505276406234876</v>
      </c>
      <c r="BB221" s="38"/>
      <c r="BC221" s="38">
        <v>0</v>
      </c>
      <c r="BD221" s="39">
        <v>0.37234969503340115</v>
      </c>
      <c r="BE221" s="38">
        <v>1.4272369057992063</v>
      </c>
      <c r="BF221" s="38">
        <v>0.31948107270790982</v>
      </c>
      <c r="BG221" s="50">
        <v>103.3</v>
      </c>
      <c r="BH221" s="39"/>
      <c r="BJ221" s="50"/>
      <c r="BK221" s="50"/>
      <c r="BP221" s="116">
        <f>196.6*10^(LOG10(AP221/147.1)+(LOG10(AP221/147.1)-LOG10(AL221/234.7))*0.4)</f>
        <v>4.6893173557477512</v>
      </c>
      <c r="BQ221" s="116">
        <f>196.6*10^(LOG10(AP221/147.1)+0.6666*(LOG10(AS221/36.3)-LOG10(AP221/147.1)))</f>
        <v>4.6829834485187645</v>
      </c>
      <c r="BR221" s="116">
        <f>196.6*10^(LOG10(AS221/36.3)-(LOG10(AX221/162.5)-LOG10(AS221/36.3))/5)</f>
        <v>4.6095822552833319</v>
      </c>
    </row>
    <row r="222" spans="1:70" x14ac:dyDescent="0.2">
      <c r="A222" s="71" t="s">
        <v>1108</v>
      </c>
      <c r="B222" s="50" t="s">
        <v>1186</v>
      </c>
      <c r="C222" s="50" t="s">
        <v>700</v>
      </c>
      <c r="E222" s="38">
        <v>43.61</v>
      </c>
      <c r="F222" s="38">
        <v>0.22500000000000001</v>
      </c>
      <c r="G222" s="38">
        <v>3.09</v>
      </c>
      <c r="H222" s="49" t="s">
        <v>1187</v>
      </c>
      <c r="I222" s="38">
        <v>19.84</v>
      </c>
      <c r="J222" s="49">
        <v>0.27800000000000002</v>
      </c>
      <c r="K222" s="38">
        <v>27.73</v>
      </c>
      <c r="L222" s="298">
        <v>4.8899999999999997</v>
      </c>
      <c r="M222" s="299" t="s">
        <v>1184</v>
      </c>
      <c r="N222" s="299">
        <v>0.05</v>
      </c>
      <c r="O222" s="49">
        <v>4.8000000000000001E-2</v>
      </c>
      <c r="Q222" s="38">
        <f t="shared" si="104"/>
        <v>71.359097295928436</v>
      </c>
      <c r="R222" s="49"/>
      <c r="S222" s="39"/>
      <c r="T222" s="39"/>
      <c r="V222" s="76"/>
      <c r="Z222" s="39"/>
      <c r="AA222" s="39"/>
      <c r="AB222" s="39"/>
      <c r="AC222" s="39"/>
      <c r="AD222" s="76"/>
      <c r="AE222" s="76"/>
      <c r="AF222" s="76"/>
      <c r="AG222" s="76"/>
      <c r="AH222" s="76"/>
      <c r="AI222" s="76"/>
      <c r="AL222" s="38"/>
      <c r="AM222" s="76"/>
      <c r="AN222" s="76"/>
      <c r="AO222" s="39"/>
      <c r="AP222" s="38"/>
      <c r="AQ222" s="49"/>
      <c r="AR222" s="49"/>
      <c r="AS222" s="38"/>
      <c r="AT222" s="49"/>
      <c r="AU222" s="49"/>
      <c r="AV222" s="49"/>
      <c r="AW222" s="49"/>
      <c r="AX222" s="38"/>
      <c r="AZ222" s="38"/>
      <c r="BA222" s="38"/>
      <c r="BB222" s="38"/>
      <c r="BC222" s="38"/>
      <c r="BD222" s="38"/>
      <c r="BE222" s="38"/>
      <c r="BF222" s="38"/>
      <c r="BG222" s="38"/>
      <c r="BH222" s="39"/>
      <c r="BJ222" s="50"/>
      <c r="BK222" s="50"/>
    </row>
    <row r="223" spans="1:70" x14ac:dyDescent="0.2">
      <c r="A223" s="71" t="s">
        <v>1108</v>
      </c>
      <c r="B223" s="50" t="s">
        <v>774</v>
      </c>
      <c r="C223" s="50" t="s">
        <v>775</v>
      </c>
      <c r="E223" s="38">
        <v>41.2</v>
      </c>
      <c r="F223" s="38">
        <v>0.4</v>
      </c>
      <c r="G223" s="38">
        <v>5.7</v>
      </c>
      <c r="I223" s="38">
        <v>19.8</v>
      </c>
      <c r="J223" s="49">
        <v>0.2</v>
      </c>
      <c r="K223" s="38">
        <v>26.3</v>
      </c>
      <c r="L223" s="38">
        <v>5.8</v>
      </c>
      <c r="M223" s="49">
        <v>0.2</v>
      </c>
      <c r="N223" s="49">
        <v>0.1</v>
      </c>
      <c r="Q223" s="38">
        <f t="shared" si="104"/>
        <v>70.307024675459502</v>
      </c>
      <c r="R223" s="49"/>
      <c r="S223" s="39"/>
      <c r="T223" s="39"/>
      <c r="V223" s="76"/>
      <c r="Z223" s="39"/>
      <c r="AA223" s="39"/>
      <c r="AB223" s="39"/>
      <c r="AC223" s="39"/>
      <c r="AD223" s="76"/>
      <c r="AE223" s="76"/>
      <c r="AF223" s="76"/>
      <c r="AG223" s="76"/>
      <c r="AH223" s="76"/>
      <c r="AI223" s="76"/>
      <c r="AL223" s="38"/>
      <c r="AM223" s="76"/>
      <c r="AN223" s="76"/>
      <c r="AO223" s="39"/>
      <c r="AP223" s="38"/>
      <c r="AQ223" s="49"/>
      <c r="AR223" s="49"/>
      <c r="AS223" s="38"/>
      <c r="AT223" s="49"/>
      <c r="AU223" s="49"/>
      <c r="AV223" s="49"/>
      <c r="AW223" s="49"/>
      <c r="AX223" s="38"/>
      <c r="AZ223" s="38"/>
      <c r="BA223" s="38"/>
      <c r="BB223" s="38"/>
      <c r="BC223" s="38"/>
      <c r="BD223" s="38"/>
      <c r="BE223" s="38"/>
      <c r="BF223" s="38"/>
      <c r="BG223" s="38"/>
      <c r="BH223" s="39"/>
      <c r="BJ223" s="50"/>
      <c r="BK223" s="50"/>
    </row>
    <row r="224" spans="1:70" x14ac:dyDescent="0.2">
      <c r="A224" s="71" t="s">
        <v>1108</v>
      </c>
      <c r="C224" s="50" t="s">
        <v>718</v>
      </c>
      <c r="H224" s="49">
        <v>0.36299999999999999</v>
      </c>
      <c r="I224" s="38">
        <v>19.600000000000001</v>
      </c>
      <c r="L224" s="38">
        <v>5</v>
      </c>
      <c r="M224" s="49">
        <v>0.153</v>
      </c>
      <c r="N224" s="49">
        <v>7.2999999999999995E-2</v>
      </c>
      <c r="Q224" s="38">
        <f t="shared" si="104"/>
        <v>0</v>
      </c>
      <c r="R224" s="49"/>
      <c r="S224" s="39"/>
      <c r="T224" s="39">
        <v>23.1</v>
      </c>
      <c r="V224" s="76">
        <f>H224*6842</f>
        <v>2483.6459999999997</v>
      </c>
      <c r="W224" s="76"/>
      <c r="X224" s="39">
        <v>86</v>
      </c>
      <c r="Y224" s="76">
        <v>195</v>
      </c>
      <c r="Z224" s="76"/>
      <c r="AA224" s="76"/>
      <c r="AB224" s="76"/>
      <c r="AC224" s="76"/>
      <c r="AD224" s="39"/>
      <c r="AE224" s="76">
        <v>40</v>
      </c>
      <c r="AF224" s="291">
        <f>1560*10^((LOG10(AU224/55.6)+LOG10(AV224/158.9))/2)</f>
        <v>31.85716329399914</v>
      </c>
      <c r="AG224" s="76">
        <v>157</v>
      </c>
      <c r="AH224" s="76"/>
      <c r="AI224" s="76"/>
      <c r="AK224" s="76">
        <v>147</v>
      </c>
      <c r="AL224" s="38">
        <v>8.6300000000000008</v>
      </c>
      <c r="AM224" s="38">
        <v>24.1</v>
      </c>
      <c r="AN224" s="199">
        <f>89.1*EXP((LN(AL224/234.7)+2*LN(AO224/452.4))/3)</f>
        <v>2.8645372941892231</v>
      </c>
      <c r="AO224" s="39">
        <v>13.6</v>
      </c>
      <c r="AP224" s="38">
        <v>4.0599999999999996</v>
      </c>
      <c r="AQ224" s="49">
        <v>0.35899999999999999</v>
      </c>
      <c r="AR224" s="200">
        <f>AVERAGE(BP224:BR224)</f>
        <v>4.7876247550565942</v>
      </c>
      <c r="AS224" s="38">
        <v>0.83199999999999996</v>
      </c>
      <c r="AT224" s="200">
        <f>(242.7*10^((4*LOG10(AS224/36.3)+LOG10(AX224/162.5))/5)+242.7*10^((4*LOG10(AP224/147.1)+4*LOG10(AX224/162.5))/8))/2</f>
        <v>5.3516981919378486</v>
      </c>
      <c r="AU224" s="200">
        <f>(55.6*10^((3*LOG10(AS224/36.3)+2*LOG10(AX224/162.5))/5)+55.6*10^((3*LOG10(AP224/147.1)+5*LOG10(AX224/162.5))/8))/2</f>
        <v>1.1648486763478441</v>
      </c>
      <c r="AV224" s="200">
        <f>(158.9*10^((2*LOG10(AS224/36.3)+3*LOG10(AX224/162.5))/5)+158.9*10^((2*LOG10(AP224/147.1)+6*LOG10(AX224/162.5))/8))/2</f>
        <v>3.1629635333346569</v>
      </c>
      <c r="AW224" s="201">
        <f>(24.2*10^((LOG10(AS224/36.3)+4*LOG10(AX224/162.5))/5)+24.2*10^((LOG10(AP224/147.1)+7*LOG10(AX224/162.5))/8))/2</f>
        <v>0.45768208090770435</v>
      </c>
      <c r="AX224" s="38">
        <v>2.92</v>
      </c>
      <c r="AY224" s="49">
        <v>0.40600000000000003</v>
      </c>
      <c r="AZ224" s="38">
        <v>3.7</v>
      </c>
      <c r="BA224" s="38">
        <v>0.36699999999999999</v>
      </c>
      <c r="BB224" s="38"/>
      <c r="BC224" s="38" t="s">
        <v>719</v>
      </c>
      <c r="BD224" s="39" t="s">
        <v>720</v>
      </c>
      <c r="BE224" s="38">
        <v>1.1599999999999999</v>
      </c>
      <c r="BF224" s="38">
        <v>0.36</v>
      </c>
      <c r="BG224" s="38">
        <v>39.409999999999997</v>
      </c>
      <c r="BH224" s="39"/>
      <c r="BJ224" s="50"/>
      <c r="BK224" s="50"/>
      <c r="BP224" s="116">
        <f>196.6*10^(LOG10(AP224/147.1)+(LOG10(AP224/147.1)-LOG10(AL224/234.7))*0.4)</f>
        <v>4.8379696128043514</v>
      </c>
      <c r="BQ224" s="116">
        <f>196.6*10^(LOG10(AP224/147.1)+0.6666*(LOG10(AS224/36.3)-LOG10(AP224/147.1)))</f>
        <v>4.7940712144888593</v>
      </c>
      <c r="BR224" s="116">
        <f>196.6*10^(LOG10(AS224/36.3)-(LOG10(AX224/162.5)-LOG10(AS224/36.3))/5)</f>
        <v>4.7308334378765728</v>
      </c>
    </row>
    <row r="225" spans="1:70" x14ac:dyDescent="0.2">
      <c r="A225" s="71" t="s">
        <v>1108</v>
      </c>
      <c r="C225" s="50" t="s">
        <v>718</v>
      </c>
      <c r="H225" s="49">
        <v>0.23799999999999999</v>
      </c>
      <c r="I225" s="38">
        <v>18.8</v>
      </c>
      <c r="L225" s="38">
        <v>5.4</v>
      </c>
      <c r="M225" s="49">
        <v>0.16</v>
      </c>
      <c r="N225" s="49">
        <v>6.6000000000000003E-2</v>
      </c>
      <c r="Q225" s="38">
        <f t="shared" si="104"/>
        <v>0</v>
      </c>
      <c r="R225" s="49"/>
      <c r="S225" s="39"/>
      <c r="T225" s="39">
        <v>22.2</v>
      </c>
      <c r="V225" s="76">
        <f>H225*6842</f>
        <v>1628.396</v>
      </c>
      <c r="W225" s="76"/>
      <c r="X225" s="39">
        <v>86.9</v>
      </c>
      <c r="Y225" s="76">
        <v>219</v>
      </c>
      <c r="Z225" s="76"/>
      <c r="AA225" s="76"/>
      <c r="AB225" s="76"/>
      <c r="AC225" s="76"/>
      <c r="AD225" s="39"/>
      <c r="AE225" s="39" t="s">
        <v>730</v>
      </c>
      <c r="AF225" s="291">
        <f>1560*10^((LOG10(AU225/55.6)+LOG10(AV225/158.9))/2)</f>
        <v>31.45460483185288</v>
      </c>
      <c r="AG225" s="76">
        <v>110</v>
      </c>
      <c r="AH225" s="76"/>
      <c r="AI225" s="76"/>
      <c r="AK225" s="76">
        <v>98</v>
      </c>
      <c r="AL225" s="38">
        <v>8.5399999999999991</v>
      </c>
      <c r="AM225" s="38">
        <v>23.2</v>
      </c>
      <c r="AN225" s="199">
        <f>89.1*EXP((LN(AL225/234.7)+2*LN(AO225/452.4))/3)</f>
        <v>3.0472288607239957</v>
      </c>
      <c r="AO225" s="39">
        <v>15</v>
      </c>
      <c r="AP225" s="38">
        <v>4.05</v>
      </c>
      <c r="AQ225" s="49">
        <v>0.35499999999999998</v>
      </c>
      <c r="AR225" s="200">
        <f>AVERAGE(BP225:BR225)</f>
        <v>4.8201324647773012</v>
      </c>
      <c r="AS225" s="38">
        <v>0.83899999999999997</v>
      </c>
      <c r="AT225" s="200">
        <f>(242.7*10^((4*LOG10(AS225/36.3)+LOG10(AX225/162.5))/5)+242.7*10^((4*LOG10(AP225/147.1)+4*LOG10(AX225/162.5))/8))/2</f>
        <v>5.3207237683211392</v>
      </c>
      <c r="AU225" s="200">
        <f>(55.6*10^((3*LOG10(AS225/36.3)+2*LOG10(AX225/162.5))/5)+55.6*10^((3*LOG10(AP225/147.1)+5*LOG10(AX225/162.5))/8))/2</f>
        <v>1.1527845415623723</v>
      </c>
      <c r="AV225" s="200">
        <f>(158.9*10^((2*LOG10(AS225/36.3)+3*LOG10(AX225/162.5))/5)+158.9*10^((2*LOG10(AP225/147.1)+6*LOG10(AX225/162.5))/8))/2</f>
        <v>3.115801735575833</v>
      </c>
      <c r="AW225" s="201">
        <f>(24.2*10^((LOG10(AS225/36.3)+4*LOG10(AX225/162.5))/5)+24.2*10^((LOG10(AP225/147.1)+7*LOG10(AX225/162.5))/8))/2</f>
        <v>0.4487805202835381</v>
      </c>
      <c r="AX225" s="38">
        <v>2.85</v>
      </c>
      <c r="AY225" s="49">
        <v>0.39</v>
      </c>
      <c r="AZ225" s="38">
        <v>3</v>
      </c>
      <c r="BA225" s="38">
        <v>0.372</v>
      </c>
      <c r="BB225" s="38"/>
      <c r="BC225" s="38" t="s">
        <v>732</v>
      </c>
      <c r="BD225" s="38" t="s">
        <v>731</v>
      </c>
      <c r="BE225" s="38">
        <v>1.26</v>
      </c>
      <c r="BF225" s="38">
        <v>0.32</v>
      </c>
      <c r="BG225" s="38">
        <v>14.46</v>
      </c>
      <c r="BH225" s="39"/>
      <c r="BJ225" s="50"/>
      <c r="BK225" s="50"/>
      <c r="BP225" s="116">
        <f>196.6*10^(LOG10(AP225/147.1)+(LOG10(AP225/147.1)-LOG10(AL225/234.7))*0.4)</f>
        <v>4.8415552446464654</v>
      </c>
      <c r="BQ225" s="116">
        <f>196.6*10^(LOG10(AP225/147.1)+0.6666*(LOG10(AS225/36.3)-LOG10(AP225/147.1)))</f>
        <v>4.8169586694309663</v>
      </c>
      <c r="BR225" s="116">
        <f>196.6*10^(LOG10(AS225/36.3)-(LOG10(AX225/162.5)-LOG10(AS225/36.3))/5)</f>
        <v>4.8018834802544719</v>
      </c>
    </row>
    <row r="226" spans="1:70" x14ac:dyDescent="0.2">
      <c r="A226" s="71" t="s">
        <v>1108</v>
      </c>
      <c r="B226" s="50" t="s">
        <v>734</v>
      </c>
      <c r="C226" s="300" t="s">
        <v>718</v>
      </c>
      <c r="E226" s="48">
        <v>42</v>
      </c>
      <c r="F226" s="48">
        <v>0.4</v>
      </c>
      <c r="G226" s="48">
        <v>5.3</v>
      </c>
      <c r="H226" s="190" t="s">
        <v>779</v>
      </c>
      <c r="I226" s="48">
        <v>20.5</v>
      </c>
      <c r="J226" s="45">
        <v>0.24</v>
      </c>
      <c r="K226" s="48">
        <v>25.5</v>
      </c>
      <c r="L226" s="48">
        <v>4.8</v>
      </c>
      <c r="M226" s="190" t="s">
        <v>777</v>
      </c>
      <c r="N226" s="190" t="s">
        <v>778</v>
      </c>
      <c r="Q226" s="38">
        <f t="shared" si="104"/>
        <v>68.918841141253537</v>
      </c>
      <c r="R226" s="49"/>
      <c r="S226" s="39"/>
      <c r="T226" s="39"/>
      <c r="V226" s="76"/>
      <c r="W226" s="76"/>
      <c r="Z226" s="76"/>
      <c r="AA226" s="76"/>
      <c r="AB226" s="76"/>
      <c r="AC226" s="76"/>
      <c r="AD226" s="39"/>
      <c r="AE226" s="39"/>
      <c r="AF226" s="76"/>
      <c r="AG226" s="76"/>
      <c r="AH226" s="76"/>
      <c r="AI226" s="76"/>
      <c r="AL226" s="76"/>
      <c r="AM226" s="38"/>
      <c r="AN226" s="38"/>
      <c r="AO226" s="39"/>
      <c r="AP226" s="39"/>
      <c r="AQ226" s="38"/>
      <c r="AR226" s="38"/>
      <c r="AS226" s="49"/>
      <c r="AT226" s="49"/>
      <c r="AU226" s="49"/>
      <c r="AV226" s="49"/>
      <c r="AW226" s="49"/>
      <c r="AX226" s="49"/>
      <c r="AZ226" s="49"/>
      <c r="BA226" s="38"/>
      <c r="BB226" s="38"/>
      <c r="BC226" s="38"/>
      <c r="BD226" s="39"/>
      <c r="BE226" s="39"/>
      <c r="BF226" s="38"/>
      <c r="BG226" s="38"/>
      <c r="BH226" s="39"/>
      <c r="BJ226" s="50"/>
      <c r="BK226" s="50"/>
    </row>
    <row r="227" spans="1:70" x14ac:dyDescent="0.2">
      <c r="A227" s="71"/>
      <c r="D227" s="38">
        <f>SUM(E227:O227)</f>
        <v>99.615279255659473</v>
      </c>
      <c r="E227" s="34">
        <f>AVERAGE(E221:E226)</f>
        <v>42.27</v>
      </c>
      <c r="F227" s="34">
        <f>AVERAGE(F221:F226)</f>
        <v>0.34166666666666662</v>
      </c>
      <c r="G227" s="34">
        <f>AVERAGE(G221:G226)</f>
        <v>4.6966666666666663</v>
      </c>
      <c r="H227" s="37">
        <f>AVERAGE(H221:H226)</f>
        <v>0.3669422998392875</v>
      </c>
      <c r="I227" s="34">
        <f>AVERAGE(I221:I226)</f>
        <v>19.730447929777004</v>
      </c>
      <c r="J227" s="37">
        <f t="shared" ref="J227:O227" si="116">AVERAGE(J221:J226)</f>
        <v>0.23933333333333331</v>
      </c>
      <c r="K227" s="34">
        <f t="shared" si="116"/>
        <v>26.51</v>
      </c>
      <c r="L227" s="34">
        <f t="shared" si="116"/>
        <v>5.1779999999999999</v>
      </c>
      <c r="M227" s="37">
        <f t="shared" si="116"/>
        <v>0.16197235937651275</v>
      </c>
      <c r="N227" s="37">
        <f t="shared" si="116"/>
        <v>7.2250000000000009E-2</v>
      </c>
      <c r="O227" s="37">
        <f t="shared" si="116"/>
        <v>4.8000000000000001E-2</v>
      </c>
      <c r="P227" s="34"/>
      <c r="Q227" s="38">
        <f t="shared" si="104"/>
        <v>70.545957660688046</v>
      </c>
      <c r="R227" s="49"/>
      <c r="S227" s="39"/>
      <c r="T227" s="34">
        <f>AVERAGE(T221:T226)</f>
        <v>22.502736631490624</v>
      </c>
      <c r="U227" s="35" t="e">
        <f t="shared" ref="U227:BF227" si="117">AVERAGE(U221:U226)</f>
        <v>#DIV/0!</v>
      </c>
      <c r="V227" s="35">
        <f t="shared" si="117"/>
        <v>2510.5887571562266</v>
      </c>
      <c r="W227" s="34" t="e">
        <f t="shared" si="117"/>
        <v>#DIV/0!</v>
      </c>
      <c r="X227" s="72">
        <f t="shared" si="117"/>
        <v>86.794565462936063</v>
      </c>
      <c r="Y227" s="35">
        <f t="shared" si="117"/>
        <v>209.11659728273148</v>
      </c>
      <c r="Z227" s="34" t="e">
        <f t="shared" si="117"/>
        <v>#DIV/0!</v>
      </c>
      <c r="AA227" s="34"/>
      <c r="AB227" s="34"/>
      <c r="AC227" s="34"/>
      <c r="AD227" s="34">
        <f t="shared" si="117"/>
        <v>0</v>
      </c>
      <c r="AE227" s="35">
        <f t="shared" si="117"/>
        <v>47.021008810146192</v>
      </c>
      <c r="AF227" s="35">
        <f t="shared" si="117"/>
        <v>31.203843830009063</v>
      </c>
      <c r="AG227" s="35">
        <f t="shared" si="117"/>
        <v>136.44312130893601</v>
      </c>
      <c r="AH227" s="35"/>
      <c r="AI227" s="35"/>
      <c r="AJ227" s="34" t="e">
        <f t="shared" si="117"/>
        <v>#DIV/0!</v>
      </c>
      <c r="AK227" s="35">
        <f t="shared" si="117"/>
        <v>122.24855584599993</v>
      </c>
      <c r="AL227" s="34">
        <f t="shared" si="117"/>
        <v>8.790966211637139</v>
      </c>
      <c r="AM227" s="34">
        <f t="shared" ref="AM227:AX227" si="118">AVERAGE(AM221:AM226)</f>
        <v>23.731029141252787</v>
      </c>
      <c r="AN227" s="34">
        <f t="shared" si="118"/>
        <v>2.9358892519098756</v>
      </c>
      <c r="AO227" s="34">
        <f t="shared" si="118"/>
        <v>13.995591699745054</v>
      </c>
      <c r="AP227" s="34">
        <f t="shared" si="118"/>
        <v>4.05136186142576</v>
      </c>
      <c r="AQ227" s="34">
        <f t="shared" si="118"/>
        <v>0.34472620776454638</v>
      </c>
      <c r="AR227" s="72">
        <f t="shared" si="118"/>
        <v>4.7561283021168377</v>
      </c>
      <c r="AS227" s="34">
        <f t="shared" si="118"/>
        <v>0.82527540581534187</v>
      </c>
      <c r="AT227" s="34">
        <f t="shared" si="118"/>
        <v>5.2739312520494224</v>
      </c>
      <c r="AU227" s="34">
        <f t="shared" si="118"/>
        <v>1.1432736559201286</v>
      </c>
      <c r="AV227" s="34">
        <f t="shared" si="118"/>
        <v>3.0918369148871894</v>
      </c>
      <c r="AW227" s="34">
        <f t="shared" si="118"/>
        <v>0.44558635471240554</v>
      </c>
      <c r="AX227" s="34">
        <f t="shared" si="118"/>
        <v>2.831393810307548</v>
      </c>
      <c r="AY227" s="37">
        <f t="shared" si="117"/>
        <v>0.39185900538935686</v>
      </c>
      <c r="AZ227" s="34">
        <f t="shared" si="117"/>
        <v>3.3611546777680963</v>
      </c>
      <c r="BA227" s="34">
        <f t="shared" si="117"/>
        <v>0.38801758802078296</v>
      </c>
      <c r="BB227" s="34" t="e">
        <f t="shared" si="117"/>
        <v>#DIV/0!</v>
      </c>
      <c r="BC227" s="34">
        <f t="shared" si="117"/>
        <v>0</v>
      </c>
      <c r="BD227" s="34">
        <f t="shared" si="117"/>
        <v>0.37234969503340115</v>
      </c>
      <c r="BE227" s="34">
        <f t="shared" si="117"/>
        <v>1.2824123019330687</v>
      </c>
      <c r="BF227" s="34">
        <f t="shared" si="117"/>
        <v>0.33316035756930323</v>
      </c>
      <c r="BG227" s="38"/>
      <c r="BH227" s="39"/>
      <c r="BJ227" s="50"/>
      <c r="BK227" s="50"/>
    </row>
    <row r="228" spans="1:70" x14ac:dyDescent="0.2">
      <c r="Q228" s="38" t="e">
        <f t="shared" si="104"/>
        <v>#DIV/0!</v>
      </c>
      <c r="R228" s="49"/>
      <c r="S228" s="39"/>
      <c r="T228" s="39"/>
      <c r="V228" s="76"/>
      <c r="W228" s="76"/>
      <c r="Z228" s="76"/>
      <c r="AA228" s="76"/>
      <c r="AB228" s="76"/>
      <c r="AC228" s="76"/>
      <c r="AD228" s="39"/>
      <c r="AE228" s="39"/>
      <c r="AF228" s="76"/>
      <c r="AG228" s="76"/>
      <c r="AH228" s="76"/>
      <c r="AI228" s="76"/>
      <c r="AL228" s="76"/>
      <c r="AM228" s="38"/>
      <c r="AN228" s="38"/>
      <c r="AO228" s="39"/>
      <c r="AP228" s="39"/>
      <c r="AQ228" s="38"/>
      <c r="AR228" s="38"/>
      <c r="AS228" s="49"/>
      <c r="AT228" s="49"/>
      <c r="AU228" s="49"/>
      <c r="AV228" s="49"/>
      <c r="AW228" s="49"/>
      <c r="AX228" s="49"/>
      <c r="AZ228" s="49"/>
      <c r="BA228" s="38"/>
      <c r="BB228" s="38"/>
      <c r="BC228" s="38"/>
      <c r="BD228" s="39"/>
      <c r="BE228" s="39"/>
      <c r="BF228" s="38"/>
      <c r="BG228" s="38"/>
      <c r="BH228" s="39"/>
      <c r="BJ228" s="50"/>
      <c r="BK228" s="50"/>
    </row>
    <row r="229" spans="1:70" x14ac:dyDescent="0.2">
      <c r="A229" s="50" t="s">
        <v>1188</v>
      </c>
      <c r="B229" s="50" t="s">
        <v>1174</v>
      </c>
      <c r="Q229" s="38" t="e">
        <f t="shared" si="104"/>
        <v>#DIV/0!</v>
      </c>
      <c r="R229" s="49"/>
      <c r="S229" s="39"/>
      <c r="T229" s="39"/>
      <c r="V229" s="76"/>
      <c r="W229" s="76"/>
      <c r="Z229" s="76"/>
      <c r="AA229" s="76"/>
      <c r="AB229" s="38"/>
      <c r="AC229" s="38"/>
      <c r="AD229" s="39"/>
      <c r="AE229" s="76"/>
      <c r="AF229" s="76"/>
      <c r="AG229" s="76"/>
      <c r="AH229" s="76"/>
      <c r="AI229" s="38"/>
      <c r="AL229" s="38"/>
      <c r="AM229" s="39"/>
      <c r="AN229" s="38"/>
      <c r="AO229" s="39"/>
      <c r="AP229" s="38"/>
      <c r="AQ229" s="49"/>
      <c r="AR229" s="38"/>
      <c r="AS229" s="49"/>
      <c r="AT229" s="49"/>
      <c r="AU229" s="49"/>
      <c r="AV229" s="49"/>
      <c r="AW229" s="49"/>
      <c r="AX229" s="38"/>
      <c r="AZ229" s="38"/>
      <c r="BA229" s="38"/>
      <c r="BB229" s="39"/>
      <c r="BC229" s="39"/>
      <c r="BD229" s="39"/>
      <c r="BE229" s="38"/>
      <c r="BF229" s="38"/>
      <c r="BG229" s="76"/>
      <c r="BH229" s="39"/>
      <c r="BJ229" s="50"/>
      <c r="BK229" s="50"/>
    </row>
    <row r="230" spans="1:70" x14ac:dyDescent="0.2">
      <c r="A230" s="71" t="s">
        <v>1188</v>
      </c>
      <c r="B230" s="50" t="s">
        <v>717</v>
      </c>
      <c r="H230" s="49">
        <f>V230*1.4616/10000</f>
        <v>0.50425933152654046</v>
      </c>
      <c r="I230" s="38">
        <v>19.707529011005466</v>
      </c>
      <c r="M230" s="49">
        <v>0.20899999999999999</v>
      </c>
      <c r="N230" s="49" t="s">
        <v>1194</v>
      </c>
      <c r="Q230" s="38">
        <f t="shared" si="104"/>
        <v>0</v>
      </c>
      <c r="R230" s="49"/>
      <c r="S230" s="39"/>
      <c r="T230" s="39">
        <v>34.781152204836417</v>
      </c>
      <c r="V230" s="76">
        <v>3450.0501609642884</v>
      </c>
      <c r="X230" s="39">
        <v>66.40401287714306</v>
      </c>
      <c r="Y230" s="76">
        <v>119.48412817249384</v>
      </c>
      <c r="Z230" s="39">
        <v>5.1884779516358464</v>
      </c>
      <c r="AA230" s="39"/>
      <c r="AB230" s="39">
        <v>0.20875570861720452</v>
      </c>
      <c r="AC230" s="39"/>
      <c r="AD230" s="39"/>
      <c r="AE230" s="76">
        <v>59.163884105712363</v>
      </c>
      <c r="AF230" s="291">
        <f>1560*10^((LOG10(AU230/55.6)+LOG10(AV230/158.9))/2)</f>
        <v>41.518363130811693</v>
      </c>
      <c r="AG230" s="76">
        <v>174.35689151755633</v>
      </c>
      <c r="AH230" s="76"/>
      <c r="AI230" s="76"/>
      <c r="AJ230" s="38">
        <v>9.0737066706595815E-2</v>
      </c>
      <c r="AK230" s="76">
        <v>157.92487085423375</v>
      </c>
      <c r="AL230" s="38">
        <v>10.702813506026803</v>
      </c>
      <c r="AM230" s="39">
        <v>28.297488208430039</v>
      </c>
      <c r="AN230" s="199">
        <f>89.1*EXP((LN(AL230/234.7)+2*LN(AO230/452.4))/3)</f>
        <v>3.6251296633854455</v>
      </c>
      <c r="AO230" s="39">
        <v>17.385969903421429</v>
      </c>
      <c r="AP230" s="38">
        <v>5.2148603728382117</v>
      </c>
      <c r="AQ230" s="49">
        <v>0.51016972374036096</v>
      </c>
      <c r="AR230" s="200">
        <f>AVERAGE(BP230:BR230)</f>
        <v>6.1995366648092736</v>
      </c>
      <c r="AS230" s="38">
        <v>1.0769555663696939</v>
      </c>
      <c r="AT230" s="200">
        <f>(242.7*10^((4*LOG10(AS230/36.3)+LOG10(AX230/162.5))/5)+242.7*10^((4*LOG10(AP230/147.1)+4*LOG10(AX230/162.5))/8))/2</f>
        <v>6.9467273520416395</v>
      </c>
      <c r="AU230" s="200">
        <f>(55.6*10^((3*LOG10(AS230/36.3)+2*LOG10(AX230/162.5))/5)+55.6*10^((3*LOG10(AP230/147.1)+5*LOG10(AX230/162.5))/8))/2</f>
        <v>1.5160765187264915</v>
      </c>
      <c r="AV230" s="200">
        <f>(158.9*10^((2*LOG10(AS230/36.3)+3*LOG10(AX230/162.5))/5)+158.9*10^((2*LOG10(AP230/147.1)+6*LOG10(AX230/162.5))/8))/2</f>
        <v>4.1277065715079431</v>
      </c>
      <c r="AW230" s="201">
        <f>(24.2*10^((LOG10(AS230/36.3)+4*LOG10(AX230/162.5))/5)+24.2*10^((LOG10(AP230/147.1)+7*LOG10(AX230/162.5))/8))/2</f>
        <v>0.59888248659104493</v>
      </c>
      <c r="AX230" s="38">
        <v>3.8311016695365727</v>
      </c>
      <c r="AY230" s="49">
        <v>0.53355135883806248</v>
      </c>
      <c r="AZ230" s="38">
        <v>4.2443636295575349</v>
      </c>
      <c r="BA230" s="38">
        <v>0.51991277981582695</v>
      </c>
      <c r="BB230" s="38">
        <v>0.50352998427790674</v>
      </c>
      <c r="BC230" s="38">
        <v>0.70109305981882175</v>
      </c>
      <c r="BD230" s="39">
        <v>0.35501983978438273</v>
      </c>
      <c r="BE230" s="38">
        <v>1.6999292505802202</v>
      </c>
      <c r="BF230" s="38">
        <v>0.43284569888448005</v>
      </c>
      <c r="BG230" s="50">
        <v>267.14</v>
      </c>
      <c r="BH230" s="39"/>
      <c r="BJ230" s="50"/>
      <c r="BK230" s="50"/>
      <c r="BP230" s="116">
        <f>196.6*10^(LOG10(AP230/147.1)+(LOG10(AP230/147.1)-LOG10(AL230/234.7))*0.4)</f>
        <v>6.3019010962026289</v>
      </c>
      <c r="BQ230" s="116">
        <f>196.6*10^(LOG10(AP230/147.1)+0.6666*(LOG10(AS230/36.3)-LOG10(AP230/147.1)))</f>
        <v>6.1895552926382988</v>
      </c>
      <c r="BR230" s="116">
        <f>196.6*10^(LOG10(AS230/36.3)-(LOG10(AX230/162.5)-LOG10(AS230/36.3))/5)</f>
        <v>6.1071536055868947</v>
      </c>
    </row>
    <row r="231" spans="1:70" x14ac:dyDescent="0.2">
      <c r="A231" s="50" t="s">
        <v>1188</v>
      </c>
      <c r="B231" s="50" t="s">
        <v>700</v>
      </c>
      <c r="E231" s="301">
        <v>46.224129677998569</v>
      </c>
      <c r="F231" s="301">
        <v>0.83899709800654798</v>
      </c>
      <c r="G231" s="301">
        <v>6.754662782094087</v>
      </c>
      <c r="H231" s="302" t="s">
        <v>1215</v>
      </c>
      <c r="I231" s="301">
        <v>19.686180639069775</v>
      </c>
      <c r="J231" s="302">
        <v>0.26453886458398912</v>
      </c>
      <c r="K231" s="301">
        <v>17.242374609957967</v>
      </c>
      <c r="L231" s="301">
        <v>8.1464830818243428</v>
      </c>
      <c r="M231" s="302" t="s">
        <v>1216</v>
      </c>
      <c r="N231" s="302">
        <v>6.4863906085645864E-2</v>
      </c>
      <c r="O231" s="302">
        <v>6.9400487248589049E-2</v>
      </c>
      <c r="Q231" s="38">
        <f t="shared" si="104"/>
        <v>60.957528824164207</v>
      </c>
      <c r="R231" s="49"/>
      <c r="S231" s="39"/>
      <c r="T231" s="39"/>
      <c r="V231" s="76"/>
      <c r="W231" s="76"/>
      <c r="Z231" s="76"/>
      <c r="AA231" s="76"/>
      <c r="AB231" s="76"/>
      <c r="AC231" s="76"/>
      <c r="AD231" s="39"/>
      <c r="AE231" s="39"/>
      <c r="AF231" s="76"/>
      <c r="AG231" s="76"/>
      <c r="AH231" s="76"/>
      <c r="AI231" s="76"/>
      <c r="AL231" s="76"/>
      <c r="AM231" s="38"/>
      <c r="AN231" s="38"/>
      <c r="AO231" s="39"/>
      <c r="AP231" s="39"/>
      <c r="AQ231" s="38"/>
      <c r="AR231" s="38"/>
      <c r="AS231" s="49"/>
      <c r="AT231" s="49"/>
      <c r="AU231" s="49"/>
      <c r="AV231" s="49"/>
      <c r="AW231" s="49"/>
      <c r="AX231" s="49"/>
      <c r="AZ231" s="49"/>
      <c r="BA231" s="38"/>
      <c r="BB231" s="38"/>
      <c r="BC231" s="38"/>
      <c r="BD231" s="39"/>
      <c r="BE231" s="39"/>
      <c r="BF231" s="38"/>
      <c r="BG231" s="38"/>
      <c r="BH231" s="39"/>
      <c r="BJ231" s="50"/>
      <c r="BK231" s="50"/>
    </row>
    <row r="232" spans="1:70" s="36" customFormat="1" x14ac:dyDescent="0.2">
      <c r="A232" s="36" t="s">
        <v>1188</v>
      </c>
      <c r="B232" s="36" t="s">
        <v>279</v>
      </c>
      <c r="D232" s="34">
        <f>SUM(E232:O232)</f>
        <v>100.01556466436389</v>
      </c>
      <c r="E232" s="34">
        <f t="shared" ref="E232:AJ232" si="119">AVERAGE(E229:E231)</f>
        <v>46.224129677998569</v>
      </c>
      <c r="F232" s="34">
        <f t="shared" si="119"/>
        <v>0.83899709800654798</v>
      </c>
      <c r="G232" s="34">
        <f t="shared" si="119"/>
        <v>6.754662782094087</v>
      </c>
      <c r="H232" s="37">
        <f t="shared" si="119"/>
        <v>0.50425933152654046</v>
      </c>
      <c r="I232" s="34">
        <f t="shared" si="119"/>
        <v>19.696854825037619</v>
      </c>
      <c r="J232" s="37">
        <f t="shared" si="119"/>
        <v>0.26453886458398912</v>
      </c>
      <c r="K232" s="34">
        <f t="shared" si="119"/>
        <v>17.242374609957967</v>
      </c>
      <c r="L232" s="34">
        <f t="shared" si="119"/>
        <v>8.1464830818243428</v>
      </c>
      <c r="M232" s="37">
        <f t="shared" si="119"/>
        <v>0.20899999999999999</v>
      </c>
      <c r="N232" s="37">
        <f t="shared" si="119"/>
        <v>6.4863906085645864E-2</v>
      </c>
      <c r="O232" s="37">
        <f t="shared" si="119"/>
        <v>6.9400487248589049E-2</v>
      </c>
      <c r="Q232" s="38">
        <f t="shared" si="104"/>
        <v>60.944627151414231</v>
      </c>
      <c r="R232" s="37" t="e">
        <f t="shared" si="119"/>
        <v>#DIV/0!</v>
      </c>
      <c r="S232" s="72" t="e">
        <f t="shared" si="119"/>
        <v>#DIV/0!</v>
      </c>
      <c r="T232" s="72">
        <f t="shared" si="119"/>
        <v>34.781152204836417</v>
      </c>
      <c r="U232" s="35" t="e">
        <f t="shared" si="119"/>
        <v>#DIV/0!</v>
      </c>
      <c r="V232" s="35">
        <f t="shared" si="119"/>
        <v>3450.0501609642884</v>
      </c>
      <c r="W232" s="35" t="e">
        <f t="shared" si="119"/>
        <v>#DIV/0!</v>
      </c>
      <c r="X232" s="72">
        <f t="shared" si="119"/>
        <v>66.40401287714306</v>
      </c>
      <c r="Y232" s="35">
        <f t="shared" si="119"/>
        <v>119.48412817249384</v>
      </c>
      <c r="Z232" s="35">
        <f t="shared" si="119"/>
        <v>5.1884779516358464</v>
      </c>
      <c r="AA232" s="35" t="e">
        <f t="shared" si="119"/>
        <v>#DIV/0!</v>
      </c>
      <c r="AB232" s="34">
        <f t="shared" si="119"/>
        <v>0.20875570861720452</v>
      </c>
      <c r="AC232" s="34" t="e">
        <f t="shared" si="119"/>
        <v>#DIV/0!</v>
      </c>
      <c r="AD232" s="72" t="e">
        <f t="shared" si="119"/>
        <v>#DIV/0!</v>
      </c>
      <c r="AE232" s="35">
        <f t="shared" si="119"/>
        <v>59.163884105712363</v>
      </c>
      <c r="AF232" s="35">
        <f t="shared" si="119"/>
        <v>41.518363130811693</v>
      </c>
      <c r="AG232" s="35">
        <f t="shared" si="119"/>
        <v>174.35689151755633</v>
      </c>
      <c r="AH232" s="35" t="e">
        <f t="shared" si="119"/>
        <v>#DIV/0!</v>
      </c>
      <c r="AI232" s="34" t="e">
        <f t="shared" si="119"/>
        <v>#DIV/0!</v>
      </c>
      <c r="AJ232" s="34">
        <f t="shared" si="119"/>
        <v>9.0737066706595815E-2</v>
      </c>
      <c r="AK232" s="35">
        <f t="shared" ref="AK232:BF232" si="120">AVERAGE(AK229:AK231)</f>
        <v>157.92487085423375</v>
      </c>
      <c r="AL232" s="34">
        <f t="shared" si="120"/>
        <v>10.702813506026803</v>
      </c>
      <c r="AM232" s="72">
        <f t="shared" si="120"/>
        <v>28.297488208430039</v>
      </c>
      <c r="AN232" s="34">
        <f t="shared" si="120"/>
        <v>3.6251296633854455</v>
      </c>
      <c r="AO232" s="72">
        <f t="shared" si="120"/>
        <v>17.385969903421429</v>
      </c>
      <c r="AP232" s="34">
        <f t="shared" si="120"/>
        <v>5.2148603728382117</v>
      </c>
      <c r="AQ232" s="37">
        <f t="shared" si="120"/>
        <v>0.51016972374036096</v>
      </c>
      <c r="AR232" s="34">
        <f t="shared" si="120"/>
        <v>6.1995366648092736</v>
      </c>
      <c r="AS232" s="37">
        <f t="shared" si="120"/>
        <v>1.0769555663696939</v>
      </c>
      <c r="AT232" s="37">
        <f t="shared" si="120"/>
        <v>6.9467273520416395</v>
      </c>
      <c r="AU232" s="37">
        <f t="shared" si="120"/>
        <v>1.5160765187264915</v>
      </c>
      <c r="AV232" s="37">
        <f t="shared" si="120"/>
        <v>4.1277065715079431</v>
      </c>
      <c r="AW232" s="37">
        <f t="shared" si="120"/>
        <v>0.59888248659104493</v>
      </c>
      <c r="AX232" s="34">
        <f t="shared" si="120"/>
        <v>3.8311016695365727</v>
      </c>
      <c r="AY232" s="37">
        <f t="shared" si="120"/>
        <v>0.53355135883806248</v>
      </c>
      <c r="AZ232" s="34">
        <f t="shared" si="120"/>
        <v>4.2443636295575349</v>
      </c>
      <c r="BA232" s="34">
        <f t="shared" si="120"/>
        <v>0.51991277981582695</v>
      </c>
      <c r="BB232" s="72">
        <f t="shared" si="120"/>
        <v>0.50352998427790674</v>
      </c>
      <c r="BC232" s="72">
        <f t="shared" si="120"/>
        <v>0.70109305981882175</v>
      </c>
      <c r="BD232" s="72">
        <f t="shared" si="120"/>
        <v>0.35501983978438273</v>
      </c>
      <c r="BE232" s="34">
        <f t="shared" si="120"/>
        <v>1.6999292505802202</v>
      </c>
      <c r="BF232" s="34">
        <f t="shared" si="120"/>
        <v>0.43284569888448005</v>
      </c>
      <c r="BG232" s="34"/>
      <c r="BH232" s="72"/>
      <c r="BL232" s="37"/>
    </row>
    <row r="233" spans="1:70" x14ac:dyDescent="0.2">
      <c r="Q233" s="38" t="e">
        <f t="shared" si="104"/>
        <v>#DIV/0!</v>
      </c>
      <c r="R233" s="49"/>
      <c r="S233" s="39"/>
      <c r="T233" s="39"/>
      <c r="V233" s="76"/>
      <c r="W233" s="76"/>
      <c r="Z233" s="76"/>
      <c r="AA233" s="76"/>
      <c r="AB233" s="76"/>
      <c r="AC233" s="76"/>
      <c r="AD233" s="39"/>
      <c r="AE233" s="39"/>
      <c r="AF233" s="76"/>
      <c r="AG233" s="76"/>
      <c r="AH233" s="76"/>
      <c r="AI233" s="76"/>
      <c r="AL233" s="76"/>
      <c r="AM233" s="38"/>
      <c r="AN233" s="38"/>
      <c r="AO233" s="39"/>
      <c r="AP233" s="39"/>
      <c r="AQ233" s="38"/>
      <c r="AR233" s="38"/>
      <c r="AS233" s="49"/>
      <c r="AT233" s="49"/>
      <c r="AU233" s="49"/>
      <c r="AV233" s="49"/>
      <c r="AW233" s="49"/>
      <c r="AX233" s="49"/>
      <c r="AZ233" s="49"/>
      <c r="BA233" s="38"/>
      <c r="BB233" s="38"/>
      <c r="BC233" s="38"/>
      <c r="BD233" s="39"/>
      <c r="BE233" s="39"/>
      <c r="BF233" s="38"/>
      <c r="BG233" s="38"/>
      <c r="BH233" s="39"/>
      <c r="BJ233" s="50"/>
      <c r="BK233" s="50"/>
    </row>
    <row r="234" spans="1:70" x14ac:dyDescent="0.2">
      <c r="A234" s="50" t="s">
        <v>1109</v>
      </c>
      <c r="B234" s="50" t="s">
        <v>1174</v>
      </c>
      <c r="Q234" s="38" t="e">
        <f t="shared" si="104"/>
        <v>#DIV/0!</v>
      </c>
      <c r="R234" s="49"/>
      <c r="S234" s="39"/>
      <c r="T234" s="39"/>
      <c r="V234" s="76"/>
      <c r="W234" s="76"/>
      <c r="Z234" s="76"/>
      <c r="AA234" s="76"/>
      <c r="AB234" s="76"/>
      <c r="AC234" s="76"/>
      <c r="AD234" s="39"/>
      <c r="AE234" s="39"/>
      <c r="AF234" s="76"/>
      <c r="AG234" s="76"/>
      <c r="AH234" s="76"/>
      <c r="AI234" s="76"/>
      <c r="AL234" s="76"/>
      <c r="AM234" s="38"/>
      <c r="AN234" s="38"/>
      <c r="AO234" s="39"/>
      <c r="AP234" s="39"/>
      <c r="AQ234" s="38"/>
      <c r="AR234" s="38"/>
      <c r="AS234" s="49"/>
      <c r="AT234" s="49"/>
      <c r="AU234" s="49"/>
      <c r="AV234" s="49"/>
      <c r="AW234" s="49"/>
      <c r="AX234" s="49"/>
      <c r="AZ234" s="49"/>
      <c r="BA234" s="38"/>
      <c r="BB234" s="38"/>
      <c r="BC234" s="38"/>
      <c r="BD234" s="39"/>
      <c r="BE234" s="39"/>
      <c r="BF234" s="38"/>
      <c r="BG234" s="38"/>
      <c r="BH234" s="39"/>
      <c r="BJ234" s="50"/>
      <c r="BK234" s="50"/>
    </row>
    <row r="235" spans="1:70" x14ac:dyDescent="0.2">
      <c r="A235" s="71" t="s">
        <v>1109</v>
      </c>
      <c r="B235" s="50" t="s">
        <v>717</v>
      </c>
      <c r="H235" s="49">
        <f>V235*1.4616/10000</f>
        <v>0.52031426997043495</v>
      </c>
      <c r="I235" s="38">
        <v>18.644194706462059</v>
      </c>
      <c r="M235" s="49">
        <v>0.113</v>
      </c>
      <c r="Q235" s="38">
        <f t="shared" si="104"/>
        <v>0</v>
      </c>
      <c r="R235" s="49"/>
      <c r="S235" s="39"/>
      <c r="T235" s="39">
        <v>25.697289877516543</v>
      </c>
      <c r="V235" s="76">
        <v>3559.8951147402504</v>
      </c>
      <c r="X235" s="39">
        <v>81.43922990285796</v>
      </c>
      <c r="Y235" s="76">
        <v>185.2463747712234</v>
      </c>
      <c r="Z235" s="39">
        <v>5.25495565254118</v>
      </c>
      <c r="AA235" s="39"/>
      <c r="AB235" s="39">
        <v>0.55180135154160204</v>
      </c>
      <c r="AC235" s="39"/>
      <c r="AD235" s="39"/>
      <c r="AE235" s="76">
        <v>44.126918203575954</v>
      </c>
      <c r="AF235" s="291">
        <f>1560*10^((LOG10(AU235/55.6)+LOG10(AV235/158.9))/2)</f>
        <v>26.202119791510867</v>
      </c>
      <c r="AG235" s="76">
        <v>98.277629170772911</v>
      </c>
      <c r="AH235" s="76"/>
      <c r="AI235" s="76"/>
      <c r="AJ235" s="38">
        <v>7.6059411516260736E-2</v>
      </c>
      <c r="AK235" s="76">
        <v>81.86646487399689</v>
      </c>
      <c r="AL235" s="38">
        <v>6.2827917781219202</v>
      </c>
      <c r="AM235" s="39">
        <v>16.151978037448966</v>
      </c>
      <c r="AN235" s="199">
        <f>89.1*EXP((LN(AL235/234.7)+2*LN(AO235/452.4))/3)</f>
        <v>2.136567320099235</v>
      </c>
      <c r="AO235" s="39">
        <v>10.267415176685908</v>
      </c>
      <c r="AP235" s="38">
        <v>3.1463036745037307</v>
      </c>
      <c r="AQ235" s="49">
        <v>0.23429304519217231</v>
      </c>
      <c r="AR235" s="200">
        <f>AVERAGE(BP235:BR235)</f>
        <v>3.8327855228356795</v>
      </c>
      <c r="AS235" s="38">
        <v>0.6761450091510629</v>
      </c>
      <c r="AT235" s="200">
        <f>(242.7*10^((4*LOG10(AS235/36.3)+LOG10(AX235/162.5))/5)+242.7*10^((4*LOG10(AP235/147.1)+4*LOG10(AX235/162.5))/8))/2</f>
        <v>4.3471719037917271</v>
      </c>
      <c r="AU235" s="200">
        <f>(55.6*10^((3*LOG10(AS235/36.3)+2*LOG10(AX235/162.5))/5)+55.6*10^((3*LOG10(AP235/147.1)+5*LOG10(AX235/162.5))/8))/2</f>
        <v>0.95410230155280407</v>
      </c>
      <c r="AV235" s="200">
        <f>(158.9*10^((2*LOG10(AS235/36.3)+3*LOG10(AX235/162.5))/5)+158.9*10^((2*LOG10(AP235/147.1)+6*LOG10(AX235/162.5))/8))/2</f>
        <v>2.6123261885973106</v>
      </c>
      <c r="AW235" s="201">
        <f>(24.2*10^((LOG10(AS235/36.3)+4*LOG10(AX235/162.5))/5)+24.2*10^((LOG10(AP235/147.1)+7*LOG10(AX235/162.5))/8))/2</f>
        <v>0.38115574426958326</v>
      </c>
      <c r="AX235" s="38">
        <v>2.4520216809798678</v>
      </c>
      <c r="AY235" s="49">
        <v>0.34418766718288046</v>
      </c>
      <c r="AZ235" s="38">
        <v>2.3911255807405323</v>
      </c>
      <c r="BA235" s="38">
        <v>0.23225397719273547</v>
      </c>
      <c r="BB235" s="38">
        <v>8.3746304378431655E-2</v>
      </c>
      <c r="BC235" s="38">
        <v>0.43697029424186956</v>
      </c>
      <c r="BD235" s="39">
        <v>0.19398141630297056</v>
      </c>
      <c r="BE235" s="38">
        <v>0.86444319301703521</v>
      </c>
      <c r="BF235" s="38">
        <v>0.28023581585245672</v>
      </c>
      <c r="BG235" s="50">
        <v>142.06</v>
      </c>
      <c r="BH235" s="39"/>
      <c r="BJ235" s="50"/>
      <c r="BK235" s="50"/>
      <c r="BP235" s="116">
        <f>196.6*10^(LOG10(AP235/147.1)+(LOG10(AP235/147.1)-LOG10(AL235/234.7))*0.4)</f>
        <v>3.8440659796545273</v>
      </c>
      <c r="BQ235" s="116">
        <f>196.6*10^(LOG10(AP235/147.1)+0.6666*(LOG10(AS235/36.3)-LOG10(AP235/147.1)))</f>
        <v>3.8347670451307057</v>
      </c>
      <c r="BR235" s="116">
        <f>196.6*10^(LOG10(AS235/36.3)-(LOG10(AX235/162.5)-LOG10(AS235/36.3))/5)</f>
        <v>3.8195235437218051</v>
      </c>
    </row>
    <row r="236" spans="1:70" x14ac:dyDescent="0.2">
      <c r="A236" s="50" t="s">
        <v>1109</v>
      </c>
      <c r="B236" s="50" t="s">
        <v>700</v>
      </c>
      <c r="E236" s="301">
        <v>42.921413843077374</v>
      </c>
      <c r="F236" s="301">
        <v>0.31956762054495313</v>
      </c>
      <c r="G236" s="301">
        <v>5.4193801924551543</v>
      </c>
      <c r="H236" s="302" t="s">
        <v>1195</v>
      </c>
      <c r="I236" s="301">
        <v>18.645624055986872</v>
      </c>
      <c r="J236" s="302">
        <v>0.22871293433003223</v>
      </c>
      <c r="K236" s="301">
        <v>23.856831679041687</v>
      </c>
      <c r="L236" s="301">
        <v>7.9164861812063858</v>
      </c>
      <c r="M236" s="302" t="s">
        <v>1196</v>
      </c>
      <c r="N236" s="302">
        <v>3.283052627525445E-2</v>
      </c>
      <c r="O236" s="302">
        <v>9.8240400166626218E-2</v>
      </c>
      <c r="Q236" s="38">
        <f t="shared" si="104"/>
        <v>69.519779755556073</v>
      </c>
      <c r="R236" s="49"/>
      <c r="S236" s="39"/>
      <c r="T236" s="39"/>
      <c r="V236" s="76"/>
      <c r="W236" s="76"/>
      <c r="Z236" s="76"/>
      <c r="AA236" s="76"/>
      <c r="AB236" s="76"/>
      <c r="AC236" s="76"/>
      <c r="AD236" s="39"/>
      <c r="AE236" s="39"/>
      <c r="AF236" s="76"/>
      <c r="AG236" s="76"/>
      <c r="AH236" s="76"/>
      <c r="AI236" s="76"/>
      <c r="AL236" s="76"/>
      <c r="AM236" s="38"/>
      <c r="AN236" s="38"/>
      <c r="AO236" s="39"/>
      <c r="AP236" s="39"/>
      <c r="AQ236" s="38"/>
      <c r="AR236" s="38"/>
      <c r="AS236" s="49"/>
      <c r="AT236" s="49"/>
      <c r="AU236" s="49"/>
      <c r="AV236" s="49"/>
      <c r="AW236" s="49"/>
      <c r="AX236" s="49"/>
      <c r="AZ236" s="49"/>
      <c r="BA236" s="38"/>
      <c r="BB236" s="38"/>
      <c r="BC236" s="38"/>
      <c r="BD236" s="39"/>
      <c r="BE236" s="39"/>
      <c r="BF236" s="38"/>
      <c r="BG236" s="38"/>
      <c r="BH236" s="39"/>
      <c r="BJ236" s="50"/>
      <c r="BK236" s="50"/>
    </row>
    <row r="237" spans="1:70" s="36" customFormat="1" x14ac:dyDescent="0.2">
      <c r="A237" s="36" t="s">
        <v>1109</v>
      </c>
      <c r="B237" s="36" t="s">
        <v>279</v>
      </c>
      <c r="D237" s="34">
        <f>SUM(E237:O237)</f>
        <v>100.07168702829236</v>
      </c>
      <c r="E237" s="34">
        <f t="shared" ref="E237:O237" si="121">AVERAGE(E234:E236)</f>
        <v>42.921413843077374</v>
      </c>
      <c r="F237" s="34">
        <f t="shared" si="121"/>
        <v>0.31956762054495313</v>
      </c>
      <c r="G237" s="34">
        <f t="shared" si="121"/>
        <v>5.4193801924551543</v>
      </c>
      <c r="H237" s="37">
        <f t="shared" si="121"/>
        <v>0.52031426997043495</v>
      </c>
      <c r="I237" s="34">
        <f t="shared" si="121"/>
        <v>18.644909381224466</v>
      </c>
      <c r="J237" s="37">
        <f t="shared" si="121"/>
        <v>0.22871293433003223</v>
      </c>
      <c r="K237" s="34">
        <f t="shared" si="121"/>
        <v>23.856831679041687</v>
      </c>
      <c r="L237" s="34">
        <f t="shared" si="121"/>
        <v>7.9164861812063858</v>
      </c>
      <c r="M237" s="37">
        <f t="shared" si="121"/>
        <v>0.113</v>
      </c>
      <c r="N237" s="37">
        <f t="shared" si="121"/>
        <v>3.283052627525445E-2</v>
      </c>
      <c r="O237" s="37">
        <f t="shared" si="121"/>
        <v>9.8240400166626218E-2</v>
      </c>
      <c r="Q237" s="38">
        <f t="shared" si="104"/>
        <v>69.520591955742219</v>
      </c>
      <c r="R237" s="37" t="e">
        <f t="shared" ref="R237:BF237" si="122">AVERAGE(R234:R236)</f>
        <v>#DIV/0!</v>
      </c>
      <c r="S237" s="72" t="e">
        <f t="shared" si="122"/>
        <v>#DIV/0!</v>
      </c>
      <c r="T237" s="72">
        <f t="shared" si="122"/>
        <v>25.697289877516543</v>
      </c>
      <c r="U237" s="35" t="e">
        <f t="shared" si="122"/>
        <v>#DIV/0!</v>
      </c>
      <c r="V237" s="35">
        <f t="shared" si="122"/>
        <v>3559.8951147402504</v>
      </c>
      <c r="W237" s="35" t="e">
        <f t="shared" si="122"/>
        <v>#DIV/0!</v>
      </c>
      <c r="X237" s="72">
        <f t="shared" si="122"/>
        <v>81.43922990285796</v>
      </c>
      <c r="Y237" s="35">
        <f t="shared" si="122"/>
        <v>185.2463747712234</v>
      </c>
      <c r="Z237" s="35">
        <f t="shared" si="122"/>
        <v>5.25495565254118</v>
      </c>
      <c r="AA237" s="35" t="e">
        <f t="shared" si="122"/>
        <v>#DIV/0!</v>
      </c>
      <c r="AB237" s="34">
        <f t="shared" si="122"/>
        <v>0.55180135154160204</v>
      </c>
      <c r="AC237" s="34" t="e">
        <f t="shared" si="122"/>
        <v>#DIV/0!</v>
      </c>
      <c r="AD237" s="72" t="e">
        <f t="shared" si="122"/>
        <v>#DIV/0!</v>
      </c>
      <c r="AE237" s="35">
        <f t="shared" si="122"/>
        <v>44.126918203575954</v>
      </c>
      <c r="AF237" s="35">
        <f t="shared" si="122"/>
        <v>26.202119791510867</v>
      </c>
      <c r="AG237" s="35">
        <f t="shared" si="122"/>
        <v>98.277629170772911</v>
      </c>
      <c r="AH237" s="35" t="e">
        <f t="shared" si="122"/>
        <v>#DIV/0!</v>
      </c>
      <c r="AI237" s="34" t="e">
        <f t="shared" si="122"/>
        <v>#DIV/0!</v>
      </c>
      <c r="AJ237" s="34">
        <f t="shared" si="122"/>
        <v>7.6059411516260736E-2</v>
      </c>
      <c r="AK237" s="35">
        <f t="shared" si="122"/>
        <v>81.86646487399689</v>
      </c>
      <c r="AL237" s="34">
        <f t="shared" si="122"/>
        <v>6.2827917781219202</v>
      </c>
      <c r="AM237" s="72">
        <f t="shared" si="122"/>
        <v>16.151978037448966</v>
      </c>
      <c r="AN237" s="34">
        <f t="shared" si="122"/>
        <v>2.136567320099235</v>
      </c>
      <c r="AO237" s="72">
        <f t="shared" si="122"/>
        <v>10.267415176685908</v>
      </c>
      <c r="AP237" s="34">
        <f t="shared" si="122"/>
        <v>3.1463036745037307</v>
      </c>
      <c r="AQ237" s="37">
        <f t="shared" si="122"/>
        <v>0.23429304519217231</v>
      </c>
      <c r="AR237" s="34">
        <f t="shared" si="122"/>
        <v>3.8327855228356795</v>
      </c>
      <c r="AS237" s="37">
        <f t="shared" si="122"/>
        <v>0.6761450091510629</v>
      </c>
      <c r="AT237" s="37">
        <f t="shared" si="122"/>
        <v>4.3471719037917271</v>
      </c>
      <c r="AU237" s="37">
        <f t="shared" si="122"/>
        <v>0.95410230155280407</v>
      </c>
      <c r="AV237" s="37">
        <f t="shared" si="122"/>
        <v>2.6123261885973106</v>
      </c>
      <c r="AW237" s="37">
        <f t="shared" si="122"/>
        <v>0.38115574426958326</v>
      </c>
      <c r="AX237" s="34">
        <f t="shared" si="122"/>
        <v>2.4520216809798678</v>
      </c>
      <c r="AY237" s="37">
        <f t="shared" si="122"/>
        <v>0.34418766718288046</v>
      </c>
      <c r="AZ237" s="34">
        <f t="shared" si="122"/>
        <v>2.3911255807405323</v>
      </c>
      <c r="BA237" s="34">
        <f t="shared" si="122"/>
        <v>0.23225397719273547</v>
      </c>
      <c r="BB237" s="72">
        <f t="shared" si="122"/>
        <v>8.3746304378431655E-2</v>
      </c>
      <c r="BC237" s="72">
        <f t="shared" si="122"/>
        <v>0.43697029424186956</v>
      </c>
      <c r="BD237" s="72">
        <f t="shared" si="122"/>
        <v>0.19398141630297056</v>
      </c>
      <c r="BE237" s="34">
        <f t="shared" si="122"/>
        <v>0.86444319301703521</v>
      </c>
      <c r="BF237" s="34">
        <f t="shared" si="122"/>
        <v>0.28023581585245672</v>
      </c>
      <c r="BG237" s="34"/>
      <c r="BH237" s="72"/>
      <c r="BL237" s="37"/>
    </row>
    <row r="238" spans="1:70" x14ac:dyDescent="0.2">
      <c r="Q238" s="38" t="e">
        <f t="shared" si="104"/>
        <v>#DIV/0!</v>
      </c>
      <c r="R238" s="49"/>
      <c r="S238" s="39"/>
      <c r="T238" s="39"/>
      <c r="V238" s="76"/>
      <c r="W238" s="76"/>
      <c r="Z238" s="76"/>
      <c r="AA238" s="76"/>
      <c r="AB238" s="76"/>
      <c r="AC238" s="76"/>
      <c r="AD238" s="39"/>
      <c r="AE238" s="39"/>
      <c r="AF238" s="76"/>
      <c r="AG238" s="76"/>
      <c r="AH238" s="76"/>
      <c r="AI238" s="76"/>
      <c r="AL238" s="76"/>
      <c r="AM238" s="38"/>
      <c r="AN238" s="38"/>
      <c r="AO238" s="39"/>
      <c r="AP238" s="39"/>
      <c r="AQ238" s="38"/>
      <c r="AR238" s="38"/>
      <c r="AS238" s="49"/>
      <c r="AT238" s="49"/>
      <c r="AU238" s="49"/>
      <c r="AV238" s="49"/>
      <c r="AW238" s="49"/>
      <c r="AX238" s="49"/>
      <c r="AZ238" s="49"/>
      <c r="BA238" s="38"/>
      <c r="BB238" s="38"/>
      <c r="BC238" s="38"/>
      <c r="BD238" s="39"/>
      <c r="BE238" s="39"/>
      <c r="BF238" s="38"/>
      <c r="BG238" s="38"/>
      <c r="BH238" s="39"/>
      <c r="BJ238" s="50"/>
      <c r="BK238" s="50"/>
    </row>
    <row r="239" spans="1:70" x14ac:dyDescent="0.2">
      <c r="A239" s="50" t="s">
        <v>1189</v>
      </c>
      <c r="B239" s="50" t="s">
        <v>1174</v>
      </c>
      <c r="Q239" s="38" t="e">
        <f t="shared" si="104"/>
        <v>#DIV/0!</v>
      </c>
      <c r="R239" s="49"/>
      <c r="S239" s="39"/>
      <c r="T239" s="39"/>
      <c r="V239" s="76"/>
      <c r="W239" s="76"/>
      <c r="Z239" s="76"/>
      <c r="AA239" s="76"/>
      <c r="AB239" s="38"/>
      <c r="AC239" s="38"/>
      <c r="AD239" s="39"/>
      <c r="AE239" s="76"/>
      <c r="AF239" s="76"/>
      <c r="AG239" s="76"/>
      <c r="AH239" s="76"/>
      <c r="AI239" s="38"/>
      <c r="AL239" s="38"/>
      <c r="AM239" s="39"/>
      <c r="AN239" s="38"/>
      <c r="AO239" s="39"/>
      <c r="AP239" s="38"/>
      <c r="AQ239" s="49"/>
      <c r="AR239" s="38"/>
      <c r="AS239" s="49"/>
      <c r="AT239" s="49"/>
      <c r="AU239" s="49"/>
      <c r="AV239" s="49"/>
      <c r="AW239" s="49"/>
      <c r="AX239" s="38"/>
      <c r="AZ239" s="38"/>
      <c r="BA239" s="38"/>
      <c r="BB239" s="39"/>
      <c r="BC239" s="39"/>
      <c r="BD239" s="39"/>
      <c r="BE239" s="38"/>
      <c r="BF239" s="38"/>
      <c r="BG239" s="76"/>
      <c r="BH239" s="39"/>
      <c r="BJ239" s="50"/>
      <c r="BK239" s="50"/>
    </row>
    <row r="240" spans="1:70" x14ac:dyDescent="0.2">
      <c r="A240" s="71" t="s">
        <v>1189</v>
      </c>
      <c r="B240" s="50" t="s">
        <v>717</v>
      </c>
      <c r="H240" s="49">
        <f>V240*1.4616/10000</f>
        <v>0.67010265423576876</v>
      </c>
      <c r="I240" s="38">
        <v>19.089551770506496</v>
      </c>
      <c r="M240" s="49">
        <v>0.16800000000000001</v>
      </c>
      <c r="Q240" s="38">
        <f t="shared" si="104"/>
        <v>0</v>
      </c>
      <c r="R240" s="49"/>
      <c r="S240" s="39"/>
      <c r="T240" s="39">
        <v>39.12182877633348</v>
      </c>
      <c r="V240" s="76">
        <v>4584.7198565665622</v>
      </c>
      <c r="X240" s="39">
        <v>66.097086508292236</v>
      </c>
      <c r="Y240" s="76">
        <v>128.32362169430746</v>
      </c>
      <c r="Z240" s="39">
        <v>2.1988346033168984</v>
      </c>
      <c r="AA240" s="39"/>
      <c r="AB240" s="39">
        <v>0.47095472882115635</v>
      </c>
      <c r="AC240" s="39"/>
      <c r="AD240" s="39"/>
      <c r="AE240" s="76">
        <v>32.502913491707758</v>
      </c>
      <c r="AF240" s="291">
        <f>1560*10^((LOG10(AU240/55.6)+LOG10(AV240/158.9))/2)</f>
        <v>35.202957060043275</v>
      </c>
      <c r="AG240" s="76">
        <v>112.51456745853875</v>
      </c>
      <c r="AH240" s="76"/>
      <c r="AI240" s="76"/>
      <c r="AJ240" s="38">
        <v>9.1676378305692516E-2</v>
      </c>
      <c r="AK240" s="76">
        <v>127.341102644554</v>
      </c>
      <c r="AL240" s="38">
        <v>7.7178126400717169</v>
      </c>
      <c r="AM240" s="39">
        <v>20.923576871358136</v>
      </c>
      <c r="AN240" s="199">
        <f>89.1*EXP((LN(AL240/234.7)+2*LN(AO240/452.4))/3)</f>
        <v>2.7353012437123723</v>
      </c>
      <c r="AO240" s="39">
        <v>13.419094576423127</v>
      </c>
      <c r="AP240" s="38">
        <v>4.0916943074854322</v>
      </c>
      <c r="AQ240" s="49">
        <v>0.40305826983415499</v>
      </c>
      <c r="AR240" s="200">
        <f>AVERAGE(BP240:BR240)</f>
        <v>5.0700366318424486</v>
      </c>
      <c r="AS240" s="38">
        <v>0.89715374271627057</v>
      </c>
      <c r="AT240" s="200">
        <f>(242.7*10^((4*LOG10(AS240/36.3)+LOG10(AX240/162.5))/5)+242.7*10^((4*LOG10(AP240/147.1)+4*LOG10(AX240/162.5))/8))/2</f>
        <v>5.7922570736238788</v>
      </c>
      <c r="AU240" s="200">
        <f>(55.6*10^((3*LOG10(AS240/36.3)+2*LOG10(AX240/162.5))/5)+55.6*10^((3*LOG10(AP240/147.1)+5*LOG10(AX240/162.5))/8))/2</f>
        <v>1.2783128108572899</v>
      </c>
      <c r="AV240" s="200">
        <f>(158.9*10^((2*LOG10(AS240/36.3)+3*LOG10(AX240/162.5))/5)+158.9*10^((2*LOG10(AP240/147.1)+6*LOG10(AX240/162.5))/8))/2</f>
        <v>3.5194163116434281</v>
      </c>
      <c r="AW240" s="201">
        <f>(24.2*10^((LOG10(AS240/36.3)+4*LOG10(AX240/162.5))/5)+24.2*10^((LOG10(AP240/147.1)+7*LOG10(AX240/162.5))/8))/2</f>
        <v>0.51635288170803584</v>
      </c>
      <c r="AX240" s="38">
        <v>3.3401748095024648</v>
      </c>
      <c r="AY240" s="49">
        <v>0.46847557149260416</v>
      </c>
      <c r="AZ240" s="38">
        <v>3.1998431196772743</v>
      </c>
      <c r="BA240" s="38">
        <v>0.37212460779919321</v>
      </c>
      <c r="BB240" s="38">
        <v>0</v>
      </c>
      <c r="BC240" s="38">
        <v>0.13742716270730615</v>
      </c>
      <c r="BD240" s="39">
        <v>0</v>
      </c>
      <c r="BE240" s="38">
        <v>1.2905647691618107</v>
      </c>
      <c r="BF240" s="38">
        <v>0.34877185118780812</v>
      </c>
      <c r="BG240" s="50">
        <v>44.62</v>
      </c>
      <c r="BH240" s="39"/>
      <c r="BJ240" s="50"/>
      <c r="BK240" s="50"/>
      <c r="BP240" s="116">
        <f>196.6*10^(LOG10(AP240/147.1)+(LOG10(AP240/147.1)-LOG10(AL240/234.7))*0.4)</f>
        <v>5.1144362173799545</v>
      </c>
      <c r="BQ240" s="116">
        <f>196.6*10^(LOG10(AP240/147.1)+0.6666*(LOG10(AS240/36.3)-LOG10(AP240/147.1)))</f>
        <v>5.0542564040734073</v>
      </c>
      <c r="BR240" s="116">
        <f>196.6*10^(LOG10(AS240/36.3)-(LOG10(AX240/162.5)-LOG10(AS240/36.3))/5)</f>
        <v>5.0414172740739849</v>
      </c>
    </row>
    <row r="241" spans="1:70" x14ac:dyDescent="0.2">
      <c r="A241" s="50" t="s">
        <v>1189</v>
      </c>
      <c r="B241" s="50" t="s">
        <v>700</v>
      </c>
      <c r="Q241" s="38" t="e">
        <f t="shared" si="104"/>
        <v>#DIV/0!</v>
      </c>
      <c r="R241" s="49"/>
      <c r="S241" s="39"/>
      <c r="T241" s="39"/>
      <c r="V241" s="76"/>
      <c r="W241" s="76"/>
      <c r="Z241" s="76"/>
      <c r="AA241" s="76"/>
      <c r="AB241" s="76"/>
      <c r="AC241" s="76"/>
      <c r="AD241" s="39"/>
      <c r="AE241" s="39"/>
      <c r="AF241" s="76"/>
      <c r="AG241" s="76"/>
      <c r="AH241" s="76"/>
      <c r="AI241" s="76"/>
      <c r="AL241" s="76"/>
      <c r="AM241" s="38"/>
      <c r="AN241" s="38"/>
      <c r="AO241" s="39"/>
      <c r="AP241" s="39"/>
      <c r="AQ241" s="38"/>
      <c r="AR241" s="38"/>
      <c r="AS241" s="49"/>
      <c r="AT241" s="49"/>
      <c r="AU241" s="49"/>
      <c r="AV241" s="49"/>
      <c r="AW241" s="49"/>
      <c r="AX241" s="49"/>
      <c r="AZ241" s="49"/>
      <c r="BA241" s="38"/>
      <c r="BB241" s="38"/>
      <c r="BC241" s="38"/>
      <c r="BD241" s="39"/>
      <c r="BE241" s="39"/>
      <c r="BF241" s="38"/>
      <c r="BG241" s="38"/>
      <c r="BH241" s="39"/>
      <c r="BJ241" s="50"/>
      <c r="BK241" s="50"/>
    </row>
    <row r="242" spans="1:70" s="36" customFormat="1" x14ac:dyDescent="0.2">
      <c r="A242" s="36" t="s">
        <v>1189</v>
      </c>
      <c r="B242" s="36" t="s">
        <v>279</v>
      </c>
      <c r="D242" s="34" t="e">
        <f>SUM(E242:O242)</f>
        <v>#DIV/0!</v>
      </c>
      <c r="E242" s="34" t="e">
        <f t="shared" ref="E242:O242" si="123">AVERAGE(E239:E241)</f>
        <v>#DIV/0!</v>
      </c>
      <c r="F242" s="34" t="e">
        <f t="shared" si="123"/>
        <v>#DIV/0!</v>
      </c>
      <c r="G242" s="34" t="e">
        <f t="shared" si="123"/>
        <v>#DIV/0!</v>
      </c>
      <c r="H242" s="37">
        <f t="shared" si="123"/>
        <v>0.67010265423576876</v>
      </c>
      <c r="I242" s="34">
        <f t="shared" si="123"/>
        <v>19.089551770506496</v>
      </c>
      <c r="J242" s="37" t="e">
        <f t="shared" si="123"/>
        <v>#DIV/0!</v>
      </c>
      <c r="K242" s="34" t="e">
        <f t="shared" si="123"/>
        <v>#DIV/0!</v>
      </c>
      <c r="L242" s="34" t="e">
        <f t="shared" si="123"/>
        <v>#DIV/0!</v>
      </c>
      <c r="M242" s="37">
        <f t="shared" si="123"/>
        <v>0.16800000000000001</v>
      </c>
      <c r="N242" s="37" t="e">
        <f t="shared" si="123"/>
        <v>#DIV/0!</v>
      </c>
      <c r="O242" s="37" t="e">
        <f t="shared" si="123"/>
        <v>#DIV/0!</v>
      </c>
      <c r="Q242" s="38" t="e">
        <f t="shared" si="104"/>
        <v>#DIV/0!</v>
      </c>
      <c r="R242" s="37" t="e">
        <f t="shared" ref="R242:BF242" si="124">AVERAGE(R239:R241)</f>
        <v>#DIV/0!</v>
      </c>
      <c r="S242" s="72" t="e">
        <f t="shared" si="124"/>
        <v>#DIV/0!</v>
      </c>
      <c r="T242" s="72">
        <f t="shared" si="124"/>
        <v>39.12182877633348</v>
      </c>
      <c r="U242" s="35" t="e">
        <f t="shared" si="124"/>
        <v>#DIV/0!</v>
      </c>
      <c r="V242" s="35">
        <f t="shared" si="124"/>
        <v>4584.7198565665622</v>
      </c>
      <c r="W242" s="35" t="e">
        <f t="shared" si="124"/>
        <v>#DIV/0!</v>
      </c>
      <c r="X242" s="72">
        <f t="shared" si="124"/>
        <v>66.097086508292236</v>
      </c>
      <c r="Y242" s="35">
        <f t="shared" si="124"/>
        <v>128.32362169430746</v>
      </c>
      <c r="Z242" s="35">
        <f t="shared" si="124"/>
        <v>2.1988346033168984</v>
      </c>
      <c r="AA242" s="35" t="e">
        <f t="shared" si="124"/>
        <v>#DIV/0!</v>
      </c>
      <c r="AB242" s="34">
        <f t="shared" si="124"/>
        <v>0.47095472882115635</v>
      </c>
      <c r="AC242" s="34" t="e">
        <f t="shared" si="124"/>
        <v>#DIV/0!</v>
      </c>
      <c r="AD242" s="72" t="e">
        <f t="shared" si="124"/>
        <v>#DIV/0!</v>
      </c>
      <c r="AE242" s="35">
        <f t="shared" si="124"/>
        <v>32.502913491707758</v>
      </c>
      <c r="AF242" s="35">
        <f t="shared" si="124"/>
        <v>35.202957060043275</v>
      </c>
      <c r="AG242" s="35">
        <f t="shared" si="124"/>
        <v>112.51456745853875</v>
      </c>
      <c r="AH242" s="35" t="e">
        <f t="shared" si="124"/>
        <v>#DIV/0!</v>
      </c>
      <c r="AI242" s="34" t="e">
        <f t="shared" si="124"/>
        <v>#DIV/0!</v>
      </c>
      <c r="AJ242" s="34">
        <f t="shared" si="124"/>
        <v>9.1676378305692516E-2</v>
      </c>
      <c r="AK242" s="35">
        <f t="shared" si="124"/>
        <v>127.341102644554</v>
      </c>
      <c r="AL242" s="34">
        <f t="shared" si="124"/>
        <v>7.7178126400717169</v>
      </c>
      <c r="AM242" s="72">
        <f t="shared" si="124"/>
        <v>20.923576871358136</v>
      </c>
      <c r="AN242" s="34">
        <f t="shared" si="124"/>
        <v>2.7353012437123723</v>
      </c>
      <c r="AO242" s="72">
        <f t="shared" si="124"/>
        <v>13.419094576423127</v>
      </c>
      <c r="AP242" s="34">
        <f t="shared" si="124"/>
        <v>4.0916943074854322</v>
      </c>
      <c r="AQ242" s="37">
        <f t="shared" si="124"/>
        <v>0.40305826983415499</v>
      </c>
      <c r="AR242" s="34">
        <f t="shared" si="124"/>
        <v>5.0700366318424486</v>
      </c>
      <c r="AS242" s="37">
        <f t="shared" si="124"/>
        <v>0.89715374271627057</v>
      </c>
      <c r="AT242" s="37">
        <f t="shared" si="124"/>
        <v>5.7922570736238788</v>
      </c>
      <c r="AU242" s="37">
        <f t="shared" si="124"/>
        <v>1.2783128108572899</v>
      </c>
      <c r="AV242" s="37">
        <f t="shared" si="124"/>
        <v>3.5194163116434281</v>
      </c>
      <c r="AW242" s="37">
        <f t="shared" si="124"/>
        <v>0.51635288170803584</v>
      </c>
      <c r="AX242" s="34">
        <f t="shared" si="124"/>
        <v>3.3401748095024648</v>
      </c>
      <c r="AY242" s="37">
        <f t="shared" si="124"/>
        <v>0.46847557149260416</v>
      </c>
      <c r="AZ242" s="34">
        <f t="shared" si="124"/>
        <v>3.1998431196772743</v>
      </c>
      <c r="BA242" s="34">
        <f t="shared" si="124"/>
        <v>0.37212460779919321</v>
      </c>
      <c r="BB242" s="72">
        <f t="shared" si="124"/>
        <v>0</v>
      </c>
      <c r="BC242" s="72">
        <f t="shared" si="124"/>
        <v>0.13742716270730615</v>
      </c>
      <c r="BD242" s="72">
        <f t="shared" si="124"/>
        <v>0</v>
      </c>
      <c r="BE242" s="34">
        <f t="shared" si="124"/>
        <v>1.2905647691618107</v>
      </c>
      <c r="BF242" s="34">
        <f t="shared" si="124"/>
        <v>0.34877185118780812</v>
      </c>
      <c r="BG242" s="34"/>
      <c r="BH242" s="72"/>
      <c r="BL242" s="37"/>
    </row>
    <row r="243" spans="1:70" x14ac:dyDescent="0.2">
      <c r="Q243" s="38" t="e">
        <f t="shared" si="104"/>
        <v>#DIV/0!</v>
      </c>
      <c r="R243" s="49"/>
      <c r="S243" s="39"/>
      <c r="T243" s="39"/>
      <c r="V243" s="76"/>
      <c r="W243" s="76"/>
      <c r="Z243" s="76"/>
      <c r="AA243" s="76"/>
      <c r="AB243" s="38"/>
      <c r="AC243" s="38"/>
      <c r="AD243" s="39"/>
      <c r="AE243" s="76"/>
      <c r="AF243" s="76"/>
      <c r="AG243" s="76"/>
      <c r="AH243" s="76"/>
      <c r="AI243" s="38"/>
      <c r="AL243" s="38"/>
      <c r="AM243" s="39"/>
      <c r="AN243" s="38"/>
      <c r="AO243" s="39"/>
      <c r="AP243" s="38"/>
      <c r="AQ243" s="49"/>
      <c r="AR243" s="38"/>
      <c r="AS243" s="49"/>
      <c r="AT243" s="49"/>
      <c r="AU243" s="49"/>
      <c r="AV243" s="49"/>
      <c r="AW243" s="49"/>
      <c r="AX243" s="38"/>
      <c r="AZ243" s="38"/>
      <c r="BA243" s="38"/>
      <c r="BB243" s="39"/>
      <c r="BC243" s="39"/>
      <c r="BD243" s="39"/>
      <c r="BE243" s="38"/>
      <c r="BF243" s="38"/>
      <c r="BG243" s="76"/>
      <c r="BH243" s="39"/>
      <c r="BJ243" s="50"/>
      <c r="BK243" s="50"/>
    </row>
    <row r="244" spans="1:70" x14ac:dyDescent="0.2">
      <c r="A244" s="50" t="s">
        <v>1190</v>
      </c>
      <c r="B244" s="50" t="s">
        <v>1174</v>
      </c>
      <c r="Q244" s="38" t="e">
        <f t="shared" si="104"/>
        <v>#DIV/0!</v>
      </c>
      <c r="R244" s="49"/>
      <c r="S244" s="39"/>
      <c r="T244" s="39"/>
      <c r="V244" s="76"/>
      <c r="W244" s="76"/>
      <c r="Z244" s="76"/>
      <c r="AA244" s="76"/>
      <c r="AB244" s="38"/>
      <c r="AC244" s="38"/>
      <c r="AD244" s="39"/>
      <c r="AE244" s="76"/>
      <c r="AF244" s="76"/>
      <c r="AG244" s="76"/>
      <c r="AH244" s="76"/>
      <c r="AI244" s="38"/>
      <c r="AL244" s="38"/>
      <c r="AM244" s="39"/>
      <c r="AN244" s="38"/>
      <c r="AO244" s="39"/>
      <c r="AP244" s="38"/>
      <c r="AQ244" s="49"/>
      <c r="AR244" s="38"/>
      <c r="AS244" s="49"/>
      <c r="AT244" s="49"/>
      <c r="AU244" s="49"/>
      <c r="AV244" s="49"/>
      <c r="AW244" s="49"/>
      <c r="AX244" s="38"/>
      <c r="AZ244" s="38"/>
      <c r="BA244" s="38"/>
      <c r="BB244" s="39"/>
      <c r="BC244" s="39"/>
      <c r="BD244" s="39"/>
      <c r="BE244" s="38"/>
      <c r="BF244" s="38"/>
      <c r="BG244" s="76"/>
      <c r="BH244" s="39"/>
      <c r="BJ244" s="50"/>
      <c r="BK244" s="50"/>
    </row>
    <row r="245" spans="1:70" x14ac:dyDescent="0.2">
      <c r="A245" s="71" t="s">
        <v>1190</v>
      </c>
      <c r="B245" s="50" t="s">
        <v>717</v>
      </c>
      <c r="H245" s="49">
        <f>V245*1.4616/10000</f>
        <v>0.40632479999999999</v>
      </c>
      <c r="I245" s="38">
        <v>19.8</v>
      </c>
      <c r="M245" s="49">
        <v>0.20399999999999999</v>
      </c>
      <c r="N245" s="49" t="s">
        <v>1198</v>
      </c>
      <c r="Q245" s="38">
        <f t="shared" si="104"/>
        <v>0</v>
      </c>
      <c r="R245" s="49"/>
      <c r="S245" s="39"/>
      <c r="T245" s="39">
        <v>42.8</v>
      </c>
      <c r="V245" s="76">
        <v>2780</v>
      </c>
      <c r="X245" s="39">
        <v>51.1</v>
      </c>
      <c r="Y245" s="76">
        <v>70</v>
      </c>
      <c r="Z245" s="39">
        <v>21</v>
      </c>
      <c r="AA245" s="39"/>
      <c r="AB245" s="39">
        <v>0.3</v>
      </c>
      <c r="AC245" s="39"/>
      <c r="AD245" s="39"/>
      <c r="AE245" s="76">
        <v>70</v>
      </c>
      <c r="AF245" s="291">
        <f>1560*10^((LOG10(AU245/55.6)+LOG10(AV245/158.9))/2)</f>
        <v>109.32100241102097</v>
      </c>
      <c r="AG245" s="76">
        <v>420</v>
      </c>
      <c r="AH245" s="76"/>
      <c r="AI245" s="76"/>
      <c r="AJ245" s="38">
        <v>0.13</v>
      </c>
      <c r="AK245" s="76">
        <v>326</v>
      </c>
      <c r="AL245" s="38">
        <v>50</v>
      </c>
      <c r="AM245" s="39">
        <v>129</v>
      </c>
      <c r="AN245" s="199">
        <f>89.1*EXP((LN(AL245/234.7)+2*LN(AO245/452.4))/3)</f>
        <v>16.484584810312885</v>
      </c>
      <c r="AO245" s="39">
        <v>78</v>
      </c>
      <c r="AP245" s="38">
        <v>21.7</v>
      </c>
      <c r="AQ245" s="49">
        <v>1.25</v>
      </c>
      <c r="AR245" s="200">
        <f>AVERAGE(BP245:BR245)</f>
        <v>23.87180927274564</v>
      </c>
      <c r="AS245" s="38">
        <v>3.76</v>
      </c>
      <c r="AT245" s="200">
        <f>(242.7*10^((4*LOG10(AS245/36.3)+LOG10(AX245/162.5))/5)+242.7*10^((4*LOG10(AP245/147.1)+4*LOG10(AX245/162.5))/8))/2</f>
        <v>21.118389423146404</v>
      </c>
      <c r="AU245" s="200">
        <f>(55.6*10^((3*LOG10(AS245/36.3)+2*LOG10(AX245/162.5))/5)+55.6*10^((3*LOG10(AP245/147.1)+5*LOG10(AX245/162.5))/8))/2</f>
        <v>4.1877986471226549</v>
      </c>
      <c r="AV245" s="200">
        <f>(158.9*10^((2*LOG10(AS245/36.3)+3*LOG10(AX245/162.5))/5)+158.9*10^((2*LOG10(AP245/147.1)+6*LOG10(AX245/162.5))/8))/2</f>
        <v>10.360266102253242</v>
      </c>
      <c r="AW245" s="201">
        <f>(24.2*10^((LOG10(AS245/36.3)+4*LOG10(AX245/162.5))/5)+24.2*10^((LOG10(AP245/147.1)+7*LOG10(AX245/162.5))/8))/2</f>
        <v>1.3658859068321552</v>
      </c>
      <c r="AX245" s="38">
        <v>7.94</v>
      </c>
      <c r="AY245" s="49">
        <v>0.98099999999999998</v>
      </c>
      <c r="AZ245" s="38">
        <v>10.029999999999999</v>
      </c>
      <c r="BA245" s="38">
        <v>0.85</v>
      </c>
      <c r="BB245" s="38">
        <v>0.7</v>
      </c>
      <c r="BC245" s="38">
        <v>0</v>
      </c>
      <c r="BD245" s="39">
        <v>0</v>
      </c>
      <c r="BE245" s="38">
        <v>4.93</v>
      </c>
      <c r="BF245" s="38">
        <v>1.1499999999999999</v>
      </c>
      <c r="BG245" s="50">
        <v>22.46</v>
      </c>
      <c r="BH245" s="39"/>
      <c r="BJ245" s="50"/>
      <c r="BK245" s="50"/>
      <c r="BP245" s="116">
        <f>196.6*10^(LOG10(AP245/147.1)+(LOG10(AP245/147.1)-LOG10(AL245/234.7))*0.4)</f>
        <v>25.037250422619003</v>
      </c>
      <c r="BQ245" s="116">
        <f>196.6*10^(LOG10(AP245/147.1)+0.6666*(LOG10(AS245/36.3)-LOG10(AP245/147.1)))</f>
        <v>22.912030821921874</v>
      </c>
      <c r="BR245" s="116">
        <f>196.6*10^(LOG10(AS245/36.3)-(LOG10(AX245/162.5)-LOG10(AS245/36.3))/5)</f>
        <v>23.66614657369605</v>
      </c>
    </row>
    <row r="246" spans="1:70" x14ac:dyDescent="0.2">
      <c r="A246" s="50" t="s">
        <v>1190</v>
      </c>
      <c r="B246" s="50" t="s">
        <v>700</v>
      </c>
      <c r="E246" s="301">
        <v>46.73817191248186</v>
      </c>
      <c r="F246" s="301">
        <v>1.0366109570317388</v>
      </c>
      <c r="G246" s="301">
        <v>7.8449515393040867</v>
      </c>
      <c r="H246" s="302">
        <v>0.42820035853864469</v>
      </c>
      <c r="I246" s="301">
        <v>19.236584700011544</v>
      </c>
      <c r="J246" s="302">
        <v>0.27217860916359443</v>
      </c>
      <c r="K246" s="301">
        <v>12.524189731706633</v>
      </c>
      <c r="L246" s="301">
        <v>11.124595564095436</v>
      </c>
      <c r="M246" s="302" t="s">
        <v>1197</v>
      </c>
      <c r="N246" s="302">
        <v>0.1476131599339946</v>
      </c>
      <c r="O246" s="302">
        <v>0.32103361052355028</v>
      </c>
      <c r="Q246" s="38">
        <f t="shared" si="104"/>
        <v>53.716190786166557</v>
      </c>
      <c r="R246" s="49"/>
      <c r="S246" s="39"/>
      <c r="T246" s="39"/>
      <c r="V246" s="76"/>
      <c r="W246" s="76"/>
      <c r="Z246" s="76"/>
      <c r="AA246" s="76"/>
      <c r="AB246" s="76"/>
      <c r="AC246" s="76"/>
      <c r="AD246" s="39"/>
      <c r="AE246" s="39"/>
      <c r="AF246" s="76"/>
      <c r="AG246" s="76"/>
      <c r="AH246" s="76"/>
      <c r="AI246" s="76"/>
      <c r="AL246" s="76"/>
      <c r="AM246" s="38"/>
      <c r="AN246" s="38"/>
      <c r="AO246" s="39"/>
      <c r="AP246" s="39"/>
      <c r="AQ246" s="38"/>
      <c r="AR246" s="38"/>
      <c r="AS246" s="49"/>
      <c r="AT246" s="49"/>
      <c r="AU246" s="49"/>
      <c r="AV246" s="49"/>
      <c r="AW246" s="49"/>
      <c r="AX246" s="49"/>
      <c r="AZ246" s="49"/>
      <c r="BA246" s="38"/>
      <c r="BB246" s="38"/>
      <c r="BC246" s="38"/>
      <c r="BD246" s="39"/>
      <c r="BE246" s="39"/>
      <c r="BF246" s="38"/>
      <c r="BG246" s="38"/>
      <c r="BH246" s="39"/>
      <c r="BJ246" s="50"/>
      <c r="BK246" s="50"/>
    </row>
    <row r="247" spans="1:70" s="36" customFormat="1" x14ac:dyDescent="0.2">
      <c r="A247" s="36" t="s">
        <v>1190</v>
      </c>
      <c r="B247" s="36" t="s">
        <v>279</v>
      </c>
      <c r="D247" s="34">
        <f>SUM(E247:O247)</f>
        <v>100.14890001351598</v>
      </c>
      <c r="E247" s="34">
        <f t="shared" ref="E247:O247" si="125">AVERAGE(E244:E246)</f>
        <v>46.73817191248186</v>
      </c>
      <c r="F247" s="34">
        <f t="shared" si="125"/>
        <v>1.0366109570317388</v>
      </c>
      <c r="G247" s="34">
        <f t="shared" si="125"/>
        <v>7.8449515393040867</v>
      </c>
      <c r="H247" s="37">
        <f t="shared" si="125"/>
        <v>0.41726257926932231</v>
      </c>
      <c r="I247" s="34">
        <f t="shared" si="125"/>
        <v>19.518292350005773</v>
      </c>
      <c r="J247" s="37">
        <f t="shared" si="125"/>
        <v>0.27217860916359443</v>
      </c>
      <c r="K247" s="34">
        <f t="shared" si="125"/>
        <v>12.524189731706633</v>
      </c>
      <c r="L247" s="34">
        <f t="shared" si="125"/>
        <v>11.124595564095436</v>
      </c>
      <c r="M247" s="37">
        <f t="shared" si="125"/>
        <v>0.20399999999999999</v>
      </c>
      <c r="N247" s="37">
        <f t="shared" si="125"/>
        <v>0.1476131599339946</v>
      </c>
      <c r="O247" s="37">
        <f t="shared" si="125"/>
        <v>0.32103361052355028</v>
      </c>
      <c r="Q247" s="38">
        <f t="shared" si="104"/>
        <v>53.354555108916934</v>
      </c>
      <c r="R247" s="37" t="e">
        <f t="shared" ref="R247:BF247" si="126">AVERAGE(R244:R246)</f>
        <v>#DIV/0!</v>
      </c>
      <c r="S247" s="72" t="e">
        <f t="shared" si="126"/>
        <v>#DIV/0!</v>
      </c>
      <c r="T247" s="72">
        <f t="shared" si="126"/>
        <v>42.8</v>
      </c>
      <c r="U247" s="35" t="e">
        <f t="shared" si="126"/>
        <v>#DIV/0!</v>
      </c>
      <c r="V247" s="35">
        <f t="shared" si="126"/>
        <v>2780</v>
      </c>
      <c r="W247" s="35" t="e">
        <f t="shared" si="126"/>
        <v>#DIV/0!</v>
      </c>
      <c r="X247" s="72">
        <f t="shared" si="126"/>
        <v>51.1</v>
      </c>
      <c r="Y247" s="35">
        <f t="shared" si="126"/>
        <v>70</v>
      </c>
      <c r="Z247" s="35">
        <f t="shared" si="126"/>
        <v>21</v>
      </c>
      <c r="AA247" s="35" t="e">
        <f t="shared" si="126"/>
        <v>#DIV/0!</v>
      </c>
      <c r="AB247" s="34">
        <f t="shared" si="126"/>
        <v>0.3</v>
      </c>
      <c r="AC247" s="34" t="e">
        <f t="shared" si="126"/>
        <v>#DIV/0!</v>
      </c>
      <c r="AD247" s="72" t="e">
        <f t="shared" si="126"/>
        <v>#DIV/0!</v>
      </c>
      <c r="AE247" s="35">
        <f t="shared" si="126"/>
        <v>70</v>
      </c>
      <c r="AF247" s="35">
        <f t="shared" si="126"/>
        <v>109.32100241102097</v>
      </c>
      <c r="AG247" s="35">
        <f t="shared" si="126"/>
        <v>420</v>
      </c>
      <c r="AH247" s="35" t="e">
        <f t="shared" si="126"/>
        <v>#DIV/0!</v>
      </c>
      <c r="AI247" s="34" t="e">
        <f t="shared" si="126"/>
        <v>#DIV/0!</v>
      </c>
      <c r="AJ247" s="34">
        <f t="shared" si="126"/>
        <v>0.13</v>
      </c>
      <c r="AK247" s="35">
        <f t="shared" si="126"/>
        <v>326</v>
      </c>
      <c r="AL247" s="72">
        <f t="shared" si="126"/>
        <v>50</v>
      </c>
      <c r="AM247" s="35">
        <f t="shared" si="126"/>
        <v>129</v>
      </c>
      <c r="AN247" s="72">
        <f t="shared" si="126"/>
        <v>16.484584810312885</v>
      </c>
      <c r="AO247" s="35">
        <f t="shared" si="126"/>
        <v>78</v>
      </c>
      <c r="AP247" s="34">
        <f t="shared" si="126"/>
        <v>21.7</v>
      </c>
      <c r="AQ247" s="37">
        <f t="shared" si="126"/>
        <v>1.25</v>
      </c>
      <c r="AR247" s="72">
        <f t="shared" si="126"/>
        <v>23.87180927274564</v>
      </c>
      <c r="AS247" s="34">
        <f t="shared" si="126"/>
        <v>3.76</v>
      </c>
      <c r="AT247" s="72">
        <f t="shared" si="126"/>
        <v>21.118389423146404</v>
      </c>
      <c r="AU247" s="34">
        <f t="shared" si="126"/>
        <v>4.1877986471226549</v>
      </c>
      <c r="AV247" s="72">
        <f t="shared" si="126"/>
        <v>10.360266102253242</v>
      </c>
      <c r="AW247" s="37">
        <f t="shared" si="126"/>
        <v>1.3658859068321552</v>
      </c>
      <c r="AX247" s="34">
        <f t="shared" si="126"/>
        <v>7.94</v>
      </c>
      <c r="AY247" s="37">
        <f t="shared" si="126"/>
        <v>0.98099999999999998</v>
      </c>
      <c r="AZ247" s="34">
        <f t="shared" si="126"/>
        <v>10.029999999999999</v>
      </c>
      <c r="BA247" s="34">
        <f t="shared" si="126"/>
        <v>0.85</v>
      </c>
      <c r="BB247" s="72">
        <f t="shared" si="126"/>
        <v>0.7</v>
      </c>
      <c r="BC247" s="72">
        <f t="shared" si="126"/>
        <v>0</v>
      </c>
      <c r="BD247" s="72">
        <f t="shared" si="126"/>
        <v>0</v>
      </c>
      <c r="BE247" s="34">
        <f t="shared" si="126"/>
        <v>4.93</v>
      </c>
      <c r="BF247" s="34">
        <f t="shared" si="126"/>
        <v>1.1499999999999999</v>
      </c>
      <c r="BG247" s="34"/>
      <c r="BH247" s="72"/>
      <c r="BL247" s="37"/>
    </row>
    <row r="248" spans="1:70" x14ac:dyDescent="0.2">
      <c r="Q248" s="38" t="e">
        <f t="shared" si="104"/>
        <v>#DIV/0!</v>
      </c>
      <c r="R248" s="49"/>
      <c r="S248" s="39"/>
      <c r="T248" s="39"/>
      <c r="V248" s="76"/>
      <c r="W248" s="76"/>
      <c r="Z248" s="76"/>
      <c r="AA248" s="76"/>
      <c r="AB248" s="38"/>
      <c r="AC248" s="38"/>
      <c r="AD248" s="39"/>
      <c r="AE248" s="76"/>
      <c r="AF248" s="76"/>
      <c r="AG248" s="76"/>
      <c r="AH248" s="76"/>
      <c r="AI248" s="38"/>
      <c r="AL248" s="38"/>
      <c r="AM248" s="39"/>
      <c r="AN248" s="38"/>
      <c r="AO248" s="39"/>
      <c r="AP248" s="38"/>
      <c r="AQ248" s="49"/>
      <c r="AR248" s="38"/>
      <c r="AS248" s="49"/>
      <c r="AT248" s="49"/>
      <c r="AU248" s="49"/>
      <c r="AV248" s="49"/>
      <c r="AW248" s="49"/>
      <c r="AX248" s="38"/>
      <c r="AZ248" s="38"/>
      <c r="BA248" s="38"/>
      <c r="BB248" s="39"/>
      <c r="BC248" s="39"/>
      <c r="BD248" s="39"/>
      <c r="BE248" s="38"/>
      <c r="BF248" s="38"/>
      <c r="BG248" s="76"/>
      <c r="BH248" s="39"/>
      <c r="BJ248" s="50"/>
      <c r="BK248" s="50"/>
    </row>
    <row r="249" spans="1:70" x14ac:dyDescent="0.2">
      <c r="A249" s="50" t="s">
        <v>1179</v>
      </c>
      <c r="B249" s="50" t="s">
        <v>1174</v>
      </c>
      <c r="Q249" s="38" t="e">
        <f t="shared" si="104"/>
        <v>#DIV/0!</v>
      </c>
      <c r="R249" s="49"/>
      <c r="S249" s="39"/>
      <c r="T249" s="39"/>
      <c r="V249" s="76"/>
      <c r="W249" s="76"/>
      <c r="Z249" s="76"/>
      <c r="AA249" s="76"/>
      <c r="AB249" s="38"/>
      <c r="AC249" s="38"/>
      <c r="AD249" s="39"/>
      <c r="AE249" s="76"/>
      <c r="AF249" s="76"/>
      <c r="AG249" s="76"/>
      <c r="AH249" s="76"/>
      <c r="AI249" s="38"/>
      <c r="AL249" s="38"/>
      <c r="AM249" s="39"/>
      <c r="AN249" s="38"/>
      <c r="AO249" s="39"/>
      <c r="AP249" s="38"/>
      <c r="AQ249" s="49"/>
      <c r="AR249" s="38"/>
      <c r="AS249" s="49"/>
      <c r="AT249" s="49"/>
      <c r="AU249" s="49"/>
      <c r="AV249" s="49"/>
      <c r="AW249" s="49"/>
      <c r="AX249" s="38"/>
      <c r="AZ249" s="38"/>
      <c r="BA249" s="38"/>
      <c r="BB249" s="39"/>
      <c r="BC249" s="39"/>
      <c r="BD249" s="39"/>
      <c r="BE249" s="38"/>
      <c r="BF249" s="38"/>
      <c r="BG249" s="76"/>
      <c r="BH249" s="39"/>
      <c r="BJ249" s="50"/>
      <c r="BK249" s="50"/>
    </row>
    <row r="250" spans="1:70" x14ac:dyDescent="0.2">
      <c r="A250" s="71" t="s">
        <v>1179</v>
      </c>
      <c r="B250" s="50" t="s">
        <v>717</v>
      </c>
      <c r="H250" s="49">
        <f>V250*1.4616/10000</f>
        <v>0.5151159095393395</v>
      </c>
      <c r="I250" s="38">
        <v>21.447426620464732</v>
      </c>
      <c r="M250" s="49">
        <v>0.13800000000000001</v>
      </c>
      <c r="N250" s="49" t="s">
        <v>1201</v>
      </c>
      <c r="Q250" s="38">
        <f t="shared" si="104"/>
        <v>0</v>
      </c>
      <c r="R250" s="49"/>
      <c r="S250" s="39"/>
      <c r="T250" s="39">
        <v>39.958387688544633</v>
      </c>
      <c r="V250" s="76">
        <v>3524.3288830004067</v>
      </c>
      <c r="X250" s="39">
        <v>66.232236037505075</v>
      </c>
      <c r="Y250" s="76">
        <v>119.41092539747244</v>
      </c>
      <c r="Z250" s="39">
        <v>1.3035568691398287</v>
      </c>
      <c r="AA250" s="39"/>
      <c r="AB250" s="39">
        <v>0.25096310640032615</v>
      </c>
      <c r="AC250" s="39"/>
      <c r="AD250" s="39"/>
      <c r="AE250" s="76">
        <v>60.367152466367706</v>
      </c>
      <c r="AF250" s="291">
        <f>1560*10^((LOG10(AU250/55.6)+LOG10(AV250/158.9))/2)</f>
        <v>36.703146102935825</v>
      </c>
      <c r="AG250" s="76">
        <v>124.21983285772519</v>
      </c>
      <c r="AH250" s="76"/>
      <c r="AI250" s="76"/>
      <c r="AJ250" s="38">
        <v>6.0968711781492047E-2</v>
      </c>
      <c r="AK250" s="76">
        <v>126.27986139421114</v>
      </c>
      <c r="AL250" s="38">
        <v>9.940033632286994</v>
      </c>
      <c r="AM250" s="39">
        <v>26.291158785161024</v>
      </c>
      <c r="AN250" s="199">
        <f>89.1*EXP((LN(AL250/234.7)+2*LN(AO250/452.4))/3)</f>
        <v>3.4353628552990711</v>
      </c>
      <c r="AO250" s="39">
        <v>16.64284549531186</v>
      </c>
      <c r="AP250" s="38">
        <v>4.8137576437015897</v>
      </c>
      <c r="AQ250" s="49">
        <v>0.54314808397880143</v>
      </c>
      <c r="AR250" s="200">
        <f>AVERAGE(BP250:BR250)</f>
        <v>5.7065645457832899</v>
      </c>
      <c r="AS250" s="38">
        <v>0.9836985324092945</v>
      </c>
      <c r="AT250" s="200">
        <f>(242.7*10^((4*LOG10(AS250/36.3)+LOG10(AX250/162.5))/5)+242.7*10^((4*LOG10(AP250/147.1)+4*LOG10(AX250/162.5))/8))/2</f>
        <v>6.2342182330357341</v>
      </c>
      <c r="AU250" s="200">
        <f>(55.6*10^((3*LOG10(AS250/36.3)+2*LOG10(AX250/162.5))/5)+55.6*10^((3*LOG10(AP250/147.1)+5*LOG10(AX250/162.5))/8))/2</f>
        <v>1.3469904524134304</v>
      </c>
      <c r="AV250" s="200">
        <f>(158.9*10^((2*LOG10(AS250/36.3)+3*LOG10(AX250/162.5))/5)+158.9*10^((2*LOG10(AP250/147.1)+6*LOG10(AX250/162.5))/8))/2</f>
        <v>3.630709985596539</v>
      </c>
      <c r="AW250" s="201">
        <f>(24.2*10^((LOG10(AS250/36.3)+4*LOG10(AX250/162.5))/5)+24.2*10^((LOG10(AP250/147.1)+7*LOG10(AX250/162.5))/8))/2</f>
        <v>0.52150851098518669</v>
      </c>
      <c r="AX250" s="38">
        <v>3.3027690582959637</v>
      </c>
      <c r="AY250" s="49">
        <v>0.45446188340807159</v>
      </c>
      <c r="AZ250" s="38">
        <v>3.5577145332246225</v>
      </c>
      <c r="BA250" s="38">
        <v>0.43663575214023637</v>
      </c>
      <c r="BB250" s="38">
        <v>0.54364553607827149</v>
      </c>
      <c r="BC250" s="38">
        <v>0.23916123114553603</v>
      </c>
      <c r="BD250" s="39">
        <v>0.16908887077048509</v>
      </c>
      <c r="BE250" s="38">
        <v>1.4516698940073376</v>
      </c>
      <c r="BF250" s="38">
        <v>0.40596565430085607</v>
      </c>
      <c r="BG250" s="50">
        <v>196.24</v>
      </c>
      <c r="BH250" s="39"/>
      <c r="BJ250" s="50"/>
      <c r="BK250" s="50"/>
      <c r="BP250" s="116">
        <f>196.6*10^(LOG10(AP250/147.1)+(LOG10(AP250/147.1)-LOG10(AL250/234.7))*0.4)</f>
        <v>5.8030161031666232</v>
      </c>
      <c r="BQ250" s="116">
        <f>196.6*10^(LOG10(AP250/147.1)+0.6666*(LOG10(AS250/36.3)-LOG10(AP250/147.1)))</f>
        <v>5.6734829801172459</v>
      </c>
      <c r="BR250" s="116">
        <f>196.6*10^(LOG10(AS250/36.3)-(LOG10(AX250/162.5)-LOG10(AS250/36.3))/5)</f>
        <v>5.6431945540660013</v>
      </c>
    </row>
    <row r="251" spans="1:70" x14ac:dyDescent="0.2">
      <c r="A251" s="50" t="s">
        <v>1179</v>
      </c>
      <c r="B251" s="50" t="s">
        <v>700</v>
      </c>
      <c r="E251" s="301">
        <v>46.327955008847823</v>
      </c>
      <c r="F251" s="301">
        <v>0.90975181996167809</v>
      </c>
      <c r="G251" s="301">
        <v>8.5324614226295026</v>
      </c>
      <c r="H251" s="302" t="s">
        <v>1199</v>
      </c>
      <c r="I251" s="301">
        <v>21.454762688965914</v>
      </c>
      <c r="J251" s="302">
        <v>0.2869919896936477</v>
      </c>
      <c r="K251" s="301">
        <v>10.907516273317352</v>
      </c>
      <c r="L251" s="301">
        <v>10.513222570073728</v>
      </c>
      <c r="M251" s="302" t="s">
        <v>1200</v>
      </c>
      <c r="N251" s="302">
        <v>1.1561368295873255E-2</v>
      </c>
      <c r="O251" s="302">
        <v>0.10131343449022186</v>
      </c>
      <c r="Q251" s="38">
        <f t="shared" si="104"/>
        <v>47.541476239477205</v>
      </c>
      <c r="R251" s="49"/>
      <c r="S251" s="39"/>
      <c r="T251" s="39"/>
      <c r="V251" s="76"/>
      <c r="W251" s="76"/>
      <c r="Z251" s="76"/>
      <c r="AA251" s="76"/>
      <c r="AB251" s="76"/>
      <c r="AC251" s="76"/>
      <c r="AD251" s="39"/>
      <c r="AE251" s="39"/>
      <c r="AF251" s="76"/>
      <c r="AG251" s="76"/>
      <c r="AH251" s="76"/>
      <c r="AI251" s="76"/>
      <c r="AL251" s="76"/>
      <c r="AM251" s="38"/>
      <c r="AN251" s="38"/>
      <c r="AO251" s="39"/>
      <c r="AP251" s="39"/>
      <c r="AQ251" s="38"/>
      <c r="AR251" s="38"/>
      <c r="AS251" s="49"/>
      <c r="AT251" s="49"/>
      <c r="AU251" s="49"/>
      <c r="AV251" s="49"/>
      <c r="AW251" s="49"/>
      <c r="AX251" s="49"/>
      <c r="AZ251" s="49"/>
      <c r="BA251" s="38"/>
      <c r="BB251" s="38"/>
      <c r="BC251" s="38"/>
      <c r="BD251" s="39"/>
      <c r="BE251" s="39"/>
      <c r="BF251" s="38"/>
      <c r="BG251" s="38"/>
      <c r="BH251" s="39"/>
      <c r="BJ251" s="50"/>
      <c r="BK251" s="50"/>
    </row>
    <row r="252" spans="1:70" s="36" customFormat="1" x14ac:dyDescent="0.2">
      <c r="A252" s="36" t="s">
        <v>1179</v>
      </c>
      <c r="B252" s="36" t="s">
        <v>279</v>
      </c>
      <c r="D252" s="34">
        <f>SUM(E252:O252)</f>
        <v>99.694984451564494</v>
      </c>
      <c r="E252" s="34">
        <f t="shared" ref="E252:O252" si="127">AVERAGE(E249:E251)</f>
        <v>46.327955008847823</v>
      </c>
      <c r="F252" s="34">
        <f t="shared" si="127"/>
        <v>0.90975181996167809</v>
      </c>
      <c r="G252" s="34">
        <f t="shared" si="127"/>
        <v>8.5324614226295026</v>
      </c>
      <c r="H252" s="37">
        <f t="shared" si="127"/>
        <v>0.5151159095393395</v>
      </c>
      <c r="I252" s="34">
        <f t="shared" si="127"/>
        <v>21.451094654715323</v>
      </c>
      <c r="J252" s="37">
        <f t="shared" si="127"/>
        <v>0.2869919896936477</v>
      </c>
      <c r="K252" s="34">
        <f t="shared" si="127"/>
        <v>10.907516273317352</v>
      </c>
      <c r="L252" s="34">
        <f t="shared" si="127"/>
        <v>10.513222570073728</v>
      </c>
      <c r="M252" s="37">
        <f t="shared" si="127"/>
        <v>0.13800000000000001</v>
      </c>
      <c r="N252" s="37">
        <f t="shared" si="127"/>
        <v>1.1561368295873255E-2</v>
      </c>
      <c r="O252" s="37">
        <f t="shared" si="127"/>
        <v>0.10131343449022186</v>
      </c>
      <c r="Q252" s="38">
        <f t="shared" si="104"/>
        <v>47.545740437330082</v>
      </c>
      <c r="R252" s="37" t="e">
        <f t="shared" ref="R252:BF252" si="128">AVERAGE(R249:R251)</f>
        <v>#DIV/0!</v>
      </c>
      <c r="S252" s="72" t="e">
        <f t="shared" si="128"/>
        <v>#DIV/0!</v>
      </c>
      <c r="T252" s="72">
        <f t="shared" si="128"/>
        <v>39.958387688544633</v>
      </c>
      <c r="U252" s="35" t="e">
        <f t="shared" si="128"/>
        <v>#DIV/0!</v>
      </c>
      <c r="V252" s="35">
        <f t="shared" si="128"/>
        <v>3524.3288830004067</v>
      </c>
      <c r="W252" s="35" t="e">
        <f t="shared" si="128"/>
        <v>#DIV/0!</v>
      </c>
      <c r="X252" s="72">
        <f t="shared" si="128"/>
        <v>66.232236037505075</v>
      </c>
      <c r="Y252" s="35">
        <f t="shared" si="128"/>
        <v>119.41092539747244</v>
      </c>
      <c r="Z252" s="35">
        <f t="shared" si="128"/>
        <v>1.3035568691398287</v>
      </c>
      <c r="AA252" s="35" t="e">
        <f t="shared" si="128"/>
        <v>#DIV/0!</v>
      </c>
      <c r="AB252" s="34">
        <f t="shared" si="128"/>
        <v>0.25096310640032615</v>
      </c>
      <c r="AC252" s="34" t="e">
        <f t="shared" si="128"/>
        <v>#DIV/0!</v>
      </c>
      <c r="AD252" s="72" t="e">
        <f t="shared" si="128"/>
        <v>#DIV/0!</v>
      </c>
      <c r="AE252" s="35">
        <f t="shared" si="128"/>
        <v>60.367152466367706</v>
      </c>
      <c r="AF252" s="35">
        <f t="shared" si="128"/>
        <v>36.703146102935825</v>
      </c>
      <c r="AG252" s="35">
        <f t="shared" si="128"/>
        <v>124.21983285772519</v>
      </c>
      <c r="AH252" s="35" t="e">
        <f t="shared" si="128"/>
        <v>#DIV/0!</v>
      </c>
      <c r="AI252" s="34" t="e">
        <f t="shared" si="128"/>
        <v>#DIV/0!</v>
      </c>
      <c r="AJ252" s="34">
        <f t="shared" si="128"/>
        <v>6.0968711781492047E-2</v>
      </c>
      <c r="AK252" s="35">
        <f t="shared" si="128"/>
        <v>126.27986139421114</v>
      </c>
      <c r="AL252" s="34">
        <f t="shared" si="128"/>
        <v>9.940033632286994</v>
      </c>
      <c r="AM252" s="72">
        <f t="shared" si="128"/>
        <v>26.291158785161024</v>
      </c>
      <c r="AN252" s="34">
        <f t="shared" si="128"/>
        <v>3.4353628552990711</v>
      </c>
      <c r="AO252" s="72">
        <f t="shared" si="128"/>
        <v>16.64284549531186</v>
      </c>
      <c r="AP252" s="34">
        <f t="shared" si="128"/>
        <v>4.8137576437015897</v>
      </c>
      <c r="AQ252" s="37">
        <f t="shared" si="128"/>
        <v>0.54314808397880143</v>
      </c>
      <c r="AR252" s="34">
        <f t="shared" si="128"/>
        <v>5.7065645457832899</v>
      </c>
      <c r="AS252" s="37">
        <f t="shared" si="128"/>
        <v>0.9836985324092945</v>
      </c>
      <c r="AT252" s="37">
        <f t="shared" si="128"/>
        <v>6.2342182330357341</v>
      </c>
      <c r="AU252" s="37">
        <f t="shared" si="128"/>
        <v>1.3469904524134304</v>
      </c>
      <c r="AV252" s="37">
        <f t="shared" si="128"/>
        <v>3.630709985596539</v>
      </c>
      <c r="AW252" s="37">
        <f t="shared" si="128"/>
        <v>0.52150851098518669</v>
      </c>
      <c r="AX252" s="34">
        <f t="shared" si="128"/>
        <v>3.3027690582959637</v>
      </c>
      <c r="AY252" s="37">
        <f t="shared" si="128"/>
        <v>0.45446188340807159</v>
      </c>
      <c r="AZ252" s="34">
        <f t="shared" si="128"/>
        <v>3.5577145332246225</v>
      </c>
      <c r="BA252" s="34">
        <f t="shared" si="128"/>
        <v>0.43663575214023637</v>
      </c>
      <c r="BB252" s="72">
        <f t="shared" si="128"/>
        <v>0.54364553607827149</v>
      </c>
      <c r="BC252" s="72">
        <f t="shared" si="128"/>
        <v>0.23916123114553603</v>
      </c>
      <c r="BD252" s="72">
        <f t="shared" si="128"/>
        <v>0.16908887077048509</v>
      </c>
      <c r="BE252" s="34">
        <f t="shared" si="128"/>
        <v>1.4516698940073376</v>
      </c>
      <c r="BF252" s="34">
        <f t="shared" si="128"/>
        <v>0.40596565430085607</v>
      </c>
      <c r="BG252" s="34"/>
      <c r="BH252" s="72"/>
      <c r="BL252" s="37"/>
    </row>
    <row r="253" spans="1:70" x14ac:dyDescent="0.2">
      <c r="A253" s="36"/>
      <c r="D253" s="38"/>
      <c r="Q253" s="38" t="e">
        <f t="shared" si="104"/>
        <v>#DIV/0!</v>
      </c>
      <c r="R253" s="49"/>
      <c r="S253" s="39"/>
      <c r="T253" s="39"/>
      <c r="V253" s="76"/>
      <c r="W253" s="76"/>
      <c r="Z253" s="76"/>
      <c r="AA253" s="76"/>
      <c r="AB253" s="38"/>
      <c r="AC253" s="38"/>
      <c r="AD253" s="39"/>
      <c r="AE253" s="76"/>
      <c r="AF253" s="76"/>
      <c r="AG253" s="76"/>
      <c r="AH253" s="76"/>
      <c r="AI253" s="38"/>
      <c r="AL253" s="38"/>
      <c r="AM253" s="39"/>
      <c r="AN253" s="38"/>
      <c r="AO253" s="39"/>
      <c r="AP253" s="38"/>
      <c r="AQ253" s="49"/>
      <c r="AR253" s="38"/>
      <c r="AS253" s="49"/>
      <c r="AT253" s="49"/>
      <c r="AU253" s="49"/>
      <c r="AV253" s="49"/>
      <c r="AW253" s="49"/>
      <c r="AX253" s="38"/>
      <c r="AZ253" s="38"/>
      <c r="BA253" s="38"/>
      <c r="BB253" s="39"/>
      <c r="BC253" s="39"/>
      <c r="BD253" s="39"/>
      <c r="BE253" s="38"/>
      <c r="BF253" s="38"/>
      <c r="BG253" s="38"/>
      <c r="BH253" s="39"/>
      <c r="BJ253" s="50"/>
      <c r="BK253" s="50"/>
    </row>
    <row r="254" spans="1:70" x14ac:dyDescent="0.2">
      <c r="A254" s="50" t="s">
        <v>1180</v>
      </c>
      <c r="B254" s="50" t="s">
        <v>1174</v>
      </c>
      <c r="Q254" s="38" t="e">
        <f t="shared" si="104"/>
        <v>#DIV/0!</v>
      </c>
      <c r="R254" s="49"/>
      <c r="S254" s="39"/>
      <c r="T254" s="39"/>
      <c r="V254" s="76"/>
      <c r="W254" s="76"/>
      <c r="Z254" s="76"/>
      <c r="AA254" s="76"/>
      <c r="AB254" s="38"/>
      <c r="AC254" s="38"/>
      <c r="AD254" s="39"/>
      <c r="AE254" s="76"/>
      <c r="AF254" s="76"/>
      <c r="AG254" s="76"/>
      <c r="AH254" s="76"/>
      <c r="AI254" s="38"/>
      <c r="AL254" s="38"/>
      <c r="AM254" s="39"/>
      <c r="AN254" s="38"/>
      <c r="AO254" s="39"/>
      <c r="AP254" s="38"/>
      <c r="AQ254" s="49"/>
      <c r="AR254" s="38"/>
      <c r="AS254" s="49"/>
      <c r="AT254" s="49"/>
      <c r="AU254" s="49"/>
      <c r="AV254" s="49"/>
      <c r="AW254" s="49"/>
      <c r="AX254" s="38"/>
      <c r="AZ254" s="38"/>
      <c r="BA254" s="38"/>
      <c r="BB254" s="39"/>
      <c r="BC254" s="39"/>
      <c r="BD254" s="39"/>
      <c r="BE254" s="38"/>
      <c r="BF254" s="38"/>
      <c r="BG254" s="76"/>
      <c r="BH254" s="39"/>
      <c r="BJ254" s="50"/>
      <c r="BK254" s="50"/>
    </row>
    <row r="255" spans="1:70" x14ac:dyDescent="0.2">
      <c r="A255" s="71" t="s">
        <v>1180</v>
      </c>
      <c r="B255" s="50" t="s">
        <v>717</v>
      </c>
      <c r="H255" s="49">
        <f>V255*1.4616/10000</f>
        <v>0.595916710368108</v>
      </c>
      <c r="I255" s="38">
        <v>21.896592187751164</v>
      </c>
      <c r="M255" s="49">
        <v>0.16600000000000001</v>
      </c>
      <c r="N255" s="49" t="s">
        <v>1202</v>
      </c>
      <c r="Q255" s="38">
        <f t="shared" si="104"/>
        <v>0</v>
      </c>
      <c r="R255" s="49"/>
      <c r="S255" s="39"/>
      <c r="T255" s="39">
        <v>37.734142420832661</v>
      </c>
      <c r="V255" s="76">
        <v>4077.1531908053366</v>
      </c>
      <c r="X255" s="39">
        <v>72.712216685420344</v>
      </c>
      <c r="Y255" s="76">
        <v>145.79167336441088</v>
      </c>
      <c r="Z255" s="39">
        <v>0.59818357177302683</v>
      </c>
      <c r="AA255" s="39"/>
      <c r="AB255" s="39">
        <v>7.1861437067995484E-2</v>
      </c>
      <c r="AC255" s="39"/>
      <c r="AD255" s="39"/>
      <c r="AE255" s="76">
        <v>60.930155923484968</v>
      </c>
      <c r="AF255" s="291">
        <f>1560*10^((LOG10(AU255/55.6)+LOG10(AV255/158.9))/2)</f>
        <v>33.951866444275041</v>
      </c>
      <c r="AG255" s="76">
        <v>123.51310078765472</v>
      </c>
      <c r="AH255" s="76"/>
      <c r="AI255" s="76"/>
      <c r="AJ255" s="38">
        <v>4.3154637518083898E-2</v>
      </c>
      <c r="AK255" s="76">
        <v>120.64041150940363</v>
      </c>
      <c r="AL255" s="38">
        <v>9.8075462144349768</v>
      </c>
      <c r="AM255" s="39">
        <v>24.780035364089375</v>
      </c>
      <c r="AN255" s="199">
        <f>89.1*EXP((LN(AL255/234.7)+2*LN(AO255/452.4))/3)</f>
        <v>3.2702360028142832</v>
      </c>
      <c r="AO255" s="39">
        <v>15.561485291753737</v>
      </c>
      <c r="AP255" s="38">
        <v>4.6054147243208483</v>
      </c>
      <c r="AQ255" s="49">
        <v>0.50244735573058996</v>
      </c>
      <c r="AR255" s="200">
        <f>AVERAGE(BP255:BR255)</f>
        <v>5.4151133506573332</v>
      </c>
      <c r="AS255" s="38">
        <v>0.92988024433370831</v>
      </c>
      <c r="AT255" s="200">
        <f>(242.7*10^((4*LOG10(AS255/36.3)+LOG10(AX255/162.5))/5)+242.7*10^((4*LOG10(AP255/147.1)+4*LOG10(AX255/162.5))/8))/2</f>
        <v>5.8294138297030749</v>
      </c>
      <c r="AU255" s="200">
        <f>(55.6*10^((3*LOG10(AS255/36.3)+2*LOG10(AX255/162.5))/5)+55.6*10^((3*LOG10(AP255/147.1)+5*LOG10(AX255/162.5))/8))/2</f>
        <v>1.2505062169309511</v>
      </c>
      <c r="AV255" s="200">
        <f>(158.9*10^((2*LOG10(AS255/36.3)+3*LOG10(AX255/162.5))/5)+158.9*10^((2*LOG10(AP255/147.1)+6*LOG10(AX255/162.5))/8))/2</f>
        <v>3.3465008881475256</v>
      </c>
      <c r="AW255" s="201">
        <f>(24.2*10^((LOG10(AS255/36.3)+4*LOG10(AX255/162.5))/5)+24.2*10^((LOG10(AP255/147.1)+7*LOG10(AX255/162.5))/8))/2</f>
        <v>0.47724174827125609</v>
      </c>
      <c r="AX255" s="38">
        <v>3.0007683652145953</v>
      </c>
      <c r="AY255" s="49">
        <v>0.41559387558270378</v>
      </c>
      <c r="AZ255" s="38">
        <v>3.351957080855168</v>
      </c>
      <c r="BA255" s="38">
        <v>0.41008198038900495</v>
      </c>
      <c r="BB255" s="38">
        <v>0.3911589776563254</v>
      </c>
      <c r="BC255" s="38">
        <v>0.23509082141134865</v>
      </c>
      <c r="BD255" s="39">
        <v>0.92909500080372931</v>
      </c>
      <c r="BE255" s="38">
        <v>1.3571523870760327</v>
      </c>
      <c r="BF255" s="38">
        <v>0.30302121845362479</v>
      </c>
      <c r="BG255" s="50">
        <v>124.42</v>
      </c>
      <c r="BH255" s="39"/>
      <c r="BJ255" s="50"/>
      <c r="BK255" s="50"/>
      <c r="BP255" s="116">
        <f>196.6*10^(LOG10(AP255/147.1)+(LOG10(AP255/147.1)-LOG10(AL255/234.7))*0.4)</f>
        <v>5.4838189175784029</v>
      </c>
      <c r="BQ255" s="116">
        <f>196.6*10^(LOG10(AP255/147.1)+0.6666*(LOG10(AS255/36.3)-LOG10(AP255/147.1)))</f>
        <v>5.3846185626002141</v>
      </c>
      <c r="BR255" s="116">
        <f>196.6*10^(LOG10(AS255/36.3)-(LOG10(AX255/162.5)-LOG10(AS255/36.3))/5)</f>
        <v>5.3769025717933818</v>
      </c>
    </row>
    <row r="256" spans="1:70" x14ac:dyDescent="0.2">
      <c r="A256" s="50" t="s">
        <v>1180</v>
      </c>
      <c r="B256" s="50" t="s">
        <v>700</v>
      </c>
      <c r="E256" s="301">
        <v>45.510659176258663</v>
      </c>
      <c r="F256" s="301">
        <v>0.80597316329879276</v>
      </c>
      <c r="G256" s="301">
        <v>7.6843841287578467</v>
      </c>
      <c r="H256" s="302" t="s">
        <v>1204</v>
      </c>
      <c r="I256" s="301">
        <v>21.827790396512832</v>
      </c>
      <c r="J256" s="302">
        <v>0.28051300786134314</v>
      </c>
      <c r="K256" s="301">
        <v>13.965119483593874</v>
      </c>
      <c r="L256" s="301">
        <v>8.9205504991297673</v>
      </c>
      <c r="M256" s="302" t="s">
        <v>1203</v>
      </c>
      <c r="N256" s="302">
        <v>2.2460856746650229E-2</v>
      </c>
      <c r="O256" s="302">
        <v>9.4356083634118543E-2</v>
      </c>
      <c r="Q256" s="38">
        <f t="shared" si="104"/>
        <v>53.281601590477813</v>
      </c>
      <c r="R256" s="49"/>
      <c r="S256" s="39"/>
      <c r="T256" s="39"/>
      <c r="V256" s="76"/>
      <c r="W256" s="76"/>
      <c r="Z256" s="76"/>
      <c r="AA256" s="76"/>
      <c r="AB256" s="76"/>
      <c r="AC256" s="76"/>
      <c r="AD256" s="39"/>
      <c r="AE256" s="39"/>
      <c r="AF256" s="76"/>
      <c r="AG256" s="76"/>
      <c r="AH256" s="76"/>
      <c r="AI256" s="76"/>
      <c r="AL256" s="76"/>
      <c r="AM256" s="38"/>
      <c r="AN256" s="38"/>
      <c r="AO256" s="39"/>
      <c r="AP256" s="39"/>
      <c r="AQ256" s="38"/>
      <c r="AR256" s="38"/>
      <c r="AS256" s="49"/>
      <c r="AT256" s="49"/>
      <c r="AU256" s="49"/>
      <c r="AV256" s="49"/>
      <c r="AW256" s="49"/>
      <c r="AX256" s="49"/>
      <c r="AZ256" s="49"/>
      <c r="BA256" s="38"/>
      <c r="BB256" s="38"/>
      <c r="BC256" s="38"/>
      <c r="BD256" s="39"/>
      <c r="BE256" s="39"/>
      <c r="BF256" s="38"/>
      <c r="BG256" s="38"/>
      <c r="BH256" s="39"/>
      <c r="BJ256" s="50"/>
      <c r="BK256" s="50"/>
    </row>
    <row r="257" spans="1:70" s="36" customFormat="1" x14ac:dyDescent="0.2">
      <c r="A257" s="36" t="s">
        <v>1180</v>
      </c>
      <c r="B257" s="36" t="s">
        <v>279</v>
      </c>
      <c r="D257" s="34">
        <f>SUM(E257:O257)</f>
        <v>99.90812440178118</v>
      </c>
      <c r="E257" s="34">
        <f t="shared" ref="E257:O257" si="129">AVERAGE(E254:E256)</f>
        <v>45.510659176258663</v>
      </c>
      <c r="F257" s="34">
        <f t="shared" si="129"/>
        <v>0.80597316329879276</v>
      </c>
      <c r="G257" s="34">
        <f t="shared" si="129"/>
        <v>7.6843841287578467</v>
      </c>
      <c r="H257" s="37">
        <f t="shared" si="129"/>
        <v>0.595916710368108</v>
      </c>
      <c r="I257" s="34">
        <f t="shared" si="129"/>
        <v>21.862191292131996</v>
      </c>
      <c r="J257" s="37">
        <f t="shared" si="129"/>
        <v>0.28051300786134314</v>
      </c>
      <c r="K257" s="34">
        <f t="shared" si="129"/>
        <v>13.965119483593874</v>
      </c>
      <c r="L257" s="34">
        <f t="shared" si="129"/>
        <v>8.9205504991297673</v>
      </c>
      <c r="M257" s="37">
        <f t="shared" si="129"/>
        <v>0.16600000000000001</v>
      </c>
      <c r="N257" s="37">
        <f t="shared" si="129"/>
        <v>2.2460856746650229E-2</v>
      </c>
      <c r="O257" s="37">
        <f t="shared" si="129"/>
        <v>9.4356083634118543E-2</v>
      </c>
      <c r="Q257" s="38">
        <f t="shared" si="104"/>
        <v>53.242399832495124</v>
      </c>
      <c r="R257" s="37" t="e">
        <f t="shared" ref="R257:BF257" si="130">AVERAGE(R254:R256)</f>
        <v>#DIV/0!</v>
      </c>
      <c r="S257" s="72" t="e">
        <f t="shared" si="130"/>
        <v>#DIV/0!</v>
      </c>
      <c r="T257" s="72">
        <f t="shared" si="130"/>
        <v>37.734142420832661</v>
      </c>
      <c r="U257" s="35" t="e">
        <f t="shared" si="130"/>
        <v>#DIV/0!</v>
      </c>
      <c r="V257" s="35">
        <f t="shared" si="130"/>
        <v>4077.1531908053366</v>
      </c>
      <c r="W257" s="35" t="e">
        <f t="shared" si="130"/>
        <v>#DIV/0!</v>
      </c>
      <c r="X257" s="72">
        <f t="shared" si="130"/>
        <v>72.712216685420344</v>
      </c>
      <c r="Y257" s="35">
        <f t="shared" si="130"/>
        <v>145.79167336441088</v>
      </c>
      <c r="Z257" s="35">
        <f t="shared" si="130"/>
        <v>0.59818357177302683</v>
      </c>
      <c r="AA257" s="35" t="e">
        <f t="shared" si="130"/>
        <v>#DIV/0!</v>
      </c>
      <c r="AB257" s="34">
        <f t="shared" si="130"/>
        <v>7.1861437067995484E-2</v>
      </c>
      <c r="AC257" s="34" t="e">
        <f t="shared" si="130"/>
        <v>#DIV/0!</v>
      </c>
      <c r="AD257" s="72" t="e">
        <f t="shared" si="130"/>
        <v>#DIV/0!</v>
      </c>
      <c r="AE257" s="35">
        <f t="shared" si="130"/>
        <v>60.930155923484968</v>
      </c>
      <c r="AF257" s="35">
        <f t="shared" si="130"/>
        <v>33.951866444275041</v>
      </c>
      <c r="AG257" s="35">
        <f t="shared" si="130"/>
        <v>123.51310078765472</v>
      </c>
      <c r="AH257" s="35" t="e">
        <f t="shared" si="130"/>
        <v>#DIV/0!</v>
      </c>
      <c r="AI257" s="34" t="e">
        <f t="shared" si="130"/>
        <v>#DIV/0!</v>
      </c>
      <c r="AJ257" s="34">
        <f t="shared" si="130"/>
        <v>4.3154637518083898E-2</v>
      </c>
      <c r="AK257" s="35">
        <f t="shared" si="130"/>
        <v>120.64041150940363</v>
      </c>
      <c r="AL257" s="34">
        <f t="shared" si="130"/>
        <v>9.8075462144349768</v>
      </c>
      <c r="AM257" s="72">
        <f t="shared" si="130"/>
        <v>24.780035364089375</v>
      </c>
      <c r="AN257" s="34">
        <f t="shared" si="130"/>
        <v>3.2702360028142832</v>
      </c>
      <c r="AO257" s="72">
        <f t="shared" si="130"/>
        <v>15.561485291753737</v>
      </c>
      <c r="AP257" s="34">
        <f t="shared" si="130"/>
        <v>4.6054147243208483</v>
      </c>
      <c r="AQ257" s="37">
        <f t="shared" si="130"/>
        <v>0.50244735573058996</v>
      </c>
      <c r="AR257" s="34">
        <f t="shared" si="130"/>
        <v>5.4151133506573332</v>
      </c>
      <c r="AS257" s="37">
        <f t="shared" si="130"/>
        <v>0.92988024433370831</v>
      </c>
      <c r="AT257" s="37">
        <f t="shared" si="130"/>
        <v>5.8294138297030749</v>
      </c>
      <c r="AU257" s="37">
        <f t="shared" si="130"/>
        <v>1.2505062169309511</v>
      </c>
      <c r="AV257" s="37">
        <f t="shared" si="130"/>
        <v>3.3465008881475256</v>
      </c>
      <c r="AW257" s="37">
        <f t="shared" si="130"/>
        <v>0.47724174827125609</v>
      </c>
      <c r="AX257" s="34">
        <f t="shared" si="130"/>
        <v>3.0007683652145953</v>
      </c>
      <c r="AY257" s="37">
        <f t="shared" si="130"/>
        <v>0.41559387558270378</v>
      </c>
      <c r="AZ257" s="34">
        <f t="shared" si="130"/>
        <v>3.351957080855168</v>
      </c>
      <c r="BA257" s="34">
        <f t="shared" si="130"/>
        <v>0.41008198038900495</v>
      </c>
      <c r="BB257" s="72">
        <f t="shared" si="130"/>
        <v>0.3911589776563254</v>
      </c>
      <c r="BC257" s="72">
        <f t="shared" si="130"/>
        <v>0.23509082141134865</v>
      </c>
      <c r="BD257" s="72">
        <f t="shared" si="130"/>
        <v>0.92909500080372931</v>
      </c>
      <c r="BE257" s="34">
        <f t="shared" si="130"/>
        <v>1.3571523870760327</v>
      </c>
      <c r="BF257" s="34">
        <f t="shared" si="130"/>
        <v>0.30302121845362479</v>
      </c>
      <c r="BG257" s="34"/>
      <c r="BH257" s="72"/>
      <c r="BL257" s="37"/>
    </row>
    <row r="258" spans="1:70" x14ac:dyDescent="0.2">
      <c r="A258" s="36"/>
      <c r="B258" s="36"/>
      <c r="D258" s="38"/>
      <c r="Q258" s="38" t="e">
        <f t="shared" si="104"/>
        <v>#DIV/0!</v>
      </c>
      <c r="R258" s="49"/>
      <c r="S258" s="39"/>
      <c r="T258" s="39"/>
      <c r="V258" s="76"/>
      <c r="W258" s="76"/>
      <c r="Z258" s="76"/>
      <c r="AA258" s="76"/>
      <c r="AB258" s="38"/>
      <c r="AC258" s="38"/>
      <c r="AD258" s="39"/>
      <c r="AE258" s="76"/>
      <c r="AF258" s="76"/>
      <c r="AG258" s="76"/>
      <c r="AH258" s="76"/>
      <c r="AI258" s="38"/>
      <c r="AL258" s="38"/>
      <c r="AM258" s="39"/>
      <c r="AN258" s="38"/>
      <c r="AO258" s="39"/>
      <c r="AP258" s="38"/>
      <c r="AQ258" s="49"/>
      <c r="AR258" s="38"/>
      <c r="AS258" s="49"/>
      <c r="AT258" s="49"/>
      <c r="AU258" s="49"/>
      <c r="AV258" s="49"/>
      <c r="AW258" s="49"/>
      <c r="AX258" s="38"/>
      <c r="AZ258" s="38"/>
      <c r="BA258" s="38"/>
      <c r="BB258" s="39"/>
      <c r="BC258" s="39"/>
      <c r="BD258" s="39"/>
      <c r="BE258" s="38"/>
      <c r="BF258" s="38"/>
      <c r="BG258" s="38"/>
      <c r="BH258" s="39"/>
      <c r="BJ258" s="50"/>
      <c r="BK258" s="50"/>
    </row>
    <row r="259" spans="1:70" x14ac:dyDescent="0.2">
      <c r="A259" s="50" t="s">
        <v>1191</v>
      </c>
      <c r="B259" s="50" t="s">
        <v>1174</v>
      </c>
      <c r="Q259" s="38" t="e">
        <f t="shared" ref="Q259:Q322" si="131">100*(K259/40.304)/(K259/40.304+I259/71.846)</f>
        <v>#DIV/0!</v>
      </c>
      <c r="R259" s="49"/>
      <c r="S259" s="39"/>
      <c r="T259" s="39"/>
      <c r="V259" s="76"/>
      <c r="W259" s="76"/>
      <c r="Z259" s="76"/>
      <c r="AA259" s="76"/>
      <c r="AB259" s="38"/>
      <c r="AC259" s="38"/>
      <c r="AD259" s="39"/>
      <c r="AE259" s="76"/>
      <c r="AF259" s="76"/>
      <c r="AG259" s="76"/>
      <c r="AH259" s="76"/>
      <c r="AI259" s="38"/>
      <c r="AL259" s="38"/>
      <c r="AM259" s="39"/>
      <c r="AN259" s="38"/>
      <c r="AO259" s="39"/>
      <c r="AP259" s="38"/>
      <c r="AQ259" s="49"/>
      <c r="AR259" s="38"/>
      <c r="AS259" s="49"/>
      <c r="AT259" s="49"/>
      <c r="AU259" s="49"/>
      <c r="AV259" s="49"/>
      <c r="AW259" s="49"/>
      <c r="AX259" s="38"/>
      <c r="AZ259" s="38"/>
      <c r="BA259" s="38"/>
      <c r="BB259" s="39"/>
      <c r="BC259" s="39"/>
      <c r="BD259" s="39"/>
      <c r="BE259" s="38"/>
      <c r="BF259" s="38"/>
      <c r="BG259" s="76"/>
      <c r="BH259" s="39"/>
      <c r="BJ259" s="50"/>
      <c r="BK259" s="50"/>
    </row>
    <row r="260" spans="1:70" x14ac:dyDescent="0.2">
      <c r="A260" s="71" t="s">
        <v>1191</v>
      </c>
      <c r="B260" s="50" t="s">
        <v>717</v>
      </c>
      <c r="H260" s="49">
        <f>V260*1.4616/10000</f>
        <v>0.57243597015147485</v>
      </c>
      <c r="I260" s="38">
        <v>19.856162104703696</v>
      </c>
      <c r="M260" s="49">
        <v>0.16600000000000001</v>
      </c>
      <c r="N260" s="49" t="s">
        <v>1205</v>
      </c>
      <c r="Q260" s="38">
        <f t="shared" si="131"/>
        <v>0</v>
      </c>
      <c r="R260" s="49"/>
      <c r="S260" s="39"/>
      <c r="T260" s="39">
        <v>35.200802551155995</v>
      </c>
      <c r="V260" s="76">
        <v>3916.5022588360353</v>
      </c>
      <c r="X260" s="39">
        <v>70.647318628753638</v>
      </c>
      <c r="Y260" s="76">
        <v>129.14908317831518</v>
      </c>
      <c r="Z260" s="39">
        <v>3.0117140579325006</v>
      </c>
      <c r="AA260" s="39"/>
      <c r="AB260" s="39">
        <v>0.14233855965984588</v>
      </c>
      <c r="AC260" s="39"/>
      <c r="AD260" s="39"/>
      <c r="AE260" s="76">
        <v>55.098485251129418</v>
      </c>
      <c r="AF260" s="291">
        <f>1560*10^((LOG10(AU260/55.6)+LOG10(AV260/158.9))/2)</f>
        <v>38.484713556819266</v>
      </c>
      <c r="AG260" s="76">
        <v>155.7863406856232</v>
      </c>
      <c r="AH260" s="76"/>
      <c r="AI260" s="76"/>
      <c r="AJ260" s="38">
        <v>0.12250066436353974</v>
      </c>
      <c r="AK260" s="76">
        <v>160.61307467446184</v>
      </c>
      <c r="AL260" s="38">
        <v>9.8895492957746463</v>
      </c>
      <c r="AM260" s="39">
        <v>26.134823279298434</v>
      </c>
      <c r="AN260" s="199">
        <f>89.1*EXP((LN(AL260/234.7)+2*LN(AO260/452.4))/3)</f>
        <v>3.2754759647066711</v>
      </c>
      <c r="AO260" s="39">
        <v>15.534095136858888</v>
      </c>
      <c r="AP260" s="38">
        <v>4.8088934360882272</v>
      </c>
      <c r="AQ260" s="49">
        <v>0.42087632208344411</v>
      </c>
      <c r="AR260" s="200">
        <f>AVERAGE(BP260:BR260)</f>
        <v>5.6816996793621302</v>
      </c>
      <c r="AS260" s="38">
        <v>0.98489806005846403</v>
      </c>
      <c r="AT260" s="200">
        <f>(242.7*10^((4*LOG10(AS260/36.3)+LOG10(AX260/162.5))/5)+242.7*10^((4*LOG10(AP260/147.1)+4*LOG10(AX260/162.5))/8))/2</f>
        <v>6.4123340461786063</v>
      </c>
      <c r="AU260" s="200">
        <f>(55.6*10^((3*LOG10(AS260/36.3)+2*LOG10(AX260/162.5))/5)+55.6*10^((3*LOG10(AP260/147.1)+5*LOG10(AX260/162.5))/8))/2</f>
        <v>1.4033433186480575</v>
      </c>
      <c r="AV260" s="200">
        <f>(158.9*10^((2*LOG10(AS260/36.3)+3*LOG10(AX260/162.5))/5)+158.9*10^((2*LOG10(AP260/147.1)+6*LOG10(AX260/162.5))/8))/2</f>
        <v>3.8314404298677447</v>
      </c>
      <c r="AW260" s="201">
        <f>(24.2*10^((LOG10(AS260/36.3)+4*LOG10(AX260/162.5))/5)+24.2*10^((LOG10(AP260/147.1)+7*LOG10(AX260/162.5))/8))/2</f>
        <v>0.55745376226203058</v>
      </c>
      <c r="AX260" s="38">
        <v>3.5760898219505717</v>
      </c>
      <c r="AY260" s="49">
        <v>0.5030839755514217</v>
      </c>
      <c r="AZ260" s="38">
        <v>4.074078660643103</v>
      </c>
      <c r="BA260" s="38">
        <v>0.50470263087961731</v>
      </c>
      <c r="BB260" s="38">
        <v>0.21736912038267336</v>
      </c>
      <c r="BC260" s="38">
        <v>0.69618921073611473</v>
      </c>
      <c r="BD260" s="39">
        <v>24.024060589954821</v>
      </c>
      <c r="BE260" s="38">
        <v>1.5775663034812648</v>
      </c>
      <c r="BF260" s="38">
        <v>0.4433887855434494</v>
      </c>
      <c r="BG260" s="50">
        <v>188.15</v>
      </c>
      <c r="BH260" s="39"/>
      <c r="BJ260" s="50"/>
      <c r="BK260" s="50"/>
      <c r="BP260" s="116">
        <f>196.6*10^(LOG10(AP260/147.1)+(LOG10(AP260/147.1)-LOG10(AL260/234.7))*0.4)</f>
        <v>5.8066228972959291</v>
      </c>
      <c r="BQ260" s="116">
        <f>196.6*10^(LOG10(AP260/147.1)+0.6666*(LOG10(AS260/36.3)-LOG10(AP260/147.1)))</f>
        <v>5.6761802059209936</v>
      </c>
      <c r="BR260" s="116">
        <f>196.6*10^(LOG10(AS260/36.3)-(LOG10(AX260/162.5)-LOG10(AS260/36.3))/5)</f>
        <v>5.5622959348694669</v>
      </c>
    </row>
    <row r="261" spans="1:70" x14ac:dyDescent="0.2">
      <c r="A261" s="50" t="s">
        <v>1191</v>
      </c>
      <c r="B261" s="50" t="s">
        <v>700</v>
      </c>
      <c r="E261" s="301">
        <v>46.23157538313464</v>
      </c>
      <c r="F261" s="301">
        <v>0.81735352762791824</v>
      </c>
      <c r="G261" s="301">
        <v>6.4034944956504374</v>
      </c>
      <c r="H261" s="302" t="s">
        <v>1217</v>
      </c>
      <c r="I261" s="301">
        <v>19.823549807724604</v>
      </c>
      <c r="J261" s="302">
        <v>0.26714901856304185</v>
      </c>
      <c r="K261" s="301">
        <v>17.609874853580738</v>
      </c>
      <c r="L261" s="301">
        <v>7.9941099799870754</v>
      </c>
      <c r="M261" s="302" t="s">
        <v>1218</v>
      </c>
      <c r="N261" s="302">
        <v>6.4858699645700374E-2</v>
      </c>
      <c r="O261" s="302">
        <v>7.1024781313941715E-2</v>
      </c>
      <c r="Q261" s="38">
        <f t="shared" si="131"/>
        <v>61.293432710970968</v>
      </c>
      <c r="R261" s="49"/>
      <c r="S261" s="39"/>
      <c r="T261" s="39"/>
      <c r="V261" s="76"/>
      <c r="W261" s="76"/>
      <c r="Z261" s="76"/>
      <c r="AA261" s="76"/>
      <c r="AB261" s="76"/>
      <c r="AC261" s="76"/>
      <c r="AD261" s="39"/>
      <c r="AE261" s="39"/>
      <c r="AF261" s="76"/>
      <c r="AG261" s="76"/>
      <c r="AH261" s="76"/>
      <c r="AI261" s="76"/>
      <c r="AL261" s="76"/>
      <c r="AM261" s="38"/>
      <c r="AN261" s="38"/>
      <c r="AO261" s="39"/>
      <c r="AP261" s="39"/>
      <c r="AQ261" s="38"/>
      <c r="AR261" s="38"/>
      <c r="AS261" s="49"/>
      <c r="AT261" s="49"/>
      <c r="AU261" s="49"/>
      <c r="AV261" s="49"/>
      <c r="AW261" s="49"/>
      <c r="AX261" s="49"/>
      <c r="AZ261" s="49"/>
      <c r="BA261" s="38"/>
      <c r="BB261" s="38"/>
      <c r="BC261" s="38"/>
      <c r="BD261" s="39"/>
      <c r="BE261" s="39"/>
      <c r="BF261" s="38"/>
      <c r="BG261" s="38"/>
      <c r="BH261" s="39"/>
      <c r="BJ261" s="50"/>
      <c r="BK261" s="50"/>
    </row>
    <row r="262" spans="1:70" s="36" customFormat="1" x14ac:dyDescent="0.2">
      <c r="A262" s="36" t="s">
        <v>1191</v>
      </c>
      <c r="B262" s="36" t="s">
        <v>279</v>
      </c>
      <c r="D262" s="34">
        <f>SUM(E262:O262)</f>
        <v>100.0377326658691</v>
      </c>
      <c r="E262" s="34">
        <f t="shared" ref="E262:O262" si="132">AVERAGE(E259:E261)</f>
        <v>46.23157538313464</v>
      </c>
      <c r="F262" s="34">
        <f t="shared" si="132"/>
        <v>0.81735352762791824</v>
      </c>
      <c r="G262" s="34">
        <f t="shared" si="132"/>
        <v>6.4034944956504374</v>
      </c>
      <c r="H262" s="37">
        <f t="shared" si="132"/>
        <v>0.57243597015147485</v>
      </c>
      <c r="I262" s="34">
        <f t="shared" si="132"/>
        <v>19.839855956214151</v>
      </c>
      <c r="J262" s="37">
        <f t="shared" si="132"/>
        <v>0.26714901856304185</v>
      </c>
      <c r="K262" s="34">
        <f t="shared" si="132"/>
        <v>17.609874853580738</v>
      </c>
      <c r="L262" s="34">
        <f t="shared" si="132"/>
        <v>7.9941099799870754</v>
      </c>
      <c r="M262" s="37">
        <f t="shared" si="132"/>
        <v>0.16600000000000001</v>
      </c>
      <c r="N262" s="37">
        <f t="shared" si="132"/>
        <v>6.4858699645700374E-2</v>
      </c>
      <c r="O262" s="37">
        <f t="shared" si="132"/>
        <v>7.1024781313941715E-2</v>
      </c>
      <c r="Q262" s="38">
        <f t="shared" si="131"/>
        <v>61.273923921730379</v>
      </c>
      <c r="R262" s="37" t="e">
        <f t="shared" ref="R262:BF262" si="133">AVERAGE(R259:R261)</f>
        <v>#DIV/0!</v>
      </c>
      <c r="S262" s="72" t="e">
        <f t="shared" si="133"/>
        <v>#DIV/0!</v>
      </c>
      <c r="T262" s="72">
        <f t="shared" si="133"/>
        <v>35.200802551155995</v>
      </c>
      <c r="U262" s="35" t="e">
        <f t="shared" si="133"/>
        <v>#DIV/0!</v>
      </c>
      <c r="V262" s="35">
        <f t="shared" si="133"/>
        <v>3916.5022588360353</v>
      </c>
      <c r="W262" s="35" t="e">
        <f t="shared" si="133"/>
        <v>#DIV/0!</v>
      </c>
      <c r="X262" s="72">
        <f t="shared" si="133"/>
        <v>70.647318628753638</v>
      </c>
      <c r="Y262" s="35">
        <f t="shared" si="133"/>
        <v>129.14908317831518</v>
      </c>
      <c r="Z262" s="35">
        <f t="shared" si="133"/>
        <v>3.0117140579325006</v>
      </c>
      <c r="AA262" s="35" t="e">
        <f t="shared" si="133"/>
        <v>#DIV/0!</v>
      </c>
      <c r="AB262" s="34">
        <f t="shared" si="133"/>
        <v>0.14233855965984588</v>
      </c>
      <c r="AC262" s="34" t="e">
        <f t="shared" si="133"/>
        <v>#DIV/0!</v>
      </c>
      <c r="AD262" s="72" t="e">
        <f t="shared" si="133"/>
        <v>#DIV/0!</v>
      </c>
      <c r="AE262" s="35">
        <f t="shared" si="133"/>
        <v>55.098485251129418</v>
      </c>
      <c r="AF262" s="35">
        <f t="shared" si="133"/>
        <v>38.484713556819266</v>
      </c>
      <c r="AG262" s="35">
        <f t="shared" si="133"/>
        <v>155.7863406856232</v>
      </c>
      <c r="AH262" s="35" t="e">
        <f t="shared" si="133"/>
        <v>#DIV/0!</v>
      </c>
      <c r="AI262" s="34" t="e">
        <f t="shared" si="133"/>
        <v>#DIV/0!</v>
      </c>
      <c r="AJ262" s="34">
        <f t="shared" si="133"/>
        <v>0.12250066436353974</v>
      </c>
      <c r="AK262" s="35">
        <f t="shared" si="133"/>
        <v>160.61307467446184</v>
      </c>
      <c r="AL262" s="34">
        <f t="shared" si="133"/>
        <v>9.8895492957746463</v>
      </c>
      <c r="AM262" s="72">
        <f t="shared" si="133"/>
        <v>26.134823279298434</v>
      </c>
      <c r="AN262" s="34">
        <f t="shared" si="133"/>
        <v>3.2754759647066711</v>
      </c>
      <c r="AO262" s="72">
        <f t="shared" si="133"/>
        <v>15.534095136858888</v>
      </c>
      <c r="AP262" s="34">
        <f t="shared" si="133"/>
        <v>4.8088934360882272</v>
      </c>
      <c r="AQ262" s="37">
        <f t="shared" si="133"/>
        <v>0.42087632208344411</v>
      </c>
      <c r="AR262" s="34">
        <f t="shared" si="133"/>
        <v>5.6816996793621302</v>
      </c>
      <c r="AS262" s="37">
        <f t="shared" si="133"/>
        <v>0.98489806005846403</v>
      </c>
      <c r="AT262" s="37">
        <f t="shared" si="133"/>
        <v>6.4123340461786063</v>
      </c>
      <c r="AU262" s="37">
        <f t="shared" si="133"/>
        <v>1.4033433186480575</v>
      </c>
      <c r="AV262" s="37">
        <f t="shared" si="133"/>
        <v>3.8314404298677447</v>
      </c>
      <c r="AW262" s="37">
        <f t="shared" si="133"/>
        <v>0.55745376226203058</v>
      </c>
      <c r="AX262" s="34">
        <f t="shared" si="133"/>
        <v>3.5760898219505717</v>
      </c>
      <c r="AY262" s="37">
        <f t="shared" si="133"/>
        <v>0.5030839755514217</v>
      </c>
      <c r="AZ262" s="34">
        <f t="shared" si="133"/>
        <v>4.074078660643103</v>
      </c>
      <c r="BA262" s="34">
        <f t="shared" si="133"/>
        <v>0.50470263087961731</v>
      </c>
      <c r="BB262" s="72">
        <f t="shared" si="133"/>
        <v>0.21736912038267336</v>
      </c>
      <c r="BC262" s="72">
        <f t="shared" si="133"/>
        <v>0.69618921073611473</v>
      </c>
      <c r="BD262" s="72">
        <f t="shared" si="133"/>
        <v>24.024060589954821</v>
      </c>
      <c r="BE262" s="34">
        <f t="shared" si="133"/>
        <v>1.5775663034812648</v>
      </c>
      <c r="BF262" s="34">
        <f t="shared" si="133"/>
        <v>0.4433887855434494</v>
      </c>
      <c r="BG262" s="34"/>
      <c r="BH262" s="72"/>
      <c r="BL262" s="37"/>
    </row>
    <row r="263" spans="1:70" x14ac:dyDescent="0.2">
      <c r="A263" s="36"/>
      <c r="B263" s="36"/>
      <c r="D263" s="38"/>
      <c r="Q263" s="38" t="e">
        <f t="shared" si="131"/>
        <v>#DIV/0!</v>
      </c>
      <c r="R263" s="49"/>
      <c r="S263" s="39"/>
      <c r="T263" s="39"/>
      <c r="V263" s="76"/>
      <c r="W263" s="76"/>
      <c r="Z263" s="76"/>
      <c r="AA263" s="76"/>
      <c r="AB263" s="38"/>
      <c r="AC263" s="38"/>
      <c r="AD263" s="39"/>
      <c r="AE263" s="76"/>
      <c r="AF263" s="76"/>
      <c r="AG263" s="76"/>
      <c r="AH263" s="76"/>
      <c r="AI263" s="38"/>
      <c r="AL263" s="38"/>
      <c r="AM263" s="39"/>
      <c r="AN263" s="38"/>
      <c r="AO263" s="39"/>
      <c r="AP263" s="38"/>
      <c r="AQ263" s="49"/>
      <c r="AR263" s="38"/>
      <c r="AS263" s="49"/>
      <c r="AT263" s="49"/>
      <c r="AU263" s="49"/>
      <c r="AV263" s="49"/>
      <c r="AW263" s="49"/>
      <c r="AX263" s="38"/>
      <c r="AZ263" s="38"/>
      <c r="BA263" s="38"/>
      <c r="BB263" s="39"/>
      <c r="BC263" s="39"/>
      <c r="BD263" s="39"/>
      <c r="BE263" s="38"/>
      <c r="BF263" s="38"/>
      <c r="BG263" s="38"/>
      <c r="BH263" s="39"/>
      <c r="BJ263" s="50"/>
      <c r="BK263" s="50"/>
    </row>
    <row r="264" spans="1:70" x14ac:dyDescent="0.2">
      <c r="A264" s="50" t="s">
        <v>1182</v>
      </c>
      <c r="B264" s="50" t="s">
        <v>1174</v>
      </c>
      <c r="Q264" s="38" t="e">
        <f t="shared" si="131"/>
        <v>#DIV/0!</v>
      </c>
      <c r="R264" s="49"/>
      <c r="S264" s="39"/>
      <c r="T264" s="39"/>
      <c r="V264" s="76"/>
      <c r="W264" s="76"/>
      <c r="Z264" s="76"/>
      <c r="AA264" s="76"/>
      <c r="AB264" s="38"/>
      <c r="AC264" s="38"/>
      <c r="AD264" s="39"/>
      <c r="AE264" s="76"/>
      <c r="AF264" s="76"/>
      <c r="AG264" s="76"/>
      <c r="AH264" s="76"/>
      <c r="AI264" s="38"/>
      <c r="AL264" s="38"/>
      <c r="AM264" s="39"/>
      <c r="AN264" s="38"/>
      <c r="AO264" s="39"/>
      <c r="AP264" s="38"/>
      <c r="AQ264" s="49"/>
      <c r="AR264" s="38"/>
      <c r="AS264" s="49"/>
      <c r="AT264" s="49"/>
      <c r="AU264" s="49"/>
      <c r="AV264" s="49"/>
      <c r="AW264" s="49"/>
      <c r="AX264" s="38"/>
      <c r="AZ264" s="38"/>
      <c r="BA264" s="38"/>
      <c r="BB264" s="39"/>
      <c r="BC264" s="39"/>
      <c r="BD264" s="39"/>
      <c r="BE264" s="38"/>
      <c r="BF264" s="38"/>
      <c r="BG264" s="76"/>
      <c r="BH264" s="39"/>
      <c r="BJ264" s="50"/>
      <c r="BK264" s="50"/>
    </row>
    <row r="265" spans="1:70" x14ac:dyDescent="0.2">
      <c r="A265" s="50" t="s">
        <v>1182</v>
      </c>
      <c r="B265" s="50" t="s">
        <v>717</v>
      </c>
      <c r="C265" s="50" t="s">
        <v>717</v>
      </c>
      <c r="E265" s="301"/>
      <c r="F265" s="301"/>
      <c r="G265" s="301"/>
      <c r="H265" s="49">
        <f>V265*1.4616/10000</f>
        <v>0.39127032</v>
      </c>
      <c r="I265" s="301">
        <v>20.350000000000001</v>
      </c>
      <c r="J265" s="302"/>
      <c r="K265" s="301"/>
      <c r="L265" s="301"/>
      <c r="M265" s="302">
        <v>0.127</v>
      </c>
      <c r="N265" s="302" t="s">
        <v>1208</v>
      </c>
      <c r="O265" s="302"/>
      <c r="Q265" s="38">
        <f t="shared" si="131"/>
        <v>0</v>
      </c>
      <c r="R265" s="49"/>
      <c r="S265" s="39"/>
      <c r="T265" s="39">
        <v>23.2</v>
      </c>
      <c r="V265" s="76">
        <v>2677</v>
      </c>
      <c r="W265" s="76"/>
      <c r="X265" s="39">
        <v>91.4</v>
      </c>
      <c r="Y265" s="76">
        <v>215</v>
      </c>
      <c r="Z265" s="76"/>
      <c r="AA265" s="76"/>
      <c r="AB265" s="76"/>
      <c r="AC265" s="76"/>
      <c r="AD265" s="39"/>
      <c r="AE265" s="39">
        <v>40</v>
      </c>
      <c r="AF265" s="291">
        <f>1560*10^((LOG10(AU265/55.6)+LOG10(AV265/158.9))/2)</f>
        <v>29.4605434876974</v>
      </c>
      <c r="AG265" s="76">
        <v>112</v>
      </c>
      <c r="AH265" s="76"/>
      <c r="AI265" s="76"/>
      <c r="AJ265" s="38">
        <v>0.06</v>
      </c>
      <c r="AK265" s="76">
        <v>108</v>
      </c>
      <c r="AL265" s="76">
        <v>7.99</v>
      </c>
      <c r="AM265" s="38">
        <v>21.1</v>
      </c>
      <c r="AN265" s="199">
        <f>89.1*EXP((LN(AL265/234.7)+2*LN(AO265/452.4))/3)</f>
        <v>2.510995084777436</v>
      </c>
      <c r="AO265" s="39">
        <v>11.6</v>
      </c>
      <c r="AP265" s="39">
        <v>3.74</v>
      </c>
      <c r="AQ265" s="38">
        <v>0.27700000000000002</v>
      </c>
      <c r="AR265" s="200">
        <f>AVERAGE(BP265:BR265)</f>
        <v>4.3741461621550384</v>
      </c>
      <c r="AS265" s="49">
        <v>0.75800000000000001</v>
      </c>
      <c r="AT265" s="200">
        <f>(242.7*10^((4*LOG10(AS265/36.3)+LOG10(AX265/162.5))/5)+242.7*10^((4*LOG10(AP265/147.1)+4*LOG10(AX265/162.5))/8))/2</f>
        <v>4.927718157882536</v>
      </c>
      <c r="AU265" s="200">
        <f>(55.6*10^((3*LOG10(AS265/36.3)+2*LOG10(AX265/162.5))/5)+55.6*10^((3*LOG10(AP265/147.1)+5*LOG10(AX265/162.5))/8))/2</f>
        <v>1.0756606021578352</v>
      </c>
      <c r="AV265" s="200">
        <f>(158.9*10^((2*LOG10(AS265/36.3)+3*LOG10(AX265/162.5))/5)+158.9*10^((2*LOG10(AP265/147.1)+6*LOG10(AX265/162.5))/8))/2</f>
        <v>2.9292452799533697</v>
      </c>
      <c r="AW265" s="201">
        <f>(24.2*10^((LOG10(AS265/36.3)+4*LOG10(AX265/162.5))/5)+24.2*10^((LOG10(AP265/147.1)+7*LOG10(AX265/162.5))/8))/2</f>
        <v>0.42509457588569272</v>
      </c>
      <c r="AX265" s="49">
        <v>2.72</v>
      </c>
      <c r="AY265" s="49">
        <v>0.38200000000000001</v>
      </c>
      <c r="AZ265" s="49">
        <v>2.97</v>
      </c>
      <c r="BA265" s="38">
        <v>0.318</v>
      </c>
      <c r="BB265" s="38"/>
      <c r="BC265" s="38">
        <v>0.08</v>
      </c>
      <c r="BD265" s="39">
        <v>19.100000000000001</v>
      </c>
      <c r="BE265" s="39">
        <v>1.23</v>
      </c>
      <c r="BF265" s="38">
        <v>0.3</v>
      </c>
      <c r="BG265" s="38">
        <v>126.39</v>
      </c>
      <c r="BH265" s="39"/>
      <c r="BJ265" s="50"/>
      <c r="BK265" s="50"/>
      <c r="BP265" s="116">
        <f>196.6*10^(LOG10(AP265/147.1)+(LOG10(AP265/147.1)-LOG10(AL265/234.7))*0.4)</f>
        <v>4.4476698165012154</v>
      </c>
      <c r="BQ265" s="116">
        <f>196.6*10^(LOG10(AP265/147.1)+0.6666*(LOG10(AS265/36.3)-LOG10(AP265/147.1)))</f>
        <v>4.3837984302483717</v>
      </c>
      <c r="BR265" s="116">
        <f>196.6*10^(LOG10(AS265/36.3)-(LOG10(AX265/162.5)-LOG10(AS265/36.3))/5)</f>
        <v>4.2909702397155263</v>
      </c>
    </row>
    <row r="266" spans="1:70" x14ac:dyDescent="0.2">
      <c r="A266" s="50" t="s">
        <v>1182</v>
      </c>
      <c r="B266" s="50" t="s">
        <v>700</v>
      </c>
      <c r="D266" s="38">
        <f>SUM(E266:O266)</f>
        <v>99.826677763650935</v>
      </c>
      <c r="E266" s="301">
        <v>42.98929576337423</v>
      </c>
      <c r="F266" s="301">
        <v>0.39182615718035002</v>
      </c>
      <c r="G266" s="301">
        <v>4.0356957347044968</v>
      </c>
      <c r="H266" s="302" t="s">
        <v>1206</v>
      </c>
      <c r="I266" s="301">
        <v>20.117097352858529</v>
      </c>
      <c r="J266" s="302">
        <v>0.25572376948526998</v>
      </c>
      <c r="K266" s="301">
        <v>26.711668597772075</v>
      </c>
      <c r="L266" s="301">
        <v>5.25262180471766</v>
      </c>
      <c r="M266" s="302" t="s">
        <v>1207</v>
      </c>
      <c r="N266" s="302">
        <v>1.7149877484794771E-2</v>
      </c>
      <c r="O266" s="302">
        <v>5.5598706073525198E-2</v>
      </c>
      <c r="Q266" s="38">
        <f t="shared" si="131"/>
        <v>70.299580220296036</v>
      </c>
      <c r="R266" s="49"/>
      <c r="S266" s="39"/>
      <c r="T266" s="39"/>
      <c r="V266" s="76"/>
      <c r="W266" s="76"/>
      <c r="Z266" s="76"/>
      <c r="AA266" s="76"/>
      <c r="AB266" s="76"/>
      <c r="AC266" s="76"/>
      <c r="AD266" s="39"/>
      <c r="AE266" s="39"/>
      <c r="AF266" s="76"/>
      <c r="AG266" s="76"/>
      <c r="AH266" s="76"/>
      <c r="AI266" s="76"/>
      <c r="AL266" s="76"/>
      <c r="AM266" s="38"/>
      <c r="AN266" s="38"/>
      <c r="AO266" s="39"/>
      <c r="AP266" s="39"/>
      <c r="AQ266" s="38"/>
      <c r="AR266" s="38"/>
      <c r="AS266" s="49"/>
      <c r="AT266" s="49"/>
      <c r="AU266" s="49"/>
      <c r="AV266" s="49"/>
      <c r="AW266" s="49"/>
      <c r="AX266" s="49"/>
      <c r="AZ266" s="49"/>
      <c r="BA266" s="38"/>
      <c r="BB266" s="38"/>
      <c r="BC266" s="38"/>
      <c r="BD266" s="39"/>
      <c r="BE266" s="39"/>
      <c r="BF266" s="38"/>
      <c r="BG266" s="38"/>
      <c r="BH266" s="39"/>
      <c r="BJ266" s="50"/>
      <c r="BK266" s="50"/>
    </row>
    <row r="267" spans="1:70" s="36" customFormat="1" x14ac:dyDescent="0.2">
      <c r="A267" s="36" t="s">
        <v>1182</v>
      </c>
      <c r="B267" s="36" t="s">
        <v>279</v>
      </c>
      <c r="D267" s="34">
        <f>SUM(E267:O267)</f>
        <v>100.46139940722166</v>
      </c>
      <c r="E267" s="34">
        <f t="shared" ref="E267:O267" si="134">AVERAGE(E264:E266)</f>
        <v>42.98929576337423</v>
      </c>
      <c r="F267" s="34">
        <f t="shared" si="134"/>
        <v>0.39182615718035002</v>
      </c>
      <c r="G267" s="34">
        <f t="shared" si="134"/>
        <v>4.0356957347044968</v>
      </c>
      <c r="H267" s="37">
        <f t="shared" si="134"/>
        <v>0.39127032</v>
      </c>
      <c r="I267" s="34">
        <f t="shared" si="134"/>
        <v>20.233548676429265</v>
      </c>
      <c r="J267" s="37">
        <f t="shared" si="134"/>
        <v>0.25572376948526998</v>
      </c>
      <c r="K267" s="34">
        <f t="shared" si="134"/>
        <v>26.711668597772075</v>
      </c>
      <c r="L267" s="34">
        <f t="shared" si="134"/>
        <v>5.25262180471766</v>
      </c>
      <c r="M267" s="37">
        <f t="shared" si="134"/>
        <v>0.127</v>
      </c>
      <c r="N267" s="37">
        <f t="shared" si="134"/>
        <v>1.7149877484794771E-2</v>
      </c>
      <c r="O267" s="37">
        <f t="shared" si="134"/>
        <v>5.5598706073525198E-2</v>
      </c>
      <c r="Q267" s="38">
        <f t="shared" si="131"/>
        <v>70.178924363915769</v>
      </c>
      <c r="R267" s="37" t="e">
        <f t="shared" ref="R267:BF267" si="135">AVERAGE(R264:R266)</f>
        <v>#DIV/0!</v>
      </c>
      <c r="S267" s="72" t="e">
        <f t="shared" si="135"/>
        <v>#DIV/0!</v>
      </c>
      <c r="T267" s="72">
        <f t="shared" si="135"/>
        <v>23.2</v>
      </c>
      <c r="U267" s="35" t="e">
        <f t="shared" si="135"/>
        <v>#DIV/0!</v>
      </c>
      <c r="V267" s="35">
        <f t="shared" si="135"/>
        <v>2677</v>
      </c>
      <c r="W267" s="35" t="e">
        <f t="shared" si="135"/>
        <v>#DIV/0!</v>
      </c>
      <c r="X267" s="72">
        <f t="shared" si="135"/>
        <v>91.4</v>
      </c>
      <c r="Y267" s="35">
        <f t="shared" si="135"/>
        <v>215</v>
      </c>
      <c r="Z267" s="35" t="e">
        <f t="shared" si="135"/>
        <v>#DIV/0!</v>
      </c>
      <c r="AA267" s="35" t="e">
        <f t="shared" si="135"/>
        <v>#DIV/0!</v>
      </c>
      <c r="AB267" s="34" t="e">
        <f t="shared" si="135"/>
        <v>#DIV/0!</v>
      </c>
      <c r="AC267" s="34" t="e">
        <f t="shared" si="135"/>
        <v>#DIV/0!</v>
      </c>
      <c r="AD267" s="72" t="e">
        <f t="shared" si="135"/>
        <v>#DIV/0!</v>
      </c>
      <c r="AE267" s="35">
        <f t="shared" si="135"/>
        <v>40</v>
      </c>
      <c r="AF267" s="35">
        <f t="shared" si="135"/>
        <v>29.4605434876974</v>
      </c>
      <c r="AG267" s="35">
        <f t="shared" si="135"/>
        <v>112</v>
      </c>
      <c r="AH267" s="35" t="e">
        <f t="shared" si="135"/>
        <v>#DIV/0!</v>
      </c>
      <c r="AI267" s="34" t="e">
        <f t="shared" si="135"/>
        <v>#DIV/0!</v>
      </c>
      <c r="AJ267" s="34">
        <f t="shared" si="135"/>
        <v>0.06</v>
      </c>
      <c r="AK267" s="35">
        <f t="shared" si="135"/>
        <v>108</v>
      </c>
      <c r="AL267" s="34">
        <f t="shared" si="135"/>
        <v>7.99</v>
      </c>
      <c r="AM267" s="72">
        <f t="shared" si="135"/>
        <v>21.1</v>
      </c>
      <c r="AN267" s="34">
        <f t="shared" si="135"/>
        <v>2.510995084777436</v>
      </c>
      <c r="AO267" s="72">
        <f t="shared" si="135"/>
        <v>11.6</v>
      </c>
      <c r="AP267" s="34">
        <f t="shared" si="135"/>
        <v>3.74</v>
      </c>
      <c r="AQ267" s="37">
        <f t="shared" si="135"/>
        <v>0.27700000000000002</v>
      </c>
      <c r="AR267" s="34">
        <f t="shared" si="135"/>
        <v>4.3741461621550384</v>
      </c>
      <c r="AS267" s="37">
        <f t="shared" si="135"/>
        <v>0.75800000000000001</v>
      </c>
      <c r="AT267" s="37">
        <f t="shared" si="135"/>
        <v>4.927718157882536</v>
      </c>
      <c r="AU267" s="37">
        <f t="shared" si="135"/>
        <v>1.0756606021578352</v>
      </c>
      <c r="AV267" s="37">
        <f t="shared" si="135"/>
        <v>2.9292452799533697</v>
      </c>
      <c r="AW267" s="37">
        <f t="shared" si="135"/>
        <v>0.42509457588569272</v>
      </c>
      <c r="AX267" s="34">
        <f t="shared" si="135"/>
        <v>2.72</v>
      </c>
      <c r="AY267" s="37">
        <f t="shared" si="135"/>
        <v>0.38200000000000001</v>
      </c>
      <c r="AZ267" s="34">
        <f t="shared" si="135"/>
        <v>2.97</v>
      </c>
      <c r="BA267" s="34">
        <f t="shared" si="135"/>
        <v>0.318</v>
      </c>
      <c r="BB267" s="72" t="e">
        <f t="shared" si="135"/>
        <v>#DIV/0!</v>
      </c>
      <c r="BC267" s="72">
        <f t="shared" si="135"/>
        <v>0.08</v>
      </c>
      <c r="BD267" s="72">
        <f t="shared" si="135"/>
        <v>19.100000000000001</v>
      </c>
      <c r="BE267" s="34">
        <f t="shared" si="135"/>
        <v>1.23</v>
      </c>
      <c r="BF267" s="34">
        <f t="shared" si="135"/>
        <v>0.3</v>
      </c>
      <c r="BG267" s="34"/>
      <c r="BH267" s="72"/>
      <c r="BL267" s="37"/>
    </row>
    <row r="268" spans="1:70" x14ac:dyDescent="0.2">
      <c r="A268" s="36"/>
      <c r="B268" s="36"/>
      <c r="D268" s="38"/>
      <c r="Q268" s="38" t="e">
        <f t="shared" si="131"/>
        <v>#DIV/0!</v>
      </c>
      <c r="R268" s="49"/>
      <c r="S268" s="39"/>
      <c r="T268" s="39"/>
      <c r="V268" s="76"/>
      <c r="W268" s="76"/>
      <c r="Z268" s="76"/>
      <c r="AA268" s="76"/>
      <c r="AB268" s="38"/>
      <c r="AC268" s="38"/>
      <c r="AD268" s="39"/>
      <c r="AE268" s="76"/>
      <c r="AF268" s="76"/>
      <c r="AG268" s="76"/>
      <c r="AH268" s="76"/>
      <c r="AI268" s="38"/>
      <c r="AL268" s="38"/>
      <c r="AM268" s="39"/>
      <c r="AN268" s="38"/>
      <c r="AO268" s="39"/>
      <c r="AP268" s="38"/>
      <c r="AQ268" s="49"/>
      <c r="AR268" s="38"/>
      <c r="AS268" s="49"/>
      <c r="AT268" s="49"/>
      <c r="AU268" s="49"/>
      <c r="AV268" s="49"/>
      <c r="AW268" s="49"/>
      <c r="AX268" s="38"/>
      <c r="AZ268" s="38"/>
      <c r="BA268" s="38"/>
      <c r="BB268" s="39"/>
      <c r="BC268" s="39"/>
      <c r="BD268" s="39"/>
      <c r="BE268" s="38"/>
      <c r="BF268" s="38"/>
      <c r="BG268" s="38"/>
      <c r="BH268" s="39"/>
      <c r="BJ268" s="50"/>
      <c r="BK268" s="50"/>
    </row>
    <row r="269" spans="1:70" x14ac:dyDescent="0.2">
      <c r="A269" s="36"/>
      <c r="B269" s="36"/>
      <c r="D269" s="38"/>
      <c r="Q269" s="38" t="e">
        <f t="shared" si="131"/>
        <v>#DIV/0!</v>
      </c>
      <c r="R269" s="49"/>
      <c r="S269" s="39"/>
      <c r="T269" s="39"/>
      <c r="V269" s="76"/>
      <c r="W269" s="76"/>
      <c r="Z269" s="76"/>
      <c r="AA269" s="76"/>
      <c r="AB269" s="38"/>
      <c r="AC269" s="38"/>
      <c r="AD269" s="39"/>
      <c r="AE269" s="76"/>
      <c r="AF269" s="76"/>
      <c r="AG269" s="76"/>
      <c r="AH269" s="76"/>
      <c r="AI269" s="38"/>
      <c r="AL269" s="38"/>
      <c r="AM269" s="39"/>
      <c r="AN269" s="38"/>
      <c r="AO269" s="39"/>
      <c r="AP269" s="38"/>
      <c r="AQ269" s="49"/>
      <c r="AR269" s="38"/>
      <c r="AS269" s="49"/>
      <c r="AT269" s="49"/>
      <c r="AU269" s="49"/>
      <c r="AV269" s="49"/>
      <c r="AW269" s="49"/>
      <c r="AX269" s="39">
        <f>AL272/AX272</f>
        <v>3.8507462686567164</v>
      </c>
      <c r="AY269" s="49">
        <f>1/AX269</f>
        <v>0.25968992248062017</v>
      </c>
      <c r="AZ269" s="38"/>
      <c r="BA269" s="38"/>
      <c r="BB269" s="39"/>
      <c r="BC269" s="39"/>
      <c r="BD269" s="39"/>
      <c r="BE269" s="38"/>
      <c r="BF269" s="38"/>
      <c r="BG269" s="38"/>
      <c r="BH269" s="39"/>
      <c r="BJ269" s="50"/>
      <c r="BK269" s="50"/>
    </row>
    <row r="270" spans="1:70" x14ac:dyDescent="0.2">
      <c r="I270" s="38">
        <f>(I272+K272)/E272</f>
        <v>0.81712962962962954</v>
      </c>
      <c r="Q270" s="38">
        <f t="shared" si="131"/>
        <v>0</v>
      </c>
      <c r="AX270" s="39"/>
      <c r="BJ270" s="50"/>
      <c r="BK270" s="50"/>
      <c r="BL270" s="50"/>
    </row>
    <row r="271" spans="1:70" x14ac:dyDescent="0.2">
      <c r="I271" s="38">
        <f>(I273+K273)/E273</f>
        <v>0.72896150641649016</v>
      </c>
      <c r="Q271" s="38">
        <f t="shared" si="131"/>
        <v>0</v>
      </c>
      <c r="AX271" s="39">
        <f>AL274/AX274</f>
        <v>2.7869596561463186</v>
      </c>
      <c r="AY271" s="49">
        <f>1/AX271</f>
        <v>0.35881394902671632</v>
      </c>
      <c r="BJ271" s="50"/>
      <c r="BK271" s="50"/>
      <c r="BL271" s="50"/>
    </row>
    <row r="272" spans="1:70" x14ac:dyDescent="0.2">
      <c r="A272" s="50" t="s">
        <v>1172</v>
      </c>
      <c r="B272" s="50" t="s">
        <v>771</v>
      </c>
      <c r="D272" s="38"/>
      <c r="E272" s="38">
        <v>43.2</v>
      </c>
      <c r="F272" s="38">
        <v>2.76</v>
      </c>
      <c r="G272" s="38">
        <v>8.35</v>
      </c>
      <c r="H272" s="49">
        <v>0.65</v>
      </c>
      <c r="I272" s="38">
        <v>22.1</v>
      </c>
      <c r="J272" s="49">
        <v>0.28999999999999998</v>
      </c>
      <c r="K272" s="38">
        <v>13.2</v>
      </c>
      <c r="L272" s="38">
        <v>8.74</v>
      </c>
      <c r="M272" s="49">
        <v>0.53</v>
      </c>
      <c r="N272" s="49">
        <v>0.19</v>
      </c>
      <c r="O272" s="49">
        <v>0.21</v>
      </c>
      <c r="P272" s="38"/>
      <c r="Q272" s="38">
        <f t="shared" si="131"/>
        <v>51.567322369333972</v>
      </c>
      <c r="R272" s="38"/>
      <c r="S272" s="38"/>
      <c r="T272" s="39">
        <v>35.200000000000003</v>
      </c>
      <c r="V272" s="76">
        <v>4447.3</v>
      </c>
      <c r="W272" s="76"/>
      <c r="X272" s="39" t="s">
        <v>1169</v>
      </c>
      <c r="Y272" s="76">
        <v>20</v>
      </c>
      <c r="Z272" s="76"/>
      <c r="AA272" s="76"/>
      <c r="AB272" s="76"/>
      <c r="AC272" s="76"/>
      <c r="AD272" s="39"/>
      <c r="AE272" s="76">
        <v>530</v>
      </c>
      <c r="AF272" s="291">
        <f>1560*10^((LOG10(AU272/55.6)+LOG10(AV272/158.9))/2)</f>
        <v>40.74905620816731</v>
      </c>
      <c r="AG272" s="76">
        <v>60</v>
      </c>
      <c r="AH272" s="76"/>
      <c r="AI272" s="76"/>
      <c r="AK272" s="76">
        <v>200</v>
      </c>
      <c r="AL272" s="39">
        <v>12.9</v>
      </c>
      <c r="AM272" s="39">
        <v>30.3</v>
      </c>
      <c r="AN272" s="199">
        <f>89.1*EXP((LN(AL272/234.7)+2*LN(AO272/452.4))/3)</f>
        <v>4.2918212431415323</v>
      </c>
      <c r="AO272" s="39">
        <v>20.399999999999999</v>
      </c>
      <c r="AP272" s="38">
        <v>6.31</v>
      </c>
      <c r="AQ272" s="38">
        <v>1.18</v>
      </c>
      <c r="AR272" s="200">
        <f>AVERAGE(BP272:BR272)</f>
        <v>7.3635630529287122</v>
      </c>
      <c r="AS272" s="38">
        <v>1.22</v>
      </c>
      <c r="AT272" s="200">
        <f>(242.7*10^((4*LOG10(AS272/36.3)+LOG10(AX272/162.5))/5)+242.7*10^((4*LOG10(AP272/147.1)+4*LOG10(AX272/162.5))/8))/2</f>
        <v>7.307270209881267</v>
      </c>
      <c r="AU272" s="200">
        <f>(55.6*10^((3*LOG10(AS272/36.3)+2*LOG10(AX272/162.5))/5)+55.6*10^((3*LOG10(AP272/147.1)+5*LOG10(AX272/162.5))/8))/2</f>
        <v>1.5227567050622013</v>
      </c>
      <c r="AV272" s="200">
        <f>(158.9*10^((2*LOG10(AS272/36.3)+3*LOG10(AX272/162.5))/5)+158.9*10^((2*LOG10(AP272/147.1)+6*LOG10(AX272/162.5))/8))/2</f>
        <v>3.9587135765941381</v>
      </c>
      <c r="AW272" s="201">
        <f>(24.2*10^((LOG10(AS272/36.3)+4*LOG10(AX272/162.5))/5)+24.2*10^((LOG10(AP272/147.1)+7*LOG10(AX272/162.5))/8))/2</f>
        <v>0.54843368341427245</v>
      </c>
      <c r="AX272" s="38">
        <v>3.35</v>
      </c>
      <c r="AY272" s="49">
        <v>0.51</v>
      </c>
      <c r="AZ272" s="38">
        <v>2.64</v>
      </c>
      <c r="BA272" s="38">
        <v>0.71</v>
      </c>
      <c r="BB272" s="38"/>
      <c r="BC272" s="38"/>
      <c r="BD272" s="39"/>
      <c r="BE272" s="38">
        <v>0.9</v>
      </c>
      <c r="BF272" s="38"/>
      <c r="BG272" s="38"/>
      <c r="BH272" s="39"/>
      <c r="BJ272" s="50"/>
      <c r="BK272" s="50"/>
      <c r="BP272" s="116">
        <f>196.6*10^(LOG10(AP272/147.1)+(LOG10(AP272/147.1)-LOG10(AL272/234.7))*0.4)</f>
        <v>7.637236268963</v>
      </c>
      <c r="BQ272" s="116">
        <f>196.6*10^(LOG10(AP272/147.1)+0.6666*(LOG10(AS272/36.3)-LOG10(AP272/147.1)))</f>
        <v>7.167454483398747</v>
      </c>
      <c r="BR272" s="116">
        <f>196.6*10^(LOG10(AS272/36.3)-(LOG10(AX272/162.5)-LOG10(AS272/36.3))/5)</f>
        <v>7.2859984064243912</v>
      </c>
    </row>
    <row r="273" spans="1:70" x14ac:dyDescent="0.2">
      <c r="A273" s="50" t="s">
        <v>770</v>
      </c>
      <c r="B273" s="50" t="s">
        <v>700</v>
      </c>
      <c r="D273" s="38"/>
      <c r="E273" s="38">
        <v>44.746246864608267</v>
      </c>
      <c r="F273" s="38">
        <v>2.7598571628783839</v>
      </c>
      <c r="G273" s="38">
        <v>8.8421945598059821</v>
      </c>
      <c r="H273" s="49" t="s">
        <v>1166</v>
      </c>
      <c r="I273" s="38">
        <v>21.122473689588229</v>
      </c>
      <c r="J273" s="49">
        <v>0.27437183081329708</v>
      </c>
      <c r="K273" s="38">
        <v>11.495817831320759</v>
      </c>
      <c r="L273" s="38">
        <v>9.504885405622419</v>
      </c>
      <c r="M273" s="49" t="s">
        <v>1167</v>
      </c>
      <c r="N273" s="49">
        <v>5.8463592223092026E-2</v>
      </c>
      <c r="O273" s="49">
        <v>0.25731354438886311</v>
      </c>
      <c r="P273" s="38"/>
      <c r="Q273" s="38">
        <f t="shared" si="131"/>
        <v>49.243056454220579</v>
      </c>
      <c r="R273" s="38"/>
      <c r="S273" s="38"/>
      <c r="T273" s="39"/>
      <c r="V273" s="76"/>
      <c r="W273" s="76"/>
      <c r="Z273" s="76"/>
      <c r="AA273" s="76"/>
      <c r="AB273" s="76"/>
      <c r="AC273" s="76"/>
      <c r="AD273" s="39"/>
      <c r="AE273" s="76"/>
      <c r="AF273" s="76"/>
      <c r="AG273" s="76"/>
      <c r="AH273" s="76"/>
      <c r="AI273" s="76"/>
      <c r="AL273" s="39"/>
      <c r="AM273" s="39"/>
      <c r="AN273" s="39"/>
      <c r="AO273" s="39"/>
      <c r="AP273" s="38"/>
      <c r="AQ273" s="38"/>
      <c r="AR273" s="38"/>
      <c r="AS273" s="38"/>
      <c r="AT273" s="49"/>
      <c r="AU273" s="49"/>
      <c r="AV273" s="49"/>
      <c r="AW273" s="49"/>
      <c r="AX273" s="38"/>
      <c r="AZ273" s="38"/>
      <c r="BA273" s="38"/>
      <c r="BB273" s="38"/>
      <c r="BC273" s="38"/>
      <c r="BD273" s="39"/>
      <c r="BE273" s="38"/>
      <c r="BF273" s="38"/>
      <c r="BG273" s="38"/>
      <c r="BH273" s="39"/>
      <c r="BJ273" s="50"/>
      <c r="BK273" s="50"/>
    </row>
    <row r="274" spans="1:70" x14ac:dyDescent="0.2">
      <c r="A274" s="50" t="s">
        <v>770</v>
      </c>
      <c r="B274" s="50" t="s">
        <v>717</v>
      </c>
      <c r="D274" s="38"/>
      <c r="H274" s="261">
        <f>V274*1.4616/10000</f>
        <v>0.62246731909676101</v>
      </c>
      <c r="I274" s="38" t="s">
        <v>1168</v>
      </c>
      <c r="M274" s="49">
        <v>0.4898325840400532</v>
      </c>
      <c r="N274" s="49" t="s">
        <v>1107</v>
      </c>
      <c r="P274" s="38"/>
      <c r="Q274" s="38" t="e">
        <f t="shared" si="131"/>
        <v>#VALUE!</v>
      </c>
      <c r="R274" s="38"/>
      <c r="S274" s="38"/>
      <c r="T274" s="39">
        <v>39.476882599366512</v>
      </c>
      <c r="V274" s="76">
        <v>4258.8076019209157</v>
      </c>
      <c r="W274" s="76"/>
      <c r="X274" s="39">
        <v>53.256053949116179</v>
      </c>
      <c r="Y274" s="76">
        <v>114.6188821906611</v>
      </c>
      <c r="Z274" s="76"/>
      <c r="AA274" s="76"/>
      <c r="AB274" s="76"/>
      <c r="AC274" s="76"/>
      <c r="AD274" s="39"/>
      <c r="AE274" s="76">
        <v>800.34586696638394</v>
      </c>
      <c r="AF274" s="291">
        <f>1560*10^((LOG10(AU274/55.6)+LOG10(AV274/158.9))/2)</f>
        <v>50.758488007537053</v>
      </c>
      <c r="AG274" s="76">
        <v>147</v>
      </c>
      <c r="AH274" s="76"/>
      <c r="AI274" s="76"/>
      <c r="AK274" s="76">
        <v>159.38796362521714</v>
      </c>
      <c r="AL274" s="39">
        <v>12.094920813323796</v>
      </c>
      <c r="AM274" s="39">
        <v>32.339358332481865</v>
      </c>
      <c r="AN274" s="199">
        <f>89.1*EXP((LN(AL274/234.7)+2*LN(AO274/452.4))/3)</f>
        <v>4.5212113113582477</v>
      </c>
      <c r="AO274" s="39">
        <v>22.779452334729744</v>
      </c>
      <c r="AP274" s="38">
        <v>7.1812220292224387</v>
      </c>
      <c r="AQ274" s="38">
        <v>1.4051731889240833</v>
      </c>
      <c r="AR274" s="200">
        <f>AVERAGE(BP274:BR274)</f>
        <v>8.8206161622841481</v>
      </c>
      <c r="AS274" s="38">
        <v>1.4648211913763158</v>
      </c>
      <c r="AT274" s="200">
        <f>(242.7*10^((4*LOG10(AS274/36.3)+LOG10(AX274/162.5))/5)+242.7*10^((4*LOG10(AP274/147.1)+4*LOG10(AX274/162.5))/8))/2</f>
        <v>8.8905465615503303</v>
      </c>
      <c r="AU274" s="200">
        <f>(55.6*10^((3*LOG10(AS274/36.3)+2*LOG10(AX274/162.5))/5)+55.6*10^((3*LOG10(AP274/147.1)+5*LOG10(AX274/162.5))/8))/2</f>
        <v>1.8819809419917579</v>
      </c>
      <c r="AV274" s="200">
        <f>(158.9*10^((2*LOG10(AS274/36.3)+3*LOG10(AX274/162.5))/5)+158.9*10^((2*LOG10(AP274/147.1)+6*LOG10(AX274/162.5))/8))/2</f>
        <v>4.9699454803490513</v>
      </c>
      <c r="AW274" s="201">
        <f>(24.2*10^((LOG10(AS274/36.3)+4*LOG10(AX274/162.5))/5)+24.2*10^((LOG10(AP274/147.1)+7*LOG10(AX274/162.5))/8))/2</f>
        <v>0.69941661362418239</v>
      </c>
      <c r="AX274" s="38">
        <v>4.3398263001941348</v>
      </c>
      <c r="AY274" s="49">
        <v>0.60440507816491273</v>
      </c>
      <c r="AZ274" s="38">
        <v>4.1462179421681835</v>
      </c>
      <c r="BA274" s="38">
        <v>0.7465566567896188</v>
      </c>
      <c r="BB274" s="38"/>
      <c r="BC274" s="39">
        <v>0.21658833146010015</v>
      </c>
      <c r="BD274" s="39">
        <v>15.442924287319915</v>
      </c>
      <c r="BE274" s="38">
        <v>0.89455961990395427</v>
      </c>
      <c r="BF274" s="38">
        <v>0.59999795647287224</v>
      </c>
      <c r="BG274" s="281">
        <v>195.74</v>
      </c>
      <c r="BH274" s="39"/>
      <c r="BJ274" s="50"/>
      <c r="BK274" s="50"/>
      <c r="BP274" s="116">
        <f>196.6*10^(LOG10(AP274/147.1)+(LOG10(AP274/147.1)-LOG10(AL274/234.7))*0.4)</f>
        <v>9.3922034612370791</v>
      </c>
      <c r="BQ274" s="116">
        <f>196.6*10^(LOG10(AP274/147.1)+0.6666*(LOG10(AS274/36.3)-LOG10(AP274/147.1)))</f>
        <v>8.4534939733418391</v>
      </c>
      <c r="BR274" s="116">
        <f>196.6*10^(LOG10(AS274/36.3)-(LOG10(AX274/162.5)-LOG10(AS274/36.3))/5)</f>
        <v>8.6161510522735263</v>
      </c>
    </row>
    <row r="275" spans="1:70" s="36" customFormat="1" x14ac:dyDescent="0.2">
      <c r="A275" s="77" t="s">
        <v>770</v>
      </c>
      <c r="B275" s="36" t="s">
        <v>279</v>
      </c>
      <c r="D275" s="34">
        <f>SUM(E275:O275)</f>
        <v>100.19696219219306</v>
      </c>
      <c r="E275" s="34">
        <f t="shared" ref="E275:O275" si="136">AVERAGE(E272:E274)</f>
        <v>43.973123432304135</v>
      </c>
      <c r="F275" s="34">
        <f t="shared" si="136"/>
        <v>2.7599285814391918</v>
      </c>
      <c r="G275" s="34">
        <f t="shared" si="136"/>
        <v>8.5960972799029918</v>
      </c>
      <c r="H275" s="37">
        <f t="shared" si="136"/>
        <v>0.63623365954838051</v>
      </c>
      <c r="I275" s="34">
        <f t="shared" si="136"/>
        <v>21.611236844794114</v>
      </c>
      <c r="J275" s="37">
        <f t="shared" si="136"/>
        <v>0.2821859154066485</v>
      </c>
      <c r="K275" s="34">
        <f t="shared" si="136"/>
        <v>12.34790891566038</v>
      </c>
      <c r="L275" s="34">
        <f t="shared" si="136"/>
        <v>9.1224427028112096</v>
      </c>
      <c r="M275" s="37">
        <f t="shared" si="136"/>
        <v>0.50991629202002664</v>
      </c>
      <c r="N275" s="37">
        <f t="shared" si="136"/>
        <v>0.12423179611154601</v>
      </c>
      <c r="O275" s="37">
        <f t="shared" si="136"/>
        <v>0.23365677219443154</v>
      </c>
      <c r="P275" s="34"/>
      <c r="Q275" s="38">
        <f t="shared" si="131"/>
        <v>50.458675789943513</v>
      </c>
      <c r="R275" s="34"/>
      <c r="S275" s="34"/>
      <c r="T275" s="72">
        <f>AVERAGE(T272:T274)</f>
        <v>37.338441299683254</v>
      </c>
      <c r="U275" s="35"/>
      <c r="V275" s="35">
        <f>AVERAGE(V272:V274)</f>
        <v>4353.0538009604579</v>
      </c>
      <c r="X275" s="72">
        <f>AVERAGE(X272:X274)</f>
        <v>53.256053949116179</v>
      </c>
      <c r="Y275" s="35">
        <f>AVERAGE(Y272:Y274)</f>
        <v>67.309441095330556</v>
      </c>
      <c r="AB275" s="282">
        <v>0.51616940839889658</v>
      </c>
      <c r="AC275" s="282">
        <v>0.65534893225707569</v>
      </c>
      <c r="AE275" s="35">
        <f>AVERAGE(AE272:AE274)</f>
        <v>665.17293348319197</v>
      </c>
      <c r="AF275" s="35">
        <f>AVERAGE(AF272:AF274)</f>
        <v>45.753772107852186</v>
      </c>
      <c r="AG275" s="35">
        <f>AVERAGE(AG272:AG274)</f>
        <v>103.5</v>
      </c>
      <c r="AJ275" s="34"/>
      <c r="AK275" s="35">
        <f t="shared" ref="AK275:BA275" si="137">AVERAGE(AK272:AK274)</f>
        <v>179.69398181260857</v>
      </c>
      <c r="AL275" s="34">
        <f t="shared" si="137"/>
        <v>12.497460406661897</v>
      </c>
      <c r="AM275" s="34">
        <f t="shared" si="137"/>
        <v>31.319679166240931</v>
      </c>
      <c r="AN275" s="34">
        <f t="shared" si="137"/>
        <v>4.4065162772498905</v>
      </c>
      <c r="AO275" s="34">
        <f t="shared" si="137"/>
        <v>21.589726167364873</v>
      </c>
      <c r="AP275" s="34">
        <f t="shared" si="137"/>
        <v>6.7456110146112191</v>
      </c>
      <c r="AQ275" s="34">
        <f t="shared" si="137"/>
        <v>1.2925865944620416</v>
      </c>
      <c r="AR275" s="34">
        <f t="shared" si="137"/>
        <v>8.0920896076064306</v>
      </c>
      <c r="AS275" s="34">
        <f t="shared" si="137"/>
        <v>1.342410595688158</v>
      </c>
      <c r="AT275" s="34">
        <f t="shared" si="137"/>
        <v>8.0989083857157986</v>
      </c>
      <c r="AU275" s="34">
        <f t="shared" si="137"/>
        <v>1.7023688235269796</v>
      </c>
      <c r="AV275" s="34">
        <f t="shared" si="137"/>
        <v>4.4643295284715947</v>
      </c>
      <c r="AW275" s="34">
        <f t="shared" si="137"/>
        <v>0.62392514851922742</v>
      </c>
      <c r="AX275" s="34">
        <f t="shared" si="137"/>
        <v>3.8449131500970672</v>
      </c>
      <c r="AY275" s="34">
        <f t="shared" si="137"/>
        <v>0.55720253908245643</v>
      </c>
      <c r="AZ275" s="34">
        <f t="shared" si="137"/>
        <v>3.393108971084092</v>
      </c>
      <c r="BA275" s="34">
        <f t="shared" si="137"/>
        <v>0.72827832839480933</v>
      </c>
      <c r="BC275" s="72">
        <f>AVERAGE(BC272:BC274)</f>
        <v>0.21658833146010015</v>
      </c>
      <c r="BD275" s="72">
        <f>AVERAGE(BD272:BD274)</f>
        <v>15.442924287319915</v>
      </c>
      <c r="BE275" s="34">
        <f>AVERAGE(BE272:BE274)</f>
        <v>0.8972798099519772</v>
      </c>
      <c r="BF275" s="34">
        <f>AVERAGE(BF272:BF274)</f>
        <v>0.59999795647287224</v>
      </c>
      <c r="BH275" s="72"/>
      <c r="BL275" s="37"/>
    </row>
    <row r="276" spans="1:70" x14ac:dyDescent="0.2">
      <c r="A276" s="71"/>
      <c r="Q276" s="38" t="e">
        <f t="shared" si="131"/>
        <v>#DIV/0!</v>
      </c>
      <c r="R276" s="49"/>
      <c r="S276" s="39"/>
      <c r="T276" s="39"/>
      <c r="V276" s="76"/>
      <c r="W276" s="76"/>
      <c r="Z276" s="76"/>
      <c r="AA276" s="76"/>
      <c r="AB276" s="76"/>
      <c r="AC276" s="76"/>
      <c r="AD276" s="39"/>
      <c r="AE276" s="39"/>
      <c r="AF276" s="76"/>
      <c r="AG276" s="76"/>
      <c r="AH276" s="76"/>
      <c r="AI276" s="76"/>
      <c r="AL276" s="76"/>
      <c r="AM276" s="38"/>
      <c r="AN276" s="38"/>
      <c r="AO276" s="39"/>
      <c r="AP276" s="39"/>
      <c r="AQ276" s="38"/>
      <c r="AR276" s="38"/>
      <c r="AS276" s="49"/>
      <c r="AT276" s="49"/>
      <c r="AU276" s="49"/>
      <c r="AV276" s="49"/>
      <c r="AW276" s="49"/>
      <c r="AX276" s="49"/>
      <c r="AZ276" s="49"/>
      <c r="BA276" s="38"/>
      <c r="BB276" s="38"/>
      <c r="BC276" s="38"/>
      <c r="BD276" s="39"/>
      <c r="BE276" s="39"/>
      <c r="BF276" s="38"/>
      <c r="BG276" s="38"/>
      <c r="BH276" s="39"/>
      <c r="BJ276" s="50"/>
      <c r="BK276" s="50"/>
    </row>
    <row r="277" spans="1:70" x14ac:dyDescent="0.2">
      <c r="A277" s="50" t="s">
        <v>1173</v>
      </c>
      <c r="B277" s="50" t="s">
        <v>1175</v>
      </c>
      <c r="D277" s="34">
        <f>SUM(E277:O277)</f>
        <v>100.07056002623749</v>
      </c>
      <c r="E277" s="301">
        <v>50.907328569015327</v>
      </c>
      <c r="F277" s="301">
        <v>0.269834494119505</v>
      </c>
      <c r="G277" s="301">
        <v>5.9127283529952575</v>
      </c>
      <c r="H277" s="302">
        <v>0.82854341590246827</v>
      </c>
      <c r="I277" s="301">
        <v>17.589936337819029</v>
      </c>
      <c r="J277" s="302">
        <v>0.54542602011234509</v>
      </c>
      <c r="K277" s="301">
        <v>18.289242374725745</v>
      </c>
      <c r="L277" s="301">
        <v>5.429332145912694</v>
      </c>
      <c r="M277" s="302">
        <v>0.19209912548771346</v>
      </c>
      <c r="N277" s="302">
        <v>4.1793898844933432E-2</v>
      </c>
      <c r="O277" s="302">
        <v>6.4295291302474147E-2</v>
      </c>
      <c r="Q277" s="38">
        <f t="shared" si="131"/>
        <v>64.954966911811184</v>
      </c>
      <c r="R277" s="49"/>
      <c r="S277" s="39"/>
      <c r="T277" s="39"/>
      <c r="V277" s="76"/>
      <c r="W277" s="76"/>
      <c r="Z277" s="76"/>
      <c r="AA277" s="76"/>
      <c r="AB277" s="76"/>
      <c r="AC277" s="76"/>
      <c r="AD277" s="39"/>
      <c r="AE277" s="39"/>
      <c r="AF277" s="76"/>
      <c r="AG277" s="76"/>
      <c r="AH277" s="76"/>
      <c r="AI277" s="76"/>
      <c r="AL277" s="76"/>
      <c r="AM277" s="38"/>
      <c r="AN277" s="38"/>
      <c r="AO277" s="39"/>
      <c r="AP277" s="39"/>
      <c r="AQ277" s="38"/>
      <c r="AR277" s="38"/>
      <c r="AS277" s="49"/>
      <c r="AT277" s="49"/>
      <c r="AU277" s="49"/>
      <c r="AV277" s="49"/>
      <c r="AW277" s="49"/>
      <c r="AX277" s="49"/>
      <c r="AZ277" s="49"/>
      <c r="BA277" s="38"/>
      <c r="BB277" s="38"/>
      <c r="BC277" s="38"/>
      <c r="BD277" s="39"/>
      <c r="BE277" s="39"/>
      <c r="BF277" s="38"/>
      <c r="BG277" s="38"/>
      <c r="BH277" s="39"/>
      <c r="BJ277" s="50"/>
      <c r="BK277" s="50"/>
    </row>
    <row r="278" spans="1:70" ht="6" customHeight="1" x14ac:dyDescent="0.2">
      <c r="A278" s="71"/>
      <c r="Q278" s="38" t="e">
        <f t="shared" si="131"/>
        <v>#DIV/0!</v>
      </c>
      <c r="R278" s="49"/>
      <c r="S278" s="39"/>
      <c r="T278" s="39"/>
      <c r="V278" s="76"/>
      <c r="W278" s="76"/>
      <c r="Z278" s="76"/>
      <c r="AA278" s="76"/>
      <c r="AB278" s="76"/>
      <c r="AC278" s="76"/>
      <c r="AD278" s="39"/>
      <c r="AE278" s="39"/>
      <c r="AF278" s="76"/>
      <c r="AG278" s="76"/>
      <c r="AH278" s="76"/>
      <c r="AI278" s="76"/>
      <c r="AL278" s="76"/>
      <c r="AM278" s="38"/>
      <c r="AN278" s="38"/>
      <c r="AO278" s="39"/>
      <c r="AP278" s="39"/>
      <c r="AQ278" s="38"/>
      <c r="AR278" s="38"/>
      <c r="AS278" s="49"/>
      <c r="AT278" s="49"/>
      <c r="AU278" s="49"/>
      <c r="AV278" s="49"/>
      <c r="AW278" s="49"/>
      <c r="AX278" s="49"/>
      <c r="AZ278" s="49"/>
      <c r="BA278" s="38"/>
      <c r="BB278" s="38"/>
      <c r="BC278" s="38"/>
      <c r="BD278" s="39"/>
      <c r="BE278" s="39"/>
      <c r="BF278" s="38"/>
      <c r="BG278" s="38"/>
      <c r="BH278" s="39"/>
      <c r="BJ278" s="50"/>
      <c r="BK278" s="50"/>
    </row>
    <row r="279" spans="1:70" s="40" customFormat="1" x14ac:dyDescent="0.2">
      <c r="A279" s="40" t="s">
        <v>1173</v>
      </c>
      <c r="B279" s="40" t="s">
        <v>1174</v>
      </c>
      <c r="C279" s="36" t="s">
        <v>1337</v>
      </c>
      <c r="E279" s="48"/>
      <c r="F279" s="48"/>
      <c r="G279" s="48"/>
      <c r="H279" s="45"/>
      <c r="I279" s="48"/>
      <c r="J279" s="45"/>
      <c r="K279" s="48"/>
      <c r="L279" s="48"/>
      <c r="M279" s="45"/>
      <c r="N279" s="45"/>
      <c r="O279" s="45"/>
      <c r="Q279" s="38" t="e">
        <f t="shared" si="131"/>
        <v>#DIV/0!</v>
      </c>
      <c r="R279" s="45"/>
      <c r="S279" s="79"/>
      <c r="T279" s="79"/>
      <c r="U279" s="46"/>
      <c r="V279" s="46"/>
      <c r="W279" s="46"/>
      <c r="X279" s="79"/>
      <c r="Y279" s="46"/>
      <c r="Z279" s="46"/>
      <c r="AA279" s="46"/>
      <c r="AB279" s="46"/>
      <c r="AC279" s="46"/>
      <c r="AD279" s="79"/>
      <c r="AE279" s="79"/>
      <c r="AF279" s="46"/>
      <c r="AG279" s="46"/>
      <c r="AH279" s="46"/>
      <c r="AI279" s="46"/>
      <c r="AJ279" s="48"/>
      <c r="AK279" s="46"/>
      <c r="AL279" s="46"/>
      <c r="AM279" s="48"/>
      <c r="AN279" s="48"/>
      <c r="AO279" s="79"/>
      <c r="AP279" s="79"/>
      <c r="AQ279" s="48"/>
      <c r="AR279" s="48"/>
      <c r="AS279" s="45"/>
      <c r="AT279" s="45"/>
      <c r="AU279" s="45"/>
      <c r="AV279" s="45"/>
      <c r="AW279" s="45"/>
      <c r="AX279" s="45"/>
      <c r="AY279" s="45"/>
      <c r="AZ279" s="45"/>
      <c r="BA279" s="48"/>
      <c r="BB279" s="48"/>
      <c r="BC279" s="48"/>
      <c r="BD279" s="79"/>
      <c r="BE279" s="79"/>
      <c r="BF279" s="48"/>
      <c r="BG279" s="48"/>
      <c r="BH279" s="79"/>
      <c r="BL279" s="45"/>
    </row>
    <row r="280" spans="1:70" s="40" customFormat="1" x14ac:dyDescent="0.2">
      <c r="A280" s="40" t="s">
        <v>1173</v>
      </c>
      <c r="B280" s="40" t="s">
        <v>1171</v>
      </c>
      <c r="C280" s="36" t="s">
        <v>1337</v>
      </c>
      <c r="D280" s="197">
        <f>SUM(E280:O280)</f>
        <v>99.276802136925056</v>
      </c>
      <c r="E280" s="48">
        <v>51.151899002701775</v>
      </c>
      <c r="F280" s="48">
        <v>0.32236859216493463</v>
      </c>
      <c r="G280" s="48">
        <v>7.8514823525686097</v>
      </c>
      <c r="H280" s="45" t="s">
        <v>1192</v>
      </c>
      <c r="I280" s="48">
        <v>16.735850037119526</v>
      </c>
      <c r="J280" s="45">
        <v>0.56503610506634372</v>
      </c>
      <c r="K280" s="48">
        <v>16.15047860326878</v>
      </c>
      <c r="L280" s="48">
        <v>6.3940254065631912</v>
      </c>
      <c r="M280" s="45" t="s">
        <v>1177</v>
      </c>
      <c r="N280" s="45">
        <v>4.566203747189547E-2</v>
      </c>
      <c r="O280" s="45">
        <v>0.06</v>
      </c>
      <c r="Q280" s="38">
        <f t="shared" si="131"/>
        <v>63.238699592180929</v>
      </c>
      <c r="R280" s="45"/>
      <c r="S280" s="79"/>
      <c r="T280" s="79"/>
      <c r="U280" s="46"/>
      <c r="V280" s="46"/>
      <c r="W280" s="46"/>
      <c r="X280" s="79"/>
      <c r="Y280" s="46"/>
      <c r="Z280" s="46"/>
      <c r="AA280" s="46"/>
      <c r="AB280" s="46"/>
      <c r="AC280" s="46"/>
      <c r="AD280" s="79"/>
      <c r="AE280" s="79"/>
      <c r="AF280" s="46"/>
      <c r="AG280" s="46"/>
      <c r="AH280" s="46"/>
      <c r="AI280" s="46"/>
      <c r="AJ280" s="48"/>
      <c r="AK280" s="46"/>
      <c r="AL280" s="46"/>
      <c r="AM280" s="48"/>
      <c r="AN280" s="48"/>
      <c r="AO280" s="79"/>
      <c r="AP280" s="79"/>
      <c r="AQ280" s="48"/>
      <c r="AR280" s="48"/>
      <c r="AS280" s="45"/>
      <c r="AT280" s="45"/>
      <c r="AU280" s="45"/>
      <c r="AV280" s="45"/>
      <c r="AW280" s="45"/>
      <c r="AX280" s="45"/>
      <c r="AY280" s="45"/>
      <c r="AZ280" s="45"/>
      <c r="BA280" s="48"/>
      <c r="BB280" s="48"/>
      <c r="BC280" s="48"/>
      <c r="BD280" s="79"/>
      <c r="BE280" s="79"/>
      <c r="BF280" s="48"/>
      <c r="BG280" s="48"/>
      <c r="BH280" s="79"/>
      <c r="BL280" s="45"/>
    </row>
    <row r="281" spans="1:70" s="40" customFormat="1" x14ac:dyDescent="0.2">
      <c r="A281" s="40" t="s">
        <v>1173</v>
      </c>
      <c r="B281" s="40" t="s">
        <v>717</v>
      </c>
      <c r="C281" s="36" t="s">
        <v>1337</v>
      </c>
      <c r="D281" s="48"/>
      <c r="E281" s="48"/>
      <c r="F281" s="48"/>
      <c r="G281" s="48"/>
      <c r="H281" s="45">
        <f>V281*1.4616/10000</f>
        <v>0.78160942610244999</v>
      </c>
      <c r="I281" s="48">
        <v>16.735850037119526</v>
      </c>
      <c r="J281" s="45"/>
      <c r="K281" s="48"/>
      <c r="L281" s="48" t="s">
        <v>1170</v>
      </c>
      <c r="M281" s="45">
        <v>0.23876867112100969</v>
      </c>
      <c r="N281" s="45" t="s">
        <v>1176</v>
      </c>
      <c r="O281" s="45"/>
      <c r="P281" s="48"/>
      <c r="Q281" s="38">
        <f t="shared" si="131"/>
        <v>0</v>
      </c>
      <c r="R281" s="48"/>
      <c r="S281" s="48"/>
      <c r="T281" s="79">
        <v>21.927334818114332</v>
      </c>
      <c r="U281" s="46"/>
      <c r="V281" s="46">
        <v>5347.6288047512999</v>
      </c>
      <c r="W281" s="46"/>
      <c r="X281" s="79">
        <v>13.123658500371196</v>
      </c>
      <c r="Y281" s="46">
        <v>49.672308834446923</v>
      </c>
      <c r="Z281" s="46">
        <v>4.6332442464736454</v>
      </c>
      <c r="AA281" s="46"/>
      <c r="AB281" s="46">
        <v>0.37801187824795845</v>
      </c>
      <c r="AC281" s="46">
        <v>0.84697995545657023</v>
      </c>
      <c r="AD281" s="79"/>
      <c r="AE281" s="46">
        <v>1178.7913882702303</v>
      </c>
      <c r="AF281" s="291">
        <f>1560*10^((LOG10(AU281/55.6)+LOG10(AV281/158.9))/2)</f>
        <v>7.5216041397430597</v>
      </c>
      <c r="AG281" s="46">
        <v>12.706755753526355</v>
      </c>
      <c r="AH281" s="46"/>
      <c r="AI281" s="46"/>
      <c r="AJ281" s="48"/>
      <c r="AK281" s="46">
        <v>470.2877505567929</v>
      </c>
      <c r="AL281" s="79">
        <v>1.2761189309576837</v>
      </c>
      <c r="AM281" s="79">
        <v>3.2468448403860433</v>
      </c>
      <c r="AN281" s="153">
        <f>89.1*EXP((LN(AL281/234.7)+2*LN(AO281/452.4))/3)</f>
        <v>0.49640327953306157</v>
      </c>
      <c r="AO281" s="79">
        <v>2.5513437268002965</v>
      </c>
      <c r="AP281" s="48">
        <v>0.73623236822568672</v>
      </c>
      <c r="AQ281" s="48">
        <v>0.28440668151447668</v>
      </c>
      <c r="AR281" s="384">
        <f>AVERAGE(BP281:BR281)</f>
        <v>0.98272036937446661</v>
      </c>
      <c r="AS281" s="48">
        <v>0.18316599851521903</v>
      </c>
      <c r="AT281" s="384">
        <f>(242.7*10^((4*LOG10(AS281/36.3)+LOG10(AX281/162.5))/5)+242.7*10^((4*LOG10(AP281/147.1)+4*LOG10(AX281/162.5))/8))/2</f>
        <v>1.1907895903349965</v>
      </c>
      <c r="AU281" s="384">
        <f>(55.6*10^((3*LOG10(AS281/36.3)+2*LOG10(AX281/162.5))/5)+55.6*10^((3*LOG10(AP281/147.1)+5*LOG10(AX281/162.5))/8))/2</f>
        <v>0.26964076224691047</v>
      </c>
      <c r="AV281" s="384">
        <f>(158.9*10^((2*LOG10(AS281/36.3)+3*LOG10(AX281/162.5))/5)+158.9*10^((2*LOG10(AP281/147.1)+6*LOG10(AX281/162.5))/8))/2</f>
        <v>0.76170164172947619</v>
      </c>
      <c r="AW281" s="385">
        <f>(24.2*10^((LOG10(AS281/36.3)+4*LOG10(AX281/162.5))/5)+24.2*10^((LOG10(AP281/147.1)+7*LOG10(AX281/162.5))/8))/2</f>
        <v>0.11466512238533644</v>
      </c>
      <c r="AX281" s="48">
        <v>0.76107780252412771</v>
      </c>
      <c r="AY281" s="45">
        <v>0.11429844097995548</v>
      </c>
      <c r="AZ281" s="48">
        <v>0.53323533778767629</v>
      </c>
      <c r="BA281" s="48">
        <v>9.0340460282108404E-2</v>
      </c>
      <c r="BB281" s="48">
        <v>0.15634743875278401</v>
      </c>
      <c r="BC281" s="79">
        <v>1.4890571640683001</v>
      </c>
      <c r="BD281" s="79">
        <v>1.3893689680772086</v>
      </c>
      <c r="BE281" s="48">
        <v>0.10948478099480327</v>
      </c>
      <c r="BF281" s="48">
        <v>0.21108240534521161</v>
      </c>
      <c r="BG281" s="386">
        <v>67.349999999999994</v>
      </c>
      <c r="BH281" s="79"/>
      <c r="BL281" s="45"/>
      <c r="BP281" s="387">
        <f>196.6*10^(LOG10(AP281/147.1)+(LOG10(AP281/147.1)-LOG10(AL281/234.7))*0.4)</f>
        <v>0.95190896496950705</v>
      </c>
      <c r="BQ281" s="387">
        <f>196.6*10^(LOG10(AP281/147.1)+0.6666*(LOG10(AS281/36.3)-LOG10(AP281/147.1)))</f>
        <v>0.98933379473356975</v>
      </c>
      <c r="BR281" s="387">
        <f>196.6*10^(LOG10(AS281/36.3)-(LOG10(AX281/162.5)-LOG10(AS281/36.3))/5)</f>
        <v>1.0069183484203232</v>
      </c>
    </row>
    <row r="282" spans="1:70" s="104" customFormat="1" x14ac:dyDescent="0.2">
      <c r="A282" s="104" t="s">
        <v>1173</v>
      </c>
      <c r="B282" s="104" t="s">
        <v>279</v>
      </c>
      <c r="C282" s="36" t="s">
        <v>1337</v>
      </c>
      <c r="D282" s="197">
        <f>SUM(E282:O282)</f>
        <v>100.29718023414851</v>
      </c>
      <c r="E282" s="197">
        <f t="shared" ref="E282:O282" si="138">AVERAGE(E279:E281)</f>
        <v>51.151899002701775</v>
      </c>
      <c r="F282" s="197">
        <f t="shared" si="138"/>
        <v>0.32236859216493463</v>
      </c>
      <c r="G282" s="197">
        <f t="shared" si="138"/>
        <v>7.8514823525686097</v>
      </c>
      <c r="H282" s="388">
        <f t="shared" si="138"/>
        <v>0.78160942610244999</v>
      </c>
      <c r="I282" s="197">
        <f t="shared" si="138"/>
        <v>16.735850037119526</v>
      </c>
      <c r="J282" s="388">
        <f t="shared" si="138"/>
        <v>0.56503610506634372</v>
      </c>
      <c r="K282" s="197">
        <f t="shared" si="138"/>
        <v>16.15047860326878</v>
      </c>
      <c r="L282" s="197">
        <f t="shared" si="138"/>
        <v>6.3940254065631912</v>
      </c>
      <c r="M282" s="388">
        <f t="shared" si="138"/>
        <v>0.23876867112100969</v>
      </c>
      <c r="N282" s="388">
        <f t="shared" si="138"/>
        <v>4.566203747189547E-2</v>
      </c>
      <c r="O282" s="388">
        <f t="shared" si="138"/>
        <v>0.06</v>
      </c>
      <c r="P282" s="197"/>
      <c r="Q282" s="38">
        <f t="shared" si="131"/>
        <v>63.238699592180929</v>
      </c>
      <c r="R282" s="197"/>
      <c r="S282" s="197"/>
      <c r="T282" s="172">
        <f>AVERAGE(T279:T281)</f>
        <v>21.927334818114332</v>
      </c>
      <c r="U282" s="215"/>
      <c r="V282" s="215">
        <f>AVERAGE(V279:V281)</f>
        <v>5347.6288047512999</v>
      </c>
      <c r="X282" s="172">
        <f>AVERAGE(X279:X281)</f>
        <v>13.123658500371196</v>
      </c>
      <c r="Y282" s="215">
        <f>AVERAGE(Y279:Y281)</f>
        <v>49.672308834446923</v>
      </c>
      <c r="AE282" s="215">
        <f>AVERAGE(AE279:AE281)</f>
        <v>1178.7913882702303</v>
      </c>
      <c r="AF282" s="215">
        <f>AVERAGE(AF279:AF281)</f>
        <v>7.5216041397430597</v>
      </c>
      <c r="AG282" s="215">
        <f>AVERAGE(AG279:AG281)</f>
        <v>12.706755753526355</v>
      </c>
      <c r="AJ282" s="197"/>
      <c r="AK282" s="215">
        <f>AVERAGE(AK279:AK281)</f>
        <v>470.2877505567929</v>
      </c>
      <c r="AL282" s="172">
        <f>AVERAGE(AL279:AL281)</f>
        <v>1.2761189309576837</v>
      </c>
      <c r="AM282" s="172">
        <f>AVERAGE(AM279:AM281)</f>
        <v>3.2468448403860433</v>
      </c>
      <c r="AN282" s="389">
        <f>89.1*EXP((LN(AL282/234.7)+2*LN(AO282/452.4))/3)</f>
        <v>0.49640327953306157</v>
      </c>
      <c r="AO282" s="172">
        <f>AVERAGE(AO279:AO281)</f>
        <v>2.5513437268002965</v>
      </c>
      <c r="AP282" s="197">
        <f>AVERAGE(AP279:AP281)</f>
        <v>0.73623236822568672</v>
      </c>
      <c r="AQ282" s="197">
        <f>AVERAGE(AQ279:AQ281)</f>
        <v>0.28440668151447668</v>
      </c>
      <c r="AS282" s="197">
        <f>AVERAGE(AS279:AS281)</f>
        <v>0.18316599851521903</v>
      </c>
      <c r="AX282" s="197">
        <f>AVERAGE(AX279:AX281)</f>
        <v>0.76107780252412771</v>
      </c>
      <c r="AY282" s="388">
        <f>AVERAGE(AY279:AY281)</f>
        <v>0.11429844097995548</v>
      </c>
      <c r="AZ282" s="197">
        <f>AVERAGE(AZ279:AZ281)</f>
        <v>0.53323533778767629</v>
      </c>
      <c r="BA282" s="197">
        <f>AVERAGE(BA279:BA281)</f>
        <v>9.0340460282108404E-2</v>
      </c>
      <c r="BC282" s="172">
        <f>AVERAGE(BC279:BC281)</f>
        <v>1.4890571640683001</v>
      </c>
      <c r="BD282" s="172">
        <f>AVERAGE(BD279:BD281)</f>
        <v>1.3893689680772086</v>
      </c>
      <c r="BE282" s="197">
        <f>AVERAGE(BE279:BE281)</f>
        <v>0.10948478099480327</v>
      </c>
      <c r="BF282" s="197">
        <f>AVERAGE(BF279:BF281)</f>
        <v>0.21108240534521161</v>
      </c>
      <c r="BG282" s="197"/>
      <c r="BH282" s="172"/>
      <c r="BL282" s="388"/>
    </row>
    <row r="283" spans="1:70" x14ac:dyDescent="0.2">
      <c r="A283" s="71"/>
      <c r="Q283" s="38" t="e">
        <f t="shared" si="131"/>
        <v>#DIV/0!</v>
      </c>
      <c r="R283" s="49"/>
      <c r="S283" s="39"/>
      <c r="T283" s="39"/>
      <c r="V283" s="76"/>
      <c r="W283" s="76"/>
      <c r="Z283" s="76"/>
      <c r="AA283" s="76"/>
      <c r="AB283" s="76"/>
      <c r="AC283" s="76"/>
      <c r="AD283" s="39"/>
      <c r="AE283" s="39"/>
      <c r="AF283" s="76"/>
      <c r="AG283" s="76"/>
      <c r="AH283" s="76"/>
      <c r="AI283" s="76"/>
      <c r="AL283" s="76"/>
      <c r="AM283" s="38"/>
      <c r="AN283" s="38"/>
      <c r="AO283" s="39"/>
      <c r="AP283" s="39"/>
      <c r="AQ283" s="38"/>
      <c r="AR283" s="38"/>
      <c r="AS283" s="49"/>
      <c r="AT283" s="49"/>
      <c r="AU283" s="49"/>
      <c r="AV283" s="49"/>
      <c r="AW283" s="49"/>
      <c r="AX283" s="49"/>
      <c r="AZ283" s="49"/>
      <c r="BA283" s="38"/>
      <c r="BB283" s="38"/>
      <c r="BC283" s="38"/>
      <c r="BD283" s="39"/>
      <c r="BE283" s="39"/>
      <c r="BF283" s="38"/>
      <c r="BG283" s="38"/>
      <c r="BH283" s="39"/>
      <c r="BJ283" s="50"/>
      <c r="BK283" s="50"/>
    </row>
    <row r="284" spans="1:70" x14ac:dyDescent="0.2">
      <c r="A284" s="71"/>
      <c r="Q284" s="38" t="e">
        <f t="shared" si="131"/>
        <v>#DIV/0!</v>
      </c>
      <c r="R284" s="49"/>
      <c r="S284" s="39"/>
      <c r="T284" s="39"/>
      <c r="V284" s="76"/>
      <c r="W284" s="76"/>
      <c r="Z284" s="76"/>
      <c r="AA284" s="76"/>
      <c r="AB284" s="76"/>
      <c r="AC284" s="76"/>
      <c r="AD284" s="39"/>
      <c r="AE284" s="39"/>
      <c r="AF284" s="76"/>
      <c r="AG284" s="76"/>
      <c r="AH284" s="76"/>
      <c r="AI284" s="76"/>
      <c r="AL284" s="76"/>
      <c r="AM284" s="38"/>
      <c r="AN284" s="38"/>
      <c r="AO284" s="39"/>
      <c r="AP284" s="39"/>
      <c r="AQ284" s="38"/>
      <c r="AR284" s="38"/>
      <c r="AS284" s="49"/>
      <c r="AT284" s="49"/>
      <c r="AU284" s="49"/>
      <c r="AV284" s="49"/>
      <c r="AW284" s="49"/>
      <c r="AX284" s="49"/>
      <c r="AZ284" s="49"/>
      <c r="BA284" s="38"/>
      <c r="BB284" s="38"/>
      <c r="BC284" s="38"/>
      <c r="BD284" s="39"/>
      <c r="BE284" s="39"/>
      <c r="BF284" s="38"/>
      <c r="BG284" s="38"/>
      <c r="BH284" s="39"/>
      <c r="BJ284" s="50"/>
      <c r="BK284" s="50"/>
    </row>
    <row r="285" spans="1:70" x14ac:dyDescent="0.2">
      <c r="I285" s="210"/>
      <c r="L285" s="210"/>
      <c r="M285" s="211"/>
      <c r="N285" s="211"/>
      <c r="Q285" s="38" t="e">
        <f t="shared" si="131"/>
        <v>#DIV/0!</v>
      </c>
      <c r="T285" s="212"/>
      <c r="V285" s="213"/>
      <c r="X285" s="212"/>
      <c r="Y285" s="213"/>
      <c r="Z285" s="214"/>
      <c r="AA285" s="214"/>
      <c r="AB285" s="214"/>
      <c r="AC285" s="214"/>
      <c r="AD285" s="212"/>
      <c r="AE285" s="213"/>
      <c r="AG285" s="213"/>
      <c r="AH285" s="213"/>
      <c r="AI285" s="213"/>
      <c r="AJ285" s="210"/>
      <c r="AK285" s="213"/>
      <c r="AL285" s="210"/>
      <c r="AM285" s="212"/>
      <c r="AN285" s="212"/>
      <c r="AO285" s="212"/>
      <c r="AP285" s="210"/>
      <c r="AQ285" s="211"/>
      <c r="AS285" s="211"/>
      <c r="AX285" s="210"/>
      <c r="AY285" s="211"/>
      <c r="AZ285" s="210"/>
      <c r="BA285" s="210"/>
      <c r="BB285" s="212"/>
      <c r="BC285" s="212"/>
      <c r="BD285" s="212"/>
      <c r="BE285" s="210"/>
      <c r="BF285" s="210"/>
      <c r="BG285" s="38"/>
      <c r="BH285" s="39"/>
      <c r="BJ285" s="50"/>
      <c r="BK285" s="50"/>
    </row>
    <row r="286" spans="1:70" x14ac:dyDescent="0.2">
      <c r="A286" s="50" t="s">
        <v>856</v>
      </c>
      <c r="C286" s="50" t="s">
        <v>700</v>
      </c>
      <c r="E286" s="38" t="s">
        <v>14</v>
      </c>
      <c r="F286" s="38" t="s">
        <v>15</v>
      </c>
      <c r="G286" s="38" t="s">
        <v>16</v>
      </c>
      <c r="H286" s="49" t="s">
        <v>17</v>
      </c>
      <c r="I286" s="38" t="s">
        <v>18</v>
      </c>
      <c r="J286" s="49" t="s">
        <v>19</v>
      </c>
      <c r="K286" s="38" t="s">
        <v>20</v>
      </c>
      <c r="L286" s="38" t="s">
        <v>21</v>
      </c>
      <c r="M286" s="49" t="s">
        <v>22</v>
      </c>
      <c r="N286" s="49" t="s">
        <v>1312</v>
      </c>
      <c r="O286" s="49" t="s">
        <v>23</v>
      </c>
      <c r="Q286" s="38" t="e">
        <f t="shared" si="131"/>
        <v>#VALUE!</v>
      </c>
      <c r="T286" s="39"/>
      <c r="V286" s="76"/>
      <c r="Z286" s="46"/>
      <c r="AA286" s="46"/>
      <c r="AB286" s="46"/>
      <c r="AC286" s="46"/>
      <c r="AD286" s="39"/>
      <c r="AE286" s="76"/>
      <c r="AG286" s="76"/>
      <c r="AH286" s="76"/>
      <c r="AI286" s="76"/>
      <c r="AL286" s="38"/>
      <c r="AM286" s="39"/>
      <c r="AN286" s="39"/>
      <c r="AO286" s="39"/>
      <c r="AP286" s="38"/>
      <c r="AQ286" s="49"/>
      <c r="AS286" s="49"/>
      <c r="AX286" s="38"/>
      <c r="AZ286" s="38"/>
      <c r="BA286" s="38"/>
      <c r="BB286" s="39"/>
      <c r="BC286" s="39"/>
      <c r="BD286" s="39"/>
      <c r="BE286" s="38"/>
      <c r="BF286" s="38"/>
      <c r="BG286" s="38"/>
      <c r="BH286" s="39"/>
      <c r="BJ286" s="50"/>
      <c r="BK286" s="50"/>
    </row>
    <row r="287" spans="1:70" x14ac:dyDescent="0.2">
      <c r="A287" s="50" t="s">
        <v>856</v>
      </c>
      <c r="C287" s="50" t="s">
        <v>891</v>
      </c>
      <c r="E287" s="38" t="s">
        <v>31</v>
      </c>
      <c r="F287" s="38" t="s">
        <v>30</v>
      </c>
      <c r="G287" s="38" t="s">
        <v>29</v>
      </c>
      <c r="H287" s="49">
        <v>0.187</v>
      </c>
      <c r="I287" s="38" t="s">
        <v>28</v>
      </c>
      <c r="J287" s="49" t="s">
        <v>27</v>
      </c>
      <c r="K287" s="38" t="s">
        <v>26</v>
      </c>
      <c r="L287" s="38" t="s">
        <v>25</v>
      </c>
      <c r="M287" s="49" t="s">
        <v>893</v>
      </c>
      <c r="N287" s="49" t="s">
        <v>24</v>
      </c>
      <c r="Q287" s="38" t="e">
        <f t="shared" si="131"/>
        <v>#VALUE!</v>
      </c>
      <c r="T287" s="39"/>
      <c r="V287" s="76"/>
      <c r="Z287" s="46"/>
      <c r="AA287" s="46"/>
      <c r="AB287" s="46"/>
      <c r="AC287" s="46"/>
      <c r="AD287" s="39"/>
      <c r="AE287" s="76"/>
      <c r="AG287" s="76"/>
      <c r="AH287" s="76"/>
      <c r="AI287" s="76"/>
      <c r="AL287" s="38"/>
      <c r="AM287" s="39"/>
      <c r="AN287" s="39"/>
      <c r="AO287" s="39"/>
      <c r="AP287" s="38"/>
      <c r="AQ287" s="49"/>
      <c r="AS287" s="49"/>
      <c r="AX287" s="38"/>
      <c r="AZ287" s="38"/>
      <c r="BA287" s="38"/>
      <c r="BB287" s="39"/>
      <c r="BC287" s="39"/>
      <c r="BD287" s="39"/>
      <c r="BE287" s="38"/>
      <c r="BF287" s="38"/>
      <c r="BG287" s="38"/>
      <c r="BH287" s="39"/>
      <c r="BJ287" s="50"/>
      <c r="BK287" s="50"/>
    </row>
    <row r="288" spans="1:70" x14ac:dyDescent="0.2">
      <c r="A288" s="50" t="s">
        <v>856</v>
      </c>
      <c r="C288" s="50" t="s">
        <v>894</v>
      </c>
      <c r="E288" s="38" t="s">
        <v>32</v>
      </c>
      <c r="F288" s="38" t="s">
        <v>33</v>
      </c>
      <c r="G288" s="38" t="s">
        <v>34</v>
      </c>
      <c r="I288" s="38" t="s">
        <v>35</v>
      </c>
      <c r="K288" s="38" t="s">
        <v>36</v>
      </c>
      <c r="L288" s="38" t="s">
        <v>37</v>
      </c>
      <c r="Q288" s="38" t="e">
        <f t="shared" si="131"/>
        <v>#VALUE!</v>
      </c>
      <c r="T288" s="39"/>
      <c r="V288" s="76"/>
      <c r="Z288" s="46"/>
      <c r="AA288" s="46"/>
      <c r="AB288" s="46"/>
      <c r="AC288" s="46"/>
      <c r="AD288" s="39"/>
      <c r="AE288" s="76"/>
      <c r="AG288" s="76"/>
      <c r="AH288" s="76"/>
      <c r="AI288" s="76"/>
      <c r="AL288" s="38"/>
      <c r="AM288" s="39"/>
      <c r="AN288" s="39"/>
      <c r="AO288" s="39"/>
      <c r="AP288" s="38"/>
      <c r="AQ288" s="49"/>
      <c r="AS288" s="49"/>
      <c r="AX288" s="38"/>
      <c r="AZ288" s="38"/>
      <c r="BA288" s="38"/>
      <c r="BB288" s="39"/>
      <c r="BC288" s="39"/>
      <c r="BD288" s="39"/>
      <c r="BE288" s="38"/>
      <c r="BF288" s="38"/>
      <c r="BG288" s="38"/>
      <c r="BH288" s="39"/>
      <c r="BJ288" s="50"/>
      <c r="BK288" s="50"/>
    </row>
    <row r="289" spans="1:70" x14ac:dyDescent="0.2">
      <c r="A289" s="50" t="s">
        <v>856</v>
      </c>
      <c r="C289" s="50" t="s">
        <v>717</v>
      </c>
      <c r="G289" s="195"/>
      <c r="H289" s="49">
        <f>V289*1.4616/10000</f>
        <v>0.23691853157228512</v>
      </c>
      <c r="I289" s="38">
        <v>16.031921635576278</v>
      </c>
      <c r="L289" s="38" t="s">
        <v>892</v>
      </c>
      <c r="M289" s="49">
        <v>0.30421960359760158</v>
      </c>
      <c r="N289" s="49">
        <v>3.126332445036642E-2</v>
      </c>
      <c r="Q289" s="38">
        <f t="shared" si="131"/>
        <v>0</v>
      </c>
      <c r="T289" s="39">
        <v>53.735080779480342</v>
      </c>
      <c r="V289" s="76">
        <v>1620.9532811459026</v>
      </c>
      <c r="X289" s="39">
        <v>26.603805796135909</v>
      </c>
      <c r="Y289" s="76">
        <v>179.92654896735507</v>
      </c>
      <c r="Z289" s="46">
        <v>20.666264157228511</v>
      </c>
      <c r="AA289" s="46"/>
      <c r="AB289" s="46"/>
      <c r="AC289" s="46"/>
      <c r="AD289" s="39">
        <v>0.18911558960692867</v>
      </c>
      <c r="AE289" s="76">
        <v>147.29130579613587</v>
      </c>
      <c r="AF289" s="291">
        <f>1560*10^((LOG10(AU289/55.6)+LOG10(AV289/158.9))/2)</f>
        <v>34.179360508451488</v>
      </c>
      <c r="AG289" s="76">
        <v>89.335026648900708</v>
      </c>
      <c r="AH289" s="76"/>
      <c r="AI289" s="76"/>
      <c r="AJ289" s="38">
        <v>9.6240423051299109E-2</v>
      </c>
      <c r="AK289" s="76">
        <v>79.028772485009981</v>
      </c>
      <c r="AL289" s="38">
        <v>5.385833194536974</v>
      </c>
      <c r="AM289" s="39">
        <v>14.590974350433042</v>
      </c>
      <c r="AN289" s="199">
        <f>89.1*EXP((LN(AL289/234.7)+2*LN(AO289/452.4))/3)</f>
        <v>1.972856011434255</v>
      </c>
      <c r="AO289" s="39">
        <v>9.8396402398401044</v>
      </c>
      <c r="AP289" s="38">
        <v>3.6024050632911386</v>
      </c>
      <c r="AQ289" s="49">
        <v>1.0294713524317121</v>
      </c>
      <c r="AR289" s="200">
        <f>AVERAGE(BP289:BR289)</f>
        <v>4.7840791243906118</v>
      </c>
      <c r="AS289" s="49">
        <v>0.85174641905396398</v>
      </c>
      <c r="AT289" s="200">
        <f>(242.7*10^((4*LOG10(AS289/36.3)+LOG10(AX289/162.5))/5)+242.7*10^((4*LOG10(AP289/147.1)+4*LOG10(AX289/162.5))/8))/2</f>
        <v>5.5064621132140807</v>
      </c>
      <c r="AU289" s="200">
        <f>(55.6*10^((3*LOG10(AS289/36.3)+2*LOG10(AX289/162.5))/5)+55.6*10^((3*LOG10(AP289/147.1)+5*LOG10(AX289/162.5))/8))/2</f>
        <v>1.2324463295949346</v>
      </c>
      <c r="AV289" s="200">
        <f>(158.9*10^((2*LOG10(AS289/36.3)+3*LOG10(AX289/162.5))/5)+158.9*10^((2*LOG10(AP289/147.1)+6*LOG10(AX289/162.5))/8))/2</f>
        <v>3.4411954662350768</v>
      </c>
      <c r="AW289" s="201">
        <f>(24.2*10^((LOG10(AS289/36.3)+4*LOG10(AX289/162.5))/5)+24.2*10^((LOG10(AP289/147.1)+7*LOG10(AX289/162.5))/8))/2</f>
        <v>0.51202941042229067</v>
      </c>
      <c r="AX289" s="38">
        <v>3.3591459860093265</v>
      </c>
      <c r="AY289" s="49">
        <v>0.47421739673550967</v>
      </c>
      <c r="AZ289" s="38">
        <v>2.6571839606928713</v>
      </c>
      <c r="BA289" s="38">
        <v>0.36589273817455026</v>
      </c>
      <c r="BB289" s="39">
        <v>0.27668221185876085</v>
      </c>
      <c r="BC289" s="39">
        <v>7.1222559960026643</v>
      </c>
      <c r="BD289" s="39">
        <v>1.9145194870086606</v>
      </c>
      <c r="BE289" s="38">
        <v>0.85427173550966018</v>
      </c>
      <c r="BF289" s="38">
        <v>0.23004122251832113</v>
      </c>
      <c r="BG289" s="38"/>
      <c r="BH289" s="39"/>
      <c r="BJ289" s="50"/>
      <c r="BK289" s="50"/>
      <c r="BP289" s="116">
        <f>196.6*10^(LOG10(AP289/147.1)+(LOG10(AP289/147.1)-LOG10(AL289/234.7))*0.4)</f>
        <v>4.9415069459586709</v>
      </c>
      <c r="BQ289" s="116">
        <f>196.6*10^(LOG10(AP289/147.1)+0.6666*(LOG10(AS289/36.3)-LOG10(AP289/147.1)))</f>
        <v>4.6792958378456664</v>
      </c>
      <c r="BR289" s="116">
        <f>196.6*10^(LOG10(AS289/36.3)-(LOG10(AX289/162.5)-LOG10(AS289/36.3))/5)</f>
        <v>4.7314345893674989</v>
      </c>
    </row>
    <row r="290" spans="1:70" x14ac:dyDescent="0.2">
      <c r="A290" s="50" t="s">
        <v>856</v>
      </c>
      <c r="C290" s="50" t="s">
        <v>13</v>
      </c>
      <c r="E290" s="38">
        <v>44.98269518336545</v>
      </c>
      <c r="F290" s="38">
        <v>1.4088814817304183</v>
      </c>
      <c r="G290" s="38">
        <v>17.043487606478834</v>
      </c>
      <c r="H290" s="49">
        <v>0.23691853157228512</v>
      </c>
      <c r="I290" s="38">
        <v>16.031921635576278</v>
      </c>
      <c r="J290" s="49">
        <v>0.20857231456119882</v>
      </c>
      <c r="K290" s="38">
        <v>6.2246549344668516</v>
      </c>
      <c r="L290" s="38">
        <v>13.278436989072841</v>
      </c>
      <c r="M290" s="49">
        <v>0.30421960359760153</v>
      </c>
      <c r="N290" s="49">
        <v>3.8890995345274515E-2</v>
      </c>
      <c r="O290" s="49">
        <v>4.764303278547366E-2</v>
      </c>
      <c r="Q290" s="38">
        <f t="shared" si="131"/>
        <v>40.902689221210821</v>
      </c>
      <c r="T290" s="39"/>
      <c r="V290" s="76"/>
      <c r="Z290" s="46"/>
      <c r="AA290" s="46"/>
      <c r="AB290" s="46"/>
      <c r="AC290" s="46"/>
      <c r="AD290" s="39"/>
      <c r="AE290" s="76"/>
      <c r="AG290" s="76"/>
      <c r="AH290" s="76"/>
      <c r="AI290" s="76"/>
      <c r="AL290" s="38"/>
      <c r="AM290" s="39"/>
      <c r="AN290" s="39"/>
      <c r="AO290" s="39"/>
      <c r="AP290" s="38"/>
      <c r="AQ290" s="49"/>
      <c r="AS290" s="49"/>
      <c r="AX290" s="38"/>
      <c r="AZ290" s="38"/>
      <c r="BA290" s="38"/>
      <c r="BB290" s="39"/>
      <c r="BC290" s="39"/>
      <c r="BD290" s="39"/>
      <c r="BE290" s="38"/>
      <c r="BF290" s="38"/>
      <c r="BG290" s="38"/>
      <c r="BH290" s="39"/>
      <c r="BJ290" s="50"/>
      <c r="BK290" s="50"/>
    </row>
    <row r="291" spans="1:70" x14ac:dyDescent="0.2">
      <c r="A291" s="50" t="s">
        <v>856</v>
      </c>
      <c r="C291" s="50" t="s">
        <v>106</v>
      </c>
      <c r="E291" s="38">
        <v>44.8</v>
      </c>
      <c r="F291" s="38">
        <v>1.64</v>
      </c>
      <c r="G291" s="38">
        <v>16.2</v>
      </c>
      <c r="H291" s="49">
        <v>0.17</v>
      </c>
      <c r="I291" s="38">
        <v>16.899999999999999</v>
      </c>
      <c r="J291" s="49">
        <v>0.24</v>
      </c>
      <c r="K291" s="38">
        <v>6.5</v>
      </c>
      <c r="L291" s="38">
        <v>13</v>
      </c>
      <c r="M291" s="49">
        <v>0.28000000000000003</v>
      </c>
      <c r="N291" s="49">
        <v>0.06</v>
      </c>
      <c r="O291" s="49">
        <v>0.24</v>
      </c>
      <c r="Q291" s="38">
        <f t="shared" si="131"/>
        <v>40.674515558514557</v>
      </c>
      <c r="T291" s="39"/>
      <c r="V291" s="76"/>
      <c r="Z291" s="46"/>
      <c r="AA291" s="46"/>
      <c r="AB291" s="46"/>
      <c r="AC291" s="46"/>
      <c r="AD291" s="39"/>
      <c r="AE291" s="76"/>
      <c r="AG291" s="76"/>
      <c r="AH291" s="76"/>
      <c r="AI291" s="76"/>
      <c r="AL291" s="38"/>
      <c r="AM291" s="39"/>
      <c r="AN291" s="39"/>
      <c r="AO291" s="39"/>
      <c r="AP291" s="38"/>
      <c r="AQ291" s="49"/>
      <c r="AS291" s="49"/>
      <c r="AX291" s="38"/>
      <c r="AZ291" s="38"/>
      <c r="BA291" s="38"/>
      <c r="BB291" s="39"/>
      <c r="BC291" s="39"/>
      <c r="BD291" s="39"/>
      <c r="BE291" s="38"/>
      <c r="BF291" s="38"/>
      <c r="BG291" s="38"/>
      <c r="BH291" s="39"/>
      <c r="BJ291" s="50"/>
      <c r="BK291" s="50"/>
    </row>
    <row r="292" spans="1:70" x14ac:dyDescent="0.2">
      <c r="A292" s="50" t="s">
        <v>856</v>
      </c>
      <c r="C292" s="50" t="s">
        <v>1356</v>
      </c>
      <c r="E292" s="38">
        <v>44.03</v>
      </c>
      <c r="F292" s="38">
        <v>1.55</v>
      </c>
      <c r="G292" s="38">
        <v>16.600000000000001</v>
      </c>
      <c r="H292" s="49">
        <f>V292*1.4616/10000</f>
        <v>0.27492696</v>
      </c>
      <c r="I292" s="38">
        <v>16.46</v>
      </c>
      <c r="J292" s="49">
        <v>0.22</v>
      </c>
      <c r="K292" s="38">
        <v>6.2</v>
      </c>
      <c r="L292" s="38">
        <v>12.96</v>
      </c>
      <c r="M292" s="49">
        <v>0.32</v>
      </c>
      <c r="N292" s="49">
        <v>0.06</v>
      </c>
      <c r="O292" s="49">
        <v>0.05</v>
      </c>
      <c r="Q292" s="38">
        <f t="shared" si="131"/>
        <v>40.171852428171825</v>
      </c>
      <c r="T292" s="39">
        <v>56</v>
      </c>
      <c r="U292" s="76">
        <v>60</v>
      </c>
      <c r="V292" s="76">
        <v>1881</v>
      </c>
      <c r="X292" s="39">
        <v>32</v>
      </c>
      <c r="Y292" s="76">
        <v>212</v>
      </c>
      <c r="Z292" s="76">
        <v>37</v>
      </c>
      <c r="AA292" s="46"/>
      <c r="AB292" s="46"/>
      <c r="AC292" s="46"/>
      <c r="AD292" s="39">
        <v>1.34</v>
      </c>
      <c r="AE292" s="76">
        <v>163</v>
      </c>
      <c r="AF292" s="50">
        <v>37</v>
      </c>
      <c r="AG292" s="76">
        <v>103</v>
      </c>
      <c r="AH292" s="76"/>
      <c r="AI292" s="76"/>
      <c r="AJ292" s="38">
        <v>8.8999999999999996E-2</v>
      </c>
      <c r="AK292" s="76">
        <v>81</v>
      </c>
      <c r="AL292" s="253">
        <v>6.69</v>
      </c>
      <c r="AM292" s="39">
        <v>13.8</v>
      </c>
      <c r="AN292" s="39">
        <v>2.12</v>
      </c>
      <c r="AO292" s="39">
        <v>10.7</v>
      </c>
      <c r="AP292" s="38">
        <v>3.58</v>
      </c>
      <c r="AQ292" s="49">
        <v>1.1100000000000001</v>
      </c>
      <c r="AR292" s="50">
        <v>4.54</v>
      </c>
      <c r="AS292" s="49">
        <v>0.90500000000000003</v>
      </c>
      <c r="AT292" s="50">
        <v>5.85</v>
      </c>
      <c r="AU292" s="50">
        <v>1.26</v>
      </c>
      <c r="AV292" s="50">
        <v>3.63</v>
      </c>
      <c r="AW292" s="50">
        <v>0.53200000000000003</v>
      </c>
      <c r="AX292" s="38">
        <v>3.54</v>
      </c>
      <c r="AY292" s="49">
        <v>0.51900000000000002</v>
      </c>
      <c r="AZ292" s="38">
        <v>2.37</v>
      </c>
      <c r="BA292" s="253">
        <v>0.10299999999999999</v>
      </c>
      <c r="BB292" s="39"/>
      <c r="BC292" s="39"/>
      <c r="BD292" s="39"/>
      <c r="BE292" s="38">
        <v>0.85499999999999998</v>
      </c>
      <c r="BF292" s="38">
        <v>0.32100000000000001</v>
      </c>
      <c r="BG292" s="38"/>
      <c r="BH292" s="39"/>
      <c r="BJ292" s="50"/>
      <c r="BK292" s="50"/>
    </row>
    <row r="293" spans="1:70" s="36" customFormat="1" x14ac:dyDescent="0.2">
      <c r="A293" s="36" t="s">
        <v>856</v>
      </c>
      <c r="B293" s="36" t="s">
        <v>279</v>
      </c>
      <c r="D293" s="34">
        <f>SUM(E293:P293)</f>
        <v>99.401552518318439</v>
      </c>
      <c r="E293" s="34">
        <f t="shared" ref="E293:O293" si="139">AVERAGE(E286:E292)</f>
        <v>44.604231727788488</v>
      </c>
      <c r="F293" s="34">
        <f t="shared" si="139"/>
        <v>1.5329604939101393</v>
      </c>
      <c r="G293" s="34">
        <f t="shared" si="139"/>
        <v>16.614495868826278</v>
      </c>
      <c r="H293" s="37">
        <f t="shared" si="139"/>
        <v>0.22115280462891404</v>
      </c>
      <c r="I293" s="34">
        <f t="shared" si="139"/>
        <v>16.355960817788137</v>
      </c>
      <c r="J293" s="37">
        <f t="shared" si="139"/>
        <v>0.22285743818706627</v>
      </c>
      <c r="K293" s="34">
        <f t="shared" si="139"/>
        <v>6.3082183114889503</v>
      </c>
      <c r="L293" s="34">
        <f t="shared" si="139"/>
        <v>13.079478996357613</v>
      </c>
      <c r="M293" s="37">
        <f t="shared" si="139"/>
        <v>0.30210980179880081</v>
      </c>
      <c r="N293" s="37">
        <f t="shared" si="139"/>
        <v>4.7538579948910233E-2</v>
      </c>
      <c r="O293" s="37">
        <f t="shared" si="139"/>
        <v>0.11254767759515788</v>
      </c>
      <c r="Q293" s="38">
        <f t="shared" si="131"/>
        <v>40.74142976269605</v>
      </c>
      <c r="T293" s="72">
        <f>AVERAGE(T286:T292)</f>
        <v>54.867540389740171</v>
      </c>
      <c r="U293" s="35"/>
      <c r="V293" s="35">
        <f>AVERAGE(V286:V292)</f>
        <v>1750.9766405729513</v>
      </c>
      <c r="X293" s="72">
        <f>AVERAGE(X286:X292)</f>
        <v>29.301902898067954</v>
      </c>
      <c r="Y293" s="35">
        <f>AVERAGE(Y286:Y292)</f>
        <v>195.96327448367754</v>
      </c>
      <c r="Z293" s="215">
        <f>AVERAGE(Z286:Z292)</f>
        <v>28.833132078614256</v>
      </c>
      <c r="AA293" s="215"/>
      <c r="AB293" s="215"/>
      <c r="AC293" s="215"/>
      <c r="AD293" s="72">
        <f>AVERAGE(AD286:AD292)</f>
        <v>0.76455779480346442</v>
      </c>
      <c r="AE293" s="35">
        <f>AVERAGE(AE286:AE292)</f>
        <v>155.14565289806794</v>
      </c>
      <c r="AF293" s="35">
        <f>AVERAGE(AF286:AF292)</f>
        <v>35.58968025422574</v>
      </c>
      <c r="AG293" s="35">
        <f>AVERAGE(AG286:AG292)</f>
        <v>96.167513324450354</v>
      </c>
      <c r="AH293" s="35"/>
      <c r="AI293" s="35"/>
      <c r="AJ293" s="34">
        <f t="shared" ref="AJ293:BF293" si="140">AVERAGE(AJ286:AJ292)</f>
        <v>9.262021152564956E-2</v>
      </c>
      <c r="AK293" s="35">
        <f t="shared" si="140"/>
        <v>80.014386242504997</v>
      </c>
      <c r="AL293" s="34">
        <f t="shared" si="140"/>
        <v>6.0379165972684872</v>
      </c>
      <c r="AM293" s="34">
        <f t="shared" si="140"/>
        <v>14.19548717521652</v>
      </c>
      <c r="AN293" s="34">
        <f t="shared" si="140"/>
        <v>2.0464280057171278</v>
      </c>
      <c r="AO293" s="34">
        <f t="shared" si="140"/>
        <v>10.269820119920052</v>
      </c>
      <c r="AP293" s="34">
        <f t="shared" si="140"/>
        <v>3.5912025316455694</v>
      </c>
      <c r="AQ293" s="34">
        <f t="shared" si="140"/>
        <v>1.0697356762158561</v>
      </c>
      <c r="AR293" s="34">
        <f t="shared" si="140"/>
        <v>4.6620395621953055</v>
      </c>
      <c r="AS293" s="34">
        <f t="shared" si="140"/>
        <v>0.87837320952698206</v>
      </c>
      <c r="AT293" s="34">
        <f t="shared" si="140"/>
        <v>5.6782310566070402</v>
      </c>
      <c r="AU293" s="34">
        <f t="shared" si="140"/>
        <v>1.2462231647974673</v>
      </c>
      <c r="AV293" s="34">
        <f t="shared" si="140"/>
        <v>3.5355977331175383</v>
      </c>
      <c r="AW293" s="34">
        <f t="shared" si="140"/>
        <v>0.52201470521114535</v>
      </c>
      <c r="AX293" s="34">
        <f t="shared" si="140"/>
        <v>3.4495729930046632</v>
      </c>
      <c r="AY293" s="34">
        <f t="shared" si="140"/>
        <v>0.49660869836775484</v>
      </c>
      <c r="AZ293" s="34">
        <f t="shared" si="140"/>
        <v>2.5135919803464359</v>
      </c>
      <c r="BA293" s="34">
        <f t="shared" si="140"/>
        <v>0.23444636908727512</v>
      </c>
      <c r="BB293" s="72">
        <f t="shared" si="140"/>
        <v>0.27668221185876085</v>
      </c>
      <c r="BC293" s="72">
        <f t="shared" si="140"/>
        <v>7.1222559960026643</v>
      </c>
      <c r="BD293" s="72">
        <f t="shared" si="140"/>
        <v>1.9145194870086606</v>
      </c>
      <c r="BE293" s="34">
        <f t="shared" si="140"/>
        <v>0.85463586775483003</v>
      </c>
      <c r="BF293" s="34">
        <f t="shared" si="140"/>
        <v>0.27552061125916055</v>
      </c>
      <c r="BG293" s="34"/>
      <c r="BH293" s="72"/>
      <c r="BL293" s="37"/>
    </row>
    <row r="294" spans="1:70" x14ac:dyDescent="0.2">
      <c r="Q294" s="38" t="e">
        <f t="shared" si="131"/>
        <v>#DIV/0!</v>
      </c>
      <c r="T294" s="39"/>
      <c r="V294" s="76"/>
      <c r="Z294" s="46"/>
      <c r="AA294" s="46"/>
      <c r="AB294" s="46"/>
      <c r="AC294" s="46"/>
      <c r="AD294" s="39"/>
      <c r="AE294" s="76"/>
      <c r="AG294" s="76"/>
      <c r="AH294" s="76"/>
      <c r="AI294" s="76"/>
      <c r="AL294" s="38"/>
      <c r="AM294" s="39"/>
      <c r="AN294" s="39"/>
      <c r="AO294" s="39"/>
      <c r="AP294" s="38"/>
      <c r="AQ294" s="49"/>
      <c r="AS294" s="49"/>
      <c r="AX294" s="38"/>
      <c r="AZ294" s="38"/>
      <c r="BA294" s="38"/>
      <c r="BB294" s="39"/>
      <c r="BC294" s="39"/>
      <c r="BD294" s="39"/>
      <c r="BE294" s="38"/>
      <c r="BF294" s="38"/>
      <c r="BG294" s="38"/>
      <c r="BH294" s="39"/>
      <c r="BJ294" s="50"/>
      <c r="BK294" s="50"/>
    </row>
    <row r="295" spans="1:70" x14ac:dyDescent="0.2">
      <c r="A295" s="50" t="s">
        <v>876</v>
      </c>
      <c r="C295" s="50" t="s">
        <v>717</v>
      </c>
      <c r="G295" s="195"/>
      <c r="H295" s="49">
        <f>2864*1.4616/10000</f>
        <v>0.41860223999999996</v>
      </c>
      <c r="I295" s="38">
        <v>15.360646647255658</v>
      </c>
      <c r="L295" s="38" t="s">
        <v>907</v>
      </c>
      <c r="M295" s="49">
        <v>0.29472799965234026</v>
      </c>
      <c r="Q295" s="38">
        <f t="shared" si="131"/>
        <v>0</v>
      </c>
      <c r="T295" s="39">
        <v>46.642805614706013</v>
      </c>
      <c r="V295" s="76">
        <v>2863.8538090478469</v>
      </c>
      <c r="X295" s="39">
        <v>35.626943635652516</v>
      </c>
      <c r="Y295" s="76">
        <v>155.91464951544916</v>
      </c>
      <c r="Z295" s="46">
        <v>11.930381122072054</v>
      </c>
      <c r="AA295" s="46"/>
      <c r="AB295" s="46"/>
      <c r="AC295" s="46"/>
      <c r="AD295" s="39">
        <v>0.56755768980053012</v>
      </c>
      <c r="AE295" s="76">
        <v>152.33801225500846</v>
      </c>
      <c r="AF295" s="291">
        <f>1560*10^((LOG10(AU295/55.6)+LOG10(AV295/158.9))/2)</f>
        <v>34.313424550375615</v>
      </c>
      <c r="AG295" s="76">
        <v>100.78145234887664</v>
      </c>
      <c r="AH295" s="76"/>
      <c r="AI295" s="76"/>
      <c r="AJ295" s="38">
        <v>0.1317435139715788</v>
      </c>
      <c r="AK295" s="76">
        <v>644.53005084524784</v>
      </c>
      <c r="AL295" s="38">
        <v>7.672912520099084</v>
      </c>
      <c r="AM295" s="39">
        <v>20.592412324540437</v>
      </c>
      <c r="AN295" s="199">
        <f>89.1*EXP((LN(AL295/234.7)+2*LN(AO295/452.4))/3)</f>
        <v>2.5886785668961241</v>
      </c>
      <c r="AO295" s="39">
        <v>12.390808743644346</v>
      </c>
      <c r="AP295" s="38">
        <v>3.8574707748468127</v>
      </c>
      <c r="AQ295" s="49">
        <v>0.9351621398461607</v>
      </c>
      <c r="AR295" s="200">
        <f>AVERAGE(BP295:BR295)</f>
        <v>4.6404189597798728</v>
      </c>
      <c r="AS295" s="49">
        <v>0.82154308808830556</v>
      </c>
      <c r="AT295" s="200">
        <f>(242.7*10^((4*LOG10(AS295/36.3)+LOG10(AX295/162.5))/5)+242.7*10^((4*LOG10(AP295/147.1)+4*LOG10(AX295/162.5))/8))/2</f>
        <v>5.5295091006575614</v>
      </c>
      <c r="AU295" s="200">
        <f>(55.6*10^((3*LOG10(AS295/36.3)+2*LOG10(AX295/162.5))/5)+55.6*10^((3*LOG10(AP295/147.1)+5*LOG10(AX295/162.5))/8))/2</f>
        <v>1.2373757186651178</v>
      </c>
      <c r="AV295" s="200">
        <f>(158.9*10^((2*LOG10(AS295/36.3)+3*LOG10(AX295/162.5))/5)+158.9*10^((2*LOG10(AP295/147.1)+6*LOG10(AX295/162.5))/8))/2</f>
        <v>3.4544270836211224</v>
      </c>
      <c r="AW295" s="201">
        <f>(24.2*10^((LOG10(AS295/36.3)+4*LOG10(AX295/162.5))/5)+24.2*10^((LOG10(AP295/147.1)+7*LOG10(AX295/162.5))/8))/2</f>
        <v>0.51393497527945531</v>
      </c>
      <c r="AX295" s="38">
        <v>3.3713371865629482</v>
      </c>
      <c r="AY295" s="49">
        <v>0.47603385337447318</v>
      </c>
      <c r="AZ295" s="38">
        <v>2.9301490591456258</v>
      </c>
      <c r="BA295" s="38">
        <v>0.34257007518143501</v>
      </c>
      <c r="BB295" s="39">
        <v>0.28275476945808531</v>
      </c>
      <c r="BC295" s="39">
        <v>5.9859588892268922</v>
      </c>
      <c r="BD295" s="39">
        <v>3.2514623440963017</v>
      </c>
      <c r="BE295" s="38">
        <v>1.2899243839902657</v>
      </c>
      <c r="BF295" s="38">
        <v>0.37164138890096043</v>
      </c>
      <c r="BG295" s="38"/>
      <c r="BH295" s="39"/>
      <c r="BJ295" s="50"/>
      <c r="BK295" s="50"/>
      <c r="BP295" s="116">
        <f>196.6*10^(LOG10(AP295/147.1)+(LOG10(AP295/147.1)-LOG10(AL295/234.7))*0.4)</f>
        <v>4.7203109752107757</v>
      </c>
      <c r="BQ295" s="116">
        <f>196.6*10^(LOG10(AP295/147.1)+0.6666*(LOG10(AS295/36.3)-LOG10(AP295/147.1)))</f>
        <v>4.6734067613301411</v>
      </c>
      <c r="BR295" s="116">
        <f>196.6*10^(LOG10(AS295/36.3)-(LOG10(AX295/162.5)-LOG10(AS295/36.3))/5)</f>
        <v>4.5275391427987026</v>
      </c>
    </row>
    <row r="296" spans="1:70" x14ac:dyDescent="0.2">
      <c r="A296" s="50" t="s">
        <v>876</v>
      </c>
      <c r="C296" s="50" t="s">
        <v>700</v>
      </c>
      <c r="E296" s="116">
        <v>45.839821408726415</v>
      </c>
      <c r="F296" s="38">
        <v>1.2308267422253072</v>
      </c>
      <c r="G296" s="38">
        <v>13.855239203508166</v>
      </c>
      <c r="H296" s="49">
        <v>0.42073069893930437</v>
      </c>
      <c r="I296" s="38">
        <v>15.36064664725566</v>
      </c>
      <c r="J296" s="49">
        <v>0.25108360224240817</v>
      </c>
      <c r="K296" s="38">
        <v>10.33198798769587</v>
      </c>
      <c r="L296" s="38">
        <v>11.719839873615795</v>
      </c>
      <c r="M296" s="49">
        <v>0.30346875192514217</v>
      </c>
      <c r="N296" s="49">
        <v>0.10346378481299151</v>
      </c>
      <c r="O296" s="49">
        <v>6.4337522096853103E-2</v>
      </c>
      <c r="Q296" s="38">
        <f t="shared" si="131"/>
        <v>54.525335193836611</v>
      </c>
      <c r="BG296" s="38"/>
      <c r="BH296" s="39"/>
      <c r="BJ296" s="50"/>
      <c r="BK296" s="50"/>
    </row>
    <row r="297" spans="1:70" x14ac:dyDescent="0.2">
      <c r="A297" s="50" t="s">
        <v>876</v>
      </c>
      <c r="Q297" s="38" t="e">
        <f t="shared" si="131"/>
        <v>#DIV/0!</v>
      </c>
      <c r="BG297" s="38"/>
      <c r="BH297" s="39"/>
      <c r="BJ297" s="50"/>
      <c r="BK297" s="50"/>
    </row>
    <row r="298" spans="1:70" s="36" customFormat="1" x14ac:dyDescent="0.2">
      <c r="A298" s="36" t="s">
        <v>876</v>
      </c>
      <c r="B298" s="36" t="s">
        <v>279</v>
      </c>
      <c r="E298" s="34">
        <f>AVERAGE(E295:E297)</f>
        <v>45.839821408726415</v>
      </c>
      <c r="F298" s="34">
        <f>AVERAGE(F295:F297)</f>
        <v>1.2308267422253072</v>
      </c>
      <c r="G298" s="34">
        <f>AVERAGE(G295:G297)</f>
        <v>13.855239203508166</v>
      </c>
      <c r="H298" s="37">
        <f t="shared" ref="H298:O298" si="141">AVERAGE(H295:H297)</f>
        <v>0.41966646946965214</v>
      </c>
      <c r="I298" s="34">
        <f t="shared" si="141"/>
        <v>15.36064664725566</v>
      </c>
      <c r="J298" s="37">
        <f t="shared" si="141"/>
        <v>0.25108360224240817</v>
      </c>
      <c r="K298" s="34">
        <f t="shared" si="141"/>
        <v>10.33198798769587</v>
      </c>
      <c r="L298" s="34">
        <f t="shared" si="141"/>
        <v>11.719839873615795</v>
      </c>
      <c r="M298" s="37">
        <f t="shared" si="141"/>
        <v>0.29909837578874121</v>
      </c>
      <c r="N298" s="37">
        <f t="shared" si="141"/>
        <v>0.10346378481299151</v>
      </c>
      <c r="O298" s="37">
        <f t="shared" si="141"/>
        <v>6.4337522096853103E-2</v>
      </c>
      <c r="Q298" s="38">
        <f t="shared" si="131"/>
        <v>54.525335193836611</v>
      </c>
      <c r="T298" s="72">
        <f>AVERAGE(T295:T297)</f>
        <v>46.642805614706013</v>
      </c>
      <c r="U298" s="35"/>
      <c r="V298" s="35">
        <f>AVERAGE(V295:V297)</f>
        <v>2863.8538090478469</v>
      </c>
      <c r="X298" s="72">
        <f>AVERAGE(X295:X297)</f>
        <v>35.626943635652516</v>
      </c>
      <c r="Y298" s="35">
        <f>AVERAGE(Y295:Y297)</f>
        <v>155.91464951544916</v>
      </c>
      <c r="Z298" s="215">
        <f>AVERAGE(Z295:Z297)</f>
        <v>11.930381122072054</v>
      </c>
      <c r="AA298" s="215"/>
      <c r="AB298" s="215"/>
      <c r="AC298" s="215"/>
      <c r="AD298" s="72">
        <f>AVERAGE(AD295:AD297)</f>
        <v>0.56755768980053012</v>
      </c>
      <c r="AE298" s="35">
        <f>AVERAGE(AE295:AE297)</f>
        <v>152.33801225500846</v>
      </c>
      <c r="AF298" s="35">
        <f>AVERAGE(AF295:AF297)</f>
        <v>34.313424550375615</v>
      </c>
      <c r="AG298" s="35">
        <f>AVERAGE(AG295:AG297)</f>
        <v>100.78145234887664</v>
      </c>
      <c r="AH298" s="35"/>
      <c r="AI298" s="35"/>
      <c r="AJ298" s="34">
        <f t="shared" ref="AJ298:AY298" si="142">AVERAGE(AJ295:AJ297)</f>
        <v>0.1317435139715788</v>
      </c>
      <c r="AK298" s="35">
        <f t="shared" si="142"/>
        <v>644.53005084524784</v>
      </c>
      <c r="AL298" s="34">
        <f t="shared" si="142"/>
        <v>7.672912520099084</v>
      </c>
      <c r="AM298" s="34">
        <f t="shared" si="142"/>
        <v>20.592412324540437</v>
      </c>
      <c r="AN298" s="34">
        <f t="shared" si="142"/>
        <v>2.5886785668961241</v>
      </c>
      <c r="AO298" s="34">
        <f t="shared" si="142"/>
        <v>12.390808743644346</v>
      </c>
      <c r="AP298" s="34">
        <f t="shared" si="142"/>
        <v>3.8574707748468127</v>
      </c>
      <c r="AQ298" s="34">
        <f t="shared" si="142"/>
        <v>0.9351621398461607</v>
      </c>
      <c r="AR298" s="34">
        <f t="shared" si="142"/>
        <v>4.6404189597798728</v>
      </c>
      <c r="AS298" s="34">
        <f t="shared" si="142"/>
        <v>0.82154308808830556</v>
      </c>
      <c r="AT298" s="34">
        <f t="shared" si="142"/>
        <v>5.5295091006575614</v>
      </c>
      <c r="AU298" s="34">
        <f t="shared" si="142"/>
        <v>1.2373757186651178</v>
      </c>
      <c r="AV298" s="34">
        <f t="shared" si="142"/>
        <v>3.4544270836211224</v>
      </c>
      <c r="AW298" s="34">
        <f t="shared" si="142"/>
        <v>0.51393497527945531</v>
      </c>
      <c r="AX298" s="34">
        <f t="shared" si="142"/>
        <v>3.3713371865629482</v>
      </c>
      <c r="AY298" s="34">
        <f t="shared" si="142"/>
        <v>0.47603385337447318</v>
      </c>
      <c r="AZ298" s="34">
        <f t="shared" ref="AZ298:BF298" si="143">AVERAGE(AZ295:AZ297)</f>
        <v>2.9301490591456258</v>
      </c>
      <c r="BA298" s="34">
        <f t="shared" si="143"/>
        <v>0.34257007518143501</v>
      </c>
      <c r="BB298" s="72">
        <f t="shared" si="143"/>
        <v>0.28275476945808531</v>
      </c>
      <c r="BC298" s="72">
        <f t="shared" si="143"/>
        <v>5.9859588892268922</v>
      </c>
      <c r="BD298" s="72">
        <f t="shared" si="143"/>
        <v>3.2514623440963017</v>
      </c>
      <c r="BE298" s="34">
        <f t="shared" si="143"/>
        <v>1.2899243839902657</v>
      </c>
      <c r="BF298" s="34">
        <f t="shared" si="143"/>
        <v>0.37164138890096043</v>
      </c>
      <c r="BG298" s="34"/>
      <c r="BH298" s="72"/>
      <c r="BL298" s="37"/>
    </row>
    <row r="299" spans="1:70" x14ac:dyDescent="0.2">
      <c r="A299" s="71"/>
      <c r="Q299" s="38" t="e">
        <f t="shared" si="131"/>
        <v>#DIV/0!</v>
      </c>
      <c r="R299" s="49"/>
      <c r="S299" s="39"/>
      <c r="T299" s="39"/>
      <c r="V299" s="76"/>
      <c r="W299" s="76"/>
      <c r="Z299" s="76"/>
      <c r="AA299" s="76"/>
      <c r="AB299" s="76"/>
      <c r="AC299" s="76"/>
      <c r="AD299" s="39"/>
      <c r="AE299" s="39"/>
      <c r="AF299" s="76"/>
      <c r="AG299" s="76"/>
      <c r="AH299" s="76"/>
      <c r="AI299" s="76"/>
      <c r="AL299" s="76"/>
      <c r="AM299" s="38"/>
      <c r="AN299" s="38"/>
      <c r="AO299" s="39"/>
      <c r="AP299" s="39"/>
      <c r="AQ299" s="38"/>
      <c r="AR299" s="38"/>
      <c r="AS299" s="49"/>
      <c r="AT299" s="49"/>
      <c r="AU299" s="49"/>
      <c r="AV299" s="49"/>
      <c r="AW299" s="49"/>
      <c r="AX299" s="49"/>
      <c r="AZ299" s="49"/>
      <c r="BA299" s="38"/>
      <c r="BB299" s="38"/>
      <c r="BC299" s="38"/>
      <c r="BD299" s="39"/>
      <c r="BE299" s="39"/>
      <c r="BF299" s="38"/>
      <c r="BG299" s="38"/>
      <c r="BH299" s="39"/>
      <c r="BJ299" s="50"/>
      <c r="BK299" s="50"/>
    </row>
    <row r="300" spans="1:70" x14ac:dyDescent="0.2">
      <c r="A300" s="50" t="s">
        <v>1295</v>
      </c>
      <c r="C300" s="50" t="s">
        <v>1046</v>
      </c>
      <c r="E300" s="38">
        <v>44.72</v>
      </c>
      <c r="F300" s="38">
        <v>1.32</v>
      </c>
      <c r="G300" s="38">
        <v>8.02</v>
      </c>
      <c r="H300" s="49">
        <v>0.52</v>
      </c>
      <c r="I300" s="38">
        <v>21.82</v>
      </c>
      <c r="J300" s="49">
        <v>0.27</v>
      </c>
      <c r="K300" s="38">
        <v>13.59</v>
      </c>
      <c r="L300" s="38">
        <v>9.16</v>
      </c>
      <c r="M300" s="49">
        <v>0.35</v>
      </c>
      <c r="Q300" s="38">
        <f t="shared" si="131"/>
        <v>52.612156299045367</v>
      </c>
      <c r="R300" s="49"/>
      <c r="S300" s="39"/>
      <c r="T300" s="39"/>
      <c r="V300" s="76"/>
      <c r="W300" s="76"/>
      <c r="Z300" s="76"/>
      <c r="AA300" s="76"/>
      <c r="AB300" s="76"/>
      <c r="AC300" s="76"/>
      <c r="AD300" s="39"/>
      <c r="AE300" s="39"/>
      <c r="AF300" s="76"/>
      <c r="AG300" s="76"/>
      <c r="AH300" s="76"/>
      <c r="AI300" s="76"/>
      <c r="AL300" s="76"/>
      <c r="AM300" s="38"/>
      <c r="AN300" s="38"/>
      <c r="AO300" s="39"/>
      <c r="AP300" s="39"/>
      <c r="AQ300" s="38"/>
      <c r="AR300" s="38"/>
      <c r="AS300" s="49"/>
      <c r="AT300" s="49"/>
      <c r="AU300" s="49"/>
      <c r="AV300" s="49"/>
      <c r="AW300" s="49"/>
      <c r="AX300" s="49"/>
      <c r="AZ300" s="49"/>
      <c r="BA300" s="38"/>
      <c r="BB300" s="38"/>
      <c r="BC300" s="38"/>
      <c r="BD300" s="39"/>
      <c r="BE300" s="39"/>
      <c r="BF300" s="38"/>
      <c r="BG300" s="38"/>
      <c r="BH300" s="39"/>
      <c r="BJ300" s="50"/>
      <c r="BK300" s="50"/>
      <c r="BP300" s="116" t="e">
        <f>196.6*10^(LOG10(AP300/147.1)+(LOG10(AP300/147.1)-LOG10(AL300/234.7))*0.4)</f>
        <v>#NUM!</v>
      </c>
      <c r="BQ300" s="116" t="e">
        <f>196.6*10^(LOG10(AP300/147.1)+0.6666*(LOG10(AS300/36.3)-LOG10(AP300/147.1)))</f>
        <v>#NUM!</v>
      </c>
      <c r="BR300" s="116" t="e">
        <f>196.6*10^(LOG10(AS300/36.3)-(LOG10(AX300/162.5)-LOG10(AS300/36.3))/5)</f>
        <v>#NUM!</v>
      </c>
    </row>
    <row r="301" spans="1:70" x14ac:dyDescent="0.2">
      <c r="A301" s="50" t="s">
        <v>1295</v>
      </c>
      <c r="C301" s="50" t="s">
        <v>717</v>
      </c>
      <c r="D301" s="38">
        <v>64.02</v>
      </c>
      <c r="H301" s="49" t="s">
        <v>1050</v>
      </c>
      <c r="I301" s="38" t="s">
        <v>1048</v>
      </c>
      <c r="L301" s="38" t="s">
        <v>1047</v>
      </c>
      <c r="M301" s="49" t="s">
        <v>1049</v>
      </c>
      <c r="N301" s="49">
        <v>1.1965010934083101E-2</v>
      </c>
      <c r="Q301" s="38" t="e">
        <f t="shared" si="131"/>
        <v>#VALUE!</v>
      </c>
      <c r="T301" s="50">
        <v>50.838425492033736</v>
      </c>
      <c r="V301" s="50">
        <v>4043.4239300218683</v>
      </c>
      <c r="X301" s="39">
        <v>50.533583255232742</v>
      </c>
      <c r="Y301" s="76">
        <v>83.731177756950942</v>
      </c>
      <c r="Z301" s="76">
        <v>7.7110590440487359</v>
      </c>
      <c r="AA301" s="76"/>
      <c r="AB301" s="76">
        <v>0.32002655420181192</v>
      </c>
      <c r="AC301" s="38">
        <v>0.30547016557325835</v>
      </c>
      <c r="AD301" s="39">
        <v>0.28631677600749766</v>
      </c>
      <c r="AE301" s="76">
        <v>117.04935957513275</v>
      </c>
      <c r="AF301" s="291">
        <f>1560*10^((LOG10(AU301/55.6)+LOG10(AV301/158.9))/2)</f>
        <v>18.818728818503264</v>
      </c>
      <c r="AG301" s="76">
        <v>6.2386754139331462</v>
      </c>
      <c r="AH301" s="76"/>
      <c r="AI301" s="39">
        <v>1.0542486722899095E-2</v>
      </c>
      <c r="AJ301" s="38">
        <v>5.7263355201499534E-3</v>
      </c>
      <c r="AK301" s="76">
        <v>251.55248359887537</v>
      </c>
      <c r="AL301" s="76">
        <v>2.9989331458919088</v>
      </c>
      <c r="AM301" s="76">
        <v>8.4850515463917517</v>
      </c>
      <c r="AN301" s="199">
        <f>89.1*EXP((LN(AL301/234.7)+2*LN(AO301/452.4))/3)</f>
        <v>0.96781717222327601</v>
      </c>
      <c r="AO301" s="76">
        <v>4.5307403936269921</v>
      </c>
      <c r="AP301" s="38">
        <v>1.6937856919712588</v>
      </c>
      <c r="AQ301" s="76">
        <v>0.60387535145267113</v>
      </c>
      <c r="AR301" s="200">
        <f>AVERAGE(BP301:BR301)</f>
        <v>2.3826374899817826</v>
      </c>
      <c r="AS301" s="38">
        <v>0.46407466416744769</v>
      </c>
      <c r="AT301" s="200">
        <f>(242.7*10^((4*LOG10(AS301/36.3)+LOG10(AX301/162.5))/5)+242.7*10^((4*LOG10(AP301/147.1)+4*LOG10(AX301/162.5))/8))/2</f>
        <v>2.950775864979402</v>
      </c>
      <c r="AU301" s="200">
        <f>(55.6*10^((3*LOG10(AS301/36.3)+2*LOG10(AX301/162.5))/5)+55.6*10^((3*LOG10(AP301/147.1)+5*LOG10(AX301/162.5))/8))/2</f>
        <v>0.67245286107050128</v>
      </c>
      <c r="AV301" s="200">
        <f>(158.9*10^((2*LOG10(AS301/36.3)+3*LOG10(AX301/162.5))/5)+158.9*10^((2*LOG10(AP301/147.1)+6*LOG10(AX301/162.5))/8))/2</f>
        <v>1.9119133885475099</v>
      </c>
      <c r="AW301" s="201">
        <f>(24.2*10^((LOG10(AS301/36.3)+4*LOG10(AX301/162.5))/5)+24.2*10^((LOG10(AP301/147.1)+7*LOG10(AX301/162.5))/8))/2</f>
        <v>0.28970341660546173</v>
      </c>
      <c r="AX301" s="39">
        <v>1.9356294907841298</v>
      </c>
      <c r="AY301" s="49">
        <v>0.27792580443611364</v>
      </c>
      <c r="AZ301" s="38">
        <v>1.1029834426741645</v>
      </c>
      <c r="BA301" s="38">
        <v>0.1506419868791003</v>
      </c>
      <c r="BB301" s="49">
        <v>0.76157450796626058</v>
      </c>
      <c r="BC301" s="49">
        <v>0</v>
      </c>
      <c r="BD301" s="49">
        <v>2.9452671040299907</v>
      </c>
      <c r="BE301" s="49">
        <v>0.43192283661355824</v>
      </c>
      <c r="BF301" s="49">
        <v>0.28919556388628553</v>
      </c>
      <c r="BH301" s="38"/>
      <c r="BI301" s="39"/>
      <c r="BJ301" s="39"/>
      <c r="BK301" s="38"/>
      <c r="BL301" s="38"/>
      <c r="BM301" s="39"/>
      <c r="BP301" s="116">
        <f>196.6*10^(LOG10(AP301/147.1)+(LOG10(AP301/147.1)-LOG10(AL301/234.7))*0.4)</f>
        <v>2.171431520010743</v>
      </c>
      <c r="BQ301" s="116">
        <f>196.6*10^(LOG10(AP301/147.1)+0.6666*(LOG10(AS301/36.3)-LOG10(AP301/147.1)))</f>
        <v>2.4272615120447032</v>
      </c>
      <c r="BR301" s="116">
        <f>196.6*10^(LOG10(AS301/36.3)-(LOG10(AX301/162.5)-LOG10(AS301/36.3))/5)</f>
        <v>2.5492194378899011</v>
      </c>
    </row>
    <row r="302" spans="1:70" x14ac:dyDescent="0.2">
      <c r="A302" s="50" t="s">
        <v>1295</v>
      </c>
      <c r="C302" s="50" t="s">
        <v>700</v>
      </c>
      <c r="Q302" s="38" t="e">
        <f t="shared" si="131"/>
        <v>#DIV/0!</v>
      </c>
      <c r="Z302" s="76"/>
      <c r="AA302" s="76"/>
      <c r="AB302" s="76"/>
      <c r="AC302" s="38"/>
      <c r="AD302" s="39"/>
      <c r="AE302" s="76"/>
      <c r="AG302" s="76"/>
      <c r="AH302" s="76"/>
      <c r="AI302" s="39"/>
      <c r="AL302" s="76"/>
      <c r="AM302" s="76"/>
      <c r="AN302" s="76"/>
      <c r="AO302" s="76"/>
      <c r="AP302" s="38"/>
      <c r="AQ302" s="76"/>
      <c r="AS302" s="38"/>
      <c r="AX302" s="39"/>
      <c r="AZ302" s="38"/>
      <c r="BA302" s="38"/>
      <c r="BB302" s="49"/>
      <c r="BC302" s="49"/>
      <c r="BD302" s="49"/>
      <c r="BE302" s="49"/>
      <c r="BF302" s="49"/>
      <c r="BG302" s="38"/>
      <c r="BH302" s="38"/>
      <c r="BI302" s="39"/>
      <c r="BJ302" s="39"/>
      <c r="BK302" s="38"/>
      <c r="BL302" s="38"/>
      <c r="BM302" s="39"/>
      <c r="BP302" s="116" t="e">
        <f>196.6*10^(LOG10(AP302/147.1)+(LOG10(AP302/147.1)-LOG10(AL302/234.7))*0.4)</f>
        <v>#NUM!</v>
      </c>
      <c r="BQ302" s="116" t="e">
        <f>196.6*10^(LOG10(AP302/147.1)+0.6666*(LOG10(AS302/36.3)-LOG10(AP302/147.1)))</f>
        <v>#NUM!</v>
      </c>
      <c r="BR302" s="116" t="e">
        <f>196.6*10^(LOG10(AS302/36.3)-(LOG10(AX302/162.5)-LOG10(AS302/36.3))/5)</f>
        <v>#NUM!</v>
      </c>
    </row>
    <row r="303" spans="1:70" x14ac:dyDescent="0.2">
      <c r="A303" s="36" t="s">
        <v>1295</v>
      </c>
      <c r="B303" s="36" t="s">
        <v>279</v>
      </c>
      <c r="E303" s="34">
        <f t="shared" ref="E303:N303" si="144">AVERAGE(E300:E302)</f>
        <v>44.72</v>
      </c>
      <c r="F303" s="34">
        <f t="shared" si="144"/>
        <v>1.32</v>
      </c>
      <c r="G303" s="34">
        <f t="shared" si="144"/>
        <v>8.02</v>
      </c>
      <c r="H303" s="37">
        <f t="shared" si="144"/>
        <v>0.52</v>
      </c>
      <c r="I303" s="34">
        <f t="shared" si="144"/>
        <v>21.82</v>
      </c>
      <c r="J303" s="37">
        <f t="shared" si="144"/>
        <v>0.27</v>
      </c>
      <c r="K303" s="34">
        <f t="shared" si="144"/>
        <v>13.59</v>
      </c>
      <c r="L303" s="34">
        <f t="shared" si="144"/>
        <v>9.16</v>
      </c>
      <c r="M303" s="37">
        <f t="shared" si="144"/>
        <v>0.35</v>
      </c>
      <c r="N303" s="37">
        <f t="shared" si="144"/>
        <v>1.1965010934083101E-2</v>
      </c>
      <c r="O303" s="37"/>
      <c r="P303" s="36"/>
      <c r="Q303" s="38">
        <f t="shared" si="131"/>
        <v>52.612156299045367</v>
      </c>
      <c r="R303" s="36"/>
      <c r="S303" s="36"/>
      <c r="T303" s="72">
        <f>AVERAGE(T300:T302)</f>
        <v>50.838425492033736</v>
      </c>
      <c r="U303" s="35"/>
      <c r="V303" s="35">
        <f>AVERAGE(V300:V302)</f>
        <v>4043.4239300218683</v>
      </c>
      <c r="W303" s="36"/>
      <c r="X303" s="72">
        <f>AVERAGE(X300:X302)</f>
        <v>50.533583255232742</v>
      </c>
      <c r="Y303" s="35">
        <f>AVERAGE(Y300:Y302)</f>
        <v>83.731177756950942</v>
      </c>
      <c r="Z303" s="215">
        <f>AVERAGE(Z300:Z302)</f>
        <v>7.7110590440487359</v>
      </c>
      <c r="AA303" s="215"/>
      <c r="AB303" s="215"/>
      <c r="AC303" s="215"/>
      <c r="AD303" s="72">
        <f>AVERAGE(AD300:AD302)</f>
        <v>0.28631677600749766</v>
      </c>
      <c r="AE303" s="35">
        <f>AVERAGE(AE300:AE302)</f>
        <v>117.04935957513275</v>
      </c>
      <c r="AF303" s="35">
        <f>AVERAGE(AF300:AF302)</f>
        <v>18.818728818503264</v>
      </c>
      <c r="AG303" s="35">
        <f>AVERAGE(AG300:AG302)</f>
        <v>6.2386754139331462</v>
      </c>
      <c r="AH303" s="35"/>
      <c r="AI303" s="35"/>
      <c r="AJ303" s="34">
        <f t="shared" ref="AJ303:AY303" si="145">AVERAGE(AJ300:AJ302)</f>
        <v>5.7263355201499534E-3</v>
      </c>
      <c r="AK303" s="35">
        <f t="shared" si="145"/>
        <v>251.55248359887537</v>
      </c>
      <c r="AL303" s="34">
        <f t="shared" si="145"/>
        <v>2.9989331458919088</v>
      </c>
      <c r="AM303" s="34">
        <f t="shared" si="145"/>
        <v>8.4850515463917517</v>
      </c>
      <c r="AN303" s="34">
        <f t="shared" si="145"/>
        <v>0.96781717222327601</v>
      </c>
      <c r="AO303" s="34">
        <f t="shared" si="145"/>
        <v>4.5307403936269921</v>
      </c>
      <c r="AP303" s="34">
        <f t="shared" si="145"/>
        <v>1.6937856919712588</v>
      </c>
      <c r="AQ303" s="34">
        <f t="shared" si="145"/>
        <v>0.60387535145267113</v>
      </c>
      <c r="AR303" s="34">
        <f t="shared" si="145"/>
        <v>2.3826374899817826</v>
      </c>
      <c r="AS303" s="34">
        <f t="shared" si="145"/>
        <v>0.46407466416744769</v>
      </c>
      <c r="AT303" s="34">
        <f t="shared" si="145"/>
        <v>2.950775864979402</v>
      </c>
      <c r="AU303" s="34">
        <f t="shared" si="145"/>
        <v>0.67245286107050128</v>
      </c>
      <c r="AV303" s="34">
        <f t="shared" si="145"/>
        <v>1.9119133885475099</v>
      </c>
      <c r="AW303" s="34">
        <f t="shared" si="145"/>
        <v>0.28970341660546173</v>
      </c>
      <c r="AX303" s="34">
        <f t="shared" si="145"/>
        <v>1.9356294907841298</v>
      </c>
      <c r="AY303" s="34">
        <f t="shared" si="145"/>
        <v>0.27792580443611364</v>
      </c>
      <c r="AZ303" s="34">
        <f t="shared" ref="AZ303:BF303" si="146">AVERAGE(AZ300:AZ302)</f>
        <v>1.1029834426741645</v>
      </c>
      <c r="BA303" s="34">
        <f t="shared" si="146"/>
        <v>0.1506419868791003</v>
      </c>
      <c r="BB303" s="72">
        <f t="shared" si="146"/>
        <v>0.76157450796626058</v>
      </c>
      <c r="BC303" s="72">
        <f t="shared" si="146"/>
        <v>0</v>
      </c>
      <c r="BD303" s="72">
        <f t="shared" si="146"/>
        <v>2.9452671040299907</v>
      </c>
      <c r="BE303" s="34">
        <f t="shared" si="146"/>
        <v>0.43192283661355824</v>
      </c>
      <c r="BF303" s="34">
        <f t="shared" si="146"/>
        <v>0.28919556388628553</v>
      </c>
      <c r="BG303" s="34"/>
      <c r="BH303" s="72"/>
      <c r="BI303" s="36"/>
      <c r="BJ303" s="36"/>
      <c r="BK303" s="36"/>
      <c r="BL303" s="37"/>
      <c r="BM303" s="36"/>
      <c r="BN303" s="36"/>
      <c r="BO303" s="36"/>
      <c r="BP303" s="36"/>
      <c r="BQ303" s="36"/>
      <c r="BR303" s="36"/>
    </row>
    <row r="304" spans="1:70" x14ac:dyDescent="0.2">
      <c r="A304" s="36"/>
      <c r="B304" s="36"/>
      <c r="E304" s="34"/>
      <c r="F304" s="34"/>
      <c r="G304" s="34"/>
      <c r="H304" s="37"/>
      <c r="I304" s="34"/>
      <c r="J304" s="37"/>
      <c r="K304" s="34"/>
      <c r="L304" s="34"/>
      <c r="M304" s="37"/>
      <c r="N304" s="37"/>
      <c r="O304" s="37"/>
      <c r="P304" s="36"/>
      <c r="Q304" s="38" t="e">
        <f t="shared" si="131"/>
        <v>#DIV/0!</v>
      </c>
      <c r="R304" s="36"/>
      <c r="S304" s="36"/>
      <c r="T304" s="72"/>
      <c r="U304" s="35"/>
      <c r="V304" s="35"/>
      <c r="W304" s="36"/>
      <c r="X304" s="72"/>
      <c r="Y304" s="35"/>
      <c r="Z304" s="215"/>
      <c r="AA304" s="215"/>
      <c r="AB304" s="215"/>
      <c r="AC304" s="215"/>
      <c r="AD304" s="72"/>
      <c r="AE304" s="35"/>
      <c r="AF304" s="36"/>
      <c r="AG304" s="35"/>
      <c r="AH304" s="35"/>
      <c r="AI304" s="35"/>
      <c r="AJ304" s="34"/>
      <c r="AK304" s="35"/>
      <c r="AL304" s="34"/>
      <c r="AM304" s="72"/>
      <c r="AN304" s="72"/>
      <c r="AO304" s="72"/>
      <c r="AP304" s="34"/>
      <c r="AQ304" s="37"/>
      <c r="AR304" s="36"/>
      <c r="AS304" s="37"/>
      <c r="AT304" s="36"/>
      <c r="AU304" s="36"/>
      <c r="AV304" s="36"/>
      <c r="AW304" s="36"/>
      <c r="AX304" s="34"/>
      <c r="AY304" s="37"/>
      <c r="AZ304" s="34"/>
      <c r="BA304" s="34"/>
      <c r="BB304" s="72"/>
      <c r="BC304" s="72"/>
      <c r="BD304" s="72"/>
      <c r="BE304" s="34"/>
      <c r="BF304" s="34"/>
      <c r="BG304" s="34"/>
      <c r="BH304" s="72"/>
      <c r="BI304" s="36"/>
      <c r="BJ304" s="36"/>
      <c r="BK304" s="36"/>
      <c r="BL304" s="37"/>
      <c r="BM304" s="36"/>
      <c r="BN304" s="36"/>
      <c r="BO304" s="36"/>
      <c r="BP304" s="36"/>
      <c r="BQ304" s="36"/>
      <c r="BR304" s="36"/>
    </row>
    <row r="305" spans="1:70" x14ac:dyDescent="0.2">
      <c r="A305" s="50" t="s">
        <v>1296</v>
      </c>
      <c r="C305" s="50" t="s">
        <v>717</v>
      </c>
      <c r="H305" s="49">
        <v>0.50830312876539308</v>
      </c>
      <c r="I305" s="38">
        <v>24.916166719292708</v>
      </c>
      <c r="L305" s="38" t="s">
        <v>1327</v>
      </c>
      <c r="M305" s="49">
        <v>0.20056911904010105</v>
      </c>
      <c r="N305" s="49" t="s">
        <v>1329</v>
      </c>
      <c r="Q305" s="38">
        <f t="shared" si="131"/>
        <v>0</v>
      </c>
      <c r="R305" s="50">
        <v>0.20056911904010105</v>
      </c>
      <c r="S305" s="50">
        <v>7.1834543732238715E-2</v>
      </c>
      <c r="T305" s="39">
        <v>53.192478686454052</v>
      </c>
      <c r="V305" s="76">
        <v>3477.7170824123777</v>
      </c>
      <c r="W305" s="50">
        <v>24.916166719292708</v>
      </c>
      <c r="X305" s="39">
        <v>56.880656772971264</v>
      </c>
      <c r="Y305" s="76">
        <v>42.082096621408276</v>
      </c>
      <c r="Z305" s="46"/>
      <c r="AA305" s="46"/>
      <c r="AB305" s="46">
        <v>0.1668992737606568</v>
      </c>
      <c r="AC305" s="46">
        <v>0</v>
      </c>
      <c r="AD305" s="39">
        <v>7.1540890432586037</v>
      </c>
      <c r="AE305" s="76">
        <v>118.01136722450268</v>
      </c>
      <c r="AF305" s="291">
        <f>1560*10^((LOG10(AU305/55.6)+LOG10(AV305/158.9))/2)</f>
        <v>36.795149983826519</v>
      </c>
      <c r="AG305" s="76">
        <v>61.816861383012323</v>
      </c>
      <c r="AH305" s="76"/>
      <c r="AI305" s="76">
        <v>1.3856646668771712E-2</v>
      </c>
      <c r="AJ305" s="38">
        <v>1.7948215977265553E-2</v>
      </c>
      <c r="AK305" s="76">
        <v>175.7302810230502</v>
      </c>
      <c r="AL305" s="38">
        <v>5.8436223555415214</v>
      </c>
      <c r="AM305" s="39">
        <v>15.017353962740765</v>
      </c>
      <c r="AN305" s="199">
        <f>89.1*EXP((LN(AL305/234.7)+2*LN(AO305/452.4))/3)</f>
        <v>2.3293427754665528</v>
      </c>
      <c r="AO305" s="39">
        <v>12.119134827912852</v>
      </c>
      <c r="AP305" s="38">
        <v>3.7416361225134196</v>
      </c>
      <c r="AQ305" s="49">
        <v>0.66560277865487849</v>
      </c>
      <c r="AR305" s="200">
        <f>AVERAGE(BP305:BR305)</f>
        <v>5.1353972381963748</v>
      </c>
      <c r="AS305" s="49">
        <v>0.9449005367856016</v>
      </c>
      <c r="AT305" s="200">
        <f>(242.7*10^((4*LOG10(AS305/36.3)+LOG10(AX305/162.5))/5)+242.7*10^((4*LOG10(AP305/147.1)+4*LOG10(AX305/162.5))/8))/2</f>
        <v>5.9412085844755911</v>
      </c>
      <c r="AU305" s="200">
        <f>(55.6*10^((3*LOG10(AS305/36.3)+2*LOG10(AX305/162.5))/5)+55.6*10^((3*LOG10(AP305/147.1)+5*LOG10(AX305/162.5))/8))/2</f>
        <v>1.3277380904716658</v>
      </c>
      <c r="AV305" s="200">
        <f>(158.9*10^((2*LOG10(AS305/36.3)+3*LOG10(AX305/162.5))/5)+158.9*10^((2*LOG10(AP305/147.1)+6*LOG10(AX305/162.5))/8))/2</f>
        <v>3.701845018016825</v>
      </c>
      <c r="AW305" s="201">
        <f>(24.2*10^((LOG10(AS305/36.3)+4*LOG10(AX305/162.5))/5)+24.2*10^((LOG10(AP305/147.1)+7*LOG10(AX305/162.5))/8))/2</f>
        <v>0.55003526314435058</v>
      </c>
      <c r="AX305" s="38">
        <v>3.6035743605936217</v>
      </c>
      <c r="AY305" s="49">
        <v>0.51154442690243129</v>
      </c>
      <c r="AZ305" s="38">
        <v>2.56340069466372</v>
      </c>
      <c r="BA305" s="38">
        <v>0.3412586043574361</v>
      </c>
      <c r="BB305" s="39">
        <v>0.49735396274076416</v>
      </c>
      <c r="BC305" s="39">
        <v>0.2996210925165772</v>
      </c>
      <c r="BD305" s="39">
        <v>7.6365645721503004</v>
      </c>
      <c r="BE305" s="38">
        <v>0.86518471739816871</v>
      </c>
      <c r="BF305" s="38">
        <v>0.45049889485317335</v>
      </c>
      <c r="BG305" s="38">
        <v>158.35</v>
      </c>
      <c r="BH305" s="39"/>
      <c r="BJ305" s="50"/>
      <c r="BK305" s="50"/>
      <c r="BP305" s="116">
        <f>196.6*10^(LOG10(AP305/147.1)+(LOG10(AP305/147.1)-LOG10(AL305/234.7))*0.4)</f>
        <v>5.043642786922435</v>
      </c>
      <c r="BQ305" s="116">
        <f>196.6*10^(LOG10(AP305/147.1)+0.6666*(LOG10(AS305/36.3)-LOG10(AP305/147.1)))</f>
        <v>5.0783050401350858</v>
      </c>
      <c r="BR305" s="116">
        <f>196.6*10^(LOG10(AS305/36.3)-(LOG10(AX305/162.5)-LOG10(AS305/36.3))/5)</f>
        <v>5.2842438875316038</v>
      </c>
    </row>
    <row r="306" spans="1:70" x14ac:dyDescent="0.2">
      <c r="A306" s="50" t="s">
        <v>1296</v>
      </c>
      <c r="B306" s="36"/>
      <c r="C306" s="50" t="s">
        <v>700</v>
      </c>
      <c r="E306" s="38">
        <v>44.739775803083049</v>
      </c>
      <c r="F306" s="38">
        <v>1.7440695704098745</v>
      </c>
      <c r="G306" s="38">
        <v>4.3959412065005807</v>
      </c>
      <c r="H306" s="49" t="s">
        <v>1326</v>
      </c>
      <c r="I306" s="38">
        <v>24.916166719292708</v>
      </c>
      <c r="J306" s="49">
        <v>0.33090093694875367</v>
      </c>
      <c r="K306" s="38">
        <v>13.429532372879194</v>
      </c>
      <c r="L306" s="38">
        <v>9.7538487805186627</v>
      </c>
      <c r="M306" s="49" t="s">
        <v>1328</v>
      </c>
      <c r="N306" s="49">
        <v>3.9451409756742079E-2</v>
      </c>
      <c r="O306" s="49">
        <v>6.9833741158535814E-2</v>
      </c>
      <c r="P306" s="36"/>
      <c r="Q306" s="38">
        <f t="shared" si="131"/>
        <v>49.000471965075363</v>
      </c>
      <c r="R306" s="36"/>
      <c r="S306" s="36"/>
      <c r="T306" s="72"/>
      <c r="U306" s="35"/>
      <c r="V306" s="35"/>
      <c r="W306" s="36"/>
      <c r="X306" s="72"/>
      <c r="Y306" s="35"/>
      <c r="Z306" s="215"/>
      <c r="AA306" s="215"/>
      <c r="AB306" s="215"/>
      <c r="AC306" s="215"/>
      <c r="AD306" s="72"/>
      <c r="AE306" s="35"/>
      <c r="AF306" s="36"/>
      <c r="AG306" s="35"/>
      <c r="AH306" s="35"/>
      <c r="AI306" s="35"/>
      <c r="AJ306" s="34"/>
      <c r="AK306" s="35"/>
      <c r="AL306" s="34"/>
      <c r="AM306" s="72"/>
      <c r="AN306" s="72"/>
      <c r="AO306" s="72"/>
      <c r="AP306" s="34"/>
      <c r="AQ306" s="37"/>
      <c r="AR306" s="36"/>
      <c r="AS306" s="37"/>
      <c r="AT306" s="36"/>
      <c r="AU306" s="36"/>
      <c r="AV306" s="36"/>
      <c r="AW306" s="36"/>
      <c r="AX306" s="34"/>
      <c r="AY306" s="37"/>
      <c r="AZ306" s="34"/>
      <c r="BA306" s="34"/>
      <c r="BB306" s="72"/>
      <c r="BC306" s="72"/>
      <c r="BD306" s="72"/>
      <c r="BE306" s="34"/>
      <c r="BF306" s="34"/>
      <c r="BG306" s="34"/>
      <c r="BH306" s="72"/>
      <c r="BI306" s="36"/>
      <c r="BJ306" s="36"/>
      <c r="BK306" s="36"/>
      <c r="BL306" s="37"/>
      <c r="BM306" s="36"/>
      <c r="BN306" s="36"/>
      <c r="BO306" s="36"/>
      <c r="BP306" s="116" t="e">
        <f>196.6*10^(LOG10(AP306/147.1)+(LOG10(AP306/147.1)-LOG10(AL306/234.7))*0.4)</f>
        <v>#NUM!</v>
      </c>
      <c r="BQ306" s="116" t="e">
        <f>196.6*10^(LOG10(AP306/147.1)+0.6666*(LOG10(AS306/36.3)-LOG10(AP306/147.1)))</f>
        <v>#NUM!</v>
      </c>
      <c r="BR306" s="116" t="e">
        <f>196.6*10^(LOG10(AS306/36.3)-(LOG10(AX306/162.5)-LOG10(AS306/36.3))/5)</f>
        <v>#NUM!</v>
      </c>
    </row>
    <row r="307" spans="1:70" x14ac:dyDescent="0.2">
      <c r="A307" s="50" t="s">
        <v>1296</v>
      </c>
      <c r="B307" s="36"/>
      <c r="E307" s="34"/>
      <c r="F307" s="34"/>
      <c r="G307" s="34"/>
      <c r="H307" s="37"/>
      <c r="I307" s="34"/>
      <c r="J307" s="37"/>
      <c r="K307" s="34"/>
      <c r="L307" s="34"/>
      <c r="M307" s="37"/>
      <c r="N307" s="37"/>
      <c r="O307" s="37"/>
      <c r="P307" s="36"/>
      <c r="Q307" s="38" t="e">
        <f t="shared" si="131"/>
        <v>#DIV/0!</v>
      </c>
      <c r="R307" s="36"/>
      <c r="S307" s="36"/>
      <c r="T307" s="72"/>
      <c r="U307" s="35"/>
      <c r="V307" s="35"/>
      <c r="W307" s="36"/>
      <c r="X307" s="72"/>
      <c r="Y307" s="35"/>
      <c r="Z307" s="215"/>
      <c r="AA307" s="215"/>
      <c r="AB307" s="215"/>
      <c r="AC307" s="215"/>
      <c r="AD307" s="72"/>
      <c r="AE307" s="35"/>
      <c r="AF307" s="36"/>
      <c r="AG307" s="35"/>
      <c r="AH307" s="35"/>
      <c r="AI307" s="35"/>
      <c r="AJ307" s="34"/>
      <c r="AK307" s="35"/>
      <c r="AL307" s="34"/>
      <c r="AM307" s="72"/>
      <c r="AN307" s="72"/>
      <c r="AO307" s="72"/>
      <c r="AP307" s="34"/>
      <c r="AQ307" s="37"/>
      <c r="AR307" s="36"/>
      <c r="AS307" s="37"/>
      <c r="AT307" s="36"/>
      <c r="AU307" s="36"/>
      <c r="AV307" s="36"/>
      <c r="AW307" s="36"/>
      <c r="AX307" s="34"/>
      <c r="AY307" s="37"/>
      <c r="AZ307" s="34"/>
      <c r="BA307" s="34"/>
      <c r="BB307" s="72"/>
      <c r="BC307" s="72"/>
      <c r="BD307" s="72"/>
      <c r="BE307" s="34"/>
      <c r="BF307" s="34"/>
      <c r="BG307" s="34"/>
      <c r="BH307" s="72"/>
      <c r="BI307" s="36"/>
      <c r="BJ307" s="36"/>
      <c r="BK307" s="36"/>
      <c r="BL307" s="37"/>
      <c r="BM307" s="36"/>
      <c r="BN307" s="36"/>
      <c r="BO307" s="36"/>
      <c r="BP307" s="116" t="e">
        <f>196.6*10^(LOG10(AP307/147.1)+(LOG10(AP307/147.1)-LOG10(AL307/234.7))*0.4)</f>
        <v>#NUM!</v>
      </c>
      <c r="BQ307" s="116" t="e">
        <f>196.6*10^(LOG10(AP307/147.1)+0.6666*(LOG10(AS307/36.3)-LOG10(AP307/147.1)))</f>
        <v>#NUM!</v>
      </c>
      <c r="BR307" s="116" t="e">
        <f>196.6*10^(LOG10(AS307/36.3)-(LOG10(AX307/162.5)-LOG10(AS307/36.3))/5)</f>
        <v>#NUM!</v>
      </c>
    </row>
    <row r="308" spans="1:70" x14ac:dyDescent="0.2">
      <c r="A308" s="77" t="s">
        <v>1296</v>
      </c>
      <c r="B308" s="36" t="s">
        <v>279</v>
      </c>
      <c r="E308" s="34">
        <f t="shared" ref="E308:O308" si="147">AVERAGE(E305:E307)</f>
        <v>44.739775803083049</v>
      </c>
      <c r="F308" s="34">
        <f t="shared" si="147"/>
        <v>1.7440695704098745</v>
      </c>
      <c r="G308" s="34">
        <f t="shared" si="147"/>
        <v>4.3959412065005807</v>
      </c>
      <c r="H308" s="37">
        <f t="shared" si="147"/>
        <v>0.50830312876539308</v>
      </c>
      <c r="I308" s="34">
        <f t="shared" si="147"/>
        <v>24.916166719292708</v>
      </c>
      <c r="J308" s="37">
        <f t="shared" si="147"/>
        <v>0.33090093694875367</v>
      </c>
      <c r="K308" s="34">
        <f t="shared" si="147"/>
        <v>13.429532372879194</v>
      </c>
      <c r="L308" s="34">
        <f t="shared" si="147"/>
        <v>9.7538487805186627</v>
      </c>
      <c r="M308" s="37">
        <f t="shared" si="147"/>
        <v>0.20056911904010105</v>
      </c>
      <c r="N308" s="37">
        <f t="shared" si="147"/>
        <v>3.9451409756742079E-2</v>
      </c>
      <c r="O308" s="37">
        <f t="shared" si="147"/>
        <v>6.9833741158535814E-2</v>
      </c>
      <c r="P308" s="36"/>
      <c r="Q308" s="38">
        <f t="shared" si="131"/>
        <v>49.000471965075363</v>
      </c>
      <c r="R308" s="36"/>
      <c r="S308" s="36"/>
      <c r="T308" s="72">
        <f>AVERAGE(T305:T307)</f>
        <v>53.192478686454052</v>
      </c>
      <c r="U308" s="35"/>
      <c r="V308" s="35">
        <f>AVERAGE(V305:V307)</f>
        <v>3477.7170824123777</v>
      </c>
      <c r="W308" s="36"/>
      <c r="X308" s="72">
        <f>AVERAGE(X305:X307)</f>
        <v>56.880656772971264</v>
      </c>
      <c r="Y308" s="35">
        <f>AVERAGE(Y305:Y307)</f>
        <v>42.082096621408276</v>
      </c>
      <c r="Z308" s="215" t="e">
        <f>AVERAGE(Z305:Z307)</f>
        <v>#DIV/0!</v>
      </c>
      <c r="AA308" s="215"/>
      <c r="AB308" s="215"/>
      <c r="AC308" s="215"/>
      <c r="AD308" s="72">
        <f>AVERAGE(AD305:AD307)</f>
        <v>7.1540890432586037</v>
      </c>
      <c r="AE308" s="35">
        <f>AVERAGE(AE305:AE307)</f>
        <v>118.01136722450268</v>
      </c>
      <c r="AF308" s="35">
        <f>AVERAGE(AF305:AF307)</f>
        <v>36.795149983826519</v>
      </c>
      <c r="AG308" s="35">
        <f>AVERAGE(AG305:AG307)</f>
        <v>61.816861383012323</v>
      </c>
      <c r="AH308" s="35"/>
      <c r="AI308" s="35"/>
      <c r="AJ308" s="34">
        <f>AVERAGE(AJ305:AJ307)</f>
        <v>1.7948215977265553E-2</v>
      </c>
      <c r="AK308" s="35">
        <f>AVERAGE(AK305:AK307)</f>
        <v>175.7302810230502</v>
      </c>
      <c r="AL308" s="34">
        <f t="shared" ref="AL308:AY308" si="148">AVERAGE(AL305:AL307)</f>
        <v>5.8436223555415214</v>
      </c>
      <c r="AM308" s="34">
        <f t="shared" si="148"/>
        <v>15.017353962740765</v>
      </c>
      <c r="AN308" s="34">
        <f t="shared" si="148"/>
        <v>2.3293427754665528</v>
      </c>
      <c r="AO308" s="34">
        <f t="shared" si="148"/>
        <v>12.119134827912852</v>
      </c>
      <c r="AP308" s="34">
        <f t="shared" si="148"/>
        <v>3.7416361225134196</v>
      </c>
      <c r="AQ308" s="34">
        <f t="shared" si="148"/>
        <v>0.66560277865487849</v>
      </c>
      <c r="AR308" s="34">
        <f t="shared" si="148"/>
        <v>5.1353972381963748</v>
      </c>
      <c r="AS308" s="34">
        <f t="shared" si="148"/>
        <v>0.9449005367856016</v>
      </c>
      <c r="AT308" s="34">
        <f t="shared" si="148"/>
        <v>5.9412085844755911</v>
      </c>
      <c r="AU308" s="34">
        <f t="shared" si="148"/>
        <v>1.3277380904716658</v>
      </c>
      <c r="AV308" s="34">
        <f t="shared" si="148"/>
        <v>3.701845018016825</v>
      </c>
      <c r="AW308" s="34">
        <f t="shared" si="148"/>
        <v>0.55003526314435058</v>
      </c>
      <c r="AX308" s="34">
        <f t="shared" si="148"/>
        <v>3.6035743605936217</v>
      </c>
      <c r="AY308" s="34">
        <f t="shared" si="148"/>
        <v>0.51154442690243129</v>
      </c>
      <c r="AZ308" s="34">
        <f t="shared" ref="AZ308:BF308" si="149">AVERAGE(AZ305:AZ307)</f>
        <v>2.56340069466372</v>
      </c>
      <c r="BA308" s="34">
        <f t="shared" si="149"/>
        <v>0.3412586043574361</v>
      </c>
      <c r="BB308" s="72">
        <f t="shared" si="149"/>
        <v>0.49735396274076416</v>
      </c>
      <c r="BC308" s="72">
        <f t="shared" si="149"/>
        <v>0.2996210925165772</v>
      </c>
      <c r="BD308" s="72">
        <f t="shared" si="149"/>
        <v>7.6365645721503004</v>
      </c>
      <c r="BE308" s="34">
        <f t="shared" si="149"/>
        <v>0.86518471739816871</v>
      </c>
      <c r="BF308" s="34">
        <f t="shared" si="149"/>
        <v>0.45049889485317335</v>
      </c>
      <c r="BG308" s="38"/>
      <c r="BH308" s="39"/>
      <c r="BJ308" s="50"/>
      <c r="BK308" s="50"/>
    </row>
    <row r="309" spans="1:70" x14ac:dyDescent="0.2">
      <c r="Q309" s="38" t="e">
        <f t="shared" si="131"/>
        <v>#DIV/0!</v>
      </c>
      <c r="R309" s="49"/>
      <c r="S309" s="39"/>
      <c r="T309" s="39"/>
      <c r="V309" s="76"/>
      <c r="W309" s="76"/>
      <c r="Z309" s="76"/>
      <c r="AA309" s="76"/>
      <c r="AB309" s="76"/>
      <c r="AC309" s="76"/>
      <c r="AD309" s="39"/>
      <c r="AE309" s="39"/>
      <c r="AF309" s="76"/>
      <c r="AG309" s="76"/>
      <c r="AH309" s="76"/>
      <c r="AI309" s="76"/>
      <c r="AL309" s="76"/>
      <c r="AM309" s="38"/>
      <c r="AN309" s="38"/>
      <c r="AO309" s="39"/>
      <c r="AP309" s="39"/>
      <c r="AQ309" s="38"/>
      <c r="AR309" s="38"/>
      <c r="AS309" s="49"/>
      <c r="AT309" s="49"/>
      <c r="AU309" s="49"/>
      <c r="AV309" s="49"/>
      <c r="AW309" s="49"/>
      <c r="AX309" s="49"/>
      <c r="AZ309" s="49"/>
      <c r="BA309" s="38"/>
      <c r="BB309" s="38"/>
      <c r="BC309" s="38"/>
      <c r="BD309" s="39"/>
      <c r="BE309" s="39"/>
      <c r="BF309" s="38"/>
      <c r="BG309" s="38"/>
      <c r="BH309" s="39"/>
      <c r="BJ309" s="50"/>
      <c r="BK309" s="50"/>
    </row>
    <row r="310" spans="1:70" x14ac:dyDescent="0.2">
      <c r="A310" s="71" t="s">
        <v>38</v>
      </c>
      <c r="B310" s="50" t="s">
        <v>57</v>
      </c>
      <c r="C310" s="50" t="s">
        <v>717</v>
      </c>
      <c r="H310" s="49">
        <v>0.23069386555488555</v>
      </c>
      <c r="I310" s="38">
        <v>9.720147239828842</v>
      </c>
      <c r="J310" s="38"/>
      <c r="L310" s="38" t="s">
        <v>59</v>
      </c>
      <c r="M310" s="3">
        <v>0.4658752854191584</v>
      </c>
      <c r="N310" s="195" t="s">
        <v>58</v>
      </c>
      <c r="Q310" s="38">
        <f t="shared" si="131"/>
        <v>0</v>
      </c>
      <c r="R310" s="49"/>
      <c r="S310" s="39"/>
      <c r="T310" s="39">
        <v>18.732400175248959</v>
      </c>
      <c r="V310" s="76">
        <v>1578.3652542069344</v>
      </c>
      <c r="W310" s="76"/>
      <c r="X310" s="39">
        <v>34.850622485593121</v>
      </c>
      <c r="Y310" s="76">
        <v>199.58450645670905</v>
      </c>
      <c r="Z310" s="46">
        <v>14.085287849618476</v>
      </c>
      <c r="AA310" s="76"/>
      <c r="AB310" s="38">
        <v>0.2312530940396165</v>
      </c>
      <c r="AC310" s="38">
        <v>0.34266762179483073</v>
      </c>
      <c r="AD310" s="39">
        <v>1.5</v>
      </c>
      <c r="AE310" s="76">
        <v>158.11576665025038</v>
      </c>
      <c r="AF310" s="291">
        <v>126.30761949228967</v>
      </c>
      <c r="AG310" s="76">
        <v>126.30761949228967</v>
      </c>
      <c r="AH310" s="76"/>
      <c r="AI310" s="76">
        <v>2.7821917632987737E-2</v>
      </c>
      <c r="AJ310" s="38">
        <v>0.12404927437975298</v>
      </c>
      <c r="AK310" s="76">
        <v>165.63202323008139</v>
      </c>
      <c r="AL310" s="76">
        <v>9.9412383257967747</v>
      </c>
      <c r="AM310" s="38">
        <v>26.591311744878443</v>
      </c>
      <c r="AN310" s="199"/>
      <c r="AO310" s="39">
        <v>15.001220986383025</v>
      </c>
      <c r="AP310" s="39">
        <v>4.4372656876602976</v>
      </c>
      <c r="AQ310" s="38">
        <v>1.0652565414553337</v>
      </c>
      <c r="AR310" s="200"/>
      <c r="AS310" s="49">
        <v>0.86384418832227894</v>
      </c>
      <c r="AT310" s="200"/>
      <c r="AU310" s="200"/>
      <c r="AV310" s="200"/>
      <c r="AW310" s="201"/>
      <c r="AX310" s="49">
        <v>2.9710972759659477</v>
      </c>
      <c r="AY310" s="49">
        <v>0.41221281683925054</v>
      </c>
      <c r="AZ310" s="49">
        <v>3.289687378876744</v>
      </c>
      <c r="BA310" s="49">
        <v>0.38384653563502158</v>
      </c>
      <c r="BB310" s="38">
        <v>0.11438960274769905</v>
      </c>
      <c r="BC310" s="38">
        <v>6.0721885013655355</v>
      </c>
      <c r="BD310" s="39">
        <v>13.128029600445156</v>
      </c>
      <c r="BE310" s="39">
        <v>1.5498056591343723</v>
      </c>
      <c r="BF310" s="38">
        <v>0.41650094340226029</v>
      </c>
      <c r="BG310" s="38">
        <v>1563.49</v>
      </c>
      <c r="BH310" s="39"/>
      <c r="BJ310" s="50"/>
      <c r="BK310" s="50"/>
      <c r="BP310" s="116">
        <f>196.6*10^(LOG10(AP310/147.1)+(LOG10(AP310/147.1)-LOG10(AL310/234.7))*0.4)</f>
        <v>5.177456041179834</v>
      </c>
      <c r="BQ310" s="116">
        <f>196.6*10^(LOG10(AP310/147.1)+0.6666*(LOG10(AS310/36.3)-LOG10(AP310/147.1)))</f>
        <v>5.0634185212613634</v>
      </c>
      <c r="BR310" s="116">
        <f>196.6*10^(LOG10(AS310/36.3)-(LOG10(AX310/162.5)-LOG10(AS310/36.3))/5)</f>
        <v>4.9317989207815653</v>
      </c>
    </row>
    <row r="311" spans="1:70" x14ac:dyDescent="0.2">
      <c r="A311" s="71" t="s">
        <v>39</v>
      </c>
      <c r="C311" s="50" t="s">
        <v>700</v>
      </c>
      <c r="E311" s="38">
        <v>46.155707056264319</v>
      </c>
      <c r="F311" s="38">
        <v>0.67679035713990676</v>
      </c>
      <c r="G311" s="38">
        <v>20.650011035095041</v>
      </c>
      <c r="H311" s="49">
        <v>0.22957702659630852</v>
      </c>
      <c r="I311" s="38">
        <v>9.720147239828842</v>
      </c>
      <c r="J311" s="49">
        <v>0.14620516868241493</v>
      </c>
      <c r="K311" s="38">
        <v>8.0570066732808225</v>
      </c>
      <c r="L311" s="38">
        <v>13.481889562140292</v>
      </c>
      <c r="M311" s="49">
        <v>0.50800917262733813</v>
      </c>
      <c r="N311" s="49">
        <v>0.19106640904645805</v>
      </c>
      <c r="O311" s="49">
        <v>0.1431348123901833</v>
      </c>
      <c r="Q311" s="38">
        <f t="shared" si="131"/>
        <v>59.638273299730095</v>
      </c>
      <c r="R311" s="49"/>
      <c r="S311" s="39"/>
      <c r="T311" s="39"/>
      <c r="V311" s="76"/>
      <c r="W311" s="76"/>
      <c r="Z311" s="76"/>
      <c r="AA311" s="76"/>
      <c r="AB311" s="76"/>
      <c r="AC311" s="76"/>
      <c r="AD311" s="39"/>
      <c r="AE311" s="39"/>
      <c r="AF311" s="76"/>
      <c r="AG311" s="76"/>
      <c r="AH311" s="76"/>
      <c r="AI311" s="76"/>
      <c r="AL311" s="76"/>
      <c r="AM311" s="38"/>
      <c r="AN311" s="38"/>
      <c r="AO311" s="39"/>
      <c r="AP311" s="39"/>
      <c r="AQ311" s="38"/>
      <c r="AR311" s="38"/>
      <c r="AS311" s="49"/>
      <c r="AT311" s="49"/>
      <c r="AU311" s="49"/>
      <c r="AV311" s="49"/>
      <c r="AW311" s="49"/>
      <c r="AX311" s="49"/>
      <c r="AZ311" s="49"/>
      <c r="BA311" s="38"/>
      <c r="BB311" s="38"/>
      <c r="BC311" s="38"/>
      <c r="BD311" s="39"/>
      <c r="BE311" s="39"/>
      <c r="BF311" s="38"/>
      <c r="BG311" s="38"/>
      <c r="BH311" s="39"/>
      <c r="BJ311" s="50"/>
      <c r="BK311" s="50"/>
      <c r="BP311" s="116" t="e">
        <f>196.6*10^(LOG10(AP311/147.1)+(LOG10(AP311/147.1)-LOG10(AL311/234.7))*0.4)</f>
        <v>#NUM!</v>
      </c>
      <c r="BQ311" s="116" t="e">
        <f>196.6*10^(LOG10(AP311/147.1)+0.6666*(LOG10(AS311/36.3)-LOG10(AP311/147.1)))</f>
        <v>#NUM!</v>
      </c>
      <c r="BR311" s="116" t="e">
        <f>196.6*10^(LOG10(AS311/36.3)-(LOG10(AX311/162.5)-LOG10(AS311/36.3))/5)</f>
        <v>#NUM!</v>
      </c>
    </row>
    <row r="312" spans="1:70" x14ac:dyDescent="0.2">
      <c r="A312" s="71" t="s">
        <v>38</v>
      </c>
      <c r="Q312" s="38" t="e">
        <f t="shared" si="131"/>
        <v>#DIV/0!</v>
      </c>
      <c r="R312" s="49"/>
      <c r="S312" s="39"/>
      <c r="T312" s="39"/>
      <c r="V312" s="76"/>
      <c r="W312" s="76"/>
      <c r="Z312" s="76"/>
      <c r="AA312" s="76"/>
      <c r="AB312" s="76"/>
      <c r="AC312" s="76"/>
      <c r="AD312" s="39"/>
      <c r="AE312" s="39"/>
      <c r="AF312" s="76"/>
      <c r="AG312" s="76"/>
      <c r="AH312" s="76"/>
      <c r="AI312" s="76"/>
      <c r="AL312" s="76"/>
      <c r="AM312" s="38"/>
      <c r="AN312" s="38"/>
      <c r="AO312" s="39"/>
      <c r="AP312" s="39"/>
      <c r="AQ312" s="38"/>
      <c r="AR312" s="38"/>
      <c r="AS312" s="49"/>
      <c r="AT312" s="49"/>
      <c r="AU312" s="49"/>
      <c r="AV312" s="49"/>
      <c r="AW312" s="49"/>
      <c r="AX312" s="49"/>
      <c r="AZ312" s="49"/>
      <c r="BA312" s="38"/>
      <c r="BB312" s="38"/>
      <c r="BC312" s="38"/>
      <c r="BD312" s="39"/>
      <c r="BE312" s="39"/>
      <c r="BF312" s="38"/>
      <c r="BG312" s="38"/>
      <c r="BH312" s="39"/>
      <c r="BJ312" s="50"/>
      <c r="BK312" s="50"/>
      <c r="BP312" s="116" t="e">
        <f>196.6*10^(LOG10(AP312/147.1)+(LOG10(AP312/147.1)-LOG10(AL312/234.7))*0.4)</f>
        <v>#NUM!</v>
      </c>
      <c r="BQ312" s="116" t="e">
        <f>196.6*10^(LOG10(AP312/147.1)+0.6666*(LOG10(AS312/36.3)-LOG10(AP312/147.1)))</f>
        <v>#NUM!</v>
      </c>
      <c r="BR312" s="116" t="e">
        <f>196.6*10^(LOG10(AS312/36.3)-(LOG10(AX312/162.5)-LOG10(AS312/36.3))/5)</f>
        <v>#NUM!</v>
      </c>
    </row>
    <row r="313" spans="1:70" x14ac:dyDescent="0.2">
      <c r="A313" s="77" t="s">
        <v>38</v>
      </c>
      <c r="B313" s="36" t="s">
        <v>279</v>
      </c>
      <c r="E313" s="34">
        <f t="shared" ref="E313:O313" si="150">AVERAGE(E310:E312)</f>
        <v>46.155707056264319</v>
      </c>
      <c r="F313" s="34">
        <f t="shared" si="150"/>
        <v>0.67679035713990676</v>
      </c>
      <c r="G313" s="34">
        <f t="shared" si="150"/>
        <v>20.650011035095041</v>
      </c>
      <c r="H313" s="37">
        <f>AVERAGE(H310:H312)</f>
        <v>0.23013544607559705</v>
      </c>
      <c r="I313" s="34">
        <f t="shared" si="150"/>
        <v>9.720147239828842</v>
      </c>
      <c r="J313" s="37">
        <f t="shared" si="150"/>
        <v>0.14620516868241493</v>
      </c>
      <c r="K313" s="34">
        <f t="shared" si="150"/>
        <v>8.0570066732808225</v>
      </c>
      <c r="L313" s="34">
        <f t="shared" si="150"/>
        <v>13.481889562140292</v>
      </c>
      <c r="M313" s="37">
        <f t="shared" si="150"/>
        <v>0.48694222902324824</v>
      </c>
      <c r="N313" s="37">
        <f t="shared" si="150"/>
        <v>0.19106640904645805</v>
      </c>
      <c r="O313" s="37">
        <f t="shared" si="150"/>
        <v>0.1431348123901833</v>
      </c>
      <c r="P313" s="36"/>
      <c r="Q313" s="38">
        <f t="shared" si="131"/>
        <v>59.638273299730095</v>
      </c>
      <c r="R313" s="36"/>
      <c r="S313" s="36"/>
      <c r="T313" s="72">
        <f>AVERAGE(T310:T312)</f>
        <v>18.732400175248959</v>
      </c>
      <c r="U313" s="35"/>
      <c r="V313" s="35">
        <f>AVERAGE(V310:V312)</f>
        <v>1578.3652542069344</v>
      </c>
      <c r="W313" s="36"/>
      <c r="X313" s="72">
        <f>AVERAGE(X310:X312)</f>
        <v>34.850622485593121</v>
      </c>
      <c r="Y313" s="35">
        <f>AVERAGE(Y310:Y312)</f>
        <v>199.58450645670905</v>
      </c>
      <c r="Z313" s="215">
        <f>AVERAGE(Z310:Z312)</f>
        <v>14.085287849618476</v>
      </c>
      <c r="AA313" s="215"/>
      <c r="AB313" s="215"/>
      <c r="AC313" s="215"/>
      <c r="AD313" s="72">
        <f>AVERAGE(AD310:AD312)</f>
        <v>1.5</v>
      </c>
      <c r="AE313" s="35">
        <f>AVERAGE(AE310:AE312)</f>
        <v>158.11576665025038</v>
      </c>
      <c r="AF313" s="35">
        <f>AVERAGE(AF310:AF312)</f>
        <v>126.30761949228967</v>
      </c>
      <c r="AG313" s="35">
        <f>AVERAGE(AG310:AG312)</f>
        <v>126.30761949228967</v>
      </c>
      <c r="AH313" s="35"/>
      <c r="AI313" s="35"/>
      <c r="AJ313" s="34">
        <f>AVERAGE(AJ310:AJ312)</f>
        <v>0.12404927437975298</v>
      </c>
      <c r="AK313" s="35">
        <f>AVERAGE(AK310:AK312)</f>
        <v>165.63202323008139</v>
      </c>
      <c r="AL313" s="34">
        <f t="shared" ref="AL313:AY313" si="151">AVERAGE(AL310:AL312)</f>
        <v>9.9412383257967747</v>
      </c>
      <c r="AM313" s="34">
        <f t="shared" si="151"/>
        <v>26.591311744878443</v>
      </c>
      <c r="AN313" s="34" t="e">
        <f t="shared" si="151"/>
        <v>#DIV/0!</v>
      </c>
      <c r="AO313" s="34">
        <f t="shared" si="151"/>
        <v>15.001220986383025</v>
      </c>
      <c r="AP313" s="34">
        <f t="shared" si="151"/>
        <v>4.4372656876602976</v>
      </c>
      <c r="AQ313" s="34">
        <f t="shared" si="151"/>
        <v>1.0652565414553337</v>
      </c>
      <c r="AR313" s="34" t="e">
        <f t="shared" si="151"/>
        <v>#DIV/0!</v>
      </c>
      <c r="AS313" s="34">
        <f t="shared" si="151"/>
        <v>0.86384418832227894</v>
      </c>
      <c r="AT313" s="34" t="e">
        <f t="shared" si="151"/>
        <v>#DIV/0!</v>
      </c>
      <c r="AU313" s="34" t="e">
        <f t="shared" si="151"/>
        <v>#DIV/0!</v>
      </c>
      <c r="AV313" s="34" t="e">
        <f t="shared" si="151"/>
        <v>#DIV/0!</v>
      </c>
      <c r="AW313" s="34" t="e">
        <f t="shared" si="151"/>
        <v>#DIV/0!</v>
      </c>
      <c r="AX313" s="34">
        <f t="shared" si="151"/>
        <v>2.9710972759659477</v>
      </c>
      <c r="AY313" s="34">
        <f t="shared" si="151"/>
        <v>0.41221281683925054</v>
      </c>
      <c r="AZ313" s="34">
        <f t="shared" ref="AZ313:BF313" si="152">AVERAGE(AZ310:AZ312)</f>
        <v>3.289687378876744</v>
      </c>
      <c r="BA313" s="34">
        <f t="shared" si="152"/>
        <v>0.38384653563502158</v>
      </c>
      <c r="BB313" s="72">
        <f t="shared" si="152"/>
        <v>0.11438960274769905</v>
      </c>
      <c r="BC313" s="72">
        <f t="shared" si="152"/>
        <v>6.0721885013655355</v>
      </c>
      <c r="BD313" s="72">
        <f t="shared" si="152"/>
        <v>13.128029600445156</v>
      </c>
      <c r="BE313" s="34">
        <f t="shared" si="152"/>
        <v>1.5498056591343723</v>
      </c>
      <c r="BF313" s="34">
        <f t="shared" si="152"/>
        <v>0.41650094340226029</v>
      </c>
      <c r="BG313" s="38"/>
      <c r="BH313" s="39"/>
      <c r="BJ313" s="50"/>
      <c r="BK313" s="50"/>
    </row>
    <row r="314" spans="1:70" x14ac:dyDescent="0.2">
      <c r="A314" s="71"/>
      <c r="Q314" s="38" t="e">
        <f t="shared" si="131"/>
        <v>#DIV/0!</v>
      </c>
      <c r="R314" s="49"/>
      <c r="S314" s="39"/>
      <c r="T314" s="39"/>
      <c r="V314" s="76"/>
      <c r="W314" s="76"/>
      <c r="Z314" s="76"/>
      <c r="AA314" s="76"/>
      <c r="AB314" s="76"/>
      <c r="AC314" s="76"/>
      <c r="AD314" s="39"/>
      <c r="AE314" s="39"/>
      <c r="AF314" s="76"/>
      <c r="AG314" s="76"/>
      <c r="AH314" s="76"/>
      <c r="AI314" s="76"/>
      <c r="AL314" s="76"/>
      <c r="AM314" s="38"/>
      <c r="AN314" s="38"/>
      <c r="AO314" s="39"/>
      <c r="AP314" s="39"/>
      <c r="AQ314" s="38"/>
      <c r="AR314" s="38"/>
      <c r="AS314" s="49"/>
      <c r="AT314" s="49"/>
      <c r="AU314" s="49"/>
      <c r="AV314" s="49"/>
      <c r="AW314" s="49"/>
      <c r="AX314" s="49"/>
      <c r="AZ314" s="49"/>
      <c r="BA314" s="38"/>
      <c r="BB314" s="38"/>
      <c r="BC314" s="38"/>
      <c r="BD314" s="39"/>
      <c r="BE314" s="39"/>
      <c r="BF314" s="38"/>
      <c r="BG314" s="38"/>
      <c r="BH314" s="39"/>
      <c r="BJ314" s="50"/>
      <c r="BK314" s="50"/>
    </row>
    <row r="315" spans="1:70" x14ac:dyDescent="0.2">
      <c r="A315" s="71"/>
      <c r="I315" s="117"/>
      <c r="L315" s="117"/>
      <c r="M315" s="117"/>
      <c r="N315" s="117"/>
      <c r="Q315" s="38" t="e">
        <f t="shared" si="131"/>
        <v>#DIV/0!</v>
      </c>
      <c r="T315" s="78"/>
      <c r="V315" s="78"/>
      <c r="X315" s="248"/>
      <c r="Y315" s="248"/>
      <c r="Z315" s="89"/>
      <c r="AB315" s="89"/>
      <c r="AC315" s="248"/>
      <c r="AD315" s="89"/>
      <c r="AE315" s="89"/>
      <c r="AF315" s="89"/>
      <c r="AG315" s="89"/>
      <c r="AH315" s="89"/>
      <c r="AI315" s="89"/>
      <c r="AJ315" s="248"/>
      <c r="AK315" s="248"/>
      <c r="AL315" s="89"/>
      <c r="AM315" s="89"/>
      <c r="AO315" s="89"/>
      <c r="AP315" s="89"/>
      <c r="AQ315" s="116"/>
      <c r="AS315" s="89"/>
      <c r="AX315" s="89"/>
      <c r="AY315" s="116"/>
      <c r="AZ315" s="116"/>
      <c r="BA315" s="248"/>
      <c r="BB315" s="248"/>
      <c r="BC315" s="116"/>
      <c r="BD315" s="116"/>
      <c r="BE315" s="117"/>
      <c r="BF315" s="117"/>
      <c r="BG315" s="49"/>
      <c r="BH315" s="39"/>
      <c r="BJ315" s="50"/>
      <c r="BK315" s="50"/>
    </row>
    <row r="316" spans="1:70" x14ac:dyDescent="0.2">
      <c r="A316" s="71" t="s">
        <v>49</v>
      </c>
      <c r="C316" s="50" t="s">
        <v>717</v>
      </c>
      <c r="H316" s="49">
        <f>V316*1.4616/10000</f>
        <v>0.28694041738435799</v>
      </c>
      <c r="I316" s="34">
        <v>12.722903330274733</v>
      </c>
      <c r="L316" s="72" t="s">
        <v>79</v>
      </c>
      <c r="M316" s="36">
        <v>0.47580466346413336</v>
      </c>
      <c r="N316" s="34">
        <v>0.1320985588600421</v>
      </c>
      <c r="Q316" s="38">
        <f t="shared" si="131"/>
        <v>0</v>
      </c>
      <c r="T316" s="72">
        <v>25.583926161817889</v>
      </c>
      <c r="V316" s="35">
        <v>1963.193879203325</v>
      </c>
      <c r="X316" s="72">
        <v>42.365358665731094</v>
      </c>
      <c r="Y316" s="35">
        <v>149.68640362713876</v>
      </c>
      <c r="Z316" s="35">
        <v>9.1732876342635059</v>
      </c>
      <c r="AB316" s="36">
        <v>0.20970853349166083</v>
      </c>
      <c r="AC316" s="36">
        <v>0.33303556970907322</v>
      </c>
      <c r="AD316" s="72">
        <v>1</v>
      </c>
      <c r="AE316" s="35">
        <v>132.30096615749986</v>
      </c>
      <c r="AF316" s="35">
        <v>123.17806444648349</v>
      </c>
      <c r="AG316" s="35">
        <v>123.17806444648349</v>
      </c>
      <c r="AH316" s="72"/>
      <c r="AI316" s="36">
        <v>1.214810816645976E-2</v>
      </c>
      <c r="AJ316" s="36">
        <v>0.116392832082906</v>
      </c>
      <c r="AK316" s="35">
        <v>126.6580666054947</v>
      </c>
      <c r="AL316" s="34">
        <v>9.9392313920224531</v>
      </c>
      <c r="AM316" s="72">
        <v>26.231375829869915</v>
      </c>
      <c r="AO316" s="72">
        <v>14.808161062233498</v>
      </c>
      <c r="AP316" s="34">
        <v>4.6053629837534409</v>
      </c>
      <c r="AQ316" s="37">
        <v>0.99335413180763199</v>
      </c>
      <c r="AS316" s="34">
        <v>0.90305089868840061</v>
      </c>
      <c r="AX316" s="34">
        <v>3.147480973714039</v>
      </c>
      <c r="AY316" s="36">
        <v>0.43110724888001295</v>
      </c>
      <c r="AZ316" s="34">
        <v>3.2722464511253846</v>
      </c>
      <c r="BA316" s="34">
        <v>0.40369622712797543</v>
      </c>
      <c r="BB316" s="72">
        <v>7.6169914179305881E-2</v>
      </c>
      <c r="BC316" s="72">
        <v>3.558903222324175</v>
      </c>
      <c r="BD316" s="72">
        <v>1.8272197333621201</v>
      </c>
      <c r="BE316" s="34">
        <v>1.5401635450963456</v>
      </c>
      <c r="BF316" s="34">
        <v>0.43246774977060504</v>
      </c>
      <c r="BG316" s="36">
        <v>185.27</v>
      </c>
      <c r="BH316" s="39"/>
      <c r="BJ316" s="50"/>
      <c r="BK316" s="50"/>
    </row>
    <row r="317" spans="1:70" x14ac:dyDescent="0.2">
      <c r="A317" s="71" t="s">
        <v>49</v>
      </c>
      <c r="C317" s="50" t="s">
        <v>700</v>
      </c>
      <c r="E317" s="38">
        <v>45.991901162010976</v>
      </c>
      <c r="F317" s="38">
        <v>0.7250877721849065</v>
      </c>
      <c r="G317" s="38">
        <v>17.265146277990471</v>
      </c>
      <c r="H317" s="49">
        <v>0.28694041738435799</v>
      </c>
      <c r="I317" s="34">
        <v>12.722903330274733</v>
      </c>
      <c r="J317" s="49">
        <v>0.17654335659434195</v>
      </c>
      <c r="K317" s="38">
        <v>8.9539100168375665</v>
      </c>
      <c r="L317" s="72">
        <v>12.662215214322062</v>
      </c>
      <c r="M317" s="36">
        <v>0.47580466346413336</v>
      </c>
      <c r="N317" s="34">
        <v>0.10872724274614254</v>
      </c>
      <c r="O317" s="49">
        <v>0.10695677672059085</v>
      </c>
      <c r="Q317" s="38">
        <f t="shared" si="131"/>
        <v>55.644851036878812</v>
      </c>
      <c r="T317" s="72"/>
      <c r="V317" s="35"/>
      <c r="X317" s="72"/>
      <c r="Y317" s="35"/>
      <c r="Z317" s="35"/>
      <c r="AB317" s="36"/>
      <c r="AC317" s="36"/>
      <c r="AD317" s="72"/>
      <c r="AE317" s="35"/>
      <c r="AF317" s="35"/>
      <c r="AG317" s="35"/>
      <c r="AH317" s="72"/>
      <c r="AI317" s="36"/>
      <c r="AJ317" s="36"/>
      <c r="AK317" s="35"/>
      <c r="AL317" s="34"/>
      <c r="AM317" s="72"/>
      <c r="AO317" s="72"/>
      <c r="AP317" s="34"/>
      <c r="AQ317" s="37"/>
      <c r="AS317" s="34"/>
      <c r="AX317" s="34"/>
      <c r="AY317" s="36"/>
      <c r="AZ317" s="34"/>
      <c r="BA317" s="34"/>
      <c r="BB317" s="72"/>
      <c r="BC317" s="72"/>
      <c r="BD317" s="72"/>
      <c r="BE317" s="34"/>
      <c r="BF317" s="34"/>
      <c r="BG317" s="36"/>
      <c r="BH317" s="39"/>
      <c r="BJ317" s="50"/>
      <c r="BK317" s="50"/>
    </row>
    <row r="318" spans="1:70" x14ac:dyDescent="0.2">
      <c r="A318" s="71" t="s">
        <v>49</v>
      </c>
      <c r="I318" s="34"/>
      <c r="L318" s="72"/>
      <c r="M318" s="36"/>
      <c r="N318" s="34"/>
      <c r="Q318" s="38" t="e">
        <f t="shared" si="131"/>
        <v>#DIV/0!</v>
      </c>
      <c r="T318" s="72"/>
      <c r="V318" s="35"/>
      <c r="X318" s="72"/>
      <c r="Y318" s="35"/>
      <c r="Z318" s="35"/>
      <c r="AB318" s="36"/>
      <c r="AC318" s="36"/>
      <c r="AD318" s="72"/>
      <c r="AE318" s="35"/>
      <c r="AF318" s="35"/>
      <c r="AG318" s="35"/>
      <c r="AH318" s="72"/>
      <c r="AI318" s="36"/>
      <c r="AJ318" s="36"/>
      <c r="AK318" s="35"/>
      <c r="AL318" s="34"/>
      <c r="AM318" s="72"/>
      <c r="AO318" s="72"/>
      <c r="AP318" s="34"/>
      <c r="AQ318" s="37"/>
      <c r="AS318" s="34"/>
      <c r="AX318" s="34"/>
      <c r="AY318" s="36"/>
      <c r="AZ318" s="34"/>
      <c r="BA318" s="34"/>
      <c r="BB318" s="72"/>
      <c r="BC318" s="72"/>
      <c r="BD318" s="72"/>
      <c r="BE318" s="34"/>
      <c r="BF318" s="34"/>
      <c r="BG318" s="36"/>
      <c r="BH318" s="39"/>
      <c r="BJ318" s="50"/>
      <c r="BK318" s="50"/>
    </row>
    <row r="319" spans="1:70" x14ac:dyDescent="0.2">
      <c r="A319" s="71" t="s">
        <v>49</v>
      </c>
      <c r="B319" s="36" t="s">
        <v>279</v>
      </c>
      <c r="E319" s="34">
        <f t="shared" ref="E319:O319" si="153">AVERAGE(E316:E318)</f>
        <v>45.991901162010976</v>
      </c>
      <c r="F319" s="34">
        <f t="shared" si="153"/>
        <v>0.7250877721849065</v>
      </c>
      <c r="G319" s="34">
        <f t="shared" si="153"/>
        <v>17.265146277990471</v>
      </c>
      <c r="H319" s="37">
        <f t="shared" si="153"/>
        <v>0.28694041738435799</v>
      </c>
      <c r="I319" s="34">
        <f t="shared" si="153"/>
        <v>12.722903330274733</v>
      </c>
      <c r="J319" s="37">
        <f t="shared" si="153"/>
        <v>0.17654335659434195</v>
      </c>
      <c r="K319" s="34">
        <f t="shared" si="153"/>
        <v>8.9539100168375665</v>
      </c>
      <c r="L319" s="34">
        <f t="shared" si="153"/>
        <v>12.662215214322062</v>
      </c>
      <c r="M319" s="37">
        <f t="shared" si="153"/>
        <v>0.47580466346413336</v>
      </c>
      <c r="N319" s="37">
        <f t="shared" si="153"/>
        <v>0.12041290080309232</v>
      </c>
      <c r="O319" s="37">
        <f t="shared" si="153"/>
        <v>0.10695677672059085</v>
      </c>
      <c r="P319" s="36"/>
      <c r="Q319" s="38">
        <f t="shared" si="131"/>
        <v>55.644851036878812</v>
      </c>
      <c r="R319" s="36"/>
      <c r="S319" s="36"/>
      <c r="T319" s="72">
        <f>AVERAGE(T316:T318)</f>
        <v>25.583926161817889</v>
      </c>
      <c r="U319" s="35"/>
      <c r="V319" s="35">
        <f>AVERAGE(V316:V318)</f>
        <v>1963.193879203325</v>
      </c>
      <c r="W319" s="36"/>
      <c r="X319" s="72">
        <f>AVERAGE(X316:X318)</f>
        <v>42.365358665731094</v>
      </c>
      <c r="Y319" s="35">
        <f>AVERAGE(Y316:Y318)</f>
        <v>149.68640362713876</v>
      </c>
      <c r="Z319" s="215">
        <f>AVERAGE(Z316:Z318)</f>
        <v>9.1732876342635059</v>
      </c>
      <c r="AA319" s="215"/>
      <c r="AB319" s="215"/>
      <c r="AC319" s="215"/>
      <c r="AD319" s="72">
        <f>AVERAGE(AD316:AD318)</f>
        <v>1</v>
      </c>
      <c r="AE319" s="35">
        <f>AVERAGE(AE316:AE318)</f>
        <v>132.30096615749986</v>
      </c>
      <c r="AF319" s="35">
        <f>AVERAGE(AF316:AF318)</f>
        <v>123.17806444648349</v>
      </c>
      <c r="AG319" s="35">
        <f>AVERAGE(AG316:AG318)</f>
        <v>123.17806444648349</v>
      </c>
      <c r="AH319" s="35"/>
      <c r="AI319" s="35"/>
      <c r="AJ319" s="34">
        <f t="shared" ref="AJ319:BF319" si="154">AVERAGE(AJ316:AJ318)</f>
        <v>0.116392832082906</v>
      </c>
      <c r="AK319" s="35">
        <f t="shared" si="154"/>
        <v>126.6580666054947</v>
      </c>
      <c r="AL319" s="34">
        <f t="shared" si="154"/>
        <v>9.9392313920224531</v>
      </c>
      <c r="AM319" s="34">
        <f t="shared" si="154"/>
        <v>26.231375829869915</v>
      </c>
      <c r="AN319" s="34" t="e">
        <f t="shared" si="154"/>
        <v>#DIV/0!</v>
      </c>
      <c r="AO319" s="34">
        <f t="shared" si="154"/>
        <v>14.808161062233498</v>
      </c>
      <c r="AP319" s="34">
        <f t="shared" si="154"/>
        <v>4.6053629837534409</v>
      </c>
      <c r="AQ319" s="34">
        <f t="shared" si="154"/>
        <v>0.99335413180763199</v>
      </c>
      <c r="AR319" s="34" t="e">
        <f t="shared" si="154"/>
        <v>#DIV/0!</v>
      </c>
      <c r="AS319" s="34">
        <f t="shared" si="154"/>
        <v>0.90305089868840061</v>
      </c>
      <c r="AT319" s="34" t="e">
        <f t="shared" si="154"/>
        <v>#DIV/0!</v>
      </c>
      <c r="AU319" s="34" t="e">
        <f t="shared" si="154"/>
        <v>#DIV/0!</v>
      </c>
      <c r="AV319" s="34" t="e">
        <f t="shared" si="154"/>
        <v>#DIV/0!</v>
      </c>
      <c r="AW319" s="34" t="e">
        <f t="shared" si="154"/>
        <v>#DIV/0!</v>
      </c>
      <c r="AX319" s="34">
        <f t="shared" si="154"/>
        <v>3.147480973714039</v>
      </c>
      <c r="AY319" s="34">
        <f t="shared" si="154"/>
        <v>0.43110724888001295</v>
      </c>
      <c r="AZ319" s="34">
        <f t="shared" si="154"/>
        <v>3.2722464511253846</v>
      </c>
      <c r="BA319" s="34">
        <f t="shared" si="154"/>
        <v>0.40369622712797543</v>
      </c>
      <c r="BB319" s="72">
        <f t="shared" si="154"/>
        <v>7.6169914179305881E-2</v>
      </c>
      <c r="BC319" s="72">
        <f t="shared" si="154"/>
        <v>3.558903222324175</v>
      </c>
      <c r="BD319" s="72">
        <f t="shared" si="154"/>
        <v>1.8272197333621201</v>
      </c>
      <c r="BE319" s="34">
        <f t="shared" si="154"/>
        <v>1.5401635450963456</v>
      </c>
      <c r="BF319" s="34">
        <f t="shared" si="154"/>
        <v>0.43246774977060504</v>
      </c>
      <c r="BG319" s="36"/>
      <c r="BH319" s="39"/>
      <c r="BJ319" s="50"/>
      <c r="BK319" s="50"/>
    </row>
    <row r="320" spans="1:70" x14ac:dyDescent="0.2">
      <c r="A320" s="71"/>
      <c r="I320" s="34"/>
      <c r="L320" s="72"/>
      <c r="M320" s="36"/>
      <c r="N320" s="34"/>
      <c r="Q320" s="38" t="e">
        <f t="shared" si="131"/>
        <v>#DIV/0!</v>
      </c>
      <c r="T320" s="72"/>
      <c r="V320" s="35"/>
      <c r="X320" s="72"/>
      <c r="Y320" s="35"/>
      <c r="Z320" s="35"/>
      <c r="AB320" s="36"/>
      <c r="AC320" s="36"/>
      <c r="AD320" s="72"/>
      <c r="AE320" s="35"/>
      <c r="AF320" s="35"/>
      <c r="AG320" s="35"/>
      <c r="AH320" s="72"/>
      <c r="AI320" s="36"/>
      <c r="AJ320" s="36"/>
      <c r="AK320" s="35"/>
      <c r="AL320" s="34"/>
      <c r="AM320" s="72"/>
      <c r="AO320" s="72"/>
      <c r="AP320" s="34"/>
      <c r="AQ320" s="37"/>
      <c r="AS320" s="34"/>
      <c r="AX320" s="34"/>
      <c r="AY320" s="36"/>
      <c r="AZ320" s="34"/>
      <c r="BA320" s="34"/>
      <c r="BB320" s="72"/>
      <c r="BC320" s="72"/>
      <c r="BD320" s="72"/>
      <c r="BE320" s="34"/>
      <c r="BF320" s="34"/>
      <c r="BG320" s="36"/>
      <c r="BH320" s="39"/>
      <c r="BJ320" s="50"/>
      <c r="BK320" s="50"/>
    </row>
    <row r="321" spans="1:70" x14ac:dyDescent="0.2">
      <c r="A321" s="71" t="s">
        <v>48</v>
      </c>
      <c r="B321" s="36"/>
      <c r="C321" s="50" t="s">
        <v>717</v>
      </c>
      <c r="E321" s="34"/>
      <c r="F321" s="34"/>
      <c r="G321" s="34"/>
      <c r="H321" s="49">
        <f>V321*1.4616/10000</f>
        <v>0.1556555255120399</v>
      </c>
      <c r="I321" s="34">
        <v>7.5615139254429033</v>
      </c>
      <c r="J321" s="37"/>
      <c r="K321" s="34"/>
      <c r="L321" s="72" t="s">
        <v>80</v>
      </c>
      <c r="M321" s="36">
        <v>0.48448595671131711</v>
      </c>
      <c r="N321" s="37">
        <v>0.10002592607141456</v>
      </c>
      <c r="Q321" s="38">
        <f t="shared" si="131"/>
        <v>0</v>
      </c>
      <c r="T321" s="34">
        <v>15.516340495737914</v>
      </c>
      <c r="V321" s="35">
        <v>1064.9666496444986</v>
      </c>
      <c r="X321" s="72">
        <v>26.703818203244687</v>
      </c>
      <c r="Y321" s="35">
        <v>233.3243508661665</v>
      </c>
      <c r="Z321" s="35">
        <v>12.30992654279766</v>
      </c>
      <c r="AB321" s="36">
        <v>9.0080920768354486E-2</v>
      </c>
      <c r="AC321" s="36">
        <v>0.48741485642455917</v>
      </c>
      <c r="AD321" s="72">
        <v>1</v>
      </c>
      <c r="AE321" s="35">
        <v>164.89236752170328</v>
      </c>
      <c r="AF321" s="35">
        <v>111.14789645284205</v>
      </c>
      <c r="AG321" s="35">
        <v>111.14789645284205</v>
      </c>
      <c r="AH321" s="72"/>
      <c r="AI321" s="36">
        <v>1.9176218721766114E-2</v>
      </c>
      <c r="AJ321" s="36">
        <v>9.0806457948697794E-2</v>
      </c>
      <c r="AK321" s="35">
        <v>122.86950544054682</v>
      </c>
      <c r="AL321" s="34">
        <v>8.3948819578112115</v>
      </c>
      <c r="AM321" s="72">
        <v>21.908422045017087</v>
      </c>
      <c r="AO321" s="72">
        <v>12.433291432611856</v>
      </c>
      <c r="AP321" s="34">
        <v>3.921663982401697</v>
      </c>
      <c r="AQ321" s="37">
        <v>1.121375024551204</v>
      </c>
      <c r="AS321" s="34">
        <v>0.77312444514278977</v>
      </c>
      <c r="AX321" s="34">
        <v>2.7051643948619239</v>
      </c>
      <c r="AY321" s="36">
        <v>0.37595702557253408</v>
      </c>
      <c r="AZ321" s="34">
        <v>2.8725914286836631</v>
      </c>
      <c r="BA321" s="34">
        <v>0.36020795851828569</v>
      </c>
      <c r="BB321" s="72">
        <v>2.4150528341909887E-2</v>
      </c>
      <c r="BC321" s="72">
        <v>7.1501237380681149</v>
      </c>
      <c r="BD321" s="72">
        <v>4.2503712142043444</v>
      </c>
      <c r="BE321" s="34">
        <v>1.2614129708920927</v>
      </c>
      <c r="BF321" s="34">
        <v>0.35383430883450523</v>
      </c>
      <c r="BG321" s="210">
        <v>254.57</v>
      </c>
      <c r="BH321" s="39"/>
      <c r="BJ321" s="50"/>
      <c r="BK321" s="50"/>
    </row>
    <row r="322" spans="1:70" x14ac:dyDescent="0.2">
      <c r="A322" s="71" t="s">
        <v>48</v>
      </c>
      <c r="C322" s="50" t="s">
        <v>700</v>
      </c>
      <c r="E322" s="38">
        <v>46.057459088178611</v>
      </c>
      <c r="F322" s="38">
        <v>0.52477084627375015</v>
      </c>
      <c r="G322" s="38">
        <v>23.894610307645628</v>
      </c>
      <c r="H322" s="49">
        <v>0.1556555255120399</v>
      </c>
      <c r="I322" s="38">
        <v>7.5615139254429033</v>
      </c>
      <c r="J322" s="49">
        <v>0.1049827624894645</v>
      </c>
      <c r="K322" s="38">
        <v>6.8233026883563506</v>
      </c>
      <c r="L322" s="38">
        <v>14.376625012377458</v>
      </c>
      <c r="M322" s="49">
        <v>0.48448595671131711</v>
      </c>
      <c r="N322" s="49">
        <v>9.2533470302073401E-2</v>
      </c>
      <c r="O322" s="49">
        <v>6.6980396793894253E-2</v>
      </c>
      <c r="Q322" s="38">
        <f t="shared" si="131"/>
        <v>61.664839791297126</v>
      </c>
      <c r="R322" s="49"/>
      <c r="S322" s="39"/>
      <c r="T322" s="39"/>
      <c r="V322" s="76"/>
      <c r="W322" s="76"/>
      <c r="Z322" s="76"/>
      <c r="AA322" s="76"/>
      <c r="AB322" s="76"/>
      <c r="AC322" s="76"/>
      <c r="AD322" s="39"/>
      <c r="AE322" s="39"/>
      <c r="AF322" s="76"/>
      <c r="AG322" s="76"/>
      <c r="AH322" s="76"/>
      <c r="AI322" s="76"/>
      <c r="AL322" s="76"/>
      <c r="AM322" s="38"/>
      <c r="AN322" s="38"/>
      <c r="AO322" s="39"/>
      <c r="AP322" s="39"/>
      <c r="AQ322" s="38"/>
      <c r="AR322" s="38"/>
      <c r="AS322" s="49"/>
      <c r="AT322" s="49"/>
      <c r="AU322" s="49"/>
      <c r="AV322" s="49"/>
      <c r="AW322" s="49"/>
      <c r="AX322" s="49"/>
      <c r="AZ322" s="49"/>
      <c r="BA322" s="38"/>
      <c r="BB322" s="38"/>
      <c r="BC322" s="38"/>
      <c r="BD322" s="39"/>
      <c r="BE322" s="39"/>
      <c r="BF322" s="38"/>
      <c r="BG322" s="38"/>
      <c r="BH322" s="39"/>
      <c r="BJ322" s="50"/>
      <c r="BK322" s="50"/>
    </row>
    <row r="323" spans="1:70" x14ac:dyDescent="0.2">
      <c r="A323" s="71" t="s">
        <v>48</v>
      </c>
      <c r="Q323" s="38" t="e">
        <f t="shared" ref="Q323:Q386" si="155">100*(K323/40.304)/(K323/40.304+I323/71.846)</f>
        <v>#DIV/0!</v>
      </c>
      <c r="R323" s="49"/>
      <c r="S323" s="39"/>
      <c r="T323" s="39"/>
      <c r="V323" s="76"/>
      <c r="W323" s="76"/>
      <c r="Z323" s="76"/>
      <c r="AA323" s="76"/>
      <c r="AB323" s="76"/>
      <c r="AC323" s="76"/>
      <c r="AD323" s="39"/>
      <c r="AE323" s="39"/>
      <c r="AF323" s="76"/>
      <c r="AG323" s="76"/>
      <c r="AH323" s="76"/>
      <c r="AI323" s="76"/>
      <c r="AL323" s="76"/>
      <c r="AM323" s="38"/>
      <c r="AN323" s="38"/>
      <c r="AO323" s="39"/>
      <c r="AP323" s="39"/>
      <c r="AQ323" s="38"/>
      <c r="AR323" s="38"/>
      <c r="AS323" s="49"/>
      <c r="AT323" s="49"/>
      <c r="AU323" s="49"/>
      <c r="AV323" s="49"/>
      <c r="AW323" s="49"/>
      <c r="AX323" s="49"/>
      <c r="AZ323" s="49"/>
      <c r="BA323" s="38"/>
      <c r="BB323" s="38"/>
      <c r="BC323" s="38"/>
      <c r="BD323" s="39"/>
      <c r="BE323" s="39"/>
      <c r="BF323" s="38"/>
      <c r="BG323" s="38"/>
      <c r="BH323" s="39"/>
      <c r="BJ323" s="50"/>
      <c r="BK323" s="50"/>
    </row>
    <row r="324" spans="1:70" x14ac:dyDescent="0.2">
      <c r="A324" s="71" t="s">
        <v>48</v>
      </c>
      <c r="B324" s="36" t="s">
        <v>279</v>
      </c>
      <c r="E324" s="34">
        <f t="shared" ref="E324:O324" si="156">AVERAGE(E321:E323)</f>
        <v>46.057459088178611</v>
      </c>
      <c r="F324" s="34">
        <f t="shared" si="156"/>
        <v>0.52477084627375015</v>
      </c>
      <c r="G324" s="34">
        <f t="shared" si="156"/>
        <v>23.894610307645628</v>
      </c>
      <c r="H324" s="37">
        <f t="shared" si="156"/>
        <v>0.1556555255120399</v>
      </c>
      <c r="I324" s="34">
        <f t="shared" si="156"/>
        <v>7.5615139254429033</v>
      </c>
      <c r="J324" s="37">
        <f t="shared" si="156"/>
        <v>0.1049827624894645</v>
      </c>
      <c r="K324" s="34">
        <f t="shared" si="156"/>
        <v>6.8233026883563506</v>
      </c>
      <c r="L324" s="34">
        <f t="shared" si="156"/>
        <v>14.376625012377458</v>
      </c>
      <c r="M324" s="37">
        <f t="shared" si="156"/>
        <v>0.48448595671131711</v>
      </c>
      <c r="N324" s="37">
        <f t="shared" si="156"/>
        <v>9.6279698186743978E-2</v>
      </c>
      <c r="O324" s="37">
        <f t="shared" si="156"/>
        <v>6.6980396793894253E-2</v>
      </c>
      <c r="P324" s="36"/>
      <c r="Q324" s="38">
        <f t="shared" si="155"/>
        <v>61.664839791297126</v>
      </c>
      <c r="R324" s="36"/>
      <c r="S324" s="36"/>
      <c r="T324" s="72">
        <f>AVERAGE(T321:T323)</f>
        <v>15.516340495737914</v>
      </c>
      <c r="U324" s="35"/>
      <c r="V324" s="35">
        <f>AVERAGE(V321:V323)</f>
        <v>1064.9666496444986</v>
      </c>
      <c r="W324" s="36"/>
      <c r="X324" s="72">
        <f>AVERAGE(X321:X323)</f>
        <v>26.703818203244687</v>
      </c>
      <c r="Y324" s="35">
        <f>AVERAGE(Y321:Y323)</f>
        <v>233.3243508661665</v>
      </c>
      <c r="Z324" s="215">
        <f>AVERAGE(Z321:Z323)</f>
        <v>12.30992654279766</v>
      </c>
      <c r="AA324" s="215"/>
      <c r="AB324" s="215"/>
      <c r="AC324" s="215"/>
      <c r="AD324" s="72">
        <f>AVERAGE(AD321:AD323)</f>
        <v>1</v>
      </c>
      <c r="AE324" s="35">
        <f>AVERAGE(AE321:AE323)</f>
        <v>164.89236752170328</v>
      </c>
      <c r="AF324" s="35">
        <f>AVERAGE(AF321:AF323)</f>
        <v>111.14789645284205</v>
      </c>
      <c r="AG324" s="35">
        <f>AVERAGE(AG321:AG323)</f>
        <v>111.14789645284205</v>
      </c>
      <c r="AH324" s="35"/>
      <c r="AI324" s="35"/>
      <c r="AJ324" s="34">
        <f t="shared" ref="AJ324:BF324" si="157">AVERAGE(AJ321:AJ323)</f>
        <v>9.0806457948697794E-2</v>
      </c>
      <c r="AK324" s="35">
        <f t="shared" si="157"/>
        <v>122.86950544054682</v>
      </c>
      <c r="AL324" s="34">
        <f t="shared" si="157"/>
        <v>8.3948819578112115</v>
      </c>
      <c r="AM324" s="34">
        <f t="shared" si="157"/>
        <v>21.908422045017087</v>
      </c>
      <c r="AN324" s="34" t="e">
        <f t="shared" si="157"/>
        <v>#DIV/0!</v>
      </c>
      <c r="AO324" s="34">
        <f t="shared" si="157"/>
        <v>12.433291432611856</v>
      </c>
      <c r="AP324" s="34">
        <f t="shared" si="157"/>
        <v>3.921663982401697</v>
      </c>
      <c r="AQ324" s="34">
        <f t="shared" si="157"/>
        <v>1.121375024551204</v>
      </c>
      <c r="AR324" s="34" t="e">
        <f t="shared" si="157"/>
        <v>#DIV/0!</v>
      </c>
      <c r="AS324" s="34">
        <f t="shared" si="157"/>
        <v>0.77312444514278977</v>
      </c>
      <c r="AT324" s="34" t="e">
        <f t="shared" si="157"/>
        <v>#DIV/0!</v>
      </c>
      <c r="AU324" s="34" t="e">
        <f t="shared" si="157"/>
        <v>#DIV/0!</v>
      </c>
      <c r="AV324" s="34" t="e">
        <f t="shared" si="157"/>
        <v>#DIV/0!</v>
      </c>
      <c r="AW324" s="34" t="e">
        <f t="shared" si="157"/>
        <v>#DIV/0!</v>
      </c>
      <c r="AX324" s="34">
        <f t="shared" si="157"/>
        <v>2.7051643948619239</v>
      </c>
      <c r="AY324" s="34">
        <f t="shared" si="157"/>
        <v>0.37595702557253408</v>
      </c>
      <c r="AZ324" s="34">
        <f t="shared" si="157"/>
        <v>2.8725914286836631</v>
      </c>
      <c r="BA324" s="34">
        <f t="shared" si="157"/>
        <v>0.36020795851828569</v>
      </c>
      <c r="BB324" s="72">
        <f t="shared" si="157"/>
        <v>2.4150528341909887E-2</v>
      </c>
      <c r="BC324" s="72">
        <f t="shared" si="157"/>
        <v>7.1501237380681149</v>
      </c>
      <c r="BD324" s="72">
        <f t="shared" si="157"/>
        <v>4.2503712142043444</v>
      </c>
      <c r="BE324" s="34">
        <f t="shared" si="157"/>
        <v>1.2614129708920927</v>
      </c>
      <c r="BF324" s="34">
        <f t="shared" si="157"/>
        <v>0.35383430883450523</v>
      </c>
      <c r="BG324" s="38"/>
      <c r="BH324" s="39"/>
      <c r="BJ324" s="50"/>
      <c r="BK324" s="50"/>
    </row>
    <row r="325" spans="1:70" x14ac:dyDescent="0.2">
      <c r="A325" s="71"/>
      <c r="Q325" s="38" t="e">
        <f t="shared" si="155"/>
        <v>#DIV/0!</v>
      </c>
      <c r="R325" s="49"/>
      <c r="S325" s="39"/>
      <c r="T325" s="39"/>
      <c r="V325" s="76"/>
      <c r="W325" s="76"/>
      <c r="Z325" s="76"/>
      <c r="AA325" s="76"/>
      <c r="AB325" s="76"/>
      <c r="AC325" s="76"/>
      <c r="AD325" s="39"/>
      <c r="AE325" s="39"/>
      <c r="AF325" s="76"/>
      <c r="AG325" s="76"/>
      <c r="AH325" s="76"/>
      <c r="AI325" s="76"/>
      <c r="AL325" s="76"/>
      <c r="AM325" s="38"/>
      <c r="AN325" s="38"/>
      <c r="AO325" s="39"/>
      <c r="AP325" s="39"/>
      <c r="AQ325" s="38"/>
      <c r="AR325" s="38"/>
      <c r="AS325" s="49"/>
      <c r="AT325" s="49"/>
      <c r="AU325" s="49"/>
      <c r="AV325" s="49"/>
      <c r="AW325" s="49"/>
      <c r="AX325" s="49"/>
      <c r="AZ325" s="49"/>
      <c r="BA325" s="38"/>
      <c r="BB325" s="38"/>
      <c r="BC325" s="38"/>
      <c r="BD325" s="39"/>
      <c r="BE325" s="39"/>
      <c r="BF325" s="38"/>
      <c r="BG325" s="38"/>
      <c r="BH325" s="39"/>
      <c r="BJ325" s="50"/>
      <c r="BK325" s="50"/>
    </row>
    <row r="326" spans="1:70" x14ac:dyDescent="0.2">
      <c r="A326" s="77"/>
      <c r="B326" s="36"/>
      <c r="E326" s="34"/>
      <c r="F326" s="34"/>
      <c r="G326" s="34"/>
      <c r="H326" s="37"/>
      <c r="I326" s="34"/>
      <c r="J326" s="37"/>
      <c r="K326" s="34"/>
      <c r="L326" s="34"/>
      <c r="M326" s="37"/>
      <c r="N326" s="37"/>
      <c r="O326" s="37"/>
      <c r="P326" s="36"/>
      <c r="Q326" s="38" t="e">
        <f t="shared" si="155"/>
        <v>#DIV/0!</v>
      </c>
      <c r="R326" s="36"/>
      <c r="S326" s="36"/>
      <c r="T326" s="72"/>
      <c r="U326" s="35"/>
      <c r="V326" s="35"/>
      <c r="W326" s="36"/>
      <c r="X326" s="72"/>
      <c r="Y326" s="35"/>
      <c r="Z326" s="215"/>
      <c r="AA326" s="215"/>
      <c r="AB326" s="215"/>
      <c r="AC326" s="215"/>
      <c r="AD326" s="72"/>
      <c r="AE326" s="35"/>
      <c r="AF326" s="36"/>
      <c r="AG326" s="35"/>
      <c r="AH326" s="35"/>
      <c r="AI326" s="35"/>
      <c r="AJ326" s="34"/>
      <c r="AK326" s="35"/>
      <c r="AL326" s="34"/>
      <c r="AM326" s="72"/>
      <c r="AN326" s="72"/>
      <c r="AO326" s="72"/>
      <c r="AP326" s="34"/>
      <c r="AQ326" s="37"/>
      <c r="AR326" s="36"/>
      <c r="AS326" s="37"/>
      <c r="AT326" s="36"/>
      <c r="AU326" s="36"/>
      <c r="AV326" s="36"/>
      <c r="AW326" s="36"/>
      <c r="AX326" s="34"/>
      <c r="AY326" s="37"/>
      <c r="AZ326" s="34"/>
      <c r="BA326" s="34"/>
      <c r="BB326" s="72"/>
      <c r="BC326" s="72"/>
      <c r="BD326" s="72"/>
      <c r="BE326" s="34"/>
      <c r="BF326" s="34"/>
      <c r="BG326" s="38"/>
      <c r="BH326" s="39"/>
      <c r="BJ326" s="50"/>
      <c r="BK326" s="50"/>
    </row>
    <row r="327" spans="1:70" x14ac:dyDescent="0.2">
      <c r="A327" s="71"/>
      <c r="Q327" s="38" t="e">
        <f t="shared" si="155"/>
        <v>#DIV/0!</v>
      </c>
      <c r="R327" s="49"/>
      <c r="S327" s="39"/>
      <c r="T327" s="39"/>
      <c r="V327" s="76"/>
      <c r="W327" s="76"/>
      <c r="Z327" s="76"/>
      <c r="AA327" s="76"/>
      <c r="AB327" s="76"/>
      <c r="AC327" s="76"/>
      <c r="AD327" s="39"/>
      <c r="AE327" s="39"/>
      <c r="AF327" s="76"/>
      <c r="AG327" s="76"/>
      <c r="AH327" s="76"/>
      <c r="AI327" s="76"/>
      <c r="AL327" s="76"/>
      <c r="AM327" s="38"/>
      <c r="AN327" s="38"/>
      <c r="AO327" s="39"/>
      <c r="AP327" s="39"/>
      <c r="AQ327" s="38"/>
      <c r="AR327" s="38"/>
      <c r="AS327" s="49"/>
      <c r="AT327" s="49"/>
      <c r="AU327" s="49"/>
      <c r="AV327" s="49"/>
      <c r="AW327" s="49"/>
      <c r="AX327" s="49"/>
      <c r="AZ327" s="49"/>
      <c r="BA327" s="38"/>
      <c r="BB327" s="38"/>
      <c r="BC327" s="38"/>
      <c r="BD327" s="39"/>
      <c r="BE327" s="39"/>
      <c r="BF327" s="38"/>
      <c r="BG327" s="38"/>
      <c r="BH327" s="39"/>
      <c r="BJ327" s="50"/>
      <c r="BK327" s="50"/>
    </row>
    <row r="328" spans="1:70" x14ac:dyDescent="0.2">
      <c r="A328" s="71"/>
      <c r="Q328" s="38" t="e">
        <f t="shared" si="155"/>
        <v>#DIV/0!</v>
      </c>
      <c r="R328" s="49"/>
      <c r="S328" s="39"/>
      <c r="T328" s="39"/>
      <c r="V328" s="76"/>
      <c r="W328" s="76"/>
      <c r="Z328" s="76"/>
      <c r="AA328" s="76"/>
      <c r="AB328" s="76"/>
      <c r="AC328" s="76"/>
      <c r="AD328" s="39"/>
      <c r="AE328" s="39"/>
      <c r="AF328" s="76"/>
      <c r="AG328" s="76"/>
      <c r="AH328" s="76"/>
      <c r="AI328" s="76"/>
      <c r="AL328" s="76"/>
      <c r="AM328" s="38"/>
      <c r="AN328" s="38"/>
      <c r="AO328" s="39"/>
      <c r="AP328" s="39"/>
      <c r="AQ328" s="38"/>
      <c r="AR328" s="38"/>
      <c r="AS328" s="49"/>
      <c r="AT328" s="49"/>
      <c r="AU328" s="49"/>
      <c r="AV328" s="49"/>
      <c r="AW328" s="49"/>
      <c r="AX328" s="49"/>
      <c r="AZ328" s="49"/>
      <c r="BA328" s="38"/>
      <c r="BB328" s="38"/>
      <c r="BC328" s="38"/>
      <c r="BD328" s="39"/>
      <c r="BE328" s="39"/>
      <c r="BF328" s="38"/>
      <c r="BG328" s="38"/>
      <c r="BH328" s="39"/>
      <c r="BJ328" s="50"/>
      <c r="BK328" s="50"/>
    </row>
    <row r="329" spans="1:70" x14ac:dyDescent="0.2">
      <c r="A329" s="71"/>
      <c r="Q329" s="38" t="e">
        <f t="shared" si="155"/>
        <v>#DIV/0!</v>
      </c>
      <c r="R329" s="49"/>
      <c r="S329" s="39"/>
      <c r="T329" s="39"/>
      <c r="V329" s="76"/>
      <c r="W329" s="76"/>
      <c r="Z329" s="76"/>
      <c r="AA329" s="76"/>
      <c r="AB329" s="76"/>
      <c r="AC329" s="76"/>
      <c r="AD329" s="39"/>
      <c r="AE329" s="39"/>
      <c r="AF329" s="76"/>
      <c r="AG329" s="76"/>
      <c r="AH329" s="76"/>
      <c r="AI329" s="76"/>
      <c r="AL329" s="76"/>
      <c r="AM329" s="38"/>
      <c r="AN329" s="38"/>
      <c r="AO329" s="39"/>
      <c r="AP329" s="39"/>
      <c r="AQ329" s="38"/>
      <c r="AR329" s="38"/>
      <c r="AS329" s="49"/>
      <c r="AT329" s="49"/>
      <c r="AU329" s="49"/>
      <c r="AV329" s="49"/>
      <c r="AW329" s="49"/>
      <c r="AX329" s="49"/>
      <c r="AZ329" s="49"/>
      <c r="BA329" s="38"/>
      <c r="BB329" s="38"/>
      <c r="BC329" s="38"/>
      <c r="BD329" s="39"/>
      <c r="BE329" s="39"/>
      <c r="BF329" s="38"/>
      <c r="BG329" s="38"/>
      <c r="BH329" s="39"/>
      <c r="BJ329" s="50"/>
      <c r="BK329" s="50"/>
    </row>
    <row r="330" spans="1:70" x14ac:dyDescent="0.2">
      <c r="A330" s="71" t="s">
        <v>1229</v>
      </c>
      <c r="B330" s="50" t="s">
        <v>717</v>
      </c>
      <c r="H330" s="49">
        <f>V330*1.4616/10000</f>
        <v>0.238794466107354</v>
      </c>
      <c r="I330" s="192">
        <v>21.095337904942067</v>
      </c>
      <c r="L330" s="343" t="s">
        <v>9</v>
      </c>
      <c r="M330" s="209">
        <v>0.2954689051785292</v>
      </c>
      <c r="Q330" s="38">
        <f t="shared" si="155"/>
        <v>0</v>
      </c>
      <c r="R330" s="49"/>
      <c r="T330" s="193">
        <v>92.590565145424449</v>
      </c>
      <c r="V330" s="194">
        <v>1633.7880822889572</v>
      </c>
      <c r="W330" s="76"/>
      <c r="X330" s="193">
        <v>22.173685268384961</v>
      </c>
      <c r="Y330" s="194">
        <v>31.871837313785768</v>
      </c>
      <c r="Z330" s="76"/>
      <c r="AA330" s="76"/>
      <c r="AB330" s="76"/>
      <c r="AC330" s="76"/>
      <c r="AD330" s="39"/>
      <c r="AE330" s="76">
        <v>143.25112319697328</v>
      </c>
      <c r="AF330" s="291">
        <f>1560*10^((LOG10(AU330/55.6)+LOG10(AV330/158.9))/2)</f>
        <v>31.43953812228877</v>
      </c>
      <c r="AG330" s="76">
        <v>86.720974225585238</v>
      </c>
      <c r="AH330" s="76"/>
      <c r="AI330" s="76"/>
      <c r="AJ330" s="38">
        <v>9.1664696145660918E-2</v>
      </c>
      <c r="AK330" s="76">
        <v>58.324000945850081</v>
      </c>
      <c r="AL330" s="38">
        <v>3.1307611728541027</v>
      </c>
      <c r="AM330" s="38">
        <v>8.2167155355876105</v>
      </c>
      <c r="AN330" s="199">
        <f>89.1*EXP((LN(AL330/234.7)+2*LN(AO330/452.4))/3)</f>
        <v>1.2527860288552872</v>
      </c>
      <c r="AO330" s="39">
        <v>6.5305982501773467</v>
      </c>
      <c r="AP330" s="39">
        <v>2.7929438401513371</v>
      </c>
      <c r="AQ330" s="38">
        <v>0.99255828801135026</v>
      </c>
      <c r="AR330" s="200">
        <f>AVERAGE(BP330:BR330)</f>
        <v>4.1428442056003592</v>
      </c>
      <c r="AS330" s="49">
        <v>0.75974131000236467</v>
      </c>
      <c r="AT330" s="200">
        <f>(242.7*10^((4*LOG10(AS330/36.3)+LOG10(AX330/162.5))/5)+242.7*10^((4*LOG10(AP330/147.1)+4*LOG10(AX330/162.5))/8))/2</f>
        <v>4.8935745894118137</v>
      </c>
      <c r="AU330" s="200">
        <f>(55.6*10^((3*LOG10(AS330/36.3)+2*LOG10(AX330/162.5))/5)+55.6*10^((3*LOG10(AP330/147.1)+5*LOG10(AX330/162.5))/8))/2</f>
        <v>1.1206924582315261</v>
      </c>
      <c r="AV330" s="200">
        <f>(158.9*10^((2*LOG10(AS330/36.3)+3*LOG10(AX330/162.5))/5)+158.9*10^((2*LOG10(AP330/147.1)+6*LOG10(AX330/162.5))/8))/2</f>
        <v>3.2019559810400997</v>
      </c>
      <c r="AW330" s="201">
        <f>(24.2*10^((LOG10(AS330/36.3)+4*LOG10(AX330/162.5))/5)+24.2*10^((LOG10(AP330/147.1)+7*LOG10(AX330/162.5))/8))/2</f>
        <v>0.48754108057063156</v>
      </c>
      <c r="AX330" s="49">
        <v>3.2732426105462289</v>
      </c>
      <c r="AY330" s="49">
        <v>0.50213809411208321</v>
      </c>
      <c r="AZ330" s="49">
        <v>2.1409628753842513</v>
      </c>
      <c r="BA330" s="38">
        <v>0.30165689288247816</v>
      </c>
      <c r="BB330" s="38">
        <v>0.163797588082289</v>
      </c>
      <c r="BC330" s="38">
        <v>0.41695436273350678</v>
      </c>
      <c r="BD330" s="39">
        <v>0.30554741073539848</v>
      </c>
      <c r="BE330" s="38">
        <v>0.46013880349964525</v>
      </c>
      <c r="BF330" s="38">
        <v>0.14008607235753134</v>
      </c>
      <c r="BG330" s="76">
        <v>422.9</v>
      </c>
      <c r="BH330" s="39"/>
      <c r="BJ330" s="50"/>
      <c r="BK330" s="50"/>
      <c r="BP330" s="116">
        <f>196.6*10^(LOG10(AP330/147.1)+(LOG10(AP330/147.1)-LOG10(AL330/234.7))*0.4)</f>
        <v>4.2989076557872457</v>
      </c>
      <c r="BQ330" s="116">
        <f>196.6*10^(LOG10(AP330/147.1)+0.6666*(LOG10(AS330/36.3)-LOG10(AP330/147.1)))</f>
        <v>3.9832412776254382</v>
      </c>
      <c r="BR330" s="116">
        <f>196.6*10^(LOG10(AS330/36.3)-(LOG10(AX330/162.5)-LOG10(AS330/36.3))/5)</f>
        <v>4.1463836833883949</v>
      </c>
    </row>
    <row r="331" spans="1:70" x14ac:dyDescent="0.2">
      <c r="A331" s="71" t="s">
        <v>1229</v>
      </c>
      <c r="B331" s="50" t="s">
        <v>700</v>
      </c>
      <c r="E331" s="38">
        <v>46.788239305055313</v>
      </c>
      <c r="F331" s="38">
        <v>1.8941106049458833</v>
      </c>
      <c r="G331" s="38">
        <v>10.753790456788396</v>
      </c>
      <c r="H331" s="49">
        <v>0.24410778642117117</v>
      </c>
      <c r="I331" s="38">
        <v>21.228185204654366</v>
      </c>
      <c r="J331" s="49">
        <v>0.32252411160519406</v>
      </c>
      <c r="K331" s="38">
        <v>6.0592211311354234</v>
      </c>
      <c r="L331" s="38">
        <v>11.863863880482098</v>
      </c>
      <c r="M331" s="49">
        <v>0.29532605154985653</v>
      </c>
      <c r="N331" s="49">
        <v>2.1576590054513574E-2</v>
      </c>
      <c r="O331" s="49">
        <v>3.9901510377149667E-2</v>
      </c>
      <c r="P331" s="379"/>
      <c r="Q331" s="38">
        <f t="shared" si="155"/>
        <v>33.722743590528886</v>
      </c>
      <c r="R331" s="49"/>
      <c r="S331" s="39"/>
      <c r="T331" s="39"/>
      <c r="V331" s="76"/>
      <c r="W331" s="76"/>
      <c r="Z331" s="76"/>
      <c r="AA331" s="76"/>
      <c r="AB331" s="76"/>
      <c r="AC331" s="76"/>
      <c r="AD331" s="39"/>
      <c r="AE331" s="39"/>
      <c r="AF331" s="76"/>
      <c r="AG331" s="76"/>
      <c r="AH331" s="76"/>
      <c r="AI331" s="76"/>
      <c r="AL331" s="38"/>
      <c r="AM331" s="38"/>
      <c r="AN331" s="38"/>
      <c r="AO331" s="39"/>
      <c r="AP331" s="39"/>
      <c r="AQ331" s="38"/>
      <c r="AR331" s="38"/>
      <c r="AS331" s="49"/>
      <c r="AT331" s="49"/>
      <c r="AU331" s="49"/>
      <c r="AV331" s="49"/>
      <c r="AW331" s="49"/>
      <c r="AX331" s="49"/>
      <c r="AZ331" s="49"/>
      <c r="BA331" s="38"/>
      <c r="BB331" s="38"/>
      <c r="BC331" s="38"/>
      <c r="BD331" s="39"/>
      <c r="BE331" s="38"/>
      <c r="BF331" s="38"/>
      <c r="BG331" s="76">
        <v>422.9</v>
      </c>
      <c r="BH331" s="39"/>
      <c r="BJ331" s="50"/>
      <c r="BK331" s="50"/>
    </row>
    <row r="332" spans="1:70" x14ac:dyDescent="0.2">
      <c r="A332" s="71" t="s">
        <v>1229</v>
      </c>
      <c r="B332" s="2" t="s">
        <v>1527</v>
      </c>
      <c r="E332" s="38">
        <v>47</v>
      </c>
      <c r="F332" s="38">
        <v>1.44</v>
      </c>
      <c r="G332" s="38">
        <v>9.26</v>
      </c>
      <c r="H332" s="49">
        <v>0.33</v>
      </c>
      <c r="I332" s="38">
        <v>22</v>
      </c>
      <c r="J332" s="49">
        <v>0.32</v>
      </c>
      <c r="K332" s="38">
        <v>7.44</v>
      </c>
      <c r="L332" s="38">
        <v>11.8</v>
      </c>
      <c r="M332" s="49">
        <v>0.26</v>
      </c>
      <c r="N332" s="49">
        <v>0.03</v>
      </c>
      <c r="O332" s="49">
        <v>0.05</v>
      </c>
      <c r="P332" s="379">
        <v>0.11</v>
      </c>
      <c r="Q332" s="38">
        <f t="shared" si="155"/>
        <v>37.610883432277276</v>
      </c>
      <c r="R332" s="49"/>
      <c r="S332" s="39"/>
      <c r="T332" s="39">
        <v>93.7</v>
      </c>
      <c r="U332" s="76">
        <v>105</v>
      </c>
      <c r="V332" s="76"/>
      <c r="W332" s="76"/>
      <c r="X332" s="39">
        <v>23.8</v>
      </c>
      <c r="Y332" s="76">
        <v>8.27</v>
      </c>
      <c r="Z332" s="76">
        <v>1.81</v>
      </c>
      <c r="AA332" s="76">
        <v>3.07</v>
      </c>
      <c r="AB332" s="76"/>
      <c r="AC332" s="76"/>
      <c r="AD332" s="39">
        <v>0.56999999999999995</v>
      </c>
      <c r="AE332" s="39">
        <v>113</v>
      </c>
      <c r="AF332" s="76">
        <v>19.7</v>
      </c>
      <c r="AG332" s="76">
        <v>32.299999999999997</v>
      </c>
      <c r="AH332" s="76">
        <v>1.94</v>
      </c>
      <c r="AI332" s="76"/>
      <c r="AJ332" s="38">
        <v>0.02</v>
      </c>
      <c r="AK332" s="76">
        <v>28.4</v>
      </c>
      <c r="AL332" s="38">
        <v>1.87</v>
      </c>
      <c r="AM332" s="38">
        <v>5.28</v>
      </c>
      <c r="AN332" s="38">
        <v>0.81</v>
      </c>
      <c r="AO332" s="39">
        <v>4.59</v>
      </c>
      <c r="AP332" s="39">
        <v>1.87</v>
      </c>
      <c r="AQ332" s="38">
        <v>0.82</v>
      </c>
      <c r="AR332" s="38">
        <v>2.54</v>
      </c>
      <c r="AS332" s="49">
        <v>0.52</v>
      </c>
      <c r="AT332" s="49">
        <v>3.66</v>
      </c>
      <c r="AU332" s="49">
        <v>0.82</v>
      </c>
      <c r="AV332" s="49">
        <v>2.33</v>
      </c>
      <c r="AW332" s="49">
        <v>0.36</v>
      </c>
      <c r="AX332" s="49">
        <v>2.83</v>
      </c>
      <c r="AY332" s="49">
        <v>0.4</v>
      </c>
      <c r="AZ332" s="49">
        <v>1.21</v>
      </c>
      <c r="BA332" s="38">
        <v>0.1</v>
      </c>
      <c r="BB332" s="38">
        <v>0.31</v>
      </c>
      <c r="BC332" s="38"/>
      <c r="BD332" s="39"/>
      <c r="BE332" s="38"/>
      <c r="BF332" s="38"/>
      <c r="BG332" s="76">
        <v>1900</v>
      </c>
      <c r="BH332" s="39"/>
      <c r="BJ332" s="50"/>
      <c r="BK332" s="50"/>
    </row>
    <row r="333" spans="1:70" x14ac:dyDescent="0.2">
      <c r="A333" s="71" t="s">
        <v>1229</v>
      </c>
      <c r="B333" s="50" t="s">
        <v>1257</v>
      </c>
      <c r="E333" s="38">
        <v>48.39</v>
      </c>
      <c r="F333" s="38">
        <v>0.9</v>
      </c>
      <c r="G333" s="38">
        <v>8.85</v>
      </c>
      <c r="H333" s="49">
        <v>0.3</v>
      </c>
      <c r="I333" s="38">
        <v>20.68</v>
      </c>
      <c r="J333" s="49">
        <v>0.33</v>
      </c>
      <c r="K333" s="38">
        <v>7.79</v>
      </c>
      <c r="L333" s="38">
        <v>12.13</v>
      </c>
      <c r="M333" s="49">
        <v>0.21</v>
      </c>
      <c r="N333" s="49">
        <v>0.01</v>
      </c>
      <c r="O333" s="49">
        <v>0.02</v>
      </c>
      <c r="Q333" s="38">
        <f t="shared" si="155"/>
        <v>40.173239525200941</v>
      </c>
      <c r="R333" s="49"/>
      <c r="S333" s="39"/>
      <c r="T333" s="39">
        <v>108.98</v>
      </c>
      <c r="V333" s="76"/>
      <c r="W333" s="76"/>
      <c r="X333" s="39">
        <v>28.07</v>
      </c>
      <c r="Y333" s="76">
        <v>10.98</v>
      </c>
      <c r="Z333" s="76">
        <v>16.91</v>
      </c>
      <c r="AA333" s="76"/>
      <c r="AB333" s="76"/>
      <c r="AC333" s="76"/>
      <c r="AD333" s="39"/>
      <c r="AE333" s="39">
        <v>105</v>
      </c>
      <c r="AF333" s="76"/>
      <c r="AG333" s="76">
        <v>36</v>
      </c>
      <c r="AH333" s="76"/>
      <c r="AI333" s="76"/>
      <c r="AJ333" s="38">
        <v>0.03</v>
      </c>
      <c r="AK333" s="76">
        <v>25.76</v>
      </c>
      <c r="AL333" s="38">
        <v>1.54</v>
      </c>
      <c r="AM333" s="38">
        <v>4.58</v>
      </c>
      <c r="AN333" s="38">
        <v>0.75</v>
      </c>
      <c r="AO333" s="39">
        <v>4.24</v>
      </c>
      <c r="AP333" s="39">
        <v>1.77</v>
      </c>
      <c r="AQ333" s="38">
        <v>0.72</v>
      </c>
      <c r="AR333" s="38">
        <v>2.65</v>
      </c>
      <c r="AS333" s="49">
        <v>0.56000000000000005</v>
      </c>
      <c r="AT333" s="49">
        <v>3.93</v>
      </c>
      <c r="AU333" s="49">
        <v>0.88</v>
      </c>
      <c r="AV333" s="49">
        <v>2.66</v>
      </c>
      <c r="AW333" s="49">
        <v>0.39</v>
      </c>
      <c r="AX333" s="49">
        <v>2.78</v>
      </c>
      <c r="AY333" s="49">
        <v>0.39</v>
      </c>
      <c r="AZ333" s="49">
        <v>1.03</v>
      </c>
      <c r="BA333" s="38">
        <v>0.06</v>
      </c>
      <c r="BB333" s="38"/>
      <c r="BC333" s="38"/>
      <c r="BD333" s="39"/>
      <c r="BE333" s="38">
        <v>0.28000000000000003</v>
      </c>
      <c r="BF333" s="38">
        <v>7.0000000000000007E-2</v>
      </c>
      <c r="BG333" s="76">
        <v>140</v>
      </c>
      <c r="BH333" s="39"/>
      <c r="BJ333" s="50"/>
      <c r="BK333" s="50"/>
    </row>
    <row r="334" spans="1:70" x14ac:dyDescent="0.2">
      <c r="A334" s="77" t="s">
        <v>1229</v>
      </c>
      <c r="E334" s="593">
        <f>(E331*$BG331+E332*$BG332+E333*$BG333)/$BG334</f>
        <v>47.042651509240287</v>
      </c>
      <c r="F334" s="593">
        <f>(F331*$BG331+F332*$BG332+F333*$BG333)/$BG334</f>
        <v>1.4872789698451476</v>
      </c>
      <c r="G334" s="593">
        <f t="shared" ref="G334:O334" si="158">(G331*$BG331+G332*$BG332+G333*$BG333)/$BG334</f>
        <v>9.4931901352778478</v>
      </c>
      <c r="H334" s="593">
        <f t="shared" si="158"/>
        <v>0.3135463002466658</v>
      </c>
      <c r="I334" s="593">
        <f t="shared" si="158"/>
        <v>21.792439613077399</v>
      </c>
      <c r="J334" s="593">
        <f t="shared" si="158"/>
        <v>0.32100184611548849</v>
      </c>
      <c r="K334" s="593">
        <f t="shared" si="158"/>
        <v>7.2228042617877986</v>
      </c>
      <c r="L334" s="593">
        <f t="shared" si="158"/>
        <v>11.829724322975306</v>
      </c>
      <c r="M334" s="594">
        <f t="shared" si="158"/>
        <v>0.26322359300029813</v>
      </c>
      <c r="N334" s="593">
        <f t="shared" si="158"/>
        <v>2.7416760702445815E-2</v>
      </c>
      <c r="O334" s="593">
        <f t="shared" si="158"/>
        <v>4.6560700287667622E-2</v>
      </c>
      <c r="P334" s="36"/>
      <c r="Q334" s="38">
        <f t="shared" si="155"/>
        <v>37.139296623010118</v>
      </c>
      <c r="R334" s="36"/>
      <c r="S334" s="36"/>
      <c r="T334" s="596">
        <f>(T330*$BG330+T332*$BG332+T333*$BG333)/$BG334</f>
        <v>94.378070567217506</v>
      </c>
      <c r="U334" s="35"/>
      <c r="V334" s="35">
        <f>AVERAGE(V330:V333)</f>
        <v>1633.7880822889572</v>
      </c>
      <c r="W334" s="36"/>
      <c r="X334" s="596">
        <f>(X330*$BG330+X332*$BG332+X333*$BG333)/$BG334</f>
        <v>23.76347050225344</v>
      </c>
      <c r="Y334" s="596">
        <f>(Y330*$BG330+Y332*$BG332+Y333*$BG333)/$BG334</f>
        <v>12.47667383978237</v>
      </c>
      <c r="Z334" s="215">
        <f>AVERAGE(Z330:Z333)</f>
        <v>9.36</v>
      </c>
      <c r="AA334" s="215"/>
      <c r="AB334" s="215"/>
      <c r="AC334" s="215"/>
      <c r="AD334" s="72">
        <f>AVERAGE(AD330:AD333)</f>
        <v>0.56999999999999995</v>
      </c>
      <c r="AE334" s="596">
        <f>(AE330*$BG330+AE332*$BG332+AE333*$BG333)/$BG334</f>
        <v>117.73961589995534</v>
      </c>
      <c r="AF334" s="35">
        <f>AVERAGE(AF330:AF333)</f>
        <v>25.569769061144385</v>
      </c>
      <c r="AG334" s="596">
        <f>(AG330*$BG330+AG332*$BG332+AG333*$BG333)/$BG334</f>
        <v>41.854845913354168</v>
      </c>
      <c r="AH334" s="35"/>
      <c r="AI334" s="35"/>
      <c r="AJ334" s="34">
        <f>AVERAGE(AJ330:AJ333)</f>
        <v>4.7221565381886967E-2</v>
      </c>
      <c r="AK334" s="595">
        <f>(AK330*$BG330+AK332*$BG332+AK333*$BG333)/$BG334</f>
        <v>33.38812781680133</v>
      </c>
      <c r="AL334" s="595">
        <f t="shared" ref="AL334:BA334" si="159">(AL330*$BG330+AL332*$BG332+AL333*$BG333)/$BG334</f>
        <v>2.0677245929595194</v>
      </c>
      <c r="AM334" s="595">
        <f t="shared" si="159"/>
        <v>5.7444674976653536</v>
      </c>
      <c r="AN334" s="595">
        <f t="shared" si="159"/>
        <v>0.88261935588245588</v>
      </c>
      <c r="AO334" s="595">
        <f t="shared" si="159"/>
        <v>4.9033212879126236</v>
      </c>
      <c r="AP334" s="595">
        <f t="shared" si="159"/>
        <v>2.0227926225181694</v>
      </c>
      <c r="AQ334" s="597">
        <f t="shared" si="159"/>
        <v>0.84394530837630433</v>
      </c>
      <c r="AR334" s="595">
        <f t="shared" si="159"/>
        <v>2.8214742029917543</v>
      </c>
      <c r="AS334" s="597">
        <f t="shared" si="159"/>
        <v>0.56343927889885903</v>
      </c>
      <c r="AT334" s="595">
        <f t="shared" si="159"/>
        <v>3.8871625700849632</v>
      </c>
      <c r="AU334" s="595">
        <f t="shared" si="159"/>
        <v>0.87504195890458891</v>
      </c>
      <c r="AV334" s="595">
        <f t="shared" si="159"/>
        <v>2.4984803217271745</v>
      </c>
      <c r="AW334" s="595">
        <f t="shared" si="159"/>
        <v>0.38360514960953351</v>
      </c>
      <c r="AX334" s="595">
        <f t="shared" si="159"/>
        <v>2.9032661902635106</v>
      </c>
      <c r="AY334" s="595">
        <f t="shared" si="159"/>
        <v>0.4169695074911689</v>
      </c>
      <c r="AZ334" s="595">
        <f t="shared" si="159"/>
        <v>1.3596220715416785</v>
      </c>
      <c r="BA334" s="595">
        <f t="shared" si="159"/>
        <v>0.13235238945958014</v>
      </c>
      <c r="BB334" s="72">
        <f>AVERAGE(BB330:BB333)</f>
        <v>0.2368987940411445</v>
      </c>
      <c r="BC334" s="72">
        <f>AVERAGE(BC330:BC333)</f>
        <v>0.41695436273350678</v>
      </c>
      <c r="BD334" s="72">
        <f>AVERAGE(BD330:BD333)</f>
        <v>0.30554741073539848</v>
      </c>
      <c r="BE334" s="34">
        <f>AVERAGE(BE330:BE333)</f>
        <v>0.37006940174982261</v>
      </c>
      <c r="BF334" s="34">
        <f>AVERAGE(BF330:BF333)</f>
        <v>0.10504303617876568</v>
      </c>
      <c r="BG334" s="76">
        <f>SUM(BG331:BG333)</f>
        <v>2462.9</v>
      </c>
      <c r="BH334" s="39"/>
      <c r="BJ334" s="50"/>
      <c r="BK334" s="50"/>
    </row>
    <row r="335" spans="1:70" x14ac:dyDescent="0.2">
      <c r="A335" s="71"/>
      <c r="Q335" s="38" t="e">
        <f t="shared" si="155"/>
        <v>#DIV/0!</v>
      </c>
      <c r="R335" s="49"/>
      <c r="S335" s="39"/>
      <c r="T335" s="39"/>
      <c r="V335" s="76"/>
      <c r="W335" s="76"/>
      <c r="Z335" s="76"/>
      <c r="AA335" s="76"/>
      <c r="AB335" s="76"/>
      <c r="AC335" s="76"/>
      <c r="AD335" s="39"/>
      <c r="AE335" s="39"/>
      <c r="AF335" s="76"/>
      <c r="AG335" s="76"/>
      <c r="AH335" s="76"/>
      <c r="AI335" s="76"/>
      <c r="AL335" s="76"/>
      <c r="AM335" s="38"/>
      <c r="AN335" s="38"/>
      <c r="AO335" s="39"/>
      <c r="AP335" s="39"/>
      <c r="AQ335" s="38"/>
      <c r="AR335" s="38"/>
      <c r="AS335" s="49"/>
      <c r="AT335" s="49"/>
      <c r="AU335" s="49"/>
      <c r="AV335" s="49"/>
      <c r="AW335" s="49"/>
      <c r="AX335" s="49"/>
      <c r="AZ335" s="49"/>
      <c r="BA335" s="38"/>
      <c r="BB335" s="38"/>
      <c r="BC335" s="38"/>
      <c r="BD335" s="39"/>
      <c r="BE335" s="39"/>
      <c r="BF335" s="38"/>
      <c r="BG335" s="76"/>
      <c r="BH335" s="39"/>
      <c r="BJ335" s="50"/>
      <c r="BK335" s="50"/>
    </row>
    <row r="336" spans="1:70" x14ac:dyDescent="0.2">
      <c r="A336" s="71"/>
      <c r="Q336" s="38" t="e">
        <f t="shared" si="155"/>
        <v>#DIV/0!</v>
      </c>
      <c r="R336" s="49"/>
      <c r="S336" s="39"/>
      <c r="T336" s="39"/>
      <c r="V336" s="76"/>
      <c r="W336" s="76"/>
      <c r="Z336" s="76"/>
      <c r="AA336" s="76"/>
      <c r="AB336" s="76"/>
      <c r="AC336" s="76"/>
      <c r="AD336" s="39"/>
      <c r="AE336" s="39"/>
      <c r="AF336" s="76"/>
      <c r="AG336" s="76"/>
      <c r="AH336" s="76"/>
      <c r="AI336" s="76"/>
      <c r="AL336" s="76"/>
      <c r="AM336" s="38"/>
      <c r="AN336" s="38"/>
      <c r="AO336" s="39"/>
      <c r="AP336" s="39"/>
      <c r="AQ336" s="38"/>
      <c r="AR336" s="38"/>
      <c r="AS336" s="49"/>
      <c r="AT336" s="49"/>
      <c r="AU336" s="49"/>
      <c r="AV336" s="49"/>
      <c r="AW336" s="49"/>
      <c r="AX336" s="49"/>
      <c r="AZ336" s="49"/>
      <c r="BA336" s="38"/>
      <c r="BB336" s="38"/>
      <c r="BC336" s="38"/>
      <c r="BD336" s="39"/>
      <c r="BE336" s="39"/>
      <c r="BF336" s="38"/>
      <c r="BG336" s="76"/>
      <c r="BH336" s="39"/>
      <c r="BJ336" s="50"/>
      <c r="BK336" s="50"/>
    </row>
    <row r="337" spans="1:70" x14ac:dyDescent="0.2">
      <c r="A337" s="71"/>
      <c r="Q337" s="38" t="e">
        <f t="shared" si="155"/>
        <v>#DIV/0!</v>
      </c>
      <c r="R337" s="49"/>
      <c r="S337" s="39"/>
      <c r="T337" s="39"/>
      <c r="V337" s="76"/>
      <c r="W337" s="76"/>
      <c r="Z337" s="76"/>
      <c r="AA337" s="76"/>
      <c r="AB337" s="76"/>
      <c r="AC337" s="76"/>
      <c r="AD337" s="39"/>
      <c r="AE337" s="39"/>
      <c r="AF337" s="76"/>
      <c r="AG337" s="76"/>
      <c r="AH337" s="76"/>
      <c r="AI337" s="76"/>
      <c r="AL337" s="76"/>
      <c r="AM337" s="38"/>
      <c r="AN337" s="38"/>
      <c r="AO337" s="39"/>
      <c r="AP337" s="39"/>
      <c r="AQ337" s="38"/>
      <c r="AR337" s="38"/>
      <c r="AS337" s="49"/>
      <c r="AT337" s="49"/>
      <c r="AU337" s="49"/>
      <c r="AV337" s="49"/>
      <c r="AW337" s="49"/>
      <c r="AX337" s="49"/>
      <c r="AZ337" s="49"/>
      <c r="BA337" s="38"/>
      <c r="BB337" s="38"/>
      <c r="BC337" s="38"/>
      <c r="BD337" s="39"/>
      <c r="BE337" s="39"/>
      <c r="BF337" s="38"/>
      <c r="BG337" s="76"/>
      <c r="BH337" s="39"/>
      <c r="BJ337" s="50"/>
      <c r="BK337" s="50"/>
    </row>
    <row r="338" spans="1:70" x14ac:dyDescent="0.2">
      <c r="A338" s="71"/>
      <c r="Q338" s="38" t="e">
        <f t="shared" si="155"/>
        <v>#DIV/0!</v>
      </c>
      <c r="R338" s="49"/>
      <c r="S338" s="39"/>
      <c r="T338" s="39"/>
      <c r="V338" s="76"/>
      <c r="W338" s="76"/>
      <c r="Z338" s="76"/>
      <c r="AA338" s="76"/>
      <c r="AB338" s="76"/>
      <c r="AC338" s="76"/>
      <c r="AD338" s="39"/>
      <c r="AE338" s="39"/>
      <c r="AF338" s="76"/>
      <c r="AG338" s="76"/>
      <c r="AH338" s="76"/>
      <c r="AI338" s="76"/>
      <c r="AL338" s="76"/>
      <c r="AM338" s="38"/>
      <c r="AN338" s="38"/>
      <c r="AO338" s="39"/>
      <c r="AP338" s="39"/>
      <c r="AQ338" s="38"/>
      <c r="AR338" s="38"/>
      <c r="AS338" s="49"/>
      <c r="AT338" s="49"/>
      <c r="AU338" s="49"/>
      <c r="AV338" s="49"/>
      <c r="AW338" s="49"/>
      <c r="AX338" s="49"/>
      <c r="AZ338" s="49"/>
      <c r="BA338" s="38"/>
      <c r="BB338" s="38"/>
      <c r="BC338" s="38"/>
      <c r="BD338" s="39"/>
      <c r="BE338" s="39"/>
      <c r="BF338" s="38"/>
      <c r="BG338" s="38"/>
      <c r="BH338" s="39"/>
      <c r="BJ338" s="50"/>
      <c r="BK338" s="50"/>
    </row>
    <row r="339" spans="1:70" x14ac:dyDescent="0.2">
      <c r="A339" s="71" t="s">
        <v>1290</v>
      </c>
      <c r="B339" s="50" t="s">
        <v>717</v>
      </c>
      <c r="H339" s="49">
        <v>0.42069131629677076</v>
      </c>
      <c r="I339" s="38">
        <v>16.430025622668527</v>
      </c>
      <c r="L339" s="38" t="s">
        <v>1308</v>
      </c>
      <c r="M339" s="49">
        <v>0.48472885187836773</v>
      </c>
      <c r="N339" s="49" t="s">
        <v>1309</v>
      </c>
      <c r="Q339" s="38">
        <f t="shared" si="155"/>
        <v>0</v>
      </c>
      <c r="R339" s="49">
        <v>0.48472885187836773</v>
      </c>
      <c r="S339" s="39">
        <v>0.18373337352575456</v>
      </c>
      <c r="T339" s="39">
        <v>53.191182787595615</v>
      </c>
      <c r="V339" s="76">
        <v>2878.2930781114583</v>
      </c>
      <c r="W339" s="76">
        <v>16.430025622668527</v>
      </c>
      <c r="X339" s="39">
        <v>26.291148875240214</v>
      </c>
      <c r="Y339" s="76">
        <v>24.621877237273445</v>
      </c>
      <c r="Z339" s="76"/>
      <c r="AA339" s="76"/>
      <c r="AB339" s="38">
        <v>0.81950714043483186</v>
      </c>
      <c r="AC339" s="38">
        <v>0.53574739063265397</v>
      </c>
      <c r="AD339" s="39">
        <v>2.3961716718791215</v>
      </c>
      <c r="AE339" s="76">
        <v>117.27985229285203</v>
      </c>
      <c r="AF339" s="291">
        <f>1560*10^((LOG10(AU339/55.6)+LOG10(AV339/158.9))/2)</f>
        <v>10.022636170857281</v>
      </c>
      <c r="AG339" s="76">
        <v>20.973284600022609</v>
      </c>
      <c r="AH339" s="76"/>
      <c r="AI339" s="76">
        <v>1.9911451072007241E-2</v>
      </c>
      <c r="AJ339" s="38">
        <v>5.4644862278156688E-2</v>
      </c>
      <c r="AK339" s="76">
        <v>39.229059120539581</v>
      </c>
      <c r="AL339" s="38">
        <v>0.94860356456535655</v>
      </c>
      <c r="AM339" s="38">
        <v>2.4301819963073212</v>
      </c>
      <c r="AN339" s="199">
        <f>89.1*EXP((LN(AL339/234.7)+2*LN(AO339/452.4))/3)</f>
        <v>0.31106159596091798</v>
      </c>
      <c r="AO339" s="39">
        <v>1.467877463355816</v>
      </c>
      <c r="AP339" s="38">
        <v>0.60301394174610956</v>
      </c>
      <c r="AQ339" s="38">
        <v>0.47893628245224013</v>
      </c>
      <c r="AR339" s="200">
        <f>AVERAGE(BP339:BR339)</f>
        <v>0.94051032937292423</v>
      </c>
      <c r="AS339" s="49">
        <v>0.20171709559516182</v>
      </c>
      <c r="AT339" s="200">
        <f>(242.7*10^((4*LOG10(AS339/36.3)+LOG10(AX339/162.5))/5)+242.7*10^((4*LOG10(AP339/147.1)+4*LOG10(AX339/162.5))/8))/2</f>
        <v>1.4006130507935923</v>
      </c>
      <c r="AU339" s="200">
        <f>(55.6*10^((3*LOG10(AS339/36.3)+2*LOG10(AX339/162.5))/5)+55.6*10^((3*LOG10(AP339/147.1)+5*LOG10(AX339/162.5))/8))/2</f>
        <v>0.34465853006810121</v>
      </c>
      <c r="AV339" s="200">
        <f>(158.9*10^((2*LOG10(AS339/36.3)+3*LOG10(AX339/162.5))/5)+158.9*10^((2*LOG10(AP339/147.1)+6*LOG10(AX339/162.5))/8))/2</f>
        <v>1.0580943405701526</v>
      </c>
      <c r="AW339" s="201">
        <f>(24.2*10^((LOG10(AS339/36.3)+4*LOG10(AX339/162.5))/5)+24.2*10^((LOG10(AP339/147.1)+7*LOG10(AX339/162.5))/8))/2</f>
        <v>0.17311014748485459</v>
      </c>
      <c r="AX339" s="49">
        <v>1.24878480726478</v>
      </c>
      <c r="AY339" s="49">
        <v>0.18990312370473644</v>
      </c>
      <c r="AZ339" s="49">
        <v>0.40344624891668873</v>
      </c>
      <c r="BA339" s="38">
        <v>2.781039225291081E-2</v>
      </c>
      <c r="BB339" s="38">
        <v>0.22743132748031203</v>
      </c>
      <c r="BC339" s="38">
        <v>0.62003089792381028</v>
      </c>
      <c r="BD339" s="39">
        <v>1.2408530841403218</v>
      </c>
      <c r="BE339" s="38">
        <v>5.9033497871057689E-2</v>
      </c>
      <c r="BF339" s="38">
        <v>0.27329590414107535</v>
      </c>
      <c r="BG339" s="38">
        <v>265.39</v>
      </c>
      <c r="BH339" s="39"/>
      <c r="BJ339" s="50"/>
      <c r="BK339" s="50"/>
      <c r="BP339" s="116">
        <f>196.6*10^(LOG10(AP339/147.1)+(LOG10(AP339/147.1)-LOG10(AL339/234.7))*0.4)</f>
        <v>0.81050444520821252</v>
      </c>
      <c r="BQ339" s="116">
        <f>196.6*10^(LOG10(AP339/147.1)+0.6666*(LOG10(AS339/36.3)-LOG10(AP339/147.1)))</f>
        <v>0.98712083772841175</v>
      </c>
      <c r="BR339" s="116">
        <f>196.6*10^(LOG10(AS339/36.3)-(LOG10(AX339/162.5)-LOG10(AS339/36.3))/5)</f>
        <v>1.0239057051821485</v>
      </c>
    </row>
    <row r="340" spans="1:70" x14ac:dyDescent="0.2">
      <c r="A340" s="71" t="s">
        <v>1290</v>
      </c>
      <c r="B340" s="50" t="s">
        <v>700</v>
      </c>
      <c r="D340" s="38">
        <f>SUM(E340:P340)</f>
        <v>100.15400646754121</v>
      </c>
      <c r="E340" s="38">
        <v>47.689241260391562</v>
      </c>
      <c r="F340" s="38">
        <v>0.55445664981207177</v>
      </c>
      <c r="G340" s="38">
        <v>14.852547263198602</v>
      </c>
      <c r="H340" s="49">
        <v>0.39980797232356463</v>
      </c>
      <c r="I340" s="38">
        <v>16.430025622668527</v>
      </c>
      <c r="J340" s="49">
        <v>0.2503886009379519</v>
      </c>
      <c r="K340" s="38">
        <v>7.9549906742516807</v>
      </c>
      <c r="L340" s="38">
        <v>11.106485538330514</v>
      </c>
      <c r="M340" s="49">
        <v>0.50493374015805625</v>
      </c>
      <c r="N340" s="49">
        <v>0.1665103712323025</v>
      </c>
      <c r="O340" s="49">
        <v>0.24461877423636658</v>
      </c>
      <c r="Q340" s="38">
        <f t="shared" si="155"/>
        <v>46.325715846170915</v>
      </c>
      <c r="R340" s="49"/>
      <c r="S340" s="39"/>
      <c r="T340" s="39"/>
      <c r="V340" s="76"/>
      <c r="W340" s="76"/>
      <c r="Z340" s="76"/>
      <c r="AA340" s="76"/>
      <c r="AB340" s="38"/>
      <c r="AC340" s="38"/>
      <c r="AD340" s="39"/>
      <c r="AE340" s="76"/>
      <c r="AF340" s="76"/>
      <c r="AG340" s="76"/>
      <c r="AH340" s="76"/>
      <c r="AI340" s="76"/>
      <c r="AL340" s="38"/>
      <c r="AM340" s="38"/>
      <c r="AN340" s="38"/>
      <c r="AO340" s="39"/>
      <c r="AP340" s="38"/>
      <c r="AQ340" s="38"/>
      <c r="AR340" s="38"/>
      <c r="AS340" s="49"/>
      <c r="AT340" s="49"/>
      <c r="AU340" s="49"/>
      <c r="AV340" s="49"/>
      <c r="AW340" s="49"/>
      <c r="AX340" s="49"/>
      <c r="AZ340" s="49"/>
      <c r="BA340" s="38"/>
      <c r="BB340" s="38"/>
      <c r="BC340" s="38"/>
      <c r="BD340" s="39"/>
      <c r="BE340" s="38"/>
      <c r="BF340" s="38"/>
      <c r="BG340" s="38"/>
      <c r="BH340" s="39"/>
      <c r="BJ340" s="50"/>
      <c r="BK340" s="50"/>
    </row>
    <row r="341" spans="1:70" x14ac:dyDescent="0.2">
      <c r="A341" s="71" t="s">
        <v>1290</v>
      </c>
      <c r="B341" s="50" t="s">
        <v>66</v>
      </c>
      <c r="D341" s="38">
        <f>SUM(E341:P341)</f>
        <v>96.066686000000004</v>
      </c>
      <c r="E341" s="38">
        <v>46.2</v>
      </c>
      <c r="F341" s="38">
        <v>0.45</v>
      </c>
      <c r="G341" s="38">
        <v>12.8</v>
      </c>
      <c r="H341" s="49">
        <f>0.27*1.4616</f>
        <v>0.39463200000000004</v>
      </c>
      <c r="I341" s="38">
        <v>15.9</v>
      </c>
      <c r="J341" s="49">
        <v>0.27</v>
      </c>
      <c r="K341" s="38">
        <v>8.5299999999999994</v>
      </c>
      <c r="L341" s="38">
        <v>10.55</v>
      </c>
      <c r="M341" s="49">
        <v>0.53</v>
      </c>
      <c r="N341" s="49">
        <v>0.19</v>
      </c>
      <c r="O341" s="49">
        <f>0.11*2.2914</f>
        <v>0.252054</v>
      </c>
      <c r="Q341" s="38">
        <f t="shared" si="155"/>
        <v>48.883797282939781</v>
      </c>
      <c r="R341" s="49"/>
      <c r="S341" s="39"/>
      <c r="T341" s="39">
        <v>55</v>
      </c>
      <c r="U341" s="76">
        <v>116</v>
      </c>
      <c r="V341" s="76">
        <f>AVERAGE(2700,2674)</f>
        <v>2687</v>
      </c>
      <c r="W341" s="76"/>
      <c r="X341" s="39">
        <v>26.5</v>
      </c>
      <c r="Y341" s="76" t="s">
        <v>67</v>
      </c>
      <c r="Z341" s="76"/>
      <c r="AA341" s="76">
        <v>2.2000000000000002</v>
      </c>
      <c r="AB341" s="38">
        <v>0.63</v>
      </c>
      <c r="AC341" s="38">
        <v>0.94</v>
      </c>
      <c r="AD341" s="39">
        <v>7</v>
      </c>
      <c r="AE341" s="76">
        <v>110</v>
      </c>
      <c r="AF341" s="76"/>
      <c r="AG341" s="76">
        <v>14.46</v>
      </c>
      <c r="AH341" s="76">
        <v>0.67500000000000004</v>
      </c>
      <c r="AI341" s="76"/>
      <c r="AJ341" s="38">
        <v>7.0000000000000007E-2</v>
      </c>
      <c r="AK341" s="76">
        <v>66</v>
      </c>
      <c r="AL341" s="38">
        <v>0.8</v>
      </c>
      <c r="AM341" s="38">
        <v>2.2000000000000002</v>
      </c>
      <c r="AN341" s="38"/>
      <c r="AO341" s="39">
        <v>1.9</v>
      </c>
      <c r="AP341" s="38">
        <v>0.56000000000000005</v>
      </c>
      <c r="AQ341" s="38">
        <v>0.4</v>
      </c>
      <c r="AR341" s="38"/>
      <c r="AS341" s="49">
        <v>0.17</v>
      </c>
      <c r="AT341" s="39">
        <v>1</v>
      </c>
      <c r="AU341" s="49">
        <v>0.28000000000000003</v>
      </c>
      <c r="AV341" s="49"/>
      <c r="AW341" s="49"/>
      <c r="AX341" s="49">
        <v>1.2</v>
      </c>
      <c r="AY341" s="49">
        <f>AVERAGE(0.19,0.2042)</f>
        <v>0.1971</v>
      </c>
      <c r="AZ341" s="49">
        <f>AVERAGE(0.34,0.4783)</f>
        <v>0.40915000000000001</v>
      </c>
      <c r="BA341" s="38">
        <v>3.8800000000000001E-2</v>
      </c>
      <c r="BB341" s="38"/>
      <c r="BC341" s="38"/>
      <c r="BD341" s="39">
        <v>1.7</v>
      </c>
      <c r="BE341" s="38">
        <v>0.09</v>
      </c>
      <c r="BF341" s="38">
        <v>0.14000000000000001</v>
      </c>
      <c r="BG341" s="38"/>
      <c r="BH341" s="39"/>
      <c r="BJ341" s="50"/>
      <c r="BK341" s="50"/>
    </row>
    <row r="342" spans="1:70" x14ac:dyDescent="0.2">
      <c r="A342" s="77" t="s">
        <v>898</v>
      </c>
      <c r="B342" s="36" t="s">
        <v>279</v>
      </c>
      <c r="E342" s="34">
        <f t="shared" ref="E342:O342" si="160">AVERAGE(E339:E341)</f>
        <v>46.944620630195786</v>
      </c>
      <c r="F342" s="34">
        <f t="shared" si="160"/>
        <v>0.50222832490603586</v>
      </c>
      <c r="G342" s="34">
        <f t="shared" si="160"/>
        <v>13.826273631599301</v>
      </c>
      <c r="H342" s="37">
        <f t="shared" si="160"/>
        <v>0.40504376287344512</v>
      </c>
      <c r="I342" s="34">
        <f t="shared" si="160"/>
        <v>16.253350415112351</v>
      </c>
      <c r="J342" s="37">
        <f t="shared" si="160"/>
        <v>0.26019430046897596</v>
      </c>
      <c r="K342" s="34">
        <f t="shared" si="160"/>
        <v>8.24249533712584</v>
      </c>
      <c r="L342" s="34">
        <f t="shared" si="160"/>
        <v>10.828242769165257</v>
      </c>
      <c r="M342" s="37">
        <f t="shared" si="160"/>
        <v>0.50655419734547469</v>
      </c>
      <c r="N342" s="37">
        <f t="shared" si="160"/>
        <v>0.17825518561615125</v>
      </c>
      <c r="O342" s="37">
        <f t="shared" si="160"/>
        <v>0.24833638711818329</v>
      </c>
      <c r="P342" s="36"/>
      <c r="Q342" s="38">
        <f t="shared" si="155"/>
        <v>47.479096373465673</v>
      </c>
      <c r="R342" s="36"/>
      <c r="S342" s="36"/>
      <c r="T342" s="72">
        <f>AVERAGE(T339:T341)</f>
        <v>54.095591393797804</v>
      </c>
      <c r="U342" s="35"/>
      <c r="V342" s="35">
        <f>AVERAGE(V339:V341)</f>
        <v>2782.6465390557291</v>
      </c>
      <c r="W342" s="36"/>
      <c r="X342" s="72">
        <f>AVERAGE(X339:X341)</f>
        <v>26.395574437620105</v>
      </c>
      <c r="Y342" s="35">
        <f>AVERAGE(Y339:Y341)</f>
        <v>24.621877237273445</v>
      </c>
      <c r="Z342" s="215" t="e">
        <f>AVERAGE(Z339:Z341)</f>
        <v>#DIV/0!</v>
      </c>
      <c r="AA342" s="215"/>
      <c r="AB342" s="34">
        <f t="shared" ref="AB342:AG342" si="161">AVERAGE(AB339:AB341)</f>
        <v>0.72475357021741593</v>
      </c>
      <c r="AC342" s="34">
        <f t="shared" si="161"/>
        <v>0.73787369531632696</v>
      </c>
      <c r="AD342" s="72">
        <f t="shared" si="161"/>
        <v>4.698085835939561</v>
      </c>
      <c r="AE342" s="35">
        <f t="shared" si="161"/>
        <v>113.63992614642601</v>
      </c>
      <c r="AF342" s="35">
        <f t="shared" si="161"/>
        <v>10.022636170857281</v>
      </c>
      <c r="AG342" s="35">
        <f t="shared" si="161"/>
        <v>17.716642300011305</v>
      </c>
      <c r="AH342" s="35"/>
      <c r="AI342" s="35"/>
      <c r="AJ342" s="34">
        <f>AVERAGE(AJ339:AJ341)</f>
        <v>6.2322431139078344E-2</v>
      </c>
      <c r="AK342" s="35">
        <f>AVERAGE(AK339:AK341)</f>
        <v>52.614529560269787</v>
      </c>
      <c r="AL342" s="34">
        <f t="shared" ref="AL342:AY342" si="162">AVERAGE(AL339:AL341)</f>
        <v>0.8743017822826783</v>
      </c>
      <c r="AM342" s="34">
        <f t="shared" si="162"/>
        <v>2.3150909981536607</v>
      </c>
      <c r="AN342" s="34">
        <f t="shared" si="162"/>
        <v>0.31106159596091798</v>
      </c>
      <c r="AO342" s="34">
        <f t="shared" si="162"/>
        <v>1.683938731677908</v>
      </c>
      <c r="AP342" s="34">
        <f t="shared" si="162"/>
        <v>0.58150697087305481</v>
      </c>
      <c r="AQ342" s="34">
        <f t="shared" si="162"/>
        <v>0.4394681412261201</v>
      </c>
      <c r="AR342" s="34">
        <f t="shared" si="162"/>
        <v>0.94051032937292423</v>
      </c>
      <c r="AS342" s="34">
        <f t="shared" si="162"/>
        <v>0.18585854779758093</v>
      </c>
      <c r="AT342" s="34">
        <f t="shared" si="162"/>
        <v>1.2003065253967962</v>
      </c>
      <c r="AU342" s="34">
        <f t="shared" si="162"/>
        <v>0.31232926503405062</v>
      </c>
      <c r="AV342" s="34">
        <f t="shared" si="162"/>
        <v>1.0580943405701526</v>
      </c>
      <c r="AW342" s="34">
        <f t="shared" si="162"/>
        <v>0.17311014748485459</v>
      </c>
      <c r="AX342" s="34">
        <f t="shared" si="162"/>
        <v>1.2243924036323901</v>
      </c>
      <c r="AY342" s="34">
        <f t="shared" si="162"/>
        <v>0.19350156185236822</v>
      </c>
      <c r="AZ342" s="34">
        <f t="shared" ref="AZ342:BF342" si="163">AVERAGE(AZ339:AZ341)</f>
        <v>0.40629812445834435</v>
      </c>
      <c r="BA342" s="34">
        <f t="shared" si="163"/>
        <v>3.3305196126455404E-2</v>
      </c>
      <c r="BB342" s="72">
        <f t="shared" si="163"/>
        <v>0.22743132748031203</v>
      </c>
      <c r="BC342" s="72">
        <f t="shared" si="163"/>
        <v>0.62003089792381028</v>
      </c>
      <c r="BD342" s="72">
        <f t="shared" si="163"/>
        <v>1.470426542070161</v>
      </c>
      <c r="BE342" s="34">
        <f t="shared" si="163"/>
        <v>7.4516748935528843E-2</v>
      </c>
      <c r="BF342" s="34">
        <f t="shared" si="163"/>
        <v>0.20664795207053768</v>
      </c>
      <c r="BG342" s="38"/>
      <c r="BH342" s="39"/>
      <c r="BJ342" s="50"/>
      <c r="BK342" s="50"/>
    </row>
    <row r="343" spans="1:70" x14ac:dyDescent="0.2">
      <c r="A343" s="71"/>
      <c r="Q343" s="38" t="e">
        <f t="shared" si="155"/>
        <v>#DIV/0!</v>
      </c>
      <c r="R343" s="49"/>
      <c r="S343" s="39"/>
      <c r="T343" s="39"/>
      <c r="V343" s="76"/>
      <c r="W343" s="76"/>
      <c r="Z343" s="76"/>
      <c r="AA343" s="76"/>
      <c r="AB343" s="76"/>
      <c r="AC343" s="76"/>
      <c r="AD343" s="39"/>
      <c r="AE343" s="39"/>
      <c r="AF343" s="76"/>
      <c r="AG343" s="76"/>
      <c r="AH343" s="76"/>
      <c r="AI343" s="76"/>
      <c r="AL343" s="76"/>
      <c r="AM343" s="38"/>
      <c r="AN343" s="38"/>
      <c r="AO343" s="39"/>
      <c r="AP343" s="39"/>
      <c r="AQ343" s="38"/>
      <c r="AR343" s="38"/>
      <c r="AS343" s="49"/>
      <c r="AT343" s="49"/>
      <c r="AU343" s="49"/>
      <c r="AV343" s="49"/>
      <c r="AW343" s="49"/>
      <c r="AX343" s="49"/>
      <c r="AZ343" s="49"/>
      <c r="BA343" s="38"/>
      <c r="BB343" s="38"/>
      <c r="BC343" s="38"/>
      <c r="BD343" s="39"/>
      <c r="BE343" s="39"/>
      <c r="BF343" s="38"/>
      <c r="BG343" s="38"/>
      <c r="BH343" s="39"/>
      <c r="BJ343" s="50"/>
      <c r="BK343" s="50"/>
    </row>
    <row r="344" spans="1:70" x14ac:dyDescent="0.2">
      <c r="A344" s="71" t="s">
        <v>1293</v>
      </c>
      <c r="B344" s="50" t="s">
        <v>717</v>
      </c>
      <c r="H344" s="49">
        <v>0.22865716273696829</v>
      </c>
      <c r="I344" s="38">
        <v>9.2605479756911766</v>
      </c>
      <c r="L344" s="38" t="s">
        <v>1314</v>
      </c>
      <c r="M344" s="49">
        <v>0.59959864760763504</v>
      </c>
      <c r="N344" s="49">
        <v>0.49299999999999999</v>
      </c>
      <c r="Q344" s="38">
        <f t="shared" si="155"/>
        <v>0</v>
      </c>
      <c r="R344" s="49">
        <v>0.59959864760763504</v>
      </c>
      <c r="S344" s="39">
        <v>0.49318668150303857</v>
      </c>
      <c r="T344" s="39">
        <v>21.21586424719678</v>
      </c>
      <c r="V344" s="76">
        <v>1564.4305058632203</v>
      </c>
      <c r="W344" s="76">
        <v>9.2605479756911766</v>
      </c>
      <c r="X344" s="39">
        <v>23.115453222631174</v>
      </c>
      <c r="Y344" s="76">
        <v>131.20253359582298</v>
      </c>
      <c r="Z344" s="76"/>
      <c r="AA344" s="76"/>
      <c r="AB344" s="76">
        <v>0.18744500556363944</v>
      </c>
      <c r="AC344" s="76">
        <v>4.3914371308739195</v>
      </c>
      <c r="AD344" s="39">
        <v>11.132837456132844</v>
      </c>
      <c r="AE344" s="39">
        <v>206.00066763673715</v>
      </c>
      <c r="AF344" s="291">
        <f>1560*10^((LOG10(AU344/55.6)+LOG10(AV344/158.9))/2)</f>
        <v>134.86314826348607</v>
      </c>
      <c r="AG344" s="76">
        <v>440.13850894462047</v>
      </c>
      <c r="AH344" s="76"/>
      <c r="AI344" s="76">
        <v>3.0736968244457759E-3</v>
      </c>
      <c r="AJ344" s="38">
        <v>0.47545288025335958</v>
      </c>
      <c r="AK344" s="76">
        <v>499.56293760164351</v>
      </c>
      <c r="AL344" s="76">
        <v>38.809595138235046</v>
      </c>
      <c r="AM344" s="38">
        <v>100.78676538560303</v>
      </c>
      <c r="AN344" s="199">
        <f>89.1*EXP((LN(AL344/234.7)+2*LN(AO344/452.4))/3)</f>
        <v>12.738751238402383</v>
      </c>
      <c r="AO344" s="39">
        <v>60.142754429512969</v>
      </c>
      <c r="AP344" s="39">
        <v>17.094983993837197</v>
      </c>
      <c r="AQ344" s="38">
        <v>1.482960575194727</v>
      </c>
      <c r="AR344" s="200">
        <f>AVERAGE(BP344:BR344)</f>
        <v>20.103679253502847</v>
      </c>
      <c r="AS344" s="49">
        <v>3.5391779508687833</v>
      </c>
      <c r="AT344" s="200">
        <f>(242.7*10^((4*LOG10(AS344/36.3)+LOG10(AX344/162.5))/5)+242.7*10^((4*LOG10(AP344/147.1)+4*LOG10(AX344/162.5))/8))/2</f>
        <v>22.663517435181014</v>
      </c>
      <c r="AU344" s="200">
        <f>(55.6*10^((3*LOG10(AS344/36.3)+2*LOG10(AX344/162.5))/5)+55.6*10^((3*LOG10(AP344/147.1)+5*LOG10(AX344/162.5))/8))/2</f>
        <v>4.9318066539016039</v>
      </c>
      <c r="AV344" s="200">
        <f>(158.9*10^((2*LOG10(AS344/36.3)+3*LOG10(AX344/162.5))/5)+158.9*10^((2*LOG10(AP344/147.1)+6*LOG10(AX344/162.5))/8))/2</f>
        <v>13.388441867899807</v>
      </c>
      <c r="AW344" s="201">
        <f>(24.2*10^((LOG10(AS344/36.3)+4*LOG10(AX344/162.5))/5)+24.2*10^((LOG10(AP344/147.1)+7*LOG10(AX344/162.5))/8))/2</f>
        <v>1.9368570655262207</v>
      </c>
      <c r="AX344" s="49">
        <v>12.354148420782336</v>
      </c>
      <c r="AY344" s="49">
        <v>1.6970564581015148</v>
      </c>
      <c r="AZ344" s="49">
        <v>11.208174099118377</v>
      </c>
      <c r="BA344" s="38">
        <v>1.5479361465377042</v>
      </c>
      <c r="BB344" s="38">
        <v>0.65729350338098103</v>
      </c>
      <c r="BC344" s="38">
        <v>3.7396439270735256</v>
      </c>
      <c r="BD344" s="39">
        <v>1.2123666866387057</v>
      </c>
      <c r="BE344" s="39">
        <v>6.989624240349225</v>
      </c>
      <c r="BF344" s="38">
        <v>1.8925222973551317</v>
      </c>
      <c r="BG344" s="38">
        <v>584.15</v>
      </c>
      <c r="BH344" s="39"/>
      <c r="BJ344" s="50"/>
      <c r="BK344" s="50"/>
      <c r="BP344" s="116">
        <f>196.6*10^(LOG10(AP344/147.1)+(LOG10(AP344/147.1)-LOG10(AL344/234.7))*0.4)</f>
        <v>19.841364730883743</v>
      </c>
      <c r="BQ344" s="116">
        <f>196.6*10^(LOG10(AP344/147.1)+0.6666*(LOG10(AS344/36.3)-LOG10(AP344/147.1)))</f>
        <v>20.32377862910926</v>
      </c>
      <c r="BR344" s="116">
        <f>196.6*10^(LOG10(AS344/36.3)-(LOG10(AX344/162.5)-LOG10(AS344/36.3))/5)</f>
        <v>20.145894400515534</v>
      </c>
    </row>
    <row r="345" spans="1:70" x14ac:dyDescent="0.2">
      <c r="A345" s="71" t="s">
        <v>1293</v>
      </c>
      <c r="B345" s="50" t="s">
        <v>700</v>
      </c>
      <c r="E345" s="38">
        <v>48.037922110465558</v>
      </c>
      <c r="F345" s="38">
        <v>1.2795342621221817</v>
      </c>
      <c r="G345" s="38">
        <v>17.782714323645195</v>
      </c>
      <c r="H345" s="49">
        <v>0.23021235971580478</v>
      </c>
      <c r="I345" s="38">
        <v>9.2605479756911766</v>
      </c>
      <c r="J345" s="49">
        <v>0.13923388026065128</v>
      </c>
      <c r="K345" s="38">
        <v>9.3833757395446753</v>
      </c>
      <c r="L345" s="38">
        <v>12.118176164535626</v>
      </c>
      <c r="M345" s="49">
        <v>0.59053387309076077</v>
      </c>
      <c r="N345" s="49">
        <v>0.42486082016296833</v>
      </c>
      <c r="O345" s="49">
        <v>0.268031199798139</v>
      </c>
      <c r="Q345" s="38">
        <f t="shared" si="155"/>
        <v>64.365203568714392</v>
      </c>
      <c r="R345" s="49"/>
      <c r="S345" s="39"/>
      <c r="T345" s="39"/>
      <c r="V345" s="76"/>
      <c r="W345" s="76"/>
      <c r="Z345" s="76"/>
      <c r="AA345" s="76"/>
      <c r="AB345" s="76"/>
      <c r="AC345" s="76"/>
      <c r="AD345" s="39"/>
      <c r="AE345" s="39"/>
      <c r="AF345" s="76"/>
      <c r="AG345" s="76"/>
      <c r="AH345" s="76"/>
      <c r="AI345" s="76"/>
      <c r="AL345" s="76"/>
      <c r="AM345" s="38"/>
      <c r="AN345" s="38"/>
      <c r="AO345" s="39"/>
      <c r="AP345" s="39"/>
      <c r="AQ345" s="38"/>
      <c r="AR345" s="38"/>
      <c r="AS345" s="49"/>
      <c r="AT345" s="49"/>
      <c r="AU345" s="49"/>
      <c r="AV345" s="49"/>
      <c r="AW345" s="49"/>
      <c r="AX345" s="49"/>
      <c r="AZ345" s="49"/>
      <c r="BA345" s="38"/>
      <c r="BB345" s="38"/>
      <c r="BC345" s="38"/>
      <c r="BD345" s="39"/>
      <c r="BE345" s="39"/>
      <c r="BF345" s="38"/>
      <c r="BG345" s="38"/>
      <c r="BH345" s="39"/>
      <c r="BJ345" s="50"/>
      <c r="BK345" s="50"/>
    </row>
    <row r="346" spans="1:70" x14ac:dyDescent="0.2">
      <c r="A346" s="71" t="s">
        <v>1293</v>
      </c>
      <c r="Q346" s="38" t="e">
        <f t="shared" si="155"/>
        <v>#DIV/0!</v>
      </c>
      <c r="R346" s="49"/>
      <c r="S346" s="39"/>
      <c r="T346" s="39"/>
      <c r="V346" s="76"/>
      <c r="W346" s="76"/>
      <c r="Z346" s="76"/>
      <c r="AA346" s="76"/>
      <c r="AB346" s="76"/>
      <c r="AC346" s="76"/>
      <c r="AD346" s="39"/>
      <c r="AE346" s="39"/>
      <c r="AF346" s="76"/>
      <c r="AG346" s="76"/>
      <c r="AH346" s="76"/>
      <c r="AI346" s="76"/>
      <c r="AL346" s="76"/>
      <c r="AM346" s="38"/>
      <c r="AN346" s="38"/>
      <c r="AO346" s="39"/>
      <c r="AP346" s="39"/>
      <c r="AQ346" s="38"/>
      <c r="AR346" s="38"/>
      <c r="AS346" s="49"/>
      <c r="AT346" s="49"/>
      <c r="AU346" s="49"/>
      <c r="AV346" s="49"/>
      <c r="AW346" s="49"/>
      <c r="AX346" s="49"/>
      <c r="AZ346" s="49"/>
      <c r="BA346" s="38"/>
      <c r="BB346" s="38"/>
      <c r="BC346" s="38"/>
      <c r="BD346" s="39"/>
      <c r="BE346" s="39"/>
      <c r="BF346" s="38"/>
      <c r="BG346" s="38"/>
      <c r="BH346" s="39"/>
      <c r="BJ346" s="50"/>
      <c r="BK346" s="50"/>
    </row>
    <row r="347" spans="1:70" x14ac:dyDescent="0.2">
      <c r="A347" s="71" t="s">
        <v>1293</v>
      </c>
      <c r="B347" s="36" t="s">
        <v>279</v>
      </c>
      <c r="E347" s="34">
        <f t="shared" ref="E347:O347" si="164">AVERAGE(E344:E346)</f>
        <v>48.037922110465558</v>
      </c>
      <c r="F347" s="34">
        <f t="shared" si="164"/>
        <v>1.2795342621221817</v>
      </c>
      <c r="G347" s="34">
        <f t="shared" si="164"/>
        <v>17.782714323645195</v>
      </c>
      <c r="H347" s="37">
        <f t="shared" si="164"/>
        <v>0.22943476122638654</v>
      </c>
      <c r="I347" s="34">
        <f t="shared" si="164"/>
        <v>9.2605479756911766</v>
      </c>
      <c r="J347" s="37">
        <f t="shared" si="164"/>
        <v>0.13923388026065128</v>
      </c>
      <c r="K347" s="34">
        <f t="shared" si="164"/>
        <v>9.3833757395446753</v>
      </c>
      <c r="L347" s="34">
        <f t="shared" si="164"/>
        <v>12.118176164535626</v>
      </c>
      <c r="M347" s="37">
        <f t="shared" si="164"/>
        <v>0.59506626034919785</v>
      </c>
      <c r="N347" s="37">
        <f t="shared" si="164"/>
        <v>0.45893041008148416</v>
      </c>
      <c r="O347" s="37">
        <f t="shared" si="164"/>
        <v>0.268031199798139</v>
      </c>
      <c r="P347" s="36"/>
      <c r="Q347" s="38">
        <f t="shared" si="155"/>
        <v>64.365203568714392</v>
      </c>
      <c r="R347" s="36"/>
      <c r="S347" s="36"/>
      <c r="T347" s="72">
        <f>AVERAGE(T344:T346)</f>
        <v>21.21586424719678</v>
      </c>
      <c r="U347" s="35"/>
      <c r="V347" s="35">
        <f>AVERAGE(V344:V346)</f>
        <v>1564.4305058632203</v>
      </c>
      <c r="W347" s="36"/>
      <c r="X347" s="72">
        <f>AVERAGE(X344:X346)</f>
        <v>23.115453222631174</v>
      </c>
      <c r="Y347" s="35">
        <f>AVERAGE(Y344:Y346)</f>
        <v>131.20253359582298</v>
      </c>
      <c r="Z347" s="215" t="e">
        <f>AVERAGE(Z344:Z346)</f>
        <v>#DIV/0!</v>
      </c>
      <c r="AA347" s="215"/>
      <c r="AB347" s="215"/>
      <c r="AC347" s="215"/>
      <c r="AD347" s="72">
        <f>AVERAGE(AD344:AD346)</f>
        <v>11.132837456132844</v>
      </c>
      <c r="AE347" s="35">
        <f>AVERAGE(AE344:AE346)</f>
        <v>206.00066763673715</v>
      </c>
      <c r="AF347" s="35">
        <f>AVERAGE(AF344:AF346)</f>
        <v>134.86314826348607</v>
      </c>
      <c r="AG347" s="35">
        <f>AVERAGE(AG344:AG346)</f>
        <v>440.13850894462047</v>
      </c>
      <c r="AH347" s="35"/>
      <c r="AI347" s="35"/>
      <c r="AJ347" s="34">
        <f>AVERAGE(AJ344:AJ346)</f>
        <v>0.47545288025335958</v>
      </c>
      <c r="AK347" s="35">
        <f>AVERAGE(AK344:AK346)</f>
        <v>499.56293760164351</v>
      </c>
      <c r="AL347" s="34">
        <f t="shared" ref="AL347:AY347" si="165">AVERAGE(AL344:AL346)</f>
        <v>38.809595138235046</v>
      </c>
      <c r="AM347" s="34">
        <f t="shared" si="165"/>
        <v>100.78676538560303</v>
      </c>
      <c r="AN347" s="34">
        <f t="shared" si="165"/>
        <v>12.738751238402383</v>
      </c>
      <c r="AO347" s="34">
        <f t="shared" si="165"/>
        <v>60.142754429512969</v>
      </c>
      <c r="AP347" s="34">
        <f t="shared" si="165"/>
        <v>17.094983993837197</v>
      </c>
      <c r="AQ347" s="34">
        <f t="shared" si="165"/>
        <v>1.482960575194727</v>
      </c>
      <c r="AR347" s="34">
        <f t="shared" si="165"/>
        <v>20.103679253502847</v>
      </c>
      <c r="AS347" s="34">
        <f t="shared" si="165"/>
        <v>3.5391779508687833</v>
      </c>
      <c r="AT347" s="34">
        <f t="shared" si="165"/>
        <v>22.663517435181014</v>
      </c>
      <c r="AU347" s="34">
        <f t="shared" si="165"/>
        <v>4.9318066539016039</v>
      </c>
      <c r="AV347" s="34">
        <f t="shared" si="165"/>
        <v>13.388441867899807</v>
      </c>
      <c r="AW347" s="34">
        <f t="shared" si="165"/>
        <v>1.9368570655262207</v>
      </c>
      <c r="AX347" s="34">
        <f t="shared" si="165"/>
        <v>12.354148420782336</v>
      </c>
      <c r="AY347" s="34">
        <f t="shared" si="165"/>
        <v>1.6970564581015148</v>
      </c>
      <c r="AZ347" s="34">
        <f t="shared" ref="AZ347:BF347" si="166">AVERAGE(AZ344:AZ346)</f>
        <v>11.208174099118377</v>
      </c>
      <c r="BA347" s="34">
        <f t="shared" si="166"/>
        <v>1.5479361465377042</v>
      </c>
      <c r="BB347" s="72">
        <f t="shared" si="166"/>
        <v>0.65729350338098103</v>
      </c>
      <c r="BC347" s="72">
        <f t="shared" si="166"/>
        <v>3.7396439270735256</v>
      </c>
      <c r="BD347" s="72">
        <f t="shared" si="166"/>
        <v>1.2123666866387057</v>
      </c>
      <c r="BE347" s="34">
        <f t="shared" si="166"/>
        <v>6.989624240349225</v>
      </c>
      <c r="BF347" s="34">
        <f t="shared" si="166"/>
        <v>1.8925222973551317</v>
      </c>
      <c r="BG347" s="38"/>
      <c r="BH347" s="39"/>
      <c r="BJ347" s="50"/>
      <c r="BK347" s="50"/>
    </row>
    <row r="348" spans="1:70" x14ac:dyDescent="0.2">
      <c r="A348" s="71"/>
      <c r="Q348" s="38" t="e">
        <f t="shared" si="155"/>
        <v>#DIV/0!</v>
      </c>
      <c r="R348" s="49"/>
      <c r="S348" s="39"/>
      <c r="T348" s="39"/>
      <c r="V348" s="76"/>
      <c r="W348" s="76"/>
      <c r="Z348" s="76"/>
      <c r="AA348" s="76"/>
      <c r="AB348" s="76"/>
      <c r="AC348" s="76"/>
      <c r="AD348" s="39"/>
      <c r="AE348" s="39"/>
      <c r="AF348" s="76"/>
      <c r="AG348" s="76"/>
      <c r="AH348" s="76"/>
      <c r="AI348" s="76"/>
      <c r="AL348" s="76"/>
      <c r="AM348" s="38"/>
      <c r="AN348" s="38"/>
      <c r="AO348" s="39"/>
      <c r="AP348" s="39"/>
      <c r="AQ348" s="38"/>
      <c r="AR348" s="38"/>
      <c r="AS348" s="49"/>
      <c r="AT348" s="49"/>
      <c r="AU348" s="49"/>
      <c r="AV348" s="49"/>
      <c r="AW348" s="49"/>
      <c r="AX348" s="49"/>
      <c r="AZ348" s="49"/>
      <c r="BA348" s="38"/>
      <c r="BB348" s="38"/>
      <c r="BC348" s="38"/>
      <c r="BD348" s="39"/>
      <c r="BE348" s="39"/>
      <c r="BF348" s="38"/>
      <c r="BG348" s="38"/>
      <c r="BH348" s="39"/>
      <c r="BJ348" s="50"/>
      <c r="BK348" s="50"/>
    </row>
    <row r="349" spans="1:70" x14ac:dyDescent="0.2">
      <c r="A349" s="71" t="s">
        <v>1294</v>
      </c>
      <c r="B349" s="50" t="s">
        <v>717</v>
      </c>
      <c r="H349" s="49">
        <v>0.29199999841958346</v>
      </c>
      <c r="I349" s="38">
        <v>11.48927850547563</v>
      </c>
      <c r="L349" s="38" t="s">
        <v>1334</v>
      </c>
      <c r="M349" s="49">
        <v>0.32200450934077735</v>
      </c>
      <c r="Q349" s="38">
        <f t="shared" si="155"/>
        <v>0</v>
      </c>
      <c r="R349" s="49">
        <v>0.32200450934077735</v>
      </c>
      <c r="S349" s="39">
        <v>0</v>
      </c>
      <c r="T349" s="39">
        <v>35.647068928494733</v>
      </c>
      <c r="V349" s="76">
        <v>1997.8106076873526</v>
      </c>
      <c r="W349" s="76">
        <v>11.48927850547563</v>
      </c>
      <c r="X349" s="39">
        <v>20.995490659222675</v>
      </c>
      <c r="Y349" s="76">
        <v>102.50676401116598</v>
      </c>
      <c r="Z349" s="76"/>
      <c r="AA349" s="76"/>
      <c r="AB349" s="76">
        <v>0.25434614558728796</v>
      </c>
      <c r="AC349" s="76">
        <v>0.47434614558728794</v>
      </c>
      <c r="AD349" s="39">
        <v>4.6502254670388661</v>
      </c>
      <c r="AE349" s="39">
        <v>101.0180373631093</v>
      </c>
      <c r="AF349" s="291">
        <f>1560*10^((LOG10(AU349/55.6)+LOG10(AV349/158.9))/2)</f>
        <v>17.775702303176718</v>
      </c>
      <c r="AG349" s="76">
        <v>52.511273351943309</v>
      </c>
      <c r="AH349" s="76"/>
      <c r="AI349" s="76">
        <v>0.10274747691646983</v>
      </c>
      <c r="AJ349" s="38">
        <v>8.4977453296113378E-2</v>
      </c>
      <c r="AK349" s="76">
        <v>59.529310715052603</v>
      </c>
      <c r="AL349" s="76">
        <v>3.7555185741893919</v>
      </c>
      <c r="AM349" s="38">
        <v>9.4511273351943306</v>
      </c>
      <c r="AN349" s="199">
        <f>89.1*EXP((LN(AL349/234.7)+2*LN(AO349/452.4))/3)</f>
        <v>1.2653300730237762</v>
      </c>
      <c r="AO349" s="39">
        <v>6.0524801374275281</v>
      </c>
      <c r="AP349" s="39">
        <v>1.6934824994631739</v>
      </c>
      <c r="AQ349" s="38">
        <v>0.6635789134636032</v>
      </c>
      <c r="AR349" s="200">
        <f>AVERAGE(BP349:BR349)</f>
        <v>2.0347688999039275</v>
      </c>
      <c r="AS349" s="49">
        <v>0.37861949753059909</v>
      </c>
      <c r="AT349" s="200">
        <f>(242.7*10^((4*LOG10(AS349/36.3)+LOG10(AX349/162.5))/5)+242.7*10^((4*LOG10(AP349/147.1)+4*LOG10(AX349/162.5))/8))/2</f>
        <v>2.7106921980818086</v>
      </c>
      <c r="AU349" s="200">
        <f>(55.6*10^((3*LOG10(AS349/36.3)+2*LOG10(AX349/162.5))/5)+55.6*10^((3*LOG10(AP349/147.1)+5*LOG10(AX349/162.5))/8))/2</f>
        <v>0.62930760658335483</v>
      </c>
      <c r="AV349" s="200">
        <f>(158.9*10^((2*LOG10(AS349/36.3)+3*LOG10(AX349/162.5))/5)+158.9*10^((2*LOG10(AP349/147.1)+6*LOG10(AX349/162.5))/8))/2</f>
        <v>1.8228043133451255</v>
      </c>
      <c r="AW349" s="201">
        <f>(24.2*10^((LOG10(AS349/36.3)+4*LOG10(AX349/162.5))/5)+24.2*10^((LOG10(AP349/147.1)+7*LOG10(AX349/162.5))/8))/2</f>
        <v>0.28139067858952371</v>
      </c>
      <c r="AX349" s="49">
        <v>1.9154734807816189</v>
      </c>
      <c r="AY349" s="49">
        <v>0.28354283873738456</v>
      </c>
      <c r="AZ349" s="49">
        <v>1.3605411208932789</v>
      </c>
      <c r="BA349" s="38">
        <v>0.18454283873738456</v>
      </c>
      <c r="BB349" s="38">
        <v>5.0225467038866219E-2</v>
      </c>
      <c r="BC349" s="38">
        <v>2.9502254670388659</v>
      </c>
      <c r="BD349" s="76">
        <v>236.36605110586211</v>
      </c>
      <c r="BE349" s="39">
        <v>0.75506764011165983</v>
      </c>
      <c r="BF349" s="38">
        <v>0.20009018681554649</v>
      </c>
      <c r="BG349" s="38">
        <v>46.57</v>
      </c>
      <c r="BH349" s="39"/>
      <c r="BJ349" s="50"/>
      <c r="BK349" s="50"/>
      <c r="BP349" s="116">
        <f>196.6*10^(LOG10(AP349/147.1)+(LOG10(AP349/147.1)-LOG10(AL349/234.7))*0.4)</f>
        <v>1.984065657860816</v>
      </c>
      <c r="BQ349" s="116">
        <f>196.6*10^(LOG10(AP349/147.1)+0.6666*(LOG10(AS349/36.3)-LOG10(AP349/147.1)))</f>
        <v>2.1192065366581421</v>
      </c>
      <c r="BR349" s="116">
        <f>196.6*10^(LOG10(AS349/36.3)-(LOG10(AX349/162.5)-LOG10(AS349/36.3))/5)</f>
        <v>2.0010345051928256</v>
      </c>
    </row>
    <row r="350" spans="1:70" x14ac:dyDescent="0.2">
      <c r="A350" s="71" t="s">
        <v>1294</v>
      </c>
      <c r="B350" s="50" t="s">
        <v>700</v>
      </c>
      <c r="E350" s="38">
        <v>47.239123291559977</v>
      </c>
      <c r="F350" s="38">
        <v>0.49025846457395583</v>
      </c>
      <c r="G350" s="38">
        <v>19.039234334870617</v>
      </c>
      <c r="H350" s="49" t="s">
        <v>1332</v>
      </c>
      <c r="I350" s="38" t="s">
        <v>1333</v>
      </c>
      <c r="J350" s="49">
        <v>0.18655885949791376</v>
      </c>
      <c r="K350" s="38">
        <v>7.5134183470371649</v>
      </c>
      <c r="L350" s="38">
        <v>12.963866478349699</v>
      </c>
      <c r="M350" s="49" t="s">
        <v>1100</v>
      </c>
      <c r="N350" s="49">
        <v>8.5406657309933118E-2</v>
      </c>
      <c r="O350" s="49">
        <v>2.7967166800736E-2</v>
      </c>
      <c r="Q350" s="38" t="e">
        <f t="shared" si="155"/>
        <v>#VALUE!</v>
      </c>
      <c r="R350" s="49"/>
      <c r="S350" s="39"/>
      <c r="T350" s="39"/>
      <c r="V350" s="76"/>
      <c r="W350" s="76"/>
      <c r="Z350" s="76"/>
      <c r="AA350" s="76"/>
      <c r="AB350" s="76"/>
      <c r="AC350" s="76"/>
      <c r="AD350" s="39"/>
      <c r="AE350" s="39"/>
      <c r="AF350" s="76"/>
      <c r="AG350" s="76"/>
      <c r="AH350" s="76"/>
      <c r="AI350" s="76"/>
      <c r="AL350" s="76"/>
      <c r="AM350" s="38"/>
      <c r="AN350" s="38"/>
      <c r="AO350" s="39"/>
      <c r="AP350" s="39"/>
      <c r="AQ350" s="38"/>
      <c r="AR350" s="38"/>
      <c r="AS350" s="49"/>
      <c r="AT350" s="49"/>
      <c r="AU350" s="49"/>
      <c r="AV350" s="49"/>
      <c r="AW350" s="49"/>
      <c r="AX350" s="49"/>
      <c r="AZ350" s="49"/>
      <c r="BA350" s="38"/>
      <c r="BB350" s="38"/>
      <c r="BC350" s="38"/>
      <c r="BD350" s="39"/>
      <c r="BE350" s="39"/>
      <c r="BF350" s="38"/>
      <c r="BG350" s="38"/>
      <c r="BH350" s="39"/>
      <c r="BJ350" s="50"/>
      <c r="BK350" s="50"/>
    </row>
    <row r="351" spans="1:70" x14ac:dyDescent="0.2">
      <c r="A351" s="71" t="s">
        <v>1294</v>
      </c>
      <c r="Q351" s="38" t="e">
        <f t="shared" si="155"/>
        <v>#DIV/0!</v>
      </c>
      <c r="R351" s="49"/>
      <c r="S351" s="39"/>
      <c r="T351" s="39"/>
      <c r="V351" s="76"/>
      <c r="W351" s="76"/>
      <c r="Z351" s="76"/>
      <c r="AA351" s="76"/>
      <c r="AB351" s="76"/>
      <c r="AC351" s="76"/>
      <c r="AD351" s="39"/>
      <c r="AE351" s="39"/>
      <c r="AF351" s="76"/>
      <c r="AG351" s="76"/>
      <c r="AH351" s="76"/>
      <c r="AI351" s="76"/>
      <c r="AL351" s="76"/>
      <c r="AM351" s="38"/>
      <c r="AN351" s="38"/>
      <c r="AO351" s="39"/>
      <c r="AP351" s="39"/>
      <c r="AQ351" s="38"/>
      <c r="AR351" s="38"/>
      <c r="AS351" s="49"/>
      <c r="AT351" s="49"/>
      <c r="AU351" s="49"/>
      <c r="AV351" s="49"/>
      <c r="AW351" s="49"/>
      <c r="AX351" s="49"/>
      <c r="AZ351" s="49"/>
      <c r="BA351" s="38"/>
      <c r="BB351" s="38"/>
      <c r="BC351" s="38"/>
      <c r="BD351" s="39"/>
      <c r="BE351" s="39"/>
      <c r="BF351" s="38"/>
      <c r="BG351" s="38"/>
      <c r="BH351" s="39"/>
      <c r="BJ351" s="50"/>
      <c r="BK351" s="50"/>
    </row>
    <row r="352" spans="1:70" x14ac:dyDescent="0.2">
      <c r="A352" s="71" t="s">
        <v>1294</v>
      </c>
      <c r="B352" s="36" t="s">
        <v>279</v>
      </c>
      <c r="E352" s="34">
        <f t="shared" ref="E352:O352" si="167">AVERAGE(E349:E351)</f>
        <v>47.239123291559977</v>
      </c>
      <c r="F352" s="34">
        <f t="shared" si="167"/>
        <v>0.49025846457395583</v>
      </c>
      <c r="G352" s="34">
        <f t="shared" si="167"/>
        <v>19.039234334870617</v>
      </c>
      <c r="H352" s="37">
        <f t="shared" si="167"/>
        <v>0.29199999841958346</v>
      </c>
      <c r="I352" s="34">
        <f t="shared" si="167"/>
        <v>11.48927850547563</v>
      </c>
      <c r="J352" s="37">
        <f t="shared" si="167"/>
        <v>0.18655885949791376</v>
      </c>
      <c r="K352" s="34">
        <f t="shared" si="167"/>
        <v>7.5134183470371649</v>
      </c>
      <c r="L352" s="34">
        <f t="shared" si="167"/>
        <v>12.963866478349699</v>
      </c>
      <c r="M352" s="37">
        <f t="shared" si="167"/>
        <v>0.32200450934077735</v>
      </c>
      <c r="N352" s="37">
        <f t="shared" si="167"/>
        <v>8.5406657309933118E-2</v>
      </c>
      <c r="O352" s="37">
        <f t="shared" si="167"/>
        <v>2.7967166800736E-2</v>
      </c>
      <c r="P352" s="36"/>
      <c r="Q352" s="38">
        <f t="shared" si="155"/>
        <v>53.826266068413645</v>
      </c>
      <c r="R352" s="36"/>
      <c r="S352" s="36"/>
      <c r="T352" s="72">
        <f>AVERAGE(T349:T351)</f>
        <v>35.647068928494733</v>
      </c>
      <c r="U352" s="35"/>
      <c r="V352" s="35">
        <f>AVERAGE(V349:V351)</f>
        <v>1997.8106076873526</v>
      </c>
      <c r="W352" s="36"/>
      <c r="X352" s="72">
        <f>AVERAGE(X349:X351)</f>
        <v>20.995490659222675</v>
      </c>
      <c r="Y352" s="35">
        <f>AVERAGE(Y349:Y351)</f>
        <v>102.50676401116598</v>
      </c>
      <c r="Z352" s="215" t="e">
        <f>AVERAGE(Z349:Z351)</f>
        <v>#DIV/0!</v>
      </c>
      <c r="AA352" s="215"/>
      <c r="AB352" s="215"/>
      <c r="AC352" s="215"/>
      <c r="AD352" s="72">
        <f>AVERAGE(AD349:AD351)</f>
        <v>4.6502254670388661</v>
      </c>
      <c r="AE352" s="35">
        <f>AVERAGE(AE349:AE351)</f>
        <v>101.0180373631093</v>
      </c>
      <c r="AF352" s="36"/>
      <c r="AG352" s="35">
        <f>AVERAGE(AG349:AG351)</f>
        <v>52.511273351943309</v>
      </c>
      <c r="AH352" s="35"/>
      <c r="AI352" s="35"/>
      <c r="AJ352" s="34">
        <f>AVERAGE(AJ349:AJ351)</f>
        <v>8.4977453296113378E-2</v>
      </c>
      <c r="AK352" s="35">
        <f>AVERAGE(AK349:AK351)</f>
        <v>59.529310715052603</v>
      </c>
      <c r="AL352" s="34">
        <f t="shared" ref="AL352:AY352" si="168">AVERAGE(AL349:AL351)</f>
        <v>3.7555185741893919</v>
      </c>
      <c r="AM352" s="34">
        <f t="shared" si="168"/>
        <v>9.4511273351943306</v>
      </c>
      <c r="AN352" s="34">
        <f t="shared" si="168"/>
        <v>1.2653300730237762</v>
      </c>
      <c r="AO352" s="34">
        <f t="shared" si="168"/>
        <v>6.0524801374275281</v>
      </c>
      <c r="AP352" s="34">
        <f t="shared" si="168"/>
        <v>1.6934824994631739</v>
      </c>
      <c r="AQ352" s="34">
        <f t="shared" si="168"/>
        <v>0.6635789134636032</v>
      </c>
      <c r="AR352" s="34">
        <f t="shared" si="168"/>
        <v>2.0347688999039275</v>
      </c>
      <c r="AS352" s="34">
        <f t="shared" si="168"/>
        <v>0.37861949753059909</v>
      </c>
      <c r="AT352" s="34">
        <f t="shared" si="168"/>
        <v>2.7106921980818086</v>
      </c>
      <c r="AU352" s="34">
        <f t="shared" si="168"/>
        <v>0.62930760658335483</v>
      </c>
      <c r="AV352" s="34">
        <f t="shared" si="168"/>
        <v>1.8228043133451255</v>
      </c>
      <c r="AW352" s="34">
        <f t="shared" si="168"/>
        <v>0.28139067858952371</v>
      </c>
      <c r="AX352" s="34">
        <f t="shared" si="168"/>
        <v>1.9154734807816189</v>
      </c>
      <c r="AY352" s="34">
        <f t="shared" si="168"/>
        <v>0.28354283873738456</v>
      </c>
      <c r="AZ352" s="34">
        <f t="shared" ref="AZ352:BF352" si="169">AVERAGE(AZ349:AZ351)</f>
        <v>1.3605411208932789</v>
      </c>
      <c r="BA352" s="34">
        <f t="shared" si="169"/>
        <v>0.18454283873738456</v>
      </c>
      <c r="BB352" s="72">
        <f t="shared" si="169"/>
        <v>5.0225467038866219E-2</v>
      </c>
      <c r="BC352" s="72">
        <f t="shared" si="169"/>
        <v>2.9502254670388659</v>
      </c>
      <c r="BD352" s="35">
        <f t="shared" si="169"/>
        <v>236.36605110586211</v>
      </c>
      <c r="BE352" s="34">
        <f t="shared" si="169"/>
        <v>0.75506764011165983</v>
      </c>
      <c r="BF352" s="34">
        <f t="shared" si="169"/>
        <v>0.20009018681554649</v>
      </c>
      <c r="BG352" s="38"/>
      <c r="BH352" s="39"/>
      <c r="BJ352" s="50"/>
      <c r="BK352" s="50"/>
    </row>
    <row r="353" spans="1:70" x14ac:dyDescent="0.2">
      <c r="A353" s="71"/>
      <c r="B353" s="36"/>
      <c r="E353" s="34"/>
      <c r="F353" s="34"/>
      <c r="G353" s="34"/>
      <c r="H353" s="37"/>
      <c r="I353" s="34"/>
      <c r="J353" s="37"/>
      <c r="K353" s="34"/>
      <c r="L353" s="34"/>
      <c r="M353" s="37"/>
      <c r="N353" s="37"/>
      <c r="O353" s="37"/>
      <c r="P353" s="36"/>
      <c r="Q353" s="38" t="e">
        <f t="shared" si="155"/>
        <v>#DIV/0!</v>
      </c>
      <c r="R353" s="36"/>
      <c r="S353" s="36"/>
      <c r="T353" s="72"/>
      <c r="U353" s="35"/>
      <c r="V353" s="35"/>
      <c r="W353" s="36"/>
      <c r="X353" s="72"/>
      <c r="Y353" s="35"/>
      <c r="Z353" s="215"/>
      <c r="AA353" s="215"/>
      <c r="AB353" s="215"/>
      <c r="AC353" s="215"/>
      <c r="AD353" s="72"/>
      <c r="AE353" s="35"/>
      <c r="AF353" s="36"/>
      <c r="AG353" s="35"/>
      <c r="AH353" s="35"/>
      <c r="AI353" s="35"/>
      <c r="AJ353" s="34"/>
      <c r="AK353" s="35"/>
      <c r="AL353" s="34"/>
      <c r="AM353" s="72"/>
      <c r="AN353" s="72"/>
      <c r="AO353" s="72"/>
      <c r="AP353" s="34"/>
      <c r="AQ353" s="37"/>
      <c r="AR353" s="36"/>
      <c r="AS353" s="37"/>
      <c r="AT353" s="36"/>
      <c r="AU353" s="36"/>
      <c r="AV353" s="36"/>
      <c r="AW353" s="36"/>
      <c r="AX353" s="34"/>
      <c r="AY353" s="37"/>
      <c r="AZ353" s="34"/>
      <c r="BA353" s="34"/>
      <c r="BB353" s="72"/>
      <c r="BC353" s="72"/>
      <c r="BD353" s="35"/>
      <c r="BE353" s="34"/>
      <c r="BF353" s="34"/>
      <c r="BG353" s="38"/>
      <c r="BH353" s="39"/>
      <c r="BJ353" s="50"/>
      <c r="BK353" s="50"/>
    </row>
    <row r="354" spans="1:70" x14ac:dyDescent="0.2">
      <c r="A354" s="71"/>
      <c r="B354" s="36"/>
      <c r="E354" s="34"/>
      <c r="F354" s="34"/>
      <c r="G354" s="34"/>
      <c r="H354" s="37"/>
      <c r="I354" s="34"/>
      <c r="J354" s="37"/>
      <c r="K354" s="34"/>
      <c r="L354" s="34"/>
      <c r="M354" s="37"/>
      <c r="N354" s="37"/>
      <c r="O354" s="37"/>
      <c r="P354" s="36"/>
      <c r="Q354" s="38" t="e">
        <f t="shared" si="155"/>
        <v>#DIV/0!</v>
      </c>
      <c r="R354" s="36"/>
      <c r="S354" s="36"/>
      <c r="T354" s="72"/>
      <c r="U354" s="35"/>
      <c r="V354" s="35"/>
      <c r="W354" s="36"/>
      <c r="X354" s="72"/>
      <c r="Y354" s="35"/>
      <c r="Z354" s="215"/>
      <c r="AA354" s="215"/>
      <c r="AB354" s="215"/>
      <c r="AC354" s="215"/>
      <c r="AD354" s="72"/>
      <c r="AE354" s="35"/>
      <c r="AF354" s="36"/>
      <c r="AG354" s="35"/>
      <c r="AH354" s="35"/>
      <c r="AI354" s="35"/>
      <c r="AJ354" s="34"/>
      <c r="AK354" s="35"/>
      <c r="AL354" s="34"/>
      <c r="AM354" s="72"/>
      <c r="AN354" s="72"/>
      <c r="AO354" s="72"/>
      <c r="AP354" s="34"/>
      <c r="AQ354" s="37"/>
      <c r="AR354" s="36"/>
      <c r="AS354" s="37"/>
      <c r="AT354" s="36"/>
      <c r="AU354" s="36"/>
      <c r="AV354" s="36"/>
      <c r="AW354" s="36"/>
      <c r="AX354" s="34"/>
      <c r="AY354" s="37"/>
      <c r="AZ354" s="34"/>
      <c r="BA354" s="34"/>
      <c r="BB354" s="72"/>
      <c r="BC354" s="72"/>
      <c r="BD354" s="35"/>
      <c r="BE354" s="34"/>
      <c r="BF354" s="34"/>
      <c r="BG354" s="38"/>
      <c r="BH354" s="39"/>
      <c r="BJ354" s="50"/>
      <c r="BK354" s="50"/>
    </row>
    <row r="355" spans="1:70" x14ac:dyDescent="0.2">
      <c r="A355" s="71"/>
      <c r="B355" s="36"/>
      <c r="E355" s="34"/>
      <c r="F355" s="34"/>
      <c r="G355" s="34"/>
      <c r="H355" s="37"/>
      <c r="I355" s="34"/>
      <c r="J355" s="37"/>
      <c r="K355" s="34"/>
      <c r="L355" s="34"/>
      <c r="M355" s="37"/>
      <c r="N355" s="37"/>
      <c r="O355" s="37"/>
      <c r="P355" s="36"/>
      <c r="Q355" s="38" t="e">
        <f t="shared" si="155"/>
        <v>#DIV/0!</v>
      </c>
      <c r="R355" s="36"/>
      <c r="S355" s="36"/>
      <c r="T355" s="72"/>
      <c r="U355" s="35"/>
      <c r="V355" s="35"/>
      <c r="W355" s="36"/>
      <c r="X355" s="72"/>
      <c r="Y355" s="35"/>
      <c r="Z355" s="215"/>
      <c r="AA355" s="215"/>
      <c r="AB355" s="215"/>
      <c r="AC355" s="215"/>
      <c r="AD355" s="72"/>
      <c r="AE355" s="35"/>
      <c r="AF355" s="36"/>
      <c r="AG355" s="35"/>
      <c r="AH355" s="35"/>
      <c r="AI355" s="35"/>
      <c r="AJ355" s="34"/>
      <c r="AK355" s="35"/>
      <c r="AL355" s="34"/>
      <c r="AM355" s="72"/>
      <c r="AN355" s="72"/>
      <c r="AO355" s="72"/>
      <c r="AP355" s="34"/>
      <c r="AQ355" s="37"/>
      <c r="AR355" s="36"/>
      <c r="AS355" s="37"/>
      <c r="AT355" s="36"/>
      <c r="AU355" s="36"/>
      <c r="AV355" s="36"/>
      <c r="AW355" s="36"/>
      <c r="AX355" s="34"/>
      <c r="AY355" s="37"/>
      <c r="AZ355" s="34"/>
      <c r="BA355" s="34"/>
      <c r="BB355" s="72"/>
      <c r="BC355" s="72"/>
      <c r="BD355" s="35"/>
      <c r="BE355" s="34"/>
      <c r="BF355" s="34"/>
      <c r="BG355" s="38"/>
      <c r="BH355" s="39"/>
      <c r="BJ355" s="50"/>
      <c r="BK355" s="50"/>
    </row>
    <row r="356" spans="1:70" x14ac:dyDescent="0.2">
      <c r="A356" s="71" t="s">
        <v>1330</v>
      </c>
      <c r="B356" s="50" t="s">
        <v>717</v>
      </c>
      <c r="H356" s="49">
        <f>V356*1.4616/10000</f>
        <v>0.28735055999999998</v>
      </c>
      <c r="I356" s="38">
        <v>20.8</v>
      </c>
      <c r="L356" s="38" t="s">
        <v>1331</v>
      </c>
      <c r="M356" s="49">
        <v>0.46</v>
      </c>
      <c r="Q356" s="38">
        <f t="shared" si="155"/>
        <v>0</v>
      </c>
      <c r="R356" s="49"/>
      <c r="S356" s="39"/>
      <c r="T356" s="39">
        <v>55.2</v>
      </c>
      <c r="V356" s="76">
        <v>1966</v>
      </c>
      <c r="W356" s="76"/>
      <c r="X356" s="39">
        <v>35.6</v>
      </c>
      <c r="Z356" s="76"/>
      <c r="AA356" s="76"/>
      <c r="AB356" s="76"/>
      <c r="AC356" s="76"/>
      <c r="AD356" s="39"/>
      <c r="AE356" s="39"/>
      <c r="AF356" s="291">
        <f>1560*10^((LOG10(AU356/55.6)+LOG10(AV356/158.9))/2)</f>
        <v>68.210181904356304</v>
      </c>
      <c r="AG356" s="76"/>
      <c r="AH356" s="76"/>
      <c r="AI356" s="76"/>
      <c r="AK356" s="76">
        <v>176</v>
      </c>
      <c r="AL356" s="76">
        <v>12.93</v>
      </c>
      <c r="AM356" s="38">
        <v>34.9</v>
      </c>
      <c r="AN356" s="199">
        <f>89.1*EXP((LN(AL356/234.7)+2*LN(AO356/452.4))/3)</f>
        <v>4.7866530098684388</v>
      </c>
      <c r="AO356" s="38">
        <v>24</v>
      </c>
      <c r="AP356" s="38">
        <v>7.68</v>
      </c>
      <c r="AQ356" s="38">
        <v>1.35</v>
      </c>
      <c r="AR356" s="200">
        <f>AVERAGE(BP356:BR356)</f>
        <v>10.127262795124812</v>
      </c>
      <c r="AS356" s="49">
        <v>1.82</v>
      </c>
      <c r="AT356" s="200">
        <f>(242.7*10^((4*LOG10(AS356/36.3)+LOG10(AX356/162.5))/5)+242.7*10^((4*LOG10(AP356/147.1)+4*LOG10(AX356/162.5))/8))/2</f>
        <v>11.300167967483588</v>
      </c>
      <c r="AU356" s="200">
        <f>(55.6*10^((3*LOG10(AS356/36.3)+2*LOG10(AX356/162.5))/5)+55.6*10^((3*LOG10(AP356/147.1)+5*LOG10(AX356/162.5))/8))/2</f>
        <v>2.482504722990301</v>
      </c>
      <c r="AV356" s="200">
        <f>(158.9*10^((2*LOG10(AS356/36.3)+3*LOG10(AX356/162.5))/5)+158.9*10^((2*LOG10(AP356/147.1)+6*LOG10(AX356/162.5))/8))/2</f>
        <v>6.8038984667885227</v>
      </c>
      <c r="AW356" s="201">
        <f>(24.2*10^((LOG10(AS356/36.3)+4*LOG10(AX356/162.5))/5)+24.2*10^((LOG10(AP356/147.1)+7*LOG10(AX356/162.5))/8))/2</f>
        <v>0.99377117982530805</v>
      </c>
      <c r="AX356" s="49">
        <v>6.4</v>
      </c>
      <c r="AY356" s="49">
        <v>1.24</v>
      </c>
      <c r="AZ356" s="49">
        <v>5.4</v>
      </c>
      <c r="BA356" s="38">
        <v>0.59</v>
      </c>
      <c r="BB356" s="38">
        <v>3</v>
      </c>
      <c r="BC356" s="38">
        <v>0</v>
      </c>
      <c r="BD356" s="76">
        <v>41400</v>
      </c>
      <c r="BE356" s="38">
        <v>2.1</v>
      </c>
      <c r="BF356" s="38">
        <v>0.54</v>
      </c>
      <c r="BG356" s="38">
        <v>40.380000000000003</v>
      </c>
      <c r="BH356" s="39"/>
      <c r="BJ356" s="50"/>
      <c r="BK356" s="50"/>
      <c r="BP356" s="116">
        <f>196.6*10^(LOG10(AP356/147.1)+(LOG10(AP356/147.1)-LOG10(AL356/234.7))*0.4)</f>
        <v>10.046095575964495</v>
      </c>
      <c r="BQ356" s="116">
        <f>196.6*10^(LOG10(AP356/147.1)+0.6666*(LOG10(AS356/36.3)-LOG10(AP356/147.1)))</f>
        <v>9.9910402861460597</v>
      </c>
      <c r="BR356" s="116">
        <f>196.6*10^(LOG10(AS356/36.3)-(LOG10(AX356/162.5)-LOG10(AS356/36.3))/5)</f>
        <v>10.344652523263882</v>
      </c>
    </row>
    <row r="357" spans="1:70" x14ac:dyDescent="0.2">
      <c r="A357" s="71" t="s">
        <v>1330</v>
      </c>
      <c r="B357" s="50" t="s">
        <v>700</v>
      </c>
      <c r="D357" s="38">
        <f>SUM(E357:P357)</f>
        <v>98.859649439999984</v>
      </c>
      <c r="E357" s="38">
        <v>45.995333187668692</v>
      </c>
      <c r="F357" s="38">
        <v>2.6950859392606028</v>
      </c>
      <c r="G357" s="38">
        <v>11.400679203313116</v>
      </c>
      <c r="I357" s="38">
        <v>20.8</v>
      </c>
      <c r="J357" s="49">
        <v>0.27850879208502671</v>
      </c>
      <c r="K357" s="38">
        <v>6.2541190263166726</v>
      </c>
      <c r="L357" s="38">
        <v>11.210563336246153</v>
      </c>
      <c r="N357" s="49">
        <v>0.10768172581969362</v>
      </c>
      <c r="O357" s="49">
        <v>0.11767822929003935</v>
      </c>
      <c r="Q357" s="38">
        <f t="shared" si="155"/>
        <v>34.895438982277796</v>
      </c>
      <c r="R357" s="49"/>
      <c r="S357" s="39"/>
      <c r="T357" s="39"/>
      <c r="V357" s="76"/>
      <c r="W357" s="76"/>
      <c r="Z357" s="76"/>
      <c r="AA357" s="76"/>
      <c r="AB357" s="76"/>
      <c r="AC357" s="76"/>
      <c r="AD357" s="39"/>
      <c r="AE357" s="76">
        <v>170</v>
      </c>
      <c r="AF357" s="76"/>
      <c r="AG357" s="76">
        <v>200</v>
      </c>
      <c r="AH357" s="76"/>
      <c r="AI357" s="76"/>
      <c r="AL357" s="76"/>
      <c r="AM357" s="38"/>
      <c r="AN357" s="38"/>
      <c r="AO357" s="39"/>
      <c r="AP357" s="38"/>
      <c r="AQ357" s="38"/>
      <c r="AR357" s="38"/>
      <c r="AS357" s="49"/>
      <c r="AT357" s="49"/>
      <c r="AU357" s="49"/>
      <c r="AV357" s="49"/>
      <c r="AW357" s="49"/>
      <c r="AX357" s="49"/>
      <c r="AZ357" s="49"/>
      <c r="BA357" s="38"/>
      <c r="BB357" s="38"/>
      <c r="BC357" s="38"/>
      <c r="BD357" s="39"/>
      <c r="BE357" s="38"/>
      <c r="BF357" s="38"/>
      <c r="BG357" s="38"/>
      <c r="BH357" s="39"/>
      <c r="BJ357" s="50"/>
      <c r="BK357" s="50"/>
    </row>
    <row r="358" spans="1:70" x14ac:dyDescent="0.2">
      <c r="A358" s="71"/>
      <c r="B358" s="36"/>
      <c r="E358" s="34"/>
      <c r="F358" s="34"/>
      <c r="G358" s="34"/>
      <c r="H358" s="37"/>
      <c r="I358" s="34"/>
      <c r="J358" s="37"/>
      <c r="K358" s="34"/>
      <c r="L358" s="34"/>
      <c r="M358" s="37"/>
      <c r="N358" s="37"/>
      <c r="O358" s="37"/>
      <c r="P358" s="36"/>
      <c r="Q358" s="38" t="e">
        <f t="shared" si="155"/>
        <v>#DIV/0!</v>
      </c>
      <c r="R358" s="36"/>
      <c r="S358" s="36"/>
      <c r="T358" s="72"/>
      <c r="U358" s="35"/>
      <c r="V358" s="35"/>
      <c r="W358" s="36"/>
      <c r="X358" s="72"/>
      <c r="Y358" s="35"/>
      <c r="Z358" s="215"/>
      <c r="AA358" s="215"/>
      <c r="AB358" s="215"/>
      <c r="AC358" s="215"/>
      <c r="AD358" s="72"/>
      <c r="AE358" s="35"/>
      <c r="AF358" s="36"/>
      <c r="AG358" s="35"/>
      <c r="AH358" s="35"/>
      <c r="AI358" s="35"/>
      <c r="AJ358" s="34"/>
      <c r="AK358" s="35"/>
      <c r="AL358" s="34"/>
      <c r="AM358" s="72"/>
      <c r="AN358" s="34"/>
      <c r="AO358" s="72"/>
      <c r="AP358" s="34"/>
      <c r="AQ358" s="37"/>
      <c r="AR358" s="34"/>
      <c r="AS358" s="34"/>
      <c r="AT358" s="34"/>
      <c r="AU358" s="34"/>
      <c r="AV358" s="34"/>
      <c r="AW358" s="37"/>
      <c r="AX358" s="34"/>
      <c r="AY358" s="37"/>
      <c r="AZ358" s="34"/>
      <c r="BA358" s="34"/>
      <c r="BB358" s="72"/>
      <c r="BC358" s="72"/>
      <c r="BD358" s="35"/>
      <c r="BE358" s="34"/>
      <c r="BF358" s="34"/>
      <c r="BG358" s="38"/>
      <c r="BH358" s="39"/>
      <c r="BJ358" s="50"/>
      <c r="BK358" s="50"/>
    </row>
    <row r="359" spans="1:70" x14ac:dyDescent="0.2">
      <c r="A359" s="71"/>
      <c r="Q359" s="38" t="e">
        <f t="shared" si="155"/>
        <v>#DIV/0!</v>
      </c>
      <c r="R359" s="49"/>
      <c r="S359" s="39"/>
      <c r="T359" s="39"/>
      <c r="V359" s="76"/>
      <c r="W359" s="76"/>
      <c r="Z359" s="76"/>
      <c r="AA359" s="76"/>
      <c r="AB359" s="76"/>
      <c r="AC359" s="76"/>
      <c r="AD359" s="39"/>
      <c r="AE359" s="39"/>
      <c r="AF359" s="76"/>
      <c r="AG359" s="76"/>
      <c r="AH359" s="76"/>
      <c r="AI359" s="76"/>
      <c r="AL359" s="76"/>
      <c r="AM359" s="38"/>
      <c r="AN359" s="38"/>
      <c r="AO359" s="39"/>
      <c r="AP359" s="39"/>
      <c r="AQ359" s="38"/>
      <c r="AR359" s="38"/>
      <c r="AS359" s="49"/>
      <c r="AT359" s="49"/>
      <c r="AU359" s="49"/>
      <c r="AV359" s="49"/>
      <c r="AW359" s="49"/>
      <c r="AX359" s="49"/>
      <c r="AZ359" s="49"/>
      <c r="BA359" s="38"/>
      <c r="BB359" s="38"/>
      <c r="BC359" s="38"/>
      <c r="BD359" s="39"/>
      <c r="BE359" s="39"/>
      <c r="BF359" s="38"/>
      <c r="BG359" s="38"/>
      <c r="BH359" s="39"/>
      <c r="BJ359" s="50"/>
      <c r="BK359" s="50"/>
    </row>
    <row r="360" spans="1:70" x14ac:dyDescent="0.2">
      <c r="A360" s="71" t="s">
        <v>1335</v>
      </c>
      <c r="Q360" s="38" t="e">
        <f t="shared" si="155"/>
        <v>#DIV/0!</v>
      </c>
      <c r="R360" s="49"/>
      <c r="S360" s="39"/>
      <c r="T360" s="39"/>
      <c r="V360" s="76"/>
      <c r="W360" s="76"/>
      <c r="Z360" s="76"/>
      <c r="AA360" s="76"/>
      <c r="AB360" s="76"/>
      <c r="AC360" s="76"/>
      <c r="AD360" s="39"/>
      <c r="AE360" s="39"/>
      <c r="AF360" s="76"/>
      <c r="AG360" s="76"/>
      <c r="AH360" s="76"/>
      <c r="AI360" s="76"/>
      <c r="AL360" s="76"/>
      <c r="AM360" s="38"/>
      <c r="AN360" s="38"/>
      <c r="AO360" s="38"/>
      <c r="AP360" s="38"/>
      <c r="AQ360" s="38"/>
      <c r="AR360" s="38"/>
      <c r="AS360" s="49"/>
      <c r="AT360" s="49"/>
      <c r="AU360" s="49"/>
      <c r="AV360" s="49"/>
      <c r="AW360" s="49"/>
      <c r="AX360" s="49"/>
      <c r="AZ360" s="49"/>
      <c r="BA360" s="38"/>
      <c r="BB360" s="38"/>
      <c r="BC360" s="38"/>
      <c r="BD360" s="76"/>
      <c r="BE360" s="38"/>
      <c r="BF360" s="38"/>
      <c r="BG360" s="38"/>
      <c r="BH360" s="39"/>
      <c r="BJ360" s="50"/>
      <c r="BK360" s="50"/>
    </row>
    <row r="361" spans="1:70" x14ac:dyDescent="0.2">
      <c r="A361" s="71" t="s">
        <v>1335</v>
      </c>
      <c r="D361" s="38"/>
      <c r="Q361" s="38" t="e">
        <f t="shared" si="155"/>
        <v>#DIV/0!</v>
      </c>
      <c r="R361" s="49"/>
      <c r="S361" s="39"/>
      <c r="T361" s="39"/>
      <c r="V361" s="76"/>
      <c r="W361" s="76"/>
      <c r="Z361" s="76"/>
      <c r="AA361" s="76"/>
      <c r="AB361" s="76"/>
      <c r="AC361" s="76"/>
      <c r="AD361" s="39"/>
      <c r="AE361" s="76"/>
      <c r="AF361" s="76"/>
      <c r="AG361" s="76"/>
      <c r="AH361" s="76"/>
      <c r="AI361" s="76"/>
      <c r="AL361" s="76"/>
      <c r="AM361" s="38"/>
      <c r="AN361" s="38"/>
      <c r="AO361" s="39"/>
      <c r="AP361" s="38"/>
      <c r="AQ361" s="38"/>
      <c r="AR361" s="38"/>
      <c r="AS361" s="49"/>
      <c r="AT361" s="49"/>
      <c r="AU361" s="49"/>
      <c r="AV361" s="49"/>
      <c r="AW361" s="49"/>
      <c r="AX361" s="49"/>
      <c r="AZ361" s="49"/>
      <c r="BA361" s="38"/>
      <c r="BB361" s="38"/>
      <c r="BC361" s="38"/>
      <c r="BD361" s="39"/>
      <c r="BE361" s="38"/>
      <c r="BF361" s="38"/>
      <c r="BG361" s="38"/>
      <c r="BH361" s="39"/>
      <c r="BJ361" s="50"/>
      <c r="BK361" s="50"/>
    </row>
    <row r="362" spans="1:70" x14ac:dyDescent="0.2">
      <c r="A362" s="71" t="s">
        <v>1335</v>
      </c>
      <c r="B362" s="50" t="s">
        <v>717</v>
      </c>
      <c r="D362" s="38"/>
      <c r="I362" s="38">
        <v>21.722587998995728</v>
      </c>
      <c r="L362" s="38" t="s">
        <v>1345</v>
      </c>
      <c r="M362" s="49">
        <v>0.3706842580969118</v>
      </c>
      <c r="N362" s="49">
        <v>0.12108762239517951</v>
      </c>
      <c r="Q362" s="38">
        <f t="shared" si="155"/>
        <v>0</v>
      </c>
      <c r="R362" s="49"/>
      <c r="S362" s="39"/>
      <c r="T362" s="39"/>
      <c r="V362" s="76"/>
      <c r="W362" s="76"/>
      <c r="X362" s="39">
        <v>37.834677378860142</v>
      </c>
      <c r="Y362" s="76">
        <v>23.548079337183026</v>
      </c>
      <c r="Z362" s="76"/>
      <c r="AA362" s="76"/>
      <c r="AB362" s="76">
        <v>0.34977655033894045</v>
      </c>
      <c r="AC362" s="76"/>
      <c r="AD362" s="39">
        <v>0.31078081847853367</v>
      </c>
      <c r="AE362" s="76">
        <v>125.35576198845089</v>
      </c>
      <c r="AF362" s="291">
        <f>1560*10^((LOG10(AU362/55.6)+LOG10(AV362/158.9))/2)</f>
        <v>64.264103597135517</v>
      </c>
      <c r="AG362" s="76">
        <v>190.72307306050712</v>
      </c>
      <c r="AH362" s="76"/>
      <c r="AI362" s="76">
        <v>1.7599297012302281E-2</v>
      </c>
      <c r="AJ362" s="38">
        <v>3.514637208134571E-2</v>
      </c>
      <c r="AK362" s="76">
        <v>146.29344715038911</v>
      </c>
      <c r="AL362" s="38">
        <v>11.940340446899322</v>
      </c>
      <c r="AM362" s="38">
        <v>31.024458950539788</v>
      </c>
      <c r="AN362" s="199">
        <f>89.1*EXP((LN(AL362/234.7)+2*LN(AO362/452.4))/3)</f>
        <v>4.2111109981697625</v>
      </c>
      <c r="AO362" s="39">
        <v>20.608636706000492</v>
      </c>
      <c r="AP362" s="38">
        <v>7.1313929199096142</v>
      </c>
      <c r="AQ362" s="38">
        <v>1.1490509666080841</v>
      </c>
      <c r="AR362" s="200">
        <f>AVERAGE(BP362:BR362)</f>
        <v>9.360690101827851</v>
      </c>
      <c r="AS362" s="49">
        <v>1.6805603816218928</v>
      </c>
      <c r="AT362" s="200">
        <f>(242.7*10^((4*LOG10(AS362/36.3)+LOG10(AX362/162.5))/5)+242.7*10^((4*LOG10(AP362/147.1)+4*LOG10(AX362/162.5))/8))/2</f>
        <v>10.56705017286907</v>
      </c>
      <c r="AU362" s="200">
        <f>(55.6*10^((3*LOG10(AS362/36.3)+2*LOG10(AX362/162.5))/5)+55.6*10^((3*LOG10(AP362/147.1)+5*LOG10(AX362/162.5))/8))/2</f>
        <v>2.3330737941284041</v>
      </c>
      <c r="AV362" s="200">
        <f>(158.9*10^((2*LOG10(AS362/36.3)+3*LOG10(AX362/162.5))/5)+158.9*10^((2*LOG10(AP362/147.1)+6*LOG10(AX362/162.5))/8))/2</f>
        <v>6.4262545540483451</v>
      </c>
      <c r="AW362" s="201">
        <f>(24.2*10^((LOG10(AS362/36.3)+4*LOG10(AX362/162.5))/5)+24.2*10^((LOG10(AP362/147.1)+7*LOG10(AX362/162.5))/8))/2</f>
        <v>0.94327948839077103</v>
      </c>
      <c r="AX362" s="49">
        <v>6.1049209138840048</v>
      </c>
      <c r="AY362" s="49">
        <v>0.85773196083354242</v>
      </c>
      <c r="AZ362" s="49">
        <v>5.1855641476274164</v>
      </c>
      <c r="BA362" s="38">
        <v>0.65821541551594265</v>
      </c>
      <c r="BB362" s="38">
        <v>0.13045443133316595</v>
      </c>
      <c r="BC362" s="38">
        <v>0.61245292493095649</v>
      </c>
      <c r="BD362" s="39">
        <v>0.63610343961837801</v>
      </c>
      <c r="BE362" s="38">
        <v>1.9788214913381867</v>
      </c>
      <c r="BF362" s="38">
        <v>0.53545066532764241</v>
      </c>
      <c r="BG362" s="38">
        <v>199.15</v>
      </c>
      <c r="BH362" s="39"/>
      <c r="BJ362" s="50"/>
      <c r="BK362" s="50"/>
      <c r="BP362" s="116">
        <f>196.6*10^(LOG10(AP362/147.1)+(LOG10(AP362/147.1)-LOG10(AL362/234.7))*0.4)</f>
        <v>9.3490705133374785</v>
      </c>
      <c r="BQ362" s="116">
        <f>196.6*10^(LOG10(AP362/147.1)+0.6666*(LOG10(AS362/36.3)-LOG10(AP362/147.1)))</f>
        <v>9.2428039807659683</v>
      </c>
      <c r="BR362" s="116">
        <f>196.6*10^(LOG10(AS362/36.3)-(LOG10(AX362/162.5)-LOG10(AS362/36.3))/5)</f>
        <v>9.4901958113801044</v>
      </c>
    </row>
    <row r="363" spans="1:70" x14ac:dyDescent="0.2">
      <c r="A363" s="71" t="s">
        <v>1335</v>
      </c>
      <c r="B363" s="50" t="s">
        <v>700</v>
      </c>
      <c r="D363" s="38">
        <f>SUM(E363:P363)</f>
        <v>99.86422867294101</v>
      </c>
      <c r="E363" s="38">
        <v>46.146042910379947</v>
      </c>
      <c r="F363" s="38">
        <v>3.452603738298869</v>
      </c>
      <c r="G363" s="38">
        <v>9.614846158923644</v>
      </c>
      <c r="H363" s="49">
        <v>0.32729769434464878</v>
      </c>
      <c r="I363" s="38">
        <v>21.781753842830913</v>
      </c>
      <c r="J363" s="49">
        <v>0.29385124338697288</v>
      </c>
      <c r="K363" s="38">
        <v>6.7513863188081791</v>
      </c>
      <c r="L363" s="38">
        <v>10.929659631932374</v>
      </c>
      <c r="M363" s="49">
        <v>0.377128622340617</v>
      </c>
      <c r="N363" s="49">
        <v>9.3432156959880677E-2</v>
      </c>
      <c r="O363" s="49">
        <v>9.6226354734973985E-2</v>
      </c>
      <c r="Q363" s="38">
        <f t="shared" si="155"/>
        <v>35.588937400657187</v>
      </c>
      <c r="R363" s="49"/>
      <c r="S363" s="39"/>
      <c r="T363" s="39">
        <v>59.742430328897804</v>
      </c>
      <c r="V363" s="76">
        <v>2331.5958825006269</v>
      </c>
      <c r="W363" s="76"/>
      <c r="Z363" s="76"/>
      <c r="AA363" s="76"/>
      <c r="AB363" s="76"/>
      <c r="AC363" s="76"/>
      <c r="AD363" s="39"/>
      <c r="AE363" s="76"/>
      <c r="AF363" s="76"/>
      <c r="AG363" s="76"/>
      <c r="AH363" s="76"/>
      <c r="AI363" s="76"/>
      <c r="AL363" s="38"/>
      <c r="AM363" s="38"/>
      <c r="AN363" s="38"/>
      <c r="AO363" s="39"/>
      <c r="AP363" s="38"/>
      <c r="AQ363" s="38"/>
      <c r="AR363" s="38"/>
      <c r="AS363" s="49"/>
      <c r="AT363" s="38"/>
      <c r="AU363" s="49"/>
      <c r="AV363" s="49"/>
      <c r="AW363" s="49"/>
      <c r="AX363" s="49"/>
      <c r="AZ363" s="49"/>
      <c r="BA363" s="38"/>
      <c r="BB363" s="38"/>
      <c r="BC363" s="38"/>
      <c r="BD363" s="39"/>
      <c r="BE363" s="38"/>
      <c r="BF363" s="38"/>
      <c r="BG363" s="38"/>
      <c r="BH363" s="39"/>
      <c r="BJ363" s="50"/>
      <c r="BK363" s="50"/>
    </row>
    <row r="364" spans="1:70" x14ac:dyDescent="0.2">
      <c r="A364" s="71" t="s">
        <v>1335</v>
      </c>
      <c r="B364" s="2" t="s">
        <v>1565</v>
      </c>
      <c r="D364" s="38">
        <f>SUM(E364:P364)</f>
        <v>99.92</v>
      </c>
      <c r="E364" s="600">
        <v>47.1</v>
      </c>
      <c r="F364" s="38">
        <v>3.14</v>
      </c>
      <c r="G364" s="38">
        <v>9.65</v>
      </c>
      <c r="H364" s="49">
        <v>0.3</v>
      </c>
      <c r="I364" s="38">
        <v>21.2</v>
      </c>
      <c r="J364" s="49">
        <v>0.28000000000000003</v>
      </c>
      <c r="K364" s="38">
        <v>6.83</v>
      </c>
      <c r="L364" s="38">
        <v>10.9</v>
      </c>
      <c r="M364" s="49">
        <v>0.36</v>
      </c>
      <c r="N364" s="49">
        <v>0.16</v>
      </c>
      <c r="Q364" s="38">
        <f t="shared" si="155"/>
        <v>36.479730357509226</v>
      </c>
      <c r="R364" s="49"/>
      <c r="S364" s="39"/>
      <c r="T364" s="39">
        <v>49.95</v>
      </c>
      <c r="U364" s="76">
        <v>113.87</v>
      </c>
      <c r="V364" s="76">
        <v>2028.6</v>
      </c>
      <c r="W364" s="76"/>
      <c r="X364" s="39">
        <v>34.75</v>
      </c>
      <c r="Y364" s="76">
        <v>28.29</v>
      </c>
      <c r="Z364" s="76">
        <v>36.43</v>
      </c>
      <c r="AA364" s="76">
        <v>3.59</v>
      </c>
      <c r="AB364" s="76"/>
      <c r="AC364" s="76"/>
      <c r="AD364" s="39">
        <v>2.12</v>
      </c>
      <c r="AE364" s="76">
        <v>162.49</v>
      </c>
      <c r="AF364" s="76">
        <v>66.2</v>
      </c>
      <c r="AG364" s="76">
        <v>205.59</v>
      </c>
      <c r="AH364" s="76">
        <v>14.82</v>
      </c>
      <c r="AI364" s="76">
        <v>0.05</v>
      </c>
      <c r="AJ364" s="38">
        <v>0.04</v>
      </c>
      <c r="AK364" s="76">
        <v>152.27000000000001</v>
      </c>
      <c r="AL364" s="38">
        <v>12.32</v>
      </c>
      <c r="AM364" s="38">
        <v>32.83</v>
      </c>
      <c r="AN364" s="38">
        <v>4.55</v>
      </c>
      <c r="AO364" s="39">
        <v>22.96</v>
      </c>
      <c r="AP364" s="38">
        <v>7.24</v>
      </c>
      <c r="AQ364" s="38">
        <v>1.22</v>
      </c>
      <c r="AR364" s="38">
        <v>10.16</v>
      </c>
      <c r="AS364" s="49">
        <v>1.71</v>
      </c>
      <c r="AT364" s="38">
        <v>11.66</v>
      </c>
      <c r="AU364" s="49">
        <v>2.46</v>
      </c>
      <c r="AV364" s="49">
        <v>6.7</v>
      </c>
      <c r="AW364" s="49">
        <v>0.99</v>
      </c>
      <c r="AX364" s="49">
        <v>6.48</v>
      </c>
      <c r="AY364" s="49">
        <v>0.91</v>
      </c>
      <c r="AZ364" s="49">
        <v>5.15</v>
      </c>
      <c r="BA364" s="38">
        <v>0.61</v>
      </c>
      <c r="BB364" s="38">
        <v>0.51</v>
      </c>
      <c r="BC364" s="38"/>
      <c r="BD364" s="39"/>
      <c r="BE364" s="38">
        <v>2</v>
      </c>
      <c r="BF364" s="38">
        <v>0.48</v>
      </c>
      <c r="BG364" s="38"/>
      <c r="BH364" s="39"/>
      <c r="BJ364" s="50"/>
      <c r="BK364" s="50"/>
    </row>
    <row r="365" spans="1:70" x14ac:dyDescent="0.2">
      <c r="A365" s="71" t="s">
        <v>1335</v>
      </c>
      <c r="B365" s="50" t="s">
        <v>1336</v>
      </c>
      <c r="D365" s="38">
        <f>SUM(E365:P365)</f>
        <v>99.792306719999999</v>
      </c>
      <c r="E365" s="248">
        <v>45</v>
      </c>
      <c r="F365" s="38">
        <v>3.15</v>
      </c>
      <c r="G365" s="38">
        <v>10.119999999999999</v>
      </c>
      <c r="H365" s="49">
        <f>V365*1.4616/10000</f>
        <v>0.34230672000000001</v>
      </c>
      <c r="I365" s="38">
        <v>22.05</v>
      </c>
      <c r="J365" s="49">
        <v>0.3</v>
      </c>
      <c r="K365" s="38">
        <v>6.76</v>
      </c>
      <c r="L365" s="38">
        <v>11.45</v>
      </c>
      <c r="M365" s="49">
        <v>0.36</v>
      </c>
      <c r="N365" s="49">
        <v>0.13</v>
      </c>
      <c r="O365" s="49">
        <v>0.13</v>
      </c>
      <c r="Q365" s="38">
        <f t="shared" si="155"/>
        <v>35.337984887696742</v>
      </c>
      <c r="R365" s="49"/>
      <c r="S365" s="39"/>
      <c r="T365" s="39">
        <v>62.31</v>
      </c>
      <c r="V365" s="76">
        <v>2342</v>
      </c>
      <c r="W365" s="76"/>
      <c r="X365" s="39">
        <v>34.46</v>
      </c>
      <c r="Y365" s="76">
        <v>25.32</v>
      </c>
      <c r="Z365" s="76">
        <v>2.2400000000000002</v>
      </c>
      <c r="AA365" s="76">
        <v>4.03</v>
      </c>
      <c r="AB365" s="76"/>
      <c r="AC365" s="76"/>
      <c r="AD365" s="39">
        <v>1.98</v>
      </c>
      <c r="AE365" s="39">
        <v>147.58000000000001</v>
      </c>
      <c r="AF365" s="291">
        <f>1560*10^((LOG10(AU365/55.6)+LOG10(AV365/158.9))/2)</f>
        <v>70.322217952656132</v>
      </c>
      <c r="AG365" s="76">
        <v>207.59</v>
      </c>
      <c r="AH365" s="76">
        <v>14.81</v>
      </c>
      <c r="AI365" s="76"/>
      <c r="AJ365" s="38">
        <v>0.06</v>
      </c>
      <c r="AK365" s="76">
        <v>157.07</v>
      </c>
      <c r="AL365" s="38">
        <v>12.43</v>
      </c>
      <c r="AM365" s="38">
        <v>32.619999999999997</v>
      </c>
      <c r="AN365" s="38">
        <v>4.76</v>
      </c>
      <c r="AO365" s="39">
        <v>23.24</v>
      </c>
      <c r="AP365" s="38">
        <v>7.37</v>
      </c>
      <c r="AQ365" s="38">
        <v>1.27</v>
      </c>
      <c r="AR365" s="38">
        <v>9.14</v>
      </c>
      <c r="AS365" s="49">
        <v>1.76</v>
      </c>
      <c r="AT365" s="38">
        <v>11.76</v>
      </c>
      <c r="AU365" s="49">
        <v>2.4900000000000002</v>
      </c>
      <c r="AV365" s="49">
        <v>7.21</v>
      </c>
      <c r="AW365" s="49"/>
      <c r="AX365" s="49">
        <v>6.61</v>
      </c>
      <c r="AY365" s="49">
        <v>0.9</v>
      </c>
      <c r="AZ365" s="49">
        <v>5.32</v>
      </c>
      <c r="BA365" s="38">
        <v>0.77</v>
      </c>
      <c r="BB365" s="38">
        <v>0.26</v>
      </c>
      <c r="BC365" s="38"/>
      <c r="BD365" s="39"/>
      <c r="BE365" s="38">
        <v>2.19</v>
      </c>
      <c r="BF365" s="38">
        <v>0.53</v>
      </c>
      <c r="BG365" s="38">
        <v>450</v>
      </c>
      <c r="BH365" s="39"/>
      <c r="BJ365" s="50"/>
      <c r="BK365" s="50"/>
      <c r="BP365" s="116">
        <f>196.6*10^(LOG10(AP365/147.1)+(LOG10(AP365/147.1)-LOG10(AL365/234.7))*0.4)</f>
        <v>9.6337869798767723</v>
      </c>
      <c r="BQ365" s="116">
        <f>196.6*10^(LOG10(AP365/147.1)+0.6666*(LOG10(AS365/36.3)-LOG10(AP365/147.1)))</f>
        <v>9.6369609011200534</v>
      </c>
      <c r="BR365" s="116">
        <f>196.6*10^(LOG10(AS365/36.3)-(LOG10(AX365/162.5)-LOG10(AS365/36.3))/5)</f>
        <v>9.8728183384722676</v>
      </c>
    </row>
    <row r="366" spans="1:70" x14ac:dyDescent="0.2">
      <c r="A366" s="71" t="s">
        <v>1330</v>
      </c>
      <c r="B366" s="36" t="s">
        <v>279</v>
      </c>
      <c r="E366" s="34">
        <f>AVERAGE(E360:E365)</f>
        <v>46.082014303459978</v>
      </c>
      <c r="F366" s="34">
        <f t="shared" ref="F366:O366" si="170">AVERAGE(F360:F365)</f>
        <v>3.2475345794329566</v>
      </c>
      <c r="G366" s="34">
        <f t="shared" si="170"/>
        <v>9.7949487196412139</v>
      </c>
      <c r="H366" s="37">
        <f t="shared" si="170"/>
        <v>0.32320147144821626</v>
      </c>
      <c r="I366" s="34">
        <f t="shared" si="170"/>
        <v>21.688585460456661</v>
      </c>
      <c r="J366" s="37">
        <f t="shared" si="170"/>
        <v>0.29128374779565763</v>
      </c>
      <c r="K366" s="34">
        <f t="shared" si="170"/>
        <v>6.7804621062693924</v>
      </c>
      <c r="L366" s="34">
        <f t="shared" si="170"/>
        <v>11.093219877310792</v>
      </c>
      <c r="M366" s="37">
        <f t="shared" si="170"/>
        <v>0.36695322010938214</v>
      </c>
      <c r="N366" s="37">
        <f t="shared" si="170"/>
        <v>0.12612994483876505</v>
      </c>
      <c r="O366" s="37">
        <f t="shared" si="170"/>
        <v>0.11311317736748699</v>
      </c>
      <c r="P366" s="36"/>
      <c r="Q366" s="38">
        <f t="shared" si="155"/>
        <v>35.785951058195124</v>
      </c>
      <c r="R366" s="36"/>
      <c r="S366" s="36"/>
      <c r="T366" s="72">
        <f>AVERAGE(T360:T365)</f>
        <v>57.334143442965939</v>
      </c>
      <c r="U366" s="35"/>
      <c r="V366" s="35">
        <f>AVERAGE(V360:V365)</f>
        <v>2234.0652941668754</v>
      </c>
      <c r="W366" s="36"/>
      <c r="X366" s="72">
        <f>AVERAGE(X360:X365)</f>
        <v>35.681559126286714</v>
      </c>
      <c r="Y366" s="35">
        <f>AVERAGE(Y360:Y365)</f>
        <v>25.719359779061008</v>
      </c>
      <c r="Z366" s="35">
        <f>AVERAGE(Z360:Z365)</f>
        <v>19.335000000000001</v>
      </c>
      <c r="AA366" s="215"/>
      <c r="AB366" s="215"/>
      <c r="AC366" s="215"/>
      <c r="AD366" s="72">
        <f>AVERAGE(AD360:AD365)</f>
        <v>1.470260272826178</v>
      </c>
      <c r="AE366" s="35">
        <f>AVERAGE(AE360:AE365)</f>
        <v>145.141920662817</v>
      </c>
      <c r="AF366" s="35">
        <f>AVERAGE(AF360:AF365)</f>
        <v>66.92877384993055</v>
      </c>
      <c r="AG366" s="35">
        <f>AVERAGE(AG360:AG365)</f>
        <v>201.30102435350238</v>
      </c>
      <c r="AH366" s="35"/>
      <c r="AI366" s="35"/>
      <c r="AJ366" s="34">
        <f>AVERAGE(AJ360:AJ365)</f>
        <v>4.5048790693781905E-2</v>
      </c>
      <c r="AK366" s="35">
        <f>AVERAGE(AK360:AK365)</f>
        <v>151.87781571679639</v>
      </c>
      <c r="AL366" s="34">
        <f t="shared" ref="AL366:AY366" si="171">AVERAGE(AL360:AL365)</f>
        <v>12.230113482299773</v>
      </c>
      <c r="AM366" s="34">
        <f t="shared" si="171"/>
        <v>32.158152983513261</v>
      </c>
      <c r="AN366" s="34">
        <f t="shared" si="171"/>
        <v>4.5070369993899204</v>
      </c>
      <c r="AO366" s="34">
        <f t="shared" si="171"/>
        <v>22.269545568666828</v>
      </c>
      <c r="AP366" s="34">
        <f t="shared" si="171"/>
        <v>7.2471309733032045</v>
      </c>
      <c r="AQ366" s="34">
        <f t="shared" si="171"/>
        <v>1.2130169888693614</v>
      </c>
      <c r="AR366" s="34">
        <f t="shared" si="171"/>
        <v>9.5535633672759506</v>
      </c>
      <c r="AS366" s="34">
        <f t="shared" si="171"/>
        <v>1.7168534605406309</v>
      </c>
      <c r="AT366" s="34">
        <f t="shared" si="171"/>
        <v>11.329016724289689</v>
      </c>
      <c r="AU366" s="34">
        <f t="shared" si="171"/>
        <v>2.4276912647094679</v>
      </c>
      <c r="AV366" s="34">
        <f t="shared" si="171"/>
        <v>6.7787515180161151</v>
      </c>
      <c r="AW366" s="34">
        <f t="shared" si="171"/>
        <v>0.96663974419538556</v>
      </c>
      <c r="AX366" s="34">
        <f t="shared" si="171"/>
        <v>6.3983069712946685</v>
      </c>
      <c r="AY366" s="34">
        <f t="shared" si="171"/>
        <v>0.88924398694451412</v>
      </c>
      <c r="AZ366" s="34">
        <f t="shared" ref="AZ366:BF366" si="172">AVERAGE(AZ360:AZ365)</f>
        <v>5.2185213825424723</v>
      </c>
      <c r="BA366" s="34">
        <f t="shared" si="172"/>
        <v>0.67940513850531425</v>
      </c>
      <c r="BB366" s="72">
        <f t="shared" si="172"/>
        <v>0.30015147711105533</v>
      </c>
      <c r="BC366" s="72">
        <f t="shared" si="172"/>
        <v>0.61245292493095649</v>
      </c>
      <c r="BD366" s="35">
        <f t="shared" si="172"/>
        <v>0.63610343961837801</v>
      </c>
      <c r="BE366" s="34">
        <f t="shared" si="172"/>
        <v>2.0562738304460626</v>
      </c>
      <c r="BF366" s="34">
        <f t="shared" si="172"/>
        <v>0.51515022177588077</v>
      </c>
      <c r="BG366" s="38"/>
      <c r="BH366" s="39"/>
      <c r="BJ366" s="50"/>
      <c r="BK366" s="50"/>
    </row>
    <row r="367" spans="1:70" x14ac:dyDescent="0.2">
      <c r="A367" s="71"/>
      <c r="K367" s="49"/>
      <c r="Q367" s="38" t="e">
        <f t="shared" si="155"/>
        <v>#DIV/0!</v>
      </c>
      <c r="R367" s="49"/>
      <c r="S367" s="39"/>
      <c r="T367" s="39"/>
      <c r="V367" s="76"/>
      <c r="W367" s="76"/>
      <c r="Z367" s="76"/>
      <c r="AA367" s="76"/>
      <c r="AB367" s="76"/>
      <c r="AC367" s="76"/>
      <c r="AD367" s="39"/>
      <c r="AE367" s="39"/>
      <c r="AF367" s="76"/>
      <c r="AG367" s="76"/>
      <c r="AH367" s="76"/>
      <c r="AI367" s="76"/>
      <c r="AL367" s="76"/>
      <c r="AM367" s="38"/>
      <c r="AN367" s="38"/>
      <c r="AO367" s="39"/>
      <c r="AP367" s="38">
        <f>AP366/AQ366</f>
        <v>5.9744678267516838</v>
      </c>
      <c r="AQ367" s="38"/>
      <c r="AR367" s="38"/>
      <c r="AS367" s="49"/>
      <c r="AT367" s="49"/>
      <c r="AU367" s="49"/>
      <c r="AV367" s="49"/>
      <c r="AW367" s="49"/>
      <c r="AX367" s="49"/>
      <c r="AZ367" s="49"/>
      <c r="BA367" s="38"/>
      <c r="BB367" s="38"/>
      <c r="BC367" s="38"/>
      <c r="BD367" s="39"/>
      <c r="BE367" s="39"/>
      <c r="BF367" s="38"/>
      <c r="BG367" s="38"/>
      <c r="BH367" s="39"/>
      <c r="BJ367" s="50"/>
      <c r="BK367" s="50"/>
    </row>
    <row r="368" spans="1:70" x14ac:dyDescent="0.2">
      <c r="A368" s="71"/>
      <c r="K368" s="49"/>
      <c r="Q368" s="38" t="e">
        <f t="shared" si="155"/>
        <v>#DIV/0!</v>
      </c>
      <c r="R368" s="49"/>
      <c r="S368" s="39"/>
      <c r="T368" s="39"/>
      <c r="V368" s="76"/>
      <c r="W368" s="76"/>
      <c r="Z368" s="76"/>
      <c r="AA368" s="76"/>
      <c r="AB368" s="76"/>
      <c r="AC368" s="76"/>
      <c r="AD368" s="39"/>
      <c r="AE368" s="39"/>
      <c r="AF368" s="76"/>
      <c r="AG368" s="76"/>
      <c r="AH368" s="76"/>
      <c r="AI368" s="76"/>
      <c r="AL368" s="76"/>
      <c r="AM368" s="38"/>
      <c r="AN368" s="38"/>
      <c r="AO368" s="39"/>
      <c r="AP368" s="38"/>
      <c r="AQ368" s="38"/>
      <c r="AR368" s="38"/>
      <c r="AS368" s="49"/>
      <c r="AT368" s="49"/>
      <c r="AU368" s="49"/>
      <c r="AV368" s="49"/>
      <c r="AW368" s="49"/>
      <c r="AX368" s="49"/>
      <c r="AZ368" s="49"/>
      <c r="BA368" s="38"/>
      <c r="BB368" s="38"/>
      <c r="BC368" s="38"/>
      <c r="BD368" s="39"/>
      <c r="BE368" s="39"/>
      <c r="BF368" s="38"/>
      <c r="BG368" s="38"/>
      <c r="BH368" s="39"/>
      <c r="BJ368" s="50"/>
      <c r="BK368" s="50"/>
    </row>
    <row r="369" spans="1:70" x14ac:dyDescent="0.2">
      <c r="A369" s="71"/>
      <c r="K369" s="49"/>
      <c r="Q369" s="38" t="e">
        <f t="shared" si="155"/>
        <v>#DIV/0!</v>
      </c>
      <c r="R369" s="49"/>
      <c r="S369" s="39"/>
      <c r="T369" s="39"/>
      <c r="V369" s="76"/>
      <c r="W369" s="76"/>
      <c r="Z369" s="76"/>
      <c r="AA369" s="76"/>
      <c r="AB369" s="76"/>
      <c r="AC369" s="76"/>
      <c r="AD369" s="39"/>
      <c r="AE369" s="39"/>
      <c r="AF369" s="76"/>
      <c r="AG369" s="76"/>
      <c r="AH369" s="76"/>
      <c r="AI369" s="76"/>
      <c r="AL369" s="76"/>
      <c r="AM369" s="38"/>
      <c r="AN369" s="38"/>
      <c r="AO369" s="39"/>
      <c r="AP369" s="38"/>
      <c r="AQ369" s="38"/>
      <c r="AR369" s="38"/>
      <c r="AS369" s="49"/>
      <c r="AT369" s="49"/>
      <c r="AU369" s="49"/>
      <c r="AV369" s="49"/>
      <c r="AW369" s="49"/>
      <c r="AX369" s="49"/>
      <c r="AZ369" s="49"/>
      <c r="BA369" s="38"/>
      <c r="BB369" s="38"/>
      <c r="BC369" s="38"/>
      <c r="BD369" s="39"/>
      <c r="BE369" s="39"/>
      <c r="BF369" s="38"/>
      <c r="BG369" s="38"/>
      <c r="BH369" s="39"/>
      <c r="BJ369" s="50"/>
      <c r="BK369" s="50"/>
    </row>
    <row r="370" spans="1:70" x14ac:dyDescent="0.2">
      <c r="A370" s="71"/>
      <c r="E370" s="50"/>
      <c r="F370" s="50"/>
      <c r="G370" s="50"/>
      <c r="H370" s="50"/>
      <c r="I370" s="117"/>
      <c r="J370" s="50"/>
      <c r="K370" s="117"/>
      <c r="L370" s="116"/>
      <c r="M370" s="78"/>
      <c r="N370" s="78"/>
      <c r="O370" s="50"/>
      <c r="Q370" s="38" t="e">
        <f t="shared" si="155"/>
        <v>#DIV/0!</v>
      </c>
      <c r="R370" s="117"/>
      <c r="T370" s="116"/>
      <c r="U370" s="50"/>
      <c r="V370" s="116"/>
      <c r="X370" s="116"/>
      <c r="Y370" s="117"/>
      <c r="AA370" s="117"/>
      <c r="AB370" s="116"/>
      <c r="AC370" s="117"/>
      <c r="AD370" s="117"/>
      <c r="AE370" s="78"/>
      <c r="AG370" s="78"/>
      <c r="AI370" s="248"/>
      <c r="AJ370" s="248"/>
      <c r="AK370" s="89"/>
      <c r="AL370" s="89"/>
      <c r="AM370" s="89"/>
      <c r="AN370" s="38"/>
      <c r="AO370" s="248"/>
      <c r="AP370" s="89"/>
      <c r="AQ370" s="89"/>
      <c r="AR370" s="38"/>
      <c r="AS370" s="89"/>
      <c r="AT370" s="49"/>
      <c r="AU370" s="49"/>
      <c r="AV370" s="49"/>
      <c r="AW370" s="49"/>
      <c r="AX370" s="89"/>
      <c r="AY370" s="89"/>
      <c r="AZ370" s="248"/>
      <c r="BA370" s="248"/>
      <c r="BB370" s="89"/>
      <c r="BC370" s="89"/>
      <c r="BD370" s="89"/>
      <c r="BE370" s="89"/>
      <c r="BF370" s="116"/>
      <c r="BG370" s="89"/>
      <c r="BH370" s="39"/>
      <c r="BJ370" s="50"/>
      <c r="BK370" s="50"/>
    </row>
    <row r="371" spans="1:70" x14ac:dyDescent="0.2">
      <c r="A371" t="s">
        <v>1346</v>
      </c>
      <c r="B371" s="30" t="s">
        <v>717</v>
      </c>
      <c r="E371" s="50"/>
      <c r="F371" s="50"/>
      <c r="G371" s="50"/>
      <c r="H371" s="50"/>
      <c r="I371" s="30">
        <v>17.173462958776096</v>
      </c>
      <c r="J371" s="50"/>
      <c r="K371" s="31"/>
      <c r="L371" s="33" t="s">
        <v>78</v>
      </c>
      <c r="M371" s="32">
        <v>0.29644772178636086</v>
      </c>
      <c r="N371" s="30" t="s">
        <v>1150</v>
      </c>
      <c r="O371" s="50"/>
      <c r="Q371" s="38">
        <f t="shared" si="155"/>
        <v>0</v>
      </c>
      <c r="R371" s="33"/>
      <c r="T371" s="33">
        <v>65.418610440555213</v>
      </c>
      <c r="U371" s="50"/>
      <c r="V371" s="31">
        <v>3026.5509957754975</v>
      </c>
      <c r="X371" s="33">
        <v>24.838216656608328</v>
      </c>
      <c r="Y371" s="31">
        <v>18.512371756185878</v>
      </c>
      <c r="AA371" s="33"/>
      <c r="AB371" s="33">
        <v>0.15683464091732047</v>
      </c>
      <c r="AC371" s="33">
        <v>7.4494568497284253E-2</v>
      </c>
      <c r="AD371" s="31">
        <v>0</v>
      </c>
      <c r="AE371">
        <v>103.06125528062763</v>
      </c>
      <c r="AF371" s="291">
        <f>1560*10^((LOG10(AU371/55.6)+LOG10(AV371/158.9))/2)</f>
        <v>41.561995354518864</v>
      </c>
      <c r="AG371" s="31">
        <v>145.29269764634881</v>
      </c>
      <c r="AI371" s="30">
        <v>1.7248792999396502E-2</v>
      </c>
      <c r="AJ371" s="30">
        <v>4.799336149668075E-2</v>
      </c>
      <c r="AK371" s="31">
        <v>72.542094146047077</v>
      </c>
      <c r="AL371" s="30">
        <v>4.7137070006035007</v>
      </c>
      <c r="AM371" s="33">
        <v>14.850256487628245</v>
      </c>
      <c r="AN371" s="199">
        <f>89.1*EXP((LN(AL371/234.7)+2*LN(AO371/452.4))/3)</f>
        <v>2.1739284733145978</v>
      </c>
      <c r="AO371" s="33">
        <v>12.166038020519011</v>
      </c>
      <c r="AP371" s="30">
        <v>4.559337658418829</v>
      </c>
      <c r="AQ371" s="32">
        <v>0.99812160531080274</v>
      </c>
      <c r="AR371" s="200">
        <f>AVERAGE(BP371:BR371)</f>
        <v>6.3532723074308182</v>
      </c>
      <c r="AS371" s="32">
        <v>1.0614182257091129</v>
      </c>
      <c r="AT371" s="200">
        <f>(242.7*10^((4*LOG10(AS371/36.3)+LOG10(AX371/162.5))/5)+242.7*10^((4*LOG10(AP371/147.1)+4*LOG10(AX371/162.5))/8))/2</f>
        <v>6.7802737187340476</v>
      </c>
      <c r="AU371" s="200">
        <f>(55.6*10^((3*LOG10(AS371/36.3)+2*LOG10(AX371/162.5))/5)+55.6*10^((3*LOG10(AP371/147.1)+5*LOG10(AX371/162.5))/8))/2</f>
        <v>1.5049220035344384</v>
      </c>
      <c r="AV371" s="200">
        <f>(158.9*10^((2*LOG10(AS371/36.3)+3*LOG10(AX371/162.5))/5)+158.9*10^((2*LOG10(AP371/147.1)+6*LOG10(AX371/162.5))/8))/2</f>
        <v>4.167045849337784</v>
      </c>
      <c r="AW371" s="201">
        <f>(24.2*10^((LOG10(AS371/36.3)+4*LOG10(AX371/162.5))/5)+24.2*10^((LOG10(AP371/147.1)+7*LOG10(AX371/162.5))/8))/2</f>
        <v>0.61487715853040092</v>
      </c>
      <c r="AX371" s="30">
        <v>4.0003538020519009</v>
      </c>
      <c r="AY371" s="32">
        <v>0.57049607724803852</v>
      </c>
      <c r="AZ371" s="30">
        <v>4.4561315630657816</v>
      </c>
      <c r="BA371" s="30">
        <v>0.23617682558841283</v>
      </c>
      <c r="BB371" s="33">
        <v>2.7994870247435123E-2</v>
      </c>
      <c r="BC371" s="33">
        <v>0.48713789981894995</v>
      </c>
      <c r="BD371" s="33">
        <v>0.46922148461074231</v>
      </c>
      <c r="BE371" s="30">
        <v>0.44174185274592637</v>
      </c>
      <c r="BF371" s="30">
        <v>0.1080710621605311</v>
      </c>
      <c r="BG371" s="30">
        <v>132.56</v>
      </c>
      <c r="BH371" s="39"/>
      <c r="BJ371" s="50"/>
      <c r="BK371" s="50"/>
      <c r="BP371" s="116">
        <f>196.6*10^(LOG10(AP371/147.1)+(LOG10(AP371/147.1)-LOG10(AL371/234.7))*0.4)</f>
        <v>7.2485048420504947</v>
      </c>
      <c r="BQ371" s="116">
        <f>196.6*10^(LOG10(AP371/147.1)+0.6666*(LOG10(AS371/36.3)-LOG10(AP371/147.1)))</f>
        <v>5.8614019684707497</v>
      </c>
      <c r="BR371" s="116">
        <f>196.6*10^(LOG10(AS371/36.3)-(LOG10(AX371/162.5)-LOG10(AS371/36.3))/5)</f>
        <v>5.9499101117712101</v>
      </c>
    </row>
    <row r="372" spans="1:70" x14ac:dyDescent="0.2">
      <c r="A372" t="s">
        <v>1346</v>
      </c>
      <c r="B372" s="30" t="s">
        <v>700</v>
      </c>
      <c r="E372" s="38">
        <v>46.724927602133867</v>
      </c>
      <c r="F372" s="38">
        <v>2.3238358336059024</v>
      </c>
      <c r="G372" s="38">
        <v>12.40090512583269</v>
      </c>
      <c r="H372" s="38">
        <v>0.44192730074609993</v>
      </c>
      <c r="I372" s="38">
        <v>17.173462958776096</v>
      </c>
      <c r="J372" s="38">
        <v>0.25300099273547377</v>
      </c>
      <c r="K372" s="38">
        <v>8.3072960693358002</v>
      </c>
      <c r="L372" s="38">
        <v>11.424930524370055</v>
      </c>
      <c r="M372" s="49">
        <v>0.29615728389479234</v>
      </c>
      <c r="N372" s="38">
        <v>4.5420498085230188E-2</v>
      </c>
      <c r="O372" s="38">
        <v>3.1546606392826256E-2</v>
      </c>
      <c r="Q372" s="38">
        <f t="shared" si="155"/>
        <v>46.302836699051987</v>
      </c>
      <c r="R372" s="33"/>
      <c r="T372" s="33"/>
      <c r="U372" s="50"/>
      <c r="V372" s="31"/>
      <c r="X372" s="33"/>
      <c r="Y372" s="31"/>
      <c r="AA372" s="33"/>
      <c r="AB372" s="33"/>
      <c r="AC372" s="33"/>
      <c r="AD372" s="31"/>
      <c r="AE372"/>
      <c r="AG372" s="31"/>
      <c r="AI372" s="30"/>
      <c r="AJ372" s="30"/>
      <c r="AK372" s="31"/>
      <c r="AL372" s="30"/>
      <c r="AM372" s="33"/>
      <c r="AN372" s="38"/>
      <c r="AO372" s="33"/>
      <c r="AP372" s="30"/>
      <c r="AQ372" s="32"/>
      <c r="AR372" s="38"/>
      <c r="AS372" s="32"/>
      <c r="AT372" s="49"/>
      <c r="AU372" s="49"/>
      <c r="AV372" s="49"/>
      <c r="AW372" s="49"/>
      <c r="AX372" s="30"/>
      <c r="AY372" s="32"/>
      <c r="AZ372" s="30"/>
      <c r="BA372" s="30"/>
      <c r="BB372" s="33"/>
      <c r="BC372" s="33"/>
      <c r="BD372" s="33"/>
      <c r="BE372" s="30"/>
      <c r="BF372" s="30"/>
      <c r="BG372" s="30"/>
      <c r="BH372" s="39"/>
      <c r="BJ372" s="50"/>
      <c r="BK372" s="50"/>
    </row>
    <row r="373" spans="1:70" x14ac:dyDescent="0.2">
      <c r="A373" t="s">
        <v>1346</v>
      </c>
      <c r="B373" s="30"/>
      <c r="E373" s="50"/>
      <c r="F373" s="50"/>
      <c r="G373" s="50"/>
      <c r="H373" s="50"/>
      <c r="I373" s="30"/>
      <c r="J373" s="50"/>
      <c r="K373" s="31"/>
      <c r="L373" s="33"/>
      <c r="M373" s="32"/>
      <c r="N373" s="33"/>
      <c r="O373" s="50"/>
      <c r="Q373" s="38" t="e">
        <f t="shared" si="155"/>
        <v>#DIV/0!</v>
      </c>
      <c r="R373" s="33"/>
      <c r="T373" s="33"/>
      <c r="U373" s="50"/>
      <c r="V373" s="31"/>
      <c r="X373" s="33"/>
      <c r="Y373" s="31"/>
      <c r="AA373" s="33"/>
      <c r="AB373" s="33"/>
      <c r="AC373" s="33"/>
      <c r="AD373" s="31"/>
      <c r="AE373"/>
      <c r="AG373" s="31"/>
      <c r="AI373" s="30"/>
      <c r="AJ373" s="30"/>
      <c r="AK373" s="31"/>
      <c r="AL373" s="30"/>
      <c r="AM373" s="33"/>
      <c r="AN373" s="38"/>
      <c r="AO373" s="33"/>
      <c r="AP373" s="30"/>
      <c r="AQ373" s="32"/>
      <c r="AR373" s="38"/>
      <c r="AS373" s="32"/>
      <c r="AT373" s="49"/>
      <c r="AU373" s="49"/>
      <c r="AV373" s="49"/>
      <c r="AW373" s="49"/>
      <c r="AX373" s="30"/>
      <c r="AY373" s="32"/>
      <c r="AZ373" s="30"/>
      <c r="BA373" s="30"/>
      <c r="BB373" s="33"/>
      <c r="BC373" s="33"/>
      <c r="BD373" s="33"/>
      <c r="BE373" s="30"/>
      <c r="BF373" s="30"/>
      <c r="BG373" s="30"/>
      <c r="BH373" s="39"/>
      <c r="BJ373" s="50"/>
      <c r="BK373" s="50"/>
    </row>
    <row r="374" spans="1:70" x14ac:dyDescent="0.2">
      <c r="A374" s="36" t="s">
        <v>1346</v>
      </c>
      <c r="B374" s="30"/>
      <c r="E374" s="34">
        <f t="shared" ref="E374:O374" si="173">AVERAGE(E371:E373)</f>
        <v>46.724927602133867</v>
      </c>
      <c r="F374" s="34">
        <f t="shared" si="173"/>
        <v>2.3238358336059024</v>
      </c>
      <c r="G374" s="34">
        <f t="shared" si="173"/>
        <v>12.40090512583269</v>
      </c>
      <c r="H374" s="37">
        <f t="shared" si="173"/>
        <v>0.44192730074609993</v>
      </c>
      <c r="I374" s="34">
        <f t="shared" si="173"/>
        <v>17.173462958776096</v>
      </c>
      <c r="J374" s="37">
        <f t="shared" si="173"/>
        <v>0.25300099273547377</v>
      </c>
      <c r="K374" s="34">
        <f t="shared" si="173"/>
        <v>8.3072960693358002</v>
      </c>
      <c r="L374" s="34">
        <f t="shared" si="173"/>
        <v>11.424930524370055</v>
      </c>
      <c r="M374" s="37">
        <f t="shared" si="173"/>
        <v>0.29630250284057658</v>
      </c>
      <c r="N374" s="37">
        <f t="shared" si="173"/>
        <v>4.5420498085230188E-2</v>
      </c>
      <c r="O374" s="37">
        <f t="shared" si="173"/>
        <v>3.1546606392826256E-2</v>
      </c>
      <c r="P374" s="36"/>
      <c r="Q374" s="38">
        <f t="shared" si="155"/>
        <v>46.302836699051987</v>
      </c>
      <c r="R374" s="36"/>
      <c r="S374" s="36"/>
      <c r="T374" s="72">
        <f>AVERAGE(T371:T373)</f>
        <v>65.418610440555213</v>
      </c>
      <c r="U374" s="35"/>
      <c r="V374" s="35">
        <v>3023.5858014921996</v>
      </c>
      <c r="W374" s="36"/>
      <c r="X374" s="72">
        <f>AVERAGE(X371:X373)</f>
        <v>24.838216656608328</v>
      </c>
      <c r="Y374" s="35">
        <f>AVERAGE(Y371:Y373)</f>
        <v>18.512371756185878</v>
      </c>
      <c r="Z374" s="215" t="e">
        <f>AVERAGE(Z371:Z373)</f>
        <v>#DIV/0!</v>
      </c>
      <c r="AA374" s="215"/>
      <c r="AB374" s="215"/>
      <c r="AC374" s="215"/>
      <c r="AD374" s="72">
        <f>AVERAGE(AD371:AD373)</f>
        <v>0</v>
      </c>
      <c r="AE374" s="35">
        <f>AVERAGE(AE371:AE373)</f>
        <v>103.06125528062763</v>
      </c>
      <c r="AF374" s="35">
        <f>AVERAGE(AF371:AF373)</f>
        <v>41.561995354518864</v>
      </c>
      <c r="AG374" s="35">
        <f>AVERAGE(AG371:AG373)</f>
        <v>145.29269764634881</v>
      </c>
      <c r="AH374" s="35"/>
      <c r="AI374" s="35"/>
      <c r="AJ374" s="34">
        <f t="shared" ref="AJ374:AY374" si="174">AVERAGE(AJ371:AJ373)</f>
        <v>4.799336149668075E-2</v>
      </c>
      <c r="AK374" s="35">
        <f t="shared" si="174"/>
        <v>72.542094146047077</v>
      </c>
      <c r="AL374" s="34">
        <f t="shared" si="174"/>
        <v>4.7137070006035007</v>
      </c>
      <c r="AM374" s="72">
        <f t="shared" si="174"/>
        <v>14.850256487628245</v>
      </c>
      <c r="AN374" s="34">
        <f t="shared" si="174"/>
        <v>2.1739284733145978</v>
      </c>
      <c r="AO374" s="72">
        <f t="shared" si="174"/>
        <v>12.166038020519011</v>
      </c>
      <c r="AP374" s="34">
        <f t="shared" si="174"/>
        <v>4.559337658418829</v>
      </c>
      <c r="AQ374" s="37">
        <f t="shared" si="174"/>
        <v>0.99812160531080274</v>
      </c>
      <c r="AR374" s="34">
        <f t="shared" si="174"/>
        <v>6.3532723074308182</v>
      </c>
      <c r="AS374" s="34">
        <f t="shared" si="174"/>
        <v>1.0614182257091129</v>
      </c>
      <c r="AT374" s="34">
        <f t="shared" si="174"/>
        <v>6.7802737187340476</v>
      </c>
      <c r="AU374" s="34">
        <f t="shared" si="174"/>
        <v>1.5049220035344384</v>
      </c>
      <c r="AV374" s="34">
        <f t="shared" si="174"/>
        <v>4.167045849337784</v>
      </c>
      <c r="AW374" s="37">
        <f t="shared" si="174"/>
        <v>0.61487715853040092</v>
      </c>
      <c r="AX374" s="34">
        <f t="shared" si="174"/>
        <v>4.0003538020519009</v>
      </c>
      <c r="AY374" s="37">
        <f t="shared" si="174"/>
        <v>0.57049607724803852</v>
      </c>
      <c r="AZ374" s="34">
        <f t="shared" ref="AZ374:BF374" si="175">AVERAGE(AZ371:AZ373)</f>
        <v>4.4561315630657816</v>
      </c>
      <c r="BA374" s="34">
        <f t="shared" si="175"/>
        <v>0.23617682558841283</v>
      </c>
      <c r="BB374" s="72">
        <f t="shared" si="175"/>
        <v>2.7994870247435123E-2</v>
      </c>
      <c r="BC374" s="72">
        <f t="shared" si="175"/>
        <v>0.48713789981894995</v>
      </c>
      <c r="BD374" s="72">
        <f t="shared" si="175"/>
        <v>0.46922148461074231</v>
      </c>
      <c r="BE374" s="34">
        <f t="shared" si="175"/>
        <v>0.44174185274592637</v>
      </c>
      <c r="BF374" s="34">
        <f t="shared" si="175"/>
        <v>0.1080710621605311</v>
      </c>
      <c r="BG374" s="30"/>
      <c r="BH374" s="39"/>
      <c r="BJ374" s="50"/>
      <c r="BK374" s="50"/>
    </row>
    <row r="375" spans="1:70" x14ac:dyDescent="0.2">
      <c r="A375"/>
      <c r="B375" s="30"/>
      <c r="E375" s="50"/>
      <c r="F375" s="50"/>
      <c r="G375" s="50"/>
      <c r="H375" s="50"/>
      <c r="I375" s="30"/>
      <c r="J375" s="50"/>
      <c r="K375" s="31"/>
      <c r="L375" s="33"/>
      <c r="M375" s="32"/>
      <c r="N375" s="33"/>
      <c r="O375" s="50"/>
      <c r="Q375" s="38" t="e">
        <f t="shared" si="155"/>
        <v>#DIV/0!</v>
      </c>
      <c r="R375" s="33"/>
      <c r="T375" s="33"/>
      <c r="U375" s="50"/>
      <c r="V375" s="31"/>
      <c r="X375" s="33"/>
      <c r="Y375" s="31"/>
      <c r="AA375" s="33"/>
      <c r="AB375" s="33"/>
      <c r="AC375" s="33"/>
      <c r="AD375" s="31"/>
      <c r="AE375"/>
      <c r="AG375" s="31"/>
      <c r="AI375" s="30"/>
      <c r="AJ375" s="30"/>
      <c r="AK375" s="31"/>
      <c r="AL375" s="30"/>
      <c r="AM375" s="33"/>
      <c r="AN375" s="38"/>
      <c r="AO375" s="33"/>
      <c r="AP375" s="30"/>
      <c r="AQ375" s="32"/>
      <c r="AR375" s="38"/>
      <c r="AS375" s="32"/>
      <c r="AT375" s="49"/>
      <c r="AU375" s="49"/>
      <c r="AV375" s="49"/>
      <c r="AW375" s="49"/>
      <c r="AX375" s="30"/>
      <c r="AY375" s="32"/>
      <c r="AZ375" s="30"/>
      <c r="BA375" s="30"/>
      <c r="BB375" s="33"/>
      <c r="BC375" s="33"/>
      <c r="BD375" s="33"/>
      <c r="BE375" s="30"/>
      <c r="BF375" s="30"/>
      <c r="BG375" s="30"/>
      <c r="BH375" s="39"/>
      <c r="BJ375" s="50"/>
      <c r="BK375" s="50"/>
    </row>
    <row r="376" spans="1:70" x14ac:dyDescent="0.2">
      <c r="A376"/>
      <c r="B376" s="30"/>
      <c r="E376" s="50"/>
      <c r="F376" s="50"/>
      <c r="G376" s="50"/>
      <c r="H376" s="50"/>
      <c r="I376" s="30"/>
      <c r="J376" s="50"/>
      <c r="K376" s="31"/>
      <c r="L376" s="33"/>
      <c r="M376" s="32"/>
      <c r="N376" s="33"/>
      <c r="O376" s="50"/>
      <c r="Q376" s="38" t="e">
        <f t="shared" si="155"/>
        <v>#DIV/0!</v>
      </c>
      <c r="R376" s="33"/>
      <c r="T376" s="33"/>
      <c r="U376" s="50"/>
      <c r="V376" s="31"/>
      <c r="X376" s="33"/>
      <c r="Y376" s="31"/>
      <c r="AA376" s="33"/>
      <c r="AB376" s="33"/>
      <c r="AC376" s="33"/>
      <c r="AD376" s="31"/>
      <c r="AE376"/>
      <c r="AG376" s="31"/>
      <c r="AI376" s="30"/>
      <c r="AJ376" s="30"/>
      <c r="AK376" s="31"/>
      <c r="AL376" s="30"/>
      <c r="AM376" s="33"/>
      <c r="AN376" s="38"/>
      <c r="AO376" s="33"/>
      <c r="AP376" s="30"/>
      <c r="AQ376" s="32"/>
      <c r="AR376" s="38"/>
      <c r="AS376" s="32"/>
      <c r="AT376" s="49"/>
      <c r="AU376" s="49"/>
      <c r="AV376" s="49"/>
      <c r="AW376" s="49"/>
      <c r="AX376" s="30"/>
      <c r="AY376" s="32"/>
      <c r="AZ376" s="30"/>
      <c r="BA376" s="30"/>
      <c r="BB376" s="33"/>
      <c r="BC376" s="33"/>
      <c r="BD376" s="33"/>
      <c r="BE376" s="30"/>
      <c r="BF376" s="30"/>
      <c r="BG376" s="30"/>
      <c r="BH376" s="39"/>
      <c r="BJ376" s="50"/>
      <c r="BK376" s="50"/>
    </row>
    <row r="377" spans="1:70" x14ac:dyDescent="0.2">
      <c r="A377" t="s">
        <v>1347</v>
      </c>
      <c r="B377" s="30" t="s">
        <v>717</v>
      </c>
      <c r="E377" s="50"/>
      <c r="F377" s="50"/>
      <c r="G377" s="50"/>
      <c r="H377" s="50"/>
      <c r="I377" s="30">
        <v>13.727417342827177</v>
      </c>
      <c r="J377" s="50"/>
      <c r="K377" s="31"/>
      <c r="L377" s="33" t="s">
        <v>83</v>
      </c>
      <c r="M377" s="32">
        <v>0.36512253684384827</v>
      </c>
      <c r="N377" s="32" t="s">
        <v>84</v>
      </c>
      <c r="O377" s="50"/>
      <c r="Q377" s="38">
        <f t="shared" si="155"/>
        <v>0</v>
      </c>
      <c r="R377" s="33"/>
      <c r="T377" s="33">
        <v>30.063095435226579</v>
      </c>
      <c r="U377" s="50"/>
      <c r="V377" s="31">
        <v>2088.6118562675938</v>
      </c>
      <c r="X377" s="33">
        <v>44.306899597063534</v>
      </c>
      <c r="Y377" s="31">
        <v>161.27890931169617</v>
      </c>
      <c r="AA377" s="33"/>
      <c r="AB377" s="33">
        <v>9.8018435723353767E-2</v>
      </c>
      <c r="AC377" s="33">
        <v>5.0433294695589777E-2</v>
      </c>
      <c r="AD377" s="31">
        <v>0</v>
      </c>
      <c r="AE377">
        <v>118.94574156869237</v>
      </c>
      <c r="AF377" s="291">
        <f>1560*10^((LOG10(AU377/55.6)+LOG10(AV377/158.9))/2)</f>
        <v>24.960688301052294</v>
      </c>
      <c r="AG377" s="31">
        <v>96.455263012640046</v>
      </c>
      <c r="AI377" s="30">
        <v>1.3488436275321522E-2</v>
      </c>
      <c r="AJ377" s="30">
        <v>8.8155875696859315E-2</v>
      </c>
      <c r="AK377" s="31">
        <v>83.391345145443495</v>
      </c>
      <c r="AL377" s="30">
        <v>6.2472236021416334</v>
      </c>
      <c r="AM377" s="33">
        <v>16.136341557653029</v>
      </c>
      <c r="AN377" s="199">
        <f>89.1*EXP((LN(AL377/234.7)+2*LN(AO377/452.4))/3)</f>
        <v>2.0445015886951876</v>
      </c>
      <c r="AO377" s="33">
        <v>9.6382955235414247</v>
      </c>
      <c r="AP377" s="30">
        <v>3.0552470055748748</v>
      </c>
      <c r="AQ377" s="32">
        <v>0.78634983716950924</v>
      </c>
      <c r="AR377" s="200">
        <f>AVERAGE(BP377:BR377)</f>
        <v>3.65115220346296</v>
      </c>
      <c r="AS377" s="32">
        <v>0.63842302809515927</v>
      </c>
      <c r="AT377" s="200">
        <f>(242.7*10^((4*LOG10(AS377/36.3)+LOG10(AX377/162.5))/5)+242.7*10^((4*LOG10(AP377/147.1)+4*LOG10(AX377/162.5))/8))/2</f>
        <v>4.1446461397366683</v>
      </c>
      <c r="AU377" s="200">
        <f>(55.6*10^((3*LOG10(AS377/36.3)+2*LOG10(AX377/162.5))/5)+55.6*10^((3*LOG10(AP377/147.1)+5*LOG10(AX377/162.5))/8))/2</f>
        <v>0.90914720126519333</v>
      </c>
      <c r="AV377" s="200">
        <f>(158.9*10^((2*LOG10(AS377/36.3)+3*LOG10(AX377/162.5))/5)+158.9*10^((2*LOG10(AP377/147.1)+6*LOG10(AX377/162.5))/8))/2</f>
        <v>2.4878741062419887</v>
      </c>
      <c r="AW377" s="201">
        <f>(24.2*10^((LOG10(AS377/36.3)+4*LOG10(AX377/162.5))/5)+24.2*10^((LOG10(AP377/147.1)+7*LOG10(AX377/162.5))/8))/2</f>
        <v>0.36280086338843587</v>
      </c>
      <c r="AX377" s="30">
        <v>2.3326958105646631</v>
      </c>
      <c r="AY377" s="32">
        <v>0.32410360434950597</v>
      </c>
      <c r="AZ377" s="30">
        <v>2.3415035601920846</v>
      </c>
      <c r="BA377" s="30">
        <v>0.26205442402163714</v>
      </c>
      <c r="BB377" s="33">
        <v>6.643484020533201E-2</v>
      </c>
      <c r="BC377" s="33">
        <v>3.4264944527239609</v>
      </c>
      <c r="BD377" s="33">
        <v>1.2122095269636253</v>
      </c>
      <c r="BE377" s="30">
        <v>0.92643484020533184</v>
      </c>
      <c r="BF377" s="30">
        <v>0.256876414417398</v>
      </c>
      <c r="BG377" s="30">
        <v>181.17</v>
      </c>
      <c r="BH377" s="39"/>
      <c r="BJ377" s="50"/>
      <c r="BK377" s="50"/>
      <c r="BP377" s="116">
        <f>196.6*10^(LOG10(AP377/147.1)+(LOG10(AP377/147.1)-LOG10(AL377/234.7))*0.4)</f>
        <v>3.6976095111678737</v>
      </c>
      <c r="BQ377" s="116">
        <f>196.6*10^(LOG10(AP377/147.1)+0.6666*(LOG10(AS377/36.3)-LOG10(AP377/147.1)))</f>
        <v>3.6548326240010249</v>
      </c>
      <c r="BR377" s="116">
        <f>196.6*10^(LOG10(AS377/36.3)-(LOG10(AX377/162.5)-LOG10(AS377/36.3))/5)</f>
        <v>3.6010144752199813</v>
      </c>
    </row>
    <row r="378" spans="1:70" x14ac:dyDescent="0.2">
      <c r="A378" t="s">
        <v>1347</v>
      </c>
      <c r="B378" s="30" t="s">
        <v>700</v>
      </c>
      <c r="E378" s="38">
        <v>46.620073213717582</v>
      </c>
      <c r="F378" s="50">
        <v>0.61438174270334289</v>
      </c>
      <c r="G378" s="50">
        <v>16.57507160458691</v>
      </c>
      <c r="H378" s="50">
        <v>0.29986811294700494</v>
      </c>
      <c r="I378" s="30">
        <v>13.71615710854226</v>
      </c>
      <c r="J378" s="50">
        <v>0.18779570935225914</v>
      </c>
      <c r="K378" s="30">
        <v>9.0457584501056392</v>
      </c>
      <c r="L378" s="33">
        <v>12.403538987857461</v>
      </c>
      <c r="M378" s="32">
        <v>0.36608662363008548</v>
      </c>
      <c r="N378" s="32">
        <v>6.4545273011194282E-2</v>
      </c>
      <c r="O378" s="50">
        <v>6.7223510158445451E-2</v>
      </c>
      <c r="Q378" s="38">
        <f t="shared" si="155"/>
        <v>54.036091636033738</v>
      </c>
      <c r="R378" s="33"/>
      <c r="T378" s="33"/>
      <c r="U378" s="50"/>
      <c r="V378" s="31"/>
      <c r="X378" s="33"/>
      <c r="Y378" s="31"/>
      <c r="AA378" s="33"/>
      <c r="AB378" s="33"/>
      <c r="AC378" s="33"/>
      <c r="AD378" s="31"/>
      <c r="AE378"/>
      <c r="AG378" s="31"/>
      <c r="AI378" s="30"/>
      <c r="AJ378" s="30"/>
      <c r="AK378" s="31"/>
      <c r="AL378" s="30"/>
      <c r="AM378" s="33"/>
      <c r="AN378" s="38"/>
      <c r="AO378" s="33"/>
      <c r="AP378" s="30"/>
      <c r="AQ378" s="32"/>
      <c r="AR378" s="38"/>
      <c r="AS378" s="32"/>
      <c r="AT378" s="49"/>
      <c r="AU378" s="49"/>
      <c r="AV378" s="49"/>
      <c r="AW378" s="49"/>
      <c r="AX378" s="30"/>
      <c r="AY378" s="32"/>
      <c r="AZ378" s="30"/>
      <c r="BA378" s="30"/>
      <c r="BB378" s="33"/>
      <c r="BC378" s="33"/>
      <c r="BD378" s="33"/>
      <c r="BE378" s="30"/>
      <c r="BF378" s="30"/>
      <c r="BG378" s="30"/>
      <c r="BH378" s="39"/>
      <c r="BJ378" s="50"/>
      <c r="BK378" s="50"/>
    </row>
    <row r="379" spans="1:70" x14ac:dyDescent="0.2">
      <c r="A379" t="s">
        <v>1347</v>
      </c>
      <c r="K379" s="49"/>
      <c r="Q379" s="38" t="e">
        <f t="shared" si="155"/>
        <v>#DIV/0!</v>
      </c>
      <c r="R379" s="49"/>
      <c r="S379" s="39"/>
      <c r="T379" s="39"/>
      <c r="V379" s="76"/>
      <c r="W379" s="76"/>
      <c r="Z379" s="76"/>
      <c r="AA379" s="76"/>
      <c r="AB379" s="76"/>
      <c r="AC379" s="76"/>
      <c r="AD379" s="39"/>
      <c r="AE379" s="39"/>
      <c r="AF379" s="76"/>
      <c r="AG379" s="76"/>
      <c r="AH379" s="76"/>
      <c r="AI379" s="76"/>
      <c r="AL379" s="76"/>
      <c r="AM379" s="38"/>
      <c r="AN379" s="38"/>
      <c r="AO379" s="39"/>
      <c r="AP379" s="38"/>
      <c r="AQ379" s="38"/>
      <c r="AR379" s="38"/>
      <c r="AS379" s="49"/>
      <c r="AT379" s="49"/>
      <c r="AU379" s="49"/>
      <c r="AV379" s="49"/>
      <c r="AW379" s="49"/>
      <c r="AX379" s="49"/>
      <c r="AZ379" s="49"/>
      <c r="BA379" s="38"/>
      <c r="BB379" s="38"/>
      <c r="BC379" s="38"/>
      <c r="BD379" s="39"/>
      <c r="BE379" s="39"/>
      <c r="BF379" s="38"/>
      <c r="BG379" s="38"/>
      <c r="BH379" s="39"/>
      <c r="BJ379" s="50"/>
      <c r="BK379" s="50"/>
    </row>
    <row r="380" spans="1:70" x14ac:dyDescent="0.2">
      <c r="A380" s="36" t="s">
        <v>1347</v>
      </c>
      <c r="E380" s="34">
        <f t="shared" ref="E380:O380" si="176">AVERAGE(E377:E379)</f>
        <v>46.620073213717582</v>
      </c>
      <c r="F380" s="34">
        <f t="shared" si="176"/>
        <v>0.61438174270334289</v>
      </c>
      <c r="G380" s="34">
        <f t="shared" si="176"/>
        <v>16.57507160458691</v>
      </c>
      <c r="H380" s="37">
        <f t="shared" si="176"/>
        <v>0.29986811294700494</v>
      </c>
      <c r="I380" s="34">
        <f t="shared" si="176"/>
        <v>13.721787225684718</v>
      </c>
      <c r="J380" s="37">
        <f t="shared" si="176"/>
        <v>0.18779570935225914</v>
      </c>
      <c r="K380" s="34">
        <f t="shared" si="176"/>
        <v>9.0457584501056392</v>
      </c>
      <c r="L380" s="34">
        <f t="shared" si="176"/>
        <v>12.403538987857461</v>
      </c>
      <c r="M380" s="37">
        <f t="shared" si="176"/>
        <v>0.36560458023696685</v>
      </c>
      <c r="N380" s="37">
        <f t="shared" si="176"/>
        <v>6.4545273011194282E-2</v>
      </c>
      <c r="O380" s="37">
        <f t="shared" si="176"/>
        <v>6.7223510158445451E-2</v>
      </c>
      <c r="P380" s="36"/>
      <c r="Q380" s="38">
        <f t="shared" si="155"/>
        <v>54.025898591321663</v>
      </c>
      <c r="R380" s="36"/>
      <c r="S380" s="36"/>
      <c r="T380" s="72">
        <f>AVERAGE(T377:T379)</f>
        <v>30.063095435226579</v>
      </c>
      <c r="U380" s="35"/>
      <c r="V380" s="35">
        <f>AVERAGE(V377:V379)</f>
        <v>2088.6118562675938</v>
      </c>
      <c r="W380" s="36"/>
      <c r="X380" s="72">
        <f>AVERAGE(X377:X379)</f>
        <v>44.306899597063534</v>
      </c>
      <c r="Y380" s="35">
        <f>AVERAGE(Y377:Y379)</f>
        <v>161.27890931169617</v>
      </c>
      <c r="Z380" s="215" t="e">
        <f>AVERAGE(Z377:Z379)</f>
        <v>#DIV/0!</v>
      </c>
      <c r="AA380" s="215"/>
      <c r="AB380" s="215"/>
      <c r="AC380" s="215"/>
      <c r="AD380" s="72">
        <f>AVERAGE(AD377:AD379)</f>
        <v>0</v>
      </c>
      <c r="AE380" s="35">
        <f>AVERAGE(AE377:AE379)</f>
        <v>118.94574156869237</v>
      </c>
      <c r="AF380" s="35">
        <f>AVERAGE(AF377:AF379)</f>
        <v>24.960688301052294</v>
      </c>
      <c r="AG380" s="35">
        <f>AVERAGE(AG377:AG379)</f>
        <v>96.455263012640046</v>
      </c>
      <c r="AH380" s="35"/>
      <c r="AI380" s="35"/>
      <c r="AJ380" s="34">
        <f>AVERAGE(AJ377:AJ379)</f>
        <v>8.8155875696859315E-2</v>
      </c>
      <c r="AK380" s="35">
        <f>AVERAGE(AK377:AK379)</f>
        <v>83.391345145443495</v>
      </c>
      <c r="AL380" s="34">
        <f>AVERAGE(AL377:AL379)</f>
        <v>6.2472236021416334</v>
      </c>
      <c r="AM380" s="72">
        <f t="shared" ref="AM380:AY380" si="177">AVERAGE(AM377:AM379)</f>
        <v>16.136341557653029</v>
      </c>
      <c r="AN380" s="34">
        <f t="shared" si="177"/>
        <v>2.0445015886951876</v>
      </c>
      <c r="AO380" s="72">
        <f t="shared" si="177"/>
        <v>9.6382955235414247</v>
      </c>
      <c r="AP380" s="34">
        <f t="shared" si="177"/>
        <v>3.0552470055748748</v>
      </c>
      <c r="AQ380" s="37">
        <f t="shared" si="177"/>
        <v>0.78634983716950924</v>
      </c>
      <c r="AR380" s="34">
        <f t="shared" si="177"/>
        <v>3.65115220346296</v>
      </c>
      <c r="AS380" s="34">
        <f t="shared" si="177"/>
        <v>0.63842302809515927</v>
      </c>
      <c r="AT380" s="34">
        <f t="shared" si="177"/>
        <v>4.1446461397366683</v>
      </c>
      <c r="AU380" s="34">
        <f t="shared" si="177"/>
        <v>0.90914720126519333</v>
      </c>
      <c r="AV380" s="34">
        <f t="shared" si="177"/>
        <v>2.4878741062419887</v>
      </c>
      <c r="AW380" s="37">
        <f t="shared" si="177"/>
        <v>0.36280086338843587</v>
      </c>
      <c r="AX380" s="34">
        <f t="shared" si="177"/>
        <v>2.3326958105646631</v>
      </c>
      <c r="AY380" s="37">
        <f t="shared" si="177"/>
        <v>0.32410360434950597</v>
      </c>
      <c r="AZ380" s="34">
        <f t="shared" ref="AZ380:BF380" si="178">AVERAGE(AZ377:AZ379)</f>
        <v>2.3415035601920846</v>
      </c>
      <c r="BA380" s="34">
        <f t="shared" si="178"/>
        <v>0.26205442402163714</v>
      </c>
      <c r="BB380" s="72">
        <f t="shared" si="178"/>
        <v>6.643484020533201E-2</v>
      </c>
      <c r="BC380" s="72">
        <f t="shared" si="178"/>
        <v>3.4264944527239609</v>
      </c>
      <c r="BD380" s="72">
        <f t="shared" si="178"/>
        <v>1.2122095269636253</v>
      </c>
      <c r="BE380" s="34">
        <f t="shared" si="178"/>
        <v>0.92643484020533184</v>
      </c>
      <c r="BF380" s="34">
        <f t="shared" si="178"/>
        <v>0.256876414417398</v>
      </c>
      <c r="BG380" s="30"/>
      <c r="BH380" s="39"/>
      <c r="BJ380" s="50"/>
      <c r="BK380" s="50"/>
    </row>
    <row r="381" spans="1:70" x14ac:dyDescent="0.2">
      <c r="A381" s="36"/>
      <c r="E381" s="34"/>
      <c r="F381" s="34"/>
      <c r="G381" s="34"/>
      <c r="H381" s="37"/>
      <c r="I381" s="34"/>
      <c r="J381" s="37"/>
      <c r="K381" s="34"/>
      <c r="L381" s="34"/>
      <c r="M381" s="37"/>
      <c r="N381" s="37"/>
      <c r="O381" s="37"/>
      <c r="P381" s="36"/>
      <c r="Q381" s="38" t="e">
        <f t="shared" si="155"/>
        <v>#DIV/0!</v>
      </c>
      <c r="R381" s="36"/>
      <c r="S381" s="36"/>
      <c r="T381" s="72"/>
      <c r="U381" s="35"/>
      <c r="V381" s="35"/>
      <c r="W381" s="36"/>
      <c r="X381" s="72"/>
      <c r="Y381" s="35"/>
      <c r="Z381" s="215"/>
      <c r="AA381" s="215"/>
      <c r="AB381" s="215"/>
      <c r="AC381" s="215"/>
      <c r="AD381" s="72"/>
      <c r="AE381" s="35"/>
      <c r="AF381" s="35"/>
      <c r="AG381" s="35"/>
      <c r="AH381" s="35"/>
      <c r="AI381" s="35"/>
      <c r="AJ381" s="34"/>
      <c r="AK381" s="35"/>
      <c r="AL381" s="34"/>
      <c r="AM381" s="72"/>
      <c r="AN381" s="34"/>
      <c r="AO381" s="72"/>
      <c r="AP381" s="34"/>
      <c r="AQ381" s="37"/>
      <c r="AR381" s="34"/>
      <c r="AS381" s="34"/>
      <c r="AT381" s="34"/>
      <c r="AU381" s="34"/>
      <c r="AV381" s="34"/>
      <c r="AW381" s="37"/>
      <c r="AX381" s="34"/>
      <c r="AY381" s="37"/>
      <c r="AZ381" s="34"/>
      <c r="BA381" s="34"/>
      <c r="BB381" s="72"/>
      <c r="BC381" s="72"/>
      <c r="BD381" s="72"/>
      <c r="BE381" s="34"/>
      <c r="BF381" s="34"/>
      <c r="BG381" s="30"/>
      <c r="BH381" s="39"/>
      <c r="BJ381" s="50"/>
      <c r="BK381" s="50"/>
    </row>
    <row r="382" spans="1:70" x14ac:dyDescent="0.2">
      <c r="A382" s="36"/>
      <c r="E382" s="34"/>
      <c r="F382" s="34"/>
      <c r="G382" s="34"/>
      <c r="H382" s="37"/>
      <c r="I382" s="34"/>
      <c r="J382" s="37"/>
      <c r="K382" s="34"/>
      <c r="L382" s="34"/>
      <c r="M382" s="37"/>
      <c r="N382" s="37"/>
      <c r="O382" s="37"/>
      <c r="P382" s="36"/>
      <c r="Q382" s="38" t="e">
        <f t="shared" si="155"/>
        <v>#DIV/0!</v>
      </c>
      <c r="R382" s="36"/>
      <c r="S382" s="36"/>
      <c r="T382" s="72"/>
      <c r="U382" s="35"/>
      <c r="V382" s="35"/>
      <c r="W382" s="36"/>
      <c r="X382" s="72"/>
      <c r="Y382" s="35"/>
      <c r="Z382" s="215"/>
      <c r="AA382" s="215"/>
      <c r="AB382" s="215"/>
      <c r="AC382" s="215"/>
      <c r="AD382" s="72"/>
      <c r="AE382" s="35"/>
      <c r="AF382" s="35"/>
      <c r="AG382" s="35"/>
      <c r="AH382" s="35"/>
      <c r="AI382" s="35"/>
      <c r="AJ382" s="34"/>
      <c r="AK382" s="35"/>
      <c r="AL382" s="34"/>
      <c r="AM382" s="72"/>
      <c r="AN382" s="34"/>
      <c r="AO382" s="72"/>
      <c r="AP382" s="34"/>
      <c r="AQ382" s="37"/>
      <c r="AR382" s="34"/>
      <c r="AS382" s="34"/>
      <c r="AT382" s="34"/>
      <c r="AU382" s="34"/>
      <c r="AV382" s="34"/>
      <c r="AW382" s="37"/>
      <c r="AX382" s="34"/>
      <c r="AY382" s="37"/>
      <c r="AZ382" s="34"/>
      <c r="BA382" s="34"/>
      <c r="BB382" s="72"/>
      <c r="BC382" s="72"/>
      <c r="BD382" s="72"/>
      <c r="BE382" s="34"/>
      <c r="BF382" s="34"/>
      <c r="BG382" s="30"/>
      <c r="BH382" s="39"/>
      <c r="BJ382" s="50"/>
      <c r="BK382" s="50"/>
    </row>
    <row r="383" spans="1:70" x14ac:dyDescent="0.2">
      <c r="A383" t="s">
        <v>69</v>
      </c>
      <c r="B383" s="30" t="s">
        <v>717</v>
      </c>
      <c r="E383" s="50"/>
      <c r="F383" s="50"/>
      <c r="G383" s="50"/>
      <c r="H383" s="50">
        <v>0.23946998180023502</v>
      </c>
      <c r="I383" s="30">
        <v>13.55915595098204</v>
      </c>
      <c r="J383" s="50"/>
      <c r="K383" s="31"/>
      <c r="L383" s="33" t="s">
        <v>112</v>
      </c>
      <c r="M383" s="32">
        <v>0.79096635890548928</v>
      </c>
      <c r="N383" s="32">
        <v>0.677938223938224</v>
      </c>
      <c r="O383" s="50"/>
      <c r="Q383" s="38">
        <f t="shared" si="155"/>
        <v>0</v>
      </c>
      <c r="R383" s="33">
        <v>0.79096635890548928</v>
      </c>
      <c r="S383" s="50">
        <v>0.677938223938224</v>
      </c>
      <c r="T383" s="33">
        <v>31.119916065133456</v>
      </c>
      <c r="U383" s="50"/>
      <c r="V383" s="31">
        <v>1638.409837166359</v>
      </c>
      <c r="W383" s="50">
        <v>13.55915595098204</v>
      </c>
      <c r="X383" s="33">
        <v>43.400876280006706</v>
      </c>
      <c r="Y383" s="31">
        <v>540.32398858485806</v>
      </c>
      <c r="AA383" s="33"/>
      <c r="AB383" s="33">
        <v>0.18780258519388954</v>
      </c>
      <c r="AC383" s="33">
        <v>0.56692294779251295</v>
      </c>
      <c r="AD383" s="31">
        <v>16.394762464327677</v>
      </c>
      <c r="AE383">
        <v>1199.3741816350512</v>
      </c>
      <c r="AF383" s="291"/>
      <c r="AG383" s="31">
        <v>1190.9803592412286</v>
      </c>
      <c r="AI383" s="30">
        <v>1.1107134463656203E-2</v>
      </c>
      <c r="AJ383" s="30">
        <v>0.74442202450898098</v>
      </c>
      <c r="AK383" s="31">
        <v>900.3664260533825</v>
      </c>
      <c r="AL383" s="30">
        <v>82.700936713110622</v>
      </c>
      <c r="AM383" s="33">
        <v>217.21694141346313</v>
      </c>
      <c r="AN383" s="199"/>
      <c r="AO383" s="33">
        <v>122.86479771697162</v>
      </c>
      <c r="AP383" s="30">
        <v>38.043820715125065</v>
      </c>
      <c r="AQ383" s="32">
        <v>2.6200933355715965</v>
      </c>
      <c r="AR383" s="200"/>
      <c r="AS383" s="32">
        <v>7.6882366963236537</v>
      </c>
      <c r="AT383" s="200"/>
      <c r="AU383" s="200"/>
      <c r="AV383" s="200"/>
      <c r="AW383" s="201"/>
      <c r="AX383" s="30">
        <v>27.314849756588888</v>
      </c>
      <c r="AY383" s="32">
        <v>3.7117001846567068</v>
      </c>
      <c r="AZ383" s="30">
        <v>29.524858150075538</v>
      </c>
      <c r="BA383" s="30">
        <v>3.7108547926808795</v>
      </c>
      <c r="BB383" s="33">
        <v>0.72273291925465855</v>
      </c>
      <c r="BC383" s="33">
        <v>22.473500083934869</v>
      </c>
      <c r="BD383" s="33">
        <v>8.5281181802920916</v>
      </c>
      <c r="BE383" s="30">
        <v>14.441735101561184</v>
      </c>
      <c r="BF383" s="30">
        <v>3.9751579654188349</v>
      </c>
      <c r="BG383" s="30">
        <v>297.85000000000002</v>
      </c>
      <c r="BH383" s="39"/>
      <c r="BJ383" s="50"/>
      <c r="BK383" s="50"/>
      <c r="BP383" s="116">
        <f>196.6*10^(LOG10(AP383/147.1)+(LOG10(AP383/147.1)-LOG10(AL383/234.7))*0.4)</f>
        <v>44.928778663789828</v>
      </c>
      <c r="BQ383" s="116">
        <f>196.6*10^(LOG10(AP383/147.1)+0.6666*(LOG10(AS383/36.3)-LOG10(AP383/147.1)))</f>
        <v>44.506816229440361</v>
      </c>
      <c r="BR383" s="116">
        <f>196.6*10^(LOG10(AS383/36.3)-(LOG10(AX383/162.5)-LOG10(AS383/36.3))/5)</f>
        <v>43.60924499312538</v>
      </c>
    </row>
    <row r="384" spans="1:70" x14ac:dyDescent="0.2">
      <c r="A384" t="s">
        <v>69</v>
      </c>
      <c r="B384" s="30" t="s">
        <v>700</v>
      </c>
      <c r="E384" s="38">
        <v>48.534278210182109</v>
      </c>
      <c r="F384" s="50">
        <v>2.7478834982603142</v>
      </c>
      <c r="G384" s="50">
        <v>13.614489611856319</v>
      </c>
      <c r="H384" s="50">
        <v>0.23946998180023502</v>
      </c>
      <c r="I384" s="30">
        <v>13.55915595098204</v>
      </c>
      <c r="J384" s="50">
        <v>0.19292118131077757</v>
      </c>
      <c r="K384" s="31">
        <v>8.1708826509331018</v>
      </c>
      <c r="L384" s="33">
        <v>9.7749241048119888</v>
      </c>
      <c r="M384" s="32">
        <v>0.79096635890548928</v>
      </c>
      <c r="N384" s="32">
        <v>0.71585076789634372</v>
      </c>
      <c r="O384" s="50">
        <v>0.68688085124286768</v>
      </c>
      <c r="Q384" s="38">
        <f t="shared" si="155"/>
        <v>51.788964113146633</v>
      </c>
      <c r="R384" s="33"/>
      <c r="T384" s="33"/>
      <c r="U384" s="50"/>
      <c r="V384" s="31"/>
      <c r="X384" s="33"/>
      <c r="Y384" s="31"/>
      <c r="AA384" s="33"/>
      <c r="AB384" s="33"/>
      <c r="AC384" s="33"/>
      <c r="AD384" s="31"/>
      <c r="AE384"/>
      <c r="AG384" s="31"/>
      <c r="AI384" s="30"/>
      <c r="AJ384" s="30"/>
      <c r="AK384" s="31"/>
      <c r="AL384" s="30"/>
      <c r="AM384" s="33"/>
      <c r="AN384" s="38"/>
      <c r="AO384" s="33"/>
      <c r="AP384" s="30"/>
      <c r="AQ384" s="32"/>
      <c r="AR384" s="38"/>
      <c r="AS384" s="32"/>
      <c r="AT384" s="49"/>
      <c r="AU384" s="49"/>
      <c r="AV384" s="49"/>
      <c r="AW384" s="49"/>
      <c r="AX384" s="30"/>
      <c r="AY384" s="32"/>
      <c r="AZ384" s="30"/>
      <c r="BA384" s="30"/>
      <c r="BB384" s="33"/>
      <c r="BC384" s="33"/>
      <c r="BD384" s="33"/>
      <c r="BE384" s="30"/>
      <c r="BF384" s="30"/>
      <c r="BG384" s="30"/>
      <c r="BH384" s="39"/>
      <c r="BJ384" s="50"/>
      <c r="BK384" s="50"/>
    </row>
    <row r="385" spans="1:63" x14ac:dyDescent="0.2">
      <c r="A385" t="s">
        <v>69</v>
      </c>
      <c r="K385" s="49"/>
      <c r="Q385" s="38" t="e">
        <f t="shared" si="155"/>
        <v>#DIV/0!</v>
      </c>
      <c r="R385" s="49"/>
      <c r="S385" s="39"/>
      <c r="T385" s="39"/>
      <c r="V385" s="76"/>
      <c r="W385" s="76"/>
      <c r="Z385" s="76"/>
      <c r="AA385" s="76"/>
      <c r="AB385" s="76"/>
      <c r="AC385" s="76"/>
      <c r="AD385" s="39"/>
      <c r="AE385" s="39"/>
      <c r="AF385" s="76"/>
      <c r="AG385" s="76"/>
      <c r="AH385" s="76"/>
      <c r="AI385" s="76"/>
      <c r="AL385" s="76"/>
      <c r="AM385" s="38"/>
      <c r="AN385" s="38"/>
      <c r="AO385" s="39"/>
      <c r="AP385" s="38"/>
      <c r="AQ385" s="38"/>
      <c r="AR385" s="38"/>
      <c r="AS385" s="49"/>
      <c r="AT385" s="49"/>
      <c r="AU385" s="49"/>
      <c r="AV385" s="49"/>
      <c r="AW385" s="49"/>
      <c r="AX385" s="49"/>
      <c r="AZ385" s="49"/>
      <c r="BA385" s="38"/>
      <c r="BB385" s="38"/>
      <c r="BC385" s="38"/>
      <c r="BD385" s="39"/>
      <c r="BE385" s="39"/>
      <c r="BF385" s="38"/>
      <c r="BG385" s="38"/>
      <c r="BH385" s="39"/>
      <c r="BJ385" s="50"/>
      <c r="BK385" s="50"/>
    </row>
    <row r="386" spans="1:63" x14ac:dyDescent="0.2">
      <c r="A386" s="36" t="s">
        <v>69</v>
      </c>
      <c r="E386" s="34">
        <f t="shared" ref="E386:O386" si="179">AVERAGE(E383:E385)</f>
        <v>48.534278210182109</v>
      </c>
      <c r="F386" s="34">
        <f t="shared" si="179"/>
        <v>2.7478834982603142</v>
      </c>
      <c r="G386" s="34">
        <f t="shared" si="179"/>
        <v>13.614489611856319</v>
      </c>
      <c r="H386" s="37">
        <f t="shared" si="179"/>
        <v>0.23946998180023502</v>
      </c>
      <c r="I386" s="34">
        <f t="shared" si="179"/>
        <v>13.55915595098204</v>
      </c>
      <c r="J386" s="37">
        <f t="shared" si="179"/>
        <v>0.19292118131077757</v>
      </c>
      <c r="K386" s="34">
        <f t="shared" si="179"/>
        <v>8.1708826509331018</v>
      </c>
      <c r="L386" s="34">
        <f t="shared" si="179"/>
        <v>9.7749241048119888</v>
      </c>
      <c r="M386" s="37">
        <f t="shared" si="179"/>
        <v>0.79096635890548928</v>
      </c>
      <c r="N386" s="37">
        <f t="shared" si="179"/>
        <v>0.69689449591728381</v>
      </c>
      <c r="O386" s="37">
        <f t="shared" si="179"/>
        <v>0.68688085124286768</v>
      </c>
      <c r="P386" s="36"/>
      <c r="Q386" s="38">
        <f t="shared" si="155"/>
        <v>51.788964113146633</v>
      </c>
      <c r="R386" s="36"/>
      <c r="S386" s="36"/>
      <c r="T386" s="72">
        <f>AVERAGE(T383:T385)</f>
        <v>31.119916065133456</v>
      </c>
      <c r="U386" s="35"/>
      <c r="V386" s="35">
        <f>AVERAGE(V383:V385)</f>
        <v>1638.409837166359</v>
      </c>
      <c r="W386" s="36"/>
      <c r="X386" s="72">
        <f>AVERAGE(X383:X385)</f>
        <v>43.400876280006706</v>
      </c>
      <c r="Y386" s="35">
        <f>AVERAGE(Y383:Y385)</f>
        <v>540.32398858485806</v>
      </c>
      <c r="Z386" s="215" t="e">
        <f>AVERAGE(Z383:Z385)</f>
        <v>#DIV/0!</v>
      </c>
      <c r="AA386" s="215"/>
      <c r="AB386" s="215"/>
      <c r="AC386" s="215"/>
      <c r="AD386" s="72">
        <f>AVERAGE(AD383:AD385)</f>
        <v>16.394762464327677</v>
      </c>
      <c r="AE386" s="35">
        <f>AVERAGE(AE383:AE385)</f>
        <v>1199.3741816350512</v>
      </c>
      <c r="AF386" s="35" t="e">
        <f>AVERAGE(AF383:AF385)</f>
        <v>#DIV/0!</v>
      </c>
      <c r="AG386" s="35">
        <f>AVERAGE(AG383:AG385)</f>
        <v>1190.9803592412286</v>
      </c>
      <c r="AH386" s="35"/>
      <c r="AI386" s="35"/>
      <c r="AJ386" s="34">
        <f t="shared" ref="AJ386:BF386" si="180">AVERAGE(AJ383:AJ385)</f>
        <v>0.74442202450898098</v>
      </c>
      <c r="AK386" s="35">
        <f t="shared" si="180"/>
        <v>900.3664260533825</v>
      </c>
      <c r="AL386" s="34">
        <f t="shared" si="180"/>
        <v>82.700936713110622</v>
      </c>
      <c r="AM386" s="72">
        <f t="shared" si="180"/>
        <v>217.21694141346313</v>
      </c>
      <c r="AN386" s="34" t="e">
        <f t="shared" si="180"/>
        <v>#DIV/0!</v>
      </c>
      <c r="AO386" s="72">
        <f t="shared" si="180"/>
        <v>122.86479771697162</v>
      </c>
      <c r="AP386" s="34">
        <f t="shared" si="180"/>
        <v>38.043820715125065</v>
      </c>
      <c r="AQ386" s="37">
        <f t="shared" si="180"/>
        <v>2.6200933355715965</v>
      </c>
      <c r="AR386" s="34" t="e">
        <f t="shared" si="180"/>
        <v>#DIV/0!</v>
      </c>
      <c r="AS386" s="34">
        <f t="shared" si="180"/>
        <v>7.6882366963236537</v>
      </c>
      <c r="AT386" s="34" t="e">
        <f t="shared" si="180"/>
        <v>#DIV/0!</v>
      </c>
      <c r="AU386" s="34" t="e">
        <f t="shared" si="180"/>
        <v>#DIV/0!</v>
      </c>
      <c r="AV386" s="34" t="e">
        <f t="shared" si="180"/>
        <v>#DIV/0!</v>
      </c>
      <c r="AW386" s="37" t="e">
        <f t="shared" si="180"/>
        <v>#DIV/0!</v>
      </c>
      <c r="AX386" s="34">
        <f t="shared" si="180"/>
        <v>27.314849756588888</v>
      </c>
      <c r="AY386" s="37">
        <f t="shared" si="180"/>
        <v>3.7117001846567068</v>
      </c>
      <c r="AZ386" s="34">
        <f t="shared" si="180"/>
        <v>29.524858150075538</v>
      </c>
      <c r="BA386" s="34">
        <f t="shared" si="180"/>
        <v>3.7108547926808795</v>
      </c>
      <c r="BB386" s="72">
        <f t="shared" si="180"/>
        <v>0.72273291925465855</v>
      </c>
      <c r="BC386" s="72">
        <f t="shared" si="180"/>
        <v>22.473500083934869</v>
      </c>
      <c r="BD386" s="72">
        <f t="shared" si="180"/>
        <v>8.5281181802920916</v>
      </c>
      <c r="BE386" s="34">
        <f t="shared" si="180"/>
        <v>14.441735101561184</v>
      </c>
      <c r="BF386" s="34">
        <f t="shared" si="180"/>
        <v>3.9751579654188349</v>
      </c>
      <c r="BG386" s="30"/>
      <c r="BH386" s="39"/>
      <c r="BJ386" s="50"/>
      <c r="BK386" s="50"/>
    </row>
    <row r="387" spans="1:63" x14ac:dyDescent="0.2">
      <c r="A387" s="36"/>
      <c r="E387" s="34"/>
      <c r="F387" s="34"/>
      <c r="G387" s="34"/>
      <c r="H387" s="37"/>
      <c r="I387" s="34"/>
      <c r="J387" s="37"/>
      <c r="K387" s="34"/>
      <c r="L387" s="34"/>
      <c r="M387" s="37"/>
      <c r="N387" s="37"/>
      <c r="O387" s="37"/>
      <c r="P387" s="36"/>
      <c r="Q387" s="34"/>
      <c r="R387" s="36"/>
      <c r="S387" s="36"/>
      <c r="T387" s="72"/>
      <c r="U387" s="35"/>
      <c r="V387" s="35"/>
      <c r="W387" s="36"/>
      <c r="X387" s="72"/>
      <c r="Y387" s="35"/>
      <c r="Z387" s="215"/>
      <c r="AA387" s="215"/>
      <c r="AB387" s="215"/>
      <c r="AC387" s="215"/>
      <c r="AD387" s="72"/>
      <c r="AE387" s="35"/>
      <c r="AF387" s="35"/>
      <c r="AG387" s="35"/>
      <c r="AH387" s="35"/>
      <c r="AI387" s="35"/>
      <c r="AJ387" s="34"/>
      <c r="AK387" s="35"/>
      <c r="AL387" s="34"/>
      <c r="AM387" s="72"/>
      <c r="AN387" s="34"/>
      <c r="AO387" s="72"/>
      <c r="AP387" s="34"/>
      <c r="AQ387" s="37"/>
      <c r="AR387" s="34"/>
      <c r="AS387" s="34"/>
      <c r="AT387" s="34"/>
      <c r="AU387" s="34"/>
      <c r="AV387" s="34"/>
      <c r="AW387" s="37"/>
      <c r="AX387" s="34"/>
      <c r="AY387" s="37"/>
      <c r="AZ387" s="34"/>
      <c r="BA387" s="34"/>
      <c r="BB387" s="72"/>
      <c r="BC387" s="72"/>
      <c r="BD387" s="72"/>
      <c r="BE387" s="34"/>
      <c r="BF387" s="34"/>
      <c r="BG387" s="30"/>
      <c r="BH387" s="39"/>
      <c r="BJ387" s="50"/>
      <c r="BK387" s="50"/>
    </row>
    <row r="388" spans="1:63" x14ac:dyDescent="0.2">
      <c r="A388" s="36"/>
      <c r="E388" s="34"/>
      <c r="F388" s="34"/>
      <c r="G388" s="34"/>
      <c r="H388" s="37"/>
      <c r="I388" s="34"/>
      <c r="J388" s="37"/>
      <c r="K388" s="34"/>
      <c r="L388" s="34"/>
      <c r="M388" s="37"/>
      <c r="N388" s="37"/>
      <c r="O388" s="37"/>
      <c r="P388" s="36"/>
      <c r="Q388" s="34"/>
      <c r="R388" s="36"/>
      <c r="S388" s="36"/>
      <c r="T388" s="72"/>
      <c r="U388" s="35"/>
      <c r="V388" s="35"/>
      <c r="W388" s="36"/>
      <c r="X388" s="72"/>
      <c r="Y388" s="35"/>
      <c r="Z388" s="215"/>
      <c r="AA388" s="215"/>
      <c r="AB388" s="215"/>
      <c r="AC388" s="215"/>
      <c r="AD388" s="72"/>
      <c r="AE388" s="35"/>
      <c r="AF388" s="35"/>
      <c r="AG388" s="35"/>
      <c r="AH388" s="35"/>
      <c r="AI388" s="35"/>
      <c r="AJ388" s="34"/>
      <c r="AK388" s="35"/>
      <c r="AL388" s="34"/>
      <c r="AM388" s="72"/>
      <c r="AN388" s="34"/>
      <c r="AO388" s="72"/>
      <c r="AP388" s="34"/>
      <c r="AQ388" s="37"/>
      <c r="AR388" s="34"/>
      <c r="AS388" s="34"/>
      <c r="AT388" s="34"/>
      <c r="AU388" s="34"/>
      <c r="AV388" s="34"/>
      <c r="AW388" s="37"/>
      <c r="AX388" s="34"/>
      <c r="AY388" s="37"/>
      <c r="AZ388" s="34"/>
      <c r="BA388" s="34"/>
      <c r="BB388" s="72"/>
      <c r="BC388" s="72"/>
      <c r="BD388" s="72"/>
      <c r="BE388" s="34"/>
      <c r="BF388" s="34"/>
      <c r="BG388" s="30"/>
      <c r="BH388" s="39"/>
      <c r="BJ388" s="50"/>
      <c r="BK388" s="50"/>
    </row>
    <row r="389" spans="1:63" x14ac:dyDescent="0.2">
      <c r="A389" s="36"/>
      <c r="E389" s="34"/>
      <c r="F389" s="34"/>
      <c r="G389" s="34"/>
      <c r="H389" s="37"/>
      <c r="I389" s="34"/>
      <c r="J389" s="37"/>
      <c r="K389" s="34"/>
      <c r="L389" s="34"/>
      <c r="M389" s="37"/>
      <c r="N389" s="37"/>
      <c r="O389" s="37"/>
      <c r="P389" s="36"/>
      <c r="Q389" s="34"/>
      <c r="R389" s="36"/>
      <c r="S389" s="36"/>
      <c r="T389" s="72"/>
      <c r="U389" s="35"/>
      <c r="V389" s="35"/>
      <c r="W389" s="36"/>
      <c r="X389" s="72"/>
      <c r="Y389" s="35"/>
      <c r="Z389" s="215"/>
      <c r="AA389" s="215"/>
      <c r="AB389" s="215"/>
      <c r="AC389" s="215"/>
      <c r="AD389" s="72"/>
      <c r="AE389" s="35"/>
      <c r="AF389" s="35"/>
      <c r="AG389" s="35"/>
      <c r="AH389" s="35"/>
      <c r="AI389" s="35"/>
      <c r="AJ389" s="34"/>
      <c r="AK389" s="35"/>
      <c r="AL389" s="34"/>
      <c r="AM389" s="72"/>
      <c r="AN389" s="34"/>
      <c r="AO389" s="72"/>
      <c r="AP389" s="34"/>
      <c r="AQ389" s="37"/>
      <c r="AR389" s="34"/>
      <c r="AS389" s="34"/>
      <c r="AT389" s="34"/>
      <c r="AU389" s="34"/>
      <c r="AV389" s="34"/>
      <c r="AW389" s="37"/>
      <c r="AX389" s="34"/>
      <c r="AY389" s="37"/>
      <c r="AZ389" s="34"/>
      <c r="BA389" s="34"/>
      <c r="BB389" s="72"/>
      <c r="BC389" s="72"/>
      <c r="BD389" s="72"/>
      <c r="BE389" s="34"/>
      <c r="BF389" s="34"/>
      <c r="BG389" s="30"/>
      <c r="BH389" s="39"/>
      <c r="BJ389" s="50"/>
      <c r="BK389" s="50"/>
    </row>
    <row r="390" spans="1:63" x14ac:dyDescent="0.2">
      <c r="A390" s="36"/>
      <c r="E390" s="34"/>
      <c r="F390" s="34"/>
      <c r="G390" s="34"/>
      <c r="H390" s="37"/>
      <c r="I390" s="34"/>
      <c r="J390" s="37"/>
      <c r="K390" s="34"/>
      <c r="L390" s="34"/>
      <c r="M390" s="37"/>
      <c r="N390" s="37"/>
      <c r="O390" s="37"/>
      <c r="P390" s="36"/>
      <c r="Q390" s="34"/>
      <c r="R390" s="36"/>
      <c r="S390" s="36"/>
      <c r="T390" s="72"/>
      <c r="U390" s="35"/>
      <c r="V390" s="35"/>
      <c r="W390" s="36"/>
      <c r="X390" s="72"/>
      <c r="Y390" s="35"/>
      <c r="Z390" s="215"/>
      <c r="AA390" s="215"/>
      <c r="AB390" s="215"/>
      <c r="AC390" s="215"/>
      <c r="AD390" s="72"/>
      <c r="AE390" s="35"/>
      <c r="AF390" s="35"/>
      <c r="AG390" s="35"/>
      <c r="AH390" s="35"/>
      <c r="AI390" s="35"/>
      <c r="AJ390" s="34"/>
      <c r="AK390" s="35"/>
      <c r="AL390" s="34"/>
      <c r="AM390" s="72"/>
      <c r="AN390" s="34"/>
      <c r="AO390" s="72"/>
      <c r="AP390" s="34"/>
      <c r="AQ390" s="37"/>
      <c r="AR390" s="34"/>
      <c r="AS390" s="34"/>
      <c r="AT390" s="34"/>
      <c r="AU390" s="34"/>
      <c r="AV390" s="34"/>
      <c r="AW390" s="37"/>
      <c r="AX390" s="34"/>
      <c r="AY390" s="37"/>
      <c r="AZ390" s="34"/>
      <c r="BA390" s="34"/>
      <c r="BB390" s="72"/>
      <c r="BC390" s="72"/>
      <c r="BD390" s="72"/>
      <c r="BE390" s="34"/>
      <c r="BF390" s="34"/>
      <c r="BG390" s="30"/>
      <c r="BH390" s="39"/>
      <c r="BJ390" s="50"/>
      <c r="BK390" s="50"/>
    </row>
    <row r="391" spans="1:63" x14ac:dyDescent="0.2">
      <c r="A391" s="36"/>
      <c r="E391" s="34"/>
      <c r="F391" s="34"/>
      <c r="G391" s="34"/>
      <c r="H391" s="37"/>
      <c r="I391" s="34"/>
      <c r="J391" s="37"/>
      <c r="K391" s="34"/>
      <c r="L391" s="34"/>
      <c r="M391" s="37"/>
      <c r="N391" s="37"/>
      <c r="O391" s="37"/>
      <c r="P391" s="36"/>
      <c r="Q391" s="34"/>
      <c r="R391" s="36"/>
      <c r="S391" s="36"/>
      <c r="T391" s="72"/>
      <c r="U391" s="35"/>
      <c r="V391" s="35"/>
      <c r="W391" s="36"/>
      <c r="X391" s="72"/>
      <c r="Y391" s="35"/>
      <c r="Z391" s="215"/>
      <c r="AA391" s="215"/>
      <c r="AB391" s="215"/>
      <c r="AC391" s="215"/>
      <c r="AD391" s="72"/>
      <c r="AE391" s="35"/>
      <c r="AF391" s="35"/>
      <c r="AG391" s="35"/>
      <c r="AH391" s="35"/>
      <c r="AI391" s="35"/>
      <c r="AJ391" s="34"/>
      <c r="AK391" s="35"/>
      <c r="AL391" s="34"/>
      <c r="AM391" s="72"/>
      <c r="AN391" s="34"/>
      <c r="AO391" s="72"/>
      <c r="AP391" s="34"/>
      <c r="AQ391" s="37"/>
      <c r="AR391" s="34"/>
      <c r="AS391" s="34"/>
      <c r="AT391" s="34"/>
      <c r="AU391" s="34"/>
      <c r="AV391" s="34"/>
      <c r="AW391" s="37"/>
      <c r="AX391" s="34"/>
      <c r="AY391" s="37"/>
      <c r="AZ391" s="34"/>
      <c r="BA391" s="34"/>
      <c r="BB391" s="72"/>
      <c r="BC391" s="72"/>
      <c r="BD391" s="72"/>
      <c r="BE391" s="34"/>
      <c r="BF391" s="34"/>
      <c r="BG391" s="30"/>
      <c r="BH391" s="39"/>
      <c r="BJ391" s="50"/>
      <c r="BK391" s="50"/>
    </row>
    <row r="392" spans="1:63" x14ac:dyDescent="0.2">
      <c r="A392" s="36"/>
      <c r="E392" s="34"/>
      <c r="F392" s="34"/>
      <c r="G392" s="34"/>
      <c r="H392" s="37"/>
      <c r="I392" s="34"/>
      <c r="J392" s="37"/>
      <c r="K392" s="34"/>
      <c r="L392" s="34"/>
      <c r="M392" s="37"/>
      <c r="N392" s="37"/>
      <c r="O392" s="37"/>
      <c r="P392" s="36"/>
      <c r="Q392" s="34"/>
      <c r="R392" s="36"/>
      <c r="S392" s="36"/>
      <c r="T392" s="72"/>
      <c r="U392" s="35"/>
      <c r="V392" s="35"/>
      <c r="W392" s="36"/>
      <c r="X392" s="72"/>
      <c r="Y392" s="35"/>
      <c r="Z392" s="215"/>
      <c r="AA392" s="215"/>
      <c r="AB392" s="215"/>
      <c r="AC392" s="215"/>
      <c r="AD392" s="72"/>
      <c r="AE392" s="35"/>
      <c r="AF392" s="35"/>
      <c r="AG392" s="35"/>
      <c r="AH392" s="35"/>
      <c r="AI392" s="35"/>
      <c r="AJ392" s="34"/>
      <c r="AK392" s="35"/>
      <c r="AL392" s="34"/>
      <c r="AM392" s="72"/>
      <c r="AN392" s="34"/>
      <c r="AO392" s="72"/>
      <c r="AP392" s="34"/>
      <c r="AQ392" s="37"/>
      <c r="AR392" s="34"/>
      <c r="AS392" s="34"/>
      <c r="AT392" s="34"/>
      <c r="AU392" s="34"/>
      <c r="AV392" s="34"/>
      <c r="AW392" s="37"/>
      <c r="AX392" s="34"/>
      <c r="AY392" s="37"/>
      <c r="AZ392" s="34"/>
      <c r="BA392" s="34"/>
      <c r="BB392" s="72"/>
      <c r="BC392" s="72"/>
      <c r="BD392" s="72"/>
      <c r="BE392" s="34"/>
      <c r="BF392" s="34"/>
      <c r="BG392" s="30"/>
      <c r="BH392" s="39"/>
      <c r="BJ392" s="50"/>
      <c r="BK392" s="50"/>
    </row>
    <row r="393" spans="1:63" x14ac:dyDescent="0.2">
      <c r="A393" s="36"/>
      <c r="E393" s="34"/>
      <c r="F393" s="34"/>
      <c r="G393" s="34"/>
      <c r="H393" s="37"/>
      <c r="I393" s="34"/>
      <c r="J393" s="37"/>
      <c r="K393" s="34"/>
      <c r="L393" s="34"/>
      <c r="M393" s="37"/>
      <c r="N393" s="37"/>
      <c r="O393" s="37"/>
      <c r="P393" s="36"/>
      <c r="Q393" s="34"/>
      <c r="R393" s="36"/>
      <c r="S393" s="36"/>
      <c r="T393" s="72"/>
      <c r="U393" s="35"/>
      <c r="V393" s="35"/>
      <c r="W393" s="36"/>
      <c r="X393" s="72"/>
      <c r="Y393" s="35"/>
      <c r="Z393" s="215"/>
      <c r="AA393" s="215"/>
      <c r="AB393" s="215"/>
      <c r="AC393" s="215"/>
      <c r="AD393" s="72"/>
      <c r="AE393" s="35"/>
      <c r="AF393" s="35"/>
      <c r="AG393" s="35"/>
      <c r="AH393" s="35"/>
      <c r="AI393" s="35"/>
      <c r="AJ393" s="34"/>
      <c r="AK393" s="35"/>
      <c r="AL393" s="34"/>
      <c r="AM393" s="72"/>
      <c r="AN393" s="34"/>
      <c r="AO393" s="72"/>
      <c r="AP393" s="34"/>
      <c r="AQ393" s="37"/>
      <c r="AR393" s="34"/>
      <c r="AS393" s="34"/>
      <c r="AT393" s="34"/>
      <c r="AU393" s="34"/>
      <c r="AV393" s="34"/>
      <c r="AW393" s="37"/>
      <c r="AX393" s="34"/>
      <c r="AY393" s="37"/>
      <c r="AZ393" s="34"/>
      <c r="BA393" s="34"/>
      <c r="BB393" s="72"/>
      <c r="BC393" s="72"/>
      <c r="BD393" s="72"/>
      <c r="BE393" s="34"/>
      <c r="BF393" s="34"/>
      <c r="BG393" s="30"/>
      <c r="BH393" s="39"/>
      <c r="BJ393" s="50"/>
      <c r="BK393" s="50"/>
    </row>
    <row r="394" spans="1:63" x14ac:dyDescent="0.2">
      <c r="A394" s="36"/>
      <c r="E394" s="34"/>
      <c r="F394" s="34"/>
      <c r="G394" s="34"/>
      <c r="H394" s="37"/>
      <c r="I394" s="34"/>
      <c r="J394" s="37"/>
      <c r="K394" s="34"/>
      <c r="L394" s="34"/>
      <c r="M394" s="37"/>
      <c r="N394" s="37"/>
      <c r="O394" s="37"/>
      <c r="P394" s="36"/>
      <c r="Q394" s="34"/>
      <c r="R394" s="36"/>
      <c r="S394" s="36"/>
      <c r="T394" s="72"/>
      <c r="U394" s="35"/>
      <c r="V394" s="35"/>
      <c r="W394" s="36"/>
      <c r="X394" s="72"/>
      <c r="Y394" s="35"/>
      <c r="Z394" s="215"/>
      <c r="AA394" s="215"/>
      <c r="AB394" s="215"/>
      <c r="AC394" s="215"/>
      <c r="AD394" s="72"/>
      <c r="AE394" s="35"/>
      <c r="AF394" s="35"/>
      <c r="AG394" s="35"/>
      <c r="AH394" s="35"/>
      <c r="AI394" s="35"/>
      <c r="AJ394" s="34"/>
      <c r="AK394" s="35"/>
      <c r="AL394" s="34"/>
      <c r="AM394" s="72"/>
      <c r="AN394" s="34"/>
      <c r="AO394" s="72"/>
      <c r="AP394" s="34"/>
      <c r="AQ394" s="37"/>
      <c r="AR394" s="34"/>
      <c r="AS394" s="34"/>
      <c r="AT394" s="34"/>
      <c r="AU394" s="34"/>
      <c r="AV394" s="34"/>
      <c r="AW394" s="37"/>
      <c r="AX394" s="34"/>
      <c r="AY394" s="37"/>
      <c r="AZ394" s="34"/>
      <c r="BA394" s="34"/>
      <c r="BB394" s="72"/>
      <c r="BC394" s="72"/>
      <c r="BD394" s="72"/>
      <c r="BE394" s="34"/>
      <c r="BF394" s="34"/>
      <c r="BG394" s="30"/>
      <c r="BH394" s="39"/>
      <c r="BJ394" s="50"/>
      <c r="BK394" s="50"/>
    </row>
    <row r="395" spans="1:63" x14ac:dyDescent="0.2">
      <c r="A395" s="71"/>
      <c r="R395" s="49"/>
      <c r="S395" s="39"/>
      <c r="T395" s="39"/>
      <c r="V395" s="76"/>
      <c r="W395" s="76"/>
      <c r="Z395" s="76"/>
      <c r="AA395" s="76"/>
      <c r="AB395" s="76"/>
      <c r="AC395" s="76"/>
      <c r="AD395" s="39"/>
      <c r="AE395" s="39"/>
      <c r="AF395" s="76"/>
      <c r="AG395" s="76"/>
      <c r="AH395" s="76"/>
      <c r="AI395" s="76"/>
      <c r="AL395" s="76"/>
      <c r="AM395" s="38"/>
      <c r="AN395" s="38"/>
      <c r="AO395" s="39"/>
      <c r="AP395" s="39"/>
      <c r="AQ395" s="38"/>
      <c r="AR395" s="38"/>
      <c r="AS395" s="49"/>
      <c r="AT395" s="49"/>
      <c r="AU395" s="49"/>
      <c r="AV395" s="49"/>
      <c r="AW395" s="49"/>
      <c r="AX395" s="49"/>
      <c r="AZ395" s="49"/>
      <c r="BA395" s="38"/>
      <c r="BB395" s="38"/>
      <c r="BC395" s="38"/>
      <c r="BD395" s="39"/>
      <c r="BE395" s="39"/>
      <c r="BF395" s="38"/>
      <c r="BG395" s="38"/>
      <c r="BH395" s="39"/>
      <c r="BJ395" s="50"/>
      <c r="BK395" s="50"/>
    </row>
    <row r="396" spans="1:63" x14ac:dyDescent="0.2">
      <c r="A396" s="71"/>
      <c r="R396" s="49"/>
      <c r="S396" s="39"/>
      <c r="T396" s="39"/>
      <c r="V396" s="76"/>
      <c r="W396" s="76"/>
      <c r="Z396" s="76"/>
      <c r="AA396" s="76"/>
      <c r="AB396" s="76"/>
      <c r="AC396" s="76"/>
      <c r="AD396" s="39"/>
      <c r="AE396" s="39"/>
      <c r="AF396" s="76"/>
      <c r="AG396" s="76"/>
      <c r="AH396" s="76"/>
      <c r="AI396" s="76"/>
      <c r="AL396" s="76"/>
      <c r="AM396" s="38"/>
      <c r="AN396" s="38"/>
      <c r="AO396" s="39"/>
      <c r="AP396" s="39"/>
      <c r="AQ396" s="38"/>
      <c r="AR396" s="38"/>
      <c r="AS396" s="49"/>
      <c r="AT396" s="49"/>
      <c r="AU396" s="49"/>
      <c r="AV396" s="49"/>
      <c r="AW396" s="49"/>
      <c r="AX396" s="49"/>
      <c r="AZ396" s="49"/>
      <c r="BA396" s="38"/>
      <c r="BB396" s="38"/>
      <c r="BC396" s="38"/>
      <c r="BD396" s="39"/>
      <c r="BE396" s="39"/>
      <c r="BF396" s="38"/>
      <c r="BG396" s="38"/>
      <c r="BH396" s="39"/>
      <c r="BJ396" s="50"/>
      <c r="BK396" s="50"/>
    </row>
    <row r="397" spans="1:63" x14ac:dyDescent="0.2">
      <c r="A397" s="71"/>
      <c r="R397" s="49"/>
      <c r="S397" s="39"/>
      <c r="T397" s="38"/>
      <c r="V397" s="76"/>
      <c r="W397" s="38"/>
      <c r="Z397" s="39"/>
      <c r="AA397" s="39"/>
      <c r="AB397" s="39"/>
      <c r="AC397" s="39"/>
      <c r="AD397" s="39"/>
      <c r="AE397" s="76"/>
      <c r="AF397" s="76"/>
      <c r="AG397" s="76"/>
      <c r="AH397" s="76"/>
      <c r="AI397" s="76"/>
      <c r="AL397" s="38"/>
      <c r="AM397" s="39"/>
      <c r="AN397" s="39"/>
      <c r="AO397" s="39"/>
      <c r="AP397" s="38"/>
      <c r="AQ397" s="49"/>
      <c r="AR397" s="49"/>
      <c r="AS397" s="49"/>
      <c r="AT397" s="49"/>
      <c r="AU397" s="49"/>
      <c r="AV397" s="49"/>
      <c r="AW397" s="49"/>
      <c r="AX397" s="38"/>
      <c r="AZ397" s="38"/>
      <c r="BA397" s="38"/>
      <c r="BB397" s="38"/>
      <c r="BC397" s="39"/>
      <c r="BD397" s="39"/>
      <c r="BE397" s="38"/>
      <c r="BF397" s="38"/>
      <c r="BG397" s="39"/>
    </row>
    <row r="398" spans="1:63" x14ac:dyDescent="0.2">
      <c r="A398" s="77" t="s">
        <v>687</v>
      </c>
      <c r="R398" s="49"/>
      <c r="S398" s="39"/>
      <c r="T398" s="38"/>
      <c r="V398" s="76"/>
      <c r="W398" s="38"/>
      <c r="Z398" s="39"/>
      <c r="AA398" s="39"/>
      <c r="AB398" s="39"/>
      <c r="AC398" s="39"/>
      <c r="AD398" s="39"/>
      <c r="AE398" s="76"/>
      <c r="AF398" s="76"/>
      <c r="AG398" s="76"/>
      <c r="AH398" s="76"/>
      <c r="AI398" s="76"/>
      <c r="AL398" s="38"/>
      <c r="AM398" s="39"/>
      <c r="AN398" s="39"/>
      <c r="AO398" s="39"/>
      <c r="AP398" s="38"/>
      <c r="AQ398" s="49"/>
      <c r="AR398" s="49"/>
      <c r="AS398" s="49"/>
      <c r="AT398" s="49"/>
      <c r="AU398" s="49"/>
      <c r="AV398" s="49"/>
      <c r="AW398" s="49"/>
      <c r="AX398" s="38"/>
      <c r="AZ398" s="38"/>
      <c r="BA398" s="38"/>
      <c r="BB398" s="38"/>
      <c r="BC398" s="39"/>
      <c r="BD398" s="39"/>
      <c r="BE398" s="38"/>
      <c r="BF398" s="38"/>
      <c r="BG398" s="39"/>
    </row>
    <row r="399" spans="1:63" x14ac:dyDescent="0.2">
      <c r="A399" s="71" t="s">
        <v>681</v>
      </c>
      <c r="B399" s="50">
        <v>-0.95220934988584383</v>
      </c>
      <c r="R399" s="49"/>
      <c r="S399" s="39"/>
      <c r="T399" s="38"/>
      <c r="V399" s="76"/>
      <c r="W399" s="38"/>
      <c r="Z399" s="39"/>
      <c r="AA399" s="39"/>
      <c r="AB399" s="39"/>
      <c r="AC399" s="39"/>
      <c r="AD399" s="39"/>
      <c r="AE399" s="76"/>
      <c r="AF399" s="76"/>
      <c r="AG399" s="76"/>
      <c r="AH399" s="76"/>
      <c r="AI399" s="76"/>
      <c r="AL399" s="38"/>
      <c r="AM399" s="39"/>
      <c r="AN399" s="39"/>
      <c r="AO399" s="39"/>
      <c r="AP399" s="116"/>
      <c r="AQ399" s="49"/>
      <c r="AR399" s="49"/>
      <c r="AS399" s="49"/>
      <c r="AT399" s="49"/>
      <c r="AU399" s="49"/>
      <c r="AV399" s="49"/>
      <c r="AW399" s="49"/>
      <c r="AX399" s="38"/>
      <c r="AZ399" s="38"/>
      <c r="BA399" s="38"/>
      <c r="BB399" s="38"/>
      <c r="BC399" s="39"/>
      <c r="BD399" s="39"/>
      <c r="BE399" s="38"/>
      <c r="BF399" s="38"/>
      <c r="BG399" s="39"/>
    </row>
    <row r="400" spans="1:63" x14ac:dyDescent="0.2">
      <c r="A400" s="71" t="s">
        <v>682</v>
      </c>
      <c r="B400" s="50">
        <v>37.472555879675497</v>
      </c>
      <c r="R400" s="49"/>
      <c r="S400" s="39"/>
      <c r="T400" s="38"/>
      <c r="V400" s="76"/>
      <c r="W400" s="38"/>
      <c r="Z400" s="39"/>
      <c r="AA400" s="39"/>
      <c r="AB400" s="39"/>
      <c r="AC400" s="39"/>
      <c r="AD400" s="39"/>
      <c r="AE400" s="76"/>
      <c r="AF400" s="76"/>
      <c r="AG400" s="76"/>
      <c r="AH400" s="76"/>
      <c r="AI400" s="76"/>
      <c r="AL400" s="38"/>
      <c r="AM400" s="39"/>
      <c r="AN400" s="39"/>
      <c r="AO400" s="39"/>
      <c r="AP400" s="117"/>
      <c r="AQ400" s="49"/>
      <c r="AR400" s="49"/>
      <c r="AS400" s="49"/>
      <c r="AT400" s="49"/>
      <c r="AU400" s="49"/>
      <c r="AV400" s="49"/>
      <c r="AW400" s="49"/>
      <c r="AX400" s="38"/>
      <c r="AZ400" s="38"/>
      <c r="BA400" s="38"/>
      <c r="BB400" s="38"/>
      <c r="BC400" s="39"/>
      <c r="BD400" s="39"/>
      <c r="BE400" s="38"/>
      <c r="BF400" s="38"/>
      <c r="BG400" s="39"/>
    </row>
    <row r="401" spans="1:59" x14ac:dyDescent="0.2">
      <c r="A401" s="77" t="s">
        <v>688</v>
      </c>
      <c r="R401" s="49"/>
      <c r="S401" s="39"/>
      <c r="T401" s="38"/>
      <c r="V401" s="76"/>
      <c r="W401" s="38"/>
      <c r="Z401" s="39"/>
      <c r="AA401" s="39"/>
      <c r="AB401" s="39"/>
      <c r="AC401" s="39"/>
      <c r="AD401" s="39"/>
      <c r="AE401" s="76"/>
      <c r="AF401" s="76"/>
      <c r="AG401" s="76"/>
      <c r="AH401" s="76"/>
      <c r="AI401" s="76"/>
      <c r="AL401" s="38"/>
      <c r="AM401" s="39"/>
      <c r="AN401" s="39"/>
      <c r="AO401" s="39"/>
      <c r="AP401" s="38"/>
      <c r="AQ401" s="49"/>
      <c r="AR401" s="49"/>
      <c r="AS401" s="49"/>
      <c r="AT401" s="49"/>
      <c r="AU401" s="49"/>
      <c r="AV401" s="49"/>
      <c r="AW401" s="49"/>
      <c r="AX401" s="38"/>
      <c r="AZ401" s="38"/>
      <c r="BA401" s="38"/>
      <c r="BB401" s="38"/>
      <c r="BC401" s="39"/>
      <c r="BD401" s="39"/>
      <c r="BE401" s="38"/>
      <c r="BF401" s="38"/>
      <c r="BG401" s="39"/>
    </row>
    <row r="402" spans="1:59" x14ac:dyDescent="0.2">
      <c r="A402" s="71" t="s">
        <v>681</v>
      </c>
      <c r="B402" s="50">
        <v>-0.41704891897357871</v>
      </c>
      <c r="R402" s="49"/>
      <c r="S402" s="39"/>
      <c r="T402" s="38"/>
      <c r="V402" s="76"/>
      <c r="W402" s="38"/>
      <c r="Z402" s="39"/>
      <c r="AA402" s="39"/>
      <c r="AB402" s="39"/>
      <c r="AC402" s="39"/>
      <c r="AD402" s="39"/>
      <c r="AE402" s="76"/>
      <c r="AF402" s="76"/>
      <c r="AG402" s="76"/>
      <c r="AH402" s="76"/>
      <c r="AI402" s="76"/>
      <c r="AL402" s="38"/>
      <c r="AM402" s="39"/>
      <c r="AN402" s="39"/>
      <c r="AO402" s="39"/>
      <c r="AP402" s="38"/>
      <c r="AQ402" s="49"/>
      <c r="AR402" s="49"/>
      <c r="AS402" s="49"/>
      <c r="AT402" s="49"/>
      <c r="AU402" s="49"/>
      <c r="AV402" s="49"/>
      <c r="AW402" s="49"/>
      <c r="AX402" s="38"/>
      <c r="AZ402" s="38"/>
      <c r="BA402" s="38"/>
      <c r="BB402" s="38"/>
      <c r="BC402" s="39"/>
      <c r="BD402" s="39"/>
      <c r="BE402" s="38"/>
      <c r="BF402" s="38"/>
      <c r="BG402" s="39"/>
    </row>
    <row r="403" spans="1:59" x14ac:dyDescent="0.2">
      <c r="A403" s="71" t="s">
        <v>682</v>
      </c>
      <c r="B403" s="50">
        <v>22.176863518421278</v>
      </c>
      <c r="R403" s="49"/>
      <c r="S403" s="39"/>
      <c r="T403" s="38"/>
      <c r="V403" s="76"/>
      <c r="W403" s="38"/>
      <c r="Z403" s="39"/>
      <c r="AA403" s="39"/>
      <c r="AB403" s="39"/>
      <c r="AC403" s="39"/>
      <c r="AD403" s="39"/>
      <c r="AE403" s="76"/>
      <c r="AF403" s="76"/>
      <c r="AG403" s="76"/>
      <c r="AH403" s="76"/>
      <c r="AI403" s="76"/>
      <c r="AL403" s="38"/>
      <c r="AM403" s="39"/>
      <c r="AN403" s="39"/>
      <c r="AO403" s="39"/>
      <c r="AP403" s="38"/>
      <c r="AQ403" s="49"/>
      <c r="AR403" s="49"/>
      <c r="AS403" s="49"/>
      <c r="AT403" s="49"/>
      <c r="AU403" s="49"/>
      <c r="AV403" s="49"/>
      <c r="AW403" s="49"/>
      <c r="AX403" s="38"/>
      <c r="AZ403" s="38"/>
      <c r="BA403" s="38"/>
      <c r="BB403" s="38"/>
      <c r="BC403" s="39"/>
      <c r="BD403" s="39"/>
      <c r="BE403" s="38"/>
      <c r="BF403" s="38"/>
      <c r="BG403" s="39"/>
    </row>
    <row r="404" spans="1:59" x14ac:dyDescent="0.2">
      <c r="A404" s="71"/>
      <c r="P404" s="38"/>
      <c r="R404" s="38"/>
      <c r="S404" s="38"/>
      <c r="T404" s="38"/>
      <c r="V404" s="76"/>
      <c r="W404" s="38"/>
      <c r="Z404" s="38"/>
      <c r="AA404" s="38"/>
      <c r="AB404" s="38"/>
      <c r="AC404" s="38"/>
      <c r="AD404" s="38"/>
      <c r="AE404" s="76"/>
      <c r="AF404" s="76"/>
      <c r="AG404" s="76"/>
      <c r="AH404" s="76"/>
      <c r="AI404" s="76"/>
      <c r="AL404" s="38"/>
      <c r="AM404" s="39"/>
      <c r="AN404" s="39"/>
      <c r="AO404" s="38"/>
      <c r="AP404" s="38"/>
      <c r="AQ404" s="49"/>
      <c r="AR404" s="49"/>
      <c r="AS404" s="38"/>
      <c r="AT404" s="38"/>
      <c r="AU404" s="38"/>
      <c r="AV404" s="38"/>
      <c r="AW404" s="38"/>
      <c r="AX404" s="38"/>
      <c r="AZ404" s="38"/>
      <c r="BA404" s="38"/>
      <c r="BB404" s="38"/>
      <c r="BC404" s="38"/>
      <c r="BD404" s="38"/>
      <c r="BE404" s="38"/>
      <c r="BF404" s="38"/>
      <c r="BG404" s="39"/>
    </row>
    <row r="405" spans="1:59" x14ac:dyDescent="0.2">
      <c r="A405" s="71" t="s">
        <v>638</v>
      </c>
      <c r="B405" s="303">
        <v>-0.80630876339228341</v>
      </c>
      <c r="C405" s="50" t="s">
        <v>883</v>
      </c>
      <c r="D405" s="38"/>
      <c r="P405" s="38"/>
      <c r="R405" s="38"/>
      <c r="S405" s="38"/>
      <c r="T405" s="38"/>
      <c r="V405" s="76"/>
      <c r="W405" s="38"/>
      <c r="Z405" s="38"/>
      <c r="AA405" s="38"/>
      <c r="AB405" s="38"/>
      <c r="AC405" s="38"/>
      <c r="AD405" s="38"/>
      <c r="AE405" s="76"/>
      <c r="AF405" s="76"/>
      <c r="AG405" s="76"/>
      <c r="AH405" s="76"/>
      <c r="AI405" s="76"/>
      <c r="AL405" s="38"/>
      <c r="AM405" s="39"/>
      <c r="AN405" s="39"/>
      <c r="AO405" s="38"/>
      <c r="AP405" s="38"/>
      <c r="AQ405" s="49"/>
      <c r="AR405" s="49"/>
      <c r="AS405" s="38"/>
      <c r="AT405" s="38"/>
      <c r="AU405" s="38"/>
      <c r="AV405" s="38"/>
      <c r="AW405" s="38"/>
      <c r="AX405" s="38"/>
      <c r="AZ405" s="38"/>
      <c r="BA405" s="38"/>
      <c r="BB405" s="38"/>
      <c r="BC405" s="38"/>
      <c r="BD405" s="38"/>
      <c r="BE405" s="38"/>
      <c r="BF405" s="38"/>
      <c r="BG405" s="39"/>
    </row>
    <row r="406" spans="1:59" x14ac:dyDescent="0.2">
      <c r="A406" s="71"/>
      <c r="B406" s="304">
        <v>27.608795230039323</v>
      </c>
      <c r="P406" s="38"/>
      <c r="R406" s="38"/>
      <c r="S406" s="38"/>
      <c r="T406" s="38"/>
      <c r="V406" s="76"/>
      <c r="W406" s="38"/>
      <c r="Z406" s="38"/>
      <c r="AA406" s="38"/>
      <c r="AB406" s="38"/>
      <c r="AC406" s="38"/>
      <c r="AD406" s="38"/>
      <c r="AE406" s="76"/>
      <c r="AF406" s="76"/>
      <c r="AG406" s="76"/>
      <c r="AH406" s="76"/>
      <c r="AI406" s="76"/>
      <c r="AL406" s="38"/>
      <c r="AM406" s="39"/>
      <c r="AN406" s="39"/>
      <c r="AO406" s="38"/>
      <c r="AP406" s="38"/>
      <c r="AQ406" s="49"/>
      <c r="AR406" s="49"/>
      <c r="AS406" s="38"/>
      <c r="AT406" s="38"/>
      <c r="AU406" s="38"/>
      <c r="AV406" s="38"/>
      <c r="AW406" s="38"/>
      <c r="AX406" s="38"/>
      <c r="AZ406" s="38"/>
      <c r="BA406" s="38"/>
      <c r="BB406" s="38"/>
      <c r="BC406" s="38"/>
      <c r="BD406" s="38"/>
      <c r="BE406" s="38"/>
      <c r="BF406" s="38"/>
      <c r="BG406" s="39"/>
    </row>
    <row r="407" spans="1:59" x14ac:dyDescent="0.2">
      <c r="A407" s="71"/>
      <c r="R407" s="49"/>
      <c r="S407" s="39"/>
      <c r="T407" s="38"/>
      <c r="V407" s="76"/>
      <c r="W407" s="38"/>
      <c r="Z407" s="39"/>
      <c r="AA407" s="39"/>
      <c r="AB407" s="39"/>
      <c r="AC407" s="39"/>
      <c r="AD407" s="39"/>
      <c r="AE407" s="76"/>
      <c r="AF407" s="76"/>
      <c r="AG407" s="76"/>
      <c r="AH407" s="76"/>
      <c r="AI407" s="76"/>
      <c r="AL407" s="38"/>
      <c r="AM407" s="39"/>
      <c r="AN407" s="39"/>
      <c r="AO407" s="39"/>
      <c r="AP407" s="38"/>
      <c r="AQ407" s="49"/>
      <c r="AR407" s="49"/>
      <c r="AS407" s="49"/>
      <c r="AT407" s="49"/>
      <c r="AU407" s="49"/>
      <c r="AV407" s="49"/>
      <c r="AW407" s="49"/>
      <c r="AX407" s="38"/>
      <c r="AZ407" s="38"/>
      <c r="BA407" s="38"/>
      <c r="BB407" s="38"/>
      <c r="BC407" s="39"/>
      <c r="BD407" s="39"/>
      <c r="BE407" s="38"/>
      <c r="BF407" s="38"/>
      <c r="BG407" s="39"/>
    </row>
    <row r="415" spans="1:59" x14ac:dyDescent="0.2">
      <c r="A415" s="50" t="s">
        <v>1291</v>
      </c>
      <c r="C415" s="50" t="s">
        <v>157</v>
      </c>
      <c r="D415" s="50" t="s">
        <v>158</v>
      </c>
      <c r="E415" s="38" t="s">
        <v>156</v>
      </c>
      <c r="F415" s="38" t="s">
        <v>162</v>
      </c>
      <c r="G415" s="38" t="s">
        <v>163</v>
      </c>
      <c r="H415" s="49" t="s">
        <v>152</v>
      </c>
      <c r="I415" s="38" t="s">
        <v>165</v>
      </c>
      <c r="J415" s="49" t="s">
        <v>166</v>
      </c>
      <c r="K415" s="38" t="s">
        <v>262</v>
      </c>
      <c r="L415" s="38" t="s">
        <v>307</v>
      </c>
      <c r="M415" s="49" t="s">
        <v>308</v>
      </c>
      <c r="N415" s="49" t="s">
        <v>309</v>
      </c>
      <c r="O415" s="49" t="s">
        <v>263</v>
      </c>
      <c r="P415" s="50" t="s">
        <v>167</v>
      </c>
      <c r="Q415" s="38" t="s">
        <v>168</v>
      </c>
      <c r="R415" s="50" t="s">
        <v>324</v>
      </c>
      <c r="S415" s="50" t="s">
        <v>319</v>
      </c>
      <c r="T415" s="50" t="s">
        <v>264</v>
      </c>
      <c r="U415" s="76" t="s">
        <v>169</v>
      </c>
      <c r="V415" s="50" t="s">
        <v>170</v>
      </c>
      <c r="W415" s="50" t="s">
        <v>171</v>
      </c>
      <c r="X415" s="39" t="s">
        <v>172</v>
      </c>
      <c r="Y415" s="76" t="s">
        <v>173</v>
      </c>
      <c r="Z415" s="50" t="s">
        <v>174</v>
      </c>
      <c r="AA415" s="50" t="s">
        <v>175</v>
      </c>
      <c r="AB415" s="50" t="s">
        <v>176</v>
      </c>
      <c r="AC415" s="50" t="s">
        <v>177</v>
      </c>
      <c r="AD415" s="50" t="s">
        <v>178</v>
      </c>
      <c r="AE415" s="50" t="s">
        <v>179</v>
      </c>
      <c r="AF415" s="50" t="s">
        <v>326</v>
      </c>
      <c r="AG415" s="50" t="s">
        <v>180</v>
      </c>
      <c r="AH415" s="50" t="s">
        <v>265</v>
      </c>
      <c r="AI415" s="50" t="s">
        <v>182</v>
      </c>
      <c r="AJ415" s="38" t="s">
        <v>183</v>
      </c>
      <c r="AK415" s="76" t="s">
        <v>186</v>
      </c>
    </row>
    <row r="416" spans="1:59" x14ac:dyDescent="0.2">
      <c r="A416" s="346" t="s">
        <v>111</v>
      </c>
      <c r="B416" s="346" t="s">
        <v>279</v>
      </c>
      <c r="C416" s="346">
        <v>0.377065208887498</v>
      </c>
      <c r="D416" s="346">
        <v>0.14328117665467058</v>
      </c>
      <c r="E416" s="347">
        <v>13.569159755906744</v>
      </c>
      <c r="F416" s="347">
        <v>27.441225942731965</v>
      </c>
      <c r="G416" s="347">
        <v>1964.0560945079017</v>
      </c>
      <c r="H416" s="348">
        <v>11.037496088249098</v>
      </c>
      <c r="I416" s="347">
        <v>53.605589892035674</v>
      </c>
      <c r="J416" s="348">
        <v>631.76627288374277</v>
      </c>
      <c r="K416" s="347">
        <v>7.2299874823971209</v>
      </c>
      <c r="L416" s="347">
        <v>0.70250078235017999</v>
      </c>
      <c r="M416" s="348">
        <v>0.71411085902049753</v>
      </c>
      <c r="N416" s="348">
        <v>0.55272218745110313</v>
      </c>
      <c r="O416" s="348">
        <v>3.8785010170552341</v>
      </c>
      <c r="P416" s="346">
        <v>1223.590909090909</v>
      </c>
      <c r="Q416" s="347">
        <v>235.5931779064309</v>
      </c>
      <c r="R416" s="346">
        <v>0</v>
      </c>
      <c r="S416" s="346">
        <v>2.3523822562979187E-2</v>
      </c>
      <c r="T416" s="346">
        <v>0.23415639180097009</v>
      </c>
      <c r="U416" s="349">
        <v>338.41699264590829</v>
      </c>
      <c r="V416" s="346">
        <v>16.733329682365824</v>
      </c>
      <c r="W416" s="346">
        <v>43.475418557346259</v>
      </c>
      <c r="X416" s="357">
        <v>25.102882960413073</v>
      </c>
      <c r="Y416" s="349">
        <v>7.4694773900797999</v>
      </c>
      <c r="Z416" s="346">
        <v>0.84387267250821474</v>
      </c>
      <c r="AA416" s="346">
        <v>1.551682052886872</v>
      </c>
      <c r="AB416" s="346">
        <v>5.8725344234079158</v>
      </c>
      <c r="AC416" s="346">
        <v>0.81461340165858231</v>
      </c>
      <c r="AD416" s="346">
        <v>5.854236035049289</v>
      </c>
      <c r="AE416" s="346">
        <v>0.66611477077139725</v>
      </c>
      <c r="AF416" s="346">
        <v>0.51482162415897359</v>
      </c>
      <c r="AG416" s="346">
        <v>17.76957048975121</v>
      </c>
      <c r="AH416" s="346">
        <v>12.028986074166797</v>
      </c>
      <c r="AI416" s="346">
        <v>3.0807530120481927</v>
      </c>
      <c r="AJ416" s="347">
        <v>1.0393033171647628</v>
      </c>
      <c r="AK416" s="349">
        <v>255.64000000000001</v>
      </c>
    </row>
    <row r="419" spans="1:70" x14ac:dyDescent="0.2">
      <c r="A419" s="320" t="str">
        <f>A416</f>
        <v>Dhofar 1442 mean</v>
      </c>
      <c r="B419" s="320"/>
      <c r="C419" s="320"/>
      <c r="D419" s="320"/>
      <c r="E419" s="326"/>
      <c r="F419" s="326"/>
      <c r="G419" s="326"/>
      <c r="H419" s="327">
        <f>V419*1.4616/10000</f>
        <v>0.28706643877327492</v>
      </c>
      <c r="I419" s="326">
        <f>H416</f>
        <v>11.037496088249098</v>
      </c>
      <c r="J419" s="327"/>
      <c r="K419" s="326"/>
      <c r="L419" s="326">
        <f>E416</f>
        <v>13.569159755906744</v>
      </c>
      <c r="M419" s="327">
        <f>C416</f>
        <v>0.377065208887498</v>
      </c>
      <c r="N419" s="327">
        <f>D416</f>
        <v>0.14328117665467058</v>
      </c>
      <c r="O419" s="327"/>
      <c r="P419" s="320"/>
      <c r="Q419" s="326"/>
      <c r="R419" s="327">
        <f>M419</f>
        <v>0.377065208887498</v>
      </c>
      <c r="S419" s="327">
        <f>N419</f>
        <v>0.14328117665467058</v>
      </c>
      <c r="T419" s="326">
        <f>F416</f>
        <v>27.441225942731965</v>
      </c>
      <c r="U419" s="426"/>
      <c r="V419" s="426">
        <f>G416</f>
        <v>1964.0560945079017</v>
      </c>
      <c r="W419" s="327">
        <f>H416</f>
        <v>11.037496088249098</v>
      </c>
      <c r="X419" s="427">
        <f>I416</f>
        <v>53.605589892035674</v>
      </c>
      <c r="Y419" s="426">
        <f>J416</f>
        <v>631.76627288374277</v>
      </c>
      <c r="Z419" s="320"/>
      <c r="AA419" s="320"/>
      <c r="AB419" s="326">
        <f>L416</f>
        <v>0.70250078235017999</v>
      </c>
      <c r="AC419" s="327">
        <f>N416</f>
        <v>0.55272218745110313</v>
      </c>
      <c r="AD419" s="327">
        <f>O416</f>
        <v>3.8785010170552341</v>
      </c>
      <c r="AE419" s="320">
        <f>P416</f>
        <v>1223.590909090909</v>
      </c>
      <c r="AF419" s="320"/>
      <c r="AG419" s="320">
        <f>Q416</f>
        <v>235.5931779064309</v>
      </c>
      <c r="AH419" s="320"/>
      <c r="AI419" s="320">
        <f>S416</f>
        <v>2.3523822562979187E-2</v>
      </c>
      <c r="AJ419" s="326">
        <f>T416</f>
        <v>0.23415639180097009</v>
      </c>
      <c r="AK419" s="326">
        <f>U416</f>
        <v>338.41699264590829</v>
      </c>
      <c r="AL419" s="326">
        <f>V416</f>
        <v>16.733329682365824</v>
      </c>
      <c r="AM419" s="326">
        <f>W416</f>
        <v>43.475418557346259</v>
      </c>
      <c r="AN419" s="320"/>
      <c r="AO419" s="326">
        <f>X416</f>
        <v>25.102882960413073</v>
      </c>
      <c r="AP419" s="426">
        <f>Y416</f>
        <v>7.4694773900797999</v>
      </c>
      <c r="AQ419" s="426">
        <f>Z416</f>
        <v>0.84387267250821474</v>
      </c>
      <c r="AR419" s="320"/>
      <c r="AS419" s="320">
        <f>AA416</f>
        <v>1.551682052886872</v>
      </c>
      <c r="AT419" s="320"/>
      <c r="AU419" s="320"/>
      <c r="AV419" s="320"/>
      <c r="AW419" s="320"/>
      <c r="AX419" s="320">
        <f t="shared" ref="AX419:BG419" si="181">AB416</f>
        <v>5.8725344234079158</v>
      </c>
      <c r="AY419" s="320">
        <f t="shared" si="181"/>
        <v>0.81461340165858231</v>
      </c>
      <c r="AZ419" s="320">
        <f t="shared" si="181"/>
        <v>5.854236035049289</v>
      </c>
      <c r="BA419" s="320">
        <f t="shared" si="181"/>
        <v>0.66611477077139725</v>
      </c>
      <c r="BB419" s="320">
        <f t="shared" si="181"/>
        <v>0.51482162415897359</v>
      </c>
      <c r="BC419" s="320">
        <f t="shared" si="181"/>
        <v>17.76957048975121</v>
      </c>
      <c r="BD419" s="320">
        <f t="shared" si="181"/>
        <v>12.028986074166797</v>
      </c>
      <c r="BE419" s="320">
        <f t="shared" si="181"/>
        <v>3.0807530120481927</v>
      </c>
      <c r="BF419" s="320">
        <f t="shared" si="181"/>
        <v>1.0393033171647628</v>
      </c>
      <c r="BG419" s="320">
        <f t="shared" si="181"/>
        <v>255.64000000000001</v>
      </c>
      <c r="BP419" s="116">
        <f>196.6*10^(LOG10(AP419/147.1)+(LOG10(AP419/147.1)-LOG10(AL419/234.7))*0.4)</f>
        <v>8.7157419660067283</v>
      </c>
      <c r="BQ419" s="116">
        <f>196.6*10^(LOG10(AP419/147.1)+0.6666*(LOG10(AS419/36.3)-LOG10(AP419/147.1)))</f>
        <v>8.900445700359132</v>
      </c>
      <c r="BR419" s="116">
        <f>196.6*10^(LOG10(AS419/36.3)-(LOG10(AX419/162.5)-LOG10(AS419/36.3))/5)</f>
        <v>8.6908930731310594</v>
      </c>
    </row>
    <row r="426" spans="1:70" x14ac:dyDescent="0.2">
      <c r="C426" s="119"/>
      <c r="D426" s="58"/>
      <c r="E426" s="124"/>
      <c r="F426" s="124"/>
      <c r="G426" s="124"/>
      <c r="H426" s="119"/>
      <c r="I426" s="124"/>
      <c r="J426" s="119"/>
      <c r="K426" s="124"/>
      <c r="L426" s="124"/>
      <c r="M426" s="119"/>
      <c r="N426" s="119"/>
      <c r="O426" s="119"/>
      <c r="P426" s="58"/>
      <c r="Q426" s="124"/>
      <c r="R426" s="58"/>
      <c r="S426" s="58"/>
      <c r="T426" s="58"/>
      <c r="U426" s="125"/>
      <c r="V426" s="58"/>
      <c r="W426" s="58"/>
      <c r="X426" s="123"/>
      <c r="Y426" s="125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124"/>
      <c r="AK426" s="125"/>
    </row>
    <row r="427" spans="1:70" x14ac:dyDescent="0.2">
      <c r="C427" s="49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O46"/>
  <sheetViews>
    <sheetView zoomScale="140" workbookViewId="0">
      <pane ySplit="1" topLeftCell="A21" activePane="bottomLeft" state="frozen"/>
      <selection pane="bottomLeft" activeCell="B38" sqref="B38"/>
    </sheetView>
  </sheetViews>
  <sheetFormatPr defaultColWidth="9.33203125" defaultRowHeight="12.75" x14ac:dyDescent="0.2"/>
  <cols>
    <col min="1" max="1" width="11.83203125" style="778" bestFit="1" customWidth="1"/>
    <col min="2" max="2" width="15.6640625" style="527" bestFit="1" customWidth="1"/>
    <col min="3" max="3" width="7.1640625" style="527" bestFit="1" customWidth="1"/>
    <col min="4" max="4" width="5.6640625" style="527" customWidth="1"/>
    <col min="5" max="5" width="9.5" style="780" bestFit="1" customWidth="1"/>
    <col min="6" max="6" width="10.83203125" style="780" bestFit="1" customWidth="1"/>
    <col min="7" max="7" width="5.1640625" style="527" bestFit="1" customWidth="1"/>
    <col min="8" max="8" width="9.5" style="530" bestFit="1" customWidth="1"/>
    <col min="9" max="9" width="10.83203125" style="527" bestFit="1" customWidth="1"/>
    <col min="10" max="10" width="3.6640625" style="527" bestFit="1" customWidth="1"/>
    <col min="11" max="11" width="12" style="527" bestFit="1" customWidth="1"/>
    <col min="12" max="12" width="9.5" style="527" bestFit="1" customWidth="1"/>
    <col min="13" max="13" width="19.1640625" style="527" bestFit="1" customWidth="1"/>
    <col min="14" max="14" width="9.5" style="527" bestFit="1" customWidth="1"/>
    <col min="15" max="16384" width="9.33203125" style="527"/>
  </cols>
  <sheetData>
    <row r="1" spans="1:15" s="614" customFormat="1" x14ac:dyDescent="0.2">
      <c r="A1" s="765"/>
      <c r="B1" s="614" t="s">
        <v>979</v>
      </c>
      <c r="C1" s="614" t="s">
        <v>980</v>
      </c>
      <c r="D1" s="529" t="s">
        <v>186</v>
      </c>
      <c r="E1" s="766" t="s">
        <v>921</v>
      </c>
      <c r="F1" s="766"/>
      <c r="G1" s="529" t="s">
        <v>981</v>
      </c>
      <c r="H1" s="641" t="s">
        <v>982</v>
      </c>
      <c r="I1" s="529" t="s">
        <v>922</v>
      </c>
      <c r="J1" s="529"/>
      <c r="K1" s="614" t="s">
        <v>983</v>
      </c>
      <c r="L1" s="614" t="s">
        <v>984</v>
      </c>
      <c r="M1" s="614" t="s">
        <v>985</v>
      </c>
      <c r="N1" s="529" t="s">
        <v>996</v>
      </c>
    </row>
    <row r="2" spans="1:15" s="768" customFormat="1" x14ac:dyDescent="0.2">
      <c r="A2" s="767" t="s">
        <v>991</v>
      </c>
      <c r="B2" s="768" t="s">
        <v>858</v>
      </c>
      <c r="C2" s="768" t="s">
        <v>255</v>
      </c>
      <c r="D2" s="768">
        <v>100</v>
      </c>
      <c r="E2" s="769">
        <v>36.020000000000003</v>
      </c>
      <c r="F2" s="770">
        <f>E2/(D2/1000)</f>
        <v>360.2</v>
      </c>
      <c r="G2" s="768">
        <v>7</v>
      </c>
      <c r="H2" s="771"/>
      <c r="I2" s="772"/>
      <c r="J2" s="772"/>
      <c r="K2" s="773">
        <v>38643</v>
      </c>
      <c r="L2" s="774">
        <v>0.72986111111111107</v>
      </c>
      <c r="M2" s="775" t="s">
        <v>986</v>
      </c>
      <c r="N2" s="773"/>
    </row>
    <row r="3" spans="1:15" s="768" customFormat="1" x14ac:dyDescent="0.2">
      <c r="A3" s="767" t="s">
        <v>991</v>
      </c>
      <c r="B3" s="768" t="s">
        <v>858</v>
      </c>
      <c r="C3" s="768" t="s">
        <v>978</v>
      </c>
      <c r="D3" s="768">
        <v>216</v>
      </c>
      <c r="E3" s="769">
        <v>164.5</v>
      </c>
      <c r="F3" s="770">
        <f t="shared" ref="F3:F38" si="0">E3/(D3/1000)</f>
        <v>761.57407407407413</v>
      </c>
      <c r="G3" s="768">
        <v>7</v>
      </c>
      <c r="H3" s="776">
        <v>162</v>
      </c>
      <c r="I3" s="777">
        <f>H3/(D3/1000)</f>
        <v>750</v>
      </c>
      <c r="J3" s="777"/>
      <c r="K3" s="773">
        <v>38644</v>
      </c>
      <c r="L3" s="774">
        <v>0.74513888888888891</v>
      </c>
      <c r="M3" s="775" t="s">
        <v>987</v>
      </c>
      <c r="N3" s="773"/>
    </row>
    <row r="4" spans="1:15" s="768" customFormat="1" x14ac:dyDescent="0.2">
      <c r="A4" s="767" t="s">
        <v>995</v>
      </c>
      <c r="B4" s="768" t="s">
        <v>889</v>
      </c>
      <c r="C4" s="768" t="s">
        <v>978</v>
      </c>
      <c r="D4" s="768">
        <v>30</v>
      </c>
      <c r="E4" s="769">
        <v>37</v>
      </c>
      <c r="F4" s="770">
        <f t="shared" si="0"/>
        <v>1233.3333333333335</v>
      </c>
      <c r="G4" s="768">
        <v>5</v>
      </c>
      <c r="H4" s="776"/>
      <c r="K4" s="773">
        <v>38644</v>
      </c>
      <c r="L4" s="774">
        <v>0.73333333333333339</v>
      </c>
      <c r="M4" s="775" t="s">
        <v>986</v>
      </c>
      <c r="N4" s="773"/>
    </row>
    <row r="5" spans="1:15" s="768" customFormat="1" x14ac:dyDescent="0.2">
      <c r="A5" s="767" t="s">
        <v>995</v>
      </c>
      <c r="B5" s="768" t="s">
        <v>889</v>
      </c>
      <c r="C5" s="768" t="s">
        <v>978</v>
      </c>
      <c r="D5" s="768">
        <v>228</v>
      </c>
      <c r="E5" s="769">
        <v>173.5</v>
      </c>
      <c r="F5" s="770">
        <f t="shared" si="0"/>
        <v>760.9649122807017</v>
      </c>
      <c r="G5" s="768">
        <v>6</v>
      </c>
      <c r="H5" s="776">
        <v>171</v>
      </c>
      <c r="I5" s="777">
        <f>H5/(D5/1000)</f>
        <v>750</v>
      </c>
      <c r="J5" s="777"/>
      <c r="K5" s="773">
        <v>38644</v>
      </c>
      <c r="L5" s="774">
        <v>0.74583333333333324</v>
      </c>
      <c r="M5" s="775" t="s">
        <v>987</v>
      </c>
      <c r="N5" s="773"/>
    </row>
    <row r="6" spans="1:15" s="768" customFormat="1" x14ac:dyDescent="0.2">
      <c r="A6" s="767" t="s">
        <v>990</v>
      </c>
      <c r="B6" s="768" t="s">
        <v>663</v>
      </c>
      <c r="C6" s="768" t="s">
        <v>978</v>
      </c>
      <c r="D6" s="768">
        <v>28</v>
      </c>
      <c r="E6" s="769">
        <v>38</v>
      </c>
      <c r="F6" s="770">
        <f t="shared" si="0"/>
        <v>1357.1428571428571</v>
      </c>
      <c r="G6" s="768">
        <v>3</v>
      </c>
      <c r="H6" s="776"/>
      <c r="K6" s="773">
        <v>38645</v>
      </c>
      <c r="L6" s="774">
        <v>0.8520833333333333</v>
      </c>
      <c r="M6" s="775" t="s">
        <v>988</v>
      </c>
      <c r="N6" s="773"/>
    </row>
    <row r="7" spans="1:15" x14ac:dyDescent="0.2">
      <c r="A7" s="778" t="s">
        <v>992</v>
      </c>
      <c r="B7" s="527" t="s">
        <v>860</v>
      </c>
      <c r="C7" s="527" t="s">
        <v>978</v>
      </c>
      <c r="D7" s="527">
        <v>70</v>
      </c>
      <c r="E7" s="779">
        <v>141.54</v>
      </c>
      <c r="F7" s="780">
        <f t="shared" si="0"/>
        <v>2021.9999999999998</v>
      </c>
      <c r="G7" s="527">
        <v>0</v>
      </c>
      <c r="K7" s="781">
        <v>38646</v>
      </c>
      <c r="L7" s="782">
        <v>0.16041666666666668</v>
      </c>
      <c r="M7" s="783" t="s">
        <v>989</v>
      </c>
      <c r="N7" s="781"/>
    </row>
    <row r="8" spans="1:15" x14ac:dyDescent="0.2">
      <c r="A8" s="778" t="s">
        <v>993</v>
      </c>
      <c r="B8" s="527" t="s">
        <v>861</v>
      </c>
      <c r="C8" s="527" t="s">
        <v>978</v>
      </c>
      <c r="D8" s="527">
        <v>50</v>
      </c>
      <c r="E8" s="780">
        <v>106.15</v>
      </c>
      <c r="F8" s="780">
        <f t="shared" si="0"/>
        <v>2123</v>
      </c>
      <c r="G8" s="527">
        <v>0</v>
      </c>
      <c r="K8" s="781">
        <v>38646</v>
      </c>
      <c r="L8" s="782">
        <v>0.23402777777777781</v>
      </c>
      <c r="M8" s="783" t="s">
        <v>989</v>
      </c>
      <c r="N8" s="781"/>
    </row>
    <row r="9" spans="1:15" x14ac:dyDescent="0.2">
      <c r="A9" s="778" t="s">
        <v>994</v>
      </c>
      <c r="B9" s="527" t="s">
        <v>886</v>
      </c>
      <c r="C9" s="527" t="s">
        <v>978</v>
      </c>
      <c r="D9" s="527">
        <v>25</v>
      </c>
      <c r="F9" s="780">
        <f t="shared" si="0"/>
        <v>0</v>
      </c>
      <c r="H9" s="784">
        <v>95.19</v>
      </c>
      <c r="I9" s="785">
        <f>H9/(D9/1000)</f>
        <v>3807.6</v>
      </c>
      <c r="J9" s="785"/>
      <c r="K9" s="781"/>
      <c r="M9" s="527" t="s">
        <v>989</v>
      </c>
      <c r="N9" s="786">
        <v>38643</v>
      </c>
    </row>
    <row r="10" spans="1:15" x14ac:dyDescent="0.2">
      <c r="A10" s="778" t="s">
        <v>990</v>
      </c>
      <c r="B10" s="651" t="s">
        <v>663</v>
      </c>
      <c r="C10" s="527" t="s">
        <v>978</v>
      </c>
      <c r="D10" s="527">
        <v>132</v>
      </c>
      <c r="E10" s="779">
        <v>179.5</v>
      </c>
      <c r="F10" s="780">
        <f t="shared" si="0"/>
        <v>1359.8484848484848</v>
      </c>
      <c r="G10" s="527">
        <v>16</v>
      </c>
      <c r="K10" s="781">
        <v>38646</v>
      </c>
      <c r="L10" s="782">
        <v>0.85624999999999996</v>
      </c>
      <c r="M10" s="783" t="s">
        <v>988</v>
      </c>
      <c r="N10" s="781"/>
      <c r="O10" s="527" t="s">
        <v>1004</v>
      </c>
    </row>
    <row r="11" spans="1:15" x14ac:dyDescent="0.2">
      <c r="A11" s="778" t="s">
        <v>990</v>
      </c>
      <c r="B11" s="651" t="s">
        <v>663</v>
      </c>
      <c r="C11" s="527" t="s">
        <v>978</v>
      </c>
      <c r="D11" s="527">
        <v>56</v>
      </c>
      <c r="E11" s="787">
        <v>71</v>
      </c>
      <c r="F11" s="788">
        <f t="shared" si="0"/>
        <v>1267.8571428571429</v>
      </c>
      <c r="G11" s="527">
        <v>10</v>
      </c>
      <c r="K11" s="781">
        <v>38646</v>
      </c>
      <c r="L11" s="782">
        <v>0.85763888888888884</v>
      </c>
      <c r="M11" s="783" t="s">
        <v>988</v>
      </c>
      <c r="N11" s="781"/>
      <c r="O11" s="527" t="s">
        <v>1004</v>
      </c>
    </row>
    <row r="12" spans="1:15" x14ac:dyDescent="0.2">
      <c r="A12" s="778" t="s">
        <v>990</v>
      </c>
      <c r="B12" s="651" t="s">
        <v>663</v>
      </c>
      <c r="C12" s="527" t="s">
        <v>978</v>
      </c>
      <c r="D12" s="527">
        <v>22</v>
      </c>
      <c r="E12" s="787">
        <v>47</v>
      </c>
      <c r="F12" s="788">
        <f t="shared" si="0"/>
        <v>2136.3636363636365</v>
      </c>
      <c r="G12" s="527">
        <v>5</v>
      </c>
      <c r="K12" s="781">
        <v>38648</v>
      </c>
      <c r="L12" s="782">
        <v>0.8534722222222223</v>
      </c>
      <c r="M12" s="783" t="s">
        <v>988</v>
      </c>
      <c r="N12" s="781"/>
      <c r="O12" s="527" t="s">
        <v>1004</v>
      </c>
    </row>
    <row r="13" spans="1:15" x14ac:dyDescent="0.2">
      <c r="A13" s="778" t="s">
        <v>990</v>
      </c>
      <c r="B13" s="651" t="s">
        <v>663</v>
      </c>
      <c r="C13" s="527" t="s">
        <v>978</v>
      </c>
      <c r="D13" s="527">
        <v>190</v>
      </c>
      <c r="E13" s="787">
        <v>188.5</v>
      </c>
      <c r="F13" s="788">
        <f t="shared" si="0"/>
        <v>992.10526315789468</v>
      </c>
      <c r="G13" s="527">
        <v>10</v>
      </c>
      <c r="I13" s="785"/>
      <c r="J13" s="785"/>
      <c r="K13" s="781">
        <v>38648</v>
      </c>
      <c r="L13" s="782">
        <v>0.85486111111111107</v>
      </c>
      <c r="M13" s="783" t="s">
        <v>988</v>
      </c>
      <c r="N13" s="781"/>
      <c r="O13" s="527" t="s">
        <v>1004</v>
      </c>
    </row>
    <row r="14" spans="1:15" x14ac:dyDescent="0.2">
      <c r="A14" s="778" t="s">
        <v>990</v>
      </c>
      <c r="B14" s="651" t="s">
        <v>663</v>
      </c>
      <c r="C14" s="527" t="s">
        <v>978</v>
      </c>
      <c r="D14" s="527">
        <v>88</v>
      </c>
      <c r="E14" s="787">
        <v>77.87</v>
      </c>
      <c r="F14" s="788">
        <f t="shared" si="0"/>
        <v>884.88636363636374</v>
      </c>
      <c r="G14" s="527">
        <v>3</v>
      </c>
      <c r="K14" s="781">
        <v>38649</v>
      </c>
      <c r="L14" s="782">
        <v>0.88888888888888884</v>
      </c>
      <c r="M14" s="783" t="s">
        <v>988</v>
      </c>
      <c r="N14" s="781"/>
      <c r="O14" s="527" t="s">
        <v>1004</v>
      </c>
    </row>
    <row r="15" spans="1:15" x14ac:dyDescent="0.2">
      <c r="A15" s="767" t="s">
        <v>991</v>
      </c>
      <c r="B15" s="768" t="s">
        <v>858</v>
      </c>
      <c r="C15" s="768" t="s">
        <v>978</v>
      </c>
      <c r="D15" s="768">
        <v>228</v>
      </c>
      <c r="E15" s="787">
        <v>224.5</v>
      </c>
      <c r="F15" s="788">
        <f t="shared" si="0"/>
        <v>984.64912280701753</v>
      </c>
      <c r="G15" s="768">
        <v>11</v>
      </c>
      <c r="H15" s="530">
        <v>220</v>
      </c>
      <c r="I15" s="785">
        <f>H15/(D15/1000)</f>
        <v>964.9122807017543</v>
      </c>
      <c r="J15" s="785"/>
      <c r="K15" s="781">
        <v>38651</v>
      </c>
      <c r="L15" s="782">
        <v>0.78333333333333333</v>
      </c>
      <c r="M15" s="783" t="s">
        <v>987</v>
      </c>
      <c r="N15" s="781"/>
    </row>
    <row r="16" spans="1:15" s="768" customFormat="1" x14ac:dyDescent="0.2">
      <c r="A16" s="767" t="s">
        <v>994</v>
      </c>
      <c r="B16" s="768" t="s">
        <v>665</v>
      </c>
      <c r="C16" s="768" t="s">
        <v>978</v>
      </c>
      <c r="D16" s="768">
        <v>258</v>
      </c>
      <c r="E16" s="787">
        <v>263</v>
      </c>
      <c r="F16" s="788">
        <f t="shared" ref="F16:F26" si="1">E16/(D16/1000)</f>
        <v>1019.3798449612403</v>
      </c>
      <c r="G16" s="768">
        <v>0</v>
      </c>
      <c r="H16" s="776"/>
      <c r="K16" s="773">
        <v>38655</v>
      </c>
      <c r="L16" s="774">
        <v>0.57847222222222217</v>
      </c>
      <c r="M16" s="775" t="s">
        <v>945</v>
      </c>
      <c r="N16" s="773"/>
    </row>
    <row r="17" spans="1:15" x14ac:dyDescent="0.2">
      <c r="A17" s="767" t="s">
        <v>991</v>
      </c>
      <c r="B17" s="768" t="s">
        <v>858</v>
      </c>
      <c r="C17" s="768" t="s">
        <v>978</v>
      </c>
      <c r="D17" s="768">
        <v>40</v>
      </c>
      <c r="E17" s="787">
        <v>40</v>
      </c>
      <c r="F17" s="788">
        <f t="shared" si="1"/>
        <v>1000</v>
      </c>
      <c r="G17" s="768">
        <v>2</v>
      </c>
      <c r="H17" s="776">
        <v>26.06</v>
      </c>
      <c r="I17" s="777">
        <f>H17/(D17/1000)</f>
        <v>651.5</v>
      </c>
      <c r="J17" s="777"/>
      <c r="K17" s="781">
        <v>38658</v>
      </c>
      <c r="L17" s="782">
        <v>0.56597222222222221</v>
      </c>
      <c r="M17" s="783" t="s">
        <v>987</v>
      </c>
      <c r="N17" s="781"/>
    </row>
    <row r="18" spans="1:15" x14ac:dyDescent="0.2">
      <c r="A18" s="778" t="s">
        <v>994</v>
      </c>
      <c r="B18" s="527" t="s">
        <v>507</v>
      </c>
      <c r="C18" s="527" t="s">
        <v>1003</v>
      </c>
      <c r="D18" s="527">
        <v>1434</v>
      </c>
      <c r="E18" s="787">
        <v>699</v>
      </c>
      <c r="F18" s="788">
        <f t="shared" si="1"/>
        <v>487.44769874476987</v>
      </c>
      <c r="G18" s="527">
        <v>0</v>
      </c>
      <c r="K18" s="781">
        <v>38662</v>
      </c>
      <c r="L18" s="782">
        <v>0.39513888888888887</v>
      </c>
      <c r="M18" s="783" t="s">
        <v>945</v>
      </c>
      <c r="N18" s="781"/>
    </row>
    <row r="19" spans="1:15" x14ac:dyDescent="0.2">
      <c r="A19" s="778" t="s">
        <v>991</v>
      </c>
      <c r="B19" s="527" t="s">
        <v>858</v>
      </c>
      <c r="C19" s="527" t="s">
        <v>978</v>
      </c>
      <c r="D19" s="527">
        <v>206</v>
      </c>
      <c r="E19" s="787">
        <v>183.8</v>
      </c>
      <c r="F19" s="788">
        <f t="shared" si="1"/>
        <v>892.233009708738</v>
      </c>
      <c r="G19" s="527">
        <v>3</v>
      </c>
      <c r="K19" s="781">
        <v>38665</v>
      </c>
      <c r="L19" s="527" t="s">
        <v>1016</v>
      </c>
      <c r="M19" s="783" t="s">
        <v>987</v>
      </c>
      <c r="N19" s="781"/>
    </row>
    <row r="20" spans="1:15" x14ac:dyDescent="0.2">
      <c r="A20" s="778" t="s">
        <v>1022</v>
      </c>
      <c r="B20" s="527" t="s">
        <v>662</v>
      </c>
      <c r="C20" s="527" t="s">
        <v>978</v>
      </c>
      <c r="D20" s="527">
        <v>548</v>
      </c>
      <c r="E20" s="787">
        <v>519</v>
      </c>
      <c r="F20" s="788">
        <f t="shared" si="1"/>
        <v>947.08029197080282</v>
      </c>
      <c r="G20" s="527">
        <v>0</v>
      </c>
      <c r="H20" s="530">
        <v>655.01</v>
      </c>
      <c r="I20" s="785">
        <f>H20/(D20/1000)</f>
        <v>1195.273722627737</v>
      </c>
      <c r="J20" s="527" t="s">
        <v>1017</v>
      </c>
      <c r="K20" s="781">
        <v>38668</v>
      </c>
      <c r="L20" s="782">
        <v>0.44861111111111113</v>
      </c>
      <c r="M20" s="783" t="s">
        <v>945</v>
      </c>
      <c r="N20" s="781">
        <v>38668</v>
      </c>
      <c r="O20" s="527" t="s">
        <v>1023</v>
      </c>
    </row>
    <row r="21" spans="1:15" x14ac:dyDescent="0.2">
      <c r="B21" s="527" t="s">
        <v>494</v>
      </c>
      <c r="C21" s="527" t="s">
        <v>978</v>
      </c>
      <c r="D21" s="527">
        <v>220</v>
      </c>
      <c r="E21" s="787">
        <v>137.5</v>
      </c>
      <c r="F21" s="788">
        <f t="shared" si="1"/>
        <v>625</v>
      </c>
      <c r="H21" s="788">
        <v>137.5</v>
      </c>
      <c r="I21" s="785">
        <f>H21/(D21/1000)</f>
        <v>625</v>
      </c>
      <c r="K21" s="781">
        <v>38670</v>
      </c>
      <c r="N21" s="781">
        <v>38670</v>
      </c>
      <c r="O21" s="527" t="s">
        <v>1023</v>
      </c>
    </row>
    <row r="22" spans="1:15" x14ac:dyDescent="0.2">
      <c r="B22" s="527" t="s">
        <v>494</v>
      </c>
      <c r="C22" s="527" t="s">
        <v>978</v>
      </c>
      <c r="D22" s="527">
        <v>150</v>
      </c>
      <c r="E22" s="787">
        <v>77.5</v>
      </c>
      <c r="F22" s="788">
        <f t="shared" si="1"/>
        <v>516.66666666666674</v>
      </c>
      <c r="H22" s="530">
        <v>77.5</v>
      </c>
      <c r="I22" s="785">
        <f>H22/(D22/1000)</f>
        <v>516.66666666666674</v>
      </c>
      <c r="K22" s="781">
        <v>38670</v>
      </c>
      <c r="N22" s="781">
        <v>38670</v>
      </c>
      <c r="O22" s="527" t="s">
        <v>1023</v>
      </c>
    </row>
    <row r="23" spans="1:15" x14ac:dyDescent="0.2">
      <c r="B23" s="527" t="s">
        <v>494</v>
      </c>
      <c r="C23" s="527" t="s">
        <v>978</v>
      </c>
      <c r="D23" s="527">
        <v>100</v>
      </c>
      <c r="E23" s="787">
        <v>52.5</v>
      </c>
      <c r="F23" s="788">
        <f t="shared" si="1"/>
        <v>525</v>
      </c>
      <c r="H23" s="530">
        <v>52.5</v>
      </c>
      <c r="I23" s="785">
        <f>H23/(D23/1000)</f>
        <v>525</v>
      </c>
      <c r="K23" s="781">
        <v>38670</v>
      </c>
      <c r="N23" s="781">
        <v>38670</v>
      </c>
      <c r="O23" s="527" t="s">
        <v>1023</v>
      </c>
    </row>
    <row r="24" spans="1:15" x14ac:dyDescent="0.2">
      <c r="A24" s="778" t="s">
        <v>1022</v>
      </c>
      <c r="B24" s="527" t="s">
        <v>662</v>
      </c>
      <c r="C24" s="527" t="s">
        <v>978</v>
      </c>
      <c r="D24" s="527">
        <v>798</v>
      </c>
      <c r="E24" s="787">
        <v>729</v>
      </c>
      <c r="F24" s="788">
        <f t="shared" si="1"/>
        <v>913.53383458646613</v>
      </c>
      <c r="G24" s="527">
        <v>0</v>
      </c>
      <c r="I24" s="785"/>
      <c r="J24" s="527" t="s">
        <v>1017</v>
      </c>
      <c r="K24" s="781">
        <v>38675</v>
      </c>
      <c r="L24" s="782">
        <v>0.45902777777777781</v>
      </c>
      <c r="M24" s="783" t="s">
        <v>945</v>
      </c>
      <c r="N24" s="781"/>
    </row>
    <row r="25" spans="1:15" x14ac:dyDescent="0.2">
      <c r="A25" s="767" t="s">
        <v>1022</v>
      </c>
      <c r="B25" s="768" t="s">
        <v>455</v>
      </c>
      <c r="C25" s="768" t="s">
        <v>978</v>
      </c>
      <c r="D25" s="768">
        <v>689</v>
      </c>
      <c r="E25" s="789">
        <v>597.51</v>
      </c>
      <c r="F25" s="789">
        <f t="shared" si="1"/>
        <v>867.21335268505084</v>
      </c>
      <c r="G25" s="527">
        <v>0</v>
      </c>
      <c r="H25" s="530">
        <v>587.51</v>
      </c>
      <c r="I25" s="785">
        <f>H25/(D25/1000)</f>
        <v>852.69956458635704</v>
      </c>
      <c r="K25" s="781">
        <v>38676</v>
      </c>
      <c r="L25" s="782">
        <v>0.46180555555555558</v>
      </c>
      <c r="M25" s="783" t="s">
        <v>1020</v>
      </c>
      <c r="N25" s="781"/>
    </row>
    <row r="26" spans="1:15" x14ac:dyDescent="0.2">
      <c r="A26" s="778" t="s">
        <v>991</v>
      </c>
      <c r="B26" s="527" t="s">
        <v>858</v>
      </c>
      <c r="C26" s="527" t="s">
        <v>978</v>
      </c>
      <c r="D26" s="527">
        <v>180</v>
      </c>
      <c r="E26" s="787">
        <v>153.5</v>
      </c>
      <c r="F26" s="788">
        <f t="shared" si="1"/>
        <v>852.77777777777783</v>
      </c>
      <c r="G26" s="527">
        <v>4</v>
      </c>
      <c r="H26" s="530">
        <v>149.99</v>
      </c>
      <c r="I26" s="785">
        <f>H26/(D26/1000)</f>
        <v>833.27777777777783</v>
      </c>
      <c r="K26" s="781">
        <v>38679</v>
      </c>
      <c r="L26" s="782">
        <v>0.5708333333333333</v>
      </c>
      <c r="M26" s="783" t="s">
        <v>987</v>
      </c>
      <c r="N26" s="781"/>
    </row>
    <row r="27" spans="1:15" x14ac:dyDescent="0.2">
      <c r="A27" s="778" t="s">
        <v>1025</v>
      </c>
      <c r="B27" s="527" t="s">
        <v>1024</v>
      </c>
      <c r="C27" s="527" t="s">
        <v>1026</v>
      </c>
      <c r="D27" s="527">
        <v>4100</v>
      </c>
      <c r="E27" s="787">
        <v>19</v>
      </c>
      <c r="F27" s="788">
        <f t="shared" si="0"/>
        <v>4.6341463414634152</v>
      </c>
      <c r="G27" s="527">
        <v>6</v>
      </c>
      <c r="H27" s="530">
        <v>205</v>
      </c>
      <c r="I27" s="785">
        <f>H27/(D27/1000)</f>
        <v>50.000000000000007</v>
      </c>
      <c r="N27" s="781"/>
    </row>
    <row r="28" spans="1:15" x14ac:dyDescent="0.2">
      <c r="A28" s="778" t="s">
        <v>1051</v>
      </c>
      <c r="B28" s="614" t="s">
        <v>509</v>
      </c>
      <c r="C28" s="527" t="s">
        <v>1003</v>
      </c>
      <c r="D28" s="527">
        <v>410</v>
      </c>
      <c r="E28" s="787">
        <v>250</v>
      </c>
      <c r="F28" s="788">
        <f t="shared" si="0"/>
        <v>609.7560975609756</v>
      </c>
      <c r="G28" s="527">
        <v>0</v>
      </c>
      <c r="K28" s="781">
        <v>38703</v>
      </c>
      <c r="L28" s="782">
        <v>0.44791666666666669</v>
      </c>
      <c r="M28" s="783" t="s">
        <v>945</v>
      </c>
      <c r="N28" s="781"/>
    </row>
    <row r="29" spans="1:15" x14ac:dyDescent="0.2">
      <c r="A29" s="778" t="s">
        <v>994</v>
      </c>
      <c r="B29" s="527" t="s">
        <v>507</v>
      </c>
      <c r="C29" s="527" t="s">
        <v>1026</v>
      </c>
      <c r="D29" s="527">
        <v>720</v>
      </c>
      <c r="E29" s="787">
        <v>666</v>
      </c>
      <c r="F29" s="788">
        <f t="shared" si="0"/>
        <v>925</v>
      </c>
      <c r="G29" s="527">
        <v>0</v>
      </c>
      <c r="H29" s="790">
        <v>682.5</v>
      </c>
      <c r="I29" s="785">
        <f>H29/(D29/1000)</f>
        <v>947.91666666666674</v>
      </c>
      <c r="K29" s="781">
        <v>38704</v>
      </c>
      <c r="L29" s="782">
        <v>0.5</v>
      </c>
      <c r="M29" s="783" t="s">
        <v>1020</v>
      </c>
      <c r="N29" s="781"/>
    </row>
    <row r="30" spans="1:15" x14ac:dyDescent="0.2">
      <c r="A30" s="778" t="s">
        <v>1057</v>
      </c>
      <c r="B30" s="527" t="s">
        <v>661</v>
      </c>
      <c r="C30" s="527" t="s">
        <v>1026</v>
      </c>
      <c r="D30" s="527">
        <v>80</v>
      </c>
      <c r="E30" s="787">
        <v>91</v>
      </c>
      <c r="F30" s="788">
        <f t="shared" si="0"/>
        <v>1137.5</v>
      </c>
      <c r="G30" s="527">
        <v>0</v>
      </c>
      <c r="I30" s="785">
        <f>H30/(D30/1000)</f>
        <v>0</v>
      </c>
      <c r="K30" s="781">
        <v>38707</v>
      </c>
      <c r="L30" s="782">
        <v>0.60347222222222219</v>
      </c>
      <c r="M30" s="783" t="s">
        <v>987</v>
      </c>
      <c r="N30" s="781"/>
    </row>
    <row r="31" spans="1:15" x14ac:dyDescent="0.2">
      <c r="A31" s="778" t="s">
        <v>991</v>
      </c>
      <c r="B31" s="527" t="s">
        <v>858</v>
      </c>
      <c r="C31" s="527" t="s">
        <v>978</v>
      </c>
      <c r="D31" s="527">
        <v>102</v>
      </c>
      <c r="E31" s="787">
        <v>81</v>
      </c>
      <c r="F31" s="788">
        <f t="shared" si="0"/>
        <v>794.11764705882354</v>
      </c>
      <c r="I31" s="785"/>
      <c r="K31" s="621">
        <v>38721</v>
      </c>
      <c r="L31" s="782">
        <v>0.76458333333333339</v>
      </c>
      <c r="M31" s="783" t="s">
        <v>987</v>
      </c>
      <c r="N31" s="781"/>
    </row>
    <row r="32" spans="1:15" x14ac:dyDescent="0.2">
      <c r="E32" s="788"/>
      <c r="F32" s="788" t="e">
        <f t="shared" si="0"/>
        <v>#DIV/0!</v>
      </c>
      <c r="N32" s="781"/>
    </row>
    <row r="33" spans="1:15" x14ac:dyDescent="0.2">
      <c r="B33" s="527" t="s">
        <v>376</v>
      </c>
      <c r="C33" s="527" t="s">
        <v>978</v>
      </c>
      <c r="D33" s="527">
        <v>270</v>
      </c>
      <c r="E33" s="788">
        <v>5.5</v>
      </c>
      <c r="F33" s="788">
        <f t="shared" si="0"/>
        <v>20.37037037037037</v>
      </c>
      <c r="K33" s="621">
        <v>38734</v>
      </c>
      <c r="L33" s="782">
        <v>0.49722222222222223</v>
      </c>
      <c r="M33" s="783" t="s">
        <v>1069</v>
      </c>
    </row>
    <row r="34" spans="1:15" x14ac:dyDescent="0.2">
      <c r="A34" s="778" t="s">
        <v>991</v>
      </c>
      <c r="B34" s="527" t="s">
        <v>858</v>
      </c>
      <c r="C34" s="527" t="s">
        <v>978</v>
      </c>
      <c r="D34" s="527">
        <v>56</v>
      </c>
      <c r="E34" s="527">
        <v>48.89</v>
      </c>
      <c r="F34" s="788">
        <f t="shared" si="0"/>
        <v>873.03571428571433</v>
      </c>
      <c r="K34" s="621">
        <v>38735</v>
      </c>
      <c r="L34" s="782">
        <v>0.5805555555555556</v>
      </c>
      <c r="M34" s="783" t="s">
        <v>987</v>
      </c>
    </row>
    <row r="35" spans="1:15" x14ac:dyDescent="0.2">
      <c r="B35" s="527" t="s">
        <v>455</v>
      </c>
      <c r="C35" s="527" t="s">
        <v>978</v>
      </c>
      <c r="D35" s="527">
        <v>7338</v>
      </c>
      <c r="E35" s="788">
        <v>510</v>
      </c>
      <c r="F35" s="788">
        <f t="shared" si="0"/>
        <v>69.50122649223222</v>
      </c>
      <c r="G35" s="527">
        <v>4</v>
      </c>
      <c r="K35" s="621">
        <v>38745</v>
      </c>
      <c r="L35" s="527">
        <v>11.33</v>
      </c>
      <c r="M35" s="783" t="s">
        <v>1019</v>
      </c>
    </row>
    <row r="36" spans="1:15" x14ac:dyDescent="0.2">
      <c r="B36" s="527" t="s">
        <v>454</v>
      </c>
      <c r="C36" s="527" t="s">
        <v>978</v>
      </c>
      <c r="D36" s="527">
        <v>152</v>
      </c>
      <c r="E36" s="787">
        <v>152.5</v>
      </c>
      <c r="F36" s="788">
        <f t="shared" si="0"/>
        <v>1003.2894736842105</v>
      </c>
      <c r="G36" s="527">
        <v>12</v>
      </c>
      <c r="K36" s="621">
        <v>38742</v>
      </c>
      <c r="L36" s="782">
        <v>0.64027777777777783</v>
      </c>
      <c r="M36" s="783" t="s">
        <v>1091</v>
      </c>
    </row>
    <row r="37" spans="1:15" x14ac:dyDescent="0.2">
      <c r="B37" s="527" t="s">
        <v>1446</v>
      </c>
      <c r="C37" s="527" t="s">
        <v>978</v>
      </c>
      <c r="D37" s="612">
        <v>638.20000000000005</v>
      </c>
      <c r="E37" s="787">
        <v>806.99</v>
      </c>
      <c r="F37" s="788">
        <f t="shared" si="0"/>
        <v>1264.4782199937322</v>
      </c>
      <c r="G37" s="527">
        <v>0</v>
      </c>
      <c r="H37" s="527">
        <v>799.99</v>
      </c>
      <c r="K37" s="621">
        <v>40820</v>
      </c>
      <c r="M37" s="783" t="s">
        <v>1448</v>
      </c>
      <c r="O37" s="527" t="s">
        <v>1449</v>
      </c>
    </row>
    <row r="38" spans="1:15" x14ac:dyDescent="0.2">
      <c r="B38" s="527" t="s">
        <v>2231</v>
      </c>
      <c r="C38" s="527" t="s">
        <v>978</v>
      </c>
      <c r="D38" s="651">
        <v>920</v>
      </c>
      <c r="E38" s="788">
        <v>368</v>
      </c>
      <c r="F38" s="788">
        <f t="shared" si="0"/>
        <v>400</v>
      </c>
      <c r="G38" s="527">
        <v>0</v>
      </c>
      <c r="H38" s="788">
        <v>368</v>
      </c>
      <c r="I38" s="785">
        <f>H38/(D38/1000)</f>
        <v>400</v>
      </c>
      <c r="K38" s="624">
        <v>42758</v>
      </c>
      <c r="M38" s="527" t="s">
        <v>2301</v>
      </c>
    </row>
    <row r="39" spans="1:15" x14ac:dyDescent="0.2">
      <c r="B39" s="527" t="s">
        <v>2246</v>
      </c>
      <c r="C39" s="527" t="s">
        <v>978</v>
      </c>
      <c r="D39" s="651">
        <v>290</v>
      </c>
      <c r="E39" s="788">
        <v>147.69999999999999</v>
      </c>
      <c r="F39" s="788"/>
      <c r="G39" s="527">
        <v>0</v>
      </c>
      <c r="H39" s="788">
        <v>147.69999999999999</v>
      </c>
      <c r="I39" s="785">
        <f>H39/(D39/1000)</f>
        <v>509.31034482758622</v>
      </c>
      <c r="K39" s="624">
        <v>42775</v>
      </c>
      <c r="M39" s="527" t="s">
        <v>2303</v>
      </c>
      <c r="N39" s="527" t="s">
        <v>2302</v>
      </c>
    </row>
    <row r="40" spans="1:15" x14ac:dyDescent="0.2">
      <c r="E40" s="788"/>
      <c r="F40" s="788"/>
    </row>
    <row r="41" spans="1:15" x14ac:dyDescent="0.2">
      <c r="E41" s="788"/>
      <c r="F41" s="788"/>
    </row>
    <row r="42" spans="1:15" x14ac:dyDescent="0.2">
      <c r="E42" s="788"/>
      <c r="F42" s="788"/>
    </row>
    <row r="43" spans="1:15" x14ac:dyDescent="0.2">
      <c r="E43" s="788"/>
      <c r="F43" s="788"/>
    </row>
    <row r="44" spans="1:15" x14ac:dyDescent="0.2">
      <c r="E44" s="788"/>
      <c r="F44" s="788"/>
    </row>
    <row r="45" spans="1:15" x14ac:dyDescent="0.2">
      <c r="E45" s="788"/>
      <c r="F45" s="788"/>
    </row>
    <row r="46" spans="1:15" x14ac:dyDescent="0.2">
      <c r="E46" s="788"/>
      <c r="F46" s="788"/>
    </row>
  </sheetData>
  <phoneticPr fontId="32" type="noConversion"/>
  <hyperlinks>
    <hyperlink ref="M3" r:id="rId1" display="NaturesVault" xr:uid="{00000000-0004-0000-0800-000000000000}"/>
    <hyperlink ref="M2" r:id="rId2" xr:uid="{00000000-0004-0000-0800-000001000000}"/>
    <hyperlink ref="M4" r:id="rId3" xr:uid="{00000000-0004-0000-0800-000002000000}"/>
    <hyperlink ref="M5" r:id="rId4" xr:uid="{00000000-0004-0000-0800-000003000000}"/>
    <hyperlink ref="M6" r:id="rId5" xr:uid="{00000000-0004-0000-0800-000004000000}"/>
    <hyperlink ref="M7" r:id="rId6" xr:uid="{00000000-0004-0000-0800-000005000000}"/>
    <hyperlink ref="M8" r:id="rId7" xr:uid="{00000000-0004-0000-0800-000006000000}"/>
    <hyperlink ref="M10" r:id="rId8" xr:uid="{00000000-0004-0000-0800-000007000000}"/>
    <hyperlink ref="M11" r:id="rId9" xr:uid="{00000000-0004-0000-0800-000008000000}"/>
    <hyperlink ref="M12" r:id="rId10" xr:uid="{00000000-0004-0000-0800-000009000000}"/>
    <hyperlink ref="M13" r:id="rId11" xr:uid="{00000000-0004-0000-0800-00000A000000}"/>
    <hyperlink ref="M14" r:id="rId12" xr:uid="{00000000-0004-0000-0800-00000B000000}"/>
    <hyperlink ref="M15" r:id="rId13" xr:uid="{00000000-0004-0000-0800-00000C000000}"/>
    <hyperlink ref="M16" r:id="rId14" xr:uid="{00000000-0004-0000-0800-00000D000000}"/>
    <hyperlink ref="M18" r:id="rId15" xr:uid="{00000000-0004-0000-0800-00000E000000}"/>
    <hyperlink ref="M17" r:id="rId16" xr:uid="{00000000-0004-0000-0800-00000F000000}"/>
    <hyperlink ref="M19" r:id="rId17" xr:uid="{00000000-0004-0000-0800-000010000000}"/>
    <hyperlink ref="M20" r:id="rId18" xr:uid="{00000000-0004-0000-0800-000011000000}"/>
    <hyperlink ref="M26" r:id="rId19" xr:uid="{00000000-0004-0000-0800-000012000000}"/>
    <hyperlink ref="M25" r:id="rId20" xr:uid="{00000000-0004-0000-0800-000013000000}"/>
    <hyperlink ref="M24" r:id="rId21" xr:uid="{00000000-0004-0000-0800-000014000000}"/>
    <hyperlink ref="M28" r:id="rId22" xr:uid="{00000000-0004-0000-0800-000015000000}"/>
    <hyperlink ref="M29" r:id="rId23" xr:uid="{00000000-0004-0000-0800-000016000000}"/>
    <hyperlink ref="M30" r:id="rId24" xr:uid="{00000000-0004-0000-0800-000017000000}"/>
    <hyperlink ref="M31" r:id="rId25" xr:uid="{00000000-0004-0000-0800-000018000000}"/>
    <hyperlink ref="M33" r:id="rId26" xr:uid="{00000000-0004-0000-0800-000019000000}"/>
    <hyperlink ref="M34" r:id="rId27" xr:uid="{00000000-0004-0000-0800-00001A000000}"/>
    <hyperlink ref="M35" r:id="rId28" xr:uid="{00000000-0004-0000-0800-00001B000000}"/>
    <hyperlink ref="M36" r:id="rId29" xr:uid="{00000000-0004-0000-0800-00001C000000}"/>
    <hyperlink ref="M37" r:id="rId30" xr:uid="{00000000-0004-0000-0800-00001D000000}"/>
  </hyperlinks>
  <pageMargins left="0.75" right="0.75" top="1" bottom="1" header="0.5" footer="0.5"/>
  <pageSetup orientation="portrait" r:id="rId31"/>
  <headerFooter alignWithMargins="0"/>
  <drawing r:id="rId3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order</vt:lpstr>
      <vt:lpstr>our samples</vt:lpstr>
      <vt:lpstr>where</vt:lpstr>
      <vt:lpstr>mass</vt:lpstr>
      <vt:lpstr>means</vt:lpstr>
      <vt:lpstr>histogram</vt:lpstr>
      <vt:lpstr>nonmare</vt:lpstr>
      <vt:lpstr>nonhighlands</vt:lpstr>
      <vt:lpstr>ebay</vt:lpstr>
      <vt:lpstr>bought</vt:lpstr>
      <vt:lpstr>Oman</vt:lpstr>
      <vt:lpstr>ages</vt:lpstr>
      <vt:lpstr>alias</vt:lpstr>
      <vt:lpstr>FUpCr</vt:lpstr>
      <vt:lpstr>souce craters</vt:lpstr>
      <vt:lpstr>Antarctica</vt:lpstr>
      <vt:lpstr>flm LEGEND sp</vt:lpstr>
      <vt:lpstr>aaa</vt:lpstr>
      <vt:lpstr>Al_intercept</vt:lpstr>
      <vt:lpstr>Al_slope</vt:lpstr>
      <vt:lpstr>bin</vt:lpstr>
      <vt:lpstr>icept</vt:lpstr>
      <vt:lpstr>INAA</vt:lpstr>
      <vt:lpstr>input</vt:lpstr>
      <vt:lpstr>N</vt:lpstr>
      <vt:lpstr>alias!Print_Area</vt:lpstr>
      <vt:lpstr>bought!Print_Area</vt:lpstr>
      <vt:lpstr>FUpCr!Print_Area</vt:lpstr>
      <vt:lpstr>order!Print_Area</vt:lpstr>
      <vt:lpstr>'our samples'!Print_Area</vt:lpstr>
      <vt:lpstr>'our samples'!Print_Titles</vt:lpstr>
      <vt:lpstr>rho</vt:lpstr>
      <vt:lpstr>slope</vt:lpstr>
      <vt:lpstr>sort</vt:lpstr>
    </vt:vector>
  </TitlesOfParts>
  <Company>Washington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L. Korotev</dc:creator>
  <cp:lastModifiedBy>Randy Korotev</cp:lastModifiedBy>
  <cp:lastPrinted>2021-04-16T19:24:21Z</cp:lastPrinted>
  <dcterms:created xsi:type="dcterms:W3CDTF">1996-09-20T14:50:08Z</dcterms:created>
  <dcterms:modified xsi:type="dcterms:W3CDTF">2025-09-22T14:42:56Z</dcterms:modified>
</cp:coreProperties>
</file>